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vid\Dropbox (Worms)\Worms Team Folder\Bleakley\"/>
    </mc:Choice>
  </mc:AlternateContent>
  <bookViews>
    <workbookView xWindow="26865" yWindow="1335" windowWidth="34635" windowHeight="18000"/>
  </bookViews>
  <sheets>
    <sheet name="Prevalance, WWI army recruits" sheetId="18" r:id="rId1"/>
    <sheet name="Full-time health officers" sheetId="7" r:id="rId2"/>
    <sheet name="County spending 1902" sheetId="15" r:id="rId3"/>
    <sheet name="County spending 1932" sheetId="1" r:id="rId4"/>
    <sheet name="Cantonments" sheetId="21" r:id="rId5"/>
    <sheet name="Malaria mortality" sheetId="17" r:id="rId6"/>
    <sheet name="State Education Reports Pre" sheetId="10" r:id="rId7"/>
    <sheet name="AL pre" sheetId="32" r:id="rId8"/>
    <sheet name="AR pre" sheetId="33" r:id="rId9"/>
    <sheet name="GA pre" sheetId="34" r:id="rId10"/>
    <sheet name="KY pre" sheetId="35" r:id="rId11"/>
    <sheet name="LA pre" sheetId="36" r:id="rId12"/>
    <sheet name="NC pre" sheetId="38" r:id="rId13"/>
    <sheet name="SC pre" sheetId="39" r:id="rId14"/>
    <sheet name="TX pre" sheetId="37" r:id="rId15"/>
    <sheet name="VA pre" sheetId="40" r:id="rId16"/>
    <sheet name="State Education Reports Post" sheetId="11" r:id="rId17"/>
    <sheet name="AL post" sheetId="26" r:id="rId18"/>
    <sheet name="AR post" sheetId="28" r:id="rId19"/>
    <sheet name="GA post" sheetId="25" r:id="rId20"/>
    <sheet name="KY post" sheetId="41" r:id="rId21"/>
    <sheet name="LA post" sheetId="27" r:id="rId22"/>
    <sheet name="MS post" sheetId="42" r:id="rId23"/>
    <sheet name="NC post" sheetId="29" r:id="rId24"/>
    <sheet name="SC post" sheetId="30" r:id="rId25"/>
    <sheet name="TN post" sheetId="24" r:id="rId26"/>
    <sheet name="TX post" sheetId="31" r:id="rId27"/>
    <sheet name="VA post" sheetId="43" r:id="rId28"/>
    <sheet name="Rosenwald schools &amp; lynchings" sheetId="16" r:id="rId29"/>
    <sheet name="Average wage, 1899" sheetId="6" r:id="rId30"/>
    <sheet name="Doctors per capita" sheetId="20" r:id="rId31"/>
    <sheet name="State health board of health sp" sheetId="19" r:id="rId32"/>
    <sheet name="Infant mortality, 1890" sheetId="3" r:id="rId33"/>
    <sheet name="Rejected recruits, WWI" sheetId="22" r:id="rId34"/>
    <sheet name="Mortality from other diseases" sheetId="23" r:id="rId35"/>
    <sheet name="National Ed Report 1905" sheetId="9" r:id="rId36"/>
    <sheet name="National Ed Report 1926" sheetId="12" r:id="rId37"/>
    <sheet name="Education Annual Report Extende" sheetId="8" r:id="rId38"/>
  </sheets>
  <definedNames>
    <definedName name="_xlnm._FilterDatabase" localSheetId="29" hidden="1">'Average wage, 1899'!$A$1:$C$1</definedName>
    <definedName name="_xlnm._FilterDatabase" localSheetId="1" hidden="1">'Full-time health officers'!$A$1:$G$287</definedName>
    <definedName name="_xlnm._FilterDatabase" localSheetId="36" hidden="1">'National Ed Report 1926'!$A$1:$L$1</definedName>
    <definedName name="_xlnm._FilterDatabase" localSheetId="28" hidden="1">'Rosenwald schools &amp; lynchings'!$A$1:$F$1026</definedName>
    <definedName name="_xlnm._FilterDatabase" localSheetId="16" hidden="1">'State Education Reports Post'!$C$829:$D$1128</definedName>
    <definedName name="_xlnm._FilterDatabase" localSheetId="6" hidden="1">'State Education Reports Pre'!$B$1:$B$1164</definedName>
    <definedName name="BW">'KY pre'!$D$126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3" i="41" l="1"/>
  <c r="V3" i="41"/>
  <c r="W3" i="41"/>
  <c r="Q314" i="11"/>
  <c r="S4" i="41"/>
  <c r="V4" i="41"/>
  <c r="W4" i="41"/>
  <c r="Q315" i="11"/>
  <c r="S5" i="41"/>
  <c r="V5" i="41"/>
  <c r="W5" i="41"/>
  <c r="Q316" i="11"/>
  <c r="S6" i="41"/>
  <c r="V6" i="41"/>
  <c r="W6" i="41"/>
  <c r="Q317" i="11"/>
  <c r="S7" i="41"/>
  <c r="V7" i="41"/>
  <c r="W7" i="41"/>
  <c r="Q318" i="11"/>
  <c r="S8" i="41"/>
  <c r="V8" i="41"/>
  <c r="W8" i="41"/>
  <c r="Q319" i="11"/>
  <c r="S9" i="41"/>
  <c r="V9" i="41"/>
  <c r="W9" i="41"/>
  <c r="Q320" i="11"/>
  <c r="S10" i="41"/>
  <c r="V10" i="41"/>
  <c r="W10" i="41"/>
  <c r="Q321" i="11"/>
  <c r="S11" i="41"/>
  <c r="V11" i="41"/>
  <c r="W11" i="41"/>
  <c r="Q322" i="11"/>
  <c r="S12" i="41"/>
  <c r="V12" i="41"/>
  <c r="W12" i="41"/>
  <c r="Q323" i="11"/>
  <c r="S13" i="41"/>
  <c r="V13" i="41"/>
  <c r="W13" i="41"/>
  <c r="Q324" i="11"/>
  <c r="S14" i="41"/>
  <c r="V14" i="41"/>
  <c r="W14" i="41"/>
  <c r="Q325" i="11"/>
  <c r="S15" i="41"/>
  <c r="V15" i="41"/>
  <c r="W15" i="41"/>
  <c r="Q326" i="11"/>
  <c r="S16" i="41"/>
  <c r="V16" i="41"/>
  <c r="W16" i="41"/>
  <c r="Q327" i="11"/>
  <c r="S17" i="41"/>
  <c r="V17" i="41"/>
  <c r="W17" i="41"/>
  <c r="Q328" i="11"/>
  <c r="S18" i="41"/>
  <c r="V18" i="41"/>
  <c r="W18" i="41"/>
  <c r="Q329" i="11"/>
  <c r="S19" i="41"/>
  <c r="V19" i="41"/>
  <c r="W19" i="41"/>
  <c r="Q330" i="11"/>
  <c r="S20" i="41"/>
  <c r="V20" i="41"/>
  <c r="W20" i="41"/>
  <c r="Q331" i="11"/>
  <c r="S21" i="41"/>
  <c r="V21" i="41"/>
  <c r="W21" i="41"/>
  <c r="Q332" i="11"/>
  <c r="S22" i="41"/>
  <c r="V22" i="41"/>
  <c r="W22" i="41"/>
  <c r="Q333" i="11"/>
  <c r="S23" i="41"/>
  <c r="V23" i="41"/>
  <c r="W23" i="41"/>
  <c r="Q334" i="11"/>
  <c r="S24" i="41"/>
  <c r="V24" i="41"/>
  <c r="W24" i="41"/>
  <c r="Q335" i="11"/>
  <c r="S25" i="41"/>
  <c r="V25" i="41"/>
  <c r="W25" i="41"/>
  <c r="Q336" i="11"/>
  <c r="S26" i="41"/>
  <c r="V26" i="41"/>
  <c r="W26" i="41"/>
  <c r="Q337" i="11"/>
  <c r="S27" i="41"/>
  <c r="V27" i="41"/>
  <c r="W27" i="41"/>
  <c r="Q338" i="11"/>
  <c r="S28" i="41"/>
  <c r="V28" i="41"/>
  <c r="W28" i="41"/>
  <c r="Q339" i="11"/>
  <c r="S29" i="41"/>
  <c r="V29" i="41"/>
  <c r="W29" i="41"/>
  <c r="Q340" i="11"/>
  <c r="S30" i="41"/>
  <c r="V30" i="41"/>
  <c r="W30" i="41"/>
  <c r="Q341" i="11"/>
  <c r="S31" i="41"/>
  <c r="V31" i="41"/>
  <c r="W31" i="41"/>
  <c r="Q342" i="11"/>
  <c r="S32" i="41"/>
  <c r="V32" i="41"/>
  <c r="W32" i="41"/>
  <c r="Q343" i="11"/>
  <c r="S33" i="41"/>
  <c r="V33" i="41"/>
  <c r="W33" i="41"/>
  <c r="Q344" i="11"/>
  <c r="S34" i="41"/>
  <c r="V34" i="41"/>
  <c r="W34" i="41"/>
  <c r="Q345" i="11"/>
  <c r="S35" i="41"/>
  <c r="V35" i="41"/>
  <c r="W35" i="41"/>
  <c r="Q346" i="11"/>
  <c r="S36" i="41"/>
  <c r="V36" i="41"/>
  <c r="W36" i="41"/>
  <c r="Q347" i="11"/>
  <c r="S37" i="41"/>
  <c r="V37" i="41"/>
  <c r="W37" i="41"/>
  <c r="Q348" i="11"/>
  <c r="S38" i="41"/>
  <c r="V38" i="41"/>
  <c r="W38" i="41"/>
  <c r="Q349" i="11"/>
  <c r="S39" i="41"/>
  <c r="V39" i="41"/>
  <c r="W39" i="41"/>
  <c r="Q350" i="11"/>
  <c r="S40" i="41"/>
  <c r="V40" i="41"/>
  <c r="W40" i="41"/>
  <c r="Q351" i="11"/>
  <c r="S41" i="41"/>
  <c r="V41" i="41"/>
  <c r="W41" i="41"/>
  <c r="Q352" i="11"/>
  <c r="S42" i="41"/>
  <c r="V42" i="41"/>
  <c r="W42" i="41"/>
  <c r="Q353" i="11"/>
  <c r="S43" i="41"/>
  <c r="V43" i="41"/>
  <c r="W43" i="41"/>
  <c r="Q354" i="11"/>
  <c r="S44" i="41"/>
  <c r="V44" i="41"/>
  <c r="W44" i="41"/>
  <c r="Q355" i="11"/>
  <c r="S45" i="41"/>
  <c r="V45" i="41"/>
  <c r="W45" i="41"/>
  <c r="Q356" i="11"/>
  <c r="S46" i="41"/>
  <c r="V46" i="41"/>
  <c r="W46" i="41"/>
  <c r="Q357" i="11"/>
  <c r="S47" i="41"/>
  <c r="V47" i="41"/>
  <c r="W47" i="41"/>
  <c r="Q358" i="11"/>
  <c r="S48" i="41"/>
  <c r="V48" i="41"/>
  <c r="W48" i="41"/>
  <c r="Q359" i="11"/>
  <c r="S49" i="41"/>
  <c r="V49" i="41"/>
  <c r="W49" i="41"/>
  <c r="Q360" i="11"/>
  <c r="S50" i="41"/>
  <c r="V50" i="41"/>
  <c r="W50" i="41"/>
  <c r="Q361" i="11"/>
  <c r="S51" i="41"/>
  <c r="V51" i="41"/>
  <c r="W51" i="41"/>
  <c r="Q362" i="11"/>
  <c r="S52" i="41"/>
  <c r="V52" i="41"/>
  <c r="W52" i="41"/>
  <c r="Q363" i="11"/>
  <c r="S53" i="41"/>
  <c r="V53" i="41"/>
  <c r="W53" i="41"/>
  <c r="Q364" i="11"/>
  <c r="S54" i="41"/>
  <c r="V54" i="41"/>
  <c r="W54" i="41"/>
  <c r="Q365" i="11"/>
  <c r="S55" i="41"/>
  <c r="V55" i="41"/>
  <c r="W55" i="41"/>
  <c r="Q366" i="11"/>
  <c r="S56" i="41"/>
  <c r="V56" i="41"/>
  <c r="W56" i="41"/>
  <c r="Q367" i="11"/>
  <c r="S57" i="41"/>
  <c r="V57" i="41"/>
  <c r="W57" i="41"/>
  <c r="Q368" i="11"/>
  <c r="S58" i="41"/>
  <c r="V58" i="41"/>
  <c r="W58" i="41"/>
  <c r="Q369" i="11"/>
  <c r="S59" i="41"/>
  <c r="V59" i="41"/>
  <c r="W59" i="41"/>
  <c r="Q370" i="11"/>
  <c r="S60" i="41"/>
  <c r="V60" i="41"/>
  <c r="W60" i="41"/>
  <c r="Q371" i="11"/>
  <c r="S61" i="41"/>
  <c r="V61" i="41"/>
  <c r="W61" i="41"/>
  <c r="Q372" i="11"/>
  <c r="S62" i="41"/>
  <c r="V62" i="41"/>
  <c r="W62" i="41"/>
  <c r="Q373" i="11"/>
  <c r="S63" i="41"/>
  <c r="V63" i="41"/>
  <c r="W63" i="41"/>
  <c r="Q374" i="11"/>
  <c r="S64" i="41"/>
  <c r="V64" i="41"/>
  <c r="W64" i="41"/>
  <c r="Q375" i="11"/>
  <c r="S65" i="41"/>
  <c r="V65" i="41"/>
  <c r="W65" i="41"/>
  <c r="Q376" i="11"/>
  <c r="S66" i="41"/>
  <c r="V66" i="41"/>
  <c r="W66" i="41"/>
  <c r="Q377" i="11"/>
  <c r="S67" i="41"/>
  <c r="V67" i="41"/>
  <c r="W67" i="41"/>
  <c r="Q378" i="11"/>
  <c r="S68" i="41"/>
  <c r="V68" i="41"/>
  <c r="W68" i="41"/>
  <c r="Q379" i="11"/>
  <c r="S69" i="41"/>
  <c r="V69" i="41"/>
  <c r="W69" i="41"/>
  <c r="Q380" i="11"/>
  <c r="S70" i="41"/>
  <c r="V70" i="41"/>
  <c r="W70" i="41"/>
  <c r="Q381" i="11"/>
  <c r="S71" i="41"/>
  <c r="V71" i="41"/>
  <c r="W71" i="41"/>
  <c r="Q382" i="11"/>
  <c r="S72" i="41"/>
  <c r="V72" i="41"/>
  <c r="W72" i="41"/>
  <c r="Q383" i="11"/>
  <c r="S73" i="41"/>
  <c r="V73" i="41"/>
  <c r="W73" i="41"/>
  <c r="Q384" i="11"/>
  <c r="S74" i="41"/>
  <c r="V74" i="41"/>
  <c r="W74" i="41"/>
  <c r="Q385" i="11"/>
  <c r="S75" i="41"/>
  <c r="V75" i="41"/>
  <c r="W75" i="41"/>
  <c r="Q386" i="11"/>
  <c r="S76" i="41"/>
  <c r="V76" i="41"/>
  <c r="W76" i="41"/>
  <c r="Q387" i="11"/>
  <c r="S77" i="41"/>
  <c r="V77" i="41"/>
  <c r="W77" i="41"/>
  <c r="Q388" i="11"/>
  <c r="S78" i="41"/>
  <c r="V78" i="41"/>
  <c r="W78" i="41"/>
  <c r="Q389" i="11"/>
  <c r="S79" i="41"/>
  <c r="V79" i="41"/>
  <c r="W79" i="41"/>
  <c r="Q390" i="11"/>
  <c r="S80" i="41"/>
  <c r="V80" i="41"/>
  <c r="W80" i="41"/>
  <c r="Q391" i="11"/>
  <c r="S81" i="41"/>
  <c r="V81" i="41"/>
  <c r="W81" i="41"/>
  <c r="Q392" i="11"/>
  <c r="S82" i="41"/>
  <c r="V82" i="41"/>
  <c r="W82" i="41"/>
  <c r="Q393" i="11"/>
  <c r="S83" i="41"/>
  <c r="V83" i="41"/>
  <c r="W83" i="41"/>
  <c r="Q394" i="11"/>
  <c r="S84" i="41"/>
  <c r="V84" i="41"/>
  <c r="W84" i="41"/>
  <c r="Q395" i="11"/>
  <c r="S85" i="41"/>
  <c r="V85" i="41"/>
  <c r="W85" i="41"/>
  <c r="Q396" i="11"/>
  <c r="S86" i="41"/>
  <c r="V86" i="41"/>
  <c r="W86" i="41"/>
  <c r="Q397" i="11"/>
  <c r="S87" i="41"/>
  <c r="V87" i="41"/>
  <c r="W87" i="41"/>
  <c r="Q398" i="11"/>
  <c r="S88" i="41"/>
  <c r="V88" i="41"/>
  <c r="W88" i="41"/>
  <c r="Q399" i="11"/>
  <c r="S89" i="41"/>
  <c r="V89" i="41"/>
  <c r="W89" i="41"/>
  <c r="Q400" i="11"/>
  <c r="S90" i="41"/>
  <c r="V90" i="41"/>
  <c r="W90" i="41"/>
  <c r="Q401" i="11"/>
  <c r="S91" i="41"/>
  <c r="V91" i="41"/>
  <c r="W91" i="41"/>
  <c r="Q402" i="11"/>
  <c r="S92" i="41"/>
  <c r="V92" i="41"/>
  <c r="W92" i="41"/>
  <c r="Q403" i="11"/>
  <c r="S93" i="41"/>
  <c r="V93" i="41"/>
  <c r="W93" i="41"/>
  <c r="Q404" i="11"/>
  <c r="S94" i="41"/>
  <c r="V94" i="41"/>
  <c r="W94" i="41"/>
  <c r="Q405" i="11"/>
  <c r="S95" i="41"/>
  <c r="V95" i="41"/>
  <c r="W95" i="41"/>
  <c r="Q406" i="11"/>
  <c r="S96" i="41"/>
  <c r="V96" i="41"/>
  <c r="W96" i="41"/>
  <c r="Q407" i="11"/>
  <c r="S97" i="41"/>
  <c r="V97" i="41"/>
  <c r="W97" i="41"/>
  <c r="Q408" i="11"/>
  <c r="S98" i="41"/>
  <c r="V98" i="41"/>
  <c r="W98" i="41"/>
  <c r="Q409" i="11"/>
  <c r="S99" i="41"/>
  <c r="V99" i="41"/>
  <c r="W99" i="41"/>
  <c r="Q410" i="11"/>
  <c r="S100" i="41"/>
  <c r="V100" i="41"/>
  <c r="W100" i="41"/>
  <c r="Q411" i="11"/>
  <c r="S101" i="41"/>
  <c r="V101" i="41"/>
  <c r="W101" i="41"/>
  <c r="Q412" i="11"/>
  <c r="S102" i="41"/>
  <c r="V102" i="41"/>
  <c r="W102" i="41"/>
  <c r="Q413" i="11"/>
  <c r="S103" i="41"/>
  <c r="V103" i="41"/>
  <c r="W103" i="41"/>
  <c r="Q414" i="11"/>
  <c r="S104" i="41"/>
  <c r="V104" i="41"/>
  <c r="W104" i="41"/>
  <c r="Q415" i="11"/>
  <c r="S105" i="41"/>
  <c r="V105" i="41"/>
  <c r="W105" i="41"/>
  <c r="Q416" i="11"/>
  <c r="S106" i="41"/>
  <c r="V106" i="41"/>
  <c r="W106" i="41"/>
  <c r="Q417" i="11"/>
  <c r="S107" i="41"/>
  <c r="V107" i="41"/>
  <c r="W107" i="41"/>
  <c r="Q418" i="11"/>
  <c r="S108" i="41"/>
  <c r="V108" i="41"/>
  <c r="W108" i="41"/>
  <c r="Q419" i="11"/>
  <c r="S109" i="41"/>
  <c r="V109" i="41"/>
  <c r="W109" i="41"/>
  <c r="Q420" i="11"/>
  <c r="S110" i="41"/>
  <c r="V110" i="41"/>
  <c r="W110" i="41"/>
  <c r="Q421" i="11"/>
  <c r="S111" i="41"/>
  <c r="V111" i="41"/>
  <c r="W111" i="41"/>
  <c r="Q422" i="11"/>
  <c r="S112" i="41"/>
  <c r="V112" i="41"/>
  <c r="W112" i="41"/>
  <c r="Q423" i="11"/>
  <c r="S113" i="41"/>
  <c r="V113" i="41"/>
  <c r="W113" i="41"/>
  <c r="Q424" i="11"/>
  <c r="S114" i="41"/>
  <c r="V114" i="41"/>
  <c r="W114" i="41"/>
  <c r="Q425" i="11"/>
  <c r="S115" i="41"/>
  <c r="V115" i="41"/>
  <c r="W115" i="41"/>
  <c r="Q426" i="11"/>
  <c r="S116" i="41"/>
  <c r="V116" i="41"/>
  <c r="W116" i="41"/>
  <c r="Q427" i="11"/>
  <c r="S117" i="41"/>
  <c r="V117" i="41"/>
  <c r="W117" i="41"/>
  <c r="Q428" i="11"/>
  <c r="S118" i="41"/>
  <c r="V118" i="41"/>
  <c r="W118" i="41"/>
  <c r="Q429" i="11"/>
  <c r="S119" i="41"/>
  <c r="V119" i="41"/>
  <c r="W119" i="41"/>
  <c r="Q430" i="11"/>
  <c r="S120" i="41"/>
  <c r="V120" i="41"/>
  <c r="W120" i="41"/>
  <c r="Q431" i="11"/>
  <c r="S121" i="41"/>
  <c r="V121" i="41"/>
  <c r="W121" i="41"/>
  <c r="Q432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121" i="41"/>
  <c r="E120" i="41"/>
  <c r="E119" i="41"/>
  <c r="E118" i="41"/>
  <c r="E117" i="41"/>
  <c r="E116" i="41"/>
  <c r="E115" i="41"/>
  <c r="E114" i="41"/>
  <c r="E113" i="41"/>
  <c r="E112" i="41"/>
  <c r="E111" i="41"/>
  <c r="E110" i="41"/>
  <c r="E109" i="41"/>
  <c r="E108" i="41"/>
  <c r="E107" i="41"/>
  <c r="E106" i="41"/>
  <c r="E105" i="41"/>
  <c r="E104" i="41"/>
  <c r="E103" i="41"/>
  <c r="E102" i="41"/>
  <c r="E101" i="41"/>
  <c r="E100" i="41"/>
  <c r="E99" i="41"/>
  <c r="E98" i="41"/>
  <c r="E97" i="41"/>
  <c r="E96" i="41"/>
  <c r="E95" i="41"/>
  <c r="E94" i="41"/>
  <c r="E93" i="41"/>
  <c r="E92" i="41"/>
  <c r="E91" i="41"/>
  <c r="E90" i="41"/>
  <c r="E89" i="41"/>
  <c r="E88" i="41"/>
  <c r="E87" i="41"/>
  <c r="E86" i="41"/>
  <c r="E85" i="41"/>
  <c r="E84" i="41"/>
  <c r="E83" i="41"/>
  <c r="E82" i="41"/>
  <c r="E81" i="41"/>
  <c r="E80" i="41"/>
  <c r="E79" i="41"/>
  <c r="E78" i="41"/>
  <c r="E77" i="41"/>
  <c r="E76" i="41"/>
  <c r="E75" i="41"/>
  <c r="E74" i="41"/>
  <c r="E73" i="41"/>
  <c r="E72" i="41"/>
  <c r="E71" i="41"/>
  <c r="E70" i="41"/>
  <c r="E69" i="41"/>
  <c r="E68" i="41"/>
  <c r="E67" i="41"/>
  <c r="E66" i="41"/>
  <c r="E65" i="41"/>
  <c r="E64" i="41"/>
  <c r="E63" i="41"/>
  <c r="E62" i="41"/>
  <c r="E61" i="41"/>
  <c r="E60" i="41"/>
  <c r="E59" i="41"/>
  <c r="E58" i="41"/>
  <c r="E57" i="41"/>
  <c r="E56" i="41"/>
  <c r="E55" i="41"/>
  <c r="E54" i="41"/>
  <c r="E53" i="41"/>
  <c r="E52" i="41"/>
  <c r="E51" i="41"/>
  <c r="E50" i="41"/>
  <c r="E49" i="41"/>
  <c r="E48" i="41"/>
  <c r="E47" i="41"/>
  <c r="E46" i="41"/>
  <c r="E45" i="41"/>
  <c r="E44" i="41"/>
  <c r="E43" i="41"/>
  <c r="E42" i="41"/>
  <c r="E41" i="41"/>
  <c r="E40" i="41"/>
  <c r="E39" i="41"/>
  <c r="E38" i="41"/>
  <c r="E37" i="41"/>
  <c r="E36" i="41"/>
  <c r="E35" i="41"/>
  <c r="E34" i="41"/>
  <c r="E33" i="41"/>
  <c r="E32" i="41"/>
  <c r="E31" i="41"/>
  <c r="E30" i="41"/>
  <c r="E29" i="41"/>
  <c r="E28" i="41"/>
  <c r="E27" i="41"/>
  <c r="E26" i="41"/>
  <c r="E25" i="41"/>
  <c r="E24" i="41"/>
  <c r="E23" i="41"/>
  <c r="E22" i="41"/>
  <c r="E21" i="41"/>
  <c r="E20" i="41"/>
  <c r="E19" i="41"/>
  <c r="E18" i="41"/>
  <c r="E17" i="41"/>
  <c r="E16" i="41"/>
  <c r="E15" i="41"/>
  <c r="E14" i="41"/>
  <c r="E13" i="41"/>
  <c r="E12" i="41"/>
  <c r="E11" i="41"/>
  <c r="E10" i="41"/>
  <c r="E9" i="41"/>
  <c r="E8" i="41"/>
  <c r="E7" i="41"/>
  <c r="E6" i="41"/>
  <c r="E5" i="41"/>
  <c r="E4" i="41"/>
  <c r="E3" i="41"/>
  <c r="E2" i="41"/>
  <c r="H121" i="41"/>
  <c r="H120" i="41"/>
  <c r="H119" i="41"/>
  <c r="H118" i="41"/>
  <c r="H117" i="41"/>
  <c r="H116" i="41"/>
  <c r="H115" i="41"/>
  <c r="H114" i="41"/>
  <c r="H113" i="41"/>
  <c r="H112" i="41"/>
  <c r="H111" i="41"/>
  <c r="H110" i="41"/>
  <c r="H109" i="41"/>
  <c r="H108" i="41"/>
  <c r="H107" i="41"/>
  <c r="H106" i="41"/>
  <c r="H105" i="41"/>
  <c r="H104" i="41"/>
  <c r="H103" i="41"/>
  <c r="H102" i="41"/>
  <c r="H101" i="41"/>
  <c r="H100" i="41"/>
  <c r="H99" i="41"/>
  <c r="H98" i="41"/>
  <c r="H97" i="41"/>
  <c r="H96" i="41"/>
  <c r="H95" i="41"/>
  <c r="H94" i="41"/>
  <c r="H93" i="41"/>
  <c r="H92" i="41"/>
  <c r="H91" i="41"/>
  <c r="H90" i="41"/>
  <c r="H89" i="41"/>
  <c r="H88" i="41"/>
  <c r="H87" i="41"/>
  <c r="H86" i="41"/>
  <c r="H85" i="41"/>
  <c r="H84" i="41"/>
  <c r="H83" i="41"/>
  <c r="H82" i="41"/>
  <c r="H81" i="41"/>
  <c r="H80" i="41"/>
  <c r="H79" i="41"/>
  <c r="H78" i="41"/>
  <c r="H77" i="41"/>
  <c r="H76" i="41"/>
  <c r="H75" i="41"/>
  <c r="H74" i="41"/>
  <c r="H73" i="41"/>
  <c r="H72" i="41"/>
  <c r="H71" i="41"/>
  <c r="H70" i="41"/>
  <c r="H69" i="41"/>
  <c r="H68" i="41"/>
  <c r="H67" i="41"/>
  <c r="H66" i="41"/>
  <c r="H65" i="41"/>
  <c r="H64" i="41"/>
  <c r="H63" i="41"/>
  <c r="H62" i="41"/>
  <c r="H61" i="41"/>
  <c r="H60" i="41"/>
  <c r="H59" i="41"/>
  <c r="H58" i="41"/>
  <c r="H57" i="41"/>
  <c r="H56" i="41"/>
  <c r="H55" i="41"/>
  <c r="H54" i="41"/>
  <c r="H53" i="41"/>
  <c r="H52" i="41"/>
  <c r="H51" i="41"/>
  <c r="H50" i="41"/>
  <c r="H49" i="41"/>
  <c r="H48" i="41"/>
  <c r="H47" i="41"/>
  <c r="H46" i="41"/>
  <c r="H45" i="41"/>
  <c r="H44" i="41"/>
  <c r="H43" i="41"/>
  <c r="H42" i="41"/>
  <c r="H41" i="41"/>
  <c r="H40" i="41"/>
  <c r="H39" i="41"/>
  <c r="H38" i="41"/>
  <c r="H37" i="41"/>
  <c r="H36" i="41"/>
  <c r="H35" i="41"/>
  <c r="H34" i="41"/>
  <c r="H33" i="41"/>
  <c r="H32" i="41"/>
  <c r="H31" i="41"/>
  <c r="H30" i="41"/>
  <c r="H29" i="41"/>
  <c r="H28" i="41"/>
  <c r="H27" i="41"/>
  <c r="H26" i="41"/>
  <c r="H25" i="41"/>
  <c r="H24" i="41"/>
  <c r="H23" i="41"/>
  <c r="H22" i="41"/>
  <c r="H21" i="41"/>
  <c r="H20" i="41"/>
  <c r="H19" i="41"/>
  <c r="H18" i="41"/>
  <c r="H17" i="41"/>
  <c r="H16" i="41"/>
  <c r="H15" i="41"/>
  <c r="H14" i="41"/>
  <c r="H13" i="41"/>
  <c r="H12" i="41"/>
  <c r="H11" i="41"/>
  <c r="H10" i="41"/>
  <c r="H9" i="41"/>
  <c r="H8" i="41"/>
  <c r="H7" i="41"/>
  <c r="H6" i="41"/>
  <c r="H5" i="41"/>
  <c r="H4" i="41"/>
  <c r="H3" i="41"/>
  <c r="H2" i="41"/>
  <c r="T3" i="41"/>
  <c r="T4" i="41"/>
  <c r="T5" i="41"/>
  <c r="T6" i="41"/>
  <c r="T7" i="41"/>
  <c r="T8" i="41"/>
  <c r="T9" i="41"/>
  <c r="T10" i="41"/>
  <c r="T11" i="41"/>
  <c r="T12" i="41"/>
  <c r="T13" i="41"/>
  <c r="T14" i="41"/>
  <c r="T15" i="41"/>
  <c r="T16" i="41"/>
  <c r="T17" i="41"/>
  <c r="T18" i="41"/>
  <c r="T19" i="41"/>
  <c r="T20" i="41"/>
  <c r="T21" i="41"/>
  <c r="T22" i="41"/>
  <c r="T23" i="41"/>
  <c r="T24" i="41"/>
  <c r="T25" i="41"/>
  <c r="T26" i="41"/>
  <c r="T27" i="41"/>
  <c r="T28" i="41"/>
  <c r="T29" i="41"/>
  <c r="T30" i="41"/>
  <c r="T31" i="41"/>
  <c r="T32" i="41"/>
  <c r="T33" i="41"/>
  <c r="T34" i="41"/>
  <c r="T35" i="41"/>
  <c r="T36" i="41"/>
  <c r="T37" i="41"/>
  <c r="T38" i="41"/>
  <c r="T39" i="41"/>
  <c r="T40" i="41"/>
  <c r="T41" i="41"/>
  <c r="T42" i="41"/>
  <c r="T43" i="41"/>
  <c r="T44" i="41"/>
  <c r="T45" i="41"/>
  <c r="T46" i="41"/>
  <c r="T47" i="41"/>
  <c r="T48" i="41"/>
  <c r="T49" i="41"/>
  <c r="T50" i="41"/>
  <c r="T51" i="41"/>
  <c r="T52" i="41"/>
  <c r="T53" i="41"/>
  <c r="T54" i="41"/>
  <c r="T55" i="41"/>
  <c r="T56" i="41"/>
  <c r="T57" i="41"/>
  <c r="T58" i="41"/>
  <c r="T59" i="41"/>
  <c r="T60" i="41"/>
  <c r="T61" i="41"/>
  <c r="T62" i="41"/>
  <c r="T63" i="41"/>
  <c r="T64" i="41"/>
  <c r="T65" i="41"/>
  <c r="T66" i="41"/>
  <c r="T67" i="41"/>
  <c r="T68" i="41"/>
  <c r="T69" i="41"/>
  <c r="T70" i="41"/>
  <c r="T71" i="41"/>
  <c r="T72" i="41"/>
  <c r="T73" i="41"/>
  <c r="T74" i="41"/>
  <c r="T75" i="41"/>
  <c r="T76" i="41"/>
  <c r="T77" i="41"/>
  <c r="T78" i="41"/>
  <c r="T79" i="41"/>
  <c r="T80" i="41"/>
  <c r="T81" i="41"/>
  <c r="T82" i="41"/>
  <c r="T83" i="41"/>
  <c r="T84" i="41"/>
  <c r="T85" i="41"/>
  <c r="T86" i="41"/>
  <c r="T87" i="41"/>
  <c r="T88" i="41"/>
  <c r="T89" i="41"/>
  <c r="T90" i="41"/>
  <c r="T91" i="41"/>
  <c r="T92" i="41"/>
  <c r="T93" i="41"/>
  <c r="T94" i="41"/>
  <c r="T95" i="41"/>
  <c r="T96" i="41"/>
  <c r="T97" i="41"/>
  <c r="T98" i="41"/>
  <c r="T99" i="41"/>
  <c r="T100" i="41"/>
  <c r="T101" i="41"/>
  <c r="T102" i="41"/>
  <c r="T103" i="41"/>
  <c r="T104" i="41"/>
  <c r="T105" i="41"/>
  <c r="T106" i="41"/>
  <c r="T107" i="41"/>
  <c r="T108" i="41"/>
  <c r="T109" i="41"/>
  <c r="T110" i="41"/>
  <c r="T111" i="41"/>
  <c r="T112" i="41"/>
  <c r="T113" i="41"/>
  <c r="T114" i="41"/>
  <c r="T115" i="41"/>
  <c r="T116" i="41"/>
  <c r="T117" i="41"/>
  <c r="T118" i="41"/>
  <c r="T119" i="41"/>
  <c r="T120" i="41"/>
  <c r="T121" i="41"/>
  <c r="O432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313" i="11"/>
  <c r="V2" i="41"/>
  <c r="Q313" i="11"/>
  <c r="AN3" i="26"/>
  <c r="AP3" i="26"/>
  <c r="AQ3" i="26"/>
  <c r="U4" i="11"/>
  <c r="AN4" i="26"/>
  <c r="AP4" i="26"/>
  <c r="AQ4" i="26"/>
  <c r="U5" i="11"/>
  <c r="AN5" i="26"/>
  <c r="AP5" i="26"/>
  <c r="AQ5" i="26"/>
  <c r="U6" i="11"/>
  <c r="AN6" i="26"/>
  <c r="AP6" i="26"/>
  <c r="AQ6" i="26"/>
  <c r="U7" i="11"/>
  <c r="AN7" i="26"/>
  <c r="AP7" i="26"/>
  <c r="AQ7" i="26"/>
  <c r="U8" i="11"/>
  <c r="AN8" i="26"/>
  <c r="AP8" i="26"/>
  <c r="AQ8" i="26"/>
  <c r="U9" i="11"/>
  <c r="AN9" i="26"/>
  <c r="AP9" i="26"/>
  <c r="AQ9" i="26"/>
  <c r="U10" i="11"/>
  <c r="AN10" i="26"/>
  <c r="AP10" i="26"/>
  <c r="AQ10" i="26"/>
  <c r="U11" i="11"/>
  <c r="AN11" i="26"/>
  <c r="AP11" i="26"/>
  <c r="AQ11" i="26"/>
  <c r="U12" i="11"/>
  <c r="AN12" i="26"/>
  <c r="AP12" i="26"/>
  <c r="AQ12" i="26"/>
  <c r="U13" i="11"/>
  <c r="AN13" i="26"/>
  <c r="AP13" i="26"/>
  <c r="AQ13" i="26"/>
  <c r="U14" i="11"/>
  <c r="AP14" i="26"/>
  <c r="AQ14" i="26"/>
  <c r="U15" i="11"/>
  <c r="AN15" i="26"/>
  <c r="AP15" i="26"/>
  <c r="AQ15" i="26"/>
  <c r="U16" i="11"/>
  <c r="AN16" i="26"/>
  <c r="AP16" i="26"/>
  <c r="AQ16" i="26"/>
  <c r="U17" i="11"/>
  <c r="AN17" i="26"/>
  <c r="AP17" i="26"/>
  <c r="AQ17" i="26"/>
  <c r="U18" i="11"/>
  <c r="AN18" i="26"/>
  <c r="AP18" i="26"/>
  <c r="AQ18" i="26"/>
  <c r="U19" i="11"/>
  <c r="AN19" i="26"/>
  <c r="AP19" i="26"/>
  <c r="AQ19" i="26"/>
  <c r="U20" i="11"/>
  <c r="AN20" i="26"/>
  <c r="AP20" i="26"/>
  <c r="AQ20" i="26"/>
  <c r="U21" i="11"/>
  <c r="AN21" i="26"/>
  <c r="AP21" i="26"/>
  <c r="AQ21" i="26"/>
  <c r="U22" i="11"/>
  <c r="AN22" i="26"/>
  <c r="AP22" i="26"/>
  <c r="AQ22" i="26"/>
  <c r="U23" i="11"/>
  <c r="AN23" i="26"/>
  <c r="AP23" i="26"/>
  <c r="AQ23" i="26"/>
  <c r="U24" i="11"/>
  <c r="AN24" i="26"/>
  <c r="AP24" i="26"/>
  <c r="AQ24" i="26"/>
  <c r="U25" i="11"/>
  <c r="AP25" i="26"/>
  <c r="AQ25" i="26"/>
  <c r="U26" i="11"/>
  <c r="AN26" i="26"/>
  <c r="AP26" i="26"/>
  <c r="AQ26" i="26"/>
  <c r="U27" i="11"/>
  <c r="AN27" i="26"/>
  <c r="AP27" i="26"/>
  <c r="AQ27" i="26"/>
  <c r="U28" i="11"/>
  <c r="AN28" i="26"/>
  <c r="AP28" i="26"/>
  <c r="AQ28" i="26"/>
  <c r="U29" i="11"/>
  <c r="AN29" i="26"/>
  <c r="AP29" i="26"/>
  <c r="AQ29" i="26"/>
  <c r="U30" i="11"/>
  <c r="AN30" i="26"/>
  <c r="AP30" i="26"/>
  <c r="AQ30" i="26"/>
  <c r="U31" i="11"/>
  <c r="AN31" i="26"/>
  <c r="AP31" i="26"/>
  <c r="AQ31" i="26"/>
  <c r="U32" i="11"/>
  <c r="AN32" i="26"/>
  <c r="AP32" i="26"/>
  <c r="AQ32" i="26"/>
  <c r="U33" i="11"/>
  <c r="AN33" i="26"/>
  <c r="AP33" i="26"/>
  <c r="AQ33" i="26"/>
  <c r="U34" i="11"/>
  <c r="AN34" i="26"/>
  <c r="AP34" i="26"/>
  <c r="AQ34" i="26"/>
  <c r="U35" i="11"/>
  <c r="AN35" i="26"/>
  <c r="AP35" i="26"/>
  <c r="AQ35" i="26"/>
  <c r="U36" i="11"/>
  <c r="AP36" i="26"/>
  <c r="AQ36" i="26"/>
  <c r="U37" i="11"/>
  <c r="AN37" i="26"/>
  <c r="AP37" i="26"/>
  <c r="AQ37" i="26"/>
  <c r="U38" i="11"/>
  <c r="AN38" i="26"/>
  <c r="AP38" i="26"/>
  <c r="AQ38" i="26"/>
  <c r="U39" i="11"/>
  <c r="AN39" i="26"/>
  <c r="AP39" i="26"/>
  <c r="AQ39" i="26"/>
  <c r="U40" i="11"/>
  <c r="AN40" i="26"/>
  <c r="AP40" i="26"/>
  <c r="AQ40" i="26"/>
  <c r="U41" i="11"/>
  <c r="AN41" i="26"/>
  <c r="AP41" i="26"/>
  <c r="AQ41" i="26"/>
  <c r="U42" i="11"/>
  <c r="AN42" i="26"/>
  <c r="AP42" i="26"/>
  <c r="AQ42" i="26"/>
  <c r="U43" i="11"/>
  <c r="AN43" i="26"/>
  <c r="AP43" i="26"/>
  <c r="AQ43" i="26"/>
  <c r="U44" i="11"/>
  <c r="AN44" i="26"/>
  <c r="AP44" i="26"/>
  <c r="AQ44" i="26"/>
  <c r="U45" i="11"/>
  <c r="AN45" i="26"/>
  <c r="AP45" i="26"/>
  <c r="AQ45" i="26"/>
  <c r="U46" i="11"/>
  <c r="AN46" i="26"/>
  <c r="AP46" i="26"/>
  <c r="AQ46" i="26"/>
  <c r="U47" i="11"/>
  <c r="AP47" i="26"/>
  <c r="AQ47" i="26"/>
  <c r="U48" i="11"/>
  <c r="AN48" i="26"/>
  <c r="AP48" i="26"/>
  <c r="AQ48" i="26"/>
  <c r="U49" i="11"/>
  <c r="AN49" i="26"/>
  <c r="AP49" i="26"/>
  <c r="AQ49" i="26"/>
  <c r="U50" i="11"/>
  <c r="AN50" i="26"/>
  <c r="AP50" i="26"/>
  <c r="AQ50" i="26"/>
  <c r="U51" i="11"/>
  <c r="AN51" i="26"/>
  <c r="AP51" i="26"/>
  <c r="AQ51" i="26"/>
  <c r="U52" i="11"/>
  <c r="AN52" i="26"/>
  <c r="AP52" i="26"/>
  <c r="AQ52" i="26"/>
  <c r="U53" i="11"/>
  <c r="AN53" i="26"/>
  <c r="AP53" i="26"/>
  <c r="AQ53" i="26"/>
  <c r="U54" i="11"/>
  <c r="AN54" i="26"/>
  <c r="AP54" i="26"/>
  <c r="AQ54" i="26"/>
  <c r="U55" i="11"/>
  <c r="AN55" i="26"/>
  <c r="AP55" i="26"/>
  <c r="AQ55" i="26"/>
  <c r="U56" i="11"/>
  <c r="AN56" i="26"/>
  <c r="AP56" i="26"/>
  <c r="AQ56" i="26"/>
  <c r="U57" i="11"/>
  <c r="AN57" i="26"/>
  <c r="AP57" i="26"/>
  <c r="AQ57" i="26"/>
  <c r="U58" i="11"/>
  <c r="AN58" i="26"/>
  <c r="AP58" i="26"/>
  <c r="AQ58" i="26"/>
  <c r="U59" i="11"/>
  <c r="AP59" i="26"/>
  <c r="AQ59" i="26"/>
  <c r="U60" i="11"/>
  <c r="AN60" i="26"/>
  <c r="AP60" i="26"/>
  <c r="AQ60" i="26"/>
  <c r="U61" i="11"/>
  <c r="AN61" i="26"/>
  <c r="AP61" i="26"/>
  <c r="AQ61" i="26"/>
  <c r="U62" i="11"/>
  <c r="AN62" i="26"/>
  <c r="AP62" i="26"/>
  <c r="AQ62" i="26"/>
  <c r="U63" i="11"/>
  <c r="AN63" i="26"/>
  <c r="AP63" i="26"/>
  <c r="AQ63" i="26"/>
  <c r="U64" i="11"/>
  <c r="AN64" i="26"/>
  <c r="AP64" i="26"/>
  <c r="AQ64" i="26"/>
  <c r="U65" i="11"/>
  <c r="AN65" i="26"/>
  <c r="AP65" i="26"/>
  <c r="AQ65" i="26"/>
  <c r="U66" i="11"/>
  <c r="AN66" i="26"/>
  <c r="AP66" i="26"/>
  <c r="AQ66" i="26"/>
  <c r="U67" i="11"/>
  <c r="AN67" i="26"/>
  <c r="AP67" i="26"/>
  <c r="AQ67" i="26"/>
  <c r="U68" i="11"/>
  <c r="AN68" i="26"/>
  <c r="AP68" i="26"/>
  <c r="AQ68" i="26"/>
  <c r="U69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AO3" i="26"/>
  <c r="S4" i="11"/>
  <c r="AO4" i="26"/>
  <c r="S5" i="11"/>
  <c r="AO5" i="26"/>
  <c r="S6" i="11"/>
  <c r="AO6" i="26"/>
  <c r="S7" i="11"/>
  <c r="AO7" i="26"/>
  <c r="S8" i="11"/>
  <c r="AO8" i="26"/>
  <c r="S9" i="11"/>
  <c r="AO9" i="26"/>
  <c r="S10" i="11"/>
  <c r="AO10" i="26"/>
  <c r="S11" i="11"/>
  <c r="AO11" i="26"/>
  <c r="S12" i="11"/>
  <c r="AO12" i="26"/>
  <c r="S13" i="11"/>
  <c r="AO13" i="26"/>
  <c r="S14" i="11"/>
  <c r="S15" i="11"/>
  <c r="AO15" i="26"/>
  <c r="S16" i="11"/>
  <c r="AO16" i="26"/>
  <c r="S17" i="11"/>
  <c r="AO17" i="26"/>
  <c r="S18" i="11"/>
  <c r="AO18" i="26"/>
  <c r="S19" i="11"/>
  <c r="AO19" i="26"/>
  <c r="S20" i="11"/>
  <c r="AO20" i="26"/>
  <c r="S21" i="11"/>
  <c r="AO21" i="26"/>
  <c r="S22" i="11"/>
  <c r="AO22" i="26"/>
  <c r="S23" i="11"/>
  <c r="AO23" i="26"/>
  <c r="S24" i="11"/>
  <c r="AO24" i="26"/>
  <c r="S25" i="11"/>
  <c r="S26" i="11"/>
  <c r="AO26" i="26"/>
  <c r="S27" i="11"/>
  <c r="AO27" i="26"/>
  <c r="S28" i="11"/>
  <c r="AO28" i="26"/>
  <c r="S29" i="11"/>
  <c r="AO29" i="26"/>
  <c r="S30" i="11"/>
  <c r="AO30" i="26"/>
  <c r="S31" i="11"/>
  <c r="AO31" i="26"/>
  <c r="S32" i="11"/>
  <c r="AO32" i="26"/>
  <c r="S33" i="11"/>
  <c r="AO33" i="26"/>
  <c r="S34" i="11"/>
  <c r="AO34" i="26"/>
  <c r="S35" i="11"/>
  <c r="AO35" i="26"/>
  <c r="S36" i="11"/>
  <c r="S37" i="11"/>
  <c r="AO37" i="26"/>
  <c r="S38" i="11"/>
  <c r="AO38" i="26"/>
  <c r="S39" i="11"/>
  <c r="AO39" i="26"/>
  <c r="S40" i="11"/>
  <c r="AO40" i="26"/>
  <c r="S41" i="11"/>
  <c r="AO41" i="26"/>
  <c r="S42" i="11"/>
  <c r="AO42" i="26"/>
  <c r="S43" i="11"/>
  <c r="AO43" i="26"/>
  <c r="S44" i="11"/>
  <c r="AO44" i="26"/>
  <c r="S45" i="11"/>
  <c r="AO45" i="26"/>
  <c r="S46" i="11"/>
  <c r="AO46" i="26"/>
  <c r="S47" i="11"/>
  <c r="S48" i="11"/>
  <c r="AO48" i="26"/>
  <c r="S49" i="11"/>
  <c r="AO49" i="26"/>
  <c r="S50" i="11"/>
  <c r="AO50" i="26"/>
  <c r="S51" i="11"/>
  <c r="AO51" i="26"/>
  <c r="S52" i="11"/>
  <c r="AO52" i="26"/>
  <c r="S53" i="11"/>
  <c r="AO53" i="26"/>
  <c r="S54" i="11"/>
  <c r="AO54" i="26"/>
  <c r="S55" i="11"/>
  <c r="AO55" i="26"/>
  <c r="S56" i="11"/>
  <c r="AO56" i="26"/>
  <c r="S57" i="11"/>
  <c r="AO57" i="26"/>
  <c r="S58" i="11"/>
  <c r="AO58" i="26"/>
  <c r="S59" i="11"/>
  <c r="S60" i="11"/>
  <c r="AO60" i="26"/>
  <c r="S61" i="11"/>
  <c r="AO61" i="26"/>
  <c r="S62" i="11"/>
  <c r="AO62" i="26"/>
  <c r="S63" i="11"/>
  <c r="AO63" i="26"/>
  <c r="S64" i="11"/>
  <c r="AO64" i="26"/>
  <c r="S65" i="11"/>
  <c r="AO65" i="26"/>
  <c r="S66" i="11"/>
  <c r="AO66" i="26"/>
  <c r="S67" i="11"/>
  <c r="AO67" i="26"/>
  <c r="S68" i="11"/>
  <c r="AO68" i="26"/>
  <c r="S69" i="11"/>
  <c r="AL3" i="26"/>
  <c r="AM3" i="26"/>
  <c r="R4" i="11"/>
  <c r="AL4" i="26"/>
  <c r="AM4" i="26"/>
  <c r="R5" i="11"/>
  <c r="AL5" i="26"/>
  <c r="AM5" i="26"/>
  <c r="R6" i="11"/>
  <c r="AL6" i="26"/>
  <c r="AM6" i="26"/>
  <c r="R7" i="11"/>
  <c r="AL7" i="26"/>
  <c r="AM7" i="26"/>
  <c r="R8" i="11"/>
  <c r="AL8" i="26"/>
  <c r="AM8" i="26"/>
  <c r="R9" i="11"/>
  <c r="AL9" i="26"/>
  <c r="AM9" i="26"/>
  <c r="R10" i="11"/>
  <c r="AL10" i="26"/>
  <c r="AM10" i="26"/>
  <c r="R11" i="11"/>
  <c r="AL11" i="26"/>
  <c r="AM11" i="26"/>
  <c r="R12" i="11"/>
  <c r="AL12" i="26"/>
  <c r="AM12" i="26"/>
  <c r="R13" i="11"/>
  <c r="AM13" i="26"/>
  <c r="R14" i="11"/>
  <c r="AL14" i="26"/>
  <c r="R15" i="11"/>
  <c r="AL15" i="26"/>
  <c r="AM15" i="26"/>
  <c r="R16" i="11"/>
  <c r="AL16" i="26"/>
  <c r="AM16" i="26"/>
  <c r="R17" i="11"/>
  <c r="AL17" i="26"/>
  <c r="AM17" i="26"/>
  <c r="R18" i="11"/>
  <c r="AL18" i="26"/>
  <c r="AM18" i="26"/>
  <c r="R19" i="11"/>
  <c r="AL19" i="26"/>
  <c r="AM19" i="26"/>
  <c r="R20" i="11"/>
  <c r="AL20" i="26"/>
  <c r="AM20" i="26"/>
  <c r="R21" i="11"/>
  <c r="AL21" i="26"/>
  <c r="AM21" i="26"/>
  <c r="R22" i="11"/>
  <c r="AL22" i="26"/>
  <c r="AM22" i="26"/>
  <c r="R23" i="11"/>
  <c r="AL23" i="26"/>
  <c r="AM23" i="26"/>
  <c r="R24" i="11"/>
  <c r="AL24" i="26"/>
  <c r="AM24" i="26"/>
  <c r="R25" i="11"/>
  <c r="R26" i="11"/>
  <c r="AL26" i="26"/>
  <c r="AM26" i="26"/>
  <c r="R27" i="11"/>
  <c r="AL27" i="26"/>
  <c r="AM27" i="26"/>
  <c r="R28" i="11"/>
  <c r="AL28" i="26"/>
  <c r="AM28" i="26"/>
  <c r="R29" i="11"/>
  <c r="AL29" i="26"/>
  <c r="AM29" i="26"/>
  <c r="R30" i="11"/>
  <c r="AL30" i="26"/>
  <c r="AM30" i="26"/>
  <c r="R31" i="11"/>
  <c r="AL31" i="26"/>
  <c r="AM31" i="26"/>
  <c r="R32" i="11"/>
  <c r="AL32" i="26"/>
  <c r="AM32" i="26"/>
  <c r="R33" i="11"/>
  <c r="AL33" i="26"/>
  <c r="AM33" i="26"/>
  <c r="R34" i="11"/>
  <c r="AL34" i="26"/>
  <c r="AM34" i="26"/>
  <c r="R35" i="11"/>
  <c r="AL35" i="26"/>
  <c r="AM35" i="26"/>
  <c r="R36" i="11"/>
  <c r="R37" i="11"/>
  <c r="AL37" i="26"/>
  <c r="AM37" i="26"/>
  <c r="R38" i="11"/>
  <c r="AL38" i="26"/>
  <c r="AM38" i="26"/>
  <c r="R39" i="11"/>
  <c r="AL39" i="26"/>
  <c r="AM39" i="26"/>
  <c r="R40" i="11"/>
  <c r="AL40" i="26"/>
  <c r="AM40" i="26"/>
  <c r="R41" i="11"/>
  <c r="AL41" i="26"/>
  <c r="AM41" i="26"/>
  <c r="R42" i="11"/>
  <c r="AL42" i="26"/>
  <c r="AM42" i="26"/>
  <c r="R43" i="11"/>
  <c r="AL43" i="26"/>
  <c r="AM43" i="26"/>
  <c r="R44" i="11"/>
  <c r="AL44" i="26"/>
  <c r="AM44" i="26"/>
  <c r="R45" i="11"/>
  <c r="AL45" i="26"/>
  <c r="AM45" i="26"/>
  <c r="R46" i="11"/>
  <c r="AL46" i="26"/>
  <c r="AM46" i="26"/>
  <c r="R47" i="11"/>
  <c r="R48" i="11"/>
  <c r="AL48" i="26"/>
  <c r="AM48" i="26"/>
  <c r="R49" i="11"/>
  <c r="AL49" i="26"/>
  <c r="AM49" i="26"/>
  <c r="R50" i="11"/>
  <c r="AL50" i="26"/>
  <c r="AM50" i="26"/>
  <c r="R51" i="11"/>
  <c r="AL51" i="26"/>
  <c r="AM51" i="26"/>
  <c r="R52" i="11"/>
  <c r="AL52" i="26"/>
  <c r="AM52" i="26"/>
  <c r="R53" i="11"/>
  <c r="AL53" i="26"/>
  <c r="AM53" i="26"/>
  <c r="R54" i="11"/>
  <c r="AL54" i="26"/>
  <c r="AM54" i="26"/>
  <c r="R55" i="11"/>
  <c r="AL55" i="26"/>
  <c r="AM55" i="26"/>
  <c r="R56" i="11"/>
  <c r="AL56" i="26"/>
  <c r="AM56" i="26"/>
  <c r="R57" i="11"/>
  <c r="AL57" i="26"/>
  <c r="AM57" i="26"/>
  <c r="R58" i="11"/>
  <c r="AL58" i="26"/>
  <c r="AM58" i="26"/>
  <c r="R59" i="11"/>
  <c r="R60" i="11"/>
  <c r="AL60" i="26"/>
  <c r="AM60" i="26"/>
  <c r="R61" i="11"/>
  <c r="AL61" i="26"/>
  <c r="AM61" i="26"/>
  <c r="R62" i="11"/>
  <c r="AL62" i="26"/>
  <c r="AM62" i="26"/>
  <c r="R63" i="11"/>
  <c r="AL63" i="26"/>
  <c r="AM63" i="26"/>
  <c r="R64" i="11"/>
  <c r="AL64" i="26"/>
  <c r="AM64" i="26"/>
  <c r="R65" i="11"/>
  <c r="AL65" i="26"/>
  <c r="AM65" i="26"/>
  <c r="R66" i="11"/>
  <c r="AL66" i="26"/>
  <c r="AM66" i="26"/>
  <c r="R67" i="11"/>
  <c r="AL67" i="26"/>
  <c r="AM67" i="26"/>
  <c r="R68" i="11"/>
  <c r="AL68" i="26"/>
  <c r="AM68" i="26"/>
  <c r="R69" i="11"/>
  <c r="AD3" i="26"/>
  <c r="AJ3" i="26"/>
  <c r="AE3" i="26"/>
  <c r="AK3" i="26"/>
  <c r="Q4" i="11"/>
  <c r="AD4" i="26"/>
  <c r="AJ4" i="26"/>
  <c r="AE4" i="26"/>
  <c r="AK4" i="26"/>
  <c r="Q5" i="11"/>
  <c r="AD5" i="26"/>
  <c r="AJ5" i="26"/>
  <c r="AE5" i="26"/>
  <c r="AK5" i="26"/>
  <c r="Q6" i="11"/>
  <c r="AD6" i="26"/>
  <c r="AJ6" i="26"/>
  <c r="AE6" i="26"/>
  <c r="AK6" i="26"/>
  <c r="Q7" i="11"/>
  <c r="AD7" i="26"/>
  <c r="AJ7" i="26"/>
  <c r="AE7" i="26"/>
  <c r="AK7" i="26"/>
  <c r="Q8" i="11"/>
  <c r="AD8" i="26"/>
  <c r="AJ8" i="26"/>
  <c r="AE8" i="26"/>
  <c r="AK8" i="26"/>
  <c r="Q9" i="11"/>
  <c r="AD9" i="26"/>
  <c r="AJ9" i="26"/>
  <c r="AE9" i="26"/>
  <c r="AK9" i="26"/>
  <c r="Q10" i="11"/>
  <c r="AD10" i="26"/>
  <c r="AJ10" i="26"/>
  <c r="AE10" i="26"/>
  <c r="AK10" i="26"/>
  <c r="Q11" i="11"/>
  <c r="AD11" i="26"/>
  <c r="AJ11" i="26"/>
  <c r="AE11" i="26"/>
  <c r="AK11" i="26"/>
  <c r="Q12" i="11"/>
  <c r="AD12" i="26"/>
  <c r="AJ12" i="26"/>
  <c r="AE12" i="26"/>
  <c r="AK12" i="26"/>
  <c r="Q13" i="11"/>
  <c r="AD13" i="26"/>
  <c r="AJ13" i="26"/>
  <c r="AE13" i="26"/>
  <c r="AK13" i="26"/>
  <c r="Q14" i="11"/>
  <c r="AJ14" i="26"/>
  <c r="AK14" i="26"/>
  <c r="Q15" i="11"/>
  <c r="AD15" i="26"/>
  <c r="AJ15" i="26"/>
  <c r="AE15" i="26"/>
  <c r="AK15" i="26"/>
  <c r="Q16" i="11"/>
  <c r="AD16" i="26"/>
  <c r="AJ16" i="26"/>
  <c r="AE16" i="26"/>
  <c r="AK16" i="26"/>
  <c r="Q17" i="11"/>
  <c r="AD17" i="26"/>
  <c r="AJ17" i="26"/>
  <c r="AE17" i="26"/>
  <c r="AK17" i="26"/>
  <c r="Q18" i="11"/>
  <c r="AD18" i="26"/>
  <c r="AJ18" i="26"/>
  <c r="AE18" i="26"/>
  <c r="AK18" i="26"/>
  <c r="Q19" i="11"/>
  <c r="AD19" i="26"/>
  <c r="AJ19" i="26"/>
  <c r="AE19" i="26"/>
  <c r="AK19" i="26"/>
  <c r="Q20" i="11"/>
  <c r="AD20" i="26"/>
  <c r="AJ20" i="26"/>
  <c r="AE20" i="26"/>
  <c r="AK20" i="26"/>
  <c r="Q21" i="11"/>
  <c r="AD21" i="26"/>
  <c r="AJ21" i="26"/>
  <c r="AE21" i="26"/>
  <c r="AK21" i="26"/>
  <c r="Q22" i="11"/>
  <c r="AD22" i="26"/>
  <c r="AJ22" i="26"/>
  <c r="AE22" i="26"/>
  <c r="AK22" i="26"/>
  <c r="Q23" i="11"/>
  <c r="AD23" i="26"/>
  <c r="AJ23" i="26"/>
  <c r="AE23" i="26"/>
  <c r="AK23" i="26"/>
  <c r="Q24" i="11"/>
  <c r="AD24" i="26"/>
  <c r="AJ24" i="26"/>
  <c r="AE24" i="26"/>
  <c r="AK24" i="26"/>
  <c r="Q25" i="11"/>
  <c r="AJ25" i="26"/>
  <c r="AK25" i="26"/>
  <c r="Q26" i="11"/>
  <c r="AD26" i="26"/>
  <c r="AJ26" i="26"/>
  <c r="AE26" i="26"/>
  <c r="AK26" i="26"/>
  <c r="Q27" i="11"/>
  <c r="AD27" i="26"/>
  <c r="AJ27" i="26"/>
  <c r="AE27" i="26"/>
  <c r="AK27" i="26"/>
  <c r="Q28" i="11"/>
  <c r="AD28" i="26"/>
  <c r="AJ28" i="26"/>
  <c r="AE28" i="26"/>
  <c r="AK28" i="26"/>
  <c r="Q29" i="11"/>
  <c r="AD29" i="26"/>
  <c r="AJ29" i="26"/>
  <c r="AE29" i="26"/>
  <c r="AK29" i="26"/>
  <c r="Q30" i="11"/>
  <c r="AD30" i="26"/>
  <c r="AJ30" i="26"/>
  <c r="AE30" i="26"/>
  <c r="AK30" i="26"/>
  <c r="Q31" i="11"/>
  <c r="AD31" i="26"/>
  <c r="AJ31" i="26"/>
  <c r="AE31" i="26"/>
  <c r="AK31" i="26"/>
  <c r="Q32" i="11"/>
  <c r="AD32" i="26"/>
  <c r="AJ32" i="26"/>
  <c r="AE32" i="26"/>
  <c r="AK32" i="26"/>
  <c r="Q33" i="11"/>
  <c r="AD33" i="26"/>
  <c r="AJ33" i="26"/>
  <c r="AE33" i="26"/>
  <c r="AK33" i="26"/>
  <c r="Q34" i="11"/>
  <c r="AD34" i="26"/>
  <c r="AJ34" i="26"/>
  <c r="AE34" i="26"/>
  <c r="AK34" i="26"/>
  <c r="Q35" i="11"/>
  <c r="AD35" i="26"/>
  <c r="AJ35" i="26"/>
  <c r="AE35" i="26"/>
  <c r="AK35" i="26"/>
  <c r="Q36" i="11"/>
  <c r="AJ36" i="26"/>
  <c r="AK36" i="26"/>
  <c r="Q37" i="11"/>
  <c r="AD37" i="26"/>
  <c r="AJ37" i="26"/>
  <c r="AE37" i="26"/>
  <c r="AK37" i="26"/>
  <c r="Q38" i="11"/>
  <c r="AD38" i="26"/>
  <c r="AJ38" i="26"/>
  <c r="AE38" i="26"/>
  <c r="AK38" i="26"/>
  <c r="Q39" i="11"/>
  <c r="AD39" i="26"/>
  <c r="AJ39" i="26"/>
  <c r="AE39" i="26"/>
  <c r="AK39" i="26"/>
  <c r="Q40" i="11"/>
  <c r="AD40" i="26"/>
  <c r="AJ40" i="26"/>
  <c r="AE40" i="26"/>
  <c r="AK40" i="26"/>
  <c r="Q41" i="11"/>
  <c r="AD41" i="26"/>
  <c r="AJ41" i="26"/>
  <c r="AE41" i="26"/>
  <c r="AK41" i="26"/>
  <c r="Q42" i="11"/>
  <c r="AD42" i="26"/>
  <c r="AJ42" i="26"/>
  <c r="AE42" i="26"/>
  <c r="AK42" i="26"/>
  <c r="Q43" i="11"/>
  <c r="AD43" i="26"/>
  <c r="AJ43" i="26"/>
  <c r="AE43" i="26"/>
  <c r="AK43" i="26"/>
  <c r="Q44" i="11"/>
  <c r="AD44" i="26"/>
  <c r="AJ44" i="26"/>
  <c r="AE44" i="26"/>
  <c r="AK44" i="26"/>
  <c r="Q45" i="11"/>
  <c r="AD45" i="26"/>
  <c r="AJ45" i="26"/>
  <c r="AE45" i="26"/>
  <c r="AK45" i="26"/>
  <c r="Q46" i="11"/>
  <c r="AD46" i="26"/>
  <c r="AJ46" i="26"/>
  <c r="AE46" i="26"/>
  <c r="AK46" i="26"/>
  <c r="Q47" i="11"/>
  <c r="AJ47" i="26"/>
  <c r="AK47" i="26"/>
  <c r="Q48" i="11"/>
  <c r="AD48" i="26"/>
  <c r="AJ48" i="26"/>
  <c r="AE48" i="26"/>
  <c r="AK48" i="26"/>
  <c r="Q49" i="11"/>
  <c r="AD49" i="26"/>
  <c r="AJ49" i="26"/>
  <c r="AE49" i="26"/>
  <c r="AK49" i="26"/>
  <c r="Q50" i="11"/>
  <c r="AD50" i="26"/>
  <c r="AJ50" i="26"/>
  <c r="AE50" i="26"/>
  <c r="AK50" i="26"/>
  <c r="Q51" i="11"/>
  <c r="AD51" i="26"/>
  <c r="AJ51" i="26"/>
  <c r="AE51" i="26"/>
  <c r="AK51" i="26"/>
  <c r="Q52" i="11"/>
  <c r="AD52" i="26"/>
  <c r="AJ52" i="26"/>
  <c r="AE52" i="26"/>
  <c r="AK52" i="26"/>
  <c r="Q53" i="11"/>
  <c r="AD53" i="26"/>
  <c r="AJ53" i="26"/>
  <c r="AE53" i="26"/>
  <c r="AK53" i="26"/>
  <c r="Q54" i="11"/>
  <c r="AD54" i="26"/>
  <c r="AJ54" i="26"/>
  <c r="AE54" i="26"/>
  <c r="AK54" i="26"/>
  <c r="Q55" i="11"/>
  <c r="AD55" i="26"/>
  <c r="AJ55" i="26"/>
  <c r="AE55" i="26"/>
  <c r="AK55" i="26"/>
  <c r="Q56" i="11"/>
  <c r="AD56" i="26"/>
  <c r="AJ56" i="26"/>
  <c r="AE56" i="26"/>
  <c r="AK56" i="26"/>
  <c r="Q57" i="11"/>
  <c r="AD57" i="26"/>
  <c r="AJ57" i="26"/>
  <c r="AE57" i="26"/>
  <c r="AK57" i="26"/>
  <c r="Q58" i="11"/>
  <c r="AD58" i="26"/>
  <c r="AJ58" i="26"/>
  <c r="AE58" i="26"/>
  <c r="AK58" i="26"/>
  <c r="Q59" i="11"/>
  <c r="AJ59" i="26"/>
  <c r="AK59" i="26"/>
  <c r="Q60" i="11"/>
  <c r="AD60" i="26"/>
  <c r="AJ60" i="26"/>
  <c r="AE60" i="26"/>
  <c r="AK60" i="26"/>
  <c r="Q61" i="11"/>
  <c r="AD61" i="26"/>
  <c r="AJ61" i="26"/>
  <c r="AE61" i="26"/>
  <c r="AK61" i="26"/>
  <c r="Q62" i="11"/>
  <c r="AD62" i="26"/>
  <c r="AJ62" i="26"/>
  <c r="AE62" i="26"/>
  <c r="AK62" i="26"/>
  <c r="Q63" i="11"/>
  <c r="AD63" i="26"/>
  <c r="AJ63" i="26"/>
  <c r="AE63" i="26"/>
  <c r="AK63" i="26"/>
  <c r="Q64" i="11"/>
  <c r="AD64" i="26"/>
  <c r="AJ64" i="26"/>
  <c r="AE64" i="26"/>
  <c r="AK64" i="26"/>
  <c r="Q65" i="11"/>
  <c r="AD65" i="26"/>
  <c r="AJ65" i="26"/>
  <c r="AE65" i="26"/>
  <c r="AK65" i="26"/>
  <c r="Q66" i="11"/>
  <c r="AD66" i="26"/>
  <c r="AJ66" i="26"/>
  <c r="AE66" i="26"/>
  <c r="AK66" i="26"/>
  <c r="Q67" i="11"/>
  <c r="AD67" i="26"/>
  <c r="AJ67" i="26"/>
  <c r="AE67" i="26"/>
  <c r="AK67" i="26"/>
  <c r="Q68" i="11"/>
  <c r="AD68" i="26"/>
  <c r="AJ68" i="26"/>
  <c r="AE68" i="26"/>
  <c r="AK68" i="26"/>
  <c r="Q69" i="11"/>
  <c r="AH3" i="26"/>
  <c r="AI3" i="26"/>
  <c r="P4" i="11"/>
  <c r="AH4" i="26"/>
  <c r="AI4" i="26"/>
  <c r="P5" i="11"/>
  <c r="AH5" i="26"/>
  <c r="AI5" i="26"/>
  <c r="P6" i="11"/>
  <c r="AH6" i="26"/>
  <c r="AI6" i="26"/>
  <c r="P7" i="11"/>
  <c r="AH7" i="26"/>
  <c r="AI7" i="26"/>
  <c r="P8" i="11"/>
  <c r="AH8" i="26"/>
  <c r="AI8" i="26"/>
  <c r="P9" i="11"/>
  <c r="AH9" i="26"/>
  <c r="AI9" i="26"/>
  <c r="P10" i="11"/>
  <c r="AH10" i="26"/>
  <c r="AI10" i="26"/>
  <c r="P11" i="11"/>
  <c r="AH11" i="26"/>
  <c r="AI11" i="26"/>
  <c r="P12" i="11"/>
  <c r="AH12" i="26"/>
  <c r="AI12" i="26"/>
  <c r="P13" i="11"/>
  <c r="AH13" i="26"/>
  <c r="AI13" i="26"/>
  <c r="P14" i="11"/>
  <c r="AH14" i="26"/>
  <c r="AI14" i="26"/>
  <c r="P15" i="11"/>
  <c r="AH15" i="26"/>
  <c r="AI15" i="26"/>
  <c r="P16" i="11"/>
  <c r="AH16" i="26"/>
  <c r="AI16" i="26"/>
  <c r="P17" i="11"/>
  <c r="AH17" i="26"/>
  <c r="AI17" i="26"/>
  <c r="P18" i="11"/>
  <c r="AH18" i="26"/>
  <c r="AI18" i="26"/>
  <c r="P19" i="11"/>
  <c r="AH19" i="26"/>
  <c r="AI19" i="26"/>
  <c r="P20" i="11"/>
  <c r="AH20" i="26"/>
  <c r="AI20" i="26"/>
  <c r="P21" i="11"/>
  <c r="AH21" i="26"/>
  <c r="AI21" i="26"/>
  <c r="P22" i="11"/>
  <c r="AH22" i="26"/>
  <c r="AI22" i="26"/>
  <c r="P23" i="11"/>
  <c r="AH23" i="26"/>
  <c r="AI23" i="26"/>
  <c r="P24" i="11"/>
  <c r="AH24" i="26"/>
  <c r="AI24" i="26"/>
  <c r="P25" i="11"/>
  <c r="AH25" i="26"/>
  <c r="AI25" i="26"/>
  <c r="P26" i="11"/>
  <c r="AH26" i="26"/>
  <c r="AI26" i="26"/>
  <c r="P27" i="11"/>
  <c r="AH27" i="26"/>
  <c r="AI27" i="26"/>
  <c r="P28" i="11"/>
  <c r="AH28" i="26"/>
  <c r="AI28" i="26"/>
  <c r="P29" i="11"/>
  <c r="AH29" i="26"/>
  <c r="AI29" i="26"/>
  <c r="P30" i="11"/>
  <c r="AH30" i="26"/>
  <c r="AI30" i="26"/>
  <c r="P31" i="11"/>
  <c r="AH31" i="26"/>
  <c r="AI31" i="26"/>
  <c r="P32" i="11"/>
  <c r="AH32" i="26"/>
  <c r="AI32" i="26"/>
  <c r="P33" i="11"/>
  <c r="AH33" i="26"/>
  <c r="AI33" i="26"/>
  <c r="P34" i="11"/>
  <c r="AH34" i="26"/>
  <c r="AI34" i="26"/>
  <c r="P35" i="11"/>
  <c r="AH35" i="26"/>
  <c r="AI35" i="26"/>
  <c r="P36" i="11"/>
  <c r="AH36" i="26"/>
  <c r="AI36" i="26"/>
  <c r="P37" i="11"/>
  <c r="AH37" i="26"/>
  <c r="AI37" i="26"/>
  <c r="P38" i="11"/>
  <c r="AH38" i="26"/>
  <c r="AI38" i="26"/>
  <c r="P39" i="11"/>
  <c r="AH39" i="26"/>
  <c r="AI39" i="26"/>
  <c r="P40" i="11"/>
  <c r="AH40" i="26"/>
  <c r="AI40" i="26"/>
  <c r="P41" i="11"/>
  <c r="AH41" i="26"/>
  <c r="AI41" i="26"/>
  <c r="P42" i="11"/>
  <c r="AH42" i="26"/>
  <c r="AI42" i="26"/>
  <c r="P43" i="11"/>
  <c r="AH43" i="26"/>
  <c r="AI43" i="26"/>
  <c r="P44" i="11"/>
  <c r="AH44" i="26"/>
  <c r="AI44" i="26"/>
  <c r="P45" i="11"/>
  <c r="AH45" i="26"/>
  <c r="AI45" i="26"/>
  <c r="P46" i="11"/>
  <c r="AH46" i="26"/>
  <c r="AI46" i="26"/>
  <c r="P47" i="11"/>
  <c r="AH47" i="26"/>
  <c r="AI47" i="26"/>
  <c r="P48" i="11"/>
  <c r="AH48" i="26"/>
  <c r="AI48" i="26"/>
  <c r="P49" i="11"/>
  <c r="AH49" i="26"/>
  <c r="AI49" i="26"/>
  <c r="P50" i="11"/>
  <c r="AH50" i="26"/>
  <c r="AI50" i="26"/>
  <c r="P51" i="11"/>
  <c r="AH51" i="26"/>
  <c r="AI51" i="26"/>
  <c r="P52" i="11"/>
  <c r="AH52" i="26"/>
  <c r="AI52" i="26"/>
  <c r="P53" i="11"/>
  <c r="AH53" i="26"/>
  <c r="AI53" i="26"/>
  <c r="P54" i="11"/>
  <c r="AH54" i="26"/>
  <c r="AI54" i="26"/>
  <c r="P55" i="11"/>
  <c r="AH55" i="26"/>
  <c r="AI55" i="26"/>
  <c r="P56" i="11"/>
  <c r="AH56" i="26"/>
  <c r="AI56" i="26"/>
  <c r="P57" i="11"/>
  <c r="AH57" i="26"/>
  <c r="AI57" i="26"/>
  <c r="P58" i="11"/>
  <c r="AH58" i="26"/>
  <c r="AI58" i="26"/>
  <c r="P59" i="11"/>
  <c r="AH59" i="26"/>
  <c r="AI59" i="26"/>
  <c r="P60" i="11"/>
  <c r="AH60" i="26"/>
  <c r="AI60" i="26"/>
  <c r="P61" i="11"/>
  <c r="AH61" i="26"/>
  <c r="AI61" i="26"/>
  <c r="P62" i="11"/>
  <c r="AH62" i="26"/>
  <c r="AI62" i="26"/>
  <c r="P63" i="11"/>
  <c r="AH63" i="26"/>
  <c r="AI63" i="26"/>
  <c r="P64" i="11"/>
  <c r="AH64" i="26"/>
  <c r="AI64" i="26"/>
  <c r="P65" i="11"/>
  <c r="AH65" i="26"/>
  <c r="AI65" i="26"/>
  <c r="P66" i="11"/>
  <c r="AH66" i="26"/>
  <c r="AI66" i="26"/>
  <c r="P67" i="11"/>
  <c r="AH67" i="26"/>
  <c r="AI67" i="26"/>
  <c r="P68" i="11"/>
  <c r="AH68" i="26"/>
  <c r="AI68" i="26"/>
  <c r="P69" i="11"/>
  <c r="AF3" i="26"/>
  <c r="AG3" i="26"/>
  <c r="O4" i="11"/>
  <c r="AF4" i="26"/>
  <c r="AG4" i="26"/>
  <c r="O5" i="11"/>
  <c r="AF5" i="26"/>
  <c r="AG5" i="26"/>
  <c r="O6" i="11"/>
  <c r="AF6" i="26"/>
  <c r="AG6" i="26"/>
  <c r="O7" i="11"/>
  <c r="AF7" i="26"/>
  <c r="AG7" i="26"/>
  <c r="O8" i="11"/>
  <c r="AF8" i="26"/>
  <c r="AG8" i="26"/>
  <c r="O9" i="11"/>
  <c r="AF9" i="26"/>
  <c r="AG9" i="26"/>
  <c r="O10" i="11"/>
  <c r="AF10" i="26"/>
  <c r="AG10" i="26"/>
  <c r="O11" i="11"/>
  <c r="AF11" i="26"/>
  <c r="AG11" i="26"/>
  <c r="O12" i="11"/>
  <c r="AF12" i="26"/>
  <c r="AG12" i="26"/>
  <c r="O13" i="11"/>
  <c r="AF13" i="26"/>
  <c r="AG13" i="26"/>
  <c r="O14" i="11"/>
  <c r="AF14" i="26"/>
  <c r="AG14" i="26"/>
  <c r="O15" i="11"/>
  <c r="AF15" i="26"/>
  <c r="AG15" i="26"/>
  <c r="O16" i="11"/>
  <c r="AF16" i="26"/>
  <c r="AG16" i="26"/>
  <c r="O17" i="11"/>
  <c r="AF17" i="26"/>
  <c r="AG17" i="26"/>
  <c r="O18" i="11"/>
  <c r="AF18" i="26"/>
  <c r="AG18" i="26"/>
  <c r="O19" i="11"/>
  <c r="AF19" i="26"/>
  <c r="AG19" i="26"/>
  <c r="O20" i="11"/>
  <c r="AF20" i="26"/>
  <c r="AG20" i="26"/>
  <c r="O21" i="11"/>
  <c r="AF21" i="26"/>
  <c r="AG21" i="26"/>
  <c r="O22" i="11"/>
  <c r="AF22" i="26"/>
  <c r="AG22" i="26"/>
  <c r="O23" i="11"/>
  <c r="AF23" i="26"/>
  <c r="AG23" i="26"/>
  <c r="O24" i="11"/>
  <c r="AF24" i="26"/>
  <c r="AG24" i="26"/>
  <c r="O25" i="11"/>
  <c r="AF25" i="26"/>
  <c r="AG25" i="26"/>
  <c r="O26" i="11"/>
  <c r="AF26" i="26"/>
  <c r="AG26" i="26"/>
  <c r="O27" i="11"/>
  <c r="AF27" i="26"/>
  <c r="AG27" i="26"/>
  <c r="O28" i="11"/>
  <c r="AF28" i="26"/>
  <c r="AG28" i="26"/>
  <c r="O29" i="11"/>
  <c r="AF29" i="26"/>
  <c r="AG29" i="26"/>
  <c r="O30" i="11"/>
  <c r="AF30" i="26"/>
  <c r="AG30" i="26"/>
  <c r="O31" i="11"/>
  <c r="AF31" i="26"/>
  <c r="AG31" i="26"/>
  <c r="O32" i="11"/>
  <c r="AF32" i="26"/>
  <c r="AG32" i="26"/>
  <c r="O33" i="11"/>
  <c r="AF33" i="26"/>
  <c r="AG33" i="26"/>
  <c r="O34" i="11"/>
  <c r="AF34" i="26"/>
  <c r="AG34" i="26"/>
  <c r="O35" i="11"/>
  <c r="AF35" i="26"/>
  <c r="AG35" i="26"/>
  <c r="O36" i="11"/>
  <c r="AF36" i="26"/>
  <c r="AG36" i="26"/>
  <c r="O37" i="11"/>
  <c r="AF37" i="26"/>
  <c r="AG37" i="26"/>
  <c r="O38" i="11"/>
  <c r="AF38" i="26"/>
  <c r="AG38" i="26"/>
  <c r="O39" i="11"/>
  <c r="AF39" i="26"/>
  <c r="AG39" i="26"/>
  <c r="O40" i="11"/>
  <c r="AF40" i="26"/>
  <c r="AG40" i="26"/>
  <c r="O41" i="11"/>
  <c r="AF41" i="26"/>
  <c r="AG41" i="26"/>
  <c r="O42" i="11"/>
  <c r="AF42" i="26"/>
  <c r="AG42" i="26"/>
  <c r="O43" i="11"/>
  <c r="AF43" i="26"/>
  <c r="AG43" i="26"/>
  <c r="O44" i="11"/>
  <c r="AF44" i="26"/>
  <c r="AG44" i="26"/>
  <c r="O45" i="11"/>
  <c r="AF45" i="26"/>
  <c r="AG45" i="26"/>
  <c r="O46" i="11"/>
  <c r="AF46" i="26"/>
  <c r="AG46" i="26"/>
  <c r="O47" i="11"/>
  <c r="AF47" i="26"/>
  <c r="AG47" i="26"/>
  <c r="O48" i="11"/>
  <c r="AF48" i="26"/>
  <c r="AG48" i="26"/>
  <c r="O49" i="11"/>
  <c r="AF49" i="26"/>
  <c r="AG49" i="26"/>
  <c r="O50" i="11"/>
  <c r="AF50" i="26"/>
  <c r="AG50" i="26"/>
  <c r="O51" i="11"/>
  <c r="AF51" i="26"/>
  <c r="AG51" i="26"/>
  <c r="O52" i="11"/>
  <c r="AF52" i="26"/>
  <c r="AG52" i="26"/>
  <c r="O53" i="11"/>
  <c r="AF53" i="26"/>
  <c r="AG53" i="26"/>
  <c r="O54" i="11"/>
  <c r="AF54" i="26"/>
  <c r="AG54" i="26"/>
  <c r="O55" i="11"/>
  <c r="AF55" i="26"/>
  <c r="AG55" i="26"/>
  <c r="O56" i="11"/>
  <c r="AF56" i="26"/>
  <c r="AG56" i="26"/>
  <c r="O57" i="11"/>
  <c r="AF57" i="26"/>
  <c r="AG57" i="26"/>
  <c r="O58" i="11"/>
  <c r="AF58" i="26"/>
  <c r="AG58" i="26"/>
  <c r="O59" i="11"/>
  <c r="AF59" i="26"/>
  <c r="AG59" i="26"/>
  <c r="O60" i="11"/>
  <c r="AF60" i="26"/>
  <c r="AG60" i="26"/>
  <c r="O61" i="11"/>
  <c r="AF61" i="26"/>
  <c r="AG61" i="26"/>
  <c r="O62" i="11"/>
  <c r="AF62" i="26"/>
  <c r="AG62" i="26"/>
  <c r="O63" i="11"/>
  <c r="AF63" i="26"/>
  <c r="AG63" i="26"/>
  <c r="O64" i="11"/>
  <c r="AF64" i="26"/>
  <c r="AG64" i="26"/>
  <c r="O65" i="11"/>
  <c r="AF65" i="26"/>
  <c r="AG65" i="26"/>
  <c r="O66" i="11"/>
  <c r="AF66" i="26"/>
  <c r="AG66" i="26"/>
  <c r="O67" i="11"/>
  <c r="AF67" i="26"/>
  <c r="AG67" i="26"/>
  <c r="O68" i="11"/>
  <c r="AF68" i="26"/>
  <c r="AG68" i="26"/>
  <c r="O69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AP2" i="26"/>
  <c r="AQ2" i="26"/>
  <c r="U3" i="11"/>
  <c r="T3" i="11"/>
  <c r="S3" i="11"/>
  <c r="R3" i="11"/>
  <c r="AJ2" i="26"/>
  <c r="AK2" i="26"/>
  <c r="Q3" i="11"/>
  <c r="AH2" i="26"/>
  <c r="AI2" i="26"/>
  <c r="P3" i="11"/>
  <c r="AF2" i="26"/>
  <c r="AG2" i="26"/>
  <c r="O3" i="11"/>
  <c r="N3" i="11"/>
  <c r="AW130" i="25"/>
  <c r="AW131" i="25"/>
  <c r="AW132" i="25"/>
  <c r="AW133" i="25"/>
  <c r="AW134" i="25"/>
  <c r="AW135" i="25"/>
  <c r="AW136" i="25"/>
  <c r="AW137" i="25"/>
  <c r="AW138" i="25"/>
  <c r="AW139" i="25"/>
  <c r="AW140" i="25"/>
  <c r="AW141" i="25"/>
  <c r="AW142" i="25"/>
  <c r="AW143" i="25"/>
  <c r="AW144" i="25"/>
  <c r="AW145" i="25"/>
  <c r="AW146" i="25"/>
  <c r="AW147" i="25"/>
  <c r="AW148" i="25"/>
  <c r="AW149" i="25"/>
  <c r="AW150" i="25"/>
  <c r="AW151" i="25"/>
  <c r="AW152" i="25"/>
  <c r="AW153" i="25"/>
  <c r="AW154" i="25"/>
  <c r="AW155" i="25"/>
  <c r="AW156" i="25"/>
  <c r="AW157" i="25"/>
  <c r="AW158" i="25"/>
  <c r="AW159" i="25"/>
  <c r="AW160" i="25"/>
  <c r="AV131" i="25"/>
  <c r="AV132" i="25"/>
  <c r="AV133" i="25"/>
  <c r="AV134" i="25"/>
  <c r="AV135" i="25"/>
  <c r="AV136" i="25"/>
  <c r="AV137" i="25"/>
  <c r="AV138" i="25"/>
  <c r="AV139" i="25"/>
  <c r="AV140" i="25"/>
  <c r="AV141" i="25"/>
  <c r="AV142" i="25"/>
  <c r="AV143" i="25"/>
  <c r="AV144" i="25"/>
  <c r="AV145" i="25"/>
  <c r="AV146" i="25"/>
  <c r="AV147" i="25"/>
  <c r="AV148" i="25"/>
  <c r="AV149" i="25"/>
  <c r="AV150" i="25"/>
  <c r="AV151" i="25"/>
  <c r="AV152" i="25"/>
  <c r="AV153" i="25"/>
  <c r="AV154" i="25"/>
  <c r="AV155" i="25"/>
  <c r="AV156" i="25"/>
  <c r="AV157" i="25"/>
  <c r="AV158" i="25"/>
  <c r="AV159" i="25"/>
  <c r="AV160" i="25"/>
  <c r="AU2" i="25"/>
  <c r="AU3" i="25"/>
  <c r="AU4" i="25"/>
  <c r="AU5" i="25"/>
  <c r="AU6" i="25"/>
  <c r="AU7" i="25"/>
  <c r="AU8" i="25"/>
  <c r="AU9" i="25"/>
  <c r="AU10" i="25"/>
  <c r="AU11" i="25"/>
  <c r="AU12" i="25"/>
  <c r="AU13" i="25"/>
  <c r="AU14" i="25"/>
  <c r="AU15" i="25"/>
  <c r="AU16" i="25"/>
  <c r="AU17" i="25"/>
  <c r="AU18" i="25"/>
  <c r="AU19" i="25"/>
  <c r="AU20" i="25"/>
  <c r="AU21" i="25"/>
  <c r="AU22" i="25"/>
  <c r="AU23" i="25"/>
  <c r="AU24" i="25"/>
  <c r="AU25" i="25"/>
  <c r="AU26" i="25"/>
  <c r="AU27" i="25"/>
  <c r="AU28" i="25"/>
  <c r="AU29" i="25"/>
  <c r="AU30" i="25"/>
  <c r="AU31" i="25"/>
  <c r="AU32" i="25"/>
  <c r="AU33" i="25"/>
  <c r="AU34" i="25"/>
  <c r="AU35" i="25"/>
  <c r="AU36" i="25"/>
  <c r="AU37" i="25"/>
  <c r="AU38" i="25"/>
  <c r="AU39" i="25"/>
  <c r="AU40" i="25"/>
  <c r="AU41" i="25"/>
  <c r="AU42" i="25"/>
  <c r="AU43" i="25"/>
  <c r="AU44" i="25"/>
  <c r="AU45" i="25"/>
  <c r="AU46" i="25"/>
  <c r="AU47" i="25"/>
  <c r="AU48" i="25"/>
  <c r="AU49" i="25"/>
  <c r="AU50" i="25"/>
  <c r="AU51" i="25"/>
  <c r="AU52" i="25"/>
  <c r="AU53" i="25"/>
  <c r="AU54" i="25"/>
  <c r="AU55" i="25"/>
  <c r="AU56" i="25"/>
  <c r="AU57" i="25"/>
  <c r="AU58" i="25"/>
  <c r="AU59" i="25"/>
  <c r="AU60" i="25"/>
  <c r="AU61" i="25"/>
  <c r="AU62" i="25"/>
  <c r="AU63" i="25"/>
  <c r="AU64" i="25"/>
  <c r="AU65" i="25"/>
  <c r="AU66" i="25"/>
  <c r="AU67" i="25"/>
  <c r="AU68" i="25"/>
  <c r="AU69" i="25"/>
  <c r="AU70" i="25"/>
  <c r="AU71" i="25"/>
  <c r="AU72" i="25"/>
  <c r="AU73" i="25"/>
  <c r="AU74" i="25"/>
  <c r="AU75" i="25"/>
  <c r="AU76" i="25"/>
  <c r="AU77" i="25"/>
  <c r="AU78" i="25"/>
  <c r="AU79" i="25"/>
  <c r="AU80" i="25"/>
  <c r="AU81" i="25"/>
  <c r="AU82" i="25"/>
  <c r="AU83" i="25"/>
  <c r="AU84" i="25"/>
  <c r="AU85" i="25"/>
  <c r="AU86" i="25"/>
  <c r="AU87" i="25"/>
  <c r="AU88" i="25"/>
  <c r="AU89" i="25"/>
  <c r="AU90" i="25"/>
  <c r="AU91" i="25"/>
  <c r="AU92" i="25"/>
  <c r="AU93" i="25"/>
  <c r="AU94" i="25"/>
  <c r="AU95" i="25"/>
  <c r="AU96" i="25"/>
  <c r="AU97" i="25"/>
  <c r="AU98" i="25"/>
  <c r="AU99" i="25"/>
  <c r="AU100" i="25"/>
  <c r="AU101" i="25"/>
  <c r="AU102" i="25"/>
  <c r="AU103" i="25"/>
  <c r="AU104" i="25"/>
  <c r="AU105" i="25"/>
  <c r="AU106" i="25"/>
  <c r="AU107" i="25"/>
  <c r="AU108" i="25"/>
  <c r="AU109" i="25"/>
  <c r="AU110" i="25"/>
  <c r="AU111" i="25"/>
  <c r="AU112" i="25"/>
  <c r="AU113" i="25"/>
  <c r="AU114" i="25"/>
  <c r="AU115" i="25"/>
  <c r="AU116" i="25"/>
  <c r="AU117" i="25"/>
  <c r="AU118" i="25"/>
  <c r="AU119" i="25"/>
  <c r="AU120" i="25"/>
  <c r="AU121" i="25"/>
  <c r="AU122" i="25"/>
  <c r="AU123" i="25"/>
  <c r="AU124" i="25"/>
  <c r="AU125" i="25"/>
  <c r="AU126" i="25"/>
  <c r="AU127" i="25"/>
  <c r="AU128" i="25"/>
  <c r="AU129" i="25"/>
  <c r="AU130" i="25"/>
  <c r="AU131" i="25"/>
  <c r="AU132" i="25"/>
  <c r="AU133" i="25"/>
  <c r="AU134" i="25"/>
  <c r="AU135" i="25"/>
  <c r="AU136" i="25"/>
  <c r="AU137" i="25"/>
  <c r="AU138" i="25"/>
  <c r="AU139" i="25"/>
  <c r="AU140" i="25"/>
  <c r="AU141" i="25"/>
  <c r="AU142" i="25"/>
  <c r="AU143" i="25"/>
  <c r="AU144" i="25"/>
  <c r="AU145" i="25"/>
  <c r="AU146" i="25"/>
  <c r="AU147" i="25"/>
  <c r="AU148" i="25"/>
  <c r="AU149" i="25"/>
  <c r="AU150" i="25"/>
  <c r="AU151" i="25"/>
  <c r="AU152" i="25"/>
  <c r="AU153" i="25"/>
  <c r="AU154" i="25"/>
  <c r="AU155" i="25"/>
  <c r="AU156" i="25"/>
  <c r="AU157" i="25"/>
  <c r="AU158" i="25"/>
  <c r="AU159" i="25"/>
  <c r="AU160" i="25"/>
  <c r="AT131" i="25"/>
  <c r="AT132" i="25"/>
  <c r="AT133" i="25"/>
  <c r="AT134" i="25"/>
  <c r="AT135" i="25"/>
  <c r="AT136" i="25"/>
  <c r="AT137" i="25"/>
  <c r="AT138" i="25"/>
  <c r="AT139" i="25"/>
  <c r="AT140" i="25"/>
  <c r="AT141" i="25"/>
  <c r="AT142" i="25"/>
  <c r="AT143" i="25"/>
  <c r="AT144" i="25"/>
  <c r="AT145" i="25"/>
  <c r="AT146" i="25"/>
  <c r="AT147" i="25"/>
  <c r="AT148" i="25"/>
  <c r="AT149" i="25"/>
  <c r="AT150" i="25"/>
  <c r="AT151" i="25"/>
  <c r="AT152" i="25"/>
  <c r="AT153" i="25"/>
  <c r="AT154" i="25"/>
  <c r="AT155" i="25"/>
  <c r="AT156" i="25"/>
  <c r="AT157" i="25"/>
  <c r="AT158" i="25"/>
  <c r="AT159" i="25"/>
  <c r="AT160" i="25"/>
  <c r="AQ136" i="25"/>
  <c r="AQ137" i="25"/>
  <c r="AQ138" i="25"/>
  <c r="AQ139" i="25"/>
  <c r="AQ140" i="25"/>
  <c r="AQ141" i="25"/>
  <c r="AQ142" i="25"/>
  <c r="AQ143" i="25"/>
  <c r="AQ144" i="25"/>
  <c r="AQ145" i="25"/>
  <c r="AQ146" i="25"/>
  <c r="AQ147" i="25"/>
  <c r="AQ148" i="25"/>
  <c r="AQ149" i="25"/>
  <c r="AQ150" i="25"/>
  <c r="AQ151" i="25"/>
  <c r="AQ152" i="25"/>
  <c r="AQ153" i="25"/>
  <c r="AQ154" i="25"/>
  <c r="AQ155" i="25"/>
  <c r="AQ156" i="25"/>
  <c r="AQ157" i="25"/>
  <c r="AQ158" i="25"/>
  <c r="AQ159" i="25"/>
  <c r="AQ160" i="25"/>
  <c r="AS160" i="25"/>
  <c r="AR130" i="25"/>
  <c r="AR131" i="25"/>
  <c r="AR132" i="25"/>
  <c r="AR133" i="25"/>
  <c r="AR134" i="25"/>
  <c r="AR135" i="25"/>
  <c r="AR136" i="25"/>
  <c r="AR137" i="25"/>
  <c r="AR138" i="25"/>
  <c r="AR139" i="25"/>
  <c r="AR140" i="25"/>
  <c r="AR141" i="25"/>
  <c r="AR142" i="25"/>
  <c r="AR143" i="25"/>
  <c r="AR144" i="25"/>
  <c r="AR145" i="25"/>
  <c r="AR146" i="25"/>
  <c r="AR147" i="25"/>
  <c r="AR148" i="25"/>
  <c r="AR149" i="25"/>
  <c r="AR150" i="25"/>
  <c r="AR151" i="25"/>
  <c r="AR152" i="25"/>
  <c r="AR153" i="25"/>
  <c r="AR154" i="25"/>
  <c r="AR155" i="25"/>
  <c r="AR156" i="25"/>
  <c r="AR157" i="25"/>
  <c r="AR158" i="25"/>
  <c r="AR159" i="25"/>
  <c r="AR160" i="25"/>
  <c r="AP131" i="25"/>
  <c r="AP132" i="25"/>
  <c r="AP133" i="25"/>
  <c r="AP134" i="25"/>
  <c r="AP135" i="25"/>
  <c r="AP136" i="25"/>
  <c r="AP137" i="25"/>
  <c r="AP138" i="25"/>
  <c r="AP139" i="25"/>
  <c r="AP140" i="25"/>
  <c r="AP141" i="25"/>
  <c r="AP142" i="25"/>
  <c r="AP143" i="25"/>
  <c r="AP144" i="25"/>
  <c r="AP145" i="25"/>
  <c r="AP146" i="25"/>
  <c r="AP147" i="25"/>
  <c r="AP148" i="25"/>
  <c r="AP149" i="25"/>
  <c r="AP150" i="25"/>
  <c r="AP151" i="25"/>
  <c r="AP152" i="25"/>
  <c r="AP153" i="25"/>
  <c r="AP154" i="25"/>
  <c r="AP155" i="25"/>
  <c r="AP156" i="25"/>
  <c r="AP157" i="25"/>
  <c r="AP158" i="25"/>
  <c r="AP159" i="25"/>
  <c r="AP160" i="25"/>
  <c r="AO2" i="25"/>
  <c r="AO3" i="25"/>
  <c r="AO4" i="25"/>
  <c r="AO5" i="25"/>
  <c r="AO6" i="25"/>
  <c r="AO7" i="25"/>
  <c r="AO8" i="25"/>
  <c r="AO9" i="25"/>
  <c r="AO10" i="25"/>
  <c r="AO11" i="25"/>
  <c r="AO12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O32" i="25"/>
  <c r="AO33" i="25"/>
  <c r="AO34" i="25"/>
  <c r="AO35" i="25"/>
  <c r="AO36" i="25"/>
  <c r="AO37" i="25"/>
  <c r="AO38" i="25"/>
  <c r="AO39" i="25"/>
  <c r="AO40" i="25"/>
  <c r="AO41" i="25"/>
  <c r="AO42" i="25"/>
  <c r="AO43" i="25"/>
  <c r="AO44" i="25"/>
  <c r="AO45" i="25"/>
  <c r="AO46" i="25"/>
  <c r="AO47" i="25"/>
  <c r="AO48" i="25"/>
  <c r="AO49" i="25"/>
  <c r="AO50" i="25"/>
  <c r="AO51" i="25"/>
  <c r="AO52" i="25"/>
  <c r="AO53" i="25"/>
  <c r="AO54" i="25"/>
  <c r="AO55" i="25"/>
  <c r="AO56" i="25"/>
  <c r="AO57" i="25"/>
  <c r="AO58" i="25"/>
  <c r="AO59" i="25"/>
  <c r="AO60" i="25"/>
  <c r="AO61" i="25"/>
  <c r="AO62" i="25"/>
  <c r="AO63" i="25"/>
  <c r="AO64" i="25"/>
  <c r="AO65" i="25"/>
  <c r="AO66" i="25"/>
  <c r="AO67" i="25"/>
  <c r="AO68" i="25"/>
  <c r="AO69" i="25"/>
  <c r="AO70" i="25"/>
  <c r="AO71" i="25"/>
  <c r="AO72" i="25"/>
  <c r="AO73" i="25"/>
  <c r="AO74" i="25"/>
  <c r="AO75" i="25"/>
  <c r="AO76" i="25"/>
  <c r="AO77" i="25"/>
  <c r="AO78" i="25"/>
  <c r="AO79" i="25"/>
  <c r="AO80" i="25"/>
  <c r="AO81" i="25"/>
  <c r="AO82" i="25"/>
  <c r="AO83" i="25"/>
  <c r="AO84" i="25"/>
  <c r="AO85" i="25"/>
  <c r="AO86" i="25"/>
  <c r="AO87" i="25"/>
  <c r="AO88" i="25"/>
  <c r="AO89" i="25"/>
  <c r="AO90" i="25"/>
  <c r="AO91" i="25"/>
  <c r="AO92" i="25"/>
  <c r="AO93" i="25"/>
  <c r="AO94" i="25"/>
  <c r="AO95" i="25"/>
  <c r="AO96" i="25"/>
  <c r="AO97" i="25"/>
  <c r="AO98" i="25"/>
  <c r="AO99" i="25"/>
  <c r="AO100" i="25"/>
  <c r="AO101" i="25"/>
  <c r="AO102" i="25"/>
  <c r="AO103" i="25"/>
  <c r="AO104" i="25"/>
  <c r="AO105" i="25"/>
  <c r="AO106" i="25"/>
  <c r="AO107" i="25"/>
  <c r="AO108" i="25"/>
  <c r="AO109" i="25"/>
  <c r="AO110" i="25"/>
  <c r="AO111" i="25"/>
  <c r="AO112" i="25"/>
  <c r="AO113" i="25"/>
  <c r="AO114" i="25"/>
  <c r="AO115" i="25"/>
  <c r="AO116" i="25"/>
  <c r="AO117" i="25"/>
  <c r="AO118" i="25"/>
  <c r="AO119" i="25"/>
  <c r="AO120" i="25"/>
  <c r="AO121" i="25"/>
  <c r="AO122" i="25"/>
  <c r="AO123" i="25"/>
  <c r="AO124" i="25"/>
  <c r="AO125" i="25"/>
  <c r="AO126" i="25"/>
  <c r="AO127" i="25"/>
  <c r="AO128" i="25"/>
  <c r="AO129" i="25"/>
  <c r="AO130" i="25"/>
  <c r="AO131" i="25"/>
  <c r="AO132" i="25"/>
  <c r="AO133" i="25"/>
  <c r="AO134" i="25"/>
  <c r="AO135" i="25"/>
  <c r="AO136" i="25"/>
  <c r="AO137" i="25"/>
  <c r="AO138" i="25"/>
  <c r="AO139" i="25"/>
  <c r="AO140" i="25"/>
  <c r="AO141" i="25"/>
  <c r="AO142" i="25"/>
  <c r="AO143" i="25"/>
  <c r="AO144" i="25"/>
  <c r="AO145" i="25"/>
  <c r="AO146" i="25"/>
  <c r="AO147" i="25"/>
  <c r="AO148" i="25"/>
  <c r="AO149" i="25"/>
  <c r="AO150" i="25"/>
  <c r="AO151" i="25"/>
  <c r="AO152" i="25"/>
  <c r="AO153" i="25"/>
  <c r="AO154" i="25"/>
  <c r="AO155" i="25"/>
  <c r="AO156" i="25"/>
  <c r="AO157" i="25"/>
  <c r="AO158" i="25"/>
  <c r="AO159" i="25"/>
  <c r="AO160" i="25"/>
  <c r="AL157" i="25"/>
  <c r="AL158" i="25"/>
  <c r="AL159" i="25"/>
  <c r="AL160" i="25"/>
  <c r="AN160" i="25"/>
  <c r="AM131" i="25"/>
  <c r="AM132" i="25"/>
  <c r="AM133" i="25"/>
  <c r="AM134" i="25"/>
  <c r="AM135" i="25"/>
  <c r="AM136" i="25"/>
  <c r="AM137" i="25"/>
  <c r="AM138" i="25"/>
  <c r="AM139" i="25"/>
  <c r="AM140" i="25"/>
  <c r="AM141" i="25"/>
  <c r="AM142" i="25"/>
  <c r="AM143" i="25"/>
  <c r="AM144" i="25"/>
  <c r="AM145" i="25"/>
  <c r="AM146" i="25"/>
  <c r="AM147" i="25"/>
  <c r="AM148" i="25"/>
  <c r="AM149" i="25"/>
  <c r="AM150" i="25"/>
  <c r="AM151" i="25"/>
  <c r="AM152" i="25"/>
  <c r="AM153" i="25"/>
  <c r="AM154" i="25"/>
  <c r="AM155" i="25"/>
  <c r="AM156" i="25"/>
  <c r="AM157" i="25"/>
  <c r="AM158" i="25"/>
  <c r="AM159" i="25"/>
  <c r="AM160" i="25"/>
  <c r="AK2" i="25"/>
  <c r="AK3" i="25"/>
  <c r="AK4" i="25"/>
  <c r="AK5" i="25"/>
  <c r="AK6" i="25"/>
  <c r="AK7" i="25"/>
  <c r="AK8" i="25"/>
  <c r="AK9" i="25"/>
  <c r="AK10" i="25"/>
  <c r="AK11" i="25"/>
  <c r="AK12" i="25"/>
  <c r="AK13" i="25"/>
  <c r="AK14" i="25"/>
  <c r="AK15" i="25"/>
  <c r="AK16" i="25"/>
  <c r="AK17" i="25"/>
  <c r="AK18" i="25"/>
  <c r="AK19" i="25"/>
  <c r="AK20" i="25"/>
  <c r="AK21" i="25"/>
  <c r="AK22" i="25"/>
  <c r="AK23" i="25"/>
  <c r="AK24" i="25"/>
  <c r="AK25" i="25"/>
  <c r="AK26" i="25"/>
  <c r="AK27" i="25"/>
  <c r="AK28" i="25"/>
  <c r="AK29" i="25"/>
  <c r="AK30" i="25"/>
  <c r="AK31" i="25"/>
  <c r="AK32" i="25"/>
  <c r="AK33" i="25"/>
  <c r="AK34" i="25"/>
  <c r="AK35" i="25"/>
  <c r="AK36" i="25"/>
  <c r="AK37" i="25"/>
  <c r="AK38" i="25"/>
  <c r="AK39" i="25"/>
  <c r="AK40" i="25"/>
  <c r="AK41" i="25"/>
  <c r="AK42" i="25"/>
  <c r="AK43" i="25"/>
  <c r="AK44" i="25"/>
  <c r="AK45" i="25"/>
  <c r="AK46" i="25"/>
  <c r="AK47" i="25"/>
  <c r="AK48" i="25"/>
  <c r="AK49" i="25"/>
  <c r="AK50" i="25"/>
  <c r="AK51" i="25"/>
  <c r="AK52" i="25"/>
  <c r="AK53" i="25"/>
  <c r="AK54" i="25"/>
  <c r="AK55" i="25"/>
  <c r="AK56" i="25"/>
  <c r="AK57" i="25"/>
  <c r="AK58" i="25"/>
  <c r="AK59" i="25"/>
  <c r="AK60" i="25"/>
  <c r="AK61" i="25"/>
  <c r="AK62" i="25"/>
  <c r="AK63" i="25"/>
  <c r="AK64" i="25"/>
  <c r="AK65" i="25"/>
  <c r="AK66" i="25"/>
  <c r="AK67" i="25"/>
  <c r="AK68" i="25"/>
  <c r="AK69" i="25"/>
  <c r="AK70" i="25"/>
  <c r="AK71" i="25"/>
  <c r="AK72" i="25"/>
  <c r="AK73" i="25"/>
  <c r="AK74" i="25"/>
  <c r="AK75" i="25"/>
  <c r="AK76" i="25"/>
  <c r="AK77" i="25"/>
  <c r="AK78" i="25"/>
  <c r="AK79" i="25"/>
  <c r="AK80" i="25"/>
  <c r="AK81" i="25"/>
  <c r="AK82" i="25"/>
  <c r="AK83" i="25"/>
  <c r="AK84" i="25"/>
  <c r="AK85" i="25"/>
  <c r="AK86" i="25"/>
  <c r="AK87" i="25"/>
  <c r="AK88" i="25"/>
  <c r="AK89" i="25"/>
  <c r="AK90" i="25"/>
  <c r="AK91" i="25"/>
  <c r="AK92" i="25"/>
  <c r="AK93" i="25"/>
  <c r="AK94" i="25"/>
  <c r="AK95" i="25"/>
  <c r="AK96" i="25"/>
  <c r="AK97" i="25"/>
  <c r="AK98" i="25"/>
  <c r="AK99" i="25"/>
  <c r="AK100" i="25"/>
  <c r="AK101" i="25"/>
  <c r="AK102" i="25"/>
  <c r="AK103" i="25"/>
  <c r="AK104" i="25"/>
  <c r="AK105" i="25"/>
  <c r="AK106" i="25"/>
  <c r="AK107" i="25"/>
  <c r="AK108" i="25"/>
  <c r="AK109" i="25"/>
  <c r="AK110" i="25"/>
  <c r="AK111" i="25"/>
  <c r="AK112" i="25"/>
  <c r="AK113" i="25"/>
  <c r="AK114" i="25"/>
  <c r="AK115" i="25"/>
  <c r="AK116" i="25"/>
  <c r="AK117" i="25"/>
  <c r="AK118" i="25"/>
  <c r="AK119" i="25"/>
  <c r="AK120" i="25"/>
  <c r="AK121" i="25"/>
  <c r="AK122" i="25"/>
  <c r="AK123" i="25"/>
  <c r="AK124" i="25"/>
  <c r="AK125" i="25"/>
  <c r="AK126" i="25"/>
  <c r="AK127" i="25"/>
  <c r="AK128" i="25"/>
  <c r="AK129" i="25"/>
  <c r="AK130" i="25"/>
  <c r="AK131" i="25"/>
  <c r="AK132" i="25"/>
  <c r="AK133" i="25"/>
  <c r="AK134" i="25"/>
  <c r="AK135" i="25"/>
  <c r="AK136" i="25"/>
  <c r="AK137" i="25"/>
  <c r="AK138" i="25"/>
  <c r="AK139" i="25"/>
  <c r="AK140" i="25"/>
  <c r="AK141" i="25"/>
  <c r="AK142" i="25"/>
  <c r="AK143" i="25"/>
  <c r="AK144" i="25"/>
  <c r="AK145" i="25"/>
  <c r="AK146" i="25"/>
  <c r="AK147" i="25"/>
  <c r="AK148" i="25"/>
  <c r="AK149" i="25"/>
  <c r="AK150" i="25"/>
  <c r="AK151" i="25"/>
  <c r="AK152" i="25"/>
  <c r="AK153" i="25"/>
  <c r="AK154" i="25"/>
  <c r="AK155" i="25"/>
  <c r="AK156" i="25"/>
  <c r="AK157" i="25"/>
  <c r="AK158" i="25"/>
  <c r="AK159" i="25"/>
  <c r="AK160" i="25"/>
  <c r="AJ131" i="25"/>
  <c r="AJ132" i="25"/>
  <c r="AJ133" i="25"/>
  <c r="AJ134" i="25"/>
  <c r="AJ135" i="25"/>
  <c r="AJ136" i="25"/>
  <c r="AJ137" i="25"/>
  <c r="AJ138" i="25"/>
  <c r="AJ139" i="25"/>
  <c r="AJ140" i="25"/>
  <c r="AJ141" i="25"/>
  <c r="AJ142" i="25"/>
  <c r="AJ143" i="25"/>
  <c r="AJ144" i="25"/>
  <c r="AJ145" i="25"/>
  <c r="AJ146" i="25"/>
  <c r="AJ147" i="25"/>
  <c r="AJ148" i="25"/>
  <c r="AJ149" i="25"/>
  <c r="AJ150" i="25"/>
  <c r="AJ151" i="25"/>
  <c r="AJ152" i="25"/>
  <c r="AJ153" i="25"/>
  <c r="AJ154" i="25"/>
  <c r="AJ155" i="25"/>
  <c r="AJ156" i="25"/>
  <c r="AJ157" i="25"/>
  <c r="AJ158" i="25"/>
  <c r="AJ159" i="25"/>
  <c r="AJ160" i="25"/>
  <c r="AI133" i="25"/>
  <c r="AI134" i="25"/>
  <c r="AI135" i="25"/>
  <c r="AI136" i="25"/>
  <c r="AI137" i="25"/>
  <c r="AI138" i="25"/>
  <c r="AI139" i="25"/>
  <c r="AI140" i="25"/>
  <c r="AI141" i="25"/>
  <c r="AI142" i="25"/>
  <c r="AI143" i="25"/>
  <c r="AI144" i="25"/>
  <c r="AI145" i="25"/>
  <c r="AI146" i="25"/>
  <c r="AI147" i="25"/>
  <c r="AI148" i="25"/>
  <c r="AI149" i="25"/>
  <c r="AI150" i="25"/>
  <c r="AI151" i="25"/>
  <c r="AI152" i="25"/>
  <c r="AI153" i="25"/>
  <c r="AI154" i="25"/>
  <c r="AI155" i="25"/>
  <c r="AI156" i="25"/>
  <c r="AI157" i="25"/>
  <c r="AI158" i="25"/>
  <c r="AI159" i="25"/>
  <c r="AI160" i="25"/>
  <c r="AH131" i="25"/>
  <c r="AH132" i="25"/>
  <c r="AH133" i="25"/>
  <c r="AH134" i="25"/>
  <c r="AH135" i="25"/>
  <c r="AH136" i="25"/>
  <c r="AH137" i="25"/>
  <c r="AH138" i="25"/>
  <c r="AH139" i="25"/>
  <c r="AH140" i="25"/>
  <c r="AH141" i="25"/>
  <c r="AH142" i="25"/>
  <c r="AH143" i="25"/>
  <c r="AH144" i="25"/>
  <c r="AH145" i="25"/>
  <c r="AH146" i="25"/>
  <c r="AH147" i="25"/>
  <c r="AH148" i="25"/>
  <c r="AH149" i="25"/>
  <c r="AH150" i="25"/>
  <c r="AH151" i="25"/>
  <c r="AH152" i="25"/>
  <c r="AH153" i="25"/>
  <c r="AH154" i="25"/>
  <c r="AH155" i="25"/>
  <c r="AH156" i="25"/>
  <c r="AH157" i="25"/>
  <c r="AH158" i="25"/>
  <c r="AH159" i="25"/>
  <c r="AH160" i="25"/>
  <c r="AS159" i="25"/>
  <c r="AN159" i="25"/>
  <c r="AS158" i="25"/>
  <c r="AN158" i="25"/>
  <c r="AS157" i="25"/>
  <c r="AN157" i="25"/>
  <c r="AS156" i="25"/>
  <c r="AN156" i="25"/>
  <c r="AS155" i="25"/>
  <c r="AL127" i="25"/>
  <c r="AL128" i="25"/>
  <c r="AL129" i="25"/>
  <c r="AL130" i="25"/>
  <c r="AL131" i="25"/>
  <c r="AL132" i="25"/>
  <c r="AL133" i="25"/>
  <c r="AL134" i="25"/>
  <c r="AL135" i="25"/>
  <c r="AL136" i="25"/>
  <c r="AL137" i="25"/>
  <c r="AL138" i="25"/>
  <c r="AL139" i="25"/>
  <c r="AL140" i="25"/>
  <c r="AL141" i="25"/>
  <c r="AL142" i="25"/>
  <c r="AL143" i="25"/>
  <c r="AL144" i="25"/>
  <c r="AL145" i="25"/>
  <c r="AL146" i="25"/>
  <c r="AL147" i="25"/>
  <c r="AL148" i="25"/>
  <c r="AL149" i="25"/>
  <c r="AL150" i="25"/>
  <c r="AL151" i="25"/>
  <c r="AL152" i="25"/>
  <c r="AL153" i="25"/>
  <c r="AL154" i="25"/>
  <c r="AL155" i="25"/>
  <c r="AN155" i="25"/>
  <c r="AS154" i="25"/>
  <c r="AN154" i="25"/>
  <c r="AS153" i="25"/>
  <c r="AN153" i="25"/>
  <c r="AS152" i="25"/>
  <c r="AN152" i="25"/>
  <c r="AS151" i="25"/>
  <c r="AN151" i="25"/>
  <c r="AS150" i="25"/>
  <c r="AN150" i="25"/>
  <c r="AS149" i="25"/>
  <c r="AN149" i="25"/>
  <c r="AS148" i="25"/>
  <c r="AN148" i="25"/>
  <c r="AS147" i="25"/>
  <c r="AN147" i="25"/>
  <c r="AS146" i="25"/>
  <c r="AN146" i="25"/>
  <c r="AS145" i="25"/>
  <c r="AN145" i="25"/>
  <c r="AS144" i="25"/>
  <c r="AN144" i="25"/>
  <c r="AS143" i="25"/>
  <c r="AN143" i="25"/>
  <c r="AS142" i="25"/>
  <c r="AN142" i="25"/>
  <c r="AS141" i="25"/>
  <c r="AN141" i="25"/>
  <c r="AS140" i="25"/>
  <c r="AN140" i="25"/>
  <c r="AS139" i="25"/>
  <c r="AN139" i="25"/>
  <c r="AS138" i="25"/>
  <c r="AN138" i="25"/>
  <c r="AS137" i="25"/>
  <c r="AN137" i="25"/>
  <c r="AS136" i="25"/>
  <c r="AN136" i="25"/>
  <c r="AS135" i="25"/>
  <c r="AN135" i="25"/>
  <c r="AQ98" i="25"/>
  <c r="AQ99" i="25"/>
  <c r="AQ100" i="25"/>
  <c r="AQ101" i="25"/>
  <c r="AQ102" i="25"/>
  <c r="AQ103" i="25"/>
  <c r="AQ104" i="25"/>
  <c r="AQ105" i="25"/>
  <c r="AQ106" i="25"/>
  <c r="AQ107" i="25"/>
  <c r="AQ108" i="25"/>
  <c r="AQ109" i="25"/>
  <c r="AQ110" i="25"/>
  <c r="AQ111" i="25"/>
  <c r="AQ112" i="25"/>
  <c r="AQ113" i="25"/>
  <c r="AQ114" i="25"/>
  <c r="AQ115" i="25"/>
  <c r="AQ116" i="25"/>
  <c r="AQ117" i="25"/>
  <c r="AQ118" i="25"/>
  <c r="AQ119" i="25"/>
  <c r="AQ120" i="25"/>
  <c r="AQ121" i="25"/>
  <c r="AQ122" i="25"/>
  <c r="AQ123" i="25"/>
  <c r="AQ124" i="25"/>
  <c r="AQ125" i="25"/>
  <c r="AQ126" i="25"/>
  <c r="AQ127" i="25"/>
  <c r="AQ128" i="25"/>
  <c r="AQ129" i="25"/>
  <c r="AQ130" i="25"/>
  <c r="AQ131" i="25"/>
  <c r="AQ132" i="25"/>
  <c r="AQ133" i="25"/>
  <c r="AQ134" i="25"/>
  <c r="AS134" i="25"/>
  <c r="AN134" i="25"/>
  <c r="AS133" i="25"/>
  <c r="AN133" i="25"/>
  <c r="AS132" i="25"/>
  <c r="AN132" i="25"/>
  <c r="AS131" i="25"/>
  <c r="AN131" i="25"/>
  <c r="AI84" i="25"/>
  <c r="AI85" i="25"/>
  <c r="AI86" i="25"/>
  <c r="AI87" i="25"/>
  <c r="AI88" i="25"/>
  <c r="AI89" i="25"/>
  <c r="AI90" i="25"/>
  <c r="AI91" i="25"/>
  <c r="AI92" i="25"/>
  <c r="AI93" i="25"/>
  <c r="AI94" i="25"/>
  <c r="AI95" i="25"/>
  <c r="AI96" i="25"/>
  <c r="AI97" i="25"/>
  <c r="AI98" i="25"/>
  <c r="AI99" i="25"/>
  <c r="AI100" i="25"/>
  <c r="AI101" i="25"/>
  <c r="AI102" i="25"/>
  <c r="AI103" i="25"/>
  <c r="AI104" i="25"/>
  <c r="AI105" i="25"/>
  <c r="AI106" i="25"/>
  <c r="AI107" i="25"/>
  <c r="AI108" i="25"/>
  <c r="AI109" i="25"/>
  <c r="AI110" i="25"/>
  <c r="AI111" i="25"/>
  <c r="AI112" i="25"/>
  <c r="AI113" i="25"/>
  <c r="AI114" i="25"/>
  <c r="AI115" i="25"/>
  <c r="AI116" i="25"/>
  <c r="AI117" i="25"/>
  <c r="AI118" i="25"/>
  <c r="AI119" i="25"/>
  <c r="AI120" i="25"/>
  <c r="AI121" i="25"/>
  <c r="AI122" i="25"/>
  <c r="AI123" i="25"/>
  <c r="AI124" i="25"/>
  <c r="AI125" i="25"/>
  <c r="AI126" i="25"/>
  <c r="AI127" i="25"/>
  <c r="AI128" i="25"/>
  <c r="AI129" i="25"/>
  <c r="AI130" i="25"/>
  <c r="AI131" i="25"/>
  <c r="AS130" i="25"/>
  <c r="AN130" i="25"/>
  <c r="AV92" i="25"/>
  <c r="AV93" i="25"/>
  <c r="AV94" i="25"/>
  <c r="AV95" i="25"/>
  <c r="AV96" i="25"/>
  <c r="AV97" i="25"/>
  <c r="AV98" i="25"/>
  <c r="AV99" i="25"/>
  <c r="AV100" i="25"/>
  <c r="AV101" i="25"/>
  <c r="AV102" i="25"/>
  <c r="AV103" i="25"/>
  <c r="AV104" i="25"/>
  <c r="AV105" i="25"/>
  <c r="AV106" i="25"/>
  <c r="AV107" i="25"/>
  <c r="AV108" i="25"/>
  <c r="AV109" i="25"/>
  <c r="AV110" i="25"/>
  <c r="AV111" i="25"/>
  <c r="AV112" i="25"/>
  <c r="AV113" i="25"/>
  <c r="AV114" i="25"/>
  <c r="AV115" i="25"/>
  <c r="AV116" i="25"/>
  <c r="AV117" i="25"/>
  <c r="AV118" i="25"/>
  <c r="AV119" i="25"/>
  <c r="AV120" i="25"/>
  <c r="AV121" i="25"/>
  <c r="AV122" i="25"/>
  <c r="AV123" i="25"/>
  <c r="AV124" i="25"/>
  <c r="AV125" i="25"/>
  <c r="AV126" i="25"/>
  <c r="AV127" i="25"/>
  <c r="AV128" i="25"/>
  <c r="AV129" i="25"/>
  <c r="AT92" i="25"/>
  <c r="AT93" i="25"/>
  <c r="AT94" i="25"/>
  <c r="AT95" i="25"/>
  <c r="AT96" i="25"/>
  <c r="AT97" i="25"/>
  <c r="AT98" i="25"/>
  <c r="AT99" i="25"/>
  <c r="AT100" i="25"/>
  <c r="AT101" i="25"/>
  <c r="AT102" i="25"/>
  <c r="AT103" i="25"/>
  <c r="AT104" i="25"/>
  <c r="AT105" i="25"/>
  <c r="AT106" i="25"/>
  <c r="AT107" i="25"/>
  <c r="AT108" i="25"/>
  <c r="AT109" i="25"/>
  <c r="AT110" i="25"/>
  <c r="AT111" i="25"/>
  <c r="AT112" i="25"/>
  <c r="AT113" i="25"/>
  <c r="AT114" i="25"/>
  <c r="AT115" i="25"/>
  <c r="AT116" i="25"/>
  <c r="AT117" i="25"/>
  <c r="AT118" i="25"/>
  <c r="AT119" i="25"/>
  <c r="AT120" i="25"/>
  <c r="AT121" i="25"/>
  <c r="AT122" i="25"/>
  <c r="AT123" i="25"/>
  <c r="AT124" i="25"/>
  <c r="AT125" i="25"/>
  <c r="AT126" i="25"/>
  <c r="AT127" i="25"/>
  <c r="AT128" i="25"/>
  <c r="AT129" i="25"/>
  <c r="AS129" i="25"/>
  <c r="AP92" i="25"/>
  <c r="AP93" i="25"/>
  <c r="AP94" i="25"/>
  <c r="AP95" i="25"/>
  <c r="AP96" i="25"/>
  <c r="AP97" i="25"/>
  <c r="AP98" i="25"/>
  <c r="AP99" i="25"/>
  <c r="AP100" i="25"/>
  <c r="AP101" i="25"/>
  <c r="AP102" i="25"/>
  <c r="AP103" i="25"/>
  <c r="AP104" i="25"/>
  <c r="AP105" i="25"/>
  <c r="AP106" i="25"/>
  <c r="AP107" i="25"/>
  <c r="AP108" i="25"/>
  <c r="AP109" i="25"/>
  <c r="AP110" i="25"/>
  <c r="AP111" i="25"/>
  <c r="AP112" i="25"/>
  <c r="AP113" i="25"/>
  <c r="AP114" i="25"/>
  <c r="AP115" i="25"/>
  <c r="AP116" i="25"/>
  <c r="AP117" i="25"/>
  <c r="AP118" i="25"/>
  <c r="AP119" i="25"/>
  <c r="AP120" i="25"/>
  <c r="AP121" i="25"/>
  <c r="AP122" i="25"/>
  <c r="AP123" i="25"/>
  <c r="AP124" i="25"/>
  <c r="AP125" i="25"/>
  <c r="AP126" i="25"/>
  <c r="AP127" i="25"/>
  <c r="AP128" i="25"/>
  <c r="AP129" i="25"/>
  <c r="AN129" i="25"/>
  <c r="AM94" i="25"/>
  <c r="AM95" i="25"/>
  <c r="AM96" i="25"/>
  <c r="AM97" i="25"/>
  <c r="AM98" i="25"/>
  <c r="AM99" i="25"/>
  <c r="AM100" i="25"/>
  <c r="AM101" i="25"/>
  <c r="AM102" i="25"/>
  <c r="AM103" i="25"/>
  <c r="AM104" i="25"/>
  <c r="AM105" i="25"/>
  <c r="AM106" i="25"/>
  <c r="AM107" i="25"/>
  <c r="AM108" i="25"/>
  <c r="AM109" i="25"/>
  <c r="AM110" i="25"/>
  <c r="AM111" i="25"/>
  <c r="AM112" i="25"/>
  <c r="AM113" i="25"/>
  <c r="AM114" i="25"/>
  <c r="AM115" i="25"/>
  <c r="AM116" i="25"/>
  <c r="AM117" i="25"/>
  <c r="AM118" i="25"/>
  <c r="AM119" i="25"/>
  <c r="AM120" i="25"/>
  <c r="AM121" i="25"/>
  <c r="AM122" i="25"/>
  <c r="AM123" i="25"/>
  <c r="AM124" i="25"/>
  <c r="AM125" i="25"/>
  <c r="AM126" i="25"/>
  <c r="AM127" i="25"/>
  <c r="AM128" i="25"/>
  <c r="AM129" i="25"/>
  <c r="AJ83" i="25"/>
  <c r="AJ84" i="25"/>
  <c r="AJ85" i="25"/>
  <c r="AJ86" i="25"/>
  <c r="AJ87" i="25"/>
  <c r="AJ88" i="25"/>
  <c r="AJ89" i="25"/>
  <c r="AJ90" i="25"/>
  <c r="AJ91" i="25"/>
  <c r="AJ92" i="25"/>
  <c r="AJ93" i="25"/>
  <c r="AJ94" i="25"/>
  <c r="AJ95" i="25"/>
  <c r="AJ96" i="25"/>
  <c r="AJ97" i="25"/>
  <c r="AJ98" i="25"/>
  <c r="AJ99" i="25"/>
  <c r="AJ100" i="25"/>
  <c r="AJ101" i="25"/>
  <c r="AJ102" i="25"/>
  <c r="AJ103" i="25"/>
  <c r="AJ104" i="25"/>
  <c r="AJ105" i="25"/>
  <c r="AJ106" i="25"/>
  <c r="AJ107" i="25"/>
  <c r="AJ108" i="25"/>
  <c r="AJ109" i="25"/>
  <c r="AJ110" i="25"/>
  <c r="AJ111" i="25"/>
  <c r="AJ112" i="25"/>
  <c r="AJ113" i="25"/>
  <c r="AJ114" i="25"/>
  <c r="AJ115" i="25"/>
  <c r="AJ116" i="25"/>
  <c r="AJ117" i="25"/>
  <c r="AJ118" i="25"/>
  <c r="AJ119" i="25"/>
  <c r="AJ120" i="25"/>
  <c r="AJ121" i="25"/>
  <c r="AJ122" i="25"/>
  <c r="AJ123" i="25"/>
  <c r="AJ124" i="25"/>
  <c r="AJ125" i="25"/>
  <c r="AJ126" i="25"/>
  <c r="AJ127" i="25"/>
  <c r="AJ128" i="25"/>
  <c r="AJ129" i="25"/>
  <c r="AH83" i="25"/>
  <c r="AH84" i="25"/>
  <c r="AH85" i="25"/>
  <c r="AH86" i="25"/>
  <c r="AH87" i="25"/>
  <c r="AH88" i="25"/>
  <c r="AH89" i="25"/>
  <c r="AH90" i="25"/>
  <c r="AH91" i="25"/>
  <c r="AH92" i="25"/>
  <c r="AH93" i="25"/>
  <c r="AH94" i="25"/>
  <c r="AH95" i="25"/>
  <c r="AH96" i="25"/>
  <c r="AH97" i="25"/>
  <c r="AH98" i="25"/>
  <c r="AH99" i="25"/>
  <c r="AH100" i="25"/>
  <c r="AH101" i="25"/>
  <c r="AH102" i="25"/>
  <c r="AH103" i="25"/>
  <c r="AH104" i="25"/>
  <c r="AH105" i="25"/>
  <c r="AH106" i="25"/>
  <c r="AH107" i="25"/>
  <c r="AH108" i="25"/>
  <c r="AH109" i="25"/>
  <c r="AH110" i="25"/>
  <c r="AH111" i="25"/>
  <c r="AH112" i="25"/>
  <c r="AH113" i="25"/>
  <c r="AH114" i="25"/>
  <c r="AH115" i="25"/>
  <c r="AH116" i="25"/>
  <c r="AH117" i="25"/>
  <c r="AH118" i="25"/>
  <c r="AH119" i="25"/>
  <c r="AH120" i="25"/>
  <c r="AH121" i="25"/>
  <c r="AH122" i="25"/>
  <c r="AH123" i="25"/>
  <c r="AH124" i="25"/>
  <c r="AH125" i="25"/>
  <c r="AH126" i="25"/>
  <c r="AH127" i="25"/>
  <c r="AH128" i="25"/>
  <c r="AH129" i="25"/>
  <c r="AW92" i="25"/>
  <c r="AW93" i="25"/>
  <c r="AW94" i="25"/>
  <c r="AW95" i="25"/>
  <c r="AW96" i="25"/>
  <c r="AW97" i="25"/>
  <c r="AW98" i="25"/>
  <c r="AW99" i="25"/>
  <c r="AW100" i="25"/>
  <c r="AW101" i="25"/>
  <c r="AW102" i="25"/>
  <c r="AW103" i="25"/>
  <c r="AW104" i="25"/>
  <c r="AW105" i="25"/>
  <c r="AW106" i="25"/>
  <c r="AW107" i="25"/>
  <c r="AW108" i="25"/>
  <c r="AW109" i="25"/>
  <c r="AW110" i="25"/>
  <c r="AW111" i="25"/>
  <c r="AW112" i="25"/>
  <c r="AW113" i="25"/>
  <c r="AW114" i="25"/>
  <c r="AW115" i="25"/>
  <c r="AW116" i="25"/>
  <c r="AW117" i="25"/>
  <c r="AW118" i="25"/>
  <c r="AW119" i="25"/>
  <c r="AW120" i="25"/>
  <c r="AW121" i="25"/>
  <c r="AW122" i="25"/>
  <c r="AW123" i="25"/>
  <c r="AW124" i="25"/>
  <c r="AW125" i="25"/>
  <c r="AW126" i="25"/>
  <c r="AW127" i="25"/>
  <c r="AW128" i="25"/>
  <c r="AS128" i="25"/>
  <c r="AR92" i="25"/>
  <c r="AR93" i="25"/>
  <c r="AR94" i="25"/>
  <c r="AR95" i="25"/>
  <c r="AR96" i="25"/>
  <c r="AR97" i="25"/>
  <c r="AR98" i="25"/>
  <c r="AR99" i="25"/>
  <c r="AR100" i="25"/>
  <c r="AR101" i="25"/>
  <c r="AR102" i="25"/>
  <c r="AR103" i="25"/>
  <c r="AR104" i="25"/>
  <c r="AR105" i="25"/>
  <c r="AR106" i="25"/>
  <c r="AR107" i="25"/>
  <c r="AR108" i="25"/>
  <c r="AR109" i="25"/>
  <c r="AR110" i="25"/>
  <c r="AR111" i="25"/>
  <c r="AR112" i="25"/>
  <c r="AR113" i="25"/>
  <c r="AR114" i="25"/>
  <c r="AR115" i="25"/>
  <c r="AR116" i="25"/>
  <c r="AR117" i="25"/>
  <c r="AR118" i="25"/>
  <c r="AR119" i="25"/>
  <c r="AR120" i="25"/>
  <c r="AR121" i="25"/>
  <c r="AR122" i="25"/>
  <c r="AR123" i="25"/>
  <c r="AR124" i="25"/>
  <c r="AR125" i="25"/>
  <c r="AR126" i="25"/>
  <c r="AR127" i="25"/>
  <c r="AR128" i="25"/>
  <c r="AN128" i="25"/>
  <c r="AS127" i="25"/>
  <c r="AN127" i="25"/>
  <c r="AS126" i="25"/>
  <c r="AN126" i="25"/>
  <c r="AS125" i="25"/>
  <c r="AL90" i="25"/>
  <c r="AL91" i="25"/>
  <c r="AL92" i="25"/>
  <c r="AL93" i="25"/>
  <c r="AL94" i="25"/>
  <c r="AL95" i="25"/>
  <c r="AL96" i="25"/>
  <c r="AL97" i="25"/>
  <c r="AL98" i="25"/>
  <c r="AL99" i="25"/>
  <c r="AL100" i="25"/>
  <c r="AL101" i="25"/>
  <c r="AL102" i="25"/>
  <c r="AL103" i="25"/>
  <c r="AL104" i="25"/>
  <c r="AL105" i="25"/>
  <c r="AL106" i="25"/>
  <c r="AL107" i="25"/>
  <c r="AL108" i="25"/>
  <c r="AL109" i="25"/>
  <c r="AL110" i="25"/>
  <c r="AL111" i="25"/>
  <c r="AL112" i="25"/>
  <c r="AL113" i="25"/>
  <c r="AL114" i="25"/>
  <c r="AL115" i="25"/>
  <c r="AL116" i="25"/>
  <c r="AL117" i="25"/>
  <c r="AL118" i="25"/>
  <c r="AL119" i="25"/>
  <c r="AL120" i="25"/>
  <c r="AL121" i="25"/>
  <c r="AL122" i="25"/>
  <c r="AL123" i="25"/>
  <c r="AL124" i="25"/>
  <c r="AL125" i="25"/>
  <c r="AN125" i="25"/>
  <c r="AS124" i="25"/>
  <c r="AN124" i="25"/>
  <c r="AS123" i="25"/>
  <c r="AN123" i="25"/>
  <c r="AS122" i="25"/>
  <c r="AN122" i="25"/>
  <c r="AS121" i="25"/>
  <c r="AN121" i="25"/>
  <c r="AS120" i="25"/>
  <c r="AN120" i="25"/>
  <c r="AS119" i="25"/>
  <c r="AN119" i="25"/>
  <c r="AS118" i="25"/>
  <c r="AN118" i="25"/>
  <c r="AS117" i="25"/>
  <c r="AN117" i="25"/>
  <c r="AS116" i="25"/>
  <c r="AN116" i="25"/>
  <c r="AS115" i="25"/>
  <c r="AN115" i="25"/>
  <c r="AS114" i="25"/>
  <c r="AN114" i="25"/>
  <c r="AS113" i="25"/>
  <c r="AN113" i="25"/>
  <c r="AS112" i="25"/>
  <c r="AN112" i="25"/>
  <c r="AS111" i="25"/>
  <c r="AN111" i="25"/>
  <c r="AS110" i="25"/>
  <c r="AN110" i="25"/>
  <c r="AS109" i="25"/>
  <c r="AN109" i="25"/>
  <c r="AS108" i="25"/>
  <c r="AN108" i="25"/>
  <c r="AS107" i="25"/>
  <c r="AN107" i="25"/>
  <c r="AS106" i="25"/>
  <c r="AN106" i="25"/>
  <c r="AS105" i="25"/>
  <c r="AN105" i="25"/>
  <c r="AS104" i="25"/>
  <c r="AN104" i="25"/>
  <c r="AS103" i="25"/>
  <c r="AN103" i="25"/>
  <c r="AS102" i="25"/>
  <c r="AN102" i="25"/>
  <c r="AS101" i="25"/>
  <c r="AN101" i="25"/>
  <c r="AS100" i="25"/>
  <c r="AN100" i="25"/>
  <c r="AS99" i="25"/>
  <c r="AN99" i="25"/>
  <c r="AS98" i="25"/>
  <c r="AN98" i="25"/>
  <c r="AS97" i="25"/>
  <c r="AN97" i="25"/>
  <c r="AQ63" i="25"/>
  <c r="AQ64" i="25"/>
  <c r="AQ65" i="25"/>
  <c r="AQ66" i="25"/>
  <c r="AQ67" i="25"/>
  <c r="AQ68" i="25"/>
  <c r="AQ69" i="25"/>
  <c r="AQ70" i="25"/>
  <c r="AQ71" i="25"/>
  <c r="AQ72" i="25"/>
  <c r="AQ73" i="25"/>
  <c r="AQ74" i="25"/>
  <c r="AQ75" i="25"/>
  <c r="AQ76" i="25"/>
  <c r="AQ77" i="25"/>
  <c r="AQ78" i="25"/>
  <c r="AQ79" i="25"/>
  <c r="AQ80" i="25"/>
  <c r="AQ81" i="25"/>
  <c r="AQ82" i="25"/>
  <c r="AQ83" i="25"/>
  <c r="AQ84" i="25"/>
  <c r="AQ85" i="25"/>
  <c r="AQ86" i="25"/>
  <c r="AQ87" i="25"/>
  <c r="AQ88" i="25"/>
  <c r="AQ89" i="25"/>
  <c r="AQ90" i="25"/>
  <c r="AQ91" i="25"/>
  <c r="AQ92" i="25"/>
  <c r="AQ93" i="25"/>
  <c r="AQ94" i="25"/>
  <c r="AQ95" i="25"/>
  <c r="AQ96" i="25"/>
  <c r="AS96" i="25"/>
  <c r="AN96" i="25"/>
  <c r="AS95" i="25"/>
  <c r="AN95" i="25"/>
  <c r="AS94" i="25"/>
  <c r="AN94" i="25"/>
  <c r="AS93" i="25"/>
  <c r="AN93" i="25"/>
  <c r="AS92" i="25"/>
  <c r="AN92" i="25"/>
  <c r="AM62" i="25"/>
  <c r="AM63" i="25"/>
  <c r="AM64" i="25"/>
  <c r="AM65" i="25"/>
  <c r="AM66" i="25"/>
  <c r="AM67" i="25"/>
  <c r="AM68" i="25"/>
  <c r="AM69" i="25"/>
  <c r="AM70" i="25"/>
  <c r="AM71" i="25"/>
  <c r="AM72" i="25"/>
  <c r="AM73" i="25"/>
  <c r="AM74" i="25"/>
  <c r="AM75" i="25"/>
  <c r="AM76" i="25"/>
  <c r="AM77" i="25"/>
  <c r="AM78" i="25"/>
  <c r="AM79" i="25"/>
  <c r="AM80" i="25"/>
  <c r="AM81" i="25"/>
  <c r="AM82" i="25"/>
  <c r="AM83" i="25"/>
  <c r="AM84" i="25"/>
  <c r="AM85" i="25"/>
  <c r="AM86" i="25"/>
  <c r="AM87" i="25"/>
  <c r="AM88" i="25"/>
  <c r="AM89" i="25"/>
  <c r="AM90" i="25"/>
  <c r="AM91" i="25"/>
  <c r="AM92" i="25"/>
  <c r="AS91" i="25"/>
  <c r="AN91" i="25"/>
  <c r="AW62" i="25"/>
  <c r="AW63" i="25"/>
  <c r="AW64" i="25"/>
  <c r="AW65" i="25"/>
  <c r="AW66" i="25"/>
  <c r="AW67" i="25"/>
  <c r="AW68" i="25"/>
  <c r="AW69" i="25"/>
  <c r="AW70" i="25"/>
  <c r="AW71" i="25"/>
  <c r="AW72" i="25"/>
  <c r="AW73" i="25"/>
  <c r="AW74" i="25"/>
  <c r="AW75" i="25"/>
  <c r="AW76" i="25"/>
  <c r="AW77" i="25"/>
  <c r="AW78" i="25"/>
  <c r="AW79" i="25"/>
  <c r="AW80" i="25"/>
  <c r="AW81" i="25"/>
  <c r="AW82" i="25"/>
  <c r="AW83" i="25"/>
  <c r="AW84" i="25"/>
  <c r="AW85" i="25"/>
  <c r="AW86" i="25"/>
  <c r="AW87" i="25"/>
  <c r="AW88" i="25"/>
  <c r="AW89" i="25"/>
  <c r="AW90" i="25"/>
  <c r="AV62" i="25"/>
  <c r="AV63" i="25"/>
  <c r="AV64" i="25"/>
  <c r="AV65" i="25"/>
  <c r="AV66" i="25"/>
  <c r="AV67" i="25"/>
  <c r="AV68" i="25"/>
  <c r="AV69" i="25"/>
  <c r="AV70" i="25"/>
  <c r="AV71" i="25"/>
  <c r="AV72" i="25"/>
  <c r="AV73" i="25"/>
  <c r="AV74" i="25"/>
  <c r="AV75" i="25"/>
  <c r="AV76" i="25"/>
  <c r="AV77" i="25"/>
  <c r="AV78" i="25"/>
  <c r="AV79" i="25"/>
  <c r="AV80" i="25"/>
  <c r="AV81" i="25"/>
  <c r="AV82" i="25"/>
  <c r="AV83" i="25"/>
  <c r="AV84" i="25"/>
  <c r="AV85" i="25"/>
  <c r="AV86" i="25"/>
  <c r="AV87" i="25"/>
  <c r="AV88" i="25"/>
  <c r="AV89" i="25"/>
  <c r="AV90" i="25"/>
  <c r="AT62" i="25"/>
  <c r="AT63" i="25"/>
  <c r="AT64" i="25"/>
  <c r="AT65" i="25"/>
  <c r="AT66" i="25"/>
  <c r="AT67" i="25"/>
  <c r="AT68" i="25"/>
  <c r="AT69" i="25"/>
  <c r="AT70" i="25"/>
  <c r="AT71" i="25"/>
  <c r="AT72" i="25"/>
  <c r="AT73" i="25"/>
  <c r="AT74" i="25"/>
  <c r="AT75" i="25"/>
  <c r="AT76" i="25"/>
  <c r="AT77" i="25"/>
  <c r="AT78" i="25"/>
  <c r="AT79" i="25"/>
  <c r="AT80" i="25"/>
  <c r="AT81" i="25"/>
  <c r="AT82" i="25"/>
  <c r="AT83" i="25"/>
  <c r="AT84" i="25"/>
  <c r="AT85" i="25"/>
  <c r="AT86" i="25"/>
  <c r="AT87" i="25"/>
  <c r="AT88" i="25"/>
  <c r="AT89" i="25"/>
  <c r="AT90" i="25"/>
  <c r="AS90" i="25"/>
  <c r="AR62" i="25"/>
  <c r="AR63" i="25"/>
  <c r="AR64" i="25"/>
  <c r="AR65" i="25"/>
  <c r="AR66" i="25"/>
  <c r="AR67" i="25"/>
  <c r="AR68" i="25"/>
  <c r="AR69" i="25"/>
  <c r="AR70" i="25"/>
  <c r="AR71" i="25"/>
  <c r="AR72" i="25"/>
  <c r="AR73" i="25"/>
  <c r="AR74" i="25"/>
  <c r="AR75" i="25"/>
  <c r="AR76" i="25"/>
  <c r="AR77" i="25"/>
  <c r="AR78" i="25"/>
  <c r="AR79" i="25"/>
  <c r="AR80" i="25"/>
  <c r="AR81" i="25"/>
  <c r="AR82" i="25"/>
  <c r="AR83" i="25"/>
  <c r="AR84" i="25"/>
  <c r="AR85" i="25"/>
  <c r="AR86" i="25"/>
  <c r="AR87" i="25"/>
  <c r="AR88" i="25"/>
  <c r="AR89" i="25"/>
  <c r="AR90" i="25"/>
  <c r="AP62" i="25"/>
  <c r="AP63" i="25"/>
  <c r="AP64" i="25"/>
  <c r="AP65" i="25"/>
  <c r="AP66" i="25"/>
  <c r="AP67" i="25"/>
  <c r="AP68" i="25"/>
  <c r="AP69" i="25"/>
  <c r="AP70" i="25"/>
  <c r="AP71" i="25"/>
  <c r="AP72" i="25"/>
  <c r="AP73" i="25"/>
  <c r="AP74" i="25"/>
  <c r="AP75" i="25"/>
  <c r="AP76" i="25"/>
  <c r="AP77" i="25"/>
  <c r="AP78" i="25"/>
  <c r="AP79" i="25"/>
  <c r="AP80" i="25"/>
  <c r="AP81" i="25"/>
  <c r="AP82" i="25"/>
  <c r="AP83" i="25"/>
  <c r="AP84" i="25"/>
  <c r="AP85" i="25"/>
  <c r="AP86" i="25"/>
  <c r="AP87" i="25"/>
  <c r="AP88" i="25"/>
  <c r="AP89" i="25"/>
  <c r="AP90" i="25"/>
  <c r="AN90" i="25"/>
  <c r="AS89" i="25"/>
  <c r="AN89" i="25"/>
  <c r="AS88" i="25"/>
  <c r="AL60" i="25"/>
  <c r="AL61" i="25"/>
  <c r="AL62" i="25"/>
  <c r="AL63" i="25"/>
  <c r="AL64" i="25"/>
  <c r="AL65" i="25"/>
  <c r="AL66" i="25"/>
  <c r="AL67" i="25"/>
  <c r="AL68" i="25"/>
  <c r="AL69" i="25"/>
  <c r="AL70" i="25"/>
  <c r="AL71" i="25"/>
  <c r="AL72" i="25"/>
  <c r="AL73" i="25"/>
  <c r="AL74" i="25"/>
  <c r="AL75" i="25"/>
  <c r="AL76" i="25"/>
  <c r="AL77" i="25"/>
  <c r="AL78" i="25"/>
  <c r="AL79" i="25"/>
  <c r="AL80" i="25"/>
  <c r="AL81" i="25"/>
  <c r="AL82" i="25"/>
  <c r="AL83" i="25"/>
  <c r="AL84" i="25"/>
  <c r="AL85" i="25"/>
  <c r="AL86" i="25"/>
  <c r="AL87" i="25"/>
  <c r="AL88" i="25"/>
  <c r="AN88" i="25"/>
  <c r="AS87" i="25"/>
  <c r="AN87" i="25"/>
  <c r="AS86" i="25"/>
  <c r="AN86" i="25"/>
  <c r="AS85" i="25"/>
  <c r="AN85" i="25"/>
  <c r="AS84" i="25"/>
  <c r="AN84" i="25"/>
  <c r="AS83" i="25"/>
  <c r="AN83" i="25"/>
  <c r="AS82" i="25"/>
  <c r="AN82" i="25"/>
  <c r="AI43" i="25"/>
  <c r="AI44" i="25"/>
  <c r="AI45" i="25"/>
  <c r="AI46" i="25"/>
  <c r="AI47" i="25"/>
  <c r="AI48" i="25"/>
  <c r="AI49" i="25"/>
  <c r="AI50" i="25"/>
  <c r="AI51" i="25"/>
  <c r="AI52" i="25"/>
  <c r="AI53" i="25"/>
  <c r="AI54" i="25"/>
  <c r="AI55" i="25"/>
  <c r="AI56" i="25"/>
  <c r="AI57" i="25"/>
  <c r="AI58" i="25"/>
  <c r="AI59" i="25"/>
  <c r="AI60" i="25"/>
  <c r="AI61" i="25"/>
  <c r="AI62" i="25"/>
  <c r="AI63" i="25"/>
  <c r="AI64" i="25"/>
  <c r="AI65" i="25"/>
  <c r="AI66" i="25"/>
  <c r="AI67" i="25"/>
  <c r="AI68" i="25"/>
  <c r="AI69" i="25"/>
  <c r="AI70" i="25"/>
  <c r="AI71" i="25"/>
  <c r="AI72" i="25"/>
  <c r="AI73" i="25"/>
  <c r="AI74" i="25"/>
  <c r="AI75" i="25"/>
  <c r="AI76" i="25"/>
  <c r="AI77" i="25"/>
  <c r="AI78" i="25"/>
  <c r="AI79" i="25"/>
  <c r="AI80" i="25"/>
  <c r="AI81" i="25"/>
  <c r="AI82" i="25"/>
  <c r="AS81" i="25"/>
  <c r="AN81" i="25"/>
  <c r="AJ42" i="25"/>
  <c r="AJ43" i="25"/>
  <c r="AJ44" i="25"/>
  <c r="AJ45" i="25"/>
  <c r="AJ46" i="25"/>
  <c r="AJ47" i="25"/>
  <c r="AJ48" i="25"/>
  <c r="AJ49" i="25"/>
  <c r="AJ50" i="25"/>
  <c r="AJ51" i="25"/>
  <c r="AJ52" i="25"/>
  <c r="AJ53" i="25"/>
  <c r="AJ54" i="25"/>
  <c r="AJ55" i="25"/>
  <c r="AJ56" i="25"/>
  <c r="AJ57" i="25"/>
  <c r="AJ58" i="25"/>
  <c r="AJ59" i="25"/>
  <c r="AJ60" i="25"/>
  <c r="AJ61" i="25"/>
  <c r="AJ62" i="25"/>
  <c r="AJ63" i="25"/>
  <c r="AJ64" i="25"/>
  <c r="AJ65" i="25"/>
  <c r="AJ66" i="25"/>
  <c r="AJ67" i="25"/>
  <c r="AJ68" i="25"/>
  <c r="AJ69" i="25"/>
  <c r="AJ70" i="25"/>
  <c r="AJ71" i="25"/>
  <c r="AJ72" i="25"/>
  <c r="AJ73" i="25"/>
  <c r="AJ74" i="25"/>
  <c r="AJ75" i="25"/>
  <c r="AJ76" i="25"/>
  <c r="AJ77" i="25"/>
  <c r="AJ78" i="25"/>
  <c r="AJ79" i="25"/>
  <c r="AJ80" i="25"/>
  <c r="AJ81" i="25"/>
  <c r="AH42" i="25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AH60" i="25"/>
  <c r="AH61" i="25"/>
  <c r="AH62" i="25"/>
  <c r="AH63" i="25"/>
  <c r="AH64" i="25"/>
  <c r="AH65" i="25"/>
  <c r="AH66" i="25"/>
  <c r="AH67" i="25"/>
  <c r="AH68" i="25"/>
  <c r="AH69" i="25"/>
  <c r="AH70" i="25"/>
  <c r="AH71" i="25"/>
  <c r="AH72" i="25"/>
  <c r="AH73" i="25"/>
  <c r="AH74" i="25"/>
  <c r="AH75" i="25"/>
  <c r="AH76" i="25"/>
  <c r="AH77" i="25"/>
  <c r="AH78" i="25"/>
  <c r="AH79" i="25"/>
  <c r="AH80" i="25"/>
  <c r="AH81" i="25"/>
  <c r="AS80" i="25"/>
  <c r="AN80" i="25"/>
  <c r="AS79" i="25"/>
  <c r="AN79" i="25"/>
  <c r="AS78" i="25"/>
  <c r="AN78" i="25"/>
  <c r="AS77" i="25"/>
  <c r="AN77" i="25"/>
  <c r="AS76" i="25"/>
  <c r="AN76" i="25"/>
  <c r="AS75" i="25"/>
  <c r="AN75" i="25"/>
  <c r="AS74" i="25"/>
  <c r="AN74" i="25"/>
  <c r="AS73" i="25"/>
  <c r="AN73" i="25"/>
  <c r="AS72" i="25"/>
  <c r="AN72" i="25"/>
  <c r="AS71" i="25"/>
  <c r="AN71" i="25"/>
  <c r="AS70" i="25"/>
  <c r="AN70" i="25"/>
  <c r="AS69" i="25"/>
  <c r="AN69" i="25"/>
  <c r="AS68" i="25"/>
  <c r="AN68" i="25"/>
  <c r="AS67" i="25"/>
  <c r="AN67" i="25"/>
  <c r="AS66" i="25"/>
  <c r="AN66" i="25"/>
  <c r="AS65" i="25"/>
  <c r="AN65" i="25"/>
  <c r="AS64" i="25"/>
  <c r="AN64" i="25"/>
  <c r="AS63" i="25"/>
  <c r="AN63" i="25"/>
  <c r="AS62" i="25"/>
  <c r="AN62" i="25"/>
  <c r="AQ37" i="25"/>
  <c r="AQ38" i="25"/>
  <c r="AQ39" i="25"/>
  <c r="AQ40" i="25"/>
  <c r="AQ41" i="25"/>
  <c r="AQ42" i="25"/>
  <c r="AQ43" i="25"/>
  <c r="AQ44" i="25"/>
  <c r="AQ45" i="25"/>
  <c r="AQ46" i="25"/>
  <c r="AQ47" i="25"/>
  <c r="AQ48" i="25"/>
  <c r="AQ49" i="25"/>
  <c r="AQ50" i="25"/>
  <c r="AQ51" i="25"/>
  <c r="AQ52" i="25"/>
  <c r="AQ53" i="25"/>
  <c r="AQ54" i="25"/>
  <c r="AQ55" i="25"/>
  <c r="AQ56" i="25"/>
  <c r="AQ57" i="25"/>
  <c r="AQ58" i="25"/>
  <c r="AQ59" i="25"/>
  <c r="AQ60" i="25"/>
  <c r="AQ61" i="25"/>
  <c r="AS61" i="25"/>
  <c r="AN61" i="25"/>
  <c r="AW36" i="25"/>
  <c r="AW37" i="25"/>
  <c r="AW38" i="25"/>
  <c r="AW39" i="25"/>
  <c r="AW40" i="25"/>
  <c r="AW41" i="25"/>
  <c r="AW42" i="25"/>
  <c r="AW43" i="25"/>
  <c r="AW44" i="25"/>
  <c r="AW45" i="25"/>
  <c r="AW46" i="25"/>
  <c r="AW47" i="25"/>
  <c r="AW48" i="25"/>
  <c r="AW49" i="25"/>
  <c r="AW50" i="25"/>
  <c r="AW51" i="25"/>
  <c r="AW52" i="25"/>
  <c r="AW53" i="25"/>
  <c r="AW54" i="25"/>
  <c r="AW55" i="25"/>
  <c r="AW56" i="25"/>
  <c r="AW57" i="25"/>
  <c r="AW58" i="25"/>
  <c r="AW59" i="25"/>
  <c r="AW60" i="25"/>
  <c r="AV36" i="25"/>
  <c r="AV37" i="25"/>
  <c r="AV38" i="25"/>
  <c r="AV39" i="25"/>
  <c r="AV40" i="25"/>
  <c r="AV41" i="25"/>
  <c r="AV42" i="25"/>
  <c r="AV43" i="25"/>
  <c r="AV44" i="25"/>
  <c r="AV45" i="25"/>
  <c r="AV46" i="25"/>
  <c r="AV47" i="25"/>
  <c r="AV48" i="25"/>
  <c r="AV49" i="25"/>
  <c r="AV50" i="25"/>
  <c r="AV51" i="25"/>
  <c r="AV52" i="25"/>
  <c r="AV53" i="25"/>
  <c r="AV54" i="25"/>
  <c r="AV55" i="25"/>
  <c r="AV56" i="25"/>
  <c r="AV57" i="25"/>
  <c r="AV58" i="25"/>
  <c r="AV59" i="25"/>
  <c r="AV60" i="25"/>
  <c r="AT36" i="25"/>
  <c r="AT37" i="25"/>
  <c r="AT38" i="25"/>
  <c r="AT39" i="25"/>
  <c r="AT40" i="25"/>
  <c r="AT41" i="25"/>
  <c r="AT42" i="25"/>
  <c r="AT43" i="25"/>
  <c r="AT44" i="25"/>
  <c r="AT45" i="25"/>
  <c r="AT46" i="25"/>
  <c r="AT47" i="25"/>
  <c r="AT48" i="25"/>
  <c r="AT49" i="25"/>
  <c r="AT50" i="25"/>
  <c r="AT51" i="25"/>
  <c r="AT52" i="25"/>
  <c r="AT53" i="25"/>
  <c r="AT54" i="25"/>
  <c r="AT55" i="25"/>
  <c r="AT56" i="25"/>
  <c r="AT57" i="25"/>
  <c r="AT58" i="25"/>
  <c r="AT59" i="25"/>
  <c r="AT60" i="25"/>
  <c r="AS60" i="25"/>
  <c r="AR36" i="25"/>
  <c r="AR37" i="25"/>
  <c r="AR38" i="25"/>
  <c r="AR39" i="25"/>
  <c r="AR40" i="25"/>
  <c r="AR41" i="25"/>
  <c r="AR42" i="25"/>
  <c r="AR43" i="25"/>
  <c r="AR44" i="25"/>
  <c r="AR45" i="25"/>
  <c r="AR46" i="25"/>
  <c r="AR47" i="25"/>
  <c r="AR48" i="25"/>
  <c r="AR49" i="25"/>
  <c r="AR50" i="25"/>
  <c r="AR51" i="25"/>
  <c r="AR52" i="25"/>
  <c r="AR53" i="25"/>
  <c r="AR54" i="25"/>
  <c r="AR55" i="25"/>
  <c r="AR56" i="25"/>
  <c r="AR57" i="25"/>
  <c r="AR58" i="25"/>
  <c r="AR59" i="25"/>
  <c r="AR60" i="25"/>
  <c r="AP36" i="25"/>
  <c r="AP37" i="25"/>
  <c r="AP38" i="25"/>
  <c r="AP39" i="25"/>
  <c r="AP40" i="25"/>
  <c r="AP41" i="25"/>
  <c r="AP42" i="25"/>
  <c r="AP43" i="25"/>
  <c r="AP44" i="25"/>
  <c r="AP45" i="25"/>
  <c r="AP46" i="25"/>
  <c r="AP47" i="25"/>
  <c r="AP48" i="25"/>
  <c r="AP49" i="25"/>
  <c r="AP50" i="25"/>
  <c r="AP51" i="25"/>
  <c r="AP52" i="25"/>
  <c r="AP53" i="25"/>
  <c r="AP54" i="25"/>
  <c r="AP55" i="25"/>
  <c r="AP56" i="25"/>
  <c r="AP57" i="25"/>
  <c r="AP58" i="25"/>
  <c r="AP59" i="25"/>
  <c r="AP60" i="25"/>
  <c r="AN60" i="25"/>
  <c r="AM36" i="25"/>
  <c r="AM37" i="25"/>
  <c r="AM38" i="25"/>
  <c r="AM39" i="25"/>
  <c r="AM40" i="25"/>
  <c r="AM41" i="25"/>
  <c r="AM42" i="25"/>
  <c r="AM43" i="25"/>
  <c r="AM44" i="25"/>
  <c r="AM45" i="25"/>
  <c r="AM46" i="25"/>
  <c r="AM47" i="25"/>
  <c r="AM48" i="25"/>
  <c r="AM49" i="25"/>
  <c r="AM50" i="25"/>
  <c r="AM51" i="25"/>
  <c r="AM52" i="25"/>
  <c r="AM53" i="25"/>
  <c r="AM54" i="25"/>
  <c r="AM55" i="25"/>
  <c r="AM56" i="25"/>
  <c r="AM57" i="25"/>
  <c r="AM58" i="25"/>
  <c r="AM59" i="25"/>
  <c r="AM60" i="25"/>
  <c r="AS59" i="25"/>
  <c r="AN59" i="25"/>
  <c r="AS58" i="25"/>
  <c r="AL35" i="25"/>
  <c r="AL36" i="25"/>
  <c r="AL37" i="25"/>
  <c r="AL38" i="25"/>
  <c r="AL39" i="25"/>
  <c r="AL40" i="25"/>
  <c r="AL41" i="25"/>
  <c r="AL42" i="25"/>
  <c r="AL43" i="25"/>
  <c r="AL44" i="25"/>
  <c r="AL45" i="25"/>
  <c r="AL46" i="25"/>
  <c r="AL47" i="25"/>
  <c r="AL48" i="25"/>
  <c r="AL49" i="25"/>
  <c r="AL50" i="25"/>
  <c r="AL51" i="25"/>
  <c r="AL52" i="25"/>
  <c r="AL53" i="25"/>
  <c r="AL54" i="25"/>
  <c r="AL55" i="25"/>
  <c r="AL56" i="25"/>
  <c r="AL57" i="25"/>
  <c r="AL58" i="25"/>
  <c r="AN58" i="25"/>
  <c r="AS57" i="25"/>
  <c r="AN57" i="25"/>
  <c r="AS56" i="25"/>
  <c r="AN56" i="25"/>
  <c r="AS55" i="25"/>
  <c r="AN55" i="25"/>
  <c r="AS54" i="25"/>
  <c r="AN54" i="25"/>
  <c r="AS53" i="25"/>
  <c r="AN53" i="25"/>
  <c r="AS52" i="25"/>
  <c r="AN52" i="25"/>
  <c r="AS51" i="25"/>
  <c r="AN51" i="25"/>
  <c r="AS50" i="25"/>
  <c r="AN50" i="25"/>
  <c r="AS49" i="25"/>
  <c r="AN49" i="25"/>
  <c r="AS48" i="25"/>
  <c r="AN48" i="25"/>
  <c r="AS47" i="25"/>
  <c r="AN47" i="25"/>
  <c r="AS46" i="25"/>
  <c r="AN46" i="25"/>
  <c r="AS45" i="25"/>
  <c r="AN45" i="25"/>
  <c r="AS44" i="25"/>
  <c r="AN44" i="25"/>
  <c r="AS43" i="25"/>
  <c r="AN43" i="25"/>
  <c r="AS42" i="25"/>
  <c r="AN42" i="25"/>
  <c r="AS41" i="25"/>
  <c r="AN41" i="25"/>
  <c r="AI3" i="25"/>
  <c r="AI4" i="25"/>
  <c r="AI5" i="25"/>
  <c r="AI6" i="25"/>
  <c r="AI7" i="25"/>
  <c r="AI8" i="25"/>
  <c r="AI9" i="25"/>
  <c r="AI10" i="25"/>
  <c r="AI11" i="25"/>
  <c r="AI12" i="25"/>
  <c r="AI13" i="25"/>
  <c r="AI14" i="25"/>
  <c r="AI15" i="25"/>
  <c r="AI16" i="25"/>
  <c r="AI17" i="25"/>
  <c r="AI18" i="25"/>
  <c r="AI19" i="25"/>
  <c r="AI20" i="25"/>
  <c r="AI21" i="25"/>
  <c r="AI22" i="25"/>
  <c r="AI23" i="25"/>
  <c r="AI24" i="25"/>
  <c r="AI25" i="25"/>
  <c r="AI26" i="25"/>
  <c r="AI27" i="25"/>
  <c r="AI28" i="25"/>
  <c r="AI29" i="25"/>
  <c r="AI30" i="25"/>
  <c r="AI31" i="25"/>
  <c r="AI32" i="25"/>
  <c r="AI33" i="25"/>
  <c r="AI34" i="25"/>
  <c r="AI35" i="25"/>
  <c r="AI36" i="25"/>
  <c r="AI37" i="25"/>
  <c r="AI38" i="25"/>
  <c r="AI39" i="25"/>
  <c r="AI40" i="25"/>
  <c r="AI41" i="25"/>
  <c r="AS40" i="25"/>
  <c r="AN40" i="25"/>
  <c r="AJ3" i="25"/>
  <c r="AJ4" i="25"/>
  <c r="AJ5" i="25"/>
  <c r="AJ6" i="25"/>
  <c r="AJ7" i="25"/>
  <c r="AJ8" i="25"/>
  <c r="AJ9" i="25"/>
  <c r="AJ10" i="25"/>
  <c r="AJ11" i="25"/>
  <c r="AJ12" i="25"/>
  <c r="AJ13" i="25"/>
  <c r="AJ14" i="25"/>
  <c r="AJ15" i="25"/>
  <c r="AJ16" i="25"/>
  <c r="AJ17" i="25"/>
  <c r="AJ18" i="25"/>
  <c r="AJ19" i="25"/>
  <c r="AJ20" i="25"/>
  <c r="AJ21" i="25"/>
  <c r="AJ22" i="25"/>
  <c r="AJ23" i="25"/>
  <c r="AJ24" i="25"/>
  <c r="AJ25" i="25"/>
  <c r="AJ26" i="25"/>
  <c r="AJ27" i="25"/>
  <c r="AJ28" i="25"/>
  <c r="AJ29" i="25"/>
  <c r="AJ30" i="25"/>
  <c r="AJ31" i="25"/>
  <c r="AJ32" i="25"/>
  <c r="AJ33" i="25"/>
  <c r="AJ34" i="25"/>
  <c r="AJ35" i="25"/>
  <c r="AJ36" i="25"/>
  <c r="AJ37" i="25"/>
  <c r="AJ38" i="25"/>
  <c r="AJ39" i="25"/>
  <c r="AJ40" i="25"/>
  <c r="AH3" i="25"/>
  <c r="AH4" i="25"/>
  <c r="AH5" i="25"/>
  <c r="AH6" i="25"/>
  <c r="AH7" i="25"/>
  <c r="AH8" i="25"/>
  <c r="AH9" i="25"/>
  <c r="AH10" i="25"/>
  <c r="AH11" i="25"/>
  <c r="AH12" i="25"/>
  <c r="AH13" i="25"/>
  <c r="AH14" i="25"/>
  <c r="AH15" i="25"/>
  <c r="AH16" i="25"/>
  <c r="AH17" i="25"/>
  <c r="AH18" i="25"/>
  <c r="AH19" i="25"/>
  <c r="AH20" i="25"/>
  <c r="AH21" i="25"/>
  <c r="AH22" i="25"/>
  <c r="AH23" i="25"/>
  <c r="AH24" i="25"/>
  <c r="AH25" i="25"/>
  <c r="AH26" i="25"/>
  <c r="AH27" i="25"/>
  <c r="AH28" i="25"/>
  <c r="AH29" i="25"/>
  <c r="AH30" i="25"/>
  <c r="AH31" i="25"/>
  <c r="AH32" i="25"/>
  <c r="AH33" i="25"/>
  <c r="AH34" i="25"/>
  <c r="AH35" i="25"/>
  <c r="AH36" i="25"/>
  <c r="AH37" i="25"/>
  <c r="AH38" i="25"/>
  <c r="AH39" i="25"/>
  <c r="AH40" i="25"/>
  <c r="AS39" i="25"/>
  <c r="AN39" i="25"/>
  <c r="AS38" i="25"/>
  <c r="AN38" i="25"/>
  <c r="AS37" i="25"/>
  <c r="AN37" i="25"/>
  <c r="AS36" i="25"/>
  <c r="AN36" i="25"/>
  <c r="AQ3" i="25"/>
  <c r="AQ4" i="25"/>
  <c r="AQ5" i="25"/>
  <c r="AQ6" i="25"/>
  <c r="AQ7" i="25"/>
  <c r="AQ8" i="25"/>
  <c r="AQ9" i="25"/>
  <c r="AQ10" i="25"/>
  <c r="AQ11" i="25"/>
  <c r="AQ12" i="25"/>
  <c r="AQ13" i="25"/>
  <c r="AQ14" i="25"/>
  <c r="AQ15" i="25"/>
  <c r="AQ16" i="25"/>
  <c r="AQ17" i="25"/>
  <c r="AQ18" i="25"/>
  <c r="AQ19" i="25"/>
  <c r="AQ20" i="25"/>
  <c r="AQ21" i="25"/>
  <c r="AQ22" i="25"/>
  <c r="AQ23" i="25"/>
  <c r="AQ24" i="25"/>
  <c r="AQ25" i="25"/>
  <c r="AQ26" i="25"/>
  <c r="AQ27" i="25"/>
  <c r="AQ28" i="25"/>
  <c r="AQ29" i="25"/>
  <c r="AQ30" i="25"/>
  <c r="AQ31" i="25"/>
  <c r="AQ32" i="25"/>
  <c r="AQ33" i="25"/>
  <c r="AQ34" i="25"/>
  <c r="AQ35" i="25"/>
  <c r="AS35" i="25"/>
  <c r="AN35" i="25"/>
  <c r="AW3" i="25"/>
  <c r="AW4" i="25"/>
  <c r="AW5" i="25"/>
  <c r="AW6" i="25"/>
  <c r="AW7" i="25"/>
  <c r="AW8" i="25"/>
  <c r="AW9" i="25"/>
  <c r="AW10" i="25"/>
  <c r="AW11" i="25"/>
  <c r="AW12" i="25"/>
  <c r="AW13" i="25"/>
  <c r="AW14" i="25"/>
  <c r="AW15" i="25"/>
  <c r="AW16" i="25"/>
  <c r="AW17" i="25"/>
  <c r="AW18" i="25"/>
  <c r="AW19" i="25"/>
  <c r="AW20" i="25"/>
  <c r="AW21" i="25"/>
  <c r="AW22" i="25"/>
  <c r="AW23" i="25"/>
  <c r="AW24" i="25"/>
  <c r="AW25" i="25"/>
  <c r="AW26" i="25"/>
  <c r="AW27" i="25"/>
  <c r="AW28" i="25"/>
  <c r="AW29" i="25"/>
  <c r="AW30" i="25"/>
  <c r="AW31" i="25"/>
  <c r="AW32" i="25"/>
  <c r="AW33" i="25"/>
  <c r="AW34" i="25"/>
  <c r="AV3" i="25"/>
  <c r="AV4" i="25"/>
  <c r="AV5" i="25"/>
  <c r="AV6" i="25"/>
  <c r="AV7" i="25"/>
  <c r="AV8" i="25"/>
  <c r="AV9" i="25"/>
  <c r="AV10" i="25"/>
  <c r="AV11" i="25"/>
  <c r="AV12" i="25"/>
  <c r="AV13" i="25"/>
  <c r="AV14" i="25"/>
  <c r="AV15" i="25"/>
  <c r="AV16" i="25"/>
  <c r="AV17" i="25"/>
  <c r="AV18" i="25"/>
  <c r="AV19" i="25"/>
  <c r="AV20" i="25"/>
  <c r="AV21" i="25"/>
  <c r="AV22" i="25"/>
  <c r="AV23" i="25"/>
  <c r="AV24" i="25"/>
  <c r="AV25" i="25"/>
  <c r="AV26" i="25"/>
  <c r="AV27" i="25"/>
  <c r="AV28" i="25"/>
  <c r="AV29" i="25"/>
  <c r="AV30" i="25"/>
  <c r="AV31" i="25"/>
  <c r="AV32" i="25"/>
  <c r="AV33" i="25"/>
  <c r="AV34" i="25"/>
  <c r="AT3" i="25"/>
  <c r="AT4" i="25"/>
  <c r="AT5" i="25"/>
  <c r="AT6" i="25"/>
  <c r="AT7" i="25"/>
  <c r="AT8" i="25"/>
  <c r="AT9" i="25"/>
  <c r="AT10" i="25"/>
  <c r="AT11" i="25"/>
  <c r="AT12" i="25"/>
  <c r="AT13" i="25"/>
  <c r="AT14" i="25"/>
  <c r="AT15" i="25"/>
  <c r="AT16" i="25"/>
  <c r="AT17" i="25"/>
  <c r="AT18" i="25"/>
  <c r="AT19" i="25"/>
  <c r="AT20" i="25"/>
  <c r="AT21" i="25"/>
  <c r="AT22" i="25"/>
  <c r="AT23" i="25"/>
  <c r="AT24" i="25"/>
  <c r="AT25" i="25"/>
  <c r="AT26" i="25"/>
  <c r="AT27" i="25"/>
  <c r="AT28" i="25"/>
  <c r="AT29" i="25"/>
  <c r="AT30" i="25"/>
  <c r="AT31" i="25"/>
  <c r="AT32" i="25"/>
  <c r="AT33" i="25"/>
  <c r="AT34" i="25"/>
  <c r="AS34" i="25"/>
  <c r="AR3" i="25"/>
  <c r="AR4" i="25"/>
  <c r="AR5" i="25"/>
  <c r="AR6" i="25"/>
  <c r="AR7" i="25"/>
  <c r="AR8" i="25"/>
  <c r="AR9" i="25"/>
  <c r="AR10" i="25"/>
  <c r="AR11" i="25"/>
  <c r="AR12" i="25"/>
  <c r="AR13" i="25"/>
  <c r="AR14" i="25"/>
  <c r="AR15" i="25"/>
  <c r="AR16" i="25"/>
  <c r="AR17" i="25"/>
  <c r="AR18" i="25"/>
  <c r="AR19" i="25"/>
  <c r="AR20" i="25"/>
  <c r="AR21" i="25"/>
  <c r="AR22" i="25"/>
  <c r="AR23" i="25"/>
  <c r="AR24" i="25"/>
  <c r="AR25" i="25"/>
  <c r="AR26" i="25"/>
  <c r="AR27" i="25"/>
  <c r="AR28" i="25"/>
  <c r="AR29" i="25"/>
  <c r="AR30" i="25"/>
  <c r="AR31" i="25"/>
  <c r="AR32" i="25"/>
  <c r="AR33" i="25"/>
  <c r="AR34" i="25"/>
  <c r="AP3" i="25"/>
  <c r="AP4" i="25"/>
  <c r="AP5" i="25"/>
  <c r="AP6" i="25"/>
  <c r="AP7" i="25"/>
  <c r="AP8" i="25"/>
  <c r="AP9" i="25"/>
  <c r="AP10" i="25"/>
  <c r="AP11" i="25"/>
  <c r="AP12" i="25"/>
  <c r="AP13" i="25"/>
  <c r="AP14" i="25"/>
  <c r="AP15" i="25"/>
  <c r="AP16" i="25"/>
  <c r="AP17" i="25"/>
  <c r="AP18" i="25"/>
  <c r="AP19" i="25"/>
  <c r="AP20" i="25"/>
  <c r="AP21" i="25"/>
  <c r="AP22" i="25"/>
  <c r="AP23" i="25"/>
  <c r="AP24" i="25"/>
  <c r="AP25" i="25"/>
  <c r="AP26" i="25"/>
  <c r="AP27" i="25"/>
  <c r="AP28" i="25"/>
  <c r="AP29" i="25"/>
  <c r="AP30" i="25"/>
  <c r="AP31" i="25"/>
  <c r="AP32" i="25"/>
  <c r="AP33" i="25"/>
  <c r="AP34" i="25"/>
  <c r="AN34" i="25"/>
  <c r="AM3" i="25"/>
  <c r="AM4" i="25"/>
  <c r="AM5" i="25"/>
  <c r="AM6" i="25"/>
  <c r="AM7" i="25"/>
  <c r="AM8" i="25"/>
  <c r="AM9" i="25"/>
  <c r="AM10" i="25"/>
  <c r="AM11" i="25"/>
  <c r="AM12" i="25"/>
  <c r="AM13" i="25"/>
  <c r="AM14" i="25"/>
  <c r="AM15" i="25"/>
  <c r="AM16" i="25"/>
  <c r="AM17" i="25"/>
  <c r="AM18" i="25"/>
  <c r="AM19" i="25"/>
  <c r="AM20" i="25"/>
  <c r="AM21" i="25"/>
  <c r="AM22" i="25"/>
  <c r="AM23" i="25"/>
  <c r="AM24" i="25"/>
  <c r="AM25" i="25"/>
  <c r="AM26" i="25"/>
  <c r="AM27" i="25"/>
  <c r="AM28" i="25"/>
  <c r="AM29" i="25"/>
  <c r="AM30" i="25"/>
  <c r="AM31" i="25"/>
  <c r="AM32" i="25"/>
  <c r="AM33" i="25"/>
  <c r="AM34" i="25"/>
  <c r="AS33" i="25"/>
  <c r="AL3" i="25"/>
  <c r="AL4" i="25"/>
  <c r="AL5" i="25"/>
  <c r="AL6" i="25"/>
  <c r="AL7" i="25"/>
  <c r="AL8" i="25"/>
  <c r="AL9" i="25"/>
  <c r="AL10" i="25"/>
  <c r="AL11" i="25"/>
  <c r="AL12" i="25"/>
  <c r="AL13" i="25"/>
  <c r="AL14" i="25"/>
  <c r="AL15" i="25"/>
  <c r="AL16" i="25"/>
  <c r="AL17" i="25"/>
  <c r="AL18" i="25"/>
  <c r="AL19" i="25"/>
  <c r="AL20" i="25"/>
  <c r="AL21" i="25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N33" i="25"/>
  <c r="AS32" i="25"/>
  <c r="AN32" i="25"/>
  <c r="AS31" i="25"/>
  <c r="AN31" i="25"/>
  <c r="AS30" i="25"/>
  <c r="AN30" i="25"/>
  <c r="AS29" i="25"/>
  <c r="AN29" i="25"/>
  <c r="AS28" i="25"/>
  <c r="AN28" i="25"/>
  <c r="AS27" i="25"/>
  <c r="AN27" i="25"/>
  <c r="AS26" i="25"/>
  <c r="AN26" i="25"/>
  <c r="AS25" i="25"/>
  <c r="AN25" i="25"/>
  <c r="AS24" i="25"/>
  <c r="AN24" i="25"/>
  <c r="AS23" i="25"/>
  <c r="AN23" i="25"/>
  <c r="AS22" i="25"/>
  <c r="AN22" i="25"/>
  <c r="AS21" i="25"/>
  <c r="AN21" i="25"/>
  <c r="AS20" i="25"/>
  <c r="AN20" i="25"/>
  <c r="AS19" i="25"/>
  <c r="AN19" i="25"/>
  <c r="AS18" i="25"/>
  <c r="AN18" i="25"/>
  <c r="AS17" i="25"/>
  <c r="AN17" i="25"/>
  <c r="AS16" i="25"/>
  <c r="AN16" i="25"/>
  <c r="AS15" i="25"/>
  <c r="AN15" i="25"/>
  <c r="AS14" i="25"/>
  <c r="AN14" i="25"/>
  <c r="AS13" i="25"/>
  <c r="AN13" i="25"/>
  <c r="AS12" i="25"/>
  <c r="AN12" i="25"/>
  <c r="AS11" i="25"/>
  <c r="AN11" i="25"/>
  <c r="AS10" i="25"/>
  <c r="AN10" i="25"/>
  <c r="AS9" i="25"/>
  <c r="AN9" i="25"/>
  <c r="AS8" i="25"/>
  <c r="AN8" i="25"/>
  <c r="AS7" i="25"/>
  <c r="AN7" i="25"/>
  <c r="AS6" i="25"/>
  <c r="AN6" i="25"/>
  <c r="AS5" i="25"/>
  <c r="AN5" i="25"/>
  <c r="AS4" i="25"/>
  <c r="AN4" i="25"/>
  <c r="AS3" i="25"/>
  <c r="AN3" i="25"/>
  <c r="AS2" i="25"/>
  <c r="AN2" i="25"/>
  <c r="X3" i="42"/>
  <c r="U502" i="11"/>
  <c r="X4" i="42"/>
  <c r="U503" i="11"/>
  <c r="X5" i="42"/>
  <c r="U504" i="11"/>
  <c r="X6" i="42"/>
  <c r="U505" i="11"/>
  <c r="X7" i="42"/>
  <c r="U506" i="11"/>
  <c r="X8" i="42"/>
  <c r="U507" i="11"/>
  <c r="X9" i="42"/>
  <c r="U508" i="11"/>
  <c r="X10" i="42"/>
  <c r="U509" i="11"/>
  <c r="X11" i="42"/>
  <c r="U510" i="11"/>
  <c r="X12" i="42"/>
  <c r="U511" i="11"/>
  <c r="X13" i="42"/>
  <c r="U512" i="11"/>
  <c r="X14" i="42"/>
  <c r="U513" i="11"/>
  <c r="X15" i="42"/>
  <c r="U514" i="11"/>
  <c r="X16" i="42"/>
  <c r="U515" i="11"/>
  <c r="X17" i="42"/>
  <c r="U516" i="11"/>
  <c r="X18" i="42"/>
  <c r="U517" i="11"/>
  <c r="X19" i="42"/>
  <c r="U518" i="11"/>
  <c r="X20" i="42"/>
  <c r="U519" i="11"/>
  <c r="X21" i="42"/>
  <c r="U520" i="11"/>
  <c r="X22" i="42"/>
  <c r="U521" i="11"/>
  <c r="X23" i="42"/>
  <c r="U522" i="11"/>
  <c r="X24" i="42"/>
  <c r="U523" i="11"/>
  <c r="X25" i="42"/>
  <c r="U524" i="11"/>
  <c r="X26" i="42"/>
  <c r="U525" i="11"/>
  <c r="X27" i="42"/>
  <c r="U526" i="11"/>
  <c r="X28" i="42"/>
  <c r="U527" i="11"/>
  <c r="X29" i="42"/>
  <c r="U528" i="11"/>
  <c r="X30" i="42"/>
  <c r="U529" i="11"/>
  <c r="X31" i="42"/>
  <c r="U530" i="11"/>
  <c r="X32" i="42"/>
  <c r="U531" i="11"/>
  <c r="X33" i="42"/>
  <c r="U532" i="11"/>
  <c r="X34" i="42"/>
  <c r="U533" i="11"/>
  <c r="X35" i="42"/>
  <c r="U534" i="11"/>
  <c r="X36" i="42"/>
  <c r="U535" i="11"/>
  <c r="X37" i="42"/>
  <c r="U536" i="11"/>
  <c r="X38" i="42"/>
  <c r="U537" i="11"/>
  <c r="X39" i="42"/>
  <c r="U538" i="11"/>
  <c r="X40" i="42"/>
  <c r="U539" i="11"/>
  <c r="X41" i="42"/>
  <c r="U540" i="11"/>
  <c r="X42" i="42"/>
  <c r="U541" i="11"/>
  <c r="X43" i="42"/>
  <c r="U542" i="11"/>
  <c r="X44" i="42"/>
  <c r="U543" i="11"/>
  <c r="X45" i="42"/>
  <c r="U544" i="11"/>
  <c r="X46" i="42"/>
  <c r="U545" i="11"/>
  <c r="X47" i="42"/>
  <c r="U546" i="11"/>
  <c r="X48" i="42"/>
  <c r="U547" i="11"/>
  <c r="X49" i="42"/>
  <c r="U548" i="11"/>
  <c r="X50" i="42"/>
  <c r="U549" i="11"/>
  <c r="X51" i="42"/>
  <c r="U550" i="11"/>
  <c r="X52" i="42"/>
  <c r="U551" i="11"/>
  <c r="X53" i="42"/>
  <c r="U552" i="11"/>
  <c r="X54" i="42"/>
  <c r="U553" i="11"/>
  <c r="X55" i="42"/>
  <c r="U554" i="11"/>
  <c r="X56" i="42"/>
  <c r="U555" i="11"/>
  <c r="X57" i="42"/>
  <c r="U556" i="11"/>
  <c r="X58" i="42"/>
  <c r="U557" i="11"/>
  <c r="X59" i="42"/>
  <c r="U558" i="11"/>
  <c r="X60" i="42"/>
  <c r="U559" i="11"/>
  <c r="X61" i="42"/>
  <c r="U560" i="11"/>
  <c r="X62" i="42"/>
  <c r="U561" i="11"/>
  <c r="X63" i="42"/>
  <c r="U562" i="11"/>
  <c r="X64" i="42"/>
  <c r="U563" i="11"/>
  <c r="X65" i="42"/>
  <c r="U564" i="11"/>
  <c r="X66" i="42"/>
  <c r="U565" i="11"/>
  <c r="X67" i="42"/>
  <c r="U566" i="11"/>
  <c r="X68" i="42"/>
  <c r="U567" i="11"/>
  <c r="X69" i="42"/>
  <c r="U568" i="11"/>
  <c r="X70" i="42"/>
  <c r="U569" i="11"/>
  <c r="X71" i="42"/>
  <c r="U570" i="11"/>
  <c r="X72" i="42"/>
  <c r="U571" i="11"/>
  <c r="X73" i="42"/>
  <c r="U572" i="11"/>
  <c r="X74" i="42"/>
  <c r="U573" i="11"/>
  <c r="X75" i="42"/>
  <c r="U574" i="11"/>
  <c r="X76" i="42"/>
  <c r="U575" i="11"/>
  <c r="X77" i="42"/>
  <c r="U576" i="11"/>
  <c r="X78" i="42"/>
  <c r="U577" i="11"/>
  <c r="X79" i="42"/>
  <c r="U578" i="11"/>
  <c r="X80" i="42"/>
  <c r="U579" i="11"/>
  <c r="X81" i="42"/>
  <c r="U580" i="11"/>
  <c r="X82" i="42"/>
  <c r="U581" i="11"/>
  <c r="X83" i="42"/>
  <c r="U582" i="11"/>
  <c r="U501" i="11"/>
  <c r="AA3" i="41"/>
  <c r="AA4" i="41"/>
  <c r="AA5" i="41"/>
  <c r="AA6" i="41"/>
  <c r="AA7" i="41"/>
  <c r="AA8" i="41"/>
  <c r="AA9" i="41"/>
  <c r="AA10" i="41"/>
  <c r="AA11" i="41"/>
  <c r="AA12" i="41"/>
  <c r="AA13" i="41"/>
  <c r="AA14" i="41"/>
  <c r="AA15" i="41"/>
  <c r="AA16" i="41"/>
  <c r="AA17" i="41"/>
  <c r="AA18" i="41"/>
  <c r="AA19" i="41"/>
  <c r="AA20" i="41"/>
  <c r="AA21" i="41"/>
  <c r="AA22" i="41"/>
  <c r="AA23" i="41"/>
  <c r="AA24" i="41"/>
  <c r="AA25" i="41"/>
  <c r="AA26" i="41"/>
  <c r="AA27" i="41"/>
  <c r="AA28" i="41"/>
  <c r="AA29" i="41"/>
  <c r="AA30" i="41"/>
  <c r="AA31" i="41"/>
  <c r="AA32" i="41"/>
  <c r="AA33" i="41"/>
  <c r="AA34" i="41"/>
  <c r="AA35" i="41"/>
  <c r="AA36" i="41"/>
  <c r="AA37" i="41"/>
  <c r="AA38" i="41"/>
  <c r="AA39" i="41"/>
  <c r="AA40" i="41"/>
  <c r="AA41" i="41"/>
  <c r="AA42" i="41"/>
  <c r="AA43" i="41"/>
  <c r="AA44" i="41"/>
  <c r="AA45" i="41"/>
  <c r="AA46" i="41"/>
  <c r="AA47" i="41"/>
  <c r="AA48" i="41"/>
  <c r="AA49" i="41"/>
  <c r="AA50" i="41"/>
  <c r="AA51" i="41"/>
  <c r="AA52" i="41"/>
  <c r="AA53" i="41"/>
  <c r="AA54" i="41"/>
  <c r="AA55" i="41"/>
  <c r="AA56" i="41"/>
  <c r="AA57" i="41"/>
  <c r="AA58" i="41"/>
  <c r="AA59" i="41"/>
  <c r="AA60" i="41"/>
  <c r="AA61" i="41"/>
  <c r="AA62" i="41"/>
  <c r="AA63" i="41"/>
  <c r="AA64" i="41"/>
  <c r="AA65" i="41"/>
  <c r="AA66" i="41"/>
  <c r="AA67" i="41"/>
  <c r="AA68" i="41"/>
  <c r="AA69" i="41"/>
  <c r="AA70" i="41"/>
  <c r="AA71" i="41"/>
  <c r="AA72" i="41"/>
  <c r="AA73" i="41"/>
  <c r="AA74" i="41"/>
  <c r="AA75" i="41"/>
  <c r="AA76" i="41"/>
  <c r="AA77" i="41"/>
  <c r="AA78" i="41"/>
  <c r="AA79" i="41"/>
  <c r="AA80" i="41"/>
  <c r="AA81" i="41"/>
  <c r="AA82" i="41"/>
  <c r="AA83" i="41"/>
  <c r="AA84" i="41"/>
  <c r="AA85" i="41"/>
  <c r="AA86" i="41"/>
  <c r="AA87" i="41"/>
  <c r="AA88" i="41"/>
  <c r="AA89" i="41"/>
  <c r="AA90" i="41"/>
  <c r="AA91" i="41"/>
  <c r="AA92" i="41"/>
  <c r="AA93" i="41"/>
  <c r="AA94" i="41"/>
  <c r="AA95" i="41"/>
  <c r="AA96" i="41"/>
  <c r="AA97" i="41"/>
  <c r="AA98" i="41"/>
  <c r="AA99" i="41"/>
  <c r="AA100" i="41"/>
  <c r="AA101" i="41"/>
  <c r="AA102" i="41"/>
  <c r="AA103" i="41"/>
  <c r="AA104" i="41"/>
  <c r="AA105" i="41"/>
  <c r="AA106" i="41"/>
  <c r="AA107" i="41"/>
  <c r="AA108" i="41"/>
  <c r="AA109" i="41"/>
  <c r="AA110" i="41"/>
  <c r="AA111" i="41"/>
  <c r="AA112" i="41"/>
  <c r="AA113" i="41"/>
  <c r="AA114" i="41"/>
  <c r="AA115" i="41"/>
  <c r="AA116" i="41"/>
  <c r="AA117" i="41"/>
  <c r="AA118" i="41"/>
  <c r="AA119" i="41"/>
  <c r="AA120" i="41"/>
  <c r="AA121" i="41"/>
  <c r="Z3" i="41"/>
  <c r="Z4" i="41"/>
  <c r="Z5" i="41"/>
  <c r="Z6" i="41"/>
  <c r="Z7" i="41"/>
  <c r="Z8" i="41"/>
  <c r="Z9" i="41"/>
  <c r="Z10" i="41"/>
  <c r="Z11" i="41"/>
  <c r="Z12" i="41"/>
  <c r="Z13" i="41"/>
  <c r="Z14" i="41"/>
  <c r="Z15" i="41"/>
  <c r="Z16" i="41"/>
  <c r="Z17" i="41"/>
  <c r="Z18" i="41"/>
  <c r="Z19" i="41"/>
  <c r="Z20" i="41"/>
  <c r="Z21" i="41"/>
  <c r="Z22" i="41"/>
  <c r="Z23" i="41"/>
  <c r="Z24" i="41"/>
  <c r="Z25" i="41"/>
  <c r="Z26" i="41"/>
  <c r="Z27" i="41"/>
  <c r="Z28" i="41"/>
  <c r="Z29" i="41"/>
  <c r="Z30" i="41"/>
  <c r="Z31" i="41"/>
  <c r="Z32" i="41"/>
  <c r="Z33" i="41"/>
  <c r="Z34" i="41"/>
  <c r="Z35" i="41"/>
  <c r="Z36" i="41"/>
  <c r="Z37" i="41"/>
  <c r="Z38" i="41"/>
  <c r="Z39" i="41"/>
  <c r="Z40" i="41"/>
  <c r="Z41" i="41"/>
  <c r="Z42" i="41"/>
  <c r="Z43" i="41"/>
  <c r="Z44" i="41"/>
  <c r="Z45" i="41"/>
  <c r="Z46" i="41"/>
  <c r="Z47" i="41"/>
  <c r="Z48" i="41"/>
  <c r="Z49" i="41"/>
  <c r="Z50" i="41"/>
  <c r="Z51" i="41"/>
  <c r="Z52" i="41"/>
  <c r="Z53" i="41"/>
  <c r="Z54" i="41"/>
  <c r="Z55" i="41"/>
  <c r="Z56" i="41"/>
  <c r="Z57" i="41"/>
  <c r="Z58" i="41"/>
  <c r="Z59" i="41"/>
  <c r="Z60" i="41"/>
  <c r="Z61" i="41"/>
  <c r="Z62" i="41"/>
  <c r="Z63" i="41"/>
  <c r="Z64" i="41"/>
  <c r="Z65" i="41"/>
  <c r="Z66" i="41"/>
  <c r="Z67" i="41"/>
  <c r="Z68" i="41"/>
  <c r="Z69" i="41"/>
  <c r="Z70" i="41"/>
  <c r="Z71" i="41"/>
  <c r="Z72" i="41"/>
  <c r="Z73" i="41"/>
  <c r="Z74" i="41"/>
  <c r="Z75" i="41"/>
  <c r="Z76" i="41"/>
  <c r="Z77" i="41"/>
  <c r="Z78" i="41"/>
  <c r="Z79" i="41"/>
  <c r="Z80" i="41"/>
  <c r="Z81" i="41"/>
  <c r="Z82" i="41"/>
  <c r="Z83" i="41"/>
  <c r="Z84" i="41"/>
  <c r="Z85" i="41"/>
  <c r="Z86" i="41"/>
  <c r="Z87" i="41"/>
  <c r="Z88" i="41"/>
  <c r="Z89" i="41"/>
  <c r="Z90" i="41"/>
  <c r="Z91" i="41"/>
  <c r="Z92" i="41"/>
  <c r="Z93" i="41"/>
  <c r="Z94" i="41"/>
  <c r="Z95" i="41"/>
  <c r="Z96" i="41"/>
  <c r="Z97" i="41"/>
  <c r="Z98" i="41"/>
  <c r="Z99" i="41"/>
  <c r="Z100" i="41"/>
  <c r="Z101" i="41"/>
  <c r="Z102" i="41"/>
  <c r="Z103" i="41"/>
  <c r="Z104" i="41"/>
  <c r="Z105" i="41"/>
  <c r="Z106" i="41"/>
  <c r="Z107" i="41"/>
  <c r="Z108" i="41"/>
  <c r="Z109" i="41"/>
  <c r="Z110" i="41"/>
  <c r="Z111" i="41"/>
  <c r="Z112" i="41"/>
  <c r="Z113" i="41"/>
  <c r="Z114" i="41"/>
  <c r="Z115" i="41"/>
  <c r="Z116" i="41"/>
  <c r="Z117" i="41"/>
  <c r="Z118" i="41"/>
  <c r="Z119" i="41"/>
  <c r="Z120" i="41"/>
  <c r="Z121" i="41"/>
  <c r="Y3" i="41"/>
  <c r="Y4" i="41"/>
  <c r="Y5" i="41"/>
  <c r="Y6" i="41"/>
  <c r="Y7" i="41"/>
  <c r="Y8" i="41"/>
  <c r="Y9" i="41"/>
  <c r="Y10" i="41"/>
  <c r="Y11" i="41"/>
  <c r="Y12" i="41"/>
  <c r="Y13" i="41"/>
  <c r="Y14" i="41"/>
  <c r="Y15" i="41"/>
  <c r="Y16" i="41"/>
  <c r="Y17" i="41"/>
  <c r="Y18" i="41"/>
  <c r="Y19" i="41"/>
  <c r="Y20" i="41"/>
  <c r="Y21" i="41"/>
  <c r="Y22" i="41"/>
  <c r="Y23" i="41"/>
  <c r="Y24" i="41"/>
  <c r="Y25" i="41"/>
  <c r="Y26" i="41"/>
  <c r="Y27" i="41"/>
  <c r="Y28" i="41"/>
  <c r="Y29" i="41"/>
  <c r="Y30" i="41"/>
  <c r="Y31" i="41"/>
  <c r="Y32" i="41"/>
  <c r="Y33" i="41"/>
  <c r="Y34" i="41"/>
  <c r="Y35" i="41"/>
  <c r="Y36" i="41"/>
  <c r="Y37" i="41"/>
  <c r="Y38" i="41"/>
  <c r="Y39" i="41"/>
  <c r="Y40" i="41"/>
  <c r="Y41" i="41"/>
  <c r="Y42" i="41"/>
  <c r="Y43" i="41"/>
  <c r="Y44" i="41"/>
  <c r="Y45" i="41"/>
  <c r="Y46" i="41"/>
  <c r="Y47" i="41"/>
  <c r="Y48" i="41"/>
  <c r="Y49" i="41"/>
  <c r="Y50" i="41"/>
  <c r="Y51" i="41"/>
  <c r="Y52" i="41"/>
  <c r="Y53" i="41"/>
  <c r="Y54" i="41"/>
  <c r="Y55" i="41"/>
  <c r="Y56" i="41"/>
  <c r="Y57" i="41"/>
  <c r="Y58" i="41"/>
  <c r="Y59" i="41"/>
  <c r="Y60" i="41"/>
  <c r="Y61" i="41"/>
  <c r="Y62" i="41"/>
  <c r="Y63" i="41"/>
  <c r="Y64" i="41"/>
  <c r="Y65" i="41"/>
  <c r="Y66" i="41"/>
  <c r="Y67" i="41"/>
  <c r="Y68" i="41"/>
  <c r="Y69" i="41"/>
  <c r="Y70" i="41"/>
  <c r="Y71" i="41"/>
  <c r="Y72" i="41"/>
  <c r="Y73" i="41"/>
  <c r="Y74" i="41"/>
  <c r="Y75" i="41"/>
  <c r="Y76" i="41"/>
  <c r="Y77" i="41"/>
  <c r="Y78" i="41"/>
  <c r="Y79" i="41"/>
  <c r="Y80" i="41"/>
  <c r="Y81" i="41"/>
  <c r="Y82" i="41"/>
  <c r="Y83" i="41"/>
  <c r="Y84" i="41"/>
  <c r="Y85" i="41"/>
  <c r="Y86" i="41"/>
  <c r="Y87" i="41"/>
  <c r="Y88" i="41"/>
  <c r="Y89" i="41"/>
  <c r="Y90" i="41"/>
  <c r="Y91" i="41"/>
  <c r="Y92" i="41"/>
  <c r="Y93" i="41"/>
  <c r="Y94" i="41"/>
  <c r="Y95" i="41"/>
  <c r="Y96" i="41"/>
  <c r="Y97" i="41"/>
  <c r="Y98" i="41"/>
  <c r="Y99" i="41"/>
  <c r="Y100" i="41"/>
  <c r="Y101" i="41"/>
  <c r="Y102" i="41"/>
  <c r="Y103" i="41"/>
  <c r="Y104" i="41"/>
  <c r="Y105" i="41"/>
  <c r="Y106" i="41"/>
  <c r="Y107" i="41"/>
  <c r="Y108" i="41"/>
  <c r="Y109" i="41"/>
  <c r="Y110" i="41"/>
  <c r="Y111" i="41"/>
  <c r="Y112" i="41"/>
  <c r="Y113" i="41"/>
  <c r="Y114" i="41"/>
  <c r="Y115" i="41"/>
  <c r="Y116" i="41"/>
  <c r="Y117" i="41"/>
  <c r="Y118" i="41"/>
  <c r="Y119" i="41"/>
  <c r="Y120" i="41"/>
  <c r="Y121" i="41"/>
  <c r="X3" i="41"/>
  <c r="X4" i="41"/>
  <c r="X5" i="41"/>
  <c r="X6" i="41"/>
  <c r="X7" i="41"/>
  <c r="X8" i="41"/>
  <c r="X9" i="41"/>
  <c r="X10" i="41"/>
  <c r="X11" i="41"/>
  <c r="X12" i="41"/>
  <c r="X13" i="41"/>
  <c r="X14" i="41"/>
  <c r="X15" i="41"/>
  <c r="X16" i="41"/>
  <c r="X17" i="41"/>
  <c r="X18" i="41"/>
  <c r="X19" i="41"/>
  <c r="X20" i="41"/>
  <c r="X21" i="41"/>
  <c r="X22" i="41"/>
  <c r="X23" i="41"/>
  <c r="X24" i="41"/>
  <c r="X25" i="41"/>
  <c r="X26" i="41"/>
  <c r="X27" i="41"/>
  <c r="X28" i="41"/>
  <c r="X29" i="41"/>
  <c r="X30" i="41"/>
  <c r="X31" i="41"/>
  <c r="X32" i="41"/>
  <c r="X33" i="41"/>
  <c r="X34" i="41"/>
  <c r="X35" i="41"/>
  <c r="X36" i="41"/>
  <c r="X37" i="41"/>
  <c r="X38" i="41"/>
  <c r="X39" i="41"/>
  <c r="X40" i="41"/>
  <c r="X41" i="41"/>
  <c r="X42" i="41"/>
  <c r="X43" i="41"/>
  <c r="X44" i="41"/>
  <c r="X45" i="41"/>
  <c r="X46" i="41"/>
  <c r="X47" i="41"/>
  <c r="X48" i="41"/>
  <c r="X49" i="41"/>
  <c r="X50" i="41"/>
  <c r="X51" i="41"/>
  <c r="X52" i="41"/>
  <c r="X53" i="41"/>
  <c r="X54" i="41"/>
  <c r="X55" i="41"/>
  <c r="X56" i="41"/>
  <c r="X57" i="41"/>
  <c r="X58" i="41"/>
  <c r="X59" i="41"/>
  <c r="X60" i="41"/>
  <c r="X61" i="41"/>
  <c r="X62" i="41"/>
  <c r="X63" i="41"/>
  <c r="X64" i="41"/>
  <c r="X65" i="41"/>
  <c r="X66" i="41"/>
  <c r="X67" i="41"/>
  <c r="X68" i="41"/>
  <c r="X69" i="41"/>
  <c r="X70" i="41"/>
  <c r="X71" i="41"/>
  <c r="X72" i="41"/>
  <c r="X73" i="41"/>
  <c r="X74" i="41"/>
  <c r="X75" i="41"/>
  <c r="X76" i="41"/>
  <c r="X77" i="41"/>
  <c r="X78" i="41"/>
  <c r="X79" i="41"/>
  <c r="X80" i="41"/>
  <c r="X81" i="41"/>
  <c r="X82" i="41"/>
  <c r="X83" i="41"/>
  <c r="X84" i="41"/>
  <c r="X85" i="41"/>
  <c r="X86" i="41"/>
  <c r="X87" i="41"/>
  <c r="X88" i="41"/>
  <c r="X89" i="41"/>
  <c r="X90" i="41"/>
  <c r="X91" i="41"/>
  <c r="X92" i="41"/>
  <c r="X93" i="41"/>
  <c r="X94" i="41"/>
  <c r="X95" i="41"/>
  <c r="X96" i="41"/>
  <c r="X97" i="41"/>
  <c r="X98" i="41"/>
  <c r="X99" i="41"/>
  <c r="X100" i="41"/>
  <c r="X101" i="41"/>
  <c r="X102" i="41"/>
  <c r="X103" i="41"/>
  <c r="X104" i="41"/>
  <c r="X105" i="41"/>
  <c r="X106" i="41"/>
  <c r="X107" i="41"/>
  <c r="X108" i="41"/>
  <c r="X109" i="41"/>
  <c r="X110" i="41"/>
  <c r="X111" i="41"/>
  <c r="X112" i="41"/>
  <c r="X113" i="41"/>
  <c r="X114" i="41"/>
  <c r="X115" i="41"/>
  <c r="X116" i="41"/>
  <c r="X117" i="41"/>
  <c r="X118" i="41"/>
  <c r="X119" i="41"/>
  <c r="X120" i="41"/>
  <c r="X121" i="41"/>
  <c r="U121" i="41"/>
  <c r="U120" i="41"/>
  <c r="U119" i="41"/>
  <c r="U118" i="41"/>
  <c r="U117" i="41"/>
  <c r="U116" i="41"/>
  <c r="U115" i="41"/>
  <c r="U114" i="41"/>
  <c r="U113" i="41"/>
  <c r="U112" i="41"/>
  <c r="U111" i="41"/>
  <c r="U110" i="41"/>
  <c r="U109" i="41"/>
  <c r="U108" i="41"/>
  <c r="U107" i="41"/>
  <c r="U106" i="41"/>
  <c r="U105" i="41"/>
  <c r="U104" i="41"/>
  <c r="U103" i="41"/>
  <c r="U102" i="41"/>
  <c r="U101" i="41"/>
  <c r="U100" i="41"/>
  <c r="U99" i="41"/>
  <c r="U98" i="41"/>
  <c r="U97" i="41"/>
  <c r="U96" i="41"/>
  <c r="U95" i="41"/>
  <c r="U94" i="41"/>
  <c r="U93" i="41"/>
  <c r="U92" i="41"/>
  <c r="U91" i="41"/>
  <c r="U90" i="41"/>
  <c r="U89" i="41"/>
  <c r="U88" i="41"/>
  <c r="U87" i="41"/>
  <c r="U86" i="41"/>
  <c r="U85" i="41"/>
  <c r="U84" i="41"/>
  <c r="U83" i="41"/>
  <c r="U82" i="41"/>
  <c r="U81" i="41"/>
  <c r="U80" i="41"/>
  <c r="U79" i="41"/>
  <c r="U78" i="41"/>
  <c r="U77" i="41"/>
  <c r="U76" i="41"/>
  <c r="U75" i="41"/>
  <c r="U74" i="41"/>
  <c r="U73" i="41"/>
  <c r="U72" i="41"/>
  <c r="U71" i="41"/>
  <c r="U70" i="41"/>
  <c r="U69" i="41"/>
  <c r="U68" i="41"/>
  <c r="U67" i="41"/>
  <c r="U66" i="41"/>
  <c r="U65" i="41"/>
  <c r="U64" i="41"/>
  <c r="U63" i="41"/>
  <c r="U62" i="41"/>
  <c r="U61" i="41"/>
  <c r="U60" i="41"/>
  <c r="U59" i="41"/>
  <c r="U58" i="41"/>
  <c r="U57" i="41"/>
  <c r="U56" i="41"/>
  <c r="U55" i="41"/>
  <c r="U54" i="41"/>
  <c r="U53" i="41"/>
  <c r="U52" i="41"/>
  <c r="U51" i="41"/>
  <c r="U50" i="41"/>
  <c r="U49" i="41"/>
  <c r="U48" i="41"/>
  <c r="U47" i="41"/>
  <c r="U46" i="41"/>
  <c r="U45" i="41"/>
  <c r="U44" i="41"/>
  <c r="U43" i="41"/>
  <c r="U42" i="41"/>
  <c r="U41" i="41"/>
  <c r="U40" i="41"/>
  <c r="U39" i="41"/>
  <c r="U38" i="41"/>
  <c r="U37" i="41"/>
  <c r="U36" i="41"/>
  <c r="U35" i="41"/>
  <c r="U34" i="41"/>
  <c r="U33" i="41"/>
  <c r="U32" i="41"/>
  <c r="U31" i="41"/>
  <c r="U30" i="41"/>
  <c r="U29" i="41"/>
  <c r="U28" i="41"/>
  <c r="U27" i="41"/>
  <c r="U26" i="41"/>
  <c r="U25" i="41"/>
  <c r="U24" i="41"/>
  <c r="U23" i="41"/>
  <c r="U22" i="41"/>
  <c r="U21" i="41"/>
  <c r="U20" i="41"/>
  <c r="U19" i="41"/>
  <c r="U18" i="41"/>
  <c r="U17" i="41"/>
  <c r="U16" i="41"/>
  <c r="U15" i="41"/>
  <c r="U14" i="41"/>
  <c r="U13" i="41"/>
  <c r="U12" i="41"/>
  <c r="U11" i="41"/>
  <c r="U10" i="41"/>
  <c r="U9" i="41"/>
  <c r="U8" i="41"/>
  <c r="U7" i="41"/>
  <c r="U6" i="41"/>
  <c r="U5" i="41"/>
  <c r="U4" i="41"/>
  <c r="U3" i="41"/>
  <c r="U2" i="41"/>
  <c r="K582" i="11"/>
  <c r="K581" i="11"/>
  <c r="K580" i="11"/>
  <c r="K579" i="11"/>
  <c r="K578" i="11"/>
  <c r="K577" i="11"/>
  <c r="K576" i="11"/>
  <c r="K575" i="11"/>
  <c r="K574" i="11"/>
  <c r="K573" i="11"/>
  <c r="K572" i="11"/>
  <c r="K571" i="11"/>
  <c r="K570" i="11"/>
  <c r="K569" i="11"/>
  <c r="K568" i="11"/>
  <c r="K567" i="11"/>
  <c r="K566" i="11"/>
  <c r="K565" i="11"/>
  <c r="K564" i="11"/>
  <c r="K563" i="11"/>
  <c r="K562" i="11"/>
  <c r="K561" i="11"/>
  <c r="K560" i="11"/>
  <c r="K559" i="11"/>
  <c r="K558" i="11"/>
  <c r="K557" i="11"/>
  <c r="K556" i="11"/>
  <c r="K555" i="11"/>
  <c r="K554" i="11"/>
  <c r="K553" i="11"/>
  <c r="K552" i="11"/>
  <c r="K551" i="11"/>
  <c r="K550" i="11"/>
  <c r="K549" i="11"/>
  <c r="K548" i="11"/>
  <c r="K547" i="11"/>
  <c r="K546" i="11"/>
  <c r="K545" i="11"/>
  <c r="K544" i="11"/>
  <c r="K543" i="11"/>
  <c r="K542" i="11"/>
  <c r="K541" i="11"/>
  <c r="K540" i="11"/>
  <c r="K539" i="11"/>
  <c r="K538" i="11"/>
  <c r="K537" i="11"/>
  <c r="K536" i="11"/>
  <c r="K535" i="11"/>
  <c r="K534" i="11"/>
  <c r="K533" i="11"/>
  <c r="K532" i="11"/>
  <c r="K531" i="11"/>
  <c r="K530" i="11"/>
  <c r="K529" i="11"/>
  <c r="K528" i="11"/>
  <c r="K527" i="11"/>
  <c r="K526" i="11"/>
  <c r="K525" i="11"/>
  <c r="K524" i="11"/>
  <c r="K523" i="11"/>
  <c r="K522" i="11"/>
  <c r="K521" i="11"/>
  <c r="K520" i="11"/>
  <c r="K519" i="11"/>
  <c r="K518" i="11"/>
  <c r="K517" i="11"/>
  <c r="K516" i="11"/>
  <c r="K515" i="11"/>
  <c r="K514" i="11"/>
  <c r="K513" i="11"/>
  <c r="K512" i="11"/>
  <c r="K511" i="11"/>
  <c r="K510" i="11"/>
  <c r="K509" i="11"/>
  <c r="K508" i="11"/>
  <c r="K507" i="11"/>
  <c r="K506" i="11"/>
  <c r="K505" i="11"/>
  <c r="K504" i="11"/>
  <c r="K503" i="11"/>
  <c r="K502" i="11"/>
  <c r="K501" i="11"/>
  <c r="AI3" i="32"/>
  <c r="AI4" i="32"/>
  <c r="AI5" i="32"/>
  <c r="AI6" i="32"/>
  <c r="AI7" i="32"/>
  <c r="AI8" i="32"/>
  <c r="AI9" i="32"/>
  <c r="AI10" i="32"/>
  <c r="AI11" i="32"/>
  <c r="AI12" i="32"/>
  <c r="AI13" i="32"/>
  <c r="AI14" i="32"/>
  <c r="AI15" i="32"/>
  <c r="AI16" i="32"/>
  <c r="AI17" i="32"/>
  <c r="AI18" i="32"/>
  <c r="AI19" i="32"/>
  <c r="AI20" i="32"/>
  <c r="AI21" i="32"/>
  <c r="AI22" i="32"/>
  <c r="AI23" i="32"/>
  <c r="AI24" i="32"/>
  <c r="AI25" i="32"/>
  <c r="AI26" i="32"/>
  <c r="AI27" i="32"/>
  <c r="AI28" i="32"/>
  <c r="AI29" i="32"/>
  <c r="AI30" i="32"/>
  <c r="AI31" i="32"/>
  <c r="AI32" i="32"/>
  <c r="AI33" i="32"/>
  <c r="AI34" i="32"/>
  <c r="AI35" i="32"/>
  <c r="AI36" i="32"/>
  <c r="AI37" i="32"/>
  <c r="AI38" i="32"/>
  <c r="AI39" i="32"/>
  <c r="AI40" i="32"/>
  <c r="AI41" i="32"/>
  <c r="AI42" i="32"/>
  <c r="AI43" i="32"/>
  <c r="AI44" i="32"/>
  <c r="AI45" i="32"/>
  <c r="AI46" i="32"/>
  <c r="AI47" i="32"/>
  <c r="AI48" i="32"/>
  <c r="AI49" i="32"/>
  <c r="AI50" i="32"/>
  <c r="AI51" i="32"/>
  <c r="AI52" i="32"/>
  <c r="AI53" i="32"/>
  <c r="AI54" i="32"/>
  <c r="AI55" i="32"/>
  <c r="AI56" i="32"/>
  <c r="AI57" i="32"/>
  <c r="AI58" i="32"/>
  <c r="AI59" i="32"/>
  <c r="AI60" i="32"/>
  <c r="AI61" i="32"/>
  <c r="AI62" i="32"/>
  <c r="AI63" i="32"/>
  <c r="AI64" i="32"/>
  <c r="AI65" i="32"/>
  <c r="AI66" i="32"/>
  <c r="AI67" i="32"/>
  <c r="AI68" i="32"/>
  <c r="AC3" i="32"/>
  <c r="AC4" i="32"/>
  <c r="AC5" i="32"/>
  <c r="AC6" i="32"/>
  <c r="AC7" i="32"/>
  <c r="AC8" i="32"/>
  <c r="AC9" i="32"/>
  <c r="AC10" i="32"/>
  <c r="AC11" i="32"/>
  <c r="AC12" i="32"/>
  <c r="AC13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E68" i="32"/>
  <c r="AE67" i="32"/>
  <c r="AE66" i="32"/>
  <c r="AE65" i="32"/>
  <c r="AE64" i="32"/>
  <c r="AE63" i="32"/>
  <c r="AE62" i="32"/>
  <c r="AE61" i="32"/>
  <c r="AE60" i="32"/>
  <c r="AE59" i="32"/>
  <c r="AE58" i="32"/>
  <c r="AE57" i="32"/>
  <c r="AE56" i="32"/>
  <c r="AE55" i="32"/>
  <c r="AE54" i="32"/>
  <c r="AE53" i="32"/>
  <c r="AE52" i="32"/>
  <c r="AE51" i="32"/>
  <c r="AE50" i="32"/>
  <c r="AE49" i="32"/>
  <c r="AE48" i="32"/>
  <c r="AE47" i="32"/>
  <c r="AE46" i="32"/>
  <c r="AE45" i="32"/>
  <c r="AE44" i="32"/>
  <c r="AE43" i="32"/>
  <c r="AE42" i="32"/>
  <c r="AE41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E8" i="32"/>
  <c r="AE7" i="32"/>
  <c r="AE6" i="32"/>
  <c r="AE5" i="32"/>
  <c r="AE4" i="32"/>
  <c r="AE3" i="32"/>
  <c r="AE2" i="32"/>
  <c r="L121" i="35"/>
  <c r="L120" i="35"/>
  <c r="L119" i="35"/>
  <c r="L118" i="35"/>
  <c r="L117" i="35"/>
  <c r="L116" i="35"/>
  <c r="L115" i="35"/>
  <c r="L114" i="35"/>
  <c r="L113" i="35"/>
  <c r="L112" i="35"/>
  <c r="L111" i="35"/>
  <c r="L110" i="35"/>
  <c r="L109" i="35"/>
  <c r="L108" i="35"/>
  <c r="L107" i="35"/>
  <c r="L106" i="35"/>
  <c r="L105" i="35"/>
  <c r="L104" i="35"/>
  <c r="L103" i="35"/>
  <c r="L102" i="35"/>
  <c r="L101" i="35"/>
  <c r="L100" i="35"/>
  <c r="L99" i="35"/>
  <c r="L98" i="35"/>
  <c r="L97" i="35"/>
  <c r="L96" i="35"/>
  <c r="L95" i="35"/>
  <c r="L94" i="35"/>
  <c r="L93" i="35"/>
  <c r="L92" i="35"/>
  <c r="L91" i="35"/>
  <c r="L90" i="35"/>
  <c r="L89" i="35"/>
  <c r="L88" i="35"/>
  <c r="L87" i="35"/>
  <c r="L86" i="35"/>
  <c r="L85" i="35"/>
  <c r="L84" i="35"/>
  <c r="L83" i="35"/>
  <c r="L82" i="35"/>
  <c r="L81" i="35"/>
  <c r="L80" i="35"/>
  <c r="L79" i="35"/>
  <c r="L78" i="35"/>
  <c r="L77" i="35"/>
  <c r="L76" i="35"/>
  <c r="L75" i="35"/>
  <c r="L74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1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8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5" i="35"/>
  <c r="L4" i="35"/>
  <c r="L3" i="35"/>
  <c r="L2" i="35"/>
  <c r="D126" i="35"/>
  <c r="O68" i="32"/>
  <c r="O67" i="32"/>
  <c r="O66" i="32"/>
  <c r="O65" i="32"/>
  <c r="O64" i="32"/>
  <c r="O63" i="32"/>
  <c r="O62" i="32"/>
  <c r="O61" i="32"/>
  <c r="O60" i="32"/>
  <c r="O59" i="32"/>
  <c r="O58" i="32"/>
  <c r="O57" i="32"/>
  <c r="O56" i="32"/>
  <c r="O55" i="32"/>
  <c r="O54" i="32"/>
  <c r="O53" i="32"/>
  <c r="O52" i="32"/>
  <c r="O51" i="32"/>
  <c r="O50" i="32"/>
  <c r="O49" i="32"/>
  <c r="O48" i="32"/>
  <c r="O47" i="32"/>
  <c r="O46" i="32"/>
  <c r="O45" i="32"/>
  <c r="O44" i="32"/>
  <c r="O43" i="32"/>
  <c r="O42" i="32"/>
  <c r="O41" i="32"/>
  <c r="O40" i="32"/>
  <c r="O39" i="32"/>
  <c r="O38" i="32"/>
  <c r="O37" i="32"/>
  <c r="O36" i="32"/>
  <c r="O35" i="32"/>
  <c r="O34" i="32"/>
  <c r="O33" i="32"/>
  <c r="O32" i="32"/>
  <c r="O31" i="32"/>
  <c r="O30" i="32"/>
  <c r="O29" i="32"/>
  <c r="O28" i="32"/>
  <c r="O27" i="32"/>
  <c r="O26" i="32"/>
  <c r="O25" i="32"/>
  <c r="O24" i="32"/>
  <c r="O23" i="32"/>
  <c r="O22" i="32"/>
  <c r="O21" i="32"/>
  <c r="O20" i="32"/>
  <c r="O19" i="32"/>
  <c r="O18" i="32"/>
  <c r="O17" i="32"/>
  <c r="O16" i="32"/>
  <c r="O15" i="32"/>
  <c r="O14" i="32"/>
  <c r="O13" i="32"/>
  <c r="O12" i="32"/>
  <c r="O11" i="32"/>
  <c r="O10" i="32"/>
  <c r="O9" i="32"/>
  <c r="O8" i="32"/>
  <c r="O7" i="32"/>
  <c r="O6" i="32"/>
  <c r="O5" i="32"/>
  <c r="O4" i="32"/>
  <c r="O3" i="32"/>
  <c r="O2" i="32"/>
  <c r="X3" i="35"/>
  <c r="O287" i="10"/>
  <c r="X4" i="35"/>
  <c r="O288" i="10"/>
  <c r="X5" i="35"/>
  <c r="O289" i="10"/>
  <c r="X6" i="35"/>
  <c r="O290" i="10"/>
  <c r="X7" i="35"/>
  <c r="O291" i="10"/>
  <c r="X8" i="35"/>
  <c r="O292" i="10"/>
  <c r="X9" i="35"/>
  <c r="O293" i="10"/>
  <c r="X10" i="35"/>
  <c r="O294" i="10"/>
  <c r="X11" i="35"/>
  <c r="O295" i="10"/>
  <c r="X12" i="35"/>
  <c r="O296" i="10"/>
  <c r="X13" i="35"/>
  <c r="O297" i="10"/>
  <c r="X14" i="35"/>
  <c r="O298" i="10"/>
  <c r="X15" i="35"/>
  <c r="O299" i="10"/>
  <c r="X16" i="35"/>
  <c r="O300" i="10"/>
  <c r="X17" i="35"/>
  <c r="O301" i="10"/>
  <c r="X18" i="35"/>
  <c r="O302" i="10"/>
  <c r="X19" i="35"/>
  <c r="O303" i="10"/>
  <c r="X20" i="35"/>
  <c r="O304" i="10"/>
  <c r="X21" i="35"/>
  <c r="O305" i="10"/>
  <c r="X22" i="35"/>
  <c r="O306" i="10"/>
  <c r="X23" i="35"/>
  <c r="O307" i="10"/>
  <c r="X24" i="35"/>
  <c r="O308" i="10"/>
  <c r="X25" i="35"/>
  <c r="O309" i="10"/>
  <c r="X26" i="35"/>
  <c r="O310" i="10"/>
  <c r="X27" i="35"/>
  <c r="O311" i="10"/>
  <c r="X28" i="35"/>
  <c r="O312" i="10"/>
  <c r="X29" i="35"/>
  <c r="O313" i="10"/>
  <c r="X30" i="35"/>
  <c r="O314" i="10"/>
  <c r="X31" i="35"/>
  <c r="O315" i="10"/>
  <c r="X32" i="35"/>
  <c r="O316" i="10"/>
  <c r="X33" i="35"/>
  <c r="O317" i="10"/>
  <c r="X34" i="35"/>
  <c r="O318" i="10"/>
  <c r="X35" i="35"/>
  <c r="O319" i="10"/>
  <c r="X36" i="35"/>
  <c r="O320" i="10"/>
  <c r="X37" i="35"/>
  <c r="O321" i="10"/>
  <c r="X38" i="35"/>
  <c r="O322" i="10"/>
  <c r="X39" i="35"/>
  <c r="O323" i="10"/>
  <c r="X40" i="35"/>
  <c r="O324" i="10"/>
  <c r="X41" i="35"/>
  <c r="O325" i="10"/>
  <c r="X42" i="35"/>
  <c r="O326" i="10"/>
  <c r="X43" i="35"/>
  <c r="O327" i="10"/>
  <c r="X44" i="35"/>
  <c r="O328" i="10"/>
  <c r="X45" i="35"/>
  <c r="O329" i="10"/>
  <c r="X46" i="35"/>
  <c r="O330" i="10"/>
  <c r="X47" i="35"/>
  <c r="O331" i="10"/>
  <c r="X48" i="35"/>
  <c r="O332" i="10"/>
  <c r="X49" i="35"/>
  <c r="O333" i="10"/>
  <c r="X50" i="35"/>
  <c r="O334" i="10"/>
  <c r="X51" i="35"/>
  <c r="O335" i="10"/>
  <c r="X52" i="35"/>
  <c r="O336" i="10"/>
  <c r="X53" i="35"/>
  <c r="O337" i="10"/>
  <c r="X54" i="35"/>
  <c r="O338" i="10"/>
  <c r="X55" i="35"/>
  <c r="O339" i="10"/>
  <c r="X56" i="35"/>
  <c r="O340" i="10"/>
  <c r="X57" i="35"/>
  <c r="O341" i="10"/>
  <c r="X58" i="35"/>
  <c r="O342" i="10"/>
  <c r="X59" i="35"/>
  <c r="O343" i="10"/>
  <c r="X60" i="35"/>
  <c r="O344" i="10"/>
  <c r="X61" i="35"/>
  <c r="O345" i="10"/>
  <c r="X62" i="35"/>
  <c r="O346" i="10"/>
  <c r="X63" i="35"/>
  <c r="O347" i="10"/>
  <c r="X64" i="35"/>
  <c r="O348" i="10"/>
  <c r="X65" i="35"/>
  <c r="O349" i="10"/>
  <c r="X66" i="35"/>
  <c r="O350" i="10"/>
  <c r="X67" i="35"/>
  <c r="O351" i="10"/>
  <c r="X68" i="35"/>
  <c r="O352" i="10"/>
  <c r="X69" i="35"/>
  <c r="O353" i="10"/>
  <c r="X70" i="35"/>
  <c r="O354" i="10"/>
  <c r="X71" i="35"/>
  <c r="O355" i="10"/>
  <c r="X72" i="35"/>
  <c r="O356" i="10"/>
  <c r="X73" i="35"/>
  <c r="O357" i="10"/>
  <c r="X74" i="35"/>
  <c r="O358" i="10"/>
  <c r="X75" i="35"/>
  <c r="O359" i="10"/>
  <c r="X76" i="35"/>
  <c r="O360" i="10"/>
  <c r="X77" i="35"/>
  <c r="O361" i="10"/>
  <c r="X78" i="35"/>
  <c r="O362" i="10"/>
  <c r="X79" i="35"/>
  <c r="O363" i="10"/>
  <c r="X80" i="35"/>
  <c r="O364" i="10"/>
  <c r="X81" i="35"/>
  <c r="O365" i="10"/>
  <c r="X82" i="35"/>
  <c r="O366" i="10"/>
  <c r="X83" i="35"/>
  <c r="O367" i="10"/>
  <c r="X84" i="35"/>
  <c r="O368" i="10"/>
  <c r="X85" i="35"/>
  <c r="O369" i="10"/>
  <c r="X86" i="35"/>
  <c r="O370" i="10"/>
  <c r="X87" i="35"/>
  <c r="O371" i="10"/>
  <c r="X88" i="35"/>
  <c r="O372" i="10"/>
  <c r="X89" i="35"/>
  <c r="O373" i="10"/>
  <c r="X90" i="35"/>
  <c r="O374" i="10"/>
  <c r="X91" i="35"/>
  <c r="O375" i="10"/>
  <c r="X92" i="35"/>
  <c r="O376" i="10"/>
  <c r="X93" i="35"/>
  <c r="O377" i="10"/>
  <c r="X94" i="35"/>
  <c r="O378" i="10"/>
  <c r="X95" i="35"/>
  <c r="O379" i="10"/>
  <c r="X96" i="35"/>
  <c r="O380" i="10"/>
  <c r="X97" i="35"/>
  <c r="O381" i="10"/>
  <c r="X98" i="35"/>
  <c r="O382" i="10"/>
  <c r="X99" i="35"/>
  <c r="O383" i="10"/>
  <c r="X100" i="35"/>
  <c r="O384" i="10"/>
  <c r="X101" i="35"/>
  <c r="O385" i="10"/>
  <c r="X102" i="35"/>
  <c r="O386" i="10"/>
  <c r="X103" i="35"/>
  <c r="O387" i="10"/>
  <c r="X104" i="35"/>
  <c r="O388" i="10"/>
  <c r="X105" i="35"/>
  <c r="O389" i="10"/>
  <c r="X106" i="35"/>
  <c r="O390" i="10"/>
  <c r="X107" i="35"/>
  <c r="O391" i="10"/>
  <c r="X108" i="35"/>
  <c r="O392" i="10"/>
  <c r="X109" i="35"/>
  <c r="O393" i="10"/>
  <c r="X110" i="35"/>
  <c r="O394" i="10"/>
  <c r="X111" i="35"/>
  <c r="O395" i="10"/>
  <c r="X112" i="35"/>
  <c r="O396" i="10"/>
  <c r="X113" i="35"/>
  <c r="O397" i="10"/>
  <c r="X114" i="35"/>
  <c r="O398" i="10"/>
  <c r="X115" i="35"/>
  <c r="O399" i="10"/>
  <c r="X116" i="35"/>
  <c r="O400" i="10"/>
  <c r="X117" i="35"/>
  <c r="O401" i="10"/>
  <c r="X118" i="35"/>
  <c r="O402" i="10"/>
  <c r="X119" i="35"/>
  <c r="O403" i="10"/>
  <c r="X120" i="35"/>
  <c r="O404" i="10"/>
  <c r="X121" i="35"/>
  <c r="O405" i="10"/>
  <c r="O286" i="10"/>
  <c r="V2" i="40"/>
  <c r="V3" i="40"/>
  <c r="V5" i="40"/>
  <c r="V6" i="40"/>
  <c r="V7" i="40"/>
  <c r="V8" i="40"/>
  <c r="V9" i="40"/>
  <c r="V10" i="40"/>
  <c r="V11" i="40"/>
  <c r="V12" i="40"/>
  <c r="V13" i="40"/>
  <c r="V14" i="40"/>
  <c r="V16" i="40"/>
  <c r="V17" i="40"/>
  <c r="V18" i="40"/>
  <c r="V20" i="40"/>
  <c r="V21" i="40"/>
  <c r="V22" i="40"/>
  <c r="V23" i="40"/>
  <c r="V24" i="40"/>
  <c r="V26" i="40"/>
  <c r="V27" i="40"/>
  <c r="V28" i="40"/>
  <c r="V29" i="40"/>
  <c r="V30" i="40"/>
  <c r="V32" i="40"/>
  <c r="V33" i="40"/>
  <c r="V34" i="40"/>
  <c r="V35" i="40"/>
  <c r="V36" i="40"/>
  <c r="V37" i="40"/>
  <c r="V38" i="40"/>
  <c r="V39" i="40"/>
  <c r="V40" i="40"/>
  <c r="V41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5" i="40"/>
  <c r="V67" i="40"/>
  <c r="V68" i="40"/>
  <c r="V69" i="40"/>
  <c r="V70" i="40"/>
  <c r="V71" i="40"/>
  <c r="V72" i="40"/>
  <c r="V73" i="40"/>
  <c r="V76" i="40"/>
  <c r="V77" i="40"/>
  <c r="V78" i="40"/>
  <c r="V79" i="40"/>
  <c r="V80" i="40"/>
  <c r="V81" i="40"/>
  <c r="V82" i="40"/>
  <c r="V84" i="40"/>
  <c r="V86" i="40"/>
  <c r="V87" i="40"/>
  <c r="V88" i="40"/>
  <c r="V89" i="40"/>
  <c r="V90" i="40"/>
  <c r="V91" i="40"/>
  <c r="V93" i="40"/>
  <c r="V95" i="40"/>
  <c r="V97" i="40"/>
  <c r="V98" i="40"/>
  <c r="V99" i="40"/>
  <c r="V100" i="40"/>
  <c r="V101" i="40"/>
  <c r="V102" i="40"/>
  <c r="V103" i="40"/>
  <c r="V104" i="40"/>
  <c r="V105" i="40"/>
  <c r="V106" i="40"/>
  <c r="V108" i="40"/>
  <c r="V109" i="40"/>
  <c r="V110" i="40"/>
  <c r="V111" i="40"/>
  <c r="V112" i="40"/>
  <c r="V113" i="40"/>
  <c r="V114" i="40"/>
  <c r="V117" i="40"/>
  <c r="V118" i="40"/>
  <c r="V119" i="40"/>
  <c r="V124" i="40"/>
  <c r="V123" i="40"/>
  <c r="V122" i="40"/>
  <c r="V121" i="40"/>
  <c r="T481" i="10"/>
  <c r="T482" i="10"/>
  <c r="T483" i="10"/>
  <c r="T484" i="10"/>
  <c r="T485" i="10"/>
  <c r="T486" i="10"/>
  <c r="T487" i="10"/>
  <c r="T488" i="10"/>
  <c r="T489" i="10"/>
  <c r="T490" i="10"/>
  <c r="T491" i="10"/>
  <c r="T492" i="10"/>
  <c r="T493" i="10"/>
  <c r="T494" i="10"/>
  <c r="T495" i="10"/>
  <c r="T496" i="10"/>
  <c r="T497" i="10"/>
  <c r="T498" i="10"/>
  <c r="T499" i="10"/>
  <c r="T500" i="10"/>
  <c r="T501" i="10"/>
  <c r="T502" i="10"/>
  <c r="T503" i="10"/>
  <c r="T504" i="10"/>
  <c r="T505" i="10"/>
  <c r="T506" i="10"/>
  <c r="T507" i="10"/>
  <c r="T508" i="10"/>
  <c r="T509" i="10"/>
  <c r="T510" i="10"/>
  <c r="T511" i="10"/>
  <c r="T512" i="10"/>
  <c r="T513" i="10"/>
  <c r="T514" i="10"/>
  <c r="T515" i="10"/>
  <c r="T516" i="10"/>
  <c r="T517" i="10"/>
  <c r="T518" i="10"/>
  <c r="T519" i="10"/>
  <c r="T520" i="10"/>
  <c r="T521" i="10"/>
  <c r="T522" i="10"/>
  <c r="T523" i="10"/>
  <c r="T524" i="10"/>
  <c r="T525" i="10"/>
  <c r="T526" i="10"/>
  <c r="T527" i="10"/>
  <c r="T528" i="10"/>
  <c r="T529" i="10"/>
  <c r="T530" i="10"/>
  <c r="T531" i="10"/>
  <c r="T532" i="10"/>
  <c r="T533" i="10"/>
  <c r="T534" i="10"/>
  <c r="T535" i="10"/>
  <c r="T536" i="10"/>
  <c r="T537" i="10"/>
  <c r="T538" i="10"/>
  <c r="T539" i="10"/>
  <c r="T540" i="10"/>
  <c r="T541" i="10"/>
  <c r="T542" i="10"/>
  <c r="T543" i="10"/>
  <c r="T544" i="10"/>
  <c r="T545" i="10"/>
  <c r="T546" i="10"/>
  <c r="T547" i="10"/>
  <c r="T548" i="10"/>
  <c r="T549" i="10"/>
  <c r="T550" i="10"/>
  <c r="T551" i="10"/>
  <c r="T471" i="10"/>
  <c r="T472" i="10"/>
  <c r="T473" i="10"/>
  <c r="T474" i="10"/>
  <c r="T475" i="10"/>
  <c r="T476" i="10"/>
  <c r="T477" i="10"/>
  <c r="T478" i="10"/>
  <c r="T479" i="10"/>
  <c r="P3" i="41"/>
  <c r="K314" i="11"/>
  <c r="P4" i="41"/>
  <c r="K315" i="11"/>
  <c r="P5" i="41"/>
  <c r="K316" i="11"/>
  <c r="P6" i="41"/>
  <c r="K317" i="11"/>
  <c r="P7" i="41"/>
  <c r="K318" i="11"/>
  <c r="P8" i="41"/>
  <c r="K319" i="11"/>
  <c r="P9" i="41"/>
  <c r="K320" i="11"/>
  <c r="P10" i="41"/>
  <c r="K321" i="11"/>
  <c r="P11" i="41"/>
  <c r="K322" i="11"/>
  <c r="P12" i="41"/>
  <c r="K323" i="11"/>
  <c r="P13" i="41"/>
  <c r="K324" i="11"/>
  <c r="P14" i="41"/>
  <c r="K325" i="11"/>
  <c r="P15" i="41"/>
  <c r="K326" i="11"/>
  <c r="P16" i="41"/>
  <c r="K327" i="11"/>
  <c r="P17" i="41"/>
  <c r="K328" i="11"/>
  <c r="P18" i="41"/>
  <c r="K329" i="11"/>
  <c r="P19" i="41"/>
  <c r="K330" i="11"/>
  <c r="P20" i="41"/>
  <c r="K331" i="11"/>
  <c r="P21" i="41"/>
  <c r="K332" i="11"/>
  <c r="P22" i="41"/>
  <c r="K333" i="11"/>
  <c r="P23" i="41"/>
  <c r="K334" i="11"/>
  <c r="P24" i="41"/>
  <c r="K335" i="11"/>
  <c r="P25" i="41"/>
  <c r="K336" i="11"/>
  <c r="P26" i="41"/>
  <c r="K337" i="11"/>
  <c r="P27" i="41"/>
  <c r="K338" i="11"/>
  <c r="P28" i="41"/>
  <c r="K339" i="11"/>
  <c r="P29" i="41"/>
  <c r="K340" i="11"/>
  <c r="P30" i="41"/>
  <c r="K341" i="11"/>
  <c r="P31" i="41"/>
  <c r="K342" i="11"/>
  <c r="P32" i="41"/>
  <c r="K343" i="11"/>
  <c r="P33" i="41"/>
  <c r="K344" i="11"/>
  <c r="P34" i="41"/>
  <c r="K345" i="11"/>
  <c r="P35" i="41"/>
  <c r="K346" i="11"/>
  <c r="P36" i="41"/>
  <c r="K347" i="11"/>
  <c r="P37" i="41"/>
  <c r="K348" i="11"/>
  <c r="P38" i="41"/>
  <c r="K349" i="11"/>
  <c r="P39" i="41"/>
  <c r="K350" i="11"/>
  <c r="P40" i="41"/>
  <c r="K351" i="11"/>
  <c r="P41" i="41"/>
  <c r="K352" i="11"/>
  <c r="P42" i="41"/>
  <c r="K353" i="11"/>
  <c r="P43" i="41"/>
  <c r="K354" i="11"/>
  <c r="P44" i="41"/>
  <c r="K355" i="11"/>
  <c r="P45" i="41"/>
  <c r="K356" i="11"/>
  <c r="P46" i="41"/>
  <c r="K357" i="11"/>
  <c r="P47" i="41"/>
  <c r="K358" i="11"/>
  <c r="P48" i="41"/>
  <c r="K359" i="11"/>
  <c r="P49" i="41"/>
  <c r="K360" i="11"/>
  <c r="P50" i="41"/>
  <c r="K361" i="11"/>
  <c r="P51" i="41"/>
  <c r="K362" i="11"/>
  <c r="P52" i="41"/>
  <c r="K363" i="11"/>
  <c r="P53" i="41"/>
  <c r="K364" i="11"/>
  <c r="P54" i="41"/>
  <c r="K365" i="11"/>
  <c r="P55" i="41"/>
  <c r="K366" i="11"/>
  <c r="P56" i="41"/>
  <c r="K367" i="11"/>
  <c r="P57" i="41"/>
  <c r="K368" i="11"/>
  <c r="P58" i="41"/>
  <c r="K369" i="11"/>
  <c r="P59" i="41"/>
  <c r="K370" i="11"/>
  <c r="P60" i="41"/>
  <c r="K371" i="11"/>
  <c r="P61" i="41"/>
  <c r="K372" i="11"/>
  <c r="P62" i="41"/>
  <c r="K373" i="11"/>
  <c r="P63" i="41"/>
  <c r="K374" i="11"/>
  <c r="P64" i="41"/>
  <c r="K375" i="11"/>
  <c r="P65" i="41"/>
  <c r="K376" i="11"/>
  <c r="P66" i="41"/>
  <c r="K377" i="11"/>
  <c r="P67" i="41"/>
  <c r="K378" i="11"/>
  <c r="P68" i="41"/>
  <c r="K379" i="11"/>
  <c r="P69" i="41"/>
  <c r="K380" i="11"/>
  <c r="P70" i="41"/>
  <c r="K381" i="11"/>
  <c r="P71" i="41"/>
  <c r="K382" i="11"/>
  <c r="P72" i="41"/>
  <c r="K383" i="11"/>
  <c r="P73" i="41"/>
  <c r="K384" i="11"/>
  <c r="P74" i="41"/>
  <c r="K385" i="11"/>
  <c r="P75" i="41"/>
  <c r="K386" i="11"/>
  <c r="P76" i="41"/>
  <c r="K387" i="11"/>
  <c r="P77" i="41"/>
  <c r="K388" i="11"/>
  <c r="P78" i="41"/>
  <c r="K389" i="11"/>
  <c r="P79" i="41"/>
  <c r="K390" i="11"/>
  <c r="P80" i="41"/>
  <c r="K391" i="11"/>
  <c r="P81" i="41"/>
  <c r="K392" i="11"/>
  <c r="P82" i="41"/>
  <c r="K393" i="11"/>
  <c r="P83" i="41"/>
  <c r="K394" i="11"/>
  <c r="P84" i="41"/>
  <c r="K395" i="11"/>
  <c r="P85" i="41"/>
  <c r="K396" i="11"/>
  <c r="P86" i="41"/>
  <c r="K397" i="11"/>
  <c r="P87" i="41"/>
  <c r="K398" i="11"/>
  <c r="P88" i="41"/>
  <c r="K399" i="11"/>
  <c r="P89" i="41"/>
  <c r="K400" i="11"/>
  <c r="P90" i="41"/>
  <c r="K401" i="11"/>
  <c r="P91" i="41"/>
  <c r="K402" i="11"/>
  <c r="P92" i="41"/>
  <c r="K403" i="11"/>
  <c r="P93" i="41"/>
  <c r="K404" i="11"/>
  <c r="P94" i="41"/>
  <c r="K405" i="11"/>
  <c r="P95" i="41"/>
  <c r="K406" i="11"/>
  <c r="P96" i="41"/>
  <c r="K407" i="11"/>
  <c r="P97" i="41"/>
  <c r="K408" i="11"/>
  <c r="P98" i="41"/>
  <c r="K409" i="11"/>
  <c r="P99" i="41"/>
  <c r="K410" i="11"/>
  <c r="P100" i="41"/>
  <c r="K411" i="11"/>
  <c r="P101" i="41"/>
  <c r="K412" i="11"/>
  <c r="P102" i="41"/>
  <c r="K413" i="11"/>
  <c r="P103" i="41"/>
  <c r="K414" i="11"/>
  <c r="P104" i="41"/>
  <c r="K415" i="11"/>
  <c r="P105" i="41"/>
  <c r="K416" i="11"/>
  <c r="P106" i="41"/>
  <c r="K417" i="11"/>
  <c r="P107" i="41"/>
  <c r="K418" i="11"/>
  <c r="P108" i="41"/>
  <c r="K419" i="11"/>
  <c r="P109" i="41"/>
  <c r="K420" i="11"/>
  <c r="P110" i="41"/>
  <c r="K421" i="11"/>
  <c r="P111" i="41"/>
  <c r="K422" i="11"/>
  <c r="P112" i="41"/>
  <c r="K423" i="11"/>
  <c r="P113" i="41"/>
  <c r="K424" i="11"/>
  <c r="P114" i="41"/>
  <c r="K425" i="11"/>
  <c r="P115" i="41"/>
  <c r="K426" i="11"/>
  <c r="P116" i="41"/>
  <c r="K427" i="11"/>
  <c r="P117" i="41"/>
  <c r="K428" i="11"/>
  <c r="P118" i="41"/>
  <c r="K429" i="11"/>
  <c r="P119" i="41"/>
  <c r="K430" i="11"/>
  <c r="P120" i="41"/>
  <c r="K431" i="11"/>
  <c r="P121" i="41"/>
  <c r="K432" i="11"/>
  <c r="P2" i="41"/>
  <c r="K313" i="11"/>
  <c r="T556" i="10"/>
  <c r="T557" i="10"/>
  <c r="T558" i="10"/>
  <c r="T559" i="10"/>
  <c r="T560" i="10"/>
  <c r="T561" i="10"/>
  <c r="T562" i="10"/>
  <c r="T563" i="10"/>
  <c r="T564" i="10"/>
  <c r="T565" i="10"/>
  <c r="T566" i="10"/>
  <c r="T567" i="10"/>
  <c r="T568" i="10"/>
  <c r="T569" i="10"/>
  <c r="T570" i="10"/>
  <c r="T571" i="10"/>
  <c r="T572" i="10"/>
  <c r="T573" i="10"/>
  <c r="T574" i="10"/>
  <c r="T575" i="10"/>
  <c r="T576" i="10"/>
  <c r="T577" i="10"/>
  <c r="T578" i="10"/>
  <c r="T579" i="10"/>
  <c r="T580" i="10"/>
  <c r="T581" i="10"/>
  <c r="T582" i="10"/>
  <c r="T583" i="10"/>
  <c r="T584" i="10"/>
  <c r="T585" i="10"/>
  <c r="T586" i="10"/>
  <c r="T587" i="10"/>
  <c r="T588" i="10"/>
  <c r="T589" i="10"/>
  <c r="T590" i="10"/>
  <c r="T591" i="10"/>
  <c r="T592" i="10"/>
  <c r="T593" i="10"/>
  <c r="T594" i="10"/>
  <c r="T595" i="10"/>
  <c r="T596" i="10"/>
  <c r="T597" i="10"/>
  <c r="T598" i="10"/>
  <c r="T599" i="10"/>
  <c r="T600" i="10"/>
  <c r="T601" i="10"/>
  <c r="T602" i="10"/>
  <c r="T603" i="10"/>
  <c r="T604" i="10"/>
  <c r="T605" i="10"/>
  <c r="T606" i="10"/>
  <c r="T607" i="10"/>
  <c r="T608" i="10"/>
  <c r="T609" i="10"/>
  <c r="T610" i="10"/>
  <c r="T611" i="10"/>
  <c r="T612" i="10"/>
  <c r="T613" i="10"/>
  <c r="T614" i="10"/>
  <c r="T615" i="10"/>
  <c r="T616" i="10"/>
  <c r="T617" i="10"/>
  <c r="T618" i="10"/>
  <c r="T619" i="10"/>
  <c r="T620" i="10"/>
  <c r="T621" i="10"/>
  <c r="T622" i="10"/>
  <c r="T623" i="10"/>
  <c r="T624" i="10"/>
  <c r="T625" i="10"/>
  <c r="T626" i="10"/>
  <c r="T627" i="10"/>
  <c r="T628" i="10"/>
  <c r="T629" i="10"/>
  <c r="T630" i="10"/>
  <c r="T631" i="10"/>
  <c r="T632" i="10"/>
  <c r="T633" i="10"/>
  <c r="T634" i="10"/>
  <c r="T635" i="10"/>
  <c r="T636" i="10"/>
  <c r="T637" i="10"/>
  <c r="T638" i="10"/>
  <c r="T639" i="10"/>
  <c r="T640" i="10"/>
  <c r="T641" i="10"/>
  <c r="T642" i="10"/>
  <c r="T643" i="10"/>
  <c r="T644" i="10"/>
  <c r="T645" i="10"/>
  <c r="T646" i="10"/>
  <c r="T647" i="10"/>
  <c r="T648" i="10"/>
  <c r="T649" i="10"/>
  <c r="T650" i="10"/>
  <c r="T651" i="10"/>
  <c r="T652" i="10"/>
  <c r="T653" i="10"/>
  <c r="T654" i="10"/>
  <c r="K556" i="10"/>
  <c r="K557" i="10"/>
  <c r="K558" i="10"/>
  <c r="K559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2" i="10"/>
  <c r="K603" i="10"/>
  <c r="K604" i="10"/>
  <c r="K605" i="10"/>
  <c r="K606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555" i="10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Q524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547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570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S502" i="11"/>
  <c r="S503" i="11"/>
  <c r="S504" i="11"/>
  <c r="S505" i="11"/>
  <c r="S506" i="11"/>
  <c r="S507" i="11"/>
  <c r="S508" i="11"/>
  <c r="S509" i="11"/>
  <c r="S510" i="11"/>
  <c r="S511" i="11"/>
  <c r="S512" i="11"/>
  <c r="S513" i="11"/>
  <c r="S514" i="11"/>
  <c r="S515" i="11"/>
  <c r="S516" i="11"/>
  <c r="S517" i="11"/>
  <c r="S518" i="11"/>
  <c r="S519" i="11"/>
  <c r="S520" i="11"/>
  <c r="S521" i="11"/>
  <c r="S522" i="11"/>
  <c r="S523" i="11"/>
  <c r="S524" i="11"/>
  <c r="S525" i="11"/>
  <c r="S526" i="11"/>
  <c r="S527" i="11"/>
  <c r="S528" i="11"/>
  <c r="S529" i="11"/>
  <c r="S530" i="11"/>
  <c r="S531" i="11"/>
  <c r="S532" i="11"/>
  <c r="S533" i="11"/>
  <c r="S534" i="11"/>
  <c r="S535" i="11"/>
  <c r="S536" i="11"/>
  <c r="S537" i="11"/>
  <c r="S538" i="11"/>
  <c r="S539" i="11"/>
  <c r="S540" i="11"/>
  <c r="S541" i="11"/>
  <c r="S542" i="11"/>
  <c r="S543" i="11"/>
  <c r="S544" i="11"/>
  <c r="S545" i="11"/>
  <c r="S546" i="11"/>
  <c r="S547" i="11"/>
  <c r="S548" i="11"/>
  <c r="S549" i="11"/>
  <c r="S550" i="11"/>
  <c r="S551" i="11"/>
  <c r="S552" i="11"/>
  <c r="S553" i="11"/>
  <c r="S554" i="11"/>
  <c r="S555" i="11"/>
  <c r="S556" i="11"/>
  <c r="S557" i="11"/>
  <c r="S558" i="11"/>
  <c r="S559" i="11"/>
  <c r="S560" i="11"/>
  <c r="S561" i="11"/>
  <c r="S562" i="11"/>
  <c r="S563" i="11"/>
  <c r="S564" i="11"/>
  <c r="S565" i="11"/>
  <c r="S566" i="11"/>
  <c r="S567" i="11"/>
  <c r="S568" i="11"/>
  <c r="S569" i="11"/>
  <c r="S570" i="11"/>
  <c r="S571" i="11"/>
  <c r="S572" i="11"/>
  <c r="S573" i="11"/>
  <c r="S574" i="11"/>
  <c r="S575" i="11"/>
  <c r="S576" i="11"/>
  <c r="S577" i="11"/>
  <c r="S578" i="11"/>
  <c r="S579" i="11"/>
  <c r="S580" i="11"/>
  <c r="S581" i="11"/>
  <c r="S582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R502" i="11"/>
  <c r="T502" i="11"/>
  <c r="R503" i="11"/>
  <c r="T503" i="11"/>
  <c r="R504" i="11"/>
  <c r="T504" i="11"/>
  <c r="R505" i="11"/>
  <c r="T505" i="11"/>
  <c r="R506" i="11"/>
  <c r="T506" i="11"/>
  <c r="R507" i="11"/>
  <c r="T507" i="11"/>
  <c r="R508" i="11"/>
  <c r="T508" i="11"/>
  <c r="R509" i="11"/>
  <c r="T509" i="11"/>
  <c r="R510" i="11"/>
  <c r="T510" i="11"/>
  <c r="R511" i="11"/>
  <c r="T511" i="11"/>
  <c r="R512" i="11"/>
  <c r="T512" i="11"/>
  <c r="R513" i="11"/>
  <c r="T513" i="11"/>
  <c r="R514" i="11"/>
  <c r="T514" i="11"/>
  <c r="R515" i="11"/>
  <c r="T515" i="11"/>
  <c r="R516" i="11"/>
  <c r="T516" i="11"/>
  <c r="R517" i="11"/>
  <c r="T517" i="11"/>
  <c r="R518" i="11"/>
  <c r="T518" i="11"/>
  <c r="R519" i="11"/>
  <c r="T519" i="11"/>
  <c r="R520" i="11"/>
  <c r="T520" i="11"/>
  <c r="R521" i="11"/>
  <c r="T521" i="11"/>
  <c r="R522" i="11"/>
  <c r="T522" i="11"/>
  <c r="R523" i="11"/>
  <c r="T523" i="11"/>
  <c r="R524" i="11"/>
  <c r="T524" i="11"/>
  <c r="R525" i="11"/>
  <c r="T525" i="11"/>
  <c r="R526" i="11"/>
  <c r="T526" i="11"/>
  <c r="R527" i="11"/>
  <c r="T527" i="11"/>
  <c r="R528" i="11"/>
  <c r="T528" i="11"/>
  <c r="R529" i="11"/>
  <c r="T529" i="11"/>
  <c r="R530" i="11"/>
  <c r="T530" i="11"/>
  <c r="R531" i="11"/>
  <c r="T531" i="11"/>
  <c r="R532" i="11"/>
  <c r="T532" i="11"/>
  <c r="R533" i="11"/>
  <c r="T533" i="11"/>
  <c r="R534" i="11"/>
  <c r="T534" i="11"/>
  <c r="R535" i="11"/>
  <c r="T535" i="11"/>
  <c r="R536" i="11"/>
  <c r="T536" i="11"/>
  <c r="R537" i="11"/>
  <c r="T537" i="11"/>
  <c r="R538" i="11"/>
  <c r="T538" i="11"/>
  <c r="R539" i="11"/>
  <c r="T539" i="11"/>
  <c r="R540" i="11"/>
  <c r="T540" i="11"/>
  <c r="R541" i="11"/>
  <c r="T541" i="11"/>
  <c r="R542" i="11"/>
  <c r="T542" i="11"/>
  <c r="R543" i="11"/>
  <c r="T543" i="11"/>
  <c r="R544" i="11"/>
  <c r="T544" i="11"/>
  <c r="R545" i="11"/>
  <c r="T545" i="11"/>
  <c r="R546" i="11"/>
  <c r="T546" i="11"/>
  <c r="R547" i="11"/>
  <c r="T547" i="11"/>
  <c r="R548" i="11"/>
  <c r="T548" i="11"/>
  <c r="R549" i="11"/>
  <c r="T549" i="11"/>
  <c r="R550" i="11"/>
  <c r="T550" i="11"/>
  <c r="R551" i="11"/>
  <c r="T551" i="11"/>
  <c r="R552" i="11"/>
  <c r="T552" i="11"/>
  <c r="R553" i="11"/>
  <c r="T553" i="11"/>
  <c r="R554" i="11"/>
  <c r="T554" i="11"/>
  <c r="R555" i="11"/>
  <c r="T555" i="11"/>
  <c r="R556" i="11"/>
  <c r="T556" i="11"/>
  <c r="R557" i="11"/>
  <c r="T557" i="11"/>
  <c r="R558" i="11"/>
  <c r="T558" i="11"/>
  <c r="R559" i="11"/>
  <c r="T559" i="11"/>
  <c r="R560" i="11"/>
  <c r="T560" i="11"/>
  <c r="R561" i="11"/>
  <c r="T561" i="11"/>
  <c r="R562" i="11"/>
  <c r="T562" i="11"/>
  <c r="R563" i="11"/>
  <c r="T563" i="11"/>
  <c r="R564" i="11"/>
  <c r="T564" i="11"/>
  <c r="R565" i="11"/>
  <c r="T565" i="11"/>
  <c r="R566" i="11"/>
  <c r="T566" i="11"/>
  <c r="R567" i="11"/>
  <c r="T567" i="11"/>
  <c r="R568" i="11"/>
  <c r="T568" i="11"/>
  <c r="R569" i="11"/>
  <c r="T569" i="11"/>
  <c r="R570" i="11"/>
  <c r="T570" i="11"/>
  <c r="R571" i="11"/>
  <c r="T571" i="11"/>
  <c r="R572" i="11"/>
  <c r="T572" i="11"/>
  <c r="R573" i="11"/>
  <c r="T573" i="11"/>
  <c r="R574" i="11"/>
  <c r="T574" i="11"/>
  <c r="R575" i="11"/>
  <c r="T575" i="11"/>
  <c r="R576" i="11"/>
  <c r="T576" i="11"/>
  <c r="R577" i="11"/>
  <c r="T577" i="11"/>
  <c r="R578" i="11"/>
  <c r="T578" i="11"/>
  <c r="R579" i="11"/>
  <c r="T579" i="11"/>
  <c r="R580" i="11"/>
  <c r="T580" i="11"/>
  <c r="R581" i="11"/>
  <c r="T581" i="11"/>
  <c r="R582" i="11"/>
  <c r="T582" i="11"/>
  <c r="T501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U1088" i="11"/>
  <c r="U1089" i="11"/>
  <c r="U1090" i="11"/>
  <c r="U1091" i="11"/>
  <c r="U1092" i="11"/>
  <c r="U1093" i="11"/>
  <c r="U1094" i="11"/>
  <c r="U1095" i="11"/>
  <c r="U1096" i="11"/>
  <c r="U1097" i="11"/>
  <c r="U1098" i="11"/>
  <c r="U1099" i="11"/>
  <c r="U1100" i="11"/>
  <c r="U1101" i="11"/>
  <c r="U1102" i="11"/>
  <c r="U1103" i="11"/>
  <c r="U1104" i="11"/>
  <c r="U1105" i="11"/>
  <c r="U1106" i="11"/>
  <c r="U1107" i="11"/>
  <c r="U1108" i="11"/>
  <c r="U1109" i="11"/>
  <c r="U1110" i="11"/>
  <c r="U1111" i="11"/>
  <c r="U1112" i="11"/>
  <c r="U1113" i="11"/>
  <c r="U1114" i="11"/>
  <c r="U1115" i="11"/>
  <c r="U1116" i="11"/>
  <c r="U1117" i="11"/>
  <c r="U1118" i="11"/>
  <c r="U1119" i="11"/>
  <c r="U1120" i="11"/>
  <c r="U1121" i="11"/>
  <c r="U1122" i="11"/>
  <c r="U1123" i="11"/>
  <c r="U1124" i="11"/>
  <c r="U1125" i="11"/>
  <c r="U1126" i="11"/>
  <c r="U1127" i="11"/>
  <c r="T1088" i="11"/>
  <c r="T1089" i="11"/>
  <c r="T1090" i="11"/>
  <c r="T1091" i="11"/>
  <c r="T1092" i="11"/>
  <c r="T1093" i="11"/>
  <c r="T1094" i="11"/>
  <c r="T1095" i="11"/>
  <c r="T1096" i="11"/>
  <c r="T1097" i="11"/>
  <c r="T1098" i="11"/>
  <c r="T1099" i="11"/>
  <c r="T1100" i="11"/>
  <c r="T1101" i="11"/>
  <c r="T1102" i="11"/>
  <c r="T1103" i="11"/>
  <c r="T1104" i="11"/>
  <c r="T1105" i="11"/>
  <c r="T1106" i="11"/>
  <c r="T1107" i="11"/>
  <c r="T1108" i="11"/>
  <c r="T1109" i="11"/>
  <c r="T1110" i="11"/>
  <c r="T1111" i="11"/>
  <c r="T1112" i="11"/>
  <c r="T1113" i="11"/>
  <c r="T1114" i="11"/>
  <c r="T1115" i="11"/>
  <c r="T1116" i="11"/>
  <c r="T1117" i="11"/>
  <c r="T1118" i="11"/>
  <c r="T1119" i="11"/>
  <c r="T1120" i="11"/>
  <c r="T1121" i="11"/>
  <c r="T1122" i="11"/>
  <c r="T1123" i="11"/>
  <c r="T1124" i="11"/>
  <c r="T1125" i="11"/>
  <c r="T1126" i="11"/>
  <c r="T1127" i="11"/>
  <c r="U1128" i="11"/>
  <c r="U1129" i="11"/>
  <c r="U1130" i="11"/>
  <c r="U1131" i="11"/>
  <c r="U1132" i="11"/>
  <c r="U1133" i="11"/>
  <c r="U1134" i="11"/>
  <c r="U1135" i="11"/>
  <c r="U1136" i="11"/>
  <c r="U1137" i="11"/>
  <c r="U1138" i="11"/>
  <c r="U1139" i="11"/>
  <c r="U1140" i="11"/>
  <c r="U1141" i="11"/>
  <c r="U1142" i="11"/>
  <c r="U1143" i="11"/>
  <c r="U1144" i="11"/>
  <c r="U1145" i="11"/>
  <c r="U1146" i="11"/>
  <c r="U1147" i="11"/>
  <c r="U1148" i="11"/>
  <c r="U1149" i="11"/>
  <c r="U1150" i="11"/>
  <c r="U1151" i="11"/>
  <c r="U1152" i="11"/>
  <c r="U1153" i="11"/>
  <c r="U1154" i="11"/>
  <c r="U1155" i="11"/>
  <c r="U1156" i="11"/>
  <c r="U1157" i="11"/>
  <c r="U1158" i="11"/>
  <c r="U1159" i="11"/>
  <c r="U1160" i="11"/>
  <c r="U1161" i="11"/>
  <c r="U1162" i="11"/>
  <c r="U1163" i="11"/>
  <c r="U1164" i="11"/>
  <c r="U1165" i="11"/>
  <c r="U1166" i="11"/>
  <c r="U1167" i="11"/>
  <c r="U1168" i="11"/>
  <c r="U1169" i="11"/>
  <c r="U1170" i="11"/>
  <c r="U1171" i="11"/>
  <c r="U1172" i="11"/>
  <c r="U1173" i="11"/>
  <c r="U1174" i="11"/>
  <c r="U1175" i="11"/>
  <c r="U1176" i="11"/>
  <c r="U1177" i="11"/>
  <c r="U1178" i="11"/>
  <c r="U1179" i="11"/>
  <c r="U1180" i="11"/>
  <c r="U1181" i="11"/>
  <c r="U1182" i="11"/>
  <c r="U1183" i="11"/>
  <c r="U1184" i="11"/>
  <c r="U1185" i="11"/>
  <c r="U1186" i="11"/>
  <c r="U1187" i="11"/>
  <c r="U1188" i="11"/>
  <c r="U1189" i="11"/>
  <c r="U1190" i="11"/>
  <c r="U1191" i="11"/>
  <c r="U1192" i="11"/>
  <c r="U1193" i="11"/>
  <c r="U1194" i="11"/>
  <c r="U1195" i="11"/>
  <c r="U1196" i="11"/>
  <c r="U1197" i="11"/>
  <c r="U1198" i="11"/>
  <c r="U1199" i="11"/>
  <c r="U1200" i="11"/>
  <c r="U1201" i="11"/>
  <c r="U1202" i="11"/>
  <c r="U1203" i="11"/>
  <c r="U1204" i="11"/>
  <c r="T1128" i="11"/>
  <c r="T1129" i="11"/>
  <c r="T1130" i="11"/>
  <c r="T1131" i="11"/>
  <c r="T1132" i="11"/>
  <c r="T1133" i="11"/>
  <c r="T1134" i="11"/>
  <c r="T1135" i="11"/>
  <c r="T1136" i="11"/>
  <c r="T1137" i="11"/>
  <c r="T1138" i="11"/>
  <c r="T1139" i="11"/>
  <c r="T1140" i="11"/>
  <c r="T1141" i="11"/>
  <c r="T1142" i="11"/>
  <c r="T1143" i="11"/>
  <c r="T1144" i="11"/>
  <c r="T1145" i="11"/>
  <c r="T1146" i="11"/>
  <c r="T1147" i="11"/>
  <c r="T1148" i="11"/>
  <c r="T1149" i="11"/>
  <c r="T1150" i="11"/>
  <c r="T1151" i="11"/>
  <c r="T1152" i="11"/>
  <c r="T1153" i="11"/>
  <c r="T1154" i="11"/>
  <c r="T1155" i="11"/>
  <c r="T1156" i="11"/>
  <c r="T1157" i="11"/>
  <c r="T1158" i="11"/>
  <c r="T1159" i="11"/>
  <c r="T1160" i="11"/>
  <c r="T1161" i="11"/>
  <c r="T1162" i="11"/>
  <c r="T1163" i="11"/>
  <c r="T1164" i="11"/>
  <c r="T1165" i="11"/>
  <c r="T1166" i="11"/>
  <c r="T1167" i="11"/>
  <c r="T1168" i="11"/>
  <c r="T1169" i="11"/>
  <c r="T1170" i="11"/>
  <c r="T1171" i="11"/>
  <c r="T1172" i="11"/>
  <c r="T1173" i="11"/>
  <c r="T1174" i="11"/>
  <c r="T1175" i="11"/>
  <c r="T1176" i="11"/>
  <c r="T1177" i="11"/>
  <c r="T1178" i="11"/>
  <c r="T1179" i="11"/>
  <c r="T1180" i="11"/>
  <c r="T1181" i="11"/>
  <c r="T1182" i="11"/>
  <c r="T1183" i="11"/>
  <c r="T1184" i="11"/>
  <c r="T1185" i="11"/>
  <c r="T1186" i="11"/>
  <c r="T1187" i="11"/>
  <c r="T1188" i="11"/>
  <c r="T1189" i="11"/>
  <c r="T1190" i="11"/>
  <c r="T1191" i="11"/>
  <c r="T1192" i="11"/>
  <c r="T1193" i="11"/>
  <c r="T1194" i="11"/>
  <c r="T1195" i="11"/>
  <c r="T1196" i="11"/>
  <c r="T1197" i="11"/>
  <c r="T1198" i="11"/>
  <c r="T1199" i="11"/>
  <c r="T1200" i="11"/>
  <c r="T1201" i="11"/>
  <c r="T1202" i="11"/>
  <c r="T1203" i="11"/>
  <c r="T1204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7" i="11"/>
  <c r="T848" i="11"/>
  <c r="T849" i="11"/>
  <c r="T850" i="11"/>
  <c r="T851" i="11"/>
  <c r="T852" i="11"/>
  <c r="T853" i="11"/>
  <c r="T854" i="11"/>
  <c r="T855" i="11"/>
  <c r="T856" i="11"/>
  <c r="T857" i="11"/>
  <c r="T858" i="11"/>
  <c r="T859" i="11"/>
  <c r="T860" i="11"/>
  <c r="T861" i="11"/>
  <c r="T862" i="11"/>
  <c r="T863" i="11"/>
  <c r="T864" i="11"/>
  <c r="T865" i="11"/>
  <c r="T866" i="11"/>
  <c r="T867" i="11"/>
  <c r="T868" i="11"/>
  <c r="T869" i="11"/>
  <c r="T870" i="11"/>
  <c r="T871" i="11"/>
  <c r="T872" i="11"/>
  <c r="T873" i="11"/>
  <c r="T874" i="11"/>
  <c r="T875" i="11"/>
  <c r="T876" i="11"/>
  <c r="T877" i="11"/>
  <c r="T878" i="11"/>
  <c r="T879" i="11"/>
  <c r="T880" i="11"/>
  <c r="T881" i="11"/>
  <c r="T882" i="11"/>
  <c r="T883" i="11"/>
  <c r="T884" i="11"/>
  <c r="T885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2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6" i="11"/>
  <c r="T917" i="11"/>
  <c r="T918" i="11"/>
  <c r="T919" i="11"/>
  <c r="T920" i="11"/>
  <c r="T921" i="11"/>
  <c r="T922" i="11"/>
  <c r="T923" i="11"/>
  <c r="T924" i="11"/>
  <c r="T925" i="11"/>
  <c r="T926" i="11"/>
  <c r="T927" i="11"/>
  <c r="T928" i="11"/>
  <c r="T929" i="11"/>
  <c r="T930" i="11"/>
  <c r="T931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48" i="11"/>
  <c r="T949" i="11"/>
  <c r="T950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T966" i="11"/>
  <c r="T967" i="11"/>
  <c r="T968" i="11"/>
  <c r="T969" i="11"/>
  <c r="T970" i="11"/>
  <c r="T971" i="11"/>
  <c r="T972" i="11"/>
  <c r="T973" i="11"/>
  <c r="T974" i="11"/>
  <c r="T975" i="11"/>
  <c r="T976" i="11"/>
  <c r="T977" i="11"/>
  <c r="T978" i="11"/>
  <c r="T979" i="11"/>
  <c r="T980" i="11"/>
  <c r="T981" i="11"/>
  <c r="T982" i="11"/>
  <c r="T983" i="11"/>
  <c r="T984" i="11"/>
  <c r="T985" i="11"/>
  <c r="T986" i="11"/>
  <c r="T987" i="11"/>
  <c r="T988" i="11"/>
  <c r="T989" i="11"/>
  <c r="T990" i="11"/>
  <c r="T991" i="11"/>
  <c r="T992" i="11"/>
  <c r="T993" i="11"/>
  <c r="T994" i="11"/>
  <c r="T995" i="11"/>
  <c r="T996" i="11"/>
  <c r="T997" i="11"/>
  <c r="T998" i="11"/>
  <c r="T999" i="11"/>
  <c r="T1000" i="11"/>
  <c r="T1001" i="11"/>
  <c r="T1002" i="11"/>
  <c r="T1003" i="11"/>
  <c r="T1004" i="11"/>
  <c r="T1005" i="11"/>
  <c r="T1006" i="11"/>
  <c r="T1007" i="11"/>
  <c r="T1008" i="11"/>
  <c r="T1009" i="11"/>
  <c r="T1010" i="11"/>
  <c r="T1011" i="11"/>
  <c r="T1012" i="11"/>
  <c r="T1013" i="11"/>
  <c r="T1014" i="11"/>
  <c r="T1015" i="11"/>
  <c r="T1016" i="11"/>
  <c r="T1017" i="11"/>
  <c r="T1018" i="11"/>
  <c r="T1019" i="11"/>
  <c r="T1020" i="11"/>
  <c r="T1021" i="11"/>
  <c r="T1022" i="11"/>
  <c r="T1023" i="11"/>
  <c r="T1024" i="11"/>
  <c r="T1025" i="11"/>
  <c r="T1026" i="11"/>
  <c r="T1027" i="11"/>
  <c r="T1028" i="11"/>
  <c r="T1029" i="11"/>
  <c r="T1030" i="11"/>
  <c r="T1031" i="11"/>
  <c r="T1032" i="11"/>
  <c r="T1033" i="11"/>
  <c r="T1034" i="11"/>
  <c r="T1035" i="11"/>
  <c r="T1036" i="11"/>
  <c r="T1037" i="11"/>
  <c r="T1038" i="11"/>
  <c r="T1039" i="11"/>
  <c r="T1040" i="11"/>
  <c r="T1041" i="11"/>
  <c r="T1042" i="11"/>
  <c r="T1043" i="11"/>
  <c r="T1044" i="11"/>
  <c r="T1045" i="11"/>
  <c r="T1046" i="11"/>
  <c r="T1047" i="11"/>
  <c r="T1048" i="11"/>
  <c r="T1049" i="11"/>
  <c r="T1050" i="11"/>
  <c r="T1051" i="11"/>
  <c r="T1052" i="11"/>
  <c r="T1053" i="11"/>
  <c r="T1054" i="11"/>
  <c r="T1055" i="11"/>
  <c r="T1056" i="11"/>
  <c r="T1057" i="11"/>
  <c r="T1058" i="11"/>
  <c r="T1059" i="11"/>
  <c r="T1060" i="11"/>
  <c r="T1061" i="11"/>
  <c r="T1062" i="11"/>
  <c r="T1063" i="11"/>
  <c r="T1064" i="11"/>
  <c r="T1065" i="11"/>
  <c r="T1066" i="11"/>
  <c r="T1067" i="11"/>
  <c r="T1068" i="11"/>
  <c r="T1069" i="11"/>
  <c r="T1070" i="11"/>
  <c r="T1071" i="11"/>
  <c r="T1072" i="11"/>
  <c r="T1073" i="11"/>
  <c r="T1074" i="11"/>
  <c r="T1075" i="11"/>
  <c r="T1076" i="11"/>
  <c r="T1077" i="11"/>
  <c r="T1078" i="11"/>
  <c r="T1079" i="11"/>
  <c r="T1080" i="11"/>
  <c r="T1081" i="11"/>
  <c r="T1082" i="11"/>
  <c r="T1083" i="11"/>
  <c r="T1084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R586" i="11"/>
  <c r="R587" i="11"/>
  <c r="R588" i="11"/>
  <c r="R589" i="11"/>
  <c r="R590" i="11"/>
  <c r="R591" i="11"/>
  <c r="R592" i="11"/>
  <c r="R593" i="11"/>
  <c r="R594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17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640" i="11"/>
  <c r="R641" i="11"/>
  <c r="R642" i="11"/>
  <c r="R643" i="11"/>
  <c r="R644" i="11"/>
  <c r="R645" i="11"/>
  <c r="R646" i="11"/>
  <c r="R647" i="11"/>
  <c r="R648" i="11"/>
  <c r="R649" i="11"/>
  <c r="R650" i="11"/>
  <c r="R651" i="11"/>
  <c r="R652" i="11"/>
  <c r="R653" i="11"/>
  <c r="R654" i="11"/>
  <c r="R655" i="11"/>
  <c r="R656" i="11"/>
  <c r="R657" i="11"/>
  <c r="R658" i="11"/>
  <c r="R659" i="11"/>
  <c r="R660" i="11"/>
  <c r="R661" i="11"/>
  <c r="R662" i="11"/>
  <c r="R663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P586" i="11"/>
  <c r="P587" i="11"/>
  <c r="P588" i="11"/>
  <c r="P589" i="11"/>
  <c r="P590" i="11"/>
  <c r="P591" i="11"/>
  <c r="P592" i="11"/>
  <c r="P593" i="11"/>
  <c r="P594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7" i="11"/>
  <c r="P618" i="11"/>
  <c r="P619" i="11"/>
  <c r="P620" i="11"/>
  <c r="P621" i="11"/>
  <c r="P622" i="11"/>
  <c r="P623" i="11"/>
  <c r="P624" i="11"/>
  <c r="P625" i="11"/>
  <c r="P626" i="11"/>
  <c r="P627" i="11"/>
  <c r="P628" i="11"/>
  <c r="P629" i="11"/>
  <c r="P630" i="11"/>
  <c r="P631" i="11"/>
  <c r="P632" i="11"/>
  <c r="P633" i="11"/>
  <c r="P634" i="11"/>
  <c r="P635" i="11"/>
  <c r="P636" i="11"/>
  <c r="P637" i="11"/>
  <c r="P638" i="11"/>
  <c r="P639" i="11"/>
  <c r="P640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N862" i="11"/>
  <c r="N863" i="11"/>
  <c r="N864" i="1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986" i="11"/>
  <c r="N987" i="11"/>
  <c r="N988" i="11"/>
  <c r="N989" i="11"/>
  <c r="N990" i="11"/>
  <c r="N991" i="11"/>
  <c r="N992" i="11"/>
  <c r="N993" i="11"/>
  <c r="N994" i="11"/>
  <c r="N995" i="11"/>
  <c r="N996" i="11"/>
  <c r="N997" i="11"/>
  <c r="N998" i="11"/>
  <c r="N999" i="11"/>
  <c r="N1000" i="11"/>
  <c r="N1001" i="11"/>
  <c r="N1002" i="11"/>
  <c r="N1003" i="11"/>
  <c r="N1004" i="11"/>
  <c r="N1005" i="11"/>
  <c r="N1006" i="11"/>
  <c r="N1007" i="11"/>
  <c r="N1008" i="11"/>
  <c r="N1009" i="11"/>
  <c r="N1010" i="11"/>
  <c r="N1011" i="11"/>
  <c r="N1012" i="11"/>
  <c r="N1013" i="11"/>
  <c r="N1014" i="11"/>
  <c r="N1015" i="11"/>
  <c r="N1016" i="11"/>
  <c r="N1017" i="11"/>
  <c r="N1018" i="11"/>
  <c r="N1019" i="11"/>
  <c r="N1020" i="11"/>
  <c r="N1021" i="11"/>
  <c r="N1022" i="11"/>
  <c r="N1023" i="11"/>
  <c r="N1024" i="11"/>
  <c r="N1025" i="11"/>
  <c r="N1026" i="11"/>
  <c r="N1027" i="11"/>
  <c r="N1028" i="11"/>
  <c r="N1029" i="11"/>
  <c r="N1030" i="11"/>
  <c r="N1031" i="11"/>
  <c r="N1032" i="11"/>
  <c r="N1033" i="11"/>
  <c r="N1034" i="11"/>
  <c r="N1035" i="11"/>
  <c r="N1036" i="11"/>
  <c r="N1037" i="11"/>
  <c r="N1038" i="11"/>
  <c r="N1039" i="11"/>
  <c r="N1040" i="11"/>
  <c r="N1041" i="11"/>
  <c r="N1042" i="11"/>
  <c r="N1043" i="11"/>
  <c r="N1044" i="11"/>
  <c r="N1045" i="11"/>
  <c r="N1046" i="11"/>
  <c r="N1047" i="11"/>
  <c r="N1048" i="11"/>
  <c r="N1049" i="11"/>
  <c r="N1050" i="11"/>
  <c r="N1051" i="11"/>
  <c r="N1052" i="11"/>
  <c r="N1053" i="11"/>
  <c r="N1054" i="11"/>
  <c r="N1055" i="11"/>
  <c r="N1056" i="11"/>
  <c r="N1057" i="11"/>
  <c r="N1058" i="11"/>
  <c r="N1059" i="11"/>
  <c r="N1060" i="11"/>
  <c r="N1061" i="11"/>
  <c r="N1062" i="11"/>
  <c r="N1063" i="11"/>
  <c r="N1064" i="11"/>
  <c r="N1065" i="11"/>
  <c r="N1066" i="11"/>
  <c r="N1067" i="11"/>
  <c r="N1068" i="11"/>
  <c r="N1069" i="11"/>
  <c r="N1070" i="11"/>
  <c r="N1071" i="11"/>
  <c r="N1072" i="11"/>
  <c r="N1073" i="11"/>
  <c r="N1074" i="11"/>
  <c r="N1075" i="11"/>
  <c r="N1076" i="11"/>
  <c r="N1077" i="11"/>
  <c r="N1078" i="11"/>
  <c r="N1079" i="11"/>
  <c r="N1080" i="11"/>
  <c r="N1081" i="11"/>
  <c r="N1082" i="11"/>
  <c r="N1083" i="11"/>
  <c r="N1084" i="11"/>
  <c r="S833" i="11"/>
  <c r="S834" i="11"/>
  <c r="S835" i="11"/>
  <c r="S836" i="11"/>
  <c r="S837" i="11"/>
  <c r="S838" i="11"/>
  <c r="S839" i="11"/>
  <c r="S840" i="11"/>
  <c r="S841" i="11"/>
  <c r="S842" i="11"/>
  <c r="S843" i="11"/>
  <c r="S844" i="11"/>
  <c r="S845" i="11"/>
  <c r="S846" i="11"/>
  <c r="S847" i="11"/>
  <c r="S848" i="11"/>
  <c r="S849" i="11"/>
  <c r="S850" i="11"/>
  <c r="S851" i="11"/>
  <c r="S852" i="11"/>
  <c r="S853" i="11"/>
  <c r="S854" i="11"/>
  <c r="S855" i="11"/>
  <c r="S856" i="11"/>
  <c r="S857" i="11"/>
  <c r="S858" i="11"/>
  <c r="S859" i="11"/>
  <c r="S860" i="11"/>
  <c r="S861" i="11"/>
  <c r="S862" i="11"/>
  <c r="S863" i="11"/>
  <c r="S864" i="11"/>
  <c r="S865" i="11"/>
  <c r="S866" i="11"/>
  <c r="S867" i="11"/>
  <c r="S868" i="11"/>
  <c r="S869" i="11"/>
  <c r="S870" i="11"/>
  <c r="S871" i="11"/>
  <c r="S872" i="11"/>
  <c r="S873" i="11"/>
  <c r="S874" i="11"/>
  <c r="S875" i="11"/>
  <c r="S876" i="11"/>
  <c r="S877" i="11"/>
  <c r="S878" i="11"/>
  <c r="S879" i="11"/>
  <c r="S880" i="11"/>
  <c r="S881" i="11"/>
  <c r="S882" i="11"/>
  <c r="S883" i="11"/>
  <c r="S884" i="11"/>
  <c r="S885" i="11"/>
  <c r="S886" i="11"/>
  <c r="S887" i="11"/>
  <c r="S888" i="11"/>
  <c r="S889" i="11"/>
  <c r="S890" i="11"/>
  <c r="S891" i="11"/>
  <c r="S892" i="11"/>
  <c r="S893" i="11"/>
  <c r="S894" i="11"/>
  <c r="S895" i="11"/>
  <c r="S896" i="11"/>
  <c r="S897" i="11"/>
  <c r="S898" i="11"/>
  <c r="S899" i="11"/>
  <c r="S900" i="11"/>
  <c r="S901" i="11"/>
  <c r="S902" i="11"/>
  <c r="S903" i="11"/>
  <c r="S904" i="11"/>
  <c r="S905" i="11"/>
  <c r="S906" i="11"/>
  <c r="S907" i="11"/>
  <c r="S908" i="11"/>
  <c r="S909" i="11"/>
  <c r="S910" i="11"/>
  <c r="S911" i="11"/>
  <c r="S912" i="11"/>
  <c r="S913" i="11"/>
  <c r="S914" i="11"/>
  <c r="S915" i="11"/>
  <c r="S916" i="11"/>
  <c r="S917" i="11"/>
  <c r="S918" i="11"/>
  <c r="S919" i="11"/>
  <c r="S920" i="11"/>
  <c r="S921" i="11"/>
  <c r="S922" i="11"/>
  <c r="S923" i="11"/>
  <c r="S924" i="11"/>
  <c r="S925" i="11"/>
  <c r="S926" i="11"/>
  <c r="S927" i="11"/>
  <c r="S928" i="11"/>
  <c r="S929" i="11"/>
  <c r="S930" i="11"/>
  <c r="S931" i="11"/>
  <c r="S932" i="11"/>
  <c r="S933" i="11"/>
  <c r="S934" i="11"/>
  <c r="S935" i="11"/>
  <c r="S936" i="11"/>
  <c r="S937" i="11"/>
  <c r="S938" i="11"/>
  <c r="S939" i="11"/>
  <c r="S940" i="11"/>
  <c r="S941" i="11"/>
  <c r="S942" i="11"/>
  <c r="S943" i="11"/>
  <c r="S944" i="11"/>
  <c r="S945" i="11"/>
  <c r="S946" i="11"/>
  <c r="S947" i="11"/>
  <c r="S948" i="11"/>
  <c r="S949" i="11"/>
  <c r="S950" i="11"/>
  <c r="S951" i="11"/>
  <c r="S952" i="11"/>
  <c r="S953" i="11"/>
  <c r="S954" i="11"/>
  <c r="S955" i="11"/>
  <c r="S956" i="11"/>
  <c r="S957" i="11"/>
  <c r="S958" i="11"/>
  <c r="S959" i="11"/>
  <c r="S960" i="11"/>
  <c r="S961" i="11"/>
  <c r="S962" i="11"/>
  <c r="S963" i="11"/>
  <c r="S964" i="11"/>
  <c r="S965" i="11"/>
  <c r="S966" i="11"/>
  <c r="S967" i="11"/>
  <c r="S968" i="11"/>
  <c r="S969" i="11"/>
  <c r="S970" i="11"/>
  <c r="S971" i="11"/>
  <c r="S972" i="11"/>
  <c r="S973" i="11"/>
  <c r="S974" i="11"/>
  <c r="S975" i="11"/>
  <c r="S976" i="11"/>
  <c r="S977" i="11"/>
  <c r="S978" i="11"/>
  <c r="S979" i="11"/>
  <c r="S980" i="11"/>
  <c r="S981" i="11"/>
  <c r="S982" i="11"/>
  <c r="S983" i="11"/>
  <c r="S984" i="11"/>
  <c r="S985" i="11"/>
  <c r="S986" i="11"/>
  <c r="S987" i="11"/>
  <c r="S988" i="11"/>
  <c r="S989" i="11"/>
  <c r="S990" i="11"/>
  <c r="S991" i="11"/>
  <c r="S992" i="11"/>
  <c r="S993" i="11"/>
  <c r="S994" i="11"/>
  <c r="S995" i="11"/>
  <c r="S996" i="11"/>
  <c r="S997" i="11"/>
  <c r="S998" i="11"/>
  <c r="S999" i="11"/>
  <c r="S1000" i="11"/>
  <c r="S1001" i="11"/>
  <c r="S1002" i="11"/>
  <c r="S1003" i="11"/>
  <c r="S1004" i="11"/>
  <c r="S1005" i="11"/>
  <c r="S1006" i="11"/>
  <c r="S1007" i="11"/>
  <c r="S1008" i="11"/>
  <c r="S1009" i="11"/>
  <c r="S1010" i="11"/>
  <c r="S1011" i="11"/>
  <c r="S1012" i="11"/>
  <c r="S1013" i="11"/>
  <c r="S1014" i="11"/>
  <c r="S1015" i="11"/>
  <c r="S1016" i="11"/>
  <c r="S1017" i="11"/>
  <c r="S1018" i="11"/>
  <c r="S1019" i="11"/>
  <c r="S1020" i="11"/>
  <c r="S1021" i="11"/>
  <c r="S1022" i="11"/>
  <c r="S1023" i="11"/>
  <c r="S1024" i="11"/>
  <c r="S1025" i="11"/>
  <c r="S1026" i="11"/>
  <c r="S1027" i="11"/>
  <c r="S1028" i="11"/>
  <c r="S1029" i="11"/>
  <c r="S1030" i="11"/>
  <c r="S1031" i="11"/>
  <c r="S1032" i="11"/>
  <c r="S1033" i="11"/>
  <c r="S1034" i="11"/>
  <c r="S1035" i="11"/>
  <c r="S1036" i="11"/>
  <c r="S1037" i="11"/>
  <c r="S1038" i="11"/>
  <c r="S1039" i="11"/>
  <c r="S1040" i="11"/>
  <c r="S1041" i="11"/>
  <c r="S1042" i="11"/>
  <c r="S1043" i="11"/>
  <c r="S1044" i="11"/>
  <c r="S1045" i="11"/>
  <c r="S1046" i="11"/>
  <c r="S1047" i="11"/>
  <c r="S1048" i="11"/>
  <c r="S1049" i="11"/>
  <c r="S1050" i="11"/>
  <c r="S1051" i="11"/>
  <c r="S1052" i="11"/>
  <c r="S1053" i="11"/>
  <c r="S1054" i="11"/>
  <c r="S1055" i="11"/>
  <c r="S1056" i="11"/>
  <c r="S1057" i="11"/>
  <c r="S1058" i="11"/>
  <c r="S1059" i="11"/>
  <c r="S1060" i="11"/>
  <c r="S1061" i="11"/>
  <c r="S1062" i="11"/>
  <c r="S1063" i="11"/>
  <c r="S1064" i="11"/>
  <c r="S1065" i="11"/>
  <c r="S1066" i="11"/>
  <c r="S1067" i="11"/>
  <c r="S1068" i="11"/>
  <c r="S1069" i="11"/>
  <c r="S1070" i="11"/>
  <c r="S1071" i="11"/>
  <c r="S1072" i="11"/>
  <c r="S1073" i="11"/>
  <c r="S1074" i="11"/>
  <c r="S1075" i="11"/>
  <c r="S1076" i="11"/>
  <c r="S1077" i="11"/>
  <c r="S1078" i="11"/>
  <c r="S1079" i="11"/>
  <c r="S1080" i="11"/>
  <c r="S1081" i="11"/>
  <c r="S1082" i="11"/>
  <c r="S1083" i="11"/>
  <c r="S1084" i="11"/>
  <c r="AB3" i="34"/>
  <c r="K148" i="10"/>
  <c r="AB4" i="34"/>
  <c r="K149" i="10"/>
  <c r="AB5" i="34"/>
  <c r="K150" i="10"/>
  <c r="AB6" i="34"/>
  <c r="K151" i="10"/>
  <c r="AB7" i="34"/>
  <c r="K152" i="10"/>
  <c r="AB8" i="34"/>
  <c r="K153" i="10"/>
  <c r="AB9" i="34"/>
  <c r="K154" i="10"/>
  <c r="AB10" i="34"/>
  <c r="K155" i="10"/>
  <c r="AB11" i="34"/>
  <c r="K156" i="10"/>
  <c r="AB12" i="34"/>
  <c r="K157" i="10"/>
  <c r="AB13" i="34"/>
  <c r="K158" i="10"/>
  <c r="AB14" i="34"/>
  <c r="K159" i="10"/>
  <c r="AB15" i="34"/>
  <c r="K160" i="10"/>
  <c r="AB16" i="34"/>
  <c r="K161" i="10"/>
  <c r="AB17" i="34"/>
  <c r="K162" i="10"/>
  <c r="AB18" i="34"/>
  <c r="K163" i="10"/>
  <c r="AB19" i="34"/>
  <c r="K164" i="10"/>
  <c r="Z20" i="34"/>
  <c r="AB20" i="34"/>
  <c r="K165" i="10"/>
  <c r="Z21" i="34"/>
  <c r="AB21" i="34"/>
  <c r="K166" i="10"/>
  <c r="AB22" i="34"/>
  <c r="K167" i="10"/>
  <c r="AB23" i="34"/>
  <c r="K168" i="10"/>
  <c r="AB24" i="34"/>
  <c r="K169" i="10"/>
  <c r="AB25" i="34"/>
  <c r="K170" i="10"/>
  <c r="Z26" i="34"/>
  <c r="AB26" i="34"/>
  <c r="K171" i="10"/>
  <c r="Z27" i="34"/>
  <c r="AB27" i="34"/>
  <c r="K172" i="10"/>
  <c r="AB28" i="34"/>
  <c r="K173" i="10"/>
  <c r="Z29" i="34"/>
  <c r="AB29" i="34"/>
  <c r="K174" i="10"/>
  <c r="AB30" i="34"/>
  <c r="K175" i="10"/>
  <c r="AB31" i="34"/>
  <c r="K176" i="10"/>
  <c r="AB34" i="34"/>
  <c r="K179" i="10"/>
  <c r="AB35" i="34"/>
  <c r="K180" i="10"/>
  <c r="AB36" i="34"/>
  <c r="K181" i="10"/>
  <c r="Z37" i="34"/>
  <c r="AB37" i="34"/>
  <c r="K182" i="10"/>
  <c r="AB38" i="34"/>
  <c r="K183" i="10"/>
  <c r="Z39" i="34"/>
  <c r="AB39" i="34"/>
  <c r="K184" i="10"/>
  <c r="AB40" i="34"/>
  <c r="K185" i="10"/>
  <c r="AB41" i="34"/>
  <c r="K186" i="10"/>
  <c r="AB42" i="34"/>
  <c r="K187" i="10"/>
  <c r="AB43" i="34"/>
  <c r="K188" i="10"/>
  <c r="AB44" i="34"/>
  <c r="K189" i="10"/>
  <c r="AB45" i="34"/>
  <c r="K190" i="10"/>
  <c r="AB46" i="34"/>
  <c r="K191" i="10"/>
  <c r="AB47" i="34"/>
  <c r="K192" i="10"/>
  <c r="Z48" i="34"/>
  <c r="AB48" i="34"/>
  <c r="K193" i="10"/>
  <c r="AB49" i="34"/>
  <c r="K194" i="10"/>
  <c r="AB50" i="34"/>
  <c r="K195" i="10"/>
  <c r="AB51" i="34"/>
  <c r="K196" i="10"/>
  <c r="AB52" i="34"/>
  <c r="K197" i="10"/>
  <c r="AB53" i="34"/>
  <c r="K198" i="10"/>
  <c r="Z55" i="34"/>
  <c r="AB55" i="34"/>
  <c r="K200" i="10"/>
  <c r="AB56" i="34"/>
  <c r="K201" i="10"/>
  <c r="Z57" i="34"/>
  <c r="AB57" i="34"/>
  <c r="K202" i="10"/>
  <c r="AB58" i="34"/>
  <c r="K203" i="10"/>
  <c r="AB59" i="34"/>
  <c r="K204" i="10"/>
  <c r="AB60" i="34"/>
  <c r="K205" i="10"/>
  <c r="AB61" i="34"/>
  <c r="K206" i="10"/>
  <c r="AB62" i="34"/>
  <c r="K207" i="10"/>
  <c r="AB63" i="34"/>
  <c r="K208" i="10"/>
  <c r="AB64" i="34"/>
  <c r="K209" i="10"/>
  <c r="AB65" i="34"/>
  <c r="K210" i="10"/>
  <c r="AB66" i="34"/>
  <c r="K211" i="10"/>
  <c r="Z67" i="34"/>
  <c r="AB67" i="34"/>
  <c r="K212" i="10"/>
  <c r="AB69" i="34"/>
  <c r="K214" i="10"/>
  <c r="AB71" i="34"/>
  <c r="K216" i="10"/>
  <c r="AB72" i="34"/>
  <c r="K217" i="10"/>
  <c r="AB73" i="34"/>
  <c r="K218" i="10"/>
  <c r="AB74" i="34"/>
  <c r="K219" i="10"/>
  <c r="AB75" i="34"/>
  <c r="K220" i="10"/>
  <c r="AB76" i="34"/>
  <c r="K221" i="10"/>
  <c r="AB77" i="34"/>
  <c r="K222" i="10"/>
  <c r="AB78" i="34"/>
  <c r="K223" i="10"/>
  <c r="AB79" i="34"/>
  <c r="K224" i="10"/>
  <c r="Z80" i="34"/>
  <c r="AB80" i="34"/>
  <c r="K225" i="10"/>
  <c r="AB81" i="34"/>
  <c r="K226" i="10"/>
  <c r="AB82" i="34"/>
  <c r="K227" i="10"/>
  <c r="Z83" i="34"/>
  <c r="AB83" i="34"/>
  <c r="K228" i="10"/>
  <c r="AB84" i="34"/>
  <c r="K229" i="10"/>
  <c r="Z86" i="34"/>
  <c r="AB86" i="34"/>
  <c r="K231" i="10"/>
  <c r="AB87" i="34"/>
  <c r="K232" i="10"/>
  <c r="AB88" i="34"/>
  <c r="K233" i="10"/>
  <c r="Z89" i="34"/>
  <c r="AB89" i="34"/>
  <c r="K234" i="10"/>
  <c r="AB90" i="34"/>
  <c r="K235" i="10"/>
  <c r="Z91" i="34"/>
  <c r="AB91" i="34"/>
  <c r="K236" i="10"/>
  <c r="AB92" i="34"/>
  <c r="K237" i="10"/>
  <c r="AB93" i="34"/>
  <c r="K238" i="10"/>
  <c r="AB94" i="34"/>
  <c r="K239" i="10"/>
  <c r="Z95" i="34"/>
  <c r="AB95" i="34"/>
  <c r="K240" i="10"/>
  <c r="Z96" i="34"/>
  <c r="AB96" i="34"/>
  <c r="K241" i="10"/>
  <c r="Z97" i="34"/>
  <c r="AB97" i="34"/>
  <c r="K242" i="10"/>
  <c r="AB98" i="34"/>
  <c r="K243" i="10"/>
  <c r="AB99" i="34"/>
  <c r="K244" i="10"/>
  <c r="Z100" i="34"/>
  <c r="AB100" i="34"/>
  <c r="K245" i="10"/>
  <c r="AB101" i="34"/>
  <c r="K246" i="10"/>
  <c r="AB102" i="34"/>
  <c r="K247" i="10"/>
  <c r="AB103" i="34"/>
  <c r="K248" i="10"/>
  <c r="AB104" i="34"/>
  <c r="K249" i="10"/>
  <c r="AB105" i="34"/>
  <c r="K250" i="10"/>
  <c r="AB106" i="34"/>
  <c r="K251" i="10"/>
  <c r="AB107" i="34"/>
  <c r="K252" i="10"/>
  <c r="AB108" i="34"/>
  <c r="K253" i="10"/>
  <c r="AB110" i="34"/>
  <c r="K255" i="10"/>
  <c r="Z111" i="34"/>
  <c r="AB111" i="34"/>
  <c r="K256" i="10"/>
  <c r="AB112" i="34"/>
  <c r="K257" i="10"/>
  <c r="AB113" i="34"/>
  <c r="K258" i="10"/>
  <c r="AB114" i="34"/>
  <c r="K259" i="10"/>
  <c r="AB115" i="34"/>
  <c r="K260" i="10"/>
  <c r="Z116" i="34"/>
  <c r="AB116" i="34"/>
  <c r="K261" i="10"/>
  <c r="Z117" i="34"/>
  <c r="AB117" i="34"/>
  <c r="K262" i="10"/>
  <c r="AB118" i="34"/>
  <c r="K263" i="10"/>
  <c r="AB121" i="34"/>
  <c r="K266" i="10"/>
  <c r="AB122" i="34"/>
  <c r="K267" i="10"/>
  <c r="AB124" i="34"/>
  <c r="K269" i="10"/>
  <c r="AB125" i="34"/>
  <c r="K270" i="10"/>
  <c r="AB126" i="34"/>
  <c r="K271" i="10"/>
  <c r="AB127" i="34"/>
  <c r="K272" i="10"/>
  <c r="AB128" i="34"/>
  <c r="K273" i="10"/>
  <c r="AB129" i="34"/>
  <c r="K274" i="10"/>
  <c r="AB130" i="34"/>
  <c r="K275" i="10"/>
  <c r="AB131" i="34"/>
  <c r="K276" i="10"/>
  <c r="AB132" i="34"/>
  <c r="K277" i="10"/>
  <c r="AB133" i="34"/>
  <c r="K278" i="10"/>
  <c r="AB134" i="34"/>
  <c r="K279" i="10"/>
  <c r="AB135" i="34"/>
  <c r="K280" i="10"/>
  <c r="AB137" i="34"/>
  <c r="K282" i="10"/>
  <c r="AB138" i="34"/>
  <c r="K283" i="10"/>
  <c r="AB139" i="34"/>
  <c r="K284" i="10"/>
  <c r="AB2" i="34"/>
  <c r="K147" i="10"/>
  <c r="G3" i="41"/>
  <c r="F314" i="11"/>
  <c r="G4" i="41"/>
  <c r="F315" i="11"/>
  <c r="G5" i="41"/>
  <c r="F316" i="11"/>
  <c r="G6" i="41"/>
  <c r="F317" i="11"/>
  <c r="G7" i="41"/>
  <c r="F318" i="11"/>
  <c r="G8" i="41"/>
  <c r="F319" i="11"/>
  <c r="G9" i="41"/>
  <c r="F320" i="11"/>
  <c r="G10" i="41"/>
  <c r="F321" i="11"/>
  <c r="G11" i="41"/>
  <c r="F322" i="11"/>
  <c r="G12" i="41"/>
  <c r="F323" i="11"/>
  <c r="G13" i="41"/>
  <c r="F324" i="11"/>
  <c r="G14" i="41"/>
  <c r="F325" i="11"/>
  <c r="G15" i="41"/>
  <c r="F326" i="11"/>
  <c r="G16" i="41"/>
  <c r="F327" i="11"/>
  <c r="G17" i="41"/>
  <c r="F328" i="11"/>
  <c r="G18" i="41"/>
  <c r="F329" i="11"/>
  <c r="G19" i="41"/>
  <c r="F330" i="11"/>
  <c r="G20" i="41"/>
  <c r="F331" i="11"/>
  <c r="G21" i="41"/>
  <c r="F332" i="11"/>
  <c r="G22" i="41"/>
  <c r="F333" i="11"/>
  <c r="G23" i="41"/>
  <c r="F334" i="11"/>
  <c r="G24" i="41"/>
  <c r="F335" i="11"/>
  <c r="G25" i="41"/>
  <c r="F336" i="11"/>
  <c r="G26" i="41"/>
  <c r="F337" i="11"/>
  <c r="G27" i="41"/>
  <c r="F338" i="11"/>
  <c r="G28" i="41"/>
  <c r="F339" i="11"/>
  <c r="G29" i="41"/>
  <c r="F340" i="11"/>
  <c r="G30" i="41"/>
  <c r="F341" i="11"/>
  <c r="G31" i="41"/>
  <c r="F342" i="11"/>
  <c r="G32" i="41"/>
  <c r="F343" i="11"/>
  <c r="G33" i="41"/>
  <c r="F344" i="11"/>
  <c r="G34" i="41"/>
  <c r="F345" i="11"/>
  <c r="G35" i="41"/>
  <c r="F346" i="11"/>
  <c r="G36" i="41"/>
  <c r="F347" i="11"/>
  <c r="G37" i="41"/>
  <c r="F348" i="11"/>
  <c r="G38" i="41"/>
  <c r="F349" i="11"/>
  <c r="G39" i="41"/>
  <c r="F350" i="11"/>
  <c r="G40" i="41"/>
  <c r="F351" i="11"/>
  <c r="G41" i="41"/>
  <c r="F352" i="11"/>
  <c r="G42" i="41"/>
  <c r="F353" i="11"/>
  <c r="G43" i="41"/>
  <c r="F354" i="11"/>
  <c r="G44" i="41"/>
  <c r="F355" i="11"/>
  <c r="G45" i="41"/>
  <c r="F356" i="11"/>
  <c r="G46" i="41"/>
  <c r="F357" i="11"/>
  <c r="G47" i="41"/>
  <c r="F358" i="11"/>
  <c r="G48" i="41"/>
  <c r="F359" i="11"/>
  <c r="G49" i="41"/>
  <c r="F360" i="11"/>
  <c r="G50" i="41"/>
  <c r="F361" i="11"/>
  <c r="G51" i="41"/>
  <c r="F362" i="11"/>
  <c r="G52" i="41"/>
  <c r="F363" i="11"/>
  <c r="G53" i="41"/>
  <c r="F364" i="11"/>
  <c r="G54" i="41"/>
  <c r="F365" i="11"/>
  <c r="G55" i="41"/>
  <c r="F366" i="11"/>
  <c r="G56" i="41"/>
  <c r="F367" i="11"/>
  <c r="G57" i="41"/>
  <c r="F368" i="11"/>
  <c r="G58" i="41"/>
  <c r="F369" i="11"/>
  <c r="G59" i="41"/>
  <c r="F370" i="11"/>
  <c r="G60" i="41"/>
  <c r="F371" i="11"/>
  <c r="G61" i="41"/>
  <c r="F372" i="11"/>
  <c r="G62" i="41"/>
  <c r="F373" i="11"/>
  <c r="G63" i="41"/>
  <c r="F374" i="11"/>
  <c r="G64" i="41"/>
  <c r="F375" i="11"/>
  <c r="G65" i="41"/>
  <c r="F376" i="11"/>
  <c r="G66" i="41"/>
  <c r="F377" i="11"/>
  <c r="G67" i="41"/>
  <c r="F378" i="11"/>
  <c r="G68" i="41"/>
  <c r="F379" i="11"/>
  <c r="G69" i="41"/>
  <c r="F380" i="11"/>
  <c r="G70" i="41"/>
  <c r="F381" i="11"/>
  <c r="G71" i="41"/>
  <c r="F382" i="11"/>
  <c r="G72" i="41"/>
  <c r="F383" i="11"/>
  <c r="G73" i="41"/>
  <c r="F384" i="11"/>
  <c r="G74" i="41"/>
  <c r="F385" i="11"/>
  <c r="G75" i="41"/>
  <c r="F386" i="11"/>
  <c r="G76" i="41"/>
  <c r="F387" i="11"/>
  <c r="G77" i="41"/>
  <c r="F388" i="11"/>
  <c r="G78" i="41"/>
  <c r="F389" i="11"/>
  <c r="G79" i="41"/>
  <c r="F390" i="11"/>
  <c r="G80" i="41"/>
  <c r="F391" i="11"/>
  <c r="G81" i="41"/>
  <c r="F392" i="11"/>
  <c r="G82" i="41"/>
  <c r="F393" i="11"/>
  <c r="G83" i="41"/>
  <c r="F394" i="11"/>
  <c r="G84" i="41"/>
  <c r="F395" i="11"/>
  <c r="G85" i="41"/>
  <c r="F396" i="11"/>
  <c r="G86" i="41"/>
  <c r="F397" i="11"/>
  <c r="G87" i="41"/>
  <c r="F398" i="11"/>
  <c r="G88" i="41"/>
  <c r="F399" i="11"/>
  <c r="G89" i="41"/>
  <c r="F400" i="11"/>
  <c r="G90" i="41"/>
  <c r="F401" i="11"/>
  <c r="G91" i="41"/>
  <c r="F402" i="11"/>
  <c r="G92" i="41"/>
  <c r="F403" i="11"/>
  <c r="G93" i="41"/>
  <c r="F404" i="11"/>
  <c r="G94" i="41"/>
  <c r="F405" i="11"/>
  <c r="G95" i="41"/>
  <c r="F406" i="11"/>
  <c r="G96" i="41"/>
  <c r="F407" i="11"/>
  <c r="G97" i="41"/>
  <c r="F408" i="11"/>
  <c r="G98" i="41"/>
  <c r="F409" i="11"/>
  <c r="G99" i="41"/>
  <c r="F410" i="11"/>
  <c r="G100" i="41"/>
  <c r="F411" i="11"/>
  <c r="G101" i="41"/>
  <c r="F412" i="11"/>
  <c r="G102" i="41"/>
  <c r="F413" i="11"/>
  <c r="G103" i="41"/>
  <c r="F414" i="11"/>
  <c r="G104" i="41"/>
  <c r="F415" i="11"/>
  <c r="G105" i="41"/>
  <c r="F416" i="11"/>
  <c r="G106" i="41"/>
  <c r="F417" i="11"/>
  <c r="G107" i="41"/>
  <c r="F418" i="11"/>
  <c r="G108" i="41"/>
  <c r="F419" i="11"/>
  <c r="G109" i="41"/>
  <c r="F420" i="11"/>
  <c r="G110" i="41"/>
  <c r="F421" i="11"/>
  <c r="G111" i="41"/>
  <c r="F422" i="11"/>
  <c r="G112" i="41"/>
  <c r="F423" i="11"/>
  <c r="G113" i="41"/>
  <c r="F424" i="11"/>
  <c r="G114" i="41"/>
  <c r="F425" i="11"/>
  <c r="G115" i="41"/>
  <c r="F426" i="11"/>
  <c r="G116" i="41"/>
  <c r="F427" i="11"/>
  <c r="G117" i="41"/>
  <c r="F428" i="11"/>
  <c r="G118" i="41"/>
  <c r="F429" i="11"/>
  <c r="G119" i="41"/>
  <c r="F430" i="11"/>
  <c r="G120" i="41"/>
  <c r="F431" i="11"/>
  <c r="G121" i="41"/>
  <c r="F432" i="11"/>
  <c r="G2" i="41"/>
  <c r="F313" i="11"/>
  <c r="G3" i="42"/>
  <c r="F502" i="11"/>
  <c r="G4" i="42"/>
  <c r="F503" i="11"/>
  <c r="G5" i="42"/>
  <c r="F504" i="11"/>
  <c r="G6" i="42"/>
  <c r="F505" i="11"/>
  <c r="G7" i="42"/>
  <c r="F506" i="11"/>
  <c r="G8" i="42"/>
  <c r="F507" i="11"/>
  <c r="G9" i="42"/>
  <c r="F508" i="11"/>
  <c r="G10" i="42"/>
  <c r="F509" i="11"/>
  <c r="G11" i="42"/>
  <c r="F510" i="11"/>
  <c r="G12" i="42"/>
  <c r="F511" i="11"/>
  <c r="G13" i="42"/>
  <c r="F512" i="11"/>
  <c r="G14" i="42"/>
  <c r="F513" i="11"/>
  <c r="G15" i="42"/>
  <c r="F514" i="11"/>
  <c r="G16" i="42"/>
  <c r="F515" i="11"/>
  <c r="G17" i="42"/>
  <c r="F516" i="11"/>
  <c r="G18" i="42"/>
  <c r="F517" i="11"/>
  <c r="G19" i="42"/>
  <c r="F518" i="11"/>
  <c r="G20" i="42"/>
  <c r="F519" i="11"/>
  <c r="G21" i="42"/>
  <c r="F520" i="11"/>
  <c r="G22" i="42"/>
  <c r="F521" i="11"/>
  <c r="G23" i="42"/>
  <c r="F522" i="11"/>
  <c r="G24" i="42"/>
  <c r="F523" i="11"/>
  <c r="G25" i="42"/>
  <c r="F524" i="11"/>
  <c r="G26" i="42"/>
  <c r="F525" i="11"/>
  <c r="G27" i="42"/>
  <c r="F526" i="11"/>
  <c r="G28" i="42"/>
  <c r="F527" i="11"/>
  <c r="G29" i="42"/>
  <c r="F528" i="11"/>
  <c r="G30" i="42"/>
  <c r="F529" i="11"/>
  <c r="G31" i="42"/>
  <c r="F530" i="11"/>
  <c r="G32" i="42"/>
  <c r="F531" i="11"/>
  <c r="G33" i="42"/>
  <c r="F532" i="11"/>
  <c r="G34" i="42"/>
  <c r="F533" i="11"/>
  <c r="G35" i="42"/>
  <c r="F534" i="11"/>
  <c r="G36" i="42"/>
  <c r="F535" i="11"/>
  <c r="G37" i="42"/>
  <c r="F536" i="11"/>
  <c r="G38" i="42"/>
  <c r="F537" i="11"/>
  <c r="G39" i="42"/>
  <c r="F538" i="11"/>
  <c r="G40" i="42"/>
  <c r="F539" i="11"/>
  <c r="G41" i="42"/>
  <c r="F540" i="11"/>
  <c r="G42" i="42"/>
  <c r="F541" i="11"/>
  <c r="G44" i="42"/>
  <c r="F543" i="11"/>
  <c r="G45" i="42"/>
  <c r="F544" i="11"/>
  <c r="G47" i="42"/>
  <c r="F546" i="11"/>
  <c r="G48" i="42"/>
  <c r="F547" i="11"/>
  <c r="G49" i="42"/>
  <c r="F548" i="11"/>
  <c r="G50" i="42"/>
  <c r="F549" i="11"/>
  <c r="G51" i="42"/>
  <c r="F550" i="11"/>
  <c r="E52" i="42"/>
  <c r="G52" i="42"/>
  <c r="F551" i="11"/>
  <c r="G53" i="42"/>
  <c r="F552" i="11"/>
  <c r="G54" i="42"/>
  <c r="F553" i="11"/>
  <c r="G55" i="42"/>
  <c r="F554" i="11"/>
  <c r="G56" i="42"/>
  <c r="F555" i="11"/>
  <c r="G57" i="42"/>
  <c r="F556" i="11"/>
  <c r="G58" i="42"/>
  <c r="F557" i="11"/>
  <c r="G59" i="42"/>
  <c r="F558" i="11"/>
  <c r="G60" i="42"/>
  <c r="F559" i="11"/>
  <c r="G61" i="42"/>
  <c r="F560" i="11"/>
  <c r="G62" i="42"/>
  <c r="F561" i="11"/>
  <c r="G63" i="42"/>
  <c r="F562" i="11"/>
  <c r="G64" i="42"/>
  <c r="F563" i="11"/>
  <c r="E65" i="42"/>
  <c r="G65" i="42"/>
  <c r="F564" i="11"/>
  <c r="G66" i="42"/>
  <c r="F565" i="11"/>
  <c r="E67" i="42"/>
  <c r="G67" i="42"/>
  <c r="F566" i="11"/>
  <c r="G68" i="42"/>
  <c r="F567" i="11"/>
  <c r="G69" i="42"/>
  <c r="F568" i="11"/>
  <c r="G70" i="42"/>
  <c r="F569" i="11"/>
  <c r="G71" i="42"/>
  <c r="F570" i="11"/>
  <c r="G72" i="42"/>
  <c r="F571" i="11"/>
  <c r="G73" i="42"/>
  <c r="F572" i="11"/>
  <c r="G74" i="42"/>
  <c r="F573" i="11"/>
  <c r="G75" i="42"/>
  <c r="F574" i="11"/>
  <c r="G76" i="42"/>
  <c r="F575" i="11"/>
  <c r="G77" i="42"/>
  <c r="F576" i="11"/>
  <c r="G78" i="42"/>
  <c r="F577" i="11"/>
  <c r="G79" i="42"/>
  <c r="F578" i="11"/>
  <c r="G80" i="42"/>
  <c r="F579" i="11"/>
  <c r="G81" i="42"/>
  <c r="F580" i="11"/>
  <c r="G82" i="42"/>
  <c r="F581" i="11"/>
  <c r="G83" i="42"/>
  <c r="F582" i="11"/>
  <c r="G2" i="42"/>
  <c r="F501" i="11"/>
  <c r="J3" i="41"/>
  <c r="K3" i="41"/>
  <c r="H314" i="11"/>
  <c r="J4" i="41"/>
  <c r="K4" i="41"/>
  <c r="H315" i="11"/>
  <c r="K5" i="41"/>
  <c r="H316" i="11"/>
  <c r="J6" i="41"/>
  <c r="K6" i="41"/>
  <c r="H317" i="11"/>
  <c r="J7" i="41"/>
  <c r="K7" i="41"/>
  <c r="H318" i="11"/>
  <c r="J8" i="41"/>
  <c r="K8" i="41"/>
  <c r="H319" i="11"/>
  <c r="J9" i="41"/>
  <c r="K9" i="41"/>
  <c r="H320" i="11"/>
  <c r="J10" i="41"/>
  <c r="K10" i="41"/>
  <c r="H321" i="11"/>
  <c r="J11" i="41"/>
  <c r="K11" i="41"/>
  <c r="H322" i="11"/>
  <c r="J12" i="41"/>
  <c r="K12" i="41"/>
  <c r="H323" i="11"/>
  <c r="J13" i="41"/>
  <c r="K13" i="41"/>
  <c r="H324" i="11"/>
  <c r="J14" i="41"/>
  <c r="K14" i="41"/>
  <c r="H325" i="11"/>
  <c r="J15" i="41"/>
  <c r="K15" i="41"/>
  <c r="H326" i="11"/>
  <c r="J16" i="41"/>
  <c r="K16" i="41"/>
  <c r="H327" i="11"/>
  <c r="J17" i="41"/>
  <c r="K17" i="41"/>
  <c r="H328" i="11"/>
  <c r="J18" i="41"/>
  <c r="K18" i="41"/>
  <c r="H329" i="11"/>
  <c r="J19" i="41"/>
  <c r="K19" i="41"/>
  <c r="H330" i="11"/>
  <c r="J20" i="41"/>
  <c r="K20" i="41"/>
  <c r="H331" i="11"/>
  <c r="J21" i="41"/>
  <c r="K21" i="41"/>
  <c r="H332" i="11"/>
  <c r="J22" i="41"/>
  <c r="K22" i="41"/>
  <c r="H333" i="11"/>
  <c r="J23" i="41"/>
  <c r="K23" i="41"/>
  <c r="H334" i="11"/>
  <c r="J24" i="41"/>
  <c r="K24" i="41"/>
  <c r="H335" i="11"/>
  <c r="J25" i="41"/>
  <c r="K25" i="41"/>
  <c r="H336" i="11"/>
  <c r="J26" i="41"/>
  <c r="K26" i="41"/>
  <c r="H337" i="11"/>
  <c r="J27" i="41"/>
  <c r="K27" i="41"/>
  <c r="H338" i="11"/>
  <c r="J28" i="41"/>
  <c r="K28" i="41"/>
  <c r="H339" i="11"/>
  <c r="J29" i="41"/>
  <c r="K29" i="41"/>
  <c r="H340" i="11"/>
  <c r="J30" i="41"/>
  <c r="K30" i="41"/>
  <c r="H341" i="11"/>
  <c r="J31" i="41"/>
  <c r="K31" i="41"/>
  <c r="H342" i="11"/>
  <c r="J32" i="41"/>
  <c r="K32" i="41"/>
  <c r="H343" i="11"/>
  <c r="K33" i="41"/>
  <c r="H344" i="11"/>
  <c r="J34" i="41"/>
  <c r="K34" i="41"/>
  <c r="H345" i="11"/>
  <c r="J35" i="41"/>
  <c r="K35" i="41"/>
  <c r="H346" i="11"/>
  <c r="J36" i="41"/>
  <c r="K36" i="41"/>
  <c r="H347" i="11"/>
  <c r="J37" i="41"/>
  <c r="K37" i="41"/>
  <c r="H348" i="11"/>
  <c r="J38" i="41"/>
  <c r="K38" i="41"/>
  <c r="H349" i="11"/>
  <c r="J39" i="41"/>
  <c r="K39" i="41"/>
  <c r="H350" i="11"/>
  <c r="J40" i="41"/>
  <c r="K40" i="41"/>
  <c r="H351" i="11"/>
  <c r="J41" i="41"/>
  <c r="K41" i="41"/>
  <c r="H352" i="11"/>
  <c r="J42" i="41"/>
  <c r="K42" i="41"/>
  <c r="H353" i="11"/>
  <c r="J43" i="41"/>
  <c r="K43" i="41"/>
  <c r="H354" i="11"/>
  <c r="J44" i="41"/>
  <c r="K44" i="41"/>
  <c r="H355" i="11"/>
  <c r="J45" i="41"/>
  <c r="K45" i="41"/>
  <c r="H356" i="11"/>
  <c r="J46" i="41"/>
  <c r="K46" i="41"/>
  <c r="H357" i="11"/>
  <c r="K47" i="41"/>
  <c r="H358" i="11"/>
  <c r="J48" i="41"/>
  <c r="K48" i="41"/>
  <c r="H359" i="11"/>
  <c r="J49" i="41"/>
  <c r="K49" i="41"/>
  <c r="H360" i="11"/>
  <c r="J50" i="41"/>
  <c r="K50" i="41"/>
  <c r="H361" i="11"/>
  <c r="J51" i="41"/>
  <c r="K51" i="41"/>
  <c r="H362" i="11"/>
  <c r="J52" i="41"/>
  <c r="K52" i="41"/>
  <c r="H363" i="11"/>
  <c r="J53" i="41"/>
  <c r="K53" i="41"/>
  <c r="H364" i="11"/>
  <c r="K54" i="41"/>
  <c r="H365" i="11"/>
  <c r="J55" i="41"/>
  <c r="K55" i="41"/>
  <c r="H366" i="11"/>
  <c r="K56" i="41"/>
  <c r="H367" i="11"/>
  <c r="J57" i="41"/>
  <c r="K57" i="41"/>
  <c r="H368" i="11"/>
  <c r="J58" i="41"/>
  <c r="K58" i="41"/>
  <c r="H369" i="11"/>
  <c r="J59" i="41"/>
  <c r="K59" i="41"/>
  <c r="H370" i="11"/>
  <c r="J60" i="41"/>
  <c r="K60" i="41"/>
  <c r="H371" i="11"/>
  <c r="K61" i="41"/>
  <c r="H372" i="11"/>
  <c r="J62" i="41"/>
  <c r="K62" i="41"/>
  <c r="H373" i="11"/>
  <c r="J63" i="41"/>
  <c r="K63" i="41"/>
  <c r="H374" i="11"/>
  <c r="J64" i="41"/>
  <c r="K64" i="41"/>
  <c r="H375" i="11"/>
  <c r="J65" i="41"/>
  <c r="K65" i="41"/>
  <c r="H376" i="11"/>
  <c r="J66" i="41"/>
  <c r="K66" i="41"/>
  <c r="H377" i="11"/>
  <c r="J67" i="41"/>
  <c r="K67" i="41"/>
  <c r="H378" i="11"/>
  <c r="J68" i="41"/>
  <c r="K68" i="41"/>
  <c r="H379" i="11"/>
  <c r="J69" i="41"/>
  <c r="K69" i="41"/>
  <c r="H380" i="11"/>
  <c r="J70" i="41"/>
  <c r="K70" i="41"/>
  <c r="H381" i="11"/>
  <c r="J71" i="41"/>
  <c r="K71" i="41"/>
  <c r="H382" i="11"/>
  <c r="J72" i="41"/>
  <c r="K72" i="41"/>
  <c r="H383" i="11"/>
  <c r="J73" i="41"/>
  <c r="K73" i="41"/>
  <c r="H384" i="11"/>
  <c r="J74" i="41"/>
  <c r="K74" i="41"/>
  <c r="H385" i="11"/>
  <c r="J75" i="41"/>
  <c r="K75" i="41"/>
  <c r="H386" i="11"/>
  <c r="J76" i="41"/>
  <c r="K76" i="41"/>
  <c r="H387" i="11"/>
  <c r="J77" i="41"/>
  <c r="K77" i="41"/>
  <c r="H388" i="11"/>
  <c r="K78" i="41"/>
  <c r="H389" i="11"/>
  <c r="J79" i="41"/>
  <c r="K79" i="41"/>
  <c r="H390" i="11"/>
  <c r="J80" i="41"/>
  <c r="K80" i="41"/>
  <c r="H391" i="11"/>
  <c r="J81" i="41"/>
  <c r="K81" i="41"/>
  <c r="H392" i="11"/>
  <c r="J82" i="41"/>
  <c r="K82" i="41"/>
  <c r="H393" i="11"/>
  <c r="J83" i="41"/>
  <c r="K83" i="41"/>
  <c r="H394" i="11"/>
  <c r="J84" i="41"/>
  <c r="K84" i="41"/>
  <c r="H395" i="11"/>
  <c r="J85" i="41"/>
  <c r="K85" i="41"/>
  <c r="H396" i="11"/>
  <c r="J86" i="41"/>
  <c r="K86" i="41"/>
  <c r="H397" i="11"/>
  <c r="J87" i="41"/>
  <c r="K87" i="41"/>
  <c r="H398" i="11"/>
  <c r="J88" i="41"/>
  <c r="K88" i="41"/>
  <c r="H399" i="11"/>
  <c r="J89" i="41"/>
  <c r="K89" i="41"/>
  <c r="H400" i="11"/>
  <c r="J90" i="41"/>
  <c r="K90" i="41"/>
  <c r="H401" i="11"/>
  <c r="J91" i="41"/>
  <c r="K91" i="41"/>
  <c r="H402" i="11"/>
  <c r="J92" i="41"/>
  <c r="K92" i="41"/>
  <c r="H403" i="11"/>
  <c r="J93" i="41"/>
  <c r="K93" i="41"/>
  <c r="H404" i="11"/>
  <c r="J94" i="41"/>
  <c r="K94" i="41"/>
  <c r="H405" i="11"/>
  <c r="J95" i="41"/>
  <c r="K95" i="41"/>
  <c r="H406" i="11"/>
  <c r="J96" i="41"/>
  <c r="K96" i="41"/>
  <c r="H407" i="11"/>
  <c r="J97" i="41"/>
  <c r="K97" i="41"/>
  <c r="H408" i="11"/>
  <c r="J98" i="41"/>
  <c r="K98" i="41"/>
  <c r="H409" i="11"/>
  <c r="J99" i="41"/>
  <c r="K99" i="41"/>
  <c r="H410" i="11"/>
  <c r="J100" i="41"/>
  <c r="K100" i="41"/>
  <c r="H411" i="11"/>
  <c r="J101" i="41"/>
  <c r="K101" i="41"/>
  <c r="H412" i="11"/>
  <c r="K102" i="41"/>
  <c r="H413" i="11"/>
  <c r="J103" i="41"/>
  <c r="K103" i="41"/>
  <c r="H414" i="11"/>
  <c r="K104" i="41"/>
  <c r="H415" i="11"/>
  <c r="J105" i="41"/>
  <c r="K105" i="41"/>
  <c r="H416" i="11"/>
  <c r="J106" i="41"/>
  <c r="K106" i="41"/>
  <c r="H417" i="11"/>
  <c r="J107" i="41"/>
  <c r="K107" i="41"/>
  <c r="H418" i="11"/>
  <c r="J108" i="41"/>
  <c r="K108" i="41"/>
  <c r="H419" i="11"/>
  <c r="J109" i="41"/>
  <c r="K109" i="41"/>
  <c r="H420" i="11"/>
  <c r="J110" i="41"/>
  <c r="K110" i="41"/>
  <c r="H421" i="11"/>
  <c r="J111" i="41"/>
  <c r="K111" i="41"/>
  <c r="H422" i="11"/>
  <c r="J112" i="41"/>
  <c r="K112" i="41"/>
  <c r="H423" i="11"/>
  <c r="J113" i="41"/>
  <c r="K113" i="41"/>
  <c r="H424" i="11"/>
  <c r="J114" i="41"/>
  <c r="K114" i="41"/>
  <c r="H425" i="11"/>
  <c r="J115" i="41"/>
  <c r="K115" i="41"/>
  <c r="H426" i="11"/>
  <c r="J116" i="41"/>
  <c r="K116" i="41"/>
  <c r="H427" i="11"/>
  <c r="J117" i="41"/>
  <c r="K117" i="41"/>
  <c r="H428" i="11"/>
  <c r="J118" i="41"/>
  <c r="K118" i="41"/>
  <c r="H429" i="11"/>
  <c r="J119" i="41"/>
  <c r="K119" i="41"/>
  <c r="H430" i="11"/>
  <c r="J120" i="41"/>
  <c r="K120" i="41"/>
  <c r="H431" i="11"/>
  <c r="J121" i="41"/>
  <c r="K121" i="41"/>
  <c r="H432" i="11"/>
  <c r="J2" i="41"/>
  <c r="K2" i="41"/>
  <c r="H313" i="11"/>
  <c r="J3" i="29"/>
  <c r="M3" i="29"/>
  <c r="H586" i="11"/>
  <c r="J4" i="29"/>
  <c r="M4" i="29"/>
  <c r="H587" i="11"/>
  <c r="J5" i="29"/>
  <c r="M5" i="29"/>
  <c r="H588" i="11"/>
  <c r="J6" i="29"/>
  <c r="M6" i="29"/>
  <c r="H589" i="11"/>
  <c r="J7" i="29"/>
  <c r="M7" i="29"/>
  <c r="H590" i="11"/>
  <c r="J8" i="29"/>
  <c r="M8" i="29"/>
  <c r="H591" i="11"/>
  <c r="J9" i="29"/>
  <c r="M9" i="29"/>
  <c r="H592" i="11"/>
  <c r="J10" i="29"/>
  <c r="M10" i="29"/>
  <c r="H593" i="11"/>
  <c r="J11" i="29"/>
  <c r="M11" i="29"/>
  <c r="H594" i="11"/>
  <c r="J12" i="29"/>
  <c r="M12" i="29"/>
  <c r="H595" i="11"/>
  <c r="J13" i="29"/>
  <c r="M13" i="29"/>
  <c r="H596" i="11"/>
  <c r="J14" i="29"/>
  <c r="M14" i="29"/>
  <c r="H597" i="11"/>
  <c r="J15" i="29"/>
  <c r="M15" i="29"/>
  <c r="H598" i="11"/>
  <c r="J16" i="29"/>
  <c r="M16" i="29"/>
  <c r="H599" i="11"/>
  <c r="J17" i="29"/>
  <c r="M17" i="29"/>
  <c r="H600" i="11"/>
  <c r="J18" i="29"/>
  <c r="M18" i="29"/>
  <c r="H601" i="11"/>
  <c r="J19" i="29"/>
  <c r="M19" i="29"/>
  <c r="H602" i="11"/>
  <c r="J20" i="29"/>
  <c r="M20" i="29"/>
  <c r="H603" i="11"/>
  <c r="J21" i="29"/>
  <c r="M21" i="29"/>
  <c r="H604" i="11"/>
  <c r="J22" i="29"/>
  <c r="M22" i="29"/>
  <c r="H605" i="11"/>
  <c r="J23" i="29"/>
  <c r="M23" i="29"/>
  <c r="H606" i="11"/>
  <c r="J24" i="29"/>
  <c r="M24" i="29"/>
  <c r="H607" i="11"/>
  <c r="J25" i="29"/>
  <c r="M25" i="29"/>
  <c r="H608" i="11"/>
  <c r="J26" i="29"/>
  <c r="M26" i="29"/>
  <c r="H609" i="11"/>
  <c r="J27" i="29"/>
  <c r="M27" i="29"/>
  <c r="H610" i="11"/>
  <c r="J28" i="29"/>
  <c r="M28" i="29"/>
  <c r="H611" i="11"/>
  <c r="J29" i="29"/>
  <c r="M29" i="29"/>
  <c r="H612" i="11"/>
  <c r="J30" i="29"/>
  <c r="M30" i="29"/>
  <c r="H613" i="11"/>
  <c r="J31" i="29"/>
  <c r="M31" i="29"/>
  <c r="H614" i="11"/>
  <c r="J32" i="29"/>
  <c r="M32" i="29"/>
  <c r="H615" i="11"/>
  <c r="J33" i="29"/>
  <c r="M33" i="29"/>
  <c r="H616" i="11"/>
  <c r="J34" i="29"/>
  <c r="M34" i="29"/>
  <c r="H617" i="11"/>
  <c r="J35" i="29"/>
  <c r="M35" i="29"/>
  <c r="H618" i="11"/>
  <c r="L36" i="29"/>
  <c r="J36" i="29"/>
  <c r="M36" i="29"/>
  <c r="H619" i="11"/>
  <c r="J37" i="29"/>
  <c r="M37" i="29"/>
  <c r="H620" i="11"/>
  <c r="J38" i="29"/>
  <c r="M38" i="29"/>
  <c r="H621" i="11"/>
  <c r="J39" i="29"/>
  <c r="M39" i="29"/>
  <c r="H622" i="11"/>
  <c r="J40" i="29"/>
  <c r="M40" i="29"/>
  <c r="H623" i="11"/>
  <c r="J41" i="29"/>
  <c r="M41" i="29"/>
  <c r="H624" i="11"/>
  <c r="J42" i="29"/>
  <c r="M42" i="29"/>
  <c r="H625" i="11"/>
  <c r="J43" i="29"/>
  <c r="M43" i="29"/>
  <c r="H626" i="11"/>
  <c r="J44" i="29"/>
  <c r="M44" i="29"/>
  <c r="H627" i="11"/>
  <c r="J45" i="29"/>
  <c r="M45" i="29"/>
  <c r="H628" i="11"/>
  <c r="J46" i="29"/>
  <c r="M46" i="29"/>
  <c r="H629" i="11"/>
  <c r="J47" i="29"/>
  <c r="M47" i="29"/>
  <c r="H630" i="11"/>
  <c r="J48" i="29"/>
  <c r="M48" i="29"/>
  <c r="H631" i="11"/>
  <c r="J49" i="29"/>
  <c r="M49" i="29"/>
  <c r="H632" i="11"/>
  <c r="J50" i="29"/>
  <c r="M50" i="29"/>
  <c r="H633" i="11"/>
  <c r="J51" i="29"/>
  <c r="M51" i="29"/>
  <c r="H634" i="11"/>
  <c r="J52" i="29"/>
  <c r="M52" i="29"/>
  <c r="H635" i="11"/>
  <c r="J53" i="29"/>
  <c r="M53" i="29"/>
  <c r="H636" i="11"/>
  <c r="J54" i="29"/>
  <c r="M54" i="29"/>
  <c r="H637" i="11"/>
  <c r="J55" i="29"/>
  <c r="M55" i="29"/>
  <c r="H638" i="11"/>
  <c r="J56" i="29"/>
  <c r="M56" i="29"/>
  <c r="H639" i="11"/>
  <c r="J57" i="29"/>
  <c r="M57" i="29"/>
  <c r="H640" i="11"/>
  <c r="J58" i="29"/>
  <c r="M58" i="29"/>
  <c r="H641" i="11"/>
  <c r="J59" i="29"/>
  <c r="M59" i="29"/>
  <c r="H642" i="11"/>
  <c r="J60" i="29"/>
  <c r="M60" i="29"/>
  <c r="H643" i="11"/>
  <c r="J61" i="29"/>
  <c r="M61" i="29"/>
  <c r="H644" i="11"/>
  <c r="J62" i="29"/>
  <c r="M62" i="29"/>
  <c r="H645" i="11"/>
  <c r="J63" i="29"/>
  <c r="M63" i="29"/>
  <c r="H646" i="11"/>
  <c r="J64" i="29"/>
  <c r="M64" i="29"/>
  <c r="H647" i="11"/>
  <c r="J65" i="29"/>
  <c r="M65" i="29"/>
  <c r="H648" i="11"/>
  <c r="J66" i="29"/>
  <c r="M66" i="29"/>
  <c r="H649" i="11"/>
  <c r="J67" i="29"/>
  <c r="M67" i="29"/>
  <c r="H650" i="11"/>
  <c r="J68" i="29"/>
  <c r="M68" i="29"/>
  <c r="H651" i="11"/>
  <c r="J69" i="29"/>
  <c r="M69" i="29"/>
  <c r="H652" i="11"/>
  <c r="J70" i="29"/>
  <c r="M70" i="29"/>
  <c r="H653" i="11"/>
  <c r="J71" i="29"/>
  <c r="M71" i="29"/>
  <c r="H654" i="11"/>
  <c r="J72" i="29"/>
  <c r="M72" i="29"/>
  <c r="H655" i="11"/>
  <c r="J73" i="29"/>
  <c r="M73" i="29"/>
  <c r="H656" i="11"/>
  <c r="J74" i="29"/>
  <c r="M74" i="29"/>
  <c r="H657" i="11"/>
  <c r="J75" i="29"/>
  <c r="M75" i="29"/>
  <c r="H658" i="11"/>
  <c r="J76" i="29"/>
  <c r="M76" i="29"/>
  <c r="H659" i="11"/>
  <c r="J77" i="29"/>
  <c r="M77" i="29"/>
  <c r="H660" i="11"/>
  <c r="J78" i="29"/>
  <c r="M78" i="29"/>
  <c r="H661" i="11"/>
  <c r="J79" i="29"/>
  <c r="M79" i="29"/>
  <c r="H662" i="11"/>
  <c r="J80" i="29"/>
  <c r="M80" i="29"/>
  <c r="H663" i="11"/>
  <c r="J81" i="29"/>
  <c r="M81" i="29"/>
  <c r="H664" i="11"/>
  <c r="J82" i="29"/>
  <c r="M82" i="29"/>
  <c r="H665" i="11"/>
  <c r="J83" i="29"/>
  <c r="M83" i="29"/>
  <c r="H666" i="11"/>
  <c r="J84" i="29"/>
  <c r="M84" i="29"/>
  <c r="H667" i="11"/>
  <c r="J85" i="29"/>
  <c r="M85" i="29"/>
  <c r="H668" i="11"/>
  <c r="J86" i="29"/>
  <c r="M86" i="29"/>
  <c r="H669" i="11"/>
  <c r="J87" i="29"/>
  <c r="M87" i="29"/>
  <c r="H670" i="11"/>
  <c r="J88" i="29"/>
  <c r="M88" i="29"/>
  <c r="H671" i="11"/>
  <c r="J89" i="29"/>
  <c r="M89" i="29"/>
  <c r="H672" i="11"/>
  <c r="J90" i="29"/>
  <c r="M90" i="29"/>
  <c r="H673" i="11"/>
  <c r="J91" i="29"/>
  <c r="M91" i="29"/>
  <c r="H674" i="11"/>
  <c r="J92" i="29"/>
  <c r="M92" i="29"/>
  <c r="H675" i="11"/>
  <c r="J93" i="29"/>
  <c r="M93" i="29"/>
  <c r="H676" i="11"/>
  <c r="J94" i="29"/>
  <c r="M94" i="29"/>
  <c r="H677" i="11"/>
  <c r="J95" i="29"/>
  <c r="M95" i="29"/>
  <c r="H678" i="11"/>
  <c r="J96" i="29"/>
  <c r="M96" i="29"/>
  <c r="H679" i="11"/>
  <c r="J97" i="29"/>
  <c r="M97" i="29"/>
  <c r="H680" i="11"/>
  <c r="J98" i="29"/>
  <c r="M98" i="29"/>
  <c r="H681" i="11"/>
  <c r="J99" i="29"/>
  <c r="M99" i="29"/>
  <c r="H682" i="11"/>
  <c r="J100" i="29"/>
  <c r="M100" i="29"/>
  <c r="H683" i="11"/>
  <c r="J101" i="29"/>
  <c r="M101" i="29"/>
  <c r="H684" i="11"/>
  <c r="J2" i="29"/>
  <c r="M2" i="29"/>
  <c r="H585" i="11"/>
  <c r="I3" i="30"/>
  <c r="H688" i="11"/>
  <c r="I4" i="30"/>
  <c r="H689" i="11"/>
  <c r="I5" i="30"/>
  <c r="H690" i="11"/>
  <c r="I6" i="30"/>
  <c r="H691" i="11"/>
  <c r="I7" i="30"/>
  <c r="H692" i="11"/>
  <c r="I8" i="30"/>
  <c r="H693" i="11"/>
  <c r="I9" i="30"/>
  <c r="H694" i="11"/>
  <c r="I10" i="30"/>
  <c r="H695" i="11"/>
  <c r="I11" i="30"/>
  <c r="H696" i="11"/>
  <c r="I12" i="30"/>
  <c r="H697" i="11"/>
  <c r="I13" i="30"/>
  <c r="H698" i="11"/>
  <c r="I14" i="30"/>
  <c r="H699" i="11"/>
  <c r="I15" i="30"/>
  <c r="H700" i="11"/>
  <c r="I16" i="30"/>
  <c r="H701" i="11"/>
  <c r="I17" i="30"/>
  <c r="H702" i="11"/>
  <c r="I18" i="30"/>
  <c r="H703" i="11"/>
  <c r="I19" i="30"/>
  <c r="H704" i="11"/>
  <c r="I20" i="30"/>
  <c r="H705" i="11"/>
  <c r="I21" i="30"/>
  <c r="H706" i="11"/>
  <c r="I22" i="30"/>
  <c r="H707" i="11"/>
  <c r="I23" i="30"/>
  <c r="H708" i="11"/>
  <c r="I24" i="30"/>
  <c r="H709" i="11"/>
  <c r="I25" i="30"/>
  <c r="H710" i="11"/>
  <c r="I26" i="30"/>
  <c r="H711" i="11"/>
  <c r="I27" i="30"/>
  <c r="H712" i="11"/>
  <c r="I28" i="30"/>
  <c r="H713" i="11"/>
  <c r="I29" i="30"/>
  <c r="H714" i="11"/>
  <c r="I30" i="30"/>
  <c r="H715" i="11"/>
  <c r="I31" i="30"/>
  <c r="H716" i="11"/>
  <c r="I32" i="30"/>
  <c r="H717" i="11"/>
  <c r="I33" i="30"/>
  <c r="H718" i="11"/>
  <c r="I34" i="30"/>
  <c r="H719" i="11"/>
  <c r="I35" i="30"/>
  <c r="H720" i="11"/>
  <c r="I36" i="30"/>
  <c r="H721" i="11"/>
  <c r="I37" i="30"/>
  <c r="H722" i="11"/>
  <c r="I38" i="30"/>
  <c r="H723" i="11"/>
  <c r="I39" i="30"/>
  <c r="H724" i="11"/>
  <c r="I40" i="30"/>
  <c r="H725" i="11"/>
  <c r="I41" i="30"/>
  <c r="H726" i="11"/>
  <c r="I42" i="30"/>
  <c r="H727" i="11"/>
  <c r="I43" i="30"/>
  <c r="H728" i="11"/>
  <c r="I44" i="30"/>
  <c r="H729" i="11"/>
  <c r="I45" i="30"/>
  <c r="H730" i="11"/>
  <c r="I46" i="30"/>
  <c r="H731" i="11"/>
  <c r="I47" i="30"/>
  <c r="H732" i="11"/>
  <c r="I2" i="30"/>
  <c r="H687" i="11"/>
  <c r="K3" i="43"/>
  <c r="H1088" i="11"/>
  <c r="K4" i="43"/>
  <c r="H1089" i="11"/>
  <c r="K5" i="43"/>
  <c r="H1090" i="11"/>
  <c r="K6" i="43"/>
  <c r="H1091" i="11"/>
  <c r="K7" i="43"/>
  <c r="H1092" i="11"/>
  <c r="K8" i="43"/>
  <c r="H1093" i="11"/>
  <c r="K9" i="43"/>
  <c r="H1094" i="11"/>
  <c r="K10" i="43"/>
  <c r="H1095" i="11"/>
  <c r="K11" i="43"/>
  <c r="H1096" i="11"/>
  <c r="K12" i="43"/>
  <c r="H1097" i="11"/>
  <c r="K13" i="43"/>
  <c r="H1098" i="11"/>
  <c r="K14" i="43"/>
  <c r="H1099" i="11"/>
  <c r="K15" i="43"/>
  <c r="H1100" i="11"/>
  <c r="K16" i="43"/>
  <c r="H1101" i="11"/>
  <c r="K17" i="43"/>
  <c r="H1102" i="11"/>
  <c r="K18" i="43"/>
  <c r="H1103" i="11"/>
  <c r="K19" i="43"/>
  <c r="H1104" i="11"/>
  <c r="K20" i="43"/>
  <c r="H1105" i="11"/>
  <c r="K21" i="43"/>
  <c r="H1106" i="11"/>
  <c r="K22" i="43"/>
  <c r="H1107" i="11"/>
  <c r="K23" i="43"/>
  <c r="H1108" i="11"/>
  <c r="K24" i="43"/>
  <c r="H1109" i="11"/>
  <c r="K25" i="43"/>
  <c r="H1110" i="11"/>
  <c r="K26" i="43"/>
  <c r="H1111" i="11"/>
  <c r="K27" i="43"/>
  <c r="H1112" i="11"/>
  <c r="K28" i="43"/>
  <c r="H1113" i="11"/>
  <c r="K29" i="43"/>
  <c r="H1114" i="11"/>
  <c r="K30" i="43"/>
  <c r="H1115" i="11"/>
  <c r="K31" i="43"/>
  <c r="H1116" i="11"/>
  <c r="K32" i="43"/>
  <c r="H1117" i="11"/>
  <c r="K33" i="43"/>
  <c r="H1118" i="11"/>
  <c r="K34" i="43"/>
  <c r="H1119" i="11"/>
  <c r="K35" i="43"/>
  <c r="H1120" i="11"/>
  <c r="K36" i="43"/>
  <c r="H1121" i="11"/>
  <c r="K37" i="43"/>
  <c r="H1122" i="11"/>
  <c r="K38" i="43"/>
  <c r="H1123" i="11"/>
  <c r="K39" i="43"/>
  <c r="H1124" i="11"/>
  <c r="K40" i="43"/>
  <c r="H1125" i="11"/>
  <c r="K41" i="43"/>
  <c r="H1126" i="11"/>
  <c r="K42" i="43"/>
  <c r="H1127" i="11"/>
  <c r="K43" i="43"/>
  <c r="H1128" i="11"/>
  <c r="K44" i="43"/>
  <c r="H1129" i="11"/>
  <c r="K45" i="43"/>
  <c r="H1130" i="11"/>
  <c r="K46" i="43"/>
  <c r="H1131" i="11"/>
  <c r="K47" i="43"/>
  <c r="H1132" i="11"/>
  <c r="K48" i="43"/>
  <c r="H1133" i="11"/>
  <c r="K49" i="43"/>
  <c r="H1134" i="11"/>
  <c r="K50" i="43"/>
  <c r="H1135" i="11"/>
  <c r="K51" i="43"/>
  <c r="H1136" i="11"/>
  <c r="K52" i="43"/>
  <c r="H1137" i="11"/>
  <c r="K53" i="43"/>
  <c r="H1138" i="11"/>
  <c r="K54" i="43"/>
  <c r="H1139" i="11"/>
  <c r="K55" i="43"/>
  <c r="H1140" i="11"/>
  <c r="K56" i="43"/>
  <c r="H1141" i="11"/>
  <c r="K57" i="43"/>
  <c r="H1142" i="11"/>
  <c r="K58" i="43"/>
  <c r="H1143" i="11"/>
  <c r="K59" i="43"/>
  <c r="H1144" i="11"/>
  <c r="K60" i="43"/>
  <c r="H1145" i="11"/>
  <c r="K61" i="43"/>
  <c r="H1146" i="11"/>
  <c r="K62" i="43"/>
  <c r="H1147" i="11"/>
  <c r="K63" i="43"/>
  <c r="H1148" i="11"/>
  <c r="K64" i="43"/>
  <c r="H1149" i="11"/>
  <c r="K65" i="43"/>
  <c r="H1150" i="11"/>
  <c r="K67" i="43"/>
  <c r="H1152" i="11"/>
  <c r="K68" i="43"/>
  <c r="H1153" i="11"/>
  <c r="K69" i="43"/>
  <c r="H1154" i="11"/>
  <c r="K70" i="43"/>
  <c r="H1155" i="11"/>
  <c r="K71" i="43"/>
  <c r="H1156" i="11"/>
  <c r="K72" i="43"/>
  <c r="H1157" i="11"/>
  <c r="K73" i="43"/>
  <c r="H1158" i="11"/>
  <c r="K74" i="43"/>
  <c r="H1159" i="11"/>
  <c r="K75" i="43"/>
  <c r="H1160" i="11"/>
  <c r="K76" i="43"/>
  <c r="H1161" i="11"/>
  <c r="K77" i="43"/>
  <c r="H1162" i="11"/>
  <c r="K78" i="43"/>
  <c r="H1163" i="11"/>
  <c r="K79" i="43"/>
  <c r="H1164" i="11"/>
  <c r="K80" i="43"/>
  <c r="H1165" i="11"/>
  <c r="K81" i="43"/>
  <c r="H1166" i="11"/>
  <c r="K82" i="43"/>
  <c r="H1167" i="11"/>
  <c r="K83" i="43"/>
  <c r="H1168" i="11"/>
  <c r="K84" i="43"/>
  <c r="H1169" i="11"/>
  <c r="K85" i="43"/>
  <c r="H1170" i="11"/>
  <c r="K86" i="43"/>
  <c r="H1171" i="11"/>
  <c r="K87" i="43"/>
  <c r="H1172" i="11"/>
  <c r="K88" i="43"/>
  <c r="H1173" i="11"/>
  <c r="K89" i="43"/>
  <c r="H1174" i="11"/>
  <c r="K90" i="43"/>
  <c r="H1175" i="11"/>
  <c r="K91" i="43"/>
  <c r="H1176" i="11"/>
  <c r="K92" i="43"/>
  <c r="H1177" i="11"/>
  <c r="K93" i="43"/>
  <c r="H1178" i="11"/>
  <c r="K94" i="43"/>
  <c r="H1179" i="11"/>
  <c r="K95" i="43"/>
  <c r="H1180" i="11"/>
  <c r="K96" i="43"/>
  <c r="H1181" i="11"/>
  <c r="K97" i="43"/>
  <c r="H1182" i="11"/>
  <c r="K98" i="43"/>
  <c r="H1183" i="11"/>
  <c r="K99" i="43"/>
  <c r="H1184" i="11"/>
  <c r="K100" i="43"/>
  <c r="H1185" i="11"/>
  <c r="K101" i="43"/>
  <c r="H1186" i="11"/>
  <c r="K102" i="43"/>
  <c r="H1187" i="11"/>
  <c r="K103" i="43"/>
  <c r="H1188" i="11"/>
  <c r="K104" i="43"/>
  <c r="H1189" i="11"/>
  <c r="K105" i="43"/>
  <c r="H1190" i="11"/>
  <c r="K106" i="43"/>
  <c r="H1191" i="11"/>
  <c r="K107" i="43"/>
  <c r="H1192" i="11"/>
  <c r="K108" i="43"/>
  <c r="H1193" i="11"/>
  <c r="K109" i="43"/>
  <c r="H1194" i="11"/>
  <c r="K110" i="43"/>
  <c r="H1195" i="11"/>
  <c r="K111" i="43"/>
  <c r="H1196" i="11"/>
  <c r="K112" i="43"/>
  <c r="H1197" i="11"/>
  <c r="K113" i="43"/>
  <c r="H1198" i="11"/>
  <c r="K114" i="43"/>
  <c r="H1199" i="11"/>
  <c r="K115" i="43"/>
  <c r="H1200" i="11"/>
  <c r="K116" i="43"/>
  <c r="H1201" i="11"/>
  <c r="K117" i="43"/>
  <c r="H1202" i="11"/>
  <c r="K118" i="43"/>
  <c r="H1203" i="11"/>
  <c r="K119" i="43"/>
  <c r="H1204" i="11"/>
  <c r="K2" i="43"/>
  <c r="H1087" i="11"/>
  <c r="C119" i="43"/>
  <c r="B119" i="43"/>
  <c r="C118" i="43"/>
  <c r="B118" i="43"/>
  <c r="C117" i="43"/>
  <c r="B117" i="43"/>
  <c r="C116" i="43"/>
  <c r="B116" i="43"/>
  <c r="C115" i="43"/>
  <c r="B115" i="43"/>
  <c r="C114" i="43"/>
  <c r="B114" i="43"/>
  <c r="C113" i="43"/>
  <c r="B113" i="43"/>
  <c r="C112" i="43"/>
  <c r="B112" i="43"/>
  <c r="C111" i="43"/>
  <c r="B111" i="43"/>
  <c r="C110" i="43"/>
  <c r="B110" i="43"/>
  <c r="C109" i="43"/>
  <c r="B109" i="43"/>
  <c r="C108" i="43"/>
  <c r="B108" i="43"/>
  <c r="C107" i="43"/>
  <c r="B107" i="43"/>
  <c r="C106" i="43"/>
  <c r="B106" i="43"/>
  <c r="C105" i="43"/>
  <c r="B105" i="43"/>
  <c r="C104" i="43"/>
  <c r="B104" i="43"/>
  <c r="C103" i="43"/>
  <c r="B103" i="43"/>
  <c r="C102" i="43"/>
  <c r="B102" i="43"/>
  <c r="C101" i="43"/>
  <c r="B101" i="43"/>
  <c r="C100" i="43"/>
  <c r="B100" i="43"/>
  <c r="C99" i="43"/>
  <c r="B99" i="43"/>
  <c r="C98" i="43"/>
  <c r="B98" i="43"/>
  <c r="C97" i="43"/>
  <c r="B97" i="43"/>
  <c r="C96" i="43"/>
  <c r="B96" i="43"/>
  <c r="C95" i="43"/>
  <c r="B95" i="43"/>
  <c r="C94" i="43"/>
  <c r="B94" i="43"/>
  <c r="C93" i="43"/>
  <c r="B93" i="43"/>
  <c r="C92" i="43"/>
  <c r="B92" i="43"/>
  <c r="C91" i="43"/>
  <c r="B91" i="43"/>
  <c r="C90" i="43"/>
  <c r="B90" i="43"/>
  <c r="C89" i="43"/>
  <c r="B89" i="43"/>
  <c r="C88" i="43"/>
  <c r="B88" i="43"/>
  <c r="C87" i="43"/>
  <c r="B87" i="43"/>
  <c r="C86" i="43"/>
  <c r="B86" i="43"/>
  <c r="C85" i="43"/>
  <c r="B85" i="43"/>
  <c r="C84" i="43"/>
  <c r="B84" i="43"/>
  <c r="C83" i="43"/>
  <c r="B83" i="43"/>
  <c r="C82" i="43"/>
  <c r="B82" i="43"/>
  <c r="C81" i="43"/>
  <c r="B81" i="43"/>
  <c r="C80" i="43"/>
  <c r="B80" i="43"/>
  <c r="C79" i="43"/>
  <c r="B79" i="43"/>
  <c r="C78" i="43"/>
  <c r="B78" i="43"/>
  <c r="C77" i="43"/>
  <c r="B77" i="43"/>
  <c r="C76" i="43"/>
  <c r="B76" i="43"/>
  <c r="C75" i="43"/>
  <c r="B75" i="43"/>
  <c r="C74" i="43"/>
  <c r="B74" i="43"/>
  <c r="C73" i="43"/>
  <c r="B73" i="43"/>
  <c r="C72" i="43"/>
  <c r="B72" i="43"/>
  <c r="C71" i="43"/>
  <c r="B71" i="43"/>
  <c r="C70" i="43"/>
  <c r="B70" i="43"/>
  <c r="C69" i="43"/>
  <c r="B69" i="43"/>
  <c r="C68" i="43"/>
  <c r="B68" i="43"/>
  <c r="C67" i="43"/>
  <c r="B67" i="43"/>
  <c r="C66" i="43"/>
  <c r="B66" i="43"/>
  <c r="C65" i="43"/>
  <c r="B65" i="43"/>
  <c r="C64" i="43"/>
  <c r="B64" i="43"/>
  <c r="C63" i="43"/>
  <c r="B63" i="43"/>
  <c r="C62" i="43"/>
  <c r="B62" i="43"/>
  <c r="C61" i="43"/>
  <c r="B61" i="43"/>
  <c r="C60" i="43"/>
  <c r="B60" i="43"/>
  <c r="C59" i="43"/>
  <c r="B59" i="43"/>
  <c r="C58" i="43"/>
  <c r="B58" i="43"/>
  <c r="C57" i="43"/>
  <c r="B57" i="43"/>
  <c r="C56" i="43"/>
  <c r="B56" i="43"/>
  <c r="C55" i="43"/>
  <c r="B55" i="43"/>
  <c r="C54" i="43"/>
  <c r="B54" i="43"/>
  <c r="C53" i="43"/>
  <c r="B53" i="43"/>
  <c r="C52" i="43"/>
  <c r="B52" i="43"/>
  <c r="C51" i="43"/>
  <c r="B51" i="43"/>
  <c r="C50" i="43"/>
  <c r="B50" i="43"/>
  <c r="C49" i="43"/>
  <c r="B49" i="43"/>
  <c r="C48" i="43"/>
  <c r="B48" i="43"/>
  <c r="C47" i="43"/>
  <c r="B47" i="43"/>
  <c r="C46" i="43"/>
  <c r="B46" i="43"/>
  <c r="C45" i="43"/>
  <c r="B45" i="43"/>
  <c r="C44" i="43"/>
  <c r="B44" i="43"/>
  <c r="C43" i="43"/>
  <c r="B43" i="43"/>
  <c r="C42" i="43"/>
  <c r="B42" i="43"/>
  <c r="C41" i="43"/>
  <c r="B41" i="43"/>
  <c r="C40" i="43"/>
  <c r="B40" i="43"/>
  <c r="C39" i="43"/>
  <c r="B39" i="43"/>
  <c r="C38" i="43"/>
  <c r="B38" i="43"/>
  <c r="C37" i="43"/>
  <c r="B37" i="43"/>
  <c r="C36" i="43"/>
  <c r="B36" i="43"/>
  <c r="C35" i="43"/>
  <c r="B35" i="43"/>
  <c r="C34" i="43"/>
  <c r="B34" i="43"/>
  <c r="C33" i="43"/>
  <c r="B33" i="43"/>
  <c r="C32" i="43"/>
  <c r="B32" i="43"/>
  <c r="C31" i="43"/>
  <c r="B31" i="43"/>
  <c r="C30" i="43"/>
  <c r="B30" i="43"/>
  <c r="C29" i="43"/>
  <c r="B29" i="43"/>
  <c r="C28" i="43"/>
  <c r="B28" i="43"/>
  <c r="C27" i="43"/>
  <c r="B27" i="43"/>
  <c r="C26" i="43"/>
  <c r="B26" i="43"/>
  <c r="C25" i="43"/>
  <c r="B25" i="43"/>
  <c r="C24" i="43"/>
  <c r="B24" i="43"/>
  <c r="C23" i="43"/>
  <c r="B23" i="43"/>
  <c r="C22" i="43"/>
  <c r="B22" i="43"/>
  <c r="C21" i="43"/>
  <c r="B21" i="43"/>
  <c r="C20" i="43"/>
  <c r="B20" i="43"/>
  <c r="C19" i="43"/>
  <c r="B19" i="43"/>
  <c r="C18" i="43"/>
  <c r="B18" i="43"/>
  <c r="C17" i="43"/>
  <c r="B17" i="43"/>
  <c r="C16" i="43"/>
  <c r="B16" i="43"/>
  <c r="C15" i="43"/>
  <c r="B15" i="43"/>
  <c r="C14" i="43"/>
  <c r="B14" i="43"/>
  <c r="C13" i="43"/>
  <c r="B13" i="43"/>
  <c r="C12" i="43"/>
  <c r="B12" i="43"/>
  <c r="C11" i="43"/>
  <c r="B11" i="43"/>
  <c r="C10" i="43"/>
  <c r="B10" i="43"/>
  <c r="C9" i="43"/>
  <c r="B9" i="43"/>
  <c r="M8" i="43"/>
  <c r="C8" i="43"/>
  <c r="B8" i="43"/>
  <c r="C7" i="43"/>
  <c r="B7" i="43"/>
  <c r="C6" i="43"/>
  <c r="B6" i="43"/>
  <c r="C5" i="43"/>
  <c r="B5" i="43"/>
  <c r="C4" i="43"/>
  <c r="B4" i="43"/>
  <c r="C3" i="43"/>
  <c r="B3" i="43"/>
  <c r="C2" i="43"/>
  <c r="B2" i="43"/>
  <c r="V83" i="42"/>
  <c r="C83" i="42"/>
  <c r="B83" i="42"/>
  <c r="V82" i="42"/>
  <c r="C82" i="42"/>
  <c r="B82" i="42"/>
  <c r="V81" i="42"/>
  <c r="C81" i="42"/>
  <c r="B81" i="42"/>
  <c r="V80" i="42"/>
  <c r="C80" i="42"/>
  <c r="B80" i="42"/>
  <c r="V79" i="42"/>
  <c r="C79" i="42"/>
  <c r="B79" i="42"/>
  <c r="V78" i="42"/>
  <c r="C78" i="42"/>
  <c r="B78" i="42"/>
  <c r="V77" i="42"/>
  <c r="C77" i="42"/>
  <c r="B77" i="42"/>
  <c r="V76" i="42"/>
  <c r="C76" i="42"/>
  <c r="B76" i="42"/>
  <c r="V75" i="42"/>
  <c r="C75" i="42"/>
  <c r="B75" i="42"/>
  <c r="V74" i="42"/>
  <c r="C74" i="42"/>
  <c r="B74" i="42"/>
  <c r="V73" i="42"/>
  <c r="C73" i="42"/>
  <c r="B73" i="42"/>
  <c r="V72" i="42"/>
  <c r="C72" i="42"/>
  <c r="B72" i="42"/>
  <c r="V71" i="42"/>
  <c r="C71" i="42"/>
  <c r="B71" i="42"/>
  <c r="V70" i="42"/>
  <c r="C70" i="42"/>
  <c r="B70" i="42"/>
  <c r="V69" i="42"/>
  <c r="C69" i="42"/>
  <c r="B69" i="42"/>
  <c r="V68" i="42"/>
  <c r="C68" i="42"/>
  <c r="B68" i="42"/>
  <c r="V67" i="42"/>
  <c r="C67" i="42"/>
  <c r="B67" i="42"/>
  <c r="V66" i="42"/>
  <c r="C66" i="42"/>
  <c r="B66" i="42"/>
  <c r="V65" i="42"/>
  <c r="C65" i="42"/>
  <c r="B65" i="42"/>
  <c r="V64" i="42"/>
  <c r="L64" i="42"/>
  <c r="C64" i="42"/>
  <c r="B64" i="42"/>
  <c r="V63" i="42"/>
  <c r="C63" i="42"/>
  <c r="B63" i="42"/>
  <c r="V62" i="42"/>
  <c r="C62" i="42"/>
  <c r="B62" i="42"/>
  <c r="V61" i="42"/>
  <c r="L61" i="42"/>
  <c r="C61" i="42"/>
  <c r="B61" i="42"/>
  <c r="V60" i="42"/>
  <c r="C60" i="42"/>
  <c r="B60" i="42"/>
  <c r="V59" i="42"/>
  <c r="C59" i="42"/>
  <c r="B59" i="42"/>
  <c r="V58" i="42"/>
  <c r="C58" i="42"/>
  <c r="B58" i="42"/>
  <c r="V57" i="42"/>
  <c r="C57" i="42"/>
  <c r="B57" i="42"/>
  <c r="V56" i="42"/>
  <c r="C56" i="42"/>
  <c r="B56" i="42"/>
  <c r="V55" i="42"/>
  <c r="C55" i="42"/>
  <c r="B55" i="42"/>
  <c r="V54" i="42"/>
  <c r="C54" i="42"/>
  <c r="B54" i="42"/>
  <c r="V53" i="42"/>
  <c r="C53" i="42"/>
  <c r="B53" i="42"/>
  <c r="V52" i="42"/>
  <c r="C52" i="42"/>
  <c r="B52" i="42"/>
  <c r="V51" i="42"/>
  <c r="C51" i="42"/>
  <c r="B51" i="42"/>
  <c r="V50" i="42"/>
  <c r="C50" i="42"/>
  <c r="B50" i="42"/>
  <c r="V49" i="42"/>
  <c r="C49" i="42"/>
  <c r="B49" i="42"/>
  <c r="V48" i="42"/>
  <c r="C48" i="42"/>
  <c r="B48" i="42"/>
  <c r="V47" i="42"/>
  <c r="C47" i="42"/>
  <c r="B47" i="42"/>
  <c r="V46" i="42"/>
  <c r="G46" i="42"/>
  <c r="C46" i="42"/>
  <c r="B46" i="42"/>
  <c r="V45" i="42"/>
  <c r="C45" i="42"/>
  <c r="B45" i="42"/>
  <c r="V44" i="42"/>
  <c r="C44" i="42"/>
  <c r="B44" i="42"/>
  <c r="V43" i="42"/>
  <c r="L43" i="42"/>
  <c r="G43" i="42"/>
  <c r="C43" i="42"/>
  <c r="B43" i="42"/>
  <c r="V42" i="42"/>
  <c r="C42" i="42"/>
  <c r="B42" i="42"/>
  <c r="V41" i="42"/>
  <c r="C41" i="42"/>
  <c r="B41" i="42"/>
  <c r="V40" i="42"/>
  <c r="C40" i="42"/>
  <c r="B40" i="42"/>
  <c r="V39" i="42"/>
  <c r="C39" i="42"/>
  <c r="B39" i="42"/>
  <c r="V38" i="42"/>
  <c r="C38" i="42"/>
  <c r="B38" i="42"/>
  <c r="V37" i="42"/>
  <c r="C37" i="42"/>
  <c r="B37" i="42"/>
  <c r="V36" i="42"/>
  <c r="C36" i="42"/>
  <c r="B36" i="42"/>
  <c r="V35" i="42"/>
  <c r="C35" i="42"/>
  <c r="B35" i="42"/>
  <c r="V34" i="42"/>
  <c r="C34" i="42"/>
  <c r="B34" i="42"/>
  <c r="V33" i="42"/>
  <c r="C33" i="42"/>
  <c r="B33" i="42"/>
  <c r="V32" i="42"/>
  <c r="C32" i="42"/>
  <c r="B32" i="42"/>
  <c r="V31" i="42"/>
  <c r="C31" i="42"/>
  <c r="B31" i="42"/>
  <c r="V30" i="42"/>
  <c r="C30" i="42"/>
  <c r="B30" i="42"/>
  <c r="V29" i="42"/>
  <c r="C29" i="42"/>
  <c r="B29" i="42"/>
  <c r="V28" i="42"/>
  <c r="C28" i="42"/>
  <c r="B28" i="42"/>
  <c r="V27" i="42"/>
  <c r="C27" i="42"/>
  <c r="B27" i="42"/>
  <c r="V26" i="42"/>
  <c r="C26" i="42"/>
  <c r="B26" i="42"/>
  <c r="V25" i="42"/>
  <c r="C25" i="42"/>
  <c r="B25" i="42"/>
  <c r="V24" i="42"/>
  <c r="C24" i="42"/>
  <c r="B24" i="42"/>
  <c r="V23" i="42"/>
  <c r="C23" i="42"/>
  <c r="B23" i="42"/>
  <c r="V22" i="42"/>
  <c r="C22" i="42"/>
  <c r="B22" i="42"/>
  <c r="V21" i="42"/>
  <c r="C21" i="42"/>
  <c r="B21" i="42"/>
  <c r="V20" i="42"/>
  <c r="C20" i="42"/>
  <c r="B20" i="42"/>
  <c r="V19" i="42"/>
  <c r="C19" i="42"/>
  <c r="B19" i="42"/>
  <c r="V18" i="42"/>
  <c r="C18" i="42"/>
  <c r="B18" i="42"/>
  <c r="V17" i="42"/>
  <c r="C17" i="42"/>
  <c r="B17" i="42"/>
  <c r="V16" i="42"/>
  <c r="C16" i="42"/>
  <c r="B16" i="42"/>
  <c r="V15" i="42"/>
  <c r="C15" i="42"/>
  <c r="B15" i="42"/>
  <c r="V14" i="42"/>
  <c r="C14" i="42"/>
  <c r="B14" i="42"/>
  <c r="V13" i="42"/>
  <c r="C13" i="42"/>
  <c r="B13" i="42"/>
  <c r="V12" i="42"/>
  <c r="C12" i="42"/>
  <c r="B12" i="42"/>
  <c r="V11" i="42"/>
  <c r="C11" i="42"/>
  <c r="B11" i="42"/>
  <c r="V10" i="42"/>
  <c r="C10" i="42"/>
  <c r="B10" i="42"/>
  <c r="V9" i="42"/>
  <c r="C9" i="42"/>
  <c r="B9" i="42"/>
  <c r="V8" i="42"/>
  <c r="C8" i="42"/>
  <c r="B8" i="42"/>
  <c r="V7" i="42"/>
  <c r="C7" i="42"/>
  <c r="B7" i="42"/>
  <c r="V6" i="42"/>
  <c r="C6" i="42"/>
  <c r="B6" i="42"/>
  <c r="V5" i="42"/>
  <c r="C5" i="42"/>
  <c r="B5" i="42"/>
  <c r="V4" i="42"/>
  <c r="C4" i="42"/>
  <c r="B4" i="42"/>
  <c r="V3" i="42"/>
  <c r="C3" i="42"/>
  <c r="B3" i="42"/>
  <c r="V2" i="42"/>
  <c r="C2" i="42"/>
  <c r="B2" i="42"/>
  <c r="M121" i="41"/>
  <c r="L121" i="41"/>
  <c r="D121" i="41"/>
  <c r="C121" i="41"/>
  <c r="B121" i="41"/>
  <c r="M120" i="41"/>
  <c r="L120" i="41"/>
  <c r="D120" i="41"/>
  <c r="C120" i="41"/>
  <c r="B120" i="41"/>
  <c r="M119" i="41"/>
  <c r="L119" i="41"/>
  <c r="D119" i="41"/>
  <c r="C119" i="41"/>
  <c r="B119" i="41"/>
  <c r="M118" i="41"/>
  <c r="L118" i="41"/>
  <c r="D118" i="41"/>
  <c r="C118" i="41"/>
  <c r="B118" i="41"/>
  <c r="M117" i="41"/>
  <c r="L117" i="41"/>
  <c r="D117" i="41"/>
  <c r="C117" i="41"/>
  <c r="B117" i="41"/>
  <c r="M116" i="41"/>
  <c r="L116" i="41"/>
  <c r="D116" i="41"/>
  <c r="C116" i="41"/>
  <c r="B116" i="41"/>
  <c r="M115" i="41"/>
  <c r="L115" i="41"/>
  <c r="D115" i="41"/>
  <c r="C115" i="41"/>
  <c r="B115" i="41"/>
  <c r="M114" i="41"/>
  <c r="L114" i="41"/>
  <c r="D114" i="41"/>
  <c r="C114" i="41"/>
  <c r="B114" i="41"/>
  <c r="M113" i="41"/>
  <c r="L113" i="41"/>
  <c r="D113" i="41"/>
  <c r="C113" i="41"/>
  <c r="B113" i="41"/>
  <c r="M112" i="41"/>
  <c r="L112" i="41"/>
  <c r="D112" i="41"/>
  <c r="C112" i="41"/>
  <c r="B112" i="41"/>
  <c r="M111" i="41"/>
  <c r="L111" i="41"/>
  <c r="D111" i="41"/>
  <c r="C111" i="41"/>
  <c r="B111" i="41"/>
  <c r="M110" i="41"/>
  <c r="L110" i="41"/>
  <c r="D110" i="41"/>
  <c r="C110" i="41"/>
  <c r="B110" i="41"/>
  <c r="M109" i="41"/>
  <c r="L109" i="41"/>
  <c r="D109" i="41"/>
  <c r="C109" i="41"/>
  <c r="B109" i="41"/>
  <c r="M108" i="41"/>
  <c r="L108" i="41"/>
  <c r="D108" i="41"/>
  <c r="C108" i="41"/>
  <c r="B108" i="41"/>
  <c r="M107" i="41"/>
  <c r="L107" i="41"/>
  <c r="D107" i="41"/>
  <c r="C107" i="41"/>
  <c r="B107" i="41"/>
  <c r="M106" i="41"/>
  <c r="L106" i="41"/>
  <c r="D106" i="41"/>
  <c r="C106" i="41"/>
  <c r="B106" i="41"/>
  <c r="M105" i="41"/>
  <c r="L105" i="41"/>
  <c r="D105" i="41"/>
  <c r="C105" i="41"/>
  <c r="B105" i="41"/>
  <c r="M104" i="41"/>
  <c r="C104" i="41"/>
  <c r="B104" i="41"/>
  <c r="M103" i="41"/>
  <c r="L103" i="41"/>
  <c r="D103" i="41"/>
  <c r="C103" i="41"/>
  <c r="B103" i="41"/>
  <c r="M102" i="41"/>
  <c r="C102" i="41"/>
  <c r="B102" i="41"/>
  <c r="M101" i="41"/>
  <c r="L101" i="41"/>
  <c r="D101" i="41"/>
  <c r="C101" i="41"/>
  <c r="B101" i="41"/>
  <c r="M100" i="41"/>
  <c r="L100" i="41"/>
  <c r="D100" i="41"/>
  <c r="C100" i="41"/>
  <c r="B100" i="41"/>
  <c r="M99" i="41"/>
  <c r="L99" i="41"/>
  <c r="D99" i="41"/>
  <c r="C99" i="41"/>
  <c r="B99" i="41"/>
  <c r="M98" i="41"/>
  <c r="L98" i="41"/>
  <c r="D98" i="41"/>
  <c r="C98" i="41"/>
  <c r="B98" i="41"/>
  <c r="M97" i="41"/>
  <c r="L97" i="41"/>
  <c r="D97" i="41"/>
  <c r="C97" i="41"/>
  <c r="B97" i="41"/>
  <c r="M96" i="41"/>
  <c r="L96" i="41"/>
  <c r="D96" i="41"/>
  <c r="C96" i="41"/>
  <c r="B96" i="41"/>
  <c r="M95" i="41"/>
  <c r="L95" i="41"/>
  <c r="D95" i="41"/>
  <c r="C95" i="41"/>
  <c r="B95" i="41"/>
  <c r="M94" i="41"/>
  <c r="L94" i="41"/>
  <c r="D94" i="41"/>
  <c r="C94" i="41"/>
  <c r="B94" i="41"/>
  <c r="M93" i="41"/>
  <c r="L93" i="41"/>
  <c r="D93" i="41"/>
  <c r="C93" i="41"/>
  <c r="B93" i="41"/>
  <c r="M92" i="41"/>
  <c r="L92" i="41"/>
  <c r="D92" i="41"/>
  <c r="C92" i="41"/>
  <c r="B92" i="41"/>
  <c r="M91" i="41"/>
  <c r="L91" i="41"/>
  <c r="D91" i="41"/>
  <c r="C91" i="41"/>
  <c r="B91" i="41"/>
  <c r="M90" i="41"/>
  <c r="L90" i="41"/>
  <c r="D90" i="41"/>
  <c r="C90" i="41"/>
  <c r="B90" i="41"/>
  <c r="M89" i="41"/>
  <c r="L89" i="41"/>
  <c r="D89" i="41"/>
  <c r="C89" i="41"/>
  <c r="B89" i="41"/>
  <c r="M88" i="41"/>
  <c r="L88" i="41"/>
  <c r="D88" i="41"/>
  <c r="C88" i="41"/>
  <c r="B88" i="41"/>
  <c r="M87" i="41"/>
  <c r="L87" i="41"/>
  <c r="D87" i="41"/>
  <c r="C87" i="41"/>
  <c r="B87" i="41"/>
  <c r="M86" i="41"/>
  <c r="L86" i="41"/>
  <c r="D86" i="41"/>
  <c r="C86" i="41"/>
  <c r="B86" i="41"/>
  <c r="M85" i="41"/>
  <c r="L85" i="41"/>
  <c r="D85" i="41"/>
  <c r="C85" i="41"/>
  <c r="B85" i="41"/>
  <c r="M84" i="41"/>
  <c r="L84" i="41"/>
  <c r="D84" i="41"/>
  <c r="C84" i="41"/>
  <c r="B84" i="41"/>
  <c r="M83" i="41"/>
  <c r="L83" i="41"/>
  <c r="D83" i="41"/>
  <c r="C83" i="41"/>
  <c r="B83" i="41"/>
  <c r="M82" i="41"/>
  <c r="L82" i="41"/>
  <c r="D82" i="41"/>
  <c r="C82" i="41"/>
  <c r="B82" i="41"/>
  <c r="M81" i="41"/>
  <c r="L81" i="41"/>
  <c r="D81" i="41"/>
  <c r="C81" i="41"/>
  <c r="B81" i="41"/>
  <c r="M80" i="41"/>
  <c r="L80" i="41"/>
  <c r="D80" i="41"/>
  <c r="C80" i="41"/>
  <c r="B80" i="41"/>
  <c r="M79" i="41"/>
  <c r="L79" i="41"/>
  <c r="D79" i="41"/>
  <c r="C79" i="41"/>
  <c r="B79" i="41"/>
  <c r="M78" i="41"/>
  <c r="C78" i="41"/>
  <c r="B78" i="41"/>
  <c r="M77" i="41"/>
  <c r="L77" i="41"/>
  <c r="D77" i="41"/>
  <c r="C77" i="41"/>
  <c r="B77" i="41"/>
  <c r="M76" i="41"/>
  <c r="L76" i="41"/>
  <c r="D76" i="41"/>
  <c r="C76" i="41"/>
  <c r="B76" i="41"/>
  <c r="M75" i="41"/>
  <c r="L75" i="41"/>
  <c r="D75" i="41"/>
  <c r="C75" i="41"/>
  <c r="B75" i="41"/>
  <c r="M74" i="41"/>
  <c r="L74" i="41"/>
  <c r="D74" i="41"/>
  <c r="C74" i="41"/>
  <c r="B74" i="41"/>
  <c r="M73" i="41"/>
  <c r="L73" i="41"/>
  <c r="D73" i="41"/>
  <c r="C73" i="41"/>
  <c r="B73" i="41"/>
  <c r="M72" i="41"/>
  <c r="L72" i="41"/>
  <c r="D72" i="41"/>
  <c r="C72" i="41"/>
  <c r="B72" i="41"/>
  <c r="M71" i="41"/>
  <c r="L71" i="41"/>
  <c r="D71" i="41"/>
  <c r="C71" i="41"/>
  <c r="B71" i="41"/>
  <c r="M70" i="41"/>
  <c r="L70" i="41"/>
  <c r="D70" i="41"/>
  <c r="C70" i="41"/>
  <c r="B70" i="41"/>
  <c r="M69" i="41"/>
  <c r="L69" i="41"/>
  <c r="D69" i="41"/>
  <c r="C69" i="41"/>
  <c r="B69" i="41"/>
  <c r="M68" i="41"/>
  <c r="L68" i="41"/>
  <c r="D68" i="41"/>
  <c r="C68" i="41"/>
  <c r="B68" i="41"/>
  <c r="M67" i="41"/>
  <c r="L67" i="41"/>
  <c r="D67" i="41"/>
  <c r="C67" i="41"/>
  <c r="B67" i="41"/>
  <c r="M66" i="41"/>
  <c r="L66" i="41"/>
  <c r="D66" i="41"/>
  <c r="C66" i="41"/>
  <c r="B66" i="41"/>
  <c r="M65" i="41"/>
  <c r="L65" i="41"/>
  <c r="D65" i="41"/>
  <c r="C65" i="41"/>
  <c r="B65" i="41"/>
  <c r="M64" i="41"/>
  <c r="L64" i="41"/>
  <c r="D64" i="41"/>
  <c r="C64" i="41"/>
  <c r="B64" i="41"/>
  <c r="M63" i="41"/>
  <c r="L63" i="41"/>
  <c r="D63" i="41"/>
  <c r="C63" i="41"/>
  <c r="B63" i="41"/>
  <c r="M62" i="41"/>
  <c r="L62" i="41"/>
  <c r="D62" i="41"/>
  <c r="C62" i="41"/>
  <c r="B62" i="41"/>
  <c r="M61" i="41"/>
  <c r="L61" i="41"/>
  <c r="D61" i="41"/>
  <c r="C61" i="41"/>
  <c r="B61" i="41"/>
  <c r="M60" i="41"/>
  <c r="L60" i="41"/>
  <c r="D60" i="41"/>
  <c r="C60" i="41"/>
  <c r="B60" i="41"/>
  <c r="M59" i="41"/>
  <c r="L59" i="41"/>
  <c r="D59" i="41"/>
  <c r="C59" i="41"/>
  <c r="B59" i="41"/>
  <c r="M58" i="41"/>
  <c r="L58" i="41"/>
  <c r="D58" i="41"/>
  <c r="C58" i="41"/>
  <c r="B58" i="41"/>
  <c r="M57" i="41"/>
  <c r="L57" i="41"/>
  <c r="D57" i="41"/>
  <c r="C57" i="41"/>
  <c r="B57" i="41"/>
  <c r="M56" i="41"/>
  <c r="C56" i="41"/>
  <c r="B56" i="41"/>
  <c r="M55" i="41"/>
  <c r="L55" i="41"/>
  <c r="D55" i="41"/>
  <c r="C55" i="41"/>
  <c r="B55" i="41"/>
  <c r="M54" i="41"/>
  <c r="D54" i="41"/>
  <c r="C54" i="41"/>
  <c r="B54" i="41"/>
  <c r="M53" i="41"/>
  <c r="L53" i="41"/>
  <c r="D53" i="41"/>
  <c r="C53" i="41"/>
  <c r="B53" i="41"/>
  <c r="M52" i="41"/>
  <c r="L52" i="41"/>
  <c r="D52" i="41"/>
  <c r="C52" i="41"/>
  <c r="B52" i="41"/>
  <c r="M51" i="41"/>
  <c r="L51" i="41"/>
  <c r="D51" i="41"/>
  <c r="C51" i="41"/>
  <c r="B51" i="41"/>
  <c r="M50" i="41"/>
  <c r="L50" i="41"/>
  <c r="D50" i="41"/>
  <c r="C50" i="41"/>
  <c r="B50" i="41"/>
  <c r="M49" i="41"/>
  <c r="L49" i="41"/>
  <c r="D49" i="41"/>
  <c r="C49" i="41"/>
  <c r="B49" i="41"/>
  <c r="M48" i="41"/>
  <c r="L48" i="41"/>
  <c r="D48" i="41"/>
  <c r="C48" i="41"/>
  <c r="B48" i="41"/>
  <c r="M47" i="41"/>
  <c r="L47" i="41"/>
  <c r="D47" i="41"/>
  <c r="C47" i="41"/>
  <c r="B47" i="41"/>
  <c r="M46" i="41"/>
  <c r="L46" i="41"/>
  <c r="D46" i="41"/>
  <c r="C46" i="41"/>
  <c r="B46" i="41"/>
  <c r="M45" i="41"/>
  <c r="L45" i="41"/>
  <c r="D45" i="41"/>
  <c r="C45" i="41"/>
  <c r="B45" i="41"/>
  <c r="M44" i="41"/>
  <c r="L44" i="41"/>
  <c r="D44" i="41"/>
  <c r="C44" i="41"/>
  <c r="B44" i="41"/>
  <c r="M43" i="41"/>
  <c r="L43" i="41"/>
  <c r="D43" i="41"/>
  <c r="C43" i="41"/>
  <c r="B43" i="41"/>
  <c r="M42" i="41"/>
  <c r="L42" i="41"/>
  <c r="D42" i="41"/>
  <c r="C42" i="41"/>
  <c r="B42" i="41"/>
  <c r="M41" i="41"/>
  <c r="L41" i="41"/>
  <c r="D41" i="41"/>
  <c r="C41" i="41"/>
  <c r="B41" i="41"/>
  <c r="M40" i="41"/>
  <c r="L40" i="41"/>
  <c r="D40" i="41"/>
  <c r="C40" i="41"/>
  <c r="B40" i="41"/>
  <c r="M39" i="41"/>
  <c r="L39" i="41"/>
  <c r="D39" i="41"/>
  <c r="C39" i="41"/>
  <c r="B39" i="41"/>
  <c r="M38" i="41"/>
  <c r="L38" i="41"/>
  <c r="D38" i="41"/>
  <c r="C38" i="41"/>
  <c r="B38" i="41"/>
  <c r="M37" i="41"/>
  <c r="L37" i="41"/>
  <c r="D37" i="41"/>
  <c r="C37" i="41"/>
  <c r="B37" i="41"/>
  <c r="M36" i="41"/>
  <c r="L36" i="41"/>
  <c r="D36" i="41"/>
  <c r="C36" i="41"/>
  <c r="B36" i="41"/>
  <c r="M35" i="41"/>
  <c r="L35" i="41"/>
  <c r="D35" i="41"/>
  <c r="C35" i="41"/>
  <c r="B35" i="41"/>
  <c r="M34" i="41"/>
  <c r="L34" i="41"/>
  <c r="D34" i="41"/>
  <c r="C34" i="41"/>
  <c r="B34" i="41"/>
  <c r="M33" i="41"/>
  <c r="C33" i="41"/>
  <c r="B33" i="41"/>
  <c r="M32" i="41"/>
  <c r="L32" i="41"/>
  <c r="D32" i="41"/>
  <c r="C32" i="41"/>
  <c r="B32" i="41"/>
  <c r="M31" i="41"/>
  <c r="L31" i="41"/>
  <c r="D31" i="41"/>
  <c r="C31" i="41"/>
  <c r="B31" i="41"/>
  <c r="M30" i="41"/>
  <c r="L30" i="41"/>
  <c r="D30" i="41"/>
  <c r="C30" i="41"/>
  <c r="B30" i="41"/>
  <c r="M29" i="41"/>
  <c r="L29" i="41"/>
  <c r="D29" i="41"/>
  <c r="C29" i="41"/>
  <c r="B29" i="41"/>
  <c r="M28" i="41"/>
  <c r="L28" i="41"/>
  <c r="D28" i="41"/>
  <c r="C28" i="41"/>
  <c r="B28" i="41"/>
  <c r="M27" i="41"/>
  <c r="L27" i="41"/>
  <c r="D27" i="41"/>
  <c r="C27" i="41"/>
  <c r="B27" i="41"/>
  <c r="M26" i="41"/>
  <c r="L26" i="41"/>
  <c r="D26" i="41"/>
  <c r="C26" i="41"/>
  <c r="B26" i="41"/>
  <c r="M25" i="41"/>
  <c r="L25" i="41"/>
  <c r="D25" i="41"/>
  <c r="C25" i="41"/>
  <c r="B25" i="41"/>
  <c r="M24" i="41"/>
  <c r="D24" i="41"/>
  <c r="C24" i="41"/>
  <c r="B24" i="41"/>
  <c r="M23" i="41"/>
  <c r="D23" i="41"/>
  <c r="C23" i="41"/>
  <c r="B23" i="41"/>
  <c r="M22" i="41"/>
  <c r="D22" i="41"/>
  <c r="C22" i="41"/>
  <c r="B22" i="41"/>
  <c r="M21" i="41"/>
  <c r="L21" i="41"/>
  <c r="D21" i="41"/>
  <c r="C21" i="41"/>
  <c r="B21" i="41"/>
  <c r="M20" i="41"/>
  <c r="L20" i="41"/>
  <c r="D20" i="41"/>
  <c r="C20" i="41"/>
  <c r="B20" i="41"/>
  <c r="M19" i="41"/>
  <c r="L19" i="41"/>
  <c r="D19" i="41"/>
  <c r="C19" i="41"/>
  <c r="B19" i="41"/>
  <c r="M18" i="41"/>
  <c r="L18" i="41"/>
  <c r="D18" i="41"/>
  <c r="C18" i="41"/>
  <c r="B18" i="41"/>
  <c r="M17" i="41"/>
  <c r="L17" i="41"/>
  <c r="D17" i="41"/>
  <c r="C17" i="41"/>
  <c r="B17" i="41"/>
  <c r="M16" i="41"/>
  <c r="L16" i="41"/>
  <c r="D16" i="41"/>
  <c r="C16" i="41"/>
  <c r="B16" i="41"/>
  <c r="M15" i="41"/>
  <c r="L15" i="41"/>
  <c r="D15" i="41"/>
  <c r="C15" i="41"/>
  <c r="B15" i="41"/>
  <c r="M14" i="41"/>
  <c r="L14" i="41"/>
  <c r="D14" i="41"/>
  <c r="C14" i="41"/>
  <c r="B14" i="41"/>
  <c r="M13" i="41"/>
  <c r="L13" i="41"/>
  <c r="D13" i="41"/>
  <c r="C13" i="41"/>
  <c r="B13" i="41"/>
  <c r="M12" i="41"/>
  <c r="L12" i="41"/>
  <c r="D12" i="41"/>
  <c r="C12" i="41"/>
  <c r="B12" i="41"/>
  <c r="M11" i="41"/>
  <c r="L11" i="41"/>
  <c r="D11" i="41"/>
  <c r="C11" i="41"/>
  <c r="B11" i="41"/>
  <c r="M10" i="41"/>
  <c r="L10" i="41"/>
  <c r="D10" i="41"/>
  <c r="C10" i="41"/>
  <c r="B10" i="41"/>
  <c r="M9" i="41"/>
  <c r="L9" i="41"/>
  <c r="D9" i="41"/>
  <c r="C9" i="41"/>
  <c r="B9" i="41"/>
  <c r="M8" i="41"/>
  <c r="L8" i="41"/>
  <c r="D8" i="41"/>
  <c r="C8" i="41"/>
  <c r="B8" i="41"/>
  <c r="M7" i="41"/>
  <c r="L7" i="41"/>
  <c r="D7" i="41"/>
  <c r="C7" i="41"/>
  <c r="B7" i="41"/>
  <c r="M6" i="41"/>
  <c r="L6" i="41"/>
  <c r="D6" i="41"/>
  <c r="C6" i="41"/>
  <c r="B6" i="41"/>
  <c r="M5" i="41"/>
  <c r="D5" i="41"/>
  <c r="C5" i="41"/>
  <c r="B5" i="41"/>
  <c r="M4" i="41"/>
  <c r="L4" i="41"/>
  <c r="D4" i="41"/>
  <c r="C4" i="41"/>
  <c r="B4" i="41"/>
  <c r="M3" i="41"/>
  <c r="L3" i="41"/>
  <c r="D3" i="41"/>
  <c r="C3" i="41"/>
  <c r="B3" i="41"/>
  <c r="M2" i="41"/>
  <c r="L2" i="41"/>
  <c r="D2" i="41"/>
  <c r="C2" i="41"/>
  <c r="B2" i="4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832" i="11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0" i="10"/>
  <c r="Q971" i="10"/>
  <c r="Q972" i="10"/>
  <c r="Q973" i="10"/>
  <c r="Q974" i="10"/>
  <c r="Q975" i="10"/>
  <c r="Q976" i="10"/>
  <c r="Q977" i="10"/>
  <c r="Q978" i="10"/>
  <c r="Q979" i="10"/>
  <c r="Q980" i="10"/>
  <c r="Q98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1004" i="10"/>
  <c r="Q1005" i="10"/>
  <c r="Q1006" i="10"/>
  <c r="Q1007" i="10"/>
  <c r="Q1008" i="10"/>
  <c r="Q1009" i="10"/>
  <c r="T881" i="10"/>
  <c r="T882" i="10"/>
  <c r="T883" i="10"/>
  <c r="T884" i="10"/>
  <c r="T885" i="10"/>
  <c r="T886" i="10"/>
  <c r="T887" i="10"/>
  <c r="T888" i="10"/>
  <c r="T889" i="10"/>
  <c r="T890" i="10"/>
  <c r="T891" i="10"/>
  <c r="T892" i="10"/>
  <c r="T893" i="10"/>
  <c r="T894" i="10"/>
  <c r="T895" i="10"/>
  <c r="T896" i="10"/>
  <c r="T897" i="10"/>
  <c r="T898" i="10"/>
  <c r="T899" i="10"/>
  <c r="T900" i="10"/>
  <c r="T901" i="10"/>
  <c r="T902" i="10"/>
  <c r="T903" i="10"/>
  <c r="T904" i="10"/>
  <c r="T905" i="10"/>
  <c r="T906" i="10"/>
  <c r="T907" i="10"/>
  <c r="T908" i="10"/>
  <c r="T909" i="10"/>
  <c r="T910" i="10"/>
  <c r="T911" i="10"/>
  <c r="T912" i="10"/>
  <c r="T913" i="10"/>
  <c r="T914" i="10"/>
  <c r="T915" i="10"/>
  <c r="T916" i="10"/>
  <c r="T917" i="10"/>
  <c r="T918" i="10"/>
  <c r="T919" i="10"/>
  <c r="T920" i="10"/>
  <c r="T921" i="10"/>
  <c r="T922" i="10"/>
  <c r="T923" i="10"/>
  <c r="T924" i="10"/>
  <c r="T925" i="10"/>
  <c r="T926" i="10"/>
  <c r="T927" i="10"/>
  <c r="T928" i="10"/>
  <c r="T929" i="10"/>
  <c r="T930" i="10"/>
  <c r="T931" i="10"/>
  <c r="T932" i="10"/>
  <c r="T933" i="10"/>
  <c r="T934" i="10"/>
  <c r="T935" i="10"/>
  <c r="T936" i="10"/>
  <c r="T937" i="10"/>
  <c r="T938" i="10"/>
  <c r="T939" i="10"/>
  <c r="T940" i="10"/>
  <c r="T941" i="10"/>
  <c r="T942" i="10"/>
  <c r="T943" i="10"/>
  <c r="T944" i="10"/>
  <c r="T945" i="10"/>
  <c r="T946" i="10"/>
  <c r="T947" i="10"/>
  <c r="T948" i="10"/>
  <c r="T949" i="10"/>
  <c r="T950" i="10"/>
  <c r="T951" i="10"/>
  <c r="T952" i="10"/>
  <c r="T953" i="10"/>
  <c r="T954" i="10"/>
  <c r="T955" i="10"/>
  <c r="T956" i="10"/>
  <c r="T957" i="10"/>
  <c r="T958" i="10"/>
  <c r="T959" i="10"/>
  <c r="T960" i="10"/>
  <c r="T961" i="10"/>
  <c r="T962" i="10"/>
  <c r="T963" i="10"/>
  <c r="T964" i="10"/>
  <c r="T965" i="10"/>
  <c r="T966" i="10"/>
  <c r="T967" i="10"/>
  <c r="T968" i="10"/>
  <c r="T969" i="10"/>
  <c r="T970" i="10"/>
  <c r="T971" i="10"/>
  <c r="T972" i="10"/>
  <c r="T973" i="10"/>
  <c r="T974" i="10"/>
  <c r="T975" i="10"/>
  <c r="T976" i="10"/>
  <c r="T977" i="10"/>
  <c r="T978" i="10"/>
  <c r="T979" i="10"/>
  <c r="T980" i="10"/>
  <c r="T981" i="10"/>
  <c r="T982" i="10"/>
  <c r="T983" i="10"/>
  <c r="T984" i="10"/>
  <c r="T985" i="10"/>
  <c r="T986" i="10"/>
  <c r="T987" i="10"/>
  <c r="T988" i="10"/>
  <c r="T989" i="10"/>
  <c r="T990" i="10"/>
  <c r="T991" i="10"/>
  <c r="T992" i="10"/>
  <c r="T993" i="10"/>
  <c r="T994" i="10"/>
  <c r="T995" i="10"/>
  <c r="T996" i="10"/>
  <c r="T997" i="10"/>
  <c r="T998" i="10"/>
  <c r="T999" i="10"/>
  <c r="T1000" i="10"/>
  <c r="T1001" i="10"/>
  <c r="T1002" i="10"/>
  <c r="T1003" i="10"/>
  <c r="T1004" i="10"/>
  <c r="T1005" i="10"/>
  <c r="T1006" i="10"/>
  <c r="T1007" i="10"/>
  <c r="T1008" i="10"/>
  <c r="T1009" i="10"/>
  <c r="T1010" i="10"/>
  <c r="T1011" i="10"/>
  <c r="T1012" i="10"/>
  <c r="T1013" i="10"/>
  <c r="T1014" i="10"/>
  <c r="T1015" i="10"/>
  <c r="T1016" i="10"/>
  <c r="S881" i="10"/>
  <c r="S882" i="10"/>
  <c r="S883" i="10"/>
  <c r="S884" i="10"/>
  <c r="S885" i="10"/>
  <c r="S886" i="10"/>
  <c r="S887" i="10"/>
  <c r="S888" i="10"/>
  <c r="S889" i="10"/>
  <c r="S890" i="10"/>
  <c r="S891" i="10"/>
  <c r="S892" i="10"/>
  <c r="S893" i="10"/>
  <c r="S894" i="10"/>
  <c r="S895" i="10"/>
  <c r="S896" i="10"/>
  <c r="S897" i="10"/>
  <c r="S898" i="10"/>
  <c r="S899" i="10"/>
  <c r="S900" i="10"/>
  <c r="S901" i="10"/>
  <c r="S902" i="10"/>
  <c r="S903" i="10"/>
  <c r="S904" i="10"/>
  <c r="S905" i="10"/>
  <c r="S906" i="10"/>
  <c r="S907" i="10"/>
  <c r="S908" i="10"/>
  <c r="S909" i="10"/>
  <c r="S910" i="10"/>
  <c r="S911" i="10"/>
  <c r="S912" i="10"/>
  <c r="S913" i="10"/>
  <c r="S914" i="10"/>
  <c r="S915" i="10"/>
  <c r="S916" i="10"/>
  <c r="S917" i="10"/>
  <c r="S918" i="10"/>
  <c r="S919" i="10"/>
  <c r="S920" i="10"/>
  <c r="S921" i="10"/>
  <c r="S922" i="10"/>
  <c r="S923" i="10"/>
  <c r="S924" i="10"/>
  <c r="S925" i="10"/>
  <c r="S926" i="10"/>
  <c r="S927" i="10"/>
  <c r="S928" i="10"/>
  <c r="S929" i="10"/>
  <c r="S930" i="10"/>
  <c r="S931" i="10"/>
  <c r="S932" i="10"/>
  <c r="S933" i="10"/>
  <c r="S934" i="10"/>
  <c r="S935" i="10"/>
  <c r="S936" i="10"/>
  <c r="S937" i="10"/>
  <c r="S938" i="10"/>
  <c r="S939" i="10"/>
  <c r="S940" i="10"/>
  <c r="S941" i="10"/>
  <c r="S942" i="10"/>
  <c r="S943" i="10"/>
  <c r="S944" i="10"/>
  <c r="S945" i="10"/>
  <c r="S946" i="10"/>
  <c r="S947" i="10"/>
  <c r="S948" i="10"/>
  <c r="S949" i="10"/>
  <c r="S950" i="10"/>
  <c r="S951" i="10"/>
  <c r="S952" i="10"/>
  <c r="S953" i="10"/>
  <c r="S954" i="10"/>
  <c r="S955" i="10"/>
  <c r="S956" i="10"/>
  <c r="S957" i="10"/>
  <c r="S958" i="10"/>
  <c r="S959" i="10"/>
  <c r="S960" i="10"/>
  <c r="S961" i="10"/>
  <c r="S962" i="10"/>
  <c r="S963" i="10"/>
  <c r="S964" i="10"/>
  <c r="S965" i="10"/>
  <c r="S966" i="10"/>
  <c r="S967" i="10"/>
  <c r="S968" i="10"/>
  <c r="S969" i="10"/>
  <c r="S970" i="10"/>
  <c r="S971" i="10"/>
  <c r="S972" i="10"/>
  <c r="S973" i="10"/>
  <c r="S974" i="10"/>
  <c r="S975" i="10"/>
  <c r="S976" i="10"/>
  <c r="S977" i="10"/>
  <c r="S978" i="10"/>
  <c r="S979" i="10"/>
  <c r="S980" i="10"/>
  <c r="S981" i="10"/>
  <c r="S982" i="10"/>
  <c r="S983" i="10"/>
  <c r="S984" i="10"/>
  <c r="S985" i="10"/>
  <c r="S986" i="10"/>
  <c r="S987" i="10"/>
  <c r="S988" i="10"/>
  <c r="S989" i="10"/>
  <c r="S990" i="10"/>
  <c r="S991" i="10"/>
  <c r="S992" i="10"/>
  <c r="S993" i="10"/>
  <c r="S994" i="10"/>
  <c r="S995" i="10"/>
  <c r="S996" i="10"/>
  <c r="S997" i="10"/>
  <c r="S998" i="10"/>
  <c r="S999" i="10"/>
  <c r="S1000" i="10"/>
  <c r="S1001" i="10"/>
  <c r="S1002" i="10"/>
  <c r="S1003" i="10"/>
  <c r="S1004" i="10"/>
  <c r="S1005" i="10"/>
  <c r="S1006" i="10"/>
  <c r="S1007" i="10"/>
  <c r="S1008" i="10"/>
  <c r="S1009" i="10"/>
  <c r="S1010" i="10"/>
  <c r="S1011" i="10"/>
  <c r="S1012" i="10"/>
  <c r="S1013" i="10"/>
  <c r="S1014" i="10"/>
  <c r="S1015" i="10"/>
  <c r="S1016" i="10"/>
  <c r="R881" i="10"/>
  <c r="R882" i="10"/>
  <c r="R883" i="10"/>
  <c r="R884" i="10"/>
  <c r="R885" i="10"/>
  <c r="R886" i="10"/>
  <c r="R887" i="10"/>
  <c r="R888" i="10"/>
  <c r="R889" i="10"/>
  <c r="R890" i="10"/>
  <c r="R891" i="10"/>
  <c r="R892" i="10"/>
  <c r="R893" i="10"/>
  <c r="R894" i="10"/>
  <c r="R895" i="10"/>
  <c r="R896" i="10"/>
  <c r="R897" i="10"/>
  <c r="R898" i="10"/>
  <c r="R899" i="10"/>
  <c r="R900" i="10"/>
  <c r="R901" i="10"/>
  <c r="R902" i="10"/>
  <c r="R903" i="10"/>
  <c r="R904" i="10"/>
  <c r="R905" i="10"/>
  <c r="R906" i="10"/>
  <c r="R907" i="10"/>
  <c r="R908" i="10"/>
  <c r="R909" i="10"/>
  <c r="R910" i="10"/>
  <c r="R911" i="10"/>
  <c r="R912" i="10"/>
  <c r="R913" i="10"/>
  <c r="R914" i="10"/>
  <c r="R915" i="10"/>
  <c r="R916" i="10"/>
  <c r="R917" i="10"/>
  <c r="R918" i="10"/>
  <c r="R919" i="10"/>
  <c r="R920" i="10"/>
  <c r="R921" i="10"/>
  <c r="R922" i="10"/>
  <c r="R923" i="10"/>
  <c r="R924" i="10"/>
  <c r="R925" i="10"/>
  <c r="R926" i="10"/>
  <c r="R927" i="10"/>
  <c r="R928" i="10"/>
  <c r="R929" i="10"/>
  <c r="R930" i="10"/>
  <c r="R931" i="10"/>
  <c r="R932" i="10"/>
  <c r="R933" i="10"/>
  <c r="R934" i="10"/>
  <c r="R935" i="10"/>
  <c r="R936" i="10"/>
  <c r="R937" i="10"/>
  <c r="R938" i="10"/>
  <c r="R939" i="10"/>
  <c r="R940" i="10"/>
  <c r="R941" i="10"/>
  <c r="R942" i="10"/>
  <c r="R943" i="10"/>
  <c r="R944" i="10"/>
  <c r="R945" i="10"/>
  <c r="R946" i="10"/>
  <c r="R947" i="10"/>
  <c r="R948" i="10"/>
  <c r="R949" i="10"/>
  <c r="R950" i="10"/>
  <c r="R951" i="10"/>
  <c r="R952" i="10"/>
  <c r="R953" i="10"/>
  <c r="R954" i="10"/>
  <c r="R955" i="10"/>
  <c r="R956" i="10"/>
  <c r="R957" i="10"/>
  <c r="R958" i="10"/>
  <c r="R959" i="10"/>
  <c r="R960" i="10"/>
  <c r="R961" i="10"/>
  <c r="R962" i="10"/>
  <c r="R963" i="10"/>
  <c r="R964" i="10"/>
  <c r="R965" i="10"/>
  <c r="R966" i="10"/>
  <c r="R967" i="10"/>
  <c r="R968" i="10"/>
  <c r="R969" i="10"/>
  <c r="R970" i="10"/>
  <c r="R971" i="10"/>
  <c r="R972" i="10"/>
  <c r="R973" i="10"/>
  <c r="R974" i="10"/>
  <c r="R975" i="10"/>
  <c r="R976" i="10"/>
  <c r="R977" i="10"/>
  <c r="R978" i="10"/>
  <c r="R979" i="10"/>
  <c r="R980" i="10"/>
  <c r="R981" i="10"/>
  <c r="R982" i="10"/>
  <c r="R983" i="10"/>
  <c r="R984" i="10"/>
  <c r="R985" i="10"/>
  <c r="R986" i="10"/>
  <c r="R987" i="10"/>
  <c r="R988" i="10"/>
  <c r="R989" i="10"/>
  <c r="R990" i="10"/>
  <c r="R991" i="10"/>
  <c r="R992" i="10"/>
  <c r="R993" i="10"/>
  <c r="R994" i="10"/>
  <c r="R995" i="10"/>
  <c r="R996" i="10"/>
  <c r="R997" i="10"/>
  <c r="R998" i="10"/>
  <c r="R999" i="10"/>
  <c r="R1000" i="10"/>
  <c r="R1001" i="10"/>
  <c r="R1002" i="10"/>
  <c r="R1003" i="10"/>
  <c r="R1004" i="10"/>
  <c r="R1005" i="10"/>
  <c r="R1006" i="10"/>
  <c r="R1007" i="10"/>
  <c r="R1008" i="10"/>
  <c r="R1009" i="10"/>
  <c r="R1010" i="10"/>
  <c r="R1011" i="10"/>
  <c r="R1012" i="10"/>
  <c r="R1013" i="10"/>
  <c r="R1014" i="10"/>
  <c r="R1015" i="10"/>
  <c r="R1016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1009" i="10"/>
  <c r="P1010" i="10"/>
  <c r="P1011" i="10"/>
  <c r="P1012" i="10"/>
  <c r="P1013" i="10"/>
  <c r="P1014" i="10"/>
  <c r="P1015" i="10"/>
  <c r="P1016" i="10"/>
  <c r="O881" i="10"/>
  <c r="O882" i="10"/>
  <c r="O883" i="10"/>
  <c r="O884" i="10"/>
  <c r="O885" i="10"/>
  <c r="O886" i="10"/>
  <c r="O887" i="10"/>
  <c r="O888" i="10"/>
  <c r="O889" i="10"/>
  <c r="O890" i="10"/>
  <c r="O891" i="10"/>
  <c r="O892" i="10"/>
  <c r="O893" i="10"/>
  <c r="O894" i="10"/>
  <c r="O895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2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29" i="10"/>
  <c r="O930" i="10"/>
  <c r="O931" i="10"/>
  <c r="O932" i="10"/>
  <c r="O933" i="10"/>
  <c r="O934" i="10"/>
  <c r="O935" i="10"/>
  <c r="O936" i="10"/>
  <c r="O937" i="10"/>
  <c r="O938" i="10"/>
  <c r="O939" i="10"/>
  <c r="O940" i="10"/>
  <c r="O941" i="10"/>
  <c r="O942" i="10"/>
  <c r="O943" i="10"/>
  <c r="O944" i="10"/>
  <c r="O945" i="10"/>
  <c r="O946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O959" i="10"/>
  <c r="O960" i="10"/>
  <c r="O961" i="10"/>
  <c r="O962" i="10"/>
  <c r="O963" i="10"/>
  <c r="O964" i="10"/>
  <c r="O965" i="10"/>
  <c r="O966" i="10"/>
  <c r="O967" i="10"/>
  <c r="O968" i="10"/>
  <c r="O969" i="10"/>
  <c r="O970" i="10"/>
  <c r="O971" i="10"/>
  <c r="O972" i="10"/>
  <c r="O973" i="10"/>
  <c r="O974" i="10"/>
  <c r="O975" i="10"/>
  <c r="O976" i="10"/>
  <c r="O977" i="10"/>
  <c r="O978" i="10"/>
  <c r="O979" i="10"/>
  <c r="O980" i="10"/>
  <c r="O981" i="10"/>
  <c r="O982" i="10"/>
  <c r="O983" i="10"/>
  <c r="O984" i="10"/>
  <c r="O985" i="10"/>
  <c r="O986" i="10"/>
  <c r="O987" i="10"/>
  <c r="O988" i="10"/>
  <c r="O989" i="10"/>
  <c r="O990" i="10"/>
  <c r="O991" i="10"/>
  <c r="O992" i="10"/>
  <c r="O993" i="10"/>
  <c r="O994" i="10"/>
  <c r="O995" i="10"/>
  <c r="O996" i="10"/>
  <c r="O997" i="10"/>
  <c r="O998" i="10"/>
  <c r="O999" i="10"/>
  <c r="O1000" i="10"/>
  <c r="O1001" i="10"/>
  <c r="O1002" i="10"/>
  <c r="O1003" i="10"/>
  <c r="O1004" i="10"/>
  <c r="O1005" i="10"/>
  <c r="O1006" i="10"/>
  <c r="O1007" i="10"/>
  <c r="O1008" i="10"/>
  <c r="O1009" i="10"/>
  <c r="O1010" i="10"/>
  <c r="O1011" i="10"/>
  <c r="O1012" i="10"/>
  <c r="O1013" i="10"/>
  <c r="O1014" i="10"/>
  <c r="O1015" i="10"/>
  <c r="O1016" i="10"/>
  <c r="N881" i="10"/>
  <c r="N882" i="10"/>
  <c r="N883" i="10"/>
  <c r="N884" i="10"/>
  <c r="N885" i="10"/>
  <c r="N886" i="10"/>
  <c r="N887" i="10"/>
  <c r="N888" i="10"/>
  <c r="N889" i="10"/>
  <c r="N890" i="10"/>
  <c r="N891" i="10"/>
  <c r="N892" i="10"/>
  <c r="N893" i="10"/>
  <c r="N894" i="10"/>
  <c r="N895" i="10"/>
  <c r="N896" i="10"/>
  <c r="N897" i="10"/>
  <c r="N898" i="10"/>
  <c r="N899" i="10"/>
  <c r="N900" i="10"/>
  <c r="N901" i="10"/>
  <c r="N902" i="10"/>
  <c r="N903" i="10"/>
  <c r="N904" i="10"/>
  <c r="N905" i="10"/>
  <c r="N906" i="10"/>
  <c r="N907" i="10"/>
  <c r="N908" i="10"/>
  <c r="N909" i="10"/>
  <c r="N910" i="10"/>
  <c r="N911" i="10"/>
  <c r="N912" i="10"/>
  <c r="N913" i="10"/>
  <c r="N914" i="10"/>
  <c r="N915" i="10"/>
  <c r="N916" i="10"/>
  <c r="N917" i="10"/>
  <c r="N918" i="10"/>
  <c r="N919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N1012" i="10"/>
  <c r="N1013" i="10"/>
  <c r="N1014" i="10"/>
  <c r="N1015" i="10"/>
  <c r="N1016" i="10"/>
  <c r="Q1018" i="10"/>
  <c r="Q1019" i="10"/>
  <c r="Q1020" i="10"/>
  <c r="Q1021" i="10"/>
  <c r="Q1022" i="10"/>
  <c r="Q1023" i="10"/>
  <c r="Q1024" i="10"/>
  <c r="Q1025" i="10"/>
  <c r="Q1026" i="10"/>
  <c r="Q1027" i="10"/>
  <c r="Q1028" i="10"/>
  <c r="Q1029" i="10"/>
  <c r="Q1030" i="10"/>
  <c r="Q1031" i="10"/>
  <c r="Q1032" i="10"/>
  <c r="Q1033" i="10"/>
  <c r="Q1034" i="10"/>
  <c r="Q1035" i="10"/>
  <c r="Q1036" i="10"/>
  <c r="Q1037" i="10"/>
  <c r="Q1038" i="10"/>
  <c r="Q1039" i="10"/>
  <c r="Q1040" i="10"/>
  <c r="Q1041" i="10"/>
  <c r="Q1042" i="10"/>
  <c r="Q1010" i="10"/>
  <c r="Q1011" i="10"/>
  <c r="Q1012" i="10"/>
  <c r="Q1013" i="10"/>
  <c r="Q1014" i="10"/>
  <c r="Q1015" i="10"/>
  <c r="Q1016" i="10"/>
  <c r="T659" i="10"/>
  <c r="T660" i="10"/>
  <c r="T661" i="10"/>
  <c r="T662" i="10"/>
  <c r="T663" i="10"/>
  <c r="T664" i="10"/>
  <c r="T665" i="10"/>
  <c r="T666" i="10"/>
  <c r="T667" i="10"/>
  <c r="T668" i="10"/>
  <c r="T669" i="10"/>
  <c r="T670" i="10"/>
  <c r="T671" i="10"/>
  <c r="T672" i="10"/>
  <c r="T673" i="10"/>
  <c r="T674" i="10"/>
  <c r="T675" i="10"/>
  <c r="T676" i="10"/>
  <c r="T677" i="10"/>
  <c r="T678" i="10"/>
  <c r="T679" i="10"/>
  <c r="T680" i="10"/>
  <c r="T681" i="10"/>
  <c r="T682" i="10"/>
  <c r="T683" i="10"/>
  <c r="T684" i="10"/>
  <c r="T685" i="10"/>
  <c r="T686" i="10"/>
  <c r="T687" i="10"/>
  <c r="T688" i="10"/>
  <c r="T689" i="10"/>
  <c r="T690" i="10"/>
  <c r="T691" i="10"/>
  <c r="T692" i="10"/>
  <c r="T693" i="10"/>
  <c r="T694" i="10"/>
  <c r="T695" i="10"/>
  <c r="T696" i="10"/>
  <c r="T697" i="10"/>
  <c r="T698" i="10"/>
  <c r="T699" i="10"/>
  <c r="T700" i="10"/>
  <c r="T701" i="10"/>
  <c r="T702" i="10"/>
  <c r="T703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Q659" i="10"/>
  <c r="R658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O4" i="10"/>
  <c r="Q4" i="10"/>
  <c r="Q3" i="10"/>
  <c r="I3" i="32"/>
  <c r="T3" i="32"/>
  <c r="H4" i="10"/>
  <c r="I4" i="32"/>
  <c r="T4" i="32"/>
  <c r="H5" i="10"/>
  <c r="I5" i="32"/>
  <c r="T5" i="32"/>
  <c r="H6" i="10"/>
  <c r="I6" i="32"/>
  <c r="T6" i="32"/>
  <c r="H7" i="10"/>
  <c r="I7" i="32"/>
  <c r="T7" i="32"/>
  <c r="H8" i="10"/>
  <c r="I8" i="32"/>
  <c r="T8" i="32"/>
  <c r="H9" i="10"/>
  <c r="I9" i="32"/>
  <c r="T9" i="32"/>
  <c r="H10" i="10"/>
  <c r="I10" i="32"/>
  <c r="T10" i="32"/>
  <c r="H11" i="10"/>
  <c r="I11" i="32"/>
  <c r="T11" i="32"/>
  <c r="H12" i="10"/>
  <c r="I12" i="32"/>
  <c r="T12" i="32"/>
  <c r="H13" i="10"/>
  <c r="I13" i="32"/>
  <c r="T13" i="32"/>
  <c r="H14" i="10"/>
  <c r="I14" i="32"/>
  <c r="T14" i="32"/>
  <c r="H15" i="10"/>
  <c r="I15" i="32"/>
  <c r="T15" i="32"/>
  <c r="H16" i="10"/>
  <c r="I16" i="32"/>
  <c r="T16" i="32"/>
  <c r="H17" i="10"/>
  <c r="I17" i="32"/>
  <c r="T17" i="32"/>
  <c r="H18" i="10"/>
  <c r="I18" i="32"/>
  <c r="T18" i="32"/>
  <c r="H19" i="10"/>
  <c r="I19" i="32"/>
  <c r="T19" i="32"/>
  <c r="H20" i="10"/>
  <c r="I20" i="32"/>
  <c r="T20" i="32"/>
  <c r="H21" i="10"/>
  <c r="I21" i="32"/>
  <c r="T21" i="32"/>
  <c r="H22" i="10"/>
  <c r="I22" i="32"/>
  <c r="T22" i="32"/>
  <c r="H23" i="10"/>
  <c r="I23" i="32"/>
  <c r="T23" i="32"/>
  <c r="H24" i="10"/>
  <c r="I24" i="32"/>
  <c r="T24" i="32"/>
  <c r="H25" i="10"/>
  <c r="I25" i="32"/>
  <c r="T25" i="32"/>
  <c r="H26" i="10"/>
  <c r="I26" i="32"/>
  <c r="T26" i="32"/>
  <c r="H27" i="10"/>
  <c r="I27" i="32"/>
  <c r="T27" i="32"/>
  <c r="H28" i="10"/>
  <c r="I28" i="32"/>
  <c r="T28" i="32"/>
  <c r="H29" i="10"/>
  <c r="I29" i="32"/>
  <c r="T29" i="32"/>
  <c r="H30" i="10"/>
  <c r="I30" i="32"/>
  <c r="T30" i="32"/>
  <c r="H31" i="10"/>
  <c r="I31" i="32"/>
  <c r="T31" i="32"/>
  <c r="H32" i="10"/>
  <c r="I32" i="32"/>
  <c r="T32" i="32"/>
  <c r="H33" i="10"/>
  <c r="I33" i="32"/>
  <c r="T33" i="32"/>
  <c r="H34" i="10"/>
  <c r="I34" i="32"/>
  <c r="T34" i="32"/>
  <c r="H35" i="10"/>
  <c r="I35" i="32"/>
  <c r="T35" i="32"/>
  <c r="H36" i="10"/>
  <c r="I36" i="32"/>
  <c r="T36" i="32"/>
  <c r="H37" i="10"/>
  <c r="I37" i="32"/>
  <c r="T37" i="32"/>
  <c r="H38" i="10"/>
  <c r="I38" i="32"/>
  <c r="T38" i="32"/>
  <c r="H39" i="10"/>
  <c r="I39" i="32"/>
  <c r="T39" i="32"/>
  <c r="H40" i="10"/>
  <c r="I40" i="32"/>
  <c r="T40" i="32"/>
  <c r="H41" i="10"/>
  <c r="I41" i="32"/>
  <c r="T41" i="32"/>
  <c r="H42" i="10"/>
  <c r="I42" i="32"/>
  <c r="T42" i="32"/>
  <c r="H43" i="10"/>
  <c r="I43" i="32"/>
  <c r="T43" i="32"/>
  <c r="H44" i="10"/>
  <c r="I44" i="32"/>
  <c r="T44" i="32"/>
  <c r="H45" i="10"/>
  <c r="I45" i="32"/>
  <c r="T45" i="32"/>
  <c r="H46" i="10"/>
  <c r="I46" i="32"/>
  <c r="T46" i="32"/>
  <c r="H47" i="10"/>
  <c r="I47" i="32"/>
  <c r="T47" i="32"/>
  <c r="H48" i="10"/>
  <c r="I48" i="32"/>
  <c r="T48" i="32"/>
  <c r="H49" i="10"/>
  <c r="I49" i="32"/>
  <c r="T49" i="32"/>
  <c r="H50" i="10"/>
  <c r="I50" i="32"/>
  <c r="T50" i="32"/>
  <c r="H51" i="10"/>
  <c r="I51" i="32"/>
  <c r="T51" i="32"/>
  <c r="H52" i="10"/>
  <c r="I52" i="32"/>
  <c r="T52" i="32"/>
  <c r="H53" i="10"/>
  <c r="I53" i="32"/>
  <c r="T53" i="32"/>
  <c r="H54" i="10"/>
  <c r="I54" i="32"/>
  <c r="T54" i="32"/>
  <c r="H55" i="10"/>
  <c r="I55" i="32"/>
  <c r="T55" i="32"/>
  <c r="H56" i="10"/>
  <c r="I56" i="32"/>
  <c r="T56" i="32"/>
  <c r="H57" i="10"/>
  <c r="I57" i="32"/>
  <c r="T57" i="32"/>
  <c r="H58" i="10"/>
  <c r="I58" i="32"/>
  <c r="T58" i="32"/>
  <c r="H59" i="10"/>
  <c r="I59" i="32"/>
  <c r="T59" i="32"/>
  <c r="H60" i="10"/>
  <c r="I60" i="32"/>
  <c r="T60" i="32"/>
  <c r="H61" i="10"/>
  <c r="I61" i="32"/>
  <c r="T61" i="32"/>
  <c r="H62" i="10"/>
  <c r="I62" i="32"/>
  <c r="T62" i="32"/>
  <c r="H63" i="10"/>
  <c r="I63" i="32"/>
  <c r="T63" i="32"/>
  <c r="H64" i="10"/>
  <c r="I64" i="32"/>
  <c r="T64" i="32"/>
  <c r="H65" i="10"/>
  <c r="I65" i="32"/>
  <c r="T65" i="32"/>
  <c r="H66" i="10"/>
  <c r="I66" i="32"/>
  <c r="T66" i="32"/>
  <c r="H67" i="10"/>
  <c r="I67" i="32"/>
  <c r="T67" i="32"/>
  <c r="H68" i="10"/>
  <c r="I68" i="32"/>
  <c r="T68" i="32"/>
  <c r="H69" i="10"/>
  <c r="I2" i="32"/>
  <c r="T2" i="32"/>
  <c r="H3" i="10"/>
  <c r="F3" i="32"/>
  <c r="P3" i="32"/>
  <c r="F4" i="10"/>
  <c r="F4" i="32"/>
  <c r="P4" i="32"/>
  <c r="F5" i="10"/>
  <c r="F5" i="32"/>
  <c r="P5" i="32"/>
  <c r="F6" i="10"/>
  <c r="F6" i="32"/>
  <c r="P6" i="32"/>
  <c r="F7" i="10"/>
  <c r="F7" i="32"/>
  <c r="P7" i="32"/>
  <c r="F8" i="10"/>
  <c r="F8" i="32"/>
  <c r="P8" i="32"/>
  <c r="F9" i="10"/>
  <c r="F9" i="32"/>
  <c r="P9" i="32"/>
  <c r="F10" i="10"/>
  <c r="F10" i="32"/>
  <c r="P10" i="32"/>
  <c r="F11" i="10"/>
  <c r="F11" i="32"/>
  <c r="P11" i="32"/>
  <c r="F12" i="10"/>
  <c r="F12" i="32"/>
  <c r="P12" i="32"/>
  <c r="F13" i="10"/>
  <c r="F13" i="32"/>
  <c r="P13" i="32"/>
  <c r="F14" i="10"/>
  <c r="F14" i="32"/>
  <c r="P14" i="32"/>
  <c r="F15" i="10"/>
  <c r="F15" i="32"/>
  <c r="P15" i="32"/>
  <c r="F16" i="10"/>
  <c r="F16" i="32"/>
  <c r="P16" i="32"/>
  <c r="F17" i="10"/>
  <c r="F17" i="32"/>
  <c r="P17" i="32"/>
  <c r="F18" i="10"/>
  <c r="F18" i="32"/>
  <c r="P18" i="32"/>
  <c r="F19" i="10"/>
  <c r="F19" i="32"/>
  <c r="P19" i="32"/>
  <c r="F20" i="10"/>
  <c r="F20" i="32"/>
  <c r="P20" i="32"/>
  <c r="F21" i="10"/>
  <c r="F21" i="32"/>
  <c r="P21" i="32"/>
  <c r="F22" i="10"/>
  <c r="F22" i="32"/>
  <c r="P22" i="32"/>
  <c r="F23" i="10"/>
  <c r="F23" i="32"/>
  <c r="P23" i="32"/>
  <c r="F24" i="10"/>
  <c r="F24" i="32"/>
  <c r="P24" i="32"/>
  <c r="F25" i="10"/>
  <c r="F25" i="32"/>
  <c r="P25" i="32"/>
  <c r="F26" i="10"/>
  <c r="F26" i="32"/>
  <c r="P26" i="32"/>
  <c r="F27" i="10"/>
  <c r="F27" i="32"/>
  <c r="P27" i="32"/>
  <c r="F28" i="10"/>
  <c r="F28" i="32"/>
  <c r="P28" i="32"/>
  <c r="F29" i="10"/>
  <c r="F29" i="32"/>
  <c r="P29" i="32"/>
  <c r="F30" i="10"/>
  <c r="F30" i="32"/>
  <c r="P30" i="32"/>
  <c r="F31" i="10"/>
  <c r="F31" i="32"/>
  <c r="P31" i="32"/>
  <c r="F32" i="10"/>
  <c r="F32" i="32"/>
  <c r="P32" i="32"/>
  <c r="F33" i="10"/>
  <c r="F33" i="32"/>
  <c r="P33" i="32"/>
  <c r="F34" i="10"/>
  <c r="F34" i="32"/>
  <c r="P34" i="32"/>
  <c r="F35" i="10"/>
  <c r="F35" i="32"/>
  <c r="P35" i="32"/>
  <c r="F36" i="10"/>
  <c r="F36" i="32"/>
  <c r="P36" i="32"/>
  <c r="F37" i="10"/>
  <c r="F37" i="32"/>
  <c r="P37" i="32"/>
  <c r="F38" i="10"/>
  <c r="F38" i="32"/>
  <c r="P38" i="32"/>
  <c r="F39" i="10"/>
  <c r="F39" i="32"/>
  <c r="P39" i="32"/>
  <c r="F40" i="10"/>
  <c r="F40" i="32"/>
  <c r="P40" i="32"/>
  <c r="F41" i="10"/>
  <c r="F41" i="32"/>
  <c r="P41" i="32"/>
  <c r="F42" i="10"/>
  <c r="F42" i="32"/>
  <c r="P42" i="32"/>
  <c r="F43" i="10"/>
  <c r="F43" i="32"/>
  <c r="P43" i="32"/>
  <c r="F44" i="10"/>
  <c r="F44" i="32"/>
  <c r="P44" i="32"/>
  <c r="F45" i="10"/>
  <c r="F45" i="32"/>
  <c r="P45" i="32"/>
  <c r="F46" i="10"/>
  <c r="F46" i="32"/>
  <c r="P46" i="32"/>
  <c r="F47" i="10"/>
  <c r="F47" i="32"/>
  <c r="P47" i="32"/>
  <c r="F48" i="10"/>
  <c r="F48" i="32"/>
  <c r="P48" i="32"/>
  <c r="F49" i="10"/>
  <c r="F49" i="32"/>
  <c r="P49" i="32"/>
  <c r="F50" i="10"/>
  <c r="F50" i="32"/>
  <c r="P50" i="32"/>
  <c r="F51" i="10"/>
  <c r="F51" i="32"/>
  <c r="P51" i="32"/>
  <c r="F52" i="10"/>
  <c r="F52" i="32"/>
  <c r="P52" i="32"/>
  <c r="F53" i="10"/>
  <c r="F53" i="32"/>
  <c r="P53" i="32"/>
  <c r="F54" i="10"/>
  <c r="F54" i="32"/>
  <c r="P54" i="32"/>
  <c r="F55" i="10"/>
  <c r="F55" i="32"/>
  <c r="P55" i="32"/>
  <c r="F56" i="10"/>
  <c r="F56" i="32"/>
  <c r="P56" i="32"/>
  <c r="F57" i="10"/>
  <c r="F57" i="32"/>
  <c r="P57" i="32"/>
  <c r="F58" i="10"/>
  <c r="F58" i="32"/>
  <c r="P58" i="32"/>
  <c r="F59" i="10"/>
  <c r="F59" i="32"/>
  <c r="P59" i="32"/>
  <c r="F60" i="10"/>
  <c r="F60" i="32"/>
  <c r="P60" i="32"/>
  <c r="F61" i="10"/>
  <c r="F61" i="32"/>
  <c r="P61" i="32"/>
  <c r="F62" i="10"/>
  <c r="F62" i="32"/>
  <c r="P62" i="32"/>
  <c r="F63" i="10"/>
  <c r="F63" i="32"/>
  <c r="P63" i="32"/>
  <c r="F64" i="10"/>
  <c r="F64" i="32"/>
  <c r="P64" i="32"/>
  <c r="F65" i="10"/>
  <c r="F65" i="32"/>
  <c r="P65" i="32"/>
  <c r="F66" i="10"/>
  <c r="F66" i="32"/>
  <c r="P66" i="32"/>
  <c r="F67" i="10"/>
  <c r="F67" i="32"/>
  <c r="P67" i="32"/>
  <c r="F68" i="10"/>
  <c r="F68" i="32"/>
  <c r="P68" i="32"/>
  <c r="F69" i="10"/>
  <c r="F2" i="32"/>
  <c r="P2" i="32"/>
  <c r="F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3" i="10"/>
  <c r="G47" i="39"/>
  <c r="J104" i="39"/>
  <c r="J118" i="39"/>
  <c r="J47" i="39"/>
  <c r="O47" i="39"/>
  <c r="H703" i="10"/>
  <c r="G46" i="39"/>
  <c r="J88" i="39"/>
  <c r="J46" i="39"/>
  <c r="G45" i="39"/>
  <c r="J112" i="39"/>
  <c r="J45" i="39"/>
  <c r="G44" i="39"/>
  <c r="J110" i="39"/>
  <c r="J95" i="39"/>
  <c r="J44" i="39"/>
  <c r="G43" i="39"/>
  <c r="J108" i="39"/>
  <c r="J43" i="39"/>
  <c r="G41" i="39"/>
  <c r="J68" i="39"/>
  <c r="J41" i="39"/>
  <c r="G40" i="39"/>
  <c r="J74" i="39"/>
  <c r="J101" i="39"/>
  <c r="J40" i="39"/>
  <c r="G39" i="39"/>
  <c r="J100" i="39"/>
  <c r="J62" i="39"/>
  <c r="J39" i="39"/>
  <c r="G38" i="39"/>
  <c r="J117" i="39"/>
  <c r="J38" i="39"/>
  <c r="G37" i="39"/>
  <c r="J97" i="39"/>
  <c r="J37" i="39"/>
  <c r="O37" i="39"/>
  <c r="H693" i="10"/>
  <c r="J59" i="39"/>
  <c r="J35" i="39"/>
  <c r="G34" i="39"/>
  <c r="J94" i="39"/>
  <c r="J34" i="39"/>
  <c r="O34" i="39"/>
  <c r="H690" i="10"/>
  <c r="G33" i="39"/>
  <c r="J56" i="39"/>
  <c r="J33" i="39"/>
  <c r="G32" i="39"/>
  <c r="J60" i="39"/>
  <c r="J32" i="39"/>
  <c r="G31" i="39"/>
  <c r="J91" i="39"/>
  <c r="J31" i="39"/>
  <c r="G30" i="39"/>
  <c r="J87" i="39"/>
  <c r="J63" i="39"/>
  <c r="J29" i="39"/>
  <c r="G27" i="39"/>
  <c r="J69" i="39"/>
  <c r="J27" i="39"/>
  <c r="J85" i="39"/>
  <c r="J26" i="39"/>
  <c r="G25" i="39"/>
  <c r="J83" i="39"/>
  <c r="J98" i="39"/>
  <c r="J25" i="39"/>
  <c r="G24" i="39"/>
  <c r="J77" i="39"/>
  <c r="J82" i="39"/>
  <c r="J24" i="39"/>
  <c r="J80" i="39"/>
  <c r="K23" i="39"/>
  <c r="O23" i="39"/>
  <c r="H679" i="10"/>
  <c r="G22" i="39"/>
  <c r="J75" i="39"/>
  <c r="J111" i="39"/>
  <c r="J22" i="39"/>
  <c r="G17" i="39"/>
  <c r="J70" i="39"/>
  <c r="J17" i="39"/>
  <c r="J93" i="39"/>
  <c r="J15" i="39"/>
  <c r="G13" i="39"/>
  <c r="J66" i="39"/>
  <c r="J13" i="39"/>
  <c r="G11" i="39"/>
  <c r="J64" i="39"/>
  <c r="J11" i="39"/>
  <c r="J57" i="39"/>
  <c r="J8" i="39"/>
  <c r="G7" i="39"/>
  <c r="J55" i="39"/>
  <c r="J61" i="39"/>
  <c r="J115" i="39"/>
  <c r="J7" i="39"/>
  <c r="L7" i="39"/>
  <c r="J54" i="39"/>
  <c r="J71" i="39"/>
  <c r="J6" i="39"/>
  <c r="G5" i="39"/>
  <c r="J53" i="39"/>
  <c r="J114" i="39"/>
  <c r="J58" i="39"/>
  <c r="J102" i="39"/>
  <c r="J5" i="39"/>
  <c r="G3" i="39"/>
  <c r="J52" i="39"/>
  <c r="J3" i="39"/>
  <c r="G2" i="39"/>
  <c r="J51" i="39"/>
  <c r="J2" i="39"/>
  <c r="J79" i="39"/>
  <c r="J78" i="39"/>
  <c r="J72" i="39"/>
  <c r="J116" i="39"/>
  <c r="J113" i="39"/>
  <c r="J109" i="39"/>
  <c r="J89" i="39"/>
  <c r="L3" i="39"/>
  <c r="L25" i="39"/>
  <c r="L47" i="39"/>
  <c r="G703" i="10"/>
  <c r="L46" i="39"/>
  <c r="G702" i="10"/>
  <c r="L45" i="39"/>
  <c r="G701" i="10"/>
  <c r="L44" i="39"/>
  <c r="G700" i="10"/>
  <c r="L43" i="39"/>
  <c r="G699" i="10"/>
  <c r="L42" i="39"/>
  <c r="G698" i="10"/>
  <c r="L41" i="39"/>
  <c r="G697" i="10"/>
  <c r="L40" i="39"/>
  <c r="G696" i="10"/>
  <c r="L39" i="39"/>
  <c r="G695" i="10"/>
  <c r="L38" i="39"/>
  <c r="G694" i="10"/>
  <c r="L37" i="39"/>
  <c r="G693" i="10"/>
  <c r="L35" i="39"/>
  <c r="G691" i="10"/>
  <c r="L34" i="39"/>
  <c r="G690" i="10"/>
  <c r="L33" i="39"/>
  <c r="G689" i="10"/>
  <c r="L32" i="39"/>
  <c r="G688" i="10"/>
  <c r="L31" i="39"/>
  <c r="G687" i="10"/>
  <c r="L24" i="39"/>
  <c r="G680" i="10"/>
  <c r="G659" i="10"/>
  <c r="G681" i="10"/>
  <c r="G663" i="10"/>
  <c r="L2" i="39"/>
  <c r="G658" i="10"/>
  <c r="L5" i="39"/>
  <c r="G661" i="10"/>
  <c r="L6" i="39"/>
  <c r="G662" i="10"/>
  <c r="G664" i="10"/>
  <c r="G665" i="10"/>
  <c r="L11" i="39"/>
  <c r="G667" i="10"/>
  <c r="L12" i="39"/>
  <c r="G668" i="10"/>
  <c r="L13" i="39"/>
  <c r="G669" i="10"/>
  <c r="G670" i="10"/>
  <c r="G671" i="10"/>
  <c r="G672" i="10"/>
  <c r="L17" i="39"/>
  <c r="G673" i="10"/>
  <c r="L18" i="39"/>
  <c r="G674" i="10"/>
  <c r="G675" i="10"/>
  <c r="G676" i="10"/>
  <c r="L21" i="39"/>
  <c r="G677" i="10"/>
  <c r="L22" i="39"/>
  <c r="G678" i="10"/>
  <c r="G679" i="10"/>
  <c r="G682" i="10"/>
  <c r="L27" i="39"/>
  <c r="G683" i="10"/>
  <c r="L29" i="39"/>
  <c r="G685" i="10"/>
  <c r="L30" i="39"/>
  <c r="G686" i="10"/>
  <c r="N3" i="30"/>
  <c r="N4" i="30"/>
  <c r="N5" i="30"/>
  <c r="N6" i="30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N24" i="30"/>
  <c r="N25" i="30"/>
  <c r="N26" i="30"/>
  <c r="N27" i="30"/>
  <c r="N28" i="30"/>
  <c r="N29" i="30"/>
  <c r="N30" i="30"/>
  <c r="N31" i="30"/>
  <c r="N32" i="30"/>
  <c r="N33" i="30"/>
  <c r="N34" i="30"/>
  <c r="N35" i="30"/>
  <c r="N36" i="30"/>
  <c r="N37" i="30"/>
  <c r="N38" i="30"/>
  <c r="N39" i="30"/>
  <c r="N40" i="30"/>
  <c r="N41" i="30"/>
  <c r="N42" i="30"/>
  <c r="N43" i="30"/>
  <c r="N44" i="30"/>
  <c r="N45" i="30"/>
  <c r="N46" i="30"/>
  <c r="N47" i="30"/>
  <c r="N2" i="30"/>
  <c r="R3" i="31"/>
  <c r="K833" i="11"/>
  <c r="R4" i="31"/>
  <c r="K834" i="11"/>
  <c r="R5" i="31"/>
  <c r="K835" i="11"/>
  <c r="R6" i="31"/>
  <c r="K836" i="11"/>
  <c r="R7" i="31"/>
  <c r="K837" i="11"/>
  <c r="R8" i="31"/>
  <c r="K838" i="11"/>
  <c r="R9" i="31"/>
  <c r="K839" i="11"/>
  <c r="R10" i="31"/>
  <c r="K840" i="11"/>
  <c r="R11" i="31"/>
  <c r="K841" i="11"/>
  <c r="R12" i="31"/>
  <c r="K842" i="11"/>
  <c r="R13" i="31"/>
  <c r="K843" i="11"/>
  <c r="R14" i="31"/>
  <c r="K844" i="11"/>
  <c r="R15" i="31"/>
  <c r="K845" i="11"/>
  <c r="R16" i="31"/>
  <c r="K846" i="11"/>
  <c r="R17" i="31"/>
  <c r="K847" i="11"/>
  <c r="R18" i="31"/>
  <c r="K848" i="11"/>
  <c r="R19" i="31"/>
  <c r="K849" i="11"/>
  <c r="R20" i="31"/>
  <c r="K850" i="11"/>
  <c r="R21" i="31"/>
  <c r="K851" i="11"/>
  <c r="R22" i="31"/>
  <c r="K852" i="11"/>
  <c r="R23" i="31"/>
  <c r="K853" i="11"/>
  <c r="R24" i="31"/>
  <c r="K854" i="11"/>
  <c r="R25" i="31"/>
  <c r="K855" i="11"/>
  <c r="R26" i="31"/>
  <c r="K856" i="11"/>
  <c r="R27" i="31"/>
  <c r="K857" i="11"/>
  <c r="R28" i="31"/>
  <c r="K858" i="11"/>
  <c r="R29" i="31"/>
  <c r="K859" i="11"/>
  <c r="R30" i="31"/>
  <c r="K860" i="11"/>
  <c r="R31" i="31"/>
  <c r="K861" i="11"/>
  <c r="R32" i="31"/>
  <c r="K862" i="11"/>
  <c r="R33" i="31"/>
  <c r="K863" i="11"/>
  <c r="R34" i="31"/>
  <c r="K864" i="11"/>
  <c r="R35" i="31"/>
  <c r="K865" i="11"/>
  <c r="R36" i="31"/>
  <c r="K866" i="11"/>
  <c r="R37" i="31"/>
  <c r="K867" i="11"/>
  <c r="R38" i="31"/>
  <c r="K868" i="11"/>
  <c r="R39" i="31"/>
  <c r="K869" i="11"/>
  <c r="R40" i="31"/>
  <c r="K870" i="11"/>
  <c r="R42" i="31"/>
  <c r="K872" i="11"/>
  <c r="R43" i="31"/>
  <c r="K873" i="11"/>
  <c r="R44" i="31"/>
  <c r="K874" i="11"/>
  <c r="R45" i="31"/>
  <c r="K875" i="11"/>
  <c r="R46" i="31"/>
  <c r="K876" i="11"/>
  <c r="R47" i="31"/>
  <c r="K877" i="11"/>
  <c r="R48" i="31"/>
  <c r="K878" i="11"/>
  <c r="R49" i="31"/>
  <c r="K879" i="11"/>
  <c r="R50" i="31"/>
  <c r="K880" i="11"/>
  <c r="R51" i="31"/>
  <c r="K881" i="11"/>
  <c r="R52" i="31"/>
  <c r="K882" i="11"/>
  <c r="R53" i="31"/>
  <c r="K883" i="11"/>
  <c r="R54" i="31"/>
  <c r="K884" i="11"/>
  <c r="R55" i="31"/>
  <c r="K885" i="11"/>
  <c r="R56" i="31"/>
  <c r="K886" i="11"/>
  <c r="R57" i="31"/>
  <c r="K887" i="11"/>
  <c r="R58" i="31"/>
  <c r="K888" i="11"/>
  <c r="R59" i="31"/>
  <c r="K889" i="11"/>
  <c r="R60" i="31"/>
  <c r="K890" i="11"/>
  <c r="R61" i="31"/>
  <c r="K891" i="11"/>
  <c r="R62" i="31"/>
  <c r="K892" i="11"/>
  <c r="R63" i="31"/>
  <c r="K893" i="11"/>
  <c r="R65" i="31"/>
  <c r="K895" i="11"/>
  <c r="R66" i="31"/>
  <c r="K896" i="11"/>
  <c r="R67" i="31"/>
  <c r="K897" i="11"/>
  <c r="R68" i="31"/>
  <c r="K898" i="11"/>
  <c r="R69" i="31"/>
  <c r="K899" i="11"/>
  <c r="R70" i="31"/>
  <c r="K900" i="11"/>
  <c r="R71" i="31"/>
  <c r="K901" i="11"/>
  <c r="R72" i="31"/>
  <c r="K902" i="11"/>
  <c r="R73" i="31"/>
  <c r="K903" i="11"/>
  <c r="R74" i="31"/>
  <c r="K904" i="11"/>
  <c r="R75" i="31"/>
  <c r="K905" i="11"/>
  <c r="R76" i="31"/>
  <c r="K906" i="11"/>
  <c r="R77" i="31"/>
  <c r="K907" i="11"/>
  <c r="R78" i="31"/>
  <c r="K908" i="11"/>
  <c r="R79" i="31"/>
  <c r="K909" i="11"/>
  <c r="R80" i="31"/>
  <c r="K910" i="11"/>
  <c r="R81" i="31"/>
  <c r="K911" i="11"/>
  <c r="R82" i="31"/>
  <c r="K912" i="11"/>
  <c r="R83" i="31"/>
  <c r="K913" i="11"/>
  <c r="R84" i="31"/>
  <c r="K914" i="11"/>
  <c r="R85" i="31"/>
  <c r="K915" i="11"/>
  <c r="R86" i="31"/>
  <c r="K916" i="11"/>
  <c r="R87" i="31"/>
  <c r="K917" i="11"/>
  <c r="R88" i="31"/>
  <c r="K918" i="11"/>
  <c r="R89" i="31"/>
  <c r="K919" i="11"/>
  <c r="R90" i="31"/>
  <c r="K920" i="11"/>
  <c r="R91" i="31"/>
  <c r="K921" i="11"/>
  <c r="R92" i="31"/>
  <c r="K922" i="11"/>
  <c r="R93" i="31"/>
  <c r="K923" i="11"/>
  <c r="R94" i="31"/>
  <c r="K924" i="11"/>
  <c r="R95" i="31"/>
  <c r="K925" i="11"/>
  <c r="R96" i="31"/>
  <c r="K926" i="11"/>
  <c r="R97" i="31"/>
  <c r="K927" i="11"/>
  <c r="R98" i="31"/>
  <c r="K928" i="11"/>
  <c r="R99" i="31"/>
  <c r="K929" i="11"/>
  <c r="R100" i="31"/>
  <c r="K930" i="11"/>
  <c r="R101" i="31"/>
  <c r="K931" i="11"/>
  <c r="R102" i="31"/>
  <c r="K932" i="11"/>
  <c r="R103" i="31"/>
  <c r="K933" i="11"/>
  <c r="R104" i="31"/>
  <c r="K934" i="11"/>
  <c r="R105" i="31"/>
  <c r="K935" i="11"/>
  <c r="R106" i="31"/>
  <c r="K936" i="11"/>
  <c r="R107" i="31"/>
  <c r="K937" i="11"/>
  <c r="R108" i="31"/>
  <c r="K938" i="11"/>
  <c r="R109" i="31"/>
  <c r="K939" i="11"/>
  <c r="R110" i="31"/>
  <c r="K940" i="11"/>
  <c r="R111" i="31"/>
  <c r="K941" i="11"/>
  <c r="R112" i="31"/>
  <c r="K942" i="11"/>
  <c r="R113" i="31"/>
  <c r="K943" i="11"/>
  <c r="R114" i="31"/>
  <c r="K944" i="11"/>
  <c r="R115" i="31"/>
  <c r="K945" i="11"/>
  <c r="R116" i="31"/>
  <c r="K946" i="11"/>
  <c r="R117" i="31"/>
  <c r="K947" i="11"/>
  <c r="R118" i="31"/>
  <c r="K948" i="11"/>
  <c r="R119" i="31"/>
  <c r="K949" i="11"/>
  <c r="R120" i="31"/>
  <c r="K950" i="11"/>
  <c r="R121" i="31"/>
  <c r="K951" i="11"/>
  <c r="R122" i="31"/>
  <c r="K952" i="11"/>
  <c r="R123" i="31"/>
  <c r="K953" i="11"/>
  <c r="K954" i="11"/>
  <c r="R125" i="31"/>
  <c r="K955" i="11"/>
  <c r="R127" i="31"/>
  <c r="K957" i="11"/>
  <c r="R128" i="31"/>
  <c r="K958" i="11"/>
  <c r="R129" i="31"/>
  <c r="K959" i="11"/>
  <c r="R130" i="31"/>
  <c r="K960" i="11"/>
  <c r="R131" i="31"/>
  <c r="K961" i="11"/>
  <c r="R132" i="31"/>
  <c r="K962" i="11"/>
  <c r="R133" i="31"/>
  <c r="K963" i="11"/>
  <c r="R134" i="31"/>
  <c r="K964" i="11"/>
  <c r="R135" i="31"/>
  <c r="K965" i="11"/>
  <c r="R136" i="31"/>
  <c r="K966" i="11"/>
  <c r="R138" i="31"/>
  <c r="K968" i="11"/>
  <c r="R139" i="31"/>
  <c r="K969" i="11"/>
  <c r="R140" i="31"/>
  <c r="K970" i="11"/>
  <c r="R141" i="31"/>
  <c r="K971" i="11"/>
  <c r="R142" i="31"/>
  <c r="K972" i="11"/>
  <c r="R143" i="31"/>
  <c r="K973" i="11"/>
  <c r="R144" i="31"/>
  <c r="K974" i="11"/>
  <c r="R145" i="31"/>
  <c r="K975" i="11"/>
  <c r="R146" i="31"/>
  <c r="K976" i="11"/>
  <c r="R147" i="31"/>
  <c r="K977" i="11"/>
  <c r="R149" i="31"/>
  <c r="K979" i="11"/>
  <c r="R150" i="31"/>
  <c r="K980" i="11"/>
  <c r="R152" i="31"/>
  <c r="K982" i="11"/>
  <c r="R153" i="31"/>
  <c r="K983" i="11"/>
  <c r="R154" i="31"/>
  <c r="K984" i="11"/>
  <c r="R155" i="31"/>
  <c r="K985" i="11"/>
  <c r="R156" i="31"/>
  <c r="K986" i="11"/>
  <c r="R157" i="31"/>
  <c r="K987" i="11"/>
  <c r="R158" i="31"/>
  <c r="K988" i="11"/>
  <c r="R160" i="31"/>
  <c r="K990" i="11"/>
  <c r="R161" i="31"/>
  <c r="K991" i="11"/>
  <c r="R162" i="31"/>
  <c r="K992" i="11"/>
  <c r="R163" i="31"/>
  <c r="K993" i="11"/>
  <c r="R164" i="31"/>
  <c r="K994" i="11"/>
  <c r="R165" i="31"/>
  <c r="K995" i="11"/>
  <c r="R166" i="31"/>
  <c r="K996" i="11"/>
  <c r="R167" i="31"/>
  <c r="K997" i="11"/>
  <c r="R168" i="31"/>
  <c r="K998" i="11"/>
  <c r="R169" i="31"/>
  <c r="K999" i="11"/>
  <c r="R170" i="31"/>
  <c r="K1000" i="11"/>
  <c r="R171" i="31"/>
  <c r="K1001" i="11"/>
  <c r="R172" i="31"/>
  <c r="K1002" i="11"/>
  <c r="R173" i="31"/>
  <c r="K1003" i="11"/>
  <c r="R175" i="31"/>
  <c r="K1005" i="11"/>
  <c r="R176" i="31"/>
  <c r="K1006" i="11"/>
  <c r="R177" i="31"/>
  <c r="K1007" i="11"/>
  <c r="R178" i="31"/>
  <c r="K1008" i="11"/>
  <c r="R179" i="31"/>
  <c r="K1009" i="11"/>
  <c r="R180" i="31"/>
  <c r="K1010" i="11"/>
  <c r="R181" i="31"/>
  <c r="K1011" i="11"/>
  <c r="R182" i="31"/>
  <c r="K1012" i="11"/>
  <c r="R183" i="31"/>
  <c r="K1013" i="11"/>
  <c r="R184" i="31"/>
  <c r="K1014" i="11"/>
  <c r="R185" i="31"/>
  <c r="K1015" i="11"/>
  <c r="R187" i="31"/>
  <c r="K1017" i="11"/>
  <c r="R188" i="31"/>
  <c r="K1018" i="11"/>
  <c r="R189" i="31"/>
  <c r="K1019" i="11"/>
  <c r="R190" i="31"/>
  <c r="K1020" i="11"/>
  <c r="R191" i="31"/>
  <c r="K1021" i="11"/>
  <c r="R192" i="31"/>
  <c r="K1022" i="11"/>
  <c r="K1023" i="11"/>
  <c r="R194" i="31"/>
  <c r="K1024" i="11"/>
  <c r="R196" i="31"/>
  <c r="K1026" i="11"/>
  <c r="R197" i="31"/>
  <c r="K1027" i="11"/>
  <c r="R198" i="31"/>
  <c r="K1028" i="11"/>
  <c r="R199" i="31"/>
  <c r="K1029" i="11"/>
  <c r="R200" i="31"/>
  <c r="K1030" i="11"/>
  <c r="R201" i="31"/>
  <c r="K1031" i="11"/>
  <c r="R203" i="31"/>
  <c r="K1033" i="11"/>
  <c r="R204" i="31"/>
  <c r="K1034" i="11"/>
  <c r="R205" i="31"/>
  <c r="K1035" i="11"/>
  <c r="R206" i="31"/>
  <c r="K1036" i="11"/>
  <c r="R207" i="31"/>
  <c r="K1037" i="11"/>
  <c r="R208" i="31"/>
  <c r="K1038" i="11"/>
  <c r="R209" i="31"/>
  <c r="K1039" i="11"/>
  <c r="R210" i="31"/>
  <c r="K1040" i="11"/>
  <c r="R212" i="31"/>
  <c r="K1042" i="11"/>
  <c r="R213" i="31"/>
  <c r="K1043" i="11"/>
  <c r="R214" i="31"/>
  <c r="K1044" i="11"/>
  <c r="R215" i="31"/>
  <c r="K1045" i="11"/>
  <c r="R217" i="31"/>
  <c r="K1047" i="11"/>
  <c r="R218" i="31"/>
  <c r="K1048" i="11"/>
  <c r="R219" i="31"/>
  <c r="K1049" i="11"/>
  <c r="R220" i="31"/>
  <c r="K1050" i="11"/>
  <c r="R221" i="31"/>
  <c r="K1051" i="11"/>
  <c r="R222" i="31"/>
  <c r="K1052" i="11"/>
  <c r="R223" i="31"/>
  <c r="K1053" i="11"/>
  <c r="R224" i="31"/>
  <c r="K1054" i="11"/>
  <c r="R225" i="31"/>
  <c r="K1055" i="11"/>
  <c r="R226" i="31"/>
  <c r="K1056" i="11"/>
  <c r="R227" i="31"/>
  <c r="K1057" i="11"/>
  <c r="R228" i="31"/>
  <c r="K1058" i="11"/>
  <c r="R229" i="31"/>
  <c r="K1059" i="11"/>
  <c r="R230" i="31"/>
  <c r="K1060" i="11"/>
  <c r="R231" i="31"/>
  <c r="K1061" i="11"/>
  <c r="R232" i="31"/>
  <c r="K1062" i="11"/>
  <c r="R233" i="31"/>
  <c r="K1063" i="11"/>
  <c r="R234" i="31"/>
  <c r="K1064" i="11"/>
  <c r="R235" i="31"/>
  <c r="K1065" i="11"/>
  <c r="R236" i="31"/>
  <c r="K1066" i="11"/>
  <c r="R237" i="31"/>
  <c r="K1067" i="11"/>
  <c r="R239" i="31"/>
  <c r="K1069" i="11"/>
  <c r="R240" i="31"/>
  <c r="K1070" i="11"/>
  <c r="R241" i="31"/>
  <c r="K1071" i="11"/>
  <c r="R242" i="31"/>
  <c r="K1072" i="11"/>
  <c r="R243" i="31"/>
  <c r="K1073" i="11"/>
  <c r="R244" i="31"/>
  <c r="K1074" i="11"/>
  <c r="R245" i="31"/>
  <c r="K1075" i="11"/>
  <c r="R246" i="31"/>
  <c r="K1076" i="11"/>
  <c r="R247" i="31"/>
  <c r="K1077" i="11"/>
  <c r="R248" i="31"/>
  <c r="K1078" i="11"/>
  <c r="R249" i="31"/>
  <c r="K1079" i="11"/>
  <c r="R250" i="31"/>
  <c r="K1080" i="11"/>
  <c r="R252" i="31"/>
  <c r="K1082" i="11"/>
  <c r="R253" i="31"/>
  <c r="K1083" i="11"/>
  <c r="R254" i="31"/>
  <c r="K1084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2" i="11"/>
  <c r="D1083" i="11"/>
  <c r="D1084" i="11"/>
  <c r="R2" i="31"/>
  <c r="K832" i="11"/>
  <c r="D832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76" i="11"/>
  <c r="E89" i="11"/>
  <c r="E90" i="11"/>
  <c r="E91" i="11"/>
  <c r="E92" i="11"/>
  <c r="E93" i="11"/>
  <c r="E94" i="11"/>
  <c r="E95" i="11"/>
  <c r="E9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76" i="11"/>
  <c r="Y3" i="32"/>
  <c r="K4" i="10"/>
  <c r="Y4" i="32"/>
  <c r="K5" i="10"/>
  <c r="Y5" i="32"/>
  <c r="K6" i="10"/>
  <c r="Y6" i="32"/>
  <c r="K7" i="10"/>
  <c r="Y7" i="32"/>
  <c r="K8" i="10"/>
  <c r="Y8" i="32"/>
  <c r="K9" i="10"/>
  <c r="Y9" i="32"/>
  <c r="K10" i="10"/>
  <c r="Y10" i="32"/>
  <c r="K11" i="10"/>
  <c r="Y11" i="32"/>
  <c r="K12" i="10"/>
  <c r="Y12" i="32"/>
  <c r="K13" i="10"/>
  <c r="Y14" i="32"/>
  <c r="K15" i="10"/>
  <c r="Y15" i="32"/>
  <c r="K16" i="10"/>
  <c r="Y16" i="32"/>
  <c r="K17" i="10"/>
  <c r="Y17" i="32"/>
  <c r="K18" i="10"/>
  <c r="Y18" i="32"/>
  <c r="K19" i="10"/>
  <c r="Y19" i="32"/>
  <c r="K20" i="10"/>
  <c r="Y20" i="32"/>
  <c r="K21" i="10"/>
  <c r="Y21" i="32"/>
  <c r="K22" i="10"/>
  <c r="Y22" i="32"/>
  <c r="K23" i="10"/>
  <c r="Y23" i="32"/>
  <c r="K24" i="10"/>
  <c r="Y24" i="32"/>
  <c r="K25" i="10"/>
  <c r="Y25" i="32"/>
  <c r="K26" i="10"/>
  <c r="Y27" i="32"/>
  <c r="K28" i="10"/>
  <c r="Y28" i="32"/>
  <c r="K29" i="10"/>
  <c r="Y29" i="32"/>
  <c r="K30" i="10"/>
  <c r="Y30" i="32"/>
  <c r="K31" i="10"/>
  <c r="Y31" i="32"/>
  <c r="K32" i="10"/>
  <c r="Y32" i="32"/>
  <c r="K33" i="10"/>
  <c r="Y33" i="32"/>
  <c r="K34" i="10"/>
  <c r="Y34" i="32"/>
  <c r="K35" i="10"/>
  <c r="Y35" i="32"/>
  <c r="K36" i="10"/>
  <c r="Y36" i="32"/>
  <c r="K37" i="10"/>
  <c r="Y37" i="32"/>
  <c r="K38" i="10"/>
  <c r="Y38" i="32"/>
  <c r="K39" i="10"/>
  <c r="Y39" i="32"/>
  <c r="K40" i="10"/>
  <c r="Y40" i="32"/>
  <c r="K41" i="10"/>
  <c r="Y41" i="32"/>
  <c r="K42" i="10"/>
  <c r="Y42" i="32"/>
  <c r="K43" i="10"/>
  <c r="Y43" i="32"/>
  <c r="K44" i="10"/>
  <c r="Y44" i="32"/>
  <c r="K45" i="10"/>
  <c r="Y45" i="32"/>
  <c r="K46" i="10"/>
  <c r="Y46" i="32"/>
  <c r="K47" i="10"/>
  <c r="Y47" i="32"/>
  <c r="K48" i="10"/>
  <c r="Y48" i="32"/>
  <c r="K49" i="10"/>
  <c r="Y49" i="32"/>
  <c r="K50" i="10"/>
  <c r="Y50" i="32"/>
  <c r="K51" i="10"/>
  <c r="Y51" i="32"/>
  <c r="K52" i="10"/>
  <c r="Y52" i="32"/>
  <c r="K53" i="10"/>
  <c r="Y53" i="32"/>
  <c r="K54" i="10"/>
  <c r="Y54" i="32"/>
  <c r="K55" i="10"/>
  <c r="Y55" i="32"/>
  <c r="K56" i="10"/>
  <c r="Y56" i="32"/>
  <c r="K57" i="10"/>
  <c r="Y57" i="32"/>
  <c r="K58" i="10"/>
  <c r="Y58" i="32"/>
  <c r="K59" i="10"/>
  <c r="Y59" i="32"/>
  <c r="K60" i="10"/>
  <c r="Y60" i="32"/>
  <c r="K61" i="10"/>
  <c r="Y61" i="32"/>
  <c r="K62" i="10"/>
  <c r="Y62" i="32"/>
  <c r="K63" i="10"/>
  <c r="Y63" i="32"/>
  <c r="K64" i="10"/>
  <c r="Y64" i="32"/>
  <c r="K65" i="10"/>
  <c r="Y65" i="32"/>
  <c r="K66" i="10"/>
  <c r="Y66" i="32"/>
  <c r="K67" i="10"/>
  <c r="Y67" i="32"/>
  <c r="K68" i="10"/>
  <c r="Y68" i="32"/>
  <c r="K69" i="10"/>
  <c r="Y2" i="32"/>
  <c r="K3" i="10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832" i="11"/>
  <c r="M3" i="31"/>
  <c r="M4" i="31"/>
  <c r="M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" i="31"/>
  <c r="K4" i="28"/>
  <c r="K5" i="28"/>
  <c r="K6" i="28"/>
  <c r="K7" i="28"/>
  <c r="K8" i="28"/>
  <c r="K9" i="28"/>
  <c r="K11" i="28"/>
  <c r="K12" i="28"/>
  <c r="K14" i="28"/>
  <c r="K17" i="28"/>
  <c r="K18" i="28"/>
  <c r="K20" i="28"/>
  <c r="K22" i="28"/>
  <c r="K24" i="28"/>
  <c r="K25" i="28"/>
  <c r="K27" i="28"/>
  <c r="K28" i="28"/>
  <c r="K31" i="28"/>
  <c r="K32" i="28"/>
  <c r="K33" i="28"/>
  <c r="K34" i="28"/>
  <c r="K37" i="28"/>
  <c r="K40" i="28"/>
  <c r="K41" i="28"/>
  <c r="K42" i="28"/>
  <c r="K45" i="28"/>
  <c r="K46" i="28"/>
  <c r="K47" i="28"/>
  <c r="K48" i="28"/>
  <c r="K52" i="28"/>
  <c r="K54" i="28"/>
  <c r="K55" i="28"/>
  <c r="K56" i="28"/>
  <c r="K59" i="28"/>
  <c r="K60" i="28"/>
  <c r="K61" i="28"/>
  <c r="K63" i="28"/>
  <c r="K64" i="28"/>
  <c r="K65" i="28"/>
  <c r="K67" i="28"/>
  <c r="K68" i="28"/>
  <c r="K70" i="28"/>
  <c r="K75" i="28"/>
  <c r="K2" i="28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3" i="10"/>
  <c r="Y75" i="28"/>
  <c r="Y73" i="28"/>
  <c r="Y69" i="28"/>
  <c r="Y62" i="28"/>
  <c r="Y57" i="28"/>
  <c r="Y2" i="28"/>
  <c r="Y3" i="28"/>
  <c r="Y4" i="28"/>
  <c r="Y5" i="28"/>
  <c r="Y6" i="28"/>
  <c r="Y7" i="28"/>
  <c r="Y8" i="28"/>
  <c r="Y9" i="28"/>
  <c r="Y10" i="28"/>
  <c r="Y11" i="28"/>
  <c r="Y12" i="28"/>
  <c r="Y13" i="28"/>
  <c r="Y14" i="28"/>
  <c r="Y15" i="28"/>
  <c r="Y16" i="28"/>
  <c r="Y17" i="28"/>
  <c r="Y18" i="28"/>
  <c r="Y19" i="28"/>
  <c r="Y20" i="28"/>
  <c r="Y21" i="28"/>
  <c r="Y22" i="28"/>
  <c r="Y23" i="28"/>
  <c r="Y24" i="28"/>
  <c r="Y25" i="28"/>
  <c r="Y26" i="28"/>
  <c r="Y27" i="28"/>
  <c r="Y28" i="28"/>
  <c r="Y29" i="28"/>
  <c r="Y30" i="28"/>
  <c r="Y31" i="28"/>
  <c r="Y32" i="28"/>
  <c r="Y33" i="28"/>
  <c r="Y34" i="28"/>
  <c r="Y35" i="28"/>
  <c r="Y36" i="28"/>
  <c r="Y37" i="28"/>
  <c r="Y38" i="28"/>
  <c r="Y39" i="28"/>
  <c r="Y40" i="28"/>
  <c r="Y41" i="28"/>
  <c r="Y42" i="28"/>
  <c r="Y43" i="28"/>
  <c r="Y44" i="28"/>
  <c r="Y45" i="28"/>
  <c r="Y46" i="28"/>
  <c r="Y47" i="28"/>
  <c r="Y48" i="28"/>
  <c r="Y49" i="28"/>
  <c r="Y50" i="28"/>
  <c r="Y51" i="28"/>
  <c r="Y52" i="28"/>
  <c r="Y53" i="28"/>
  <c r="Y54" i="28"/>
  <c r="Y55" i="28"/>
  <c r="Y56" i="28"/>
  <c r="Y58" i="28"/>
  <c r="Y59" i="28"/>
  <c r="Y60" i="28"/>
  <c r="Y61" i="28"/>
  <c r="Y63" i="28"/>
  <c r="Y64" i="28"/>
  <c r="Y65" i="28"/>
  <c r="Y66" i="28"/>
  <c r="Y67" i="28"/>
  <c r="Y68" i="28"/>
  <c r="Y70" i="28"/>
  <c r="Y71" i="28"/>
  <c r="Y72" i="28"/>
  <c r="Y74" i="28"/>
  <c r="Y76" i="28"/>
  <c r="K659" i="10"/>
  <c r="K664" i="10"/>
  <c r="K666" i="10"/>
  <c r="K668" i="10"/>
  <c r="K669" i="10"/>
  <c r="K671" i="10"/>
  <c r="K672" i="10"/>
  <c r="K673" i="10"/>
  <c r="K675" i="10"/>
  <c r="K678" i="10"/>
  <c r="K679" i="10"/>
  <c r="K680" i="10"/>
  <c r="K682" i="10"/>
  <c r="K683" i="10"/>
  <c r="K685" i="10"/>
  <c r="K687" i="10"/>
  <c r="K688" i="10"/>
  <c r="K689" i="10"/>
  <c r="K690" i="10"/>
  <c r="K691" i="10"/>
  <c r="K693" i="10"/>
  <c r="K694" i="10"/>
  <c r="K695" i="10"/>
  <c r="K696" i="10"/>
  <c r="K697" i="10"/>
  <c r="K700" i="10"/>
  <c r="K701" i="10"/>
  <c r="K702" i="10"/>
  <c r="K703" i="10"/>
  <c r="K658" i="10"/>
  <c r="D659" i="10"/>
  <c r="D661" i="10"/>
  <c r="G6" i="39"/>
  <c r="D662" i="10"/>
  <c r="D663" i="10"/>
  <c r="G8" i="39"/>
  <c r="D664" i="10"/>
  <c r="G9" i="39"/>
  <c r="D665" i="10"/>
  <c r="D667" i="10"/>
  <c r="G12" i="39"/>
  <c r="D668" i="10"/>
  <c r="D669" i="10"/>
  <c r="G14" i="39"/>
  <c r="D670" i="10"/>
  <c r="G15" i="39"/>
  <c r="D671" i="10"/>
  <c r="G16" i="39"/>
  <c r="D672" i="10"/>
  <c r="D673" i="10"/>
  <c r="G19" i="39"/>
  <c r="D675" i="10"/>
  <c r="G20" i="39"/>
  <c r="D676" i="10"/>
  <c r="G21" i="39"/>
  <c r="D677" i="10"/>
  <c r="D678" i="10"/>
  <c r="G23" i="39"/>
  <c r="D679" i="10"/>
  <c r="D680" i="10"/>
  <c r="D681" i="10"/>
  <c r="G26" i="39"/>
  <c r="D682" i="10"/>
  <c r="D683" i="10"/>
  <c r="G29" i="39"/>
  <c r="D685" i="10"/>
  <c r="D686" i="10"/>
  <c r="D687" i="10"/>
  <c r="D688" i="10"/>
  <c r="D689" i="10"/>
  <c r="D690" i="10"/>
  <c r="G35" i="39"/>
  <c r="D691" i="10"/>
  <c r="D693" i="10"/>
  <c r="D694" i="10"/>
  <c r="D695" i="10"/>
  <c r="D696" i="10"/>
  <c r="D697" i="10"/>
  <c r="G42" i="39"/>
  <c r="D698" i="10"/>
  <c r="D699" i="10"/>
  <c r="D700" i="10"/>
  <c r="D701" i="10"/>
  <c r="D702" i="10"/>
  <c r="D703" i="10"/>
  <c r="D658" i="10"/>
  <c r="F45" i="39"/>
  <c r="F44" i="39"/>
  <c r="F43" i="39"/>
  <c r="F39" i="39"/>
  <c r="F37" i="39"/>
  <c r="F31" i="39"/>
  <c r="F30" i="39"/>
  <c r="F29" i="39"/>
  <c r="F25" i="39"/>
  <c r="F24" i="39"/>
  <c r="F22" i="39"/>
  <c r="F18" i="39"/>
  <c r="F17" i="39"/>
  <c r="F13" i="39"/>
  <c r="F11" i="39"/>
  <c r="F7" i="39"/>
  <c r="F5" i="39"/>
  <c r="F3" i="39"/>
  <c r="F2" i="39"/>
  <c r="Q107" i="35"/>
  <c r="Q103" i="35"/>
  <c r="H387" i="10"/>
  <c r="F90" i="35"/>
  <c r="Q90" i="35"/>
  <c r="H374" i="10"/>
  <c r="Q84" i="35"/>
  <c r="Q77" i="35"/>
  <c r="Q66" i="35"/>
  <c r="Q49" i="35"/>
  <c r="Q34" i="35"/>
  <c r="H318" i="10"/>
  <c r="Q32" i="35"/>
  <c r="H316" i="10"/>
  <c r="Q21" i="35"/>
  <c r="Q11" i="35"/>
  <c r="Q29" i="35"/>
  <c r="F3" i="35"/>
  <c r="Q3" i="35"/>
  <c r="H287" i="10"/>
  <c r="F5" i="35"/>
  <c r="Q5" i="35"/>
  <c r="H289" i="10"/>
  <c r="F6" i="35"/>
  <c r="Q6" i="35"/>
  <c r="H290" i="10"/>
  <c r="F7" i="35"/>
  <c r="Q7" i="35"/>
  <c r="H291" i="10"/>
  <c r="F8" i="35"/>
  <c r="Q8" i="35"/>
  <c r="H292" i="10"/>
  <c r="F9" i="35"/>
  <c r="Q9" i="35"/>
  <c r="H293" i="10"/>
  <c r="F10" i="35"/>
  <c r="Q10" i="35"/>
  <c r="H294" i="10"/>
  <c r="F12" i="35"/>
  <c r="Q12" i="35"/>
  <c r="H296" i="10"/>
  <c r="F13" i="35"/>
  <c r="Q13" i="35"/>
  <c r="H297" i="10"/>
  <c r="F14" i="35"/>
  <c r="Q14" i="35"/>
  <c r="H298" i="10"/>
  <c r="F15" i="35"/>
  <c r="Q15" i="35"/>
  <c r="H299" i="10"/>
  <c r="H300" i="10"/>
  <c r="F17" i="35"/>
  <c r="Q17" i="35"/>
  <c r="H301" i="10"/>
  <c r="F18" i="35"/>
  <c r="Q18" i="35"/>
  <c r="H302" i="10"/>
  <c r="F19" i="35"/>
  <c r="Q19" i="35"/>
  <c r="H303" i="10"/>
  <c r="H304" i="10"/>
  <c r="H305" i="10"/>
  <c r="F22" i="35"/>
  <c r="Q22" i="35"/>
  <c r="H306" i="10"/>
  <c r="F23" i="35"/>
  <c r="Q23" i="35"/>
  <c r="H307" i="10"/>
  <c r="F25" i="35"/>
  <c r="Q25" i="35"/>
  <c r="H309" i="10"/>
  <c r="F26" i="35"/>
  <c r="Q26" i="35"/>
  <c r="H310" i="10"/>
  <c r="F28" i="35"/>
  <c r="Q28" i="35"/>
  <c r="H312" i="10"/>
  <c r="F31" i="35"/>
  <c r="Q31" i="35"/>
  <c r="H315" i="10"/>
  <c r="H317" i="10"/>
  <c r="H319" i="10"/>
  <c r="F36" i="35"/>
  <c r="Q36" i="35"/>
  <c r="H320" i="10"/>
  <c r="F37" i="35"/>
  <c r="Q37" i="35"/>
  <c r="H321" i="10"/>
  <c r="F38" i="35"/>
  <c r="Q38" i="35"/>
  <c r="H322" i="10"/>
  <c r="F40" i="35"/>
  <c r="Q40" i="35"/>
  <c r="H324" i="10"/>
  <c r="F41" i="35"/>
  <c r="Q41" i="35"/>
  <c r="H325" i="10"/>
  <c r="F42" i="35"/>
  <c r="Q42" i="35"/>
  <c r="H326" i="10"/>
  <c r="F44" i="35"/>
  <c r="Q44" i="35"/>
  <c r="H328" i="10"/>
  <c r="F45" i="35"/>
  <c r="Q45" i="35"/>
  <c r="H329" i="10"/>
  <c r="F46" i="35"/>
  <c r="Q46" i="35"/>
  <c r="H330" i="10"/>
  <c r="F47" i="35"/>
  <c r="Q47" i="35"/>
  <c r="H331" i="10"/>
  <c r="F48" i="35"/>
  <c r="Q48" i="35"/>
  <c r="H332" i="10"/>
  <c r="F50" i="35"/>
  <c r="Q50" i="35"/>
  <c r="H334" i="10"/>
  <c r="F51" i="35"/>
  <c r="Q51" i="35"/>
  <c r="H335" i="10"/>
  <c r="F52" i="35"/>
  <c r="Q52" i="35"/>
  <c r="H336" i="10"/>
  <c r="F53" i="35"/>
  <c r="Q53" i="35"/>
  <c r="H337" i="10"/>
  <c r="F54" i="35"/>
  <c r="Q54" i="35"/>
  <c r="H338" i="10"/>
  <c r="F55" i="35"/>
  <c r="Q55" i="35"/>
  <c r="H339" i="10"/>
  <c r="H340" i="10"/>
  <c r="F57" i="35"/>
  <c r="Q57" i="35"/>
  <c r="H341" i="10"/>
  <c r="F58" i="35"/>
  <c r="Q58" i="35"/>
  <c r="H342" i="10"/>
  <c r="H343" i="10"/>
  <c r="F60" i="35"/>
  <c r="Q60" i="35"/>
  <c r="H344" i="10"/>
  <c r="F61" i="35"/>
  <c r="Q61" i="35"/>
  <c r="H345" i="10"/>
  <c r="F62" i="35"/>
  <c r="Q62" i="35"/>
  <c r="H346" i="10"/>
  <c r="F63" i="35"/>
  <c r="Q63" i="35"/>
  <c r="H347" i="10"/>
  <c r="F64" i="35"/>
  <c r="Q64" i="35"/>
  <c r="H348" i="10"/>
  <c r="H352" i="10"/>
  <c r="F69" i="35"/>
  <c r="Q69" i="35"/>
  <c r="H353" i="10"/>
  <c r="F70" i="35"/>
  <c r="Q70" i="35"/>
  <c r="H354" i="10"/>
  <c r="F71" i="35"/>
  <c r="Q71" i="35"/>
  <c r="H355" i="10"/>
  <c r="F72" i="35"/>
  <c r="Q72" i="35"/>
  <c r="H356" i="10"/>
  <c r="F73" i="35"/>
  <c r="Q73" i="35"/>
  <c r="H357" i="10"/>
  <c r="F74" i="35"/>
  <c r="Q74" i="35"/>
  <c r="H358" i="10"/>
  <c r="H362" i="10"/>
  <c r="F79" i="35"/>
  <c r="Q79" i="35"/>
  <c r="H363" i="10"/>
  <c r="F80" i="35"/>
  <c r="Q80" i="35"/>
  <c r="H364" i="10"/>
  <c r="F82" i="35"/>
  <c r="Q82" i="35"/>
  <c r="H366" i="10"/>
  <c r="F83" i="35"/>
  <c r="Q83" i="35"/>
  <c r="H367" i="10"/>
  <c r="F85" i="35"/>
  <c r="Q85" i="35"/>
  <c r="H369" i="10"/>
  <c r="F86" i="35"/>
  <c r="Q86" i="35"/>
  <c r="H370" i="10"/>
  <c r="F87" i="35"/>
  <c r="Q87" i="35"/>
  <c r="H371" i="10"/>
  <c r="H373" i="10"/>
  <c r="F92" i="35"/>
  <c r="Q92" i="35"/>
  <c r="H376" i="10"/>
  <c r="F93" i="35"/>
  <c r="Q93" i="35"/>
  <c r="H377" i="10"/>
  <c r="F96" i="35"/>
  <c r="Q96" i="35"/>
  <c r="H380" i="10"/>
  <c r="H381" i="10"/>
  <c r="F98" i="35"/>
  <c r="Q98" i="35"/>
  <c r="H382" i="10"/>
  <c r="F99" i="35"/>
  <c r="Q99" i="35"/>
  <c r="H383" i="10"/>
  <c r="F101" i="35"/>
  <c r="Q101" i="35"/>
  <c r="H385" i="10"/>
  <c r="F102" i="35"/>
  <c r="Q102" i="35"/>
  <c r="H386" i="10"/>
  <c r="F104" i="35"/>
  <c r="Q104" i="35"/>
  <c r="H388" i="10"/>
  <c r="F105" i="35"/>
  <c r="Q105" i="35"/>
  <c r="H389" i="10"/>
  <c r="F106" i="35"/>
  <c r="Q106" i="35"/>
  <c r="H390" i="10"/>
  <c r="F108" i="35"/>
  <c r="Q108" i="35"/>
  <c r="H392" i="10"/>
  <c r="F109" i="35"/>
  <c r="Q109" i="35"/>
  <c r="H393" i="10"/>
  <c r="F110" i="35"/>
  <c r="Q110" i="35"/>
  <c r="H394" i="10"/>
  <c r="F111" i="35"/>
  <c r="Q111" i="35"/>
  <c r="H395" i="10"/>
  <c r="F112" i="35"/>
  <c r="Q112" i="35"/>
  <c r="H396" i="10"/>
  <c r="F113" i="35"/>
  <c r="Q113" i="35"/>
  <c r="H397" i="10"/>
  <c r="F115" i="35"/>
  <c r="Q115" i="35"/>
  <c r="H399" i="10"/>
  <c r="F116" i="35"/>
  <c r="Q116" i="35"/>
  <c r="H400" i="10"/>
  <c r="F117" i="35"/>
  <c r="Q117" i="35"/>
  <c r="H401" i="10"/>
  <c r="F118" i="35"/>
  <c r="Q118" i="35"/>
  <c r="H402" i="10"/>
  <c r="F119" i="35"/>
  <c r="Q119" i="35"/>
  <c r="H403" i="10"/>
  <c r="F120" i="35"/>
  <c r="Q120" i="35"/>
  <c r="H404" i="10"/>
  <c r="F121" i="35"/>
  <c r="Q121" i="35"/>
  <c r="H405" i="10"/>
  <c r="F2" i="35"/>
  <c r="Q2" i="35"/>
  <c r="H286" i="10"/>
  <c r="F4" i="35"/>
  <c r="F11" i="35"/>
  <c r="F16" i="35"/>
  <c r="F20" i="35"/>
  <c r="F21" i="35"/>
  <c r="F24" i="35"/>
  <c r="F27" i="35"/>
  <c r="F29" i="35"/>
  <c r="F30" i="35"/>
  <c r="F32" i="35"/>
  <c r="F33" i="35"/>
  <c r="F34" i="35"/>
  <c r="F35" i="35"/>
  <c r="F39" i="35"/>
  <c r="F43" i="35"/>
  <c r="F49" i="35"/>
  <c r="F56" i="35"/>
  <c r="F59" i="35"/>
  <c r="F65" i="35"/>
  <c r="F66" i="35"/>
  <c r="F67" i="35"/>
  <c r="F68" i="35"/>
  <c r="F75" i="35"/>
  <c r="F76" i="35"/>
  <c r="F77" i="35"/>
  <c r="F78" i="35"/>
  <c r="F81" i="35"/>
  <c r="F84" i="35"/>
  <c r="F88" i="35"/>
  <c r="F89" i="35"/>
  <c r="F91" i="35"/>
  <c r="F94" i="35"/>
  <c r="F95" i="35"/>
  <c r="F97" i="35"/>
  <c r="F100" i="35"/>
  <c r="F103" i="35"/>
  <c r="F107" i="35"/>
  <c r="F114" i="35"/>
  <c r="I3" i="40"/>
  <c r="I4" i="40"/>
  <c r="P4" i="40"/>
  <c r="H1047" i="10"/>
  <c r="I5" i="40"/>
  <c r="P5" i="40"/>
  <c r="H1048" i="10"/>
  <c r="I6" i="40"/>
  <c r="P6" i="40"/>
  <c r="H1049" i="10"/>
  <c r="I7" i="40"/>
  <c r="I8" i="40"/>
  <c r="P8" i="40"/>
  <c r="H1051" i="10"/>
  <c r="I9" i="40"/>
  <c r="P9" i="40"/>
  <c r="H1052" i="10"/>
  <c r="I10" i="40"/>
  <c r="P10" i="40"/>
  <c r="H1053" i="10"/>
  <c r="I11" i="40"/>
  <c r="I12" i="40"/>
  <c r="P12" i="40"/>
  <c r="H1055" i="10"/>
  <c r="I13" i="40"/>
  <c r="P13" i="40"/>
  <c r="H1056" i="10"/>
  <c r="I14" i="40"/>
  <c r="P14" i="40"/>
  <c r="H1057" i="10"/>
  <c r="I15" i="40"/>
  <c r="I16" i="40"/>
  <c r="P16" i="40"/>
  <c r="H1059" i="10"/>
  <c r="I17" i="40"/>
  <c r="P17" i="40"/>
  <c r="H1060" i="10"/>
  <c r="I18" i="40"/>
  <c r="P18" i="40"/>
  <c r="H1061" i="10"/>
  <c r="I19" i="40"/>
  <c r="I20" i="40"/>
  <c r="P20" i="40"/>
  <c r="H1063" i="10"/>
  <c r="I21" i="40"/>
  <c r="P21" i="40"/>
  <c r="H1064" i="10"/>
  <c r="I22" i="40"/>
  <c r="P22" i="40"/>
  <c r="H1065" i="10"/>
  <c r="I23" i="40"/>
  <c r="I24" i="40"/>
  <c r="P24" i="40"/>
  <c r="H1067" i="10"/>
  <c r="I25" i="40"/>
  <c r="P25" i="40"/>
  <c r="H1068" i="10"/>
  <c r="I26" i="40"/>
  <c r="P26" i="40"/>
  <c r="H1069" i="10"/>
  <c r="I27" i="40"/>
  <c r="I28" i="40"/>
  <c r="P28" i="40"/>
  <c r="H1071" i="10"/>
  <c r="I29" i="40"/>
  <c r="P29" i="40"/>
  <c r="H1072" i="10"/>
  <c r="I30" i="40"/>
  <c r="P30" i="40"/>
  <c r="H1073" i="10"/>
  <c r="I31" i="40"/>
  <c r="I32" i="40"/>
  <c r="P32" i="40"/>
  <c r="H1075" i="10"/>
  <c r="I33" i="40"/>
  <c r="P33" i="40"/>
  <c r="H1076" i="10"/>
  <c r="I34" i="40"/>
  <c r="P34" i="40"/>
  <c r="H1077" i="10"/>
  <c r="I35" i="40"/>
  <c r="I36" i="40"/>
  <c r="P36" i="40"/>
  <c r="H1079" i="10"/>
  <c r="I37" i="40"/>
  <c r="P37" i="40"/>
  <c r="H1080" i="10"/>
  <c r="I38" i="40"/>
  <c r="P38" i="40"/>
  <c r="H1081" i="10"/>
  <c r="I39" i="40"/>
  <c r="I40" i="40"/>
  <c r="P40" i="40"/>
  <c r="H1083" i="10"/>
  <c r="I41" i="40"/>
  <c r="P41" i="40"/>
  <c r="H1084" i="10"/>
  <c r="I42" i="40"/>
  <c r="P42" i="40"/>
  <c r="H1085" i="10"/>
  <c r="I43" i="40"/>
  <c r="I44" i="40"/>
  <c r="P44" i="40"/>
  <c r="H1087" i="10"/>
  <c r="I45" i="40"/>
  <c r="P45" i="40"/>
  <c r="H1088" i="10"/>
  <c r="I46" i="40"/>
  <c r="P46" i="40"/>
  <c r="H1089" i="10"/>
  <c r="I47" i="40"/>
  <c r="I48" i="40"/>
  <c r="P48" i="40"/>
  <c r="H1091" i="10"/>
  <c r="I49" i="40"/>
  <c r="P49" i="40"/>
  <c r="H1092" i="10"/>
  <c r="I50" i="40"/>
  <c r="P50" i="40"/>
  <c r="H1093" i="10"/>
  <c r="I51" i="40"/>
  <c r="P52" i="40"/>
  <c r="H1095" i="10"/>
  <c r="P53" i="40"/>
  <c r="H1096" i="10"/>
  <c r="P54" i="40"/>
  <c r="H1097" i="10"/>
  <c r="P55" i="40"/>
  <c r="H1098" i="10"/>
  <c r="P56" i="40"/>
  <c r="H1099" i="10"/>
  <c r="P57" i="40"/>
  <c r="H1100" i="10"/>
  <c r="P58" i="40"/>
  <c r="H1101" i="10"/>
  <c r="P59" i="40"/>
  <c r="H1102" i="10"/>
  <c r="P60" i="40"/>
  <c r="H1103" i="10"/>
  <c r="P61" i="40"/>
  <c r="H1104" i="10"/>
  <c r="P62" i="40"/>
  <c r="H1105" i="10"/>
  <c r="P63" i="40"/>
  <c r="H1106" i="10"/>
  <c r="P64" i="40"/>
  <c r="H1107" i="10"/>
  <c r="P65" i="40"/>
  <c r="H1108" i="10"/>
  <c r="P66" i="40"/>
  <c r="H1109" i="10"/>
  <c r="P67" i="40"/>
  <c r="H1110" i="10"/>
  <c r="P68" i="40"/>
  <c r="H1111" i="10"/>
  <c r="P69" i="40"/>
  <c r="H1112" i="10"/>
  <c r="P70" i="40"/>
  <c r="H1113" i="10"/>
  <c r="P71" i="40"/>
  <c r="H1114" i="10"/>
  <c r="P72" i="40"/>
  <c r="H1115" i="10"/>
  <c r="P73" i="40"/>
  <c r="H1116" i="10"/>
  <c r="P74" i="40"/>
  <c r="H1117" i="10"/>
  <c r="P75" i="40"/>
  <c r="H1118" i="10"/>
  <c r="P76" i="40"/>
  <c r="H1119" i="10"/>
  <c r="P77" i="40"/>
  <c r="H1120" i="10"/>
  <c r="P78" i="40"/>
  <c r="H1121" i="10"/>
  <c r="P79" i="40"/>
  <c r="H1122" i="10"/>
  <c r="P80" i="40"/>
  <c r="H1123" i="10"/>
  <c r="P81" i="40"/>
  <c r="H1124" i="10"/>
  <c r="P82" i="40"/>
  <c r="H1125" i="10"/>
  <c r="P83" i="40"/>
  <c r="H1126" i="10"/>
  <c r="P84" i="40"/>
  <c r="H1127" i="10"/>
  <c r="P85" i="40"/>
  <c r="H1128" i="10"/>
  <c r="P86" i="40"/>
  <c r="H1129" i="10"/>
  <c r="P87" i="40"/>
  <c r="H1130" i="10"/>
  <c r="P88" i="40"/>
  <c r="H1131" i="10"/>
  <c r="P89" i="40"/>
  <c r="H1132" i="10"/>
  <c r="P90" i="40"/>
  <c r="H1133" i="10"/>
  <c r="P91" i="40"/>
  <c r="H1134" i="10"/>
  <c r="P92" i="40"/>
  <c r="H1135" i="10"/>
  <c r="P93" i="40"/>
  <c r="H1136" i="10"/>
  <c r="P94" i="40"/>
  <c r="H1137" i="10"/>
  <c r="P95" i="40"/>
  <c r="H1138" i="10"/>
  <c r="P96" i="40"/>
  <c r="H1139" i="10"/>
  <c r="P97" i="40"/>
  <c r="H1140" i="10"/>
  <c r="P98" i="40"/>
  <c r="H1141" i="10"/>
  <c r="P99" i="40"/>
  <c r="H1142" i="10"/>
  <c r="P100" i="40"/>
  <c r="H1143" i="10"/>
  <c r="P101" i="40"/>
  <c r="H1144" i="10"/>
  <c r="P102" i="40"/>
  <c r="H1145" i="10"/>
  <c r="P103" i="40"/>
  <c r="H1146" i="10"/>
  <c r="P104" i="40"/>
  <c r="H1147" i="10"/>
  <c r="P105" i="40"/>
  <c r="H1148" i="10"/>
  <c r="P106" i="40"/>
  <c r="H1149" i="10"/>
  <c r="P107" i="40"/>
  <c r="H1150" i="10"/>
  <c r="P108" i="40"/>
  <c r="H1151" i="10"/>
  <c r="P109" i="40"/>
  <c r="H1152" i="10"/>
  <c r="P110" i="40"/>
  <c r="H1153" i="10"/>
  <c r="P111" i="40"/>
  <c r="H1154" i="10"/>
  <c r="P112" i="40"/>
  <c r="H1155" i="10"/>
  <c r="P113" i="40"/>
  <c r="H1156" i="10"/>
  <c r="P114" i="40"/>
  <c r="H1157" i="10"/>
  <c r="P115" i="40"/>
  <c r="H1158" i="10"/>
  <c r="P116" i="40"/>
  <c r="H1159" i="10"/>
  <c r="P117" i="40"/>
  <c r="H1160" i="10"/>
  <c r="P118" i="40"/>
  <c r="H1161" i="10"/>
  <c r="P119" i="40"/>
  <c r="H1162" i="10"/>
  <c r="I2" i="40"/>
  <c r="P2" i="40"/>
  <c r="H1045" i="10"/>
  <c r="E1047" i="10"/>
  <c r="E1048" i="10"/>
  <c r="E1049" i="10"/>
  <c r="E1051" i="10"/>
  <c r="E1052" i="10"/>
  <c r="E1053" i="10"/>
  <c r="E1055" i="10"/>
  <c r="E1056" i="10"/>
  <c r="E1057" i="10"/>
  <c r="E1059" i="10"/>
  <c r="E1060" i="10"/>
  <c r="E1061" i="10"/>
  <c r="E1063" i="10"/>
  <c r="E1064" i="10"/>
  <c r="E1065" i="10"/>
  <c r="E1067" i="10"/>
  <c r="E1068" i="10"/>
  <c r="E1069" i="10"/>
  <c r="E1071" i="10"/>
  <c r="E1072" i="10"/>
  <c r="E1073" i="10"/>
  <c r="E1075" i="10"/>
  <c r="E1076" i="10"/>
  <c r="E1077" i="10"/>
  <c r="E1079" i="10"/>
  <c r="E1080" i="10"/>
  <c r="E1081" i="10"/>
  <c r="E1083" i="10"/>
  <c r="E1084" i="10"/>
  <c r="E1085" i="10"/>
  <c r="E1087" i="10"/>
  <c r="E1088" i="10"/>
  <c r="E1089" i="10"/>
  <c r="E1091" i="10"/>
  <c r="E1092" i="10"/>
  <c r="E1093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045" i="10"/>
  <c r="C122" i="40"/>
  <c r="B122" i="40"/>
  <c r="C121" i="40"/>
  <c r="B121" i="40"/>
  <c r="K120" i="40"/>
  <c r="D120" i="40"/>
  <c r="C120" i="40"/>
  <c r="B120" i="40"/>
  <c r="C119" i="40"/>
  <c r="B119" i="40"/>
  <c r="C118" i="40"/>
  <c r="B118" i="40"/>
  <c r="C117" i="40"/>
  <c r="B117" i="40"/>
  <c r="C116" i="40"/>
  <c r="B116" i="40"/>
  <c r="C115" i="40"/>
  <c r="B115" i="40"/>
  <c r="C114" i="40"/>
  <c r="B114" i="40"/>
  <c r="C113" i="40"/>
  <c r="B113" i="40"/>
  <c r="C112" i="40"/>
  <c r="B112" i="40"/>
  <c r="C111" i="40"/>
  <c r="B111" i="40"/>
  <c r="C110" i="40"/>
  <c r="B110" i="40"/>
  <c r="C109" i="40"/>
  <c r="B109" i="40"/>
  <c r="C108" i="40"/>
  <c r="B108" i="40"/>
  <c r="C107" i="40"/>
  <c r="B107" i="40"/>
  <c r="C106" i="40"/>
  <c r="B106" i="40"/>
  <c r="C105" i="40"/>
  <c r="B105" i="40"/>
  <c r="C104" i="40"/>
  <c r="B104" i="40"/>
  <c r="C103" i="40"/>
  <c r="B103" i="40"/>
  <c r="C102" i="40"/>
  <c r="B102" i="40"/>
  <c r="C101" i="40"/>
  <c r="B101" i="40"/>
  <c r="C100" i="40"/>
  <c r="B100" i="40"/>
  <c r="C99" i="40"/>
  <c r="B99" i="40"/>
  <c r="C98" i="40"/>
  <c r="B98" i="40"/>
  <c r="C97" i="40"/>
  <c r="B97" i="40"/>
  <c r="C96" i="40"/>
  <c r="B96" i="40"/>
  <c r="C95" i="40"/>
  <c r="B95" i="40"/>
  <c r="C94" i="40"/>
  <c r="B94" i="40"/>
  <c r="C93" i="40"/>
  <c r="B93" i="40"/>
  <c r="C92" i="40"/>
  <c r="B92" i="40"/>
  <c r="C91" i="40"/>
  <c r="B91" i="40"/>
  <c r="C90" i="40"/>
  <c r="B90" i="40"/>
  <c r="C89" i="40"/>
  <c r="B89" i="40"/>
  <c r="C88" i="40"/>
  <c r="B88" i="40"/>
  <c r="C87" i="40"/>
  <c r="B87" i="40"/>
  <c r="C86" i="40"/>
  <c r="B86" i="40"/>
  <c r="C85" i="40"/>
  <c r="B85" i="40"/>
  <c r="C84" i="40"/>
  <c r="B84" i="40"/>
  <c r="C83" i="40"/>
  <c r="B83" i="40"/>
  <c r="C82" i="40"/>
  <c r="B82" i="40"/>
  <c r="C81" i="40"/>
  <c r="B81" i="40"/>
  <c r="C80" i="40"/>
  <c r="B80" i="40"/>
  <c r="C79" i="40"/>
  <c r="B79" i="40"/>
  <c r="C78" i="40"/>
  <c r="B78" i="40"/>
  <c r="C77" i="40"/>
  <c r="B77" i="40"/>
  <c r="C76" i="40"/>
  <c r="B76" i="40"/>
  <c r="C75" i="40"/>
  <c r="B75" i="40"/>
  <c r="C74" i="40"/>
  <c r="B74" i="40"/>
  <c r="C73" i="40"/>
  <c r="B73" i="40"/>
  <c r="C72" i="40"/>
  <c r="B72" i="40"/>
  <c r="C71" i="40"/>
  <c r="B71" i="40"/>
  <c r="C70" i="40"/>
  <c r="B70" i="40"/>
  <c r="C69" i="40"/>
  <c r="B69" i="40"/>
  <c r="C68" i="40"/>
  <c r="B68" i="40"/>
  <c r="C67" i="40"/>
  <c r="B67" i="40"/>
  <c r="C66" i="40"/>
  <c r="B66" i="40"/>
  <c r="C65" i="40"/>
  <c r="B65" i="40"/>
  <c r="C64" i="40"/>
  <c r="B64" i="40"/>
  <c r="C63" i="40"/>
  <c r="B63" i="40"/>
  <c r="C62" i="40"/>
  <c r="B62" i="40"/>
  <c r="C61" i="40"/>
  <c r="B61" i="40"/>
  <c r="C60" i="40"/>
  <c r="B60" i="40"/>
  <c r="C59" i="40"/>
  <c r="B59" i="40"/>
  <c r="C58" i="40"/>
  <c r="B58" i="40"/>
  <c r="C57" i="40"/>
  <c r="B57" i="40"/>
  <c r="C56" i="40"/>
  <c r="B56" i="40"/>
  <c r="C55" i="40"/>
  <c r="B55" i="40"/>
  <c r="C54" i="40"/>
  <c r="B54" i="40"/>
  <c r="C53" i="40"/>
  <c r="B53" i="40"/>
  <c r="C52" i="40"/>
  <c r="B52" i="40"/>
  <c r="C51" i="40"/>
  <c r="B51" i="40"/>
  <c r="C50" i="40"/>
  <c r="B50" i="40"/>
  <c r="C49" i="40"/>
  <c r="B49" i="40"/>
  <c r="C48" i="40"/>
  <c r="B48" i="40"/>
  <c r="C47" i="40"/>
  <c r="B47" i="40"/>
  <c r="C46" i="40"/>
  <c r="B46" i="40"/>
  <c r="C45" i="40"/>
  <c r="B45" i="40"/>
  <c r="C44" i="40"/>
  <c r="B44" i="40"/>
  <c r="C43" i="40"/>
  <c r="B43" i="40"/>
  <c r="C42" i="40"/>
  <c r="B42" i="40"/>
  <c r="C41" i="40"/>
  <c r="B41" i="40"/>
  <c r="C40" i="40"/>
  <c r="B40" i="40"/>
  <c r="C39" i="40"/>
  <c r="B39" i="40"/>
  <c r="C38" i="40"/>
  <c r="B38" i="40"/>
  <c r="C37" i="40"/>
  <c r="B37" i="40"/>
  <c r="C36" i="40"/>
  <c r="B36" i="40"/>
  <c r="C35" i="40"/>
  <c r="B35" i="40"/>
  <c r="C34" i="40"/>
  <c r="B34" i="40"/>
  <c r="C33" i="40"/>
  <c r="B33" i="40"/>
  <c r="C32" i="40"/>
  <c r="B32" i="40"/>
  <c r="C31" i="40"/>
  <c r="B31" i="40"/>
  <c r="C30" i="40"/>
  <c r="B30" i="40"/>
  <c r="C29" i="40"/>
  <c r="B29" i="40"/>
  <c r="C28" i="40"/>
  <c r="B28" i="40"/>
  <c r="C27" i="40"/>
  <c r="B27" i="40"/>
  <c r="C26" i="40"/>
  <c r="B26" i="40"/>
  <c r="C25" i="40"/>
  <c r="B25" i="40"/>
  <c r="C24" i="40"/>
  <c r="B24" i="40"/>
  <c r="C23" i="40"/>
  <c r="B23" i="40"/>
  <c r="C22" i="40"/>
  <c r="B22" i="40"/>
  <c r="C21" i="40"/>
  <c r="B21" i="40"/>
  <c r="C20" i="40"/>
  <c r="B20" i="40"/>
  <c r="C19" i="40"/>
  <c r="B19" i="40"/>
  <c r="C18" i="40"/>
  <c r="B18" i="40"/>
  <c r="C17" i="40"/>
  <c r="B17" i="40"/>
  <c r="C16" i="40"/>
  <c r="B16" i="40"/>
  <c r="C15" i="40"/>
  <c r="B15" i="40"/>
  <c r="C14" i="40"/>
  <c r="B14" i="40"/>
  <c r="C13" i="40"/>
  <c r="B13" i="40"/>
  <c r="C12" i="40"/>
  <c r="B12" i="40"/>
  <c r="C11" i="40"/>
  <c r="B11" i="40"/>
  <c r="C10" i="40"/>
  <c r="B10" i="40"/>
  <c r="C9" i="40"/>
  <c r="B9" i="40"/>
  <c r="C8" i="40"/>
  <c r="B8" i="40"/>
  <c r="C7" i="40"/>
  <c r="B7" i="40"/>
  <c r="C6" i="40"/>
  <c r="B6" i="40"/>
  <c r="C5" i="40"/>
  <c r="B5" i="40"/>
  <c r="C4" i="40"/>
  <c r="B4" i="40"/>
  <c r="C3" i="40"/>
  <c r="B3" i="40"/>
  <c r="C2" i="40"/>
  <c r="B2" i="40"/>
  <c r="O3" i="39"/>
  <c r="H659" i="10"/>
  <c r="O5" i="39"/>
  <c r="H661" i="10"/>
  <c r="O6" i="39"/>
  <c r="H662" i="10"/>
  <c r="O7" i="39"/>
  <c r="H663" i="10"/>
  <c r="O8" i="39"/>
  <c r="H664" i="10"/>
  <c r="O9" i="39"/>
  <c r="H665" i="10"/>
  <c r="O11" i="39"/>
  <c r="H667" i="10"/>
  <c r="O12" i="39"/>
  <c r="H668" i="10"/>
  <c r="O13" i="39"/>
  <c r="H669" i="10"/>
  <c r="O14" i="39"/>
  <c r="H670" i="10"/>
  <c r="O15" i="39"/>
  <c r="H671" i="10"/>
  <c r="O16" i="39"/>
  <c r="H672" i="10"/>
  <c r="O17" i="39"/>
  <c r="H673" i="10"/>
  <c r="O19" i="39"/>
  <c r="H675" i="10"/>
  <c r="O20" i="39"/>
  <c r="H676" i="10"/>
  <c r="O21" i="39"/>
  <c r="H677" i="10"/>
  <c r="O22" i="39"/>
  <c r="H678" i="10"/>
  <c r="O24" i="39"/>
  <c r="H680" i="10"/>
  <c r="O25" i="39"/>
  <c r="H681" i="10"/>
  <c r="O26" i="39"/>
  <c r="H682" i="10"/>
  <c r="O27" i="39"/>
  <c r="H683" i="10"/>
  <c r="O29" i="39"/>
  <c r="H685" i="10"/>
  <c r="O30" i="39"/>
  <c r="H686" i="10"/>
  <c r="O31" i="39"/>
  <c r="H687" i="10"/>
  <c r="O32" i="39"/>
  <c r="H688" i="10"/>
  <c r="O33" i="39"/>
  <c r="H689" i="10"/>
  <c r="O35" i="39"/>
  <c r="H691" i="10"/>
  <c r="O38" i="39"/>
  <c r="H694" i="10"/>
  <c r="O39" i="39"/>
  <c r="H695" i="10"/>
  <c r="O40" i="39"/>
  <c r="H696" i="10"/>
  <c r="O41" i="39"/>
  <c r="H697" i="10"/>
  <c r="O42" i="39"/>
  <c r="H698" i="10"/>
  <c r="O43" i="39"/>
  <c r="H699" i="10"/>
  <c r="O44" i="39"/>
  <c r="H700" i="10"/>
  <c r="O45" i="39"/>
  <c r="H701" i="10"/>
  <c r="O46" i="39"/>
  <c r="H702" i="10"/>
  <c r="O2" i="39"/>
  <c r="H658" i="10"/>
  <c r="C49" i="39"/>
  <c r="B49" i="39"/>
  <c r="Q48" i="39"/>
  <c r="P48" i="39"/>
  <c r="L48" i="39"/>
  <c r="C48" i="39"/>
  <c r="B48" i="39"/>
  <c r="C47" i="39"/>
  <c r="B47" i="39"/>
  <c r="C46" i="39"/>
  <c r="B46" i="39"/>
  <c r="C45" i="39"/>
  <c r="B45" i="39"/>
  <c r="C44" i="39"/>
  <c r="B44" i="39"/>
  <c r="C43" i="39"/>
  <c r="B43" i="39"/>
  <c r="C42" i="39"/>
  <c r="B42" i="39"/>
  <c r="C41" i="39"/>
  <c r="B41" i="39"/>
  <c r="C40" i="39"/>
  <c r="B40" i="39"/>
  <c r="C39" i="39"/>
  <c r="B39" i="39"/>
  <c r="C38" i="39"/>
  <c r="B38" i="39"/>
  <c r="C37" i="39"/>
  <c r="B37" i="39"/>
  <c r="C36" i="39"/>
  <c r="B36" i="39"/>
  <c r="C35" i="39"/>
  <c r="B35" i="39"/>
  <c r="C34" i="39"/>
  <c r="B34" i="39"/>
  <c r="C33" i="39"/>
  <c r="B33" i="39"/>
  <c r="C32" i="39"/>
  <c r="B32" i="39"/>
  <c r="C31" i="39"/>
  <c r="B31" i="39"/>
  <c r="C30" i="39"/>
  <c r="B30" i="39"/>
  <c r="C29" i="39"/>
  <c r="B29" i="39"/>
  <c r="C28" i="39"/>
  <c r="B28" i="39"/>
  <c r="C27" i="39"/>
  <c r="B27" i="39"/>
  <c r="C26" i="39"/>
  <c r="B26" i="39"/>
  <c r="C25" i="39"/>
  <c r="B25" i="39"/>
  <c r="C24" i="39"/>
  <c r="B24" i="39"/>
  <c r="C23" i="39"/>
  <c r="B23" i="39"/>
  <c r="C22" i="39"/>
  <c r="B22" i="39"/>
  <c r="C21" i="39"/>
  <c r="B21" i="39"/>
  <c r="C20" i="39"/>
  <c r="B20" i="39"/>
  <c r="C19" i="39"/>
  <c r="B19" i="39"/>
  <c r="C18" i="39"/>
  <c r="B18" i="39"/>
  <c r="C17" i="39"/>
  <c r="B17" i="39"/>
  <c r="C16" i="39"/>
  <c r="B16" i="39"/>
  <c r="C15" i="39"/>
  <c r="B15" i="39"/>
  <c r="C14" i="39"/>
  <c r="B14" i="39"/>
  <c r="C13" i="39"/>
  <c r="B13" i="39"/>
  <c r="C12" i="39"/>
  <c r="B12" i="39"/>
  <c r="C11" i="39"/>
  <c r="B11" i="39"/>
  <c r="C10" i="39"/>
  <c r="B10" i="39"/>
  <c r="C9" i="39"/>
  <c r="B9" i="39"/>
  <c r="C8" i="39"/>
  <c r="B8" i="39"/>
  <c r="C7" i="39"/>
  <c r="B7" i="39"/>
  <c r="C6" i="39"/>
  <c r="B6" i="39"/>
  <c r="C5" i="39"/>
  <c r="B5" i="39"/>
  <c r="C4" i="39"/>
  <c r="B4" i="39"/>
  <c r="C3" i="39"/>
  <c r="B3" i="39"/>
  <c r="C2" i="39"/>
  <c r="B2" i="39"/>
  <c r="J3" i="38"/>
  <c r="N3" i="38"/>
  <c r="H556" i="10"/>
  <c r="J4" i="38"/>
  <c r="J5" i="38"/>
  <c r="N5" i="38"/>
  <c r="H558" i="10"/>
  <c r="J6" i="38"/>
  <c r="N6" i="38"/>
  <c r="H559" i="10"/>
  <c r="J8" i="38"/>
  <c r="N8" i="38"/>
  <c r="H561" i="10"/>
  <c r="J9" i="38"/>
  <c r="J10" i="38"/>
  <c r="N10" i="38"/>
  <c r="H563" i="10"/>
  <c r="J11" i="38"/>
  <c r="N11" i="38"/>
  <c r="H564" i="10"/>
  <c r="J12" i="38"/>
  <c r="N12" i="38"/>
  <c r="H565" i="10"/>
  <c r="J13" i="38"/>
  <c r="J14" i="38"/>
  <c r="N14" i="38"/>
  <c r="H567" i="10"/>
  <c r="J15" i="38"/>
  <c r="N15" i="38"/>
  <c r="H568" i="10"/>
  <c r="J16" i="38"/>
  <c r="N16" i="38"/>
  <c r="H569" i="10"/>
  <c r="J17" i="38"/>
  <c r="J18" i="38"/>
  <c r="N18" i="38"/>
  <c r="H571" i="10"/>
  <c r="J19" i="38"/>
  <c r="N19" i="38"/>
  <c r="H572" i="10"/>
  <c r="J20" i="38"/>
  <c r="N20" i="38"/>
  <c r="H573" i="10"/>
  <c r="J21" i="38"/>
  <c r="J22" i="38"/>
  <c r="N22" i="38"/>
  <c r="H575" i="10"/>
  <c r="J23" i="38"/>
  <c r="N23" i="38"/>
  <c r="H576" i="10"/>
  <c r="J24" i="38"/>
  <c r="N24" i="38"/>
  <c r="H577" i="10"/>
  <c r="J25" i="38"/>
  <c r="J26" i="38"/>
  <c r="N26" i="38"/>
  <c r="H579" i="10"/>
  <c r="J27" i="38"/>
  <c r="N27" i="38"/>
  <c r="H580" i="10"/>
  <c r="J28" i="38"/>
  <c r="N28" i="38"/>
  <c r="H581" i="10"/>
  <c r="J29" i="38"/>
  <c r="J30" i="38"/>
  <c r="N30" i="38"/>
  <c r="H583" i="10"/>
  <c r="J31" i="38"/>
  <c r="N31" i="38"/>
  <c r="H584" i="10"/>
  <c r="J32" i="38"/>
  <c r="N32" i="38"/>
  <c r="H585" i="10"/>
  <c r="J33" i="38"/>
  <c r="J34" i="38"/>
  <c r="N34" i="38"/>
  <c r="H587" i="10"/>
  <c r="J35" i="38"/>
  <c r="N35" i="38"/>
  <c r="H588" i="10"/>
  <c r="J36" i="38"/>
  <c r="N36" i="38"/>
  <c r="H589" i="10"/>
  <c r="J37" i="38"/>
  <c r="J38" i="38"/>
  <c r="N38" i="38"/>
  <c r="H591" i="10"/>
  <c r="J39" i="38"/>
  <c r="N39" i="38"/>
  <c r="H592" i="10"/>
  <c r="J40" i="38"/>
  <c r="N40" i="38"/>
  <c r="H593" i="10"/>
  <c r="J41" i="38"/>
  <c r="J42" i="38"/>
  <c r="N42" i="38"/>
  <c r="H595" i="10"/>
  <c r="J43" i="38"/>
  <c r="N43" i="38"/>
  <c r="H596" i="10"/>
  <c r="J44" i="38"/>
  <c r="N44" i="38"/>
  <c r="H597" i="10"/>
  <c r="J45" i="38"/>
  <c r="J46" i="38"/>
  <c r="N46" i="38"/>
  <c r="H599" i="10"/>
  <c r="J47" i="38"/>
  <c r="N47" i="38"/>
  <c r="H600" i="10"/>
  <c r="J49" i="38"/>
  <c r="N49" i="38"/>
  <c r="H602" i="10"/>
  <c r="J50" i="38"/>
  <c r="J51" i="38"/>
  <c r="N51" i="38"/>
  <c r="H604" i="10"/>
  <c r="J52" i="38"/>
  <c r="N52" i="38"/>
  <c r="H605" i="10"/>
  <c r="J53" i="38"/>
  <c r="N53" i="38"/>
  <c r="H606" i="10"/>
  <c r="J55" i="38"/>
  <c r="J56" i="38"/>
  <c r="N56" i="38"/>
  <c r="H609" i="10"/>
  <c r="J57" i="38"/>
  <c r="N57" i="38"/>
  <c r="H610" i="10"/>
  <c r="J58" i="38"/>
  <c r="N58" i="38"/>
  <c r="H611" i="10"/>
  <c r="J59" i="38"/>
  <c r="J60" i="38"/>
  <c r="N60" i="38"/>
  <c r="H613" i="10"/>
  <c r="J61" i="38"/>
  <c r="N61" i="38"/>
  <c r="H614" i="10"/>
  <c r="J62" i="38"/>
  <c r="N62" i="38"/>
  <c r="H615" i="10"/>
  <c r="J63" i="38"/>
  <c r="J64" i="38"/>
  <c r="N64" i="38"/>
  <c r="H617" i="10"/>
  <c r="J65" i="38"/>
  <c r="N65" i="38"/>
  <c r="H618" i="10"/>
  <c r="J66" i="38"/>
  <c r="N66" i="38"/>
  <c r="H619" i="10"/>
  <c r="J67" i="38"/>
  <c r="J68" i="38"/>
  <c r="N68" i="38"/>
  <c r="H621" i="10"/>
  <c r="J69" i="38"/>
  <c r="N69" i="38"/>
  <c r="H622" i="10"/>
  <c r="J70" i="38"/>
  <c r="N70" i="38"/>
  <c r="H623" i="10"/>
  <c r="J71" i="38"/>
  <c r="J72" i="38"/>
  <c r="N72" i="38"/>
  <c r="H625" i="10"/>
  <c r="J73" i="38"/>
  <c r="N73" i="38"/>
  <c r="H626" i="10"/>
  <c r="J74" i="38"/>
  <c r="N74" i="38"/>
  <c r="H627" i="10"/>
  <c r="J75" i="38"/>
  <c r="J76" i="38"/>
  <c r="N76" i="38"/>
  <c r="H629" i="10"/>
  <c r="J77" i="38"/>
  <c r="N77" i="38"/>
  <c r="H630" i="10"/>
  <c r="J78" i="38"/>
  <c r="N78" i="38"/>
  <c r="H631" i="10"/>
  <c r="J79" i="38"/>
  <c r="J80" i="38"/>
  <c r="N80" i="38"/>
  <c r="H633" i="10"/>
  <c r="J81" i="38"/>
  <c r="N81" i="38"/>
  <c r="H634" i="10"/>
  <c r="J82" i="38"/>
  <c r="N82" i="38"/>
  <c r="H635" i="10"/>
  <c r="J83" i="38"/>
  <c r="J84" i="38"/>
  <c r="N84" i="38"/>
  <c r="H637" i="10"/>
  <c r="J85" i="38"/>
  <c r="N85" i="38"/>
  <c r="H638" i="10"/>
  <c r="J86" i="38"/>
  <c r="N86" i="38"/>
  <c r="H639" i="10"/>
  <c r="J87" i="38"/>
  <c r="J88" i="38"/>
  <c r="N88" i="38"/>
  <c r="H641" i="10"/>
  <c r="J89" i="38"/>
  <c r="N89" i="38"/>
  <c r="H642" i="10"/>
  <c r="J90" i="38"/>
  <c r="N90" i="38"/>
  <c r="H643" i="10"/>
  <c r="J91" i="38"/>
  <c r="J92" i="38"/>
  <c r="N92" i="38"/>
  <c r="H645" i="10"/>
  <c r="J93" i="38"/>
  <c r="N93" i="38"/>
  <c r="H646" i="10"/>
  <c r="J94" i="38"/>
  <c r="N94" i="38"/>
  <c r="H647" i="10"/>
  <c r="J95" i="38"/>
  <c r="J96" i="38"/>
  <c r="N96" i="38"/>
  <c r="H649" i="10"/>
  <c r="J97" i="38"/>
  <c r="N97" i="38"/>
  <c r="H650" i="10"/>
  <c r="J98" i="38"/>
  <c r="N98" i="38"/>
  <c r="H651" i="10"/>
  <c r="J99" i="38"/>
  <c r="J100" i="38"/>
  <c r="N100" i="38"/>
  <c r="H653" i="10"/>
  <c r="J101" i="38"/>
  <c r="N101" i="38"/>
  <c r="H654" i="10"/>
  <c r="J2" i="38"/>
  <c r="N2" i="38"/>
  <c r="H555" i="10"/>
  <c r="F556" i="10"/>
  <c r="F558" i="10"/>
  <c r="F561" i="10"/>
  <c r="F563" i="10"/>
  <c r="F565" i="10"/>
  <c r="F567" i="10"/>
  <c r="F569" i="10"/>
  <c r="F571" i="10"/>
  <c r="F573" i="10"/>
  <c r="F575" i="10"/>
  <c r="F577" i="10"/>
  <c r="F579" i="10"/>
  <c r="F581" i="10"/>
  <c r="F583" i="10"/>
  <c r="F585" i="10"/>
  <c r="F587" i="10"/>
  <c r="F589" i="10"/>
  <c r="F591" i="10"/>
  <c r="F593" i="10"/>
  <c r="F595" i="10"/>
  <c r="F597" i="10"/>
  <c r="F599" i="10"/>
  <c r="F602" i="10"/>
  <c r="F604" i="10"/>
  <c r="F606" i="10"/>
  <c r="F609" i="10"/>
  <c r="F611" i="10"/>
  <c r="F613" i="10"/>
  <c r="F615" i="10"/>
  <c r="F617" i="10"/>
  <c r="F619" i="10"/>
  <c r="F621" i="10"/>
  <c r="F623" i="10"/>
  <c r="F625" i="10"/>
  <c r="F627" i="10"/>
  <c r="F629" i="10"/>
  <c r="F631" i="10"/>
  <c r="F633" i="10"/>
  <c r="F635" i="10"/>
  <c r="F637" i="10"/>
  <c r="F639" i="10"/>
  <c r="F641" i="10"/>
  <c r="F643" i="10"/>
  <c r="F645" i="10"/>
  <c r="F647" i="10"/>
  <c r="F649" i="10"/>
  <c r="F651" i="10"/>
  <c r="F653" i="10"/>
  <c r="F555" i="10"/>
  <c r="C104" i="38"/>
  <c r="B104" i="38"/>
  <c r="C103" i="38"/>
  <c r="B103" i="38"/>
  <c r="Q102" i="38"/>
  <c r="P102" i="38"/>
  <c r="O102" i="38"/>
  <c r="G102" i="38"/>
  <c r="D102" i="38"/>
  <c r="C102" i="38"/>
  <c r="B102" i="38"/>
  <c r="C101" i="38"/>
  <c r="B101" i="38"/>
  <c r="C100" i="38"/>
  <c r="B100" i="38"/>
  <c r="C99" i="38"/>
  <c r="B99" i="38"/>
  <c r="C98" i="38"/>
  <c r="B98" i="38"/>
  <c r="C97" i="38"/>
  <c r="B97" i="38"/>
  <c r="C96" i="38"/>
  <c r="B96" i="38"/>
  <c r="C95" i="38"/>
  <c r="B95" i="38"/>
  <c r="C94" i="38"/>
  <c r="B94" i="38"/>
  <c r="C93" i="38"/>
  <c r="B93" i="38"/>
  <c r="C92" i="38"/>
  <c r="B92" i="38"/>
  <c r="C91" i="38"/>
  <c r="B91" i="38"/>
  <c r="C90" i="38"/>
  <c r="B90" i="38"/>
  <c r="C89" i="38"/>
  <c r="B89" i="38"/>
  <c r="C88" i="38"/>
  <c r="B88" i="38"/>
  <c r="C87" i="38"/>
  <c r="B87" i="38"/>
  <c r="C86" i="38"/>
  <c r="B86" i="38"/>
  <c r="C85" i="38"/>
  <c r="B85" i="38"/>
  <c r="C84" i="38"/>
  <c r="B84" i="38"/>
  <c r="C83" i="38"/>
  <c r="B83" i="38"/>
  <c r="C82" i="38"/>
  <c r="B82" i="38"/>
  <c r="C81" i="38"/>
  <c r="B81" i="38"/>
  <c r="C80" i="38"/>
  <c r="B80" i="38"/>
  <c r="C79" i="38"/>
  <c r="B79" i="38"/>
  <c r="C78" i="38"/>
  <c r="B78" i="38"/>
  <c r="C77" i="38"/>
  <c r="B77" i="38"/>
  <c r="C76" i="38"/>
  <c r="B76" i="38"/>
  <c r="C75" i="38"/>
  <c r="B75" i="38"/>
  <c r="C74" i="38"/>
  <c r="B74" i="38"/>
  <c r="C73" i="38"/>
  <c r="B73" i="38"/>
  <c r="C72" i="38"/>
  <c r="B72" i="38"/>
  <c r="C71" i="38"/>
  <c r="B71" i="38"/>
  <c r="C70" i="38"/>
  <c r="B70" i="38"/>
  <c r="C69" i="38"/>
  <c r="B69" i="38"/>
  <c r="C68" i="38"/>
  <c r="B68" i="38"/>
  <c r="C67" i="38"/>
  <c r="B67" i="38"/>
  <c r="C66" i="38"/>
  <c r="B66" i="38"/>
  <c r="C65" i="38"/>
  <c r="B65" i="38"/>
  <c r="C64" i="38"/>
  <c r="B64" i="38"/>
  <c r="C63" i="38"/>
  <c r="B63" i="38"/>
  <c r="C62" i="38"/>
  <c r="B62" i="38"/>
  <c r="C61" i="38"/>
  <c r="B61" i="38"/>
  <c r="C60" i="38"/>
  <c r="B60" i="38"/>
  <c r="C59" i="38"/>
  <c r="B59" i="38"/>
  <c r="C58" i="38"/>
  <c r="B58" i="38"/>
  <c r="C57" i="38"/>
  <c r="B57" i="38"/>
  <c r="C56" i="38"/>
  <c r="B56" i="38"/>
  <c r="C55" i="38"/>
  <c r="B55" i="38"/>
  <c r="C54" i="38"/>
  <c r="B54" i="38"/>
  <c r="C53" i="38"/>
  <c r="B53" i="38"/>
  <c r="C52" i="38"/>
  <c r="B52" i="38"/>
  <c r="C51" i="38"/>
  <c r="B51" i="38"/>
  <c r="C50" i="38"/>
  <c r="B50" i="38"/>
  <c r="C49" i="38"/>
  <c r="B49" i="38"/>
  <c r="C48" i="38"/>
  <c r="B48" i="38"/>
  <c r="C47" i="38"/>
  <c r="B47" i="38"/>
  <c r="C46" i="38"/>
  <c r="B46" i="38"/>
  <c r="C45" i="38"/>
  <c r="B45" i="38"/>
  <c r="C44" i="38"/>
  <c r="B44" i="38"/>
  <c r="C43" i="38"/>
  <c r="B43" i="38"/>
  <c r="C42" i="38"/>
  <c r="B42" i="38"/>
  <c r="C41" i="38"/>
  <c r="B41" i="38"/>
  <c r="C40" i="38"/>
  <c r="B40" i="38"/>
  <c r="C39" i="38"/>
  <c r="B39" i="38"/>
  <c r="C38" i="38"/>
  <c r="B38" i="38"/>
  <c r="C37" i="38"/>
  <c r="B37" i="38"/>
  <c r="C36" i="38"/>
  <c r="B36" i="38"/>
  <c r="C35" i="38"/>
  <c r="B35" i="38"/>
  <c r="C34" i="38"/>
  <c r="B34" i="38"/>
  <c r="C33" i="38"/>
  <c r="B33" i="38"/>
  <c r="C32" i="38"/>
  <c r="B32" i="38"/>
  <c r="C31" i="38"/>
  <c r="B31" i="38"/>
  <c r="C30" i="38"/>
  <c r="B30" i="38"/>
  <c r="C29" i="38"/>
  <c r="B29" i="38"/>
  <c r="C28" i="38"/>
  <c r="B28" i="38"/>
  <c r="C27" i="38"/>
  <c r="B27" i="38"/>
  <c r="C26" i="38"/>
  <c r="B26" i="38"/>
  <c r="C25" i="38"/>
  <c r="B25" i="38"/>
  <c r="C24" i="38"/>
  <c r="B24" i="38"/>
  <c r="C23" i="38"/>
  <c r="B23" i="38"/>
  <c r="C22" i="38"/>
  <c r="B22" i="38"/>
  <c r="C21" i="38"/>
  <c r="B21" i="38"/>
  <c r="C20" i="38"/>
  <c r="B20" i="38"/>
  <c r="C19" i="38"/>
  <c r="B19" i="38"/>
  <c r="C18" i="38"/>
  <c r="B18" i="38"/>
  <c r="C17" i="38"/>
  <c r="B17" i="38"/>
  <c r="C16" i="38"/>
  <c r="B16" i="38"/>
  <c r="C15" i="38"/>
  <c r="B15" i="38"/>
  <c r="C14" i="38"/>
  <c r="B14" i="38"/>
  <c r="C13" i="38"/>
  <c r="B13" i="38"/>
  <c r="C12" i="38"/>
  <c r="B12" i="38"/>
  <c r="C11" i="38"/>
  <c r="B11" i="38"/>
  <c r="C10" i="38"/>
  <c r="B10" i="38"/>
  <c r="C9" i="38"/>
  <c r="B9" i="38"/>
  <c r="C8" i="38"/>
  <c r="B8" i="38"/>
  <c r="C7" i="38"/>
  <c r="B7" i="38"/>
  <c r="C6" i="38"/>
  <c r="B6" i="38"/>
  <c r="C5" i="38"/>
  <c r="B5" i="38"/>
  <c r="C4" i="38"/>
  <c r="B4" i="38"/>
  <c r="C3" i="38"/>
  <c r="B3" i="38"/>
  <c r="C2" i="38"/>
  <c r="B2" i="38"/>
  <c r="I495" i="10"/>
  <c r="I494" i="10"/>
  <c r="G3" i="37"/>
  <c r="G4" i="37"/>
  <c r="J4" i="37"/>
  <c r="H808" i="10"/>
  <c r="G5" i="37"/>
  <c r="G6" i="37"/>
  <c r="J6" i="37"/>
  <c r="H810" i="10"/>
  <c r="G7" i="37"/>
  <c r="G8" i="37"/>
  <c r="J8" i="37"/>
  <c r="H812" i="10"/>
  <c r="G9" i="37"/>
  <c r="G10" i="37"/>
  <c r="J10" i="37"/>
  <c r="H814" i="10"/>
  <c r="G11" i="37"/>
  <c r="G12" i="37"/>
  <c r="J12" i="37"/>
  <c r="H816" i="10"/>
  <c r="G13" i="37"/>
  <c r="G14" i="37"/>
  <c r="J14" i="37"/>
  <c r="H818" i="10"/>
  <c r="G15" i="37"/>
  <c r="G16" i="37"/>
  <c r="J16" i="37"/>
  <c r="H820" i="10"/>
  <c r="G17" i="37"/>
  <c r="G18" i="37"/>
  <c r="J18" i="37"/>
  <c r="H822" i="10"/>
  <c r="G19" i="37"/>
  <c r="G20" i="37"/>
  <c r="J20" i="37"/>
  <c r="H824" i="10"/>
  <c r="G21" i="37"/>
  <c r="G22" i="37"/>
  <c r="J22" i="37"/>
  <c r="H826" i="10"/>
  <c r="G23" i="37"/>
  <c r="G24" i="37"/>
  <c r="J24" i="37"/>
  <c r="H828" i="10"/>
  <c r="G25" i="37"/>
  <c r="G26" i="37"/>
  <c r="J26" i="37"/>
  <c r="H830" i="10"/>
  <c r="G27" i="37"/>
  <c r="G28" i="37"/>
  <c r="J28" i="37"/>
  <c r="H832" i="10"/>
  <c r="G29" i="37"/>
  <c r="G30" i="37"/>
  <c r="J30" i="37"/>
  <c r="H834" i="10"/>
  <c r="G31" i="37"/>
  <c r="G32" i="37"/>
  <c r="J32" i="37"/>
  <c r="H836" i="10"/>
  <c r="G33" i="37"/>
  <c r="G34" i="37"/>
  <c r="J34" i="37"/>
  <c r="H838" i="10"/>
  <c r="G35" i="37"/>
  <c r="G36" i="37"/>
  <c r="J36" i="37"/>
  <c r="H840" i="10"/>
  <c r="G37" i="37"/>
  <c r="G38" i="37"/>
  <c r="J38" i="37"/>
  <c r="H842" i="10"/>
  <c r="G39" i="37"/>
  <c r="G40" i="37"/>
  <c r="J40" i="37"/>
  <c r="H844" i="10"/>
  <c r="G41" i="37"/>
  <c r="G42" i="37"/>
  <c r="J42" i="37"/>
  <c r="H846" i="10"/>
  <c r="G43" i="37"/>
  <c r="G44" i="37"/>
  <c r="J44" i="37"/>
  <c r="H848" i="10"/>
  <c r="G46" i="37"/>
  <c r="G47" i="37"/>
  <c r="J47" i="37"/>
  <c r="H851" i="10"/>
  <c r="G48" i="37"/>
  <c r="G50" i="37"/>
  <c r="J50" i="37"/>
  <c r="H854" i="10"/>
  <c r="G51" i="37"/>
  <c r="G52" i="37"/>
  <c r="J52" i="37"/>
  <c r="H856" i="10"/>
  <c r="G53" i="37"/>
  <c r="G54" i="37"/>
  <c r="J54" i="37"/>
  <c r="H858" i="10"/>
  <c r="G55" i="37"/>
  <c r="G56" i="37"/>
  <c r="J56" i="37"/>
  <c r="H860" i="10"/>
  <c r="G57" i="37"/>
  <c r="G58" i="37"/>
  <c r="J58" i="37"/>
  <c r="H862" i="10"/>
  <c r="G59" i="37"/>
  <c r="G60" i="37"/>
  <c r="J60" i="37"/>
  <c r="H864" i="10"/>
  <c r="G61" i="37"/>
  <c r="G62" i="37"/>
  <c r="J62" i="37"/>
  <c r="H866" i="10"/>
  <c r="G63" i="37"/>
  <c r="G64" i="37"/>
  <c r="J64" i="37"/>
  <c r="H868" i="10"/>
  <c r="G65" i="37"/>
  <c r="G66" i="37"/>
  <c r="J66" i="37"/>
  <c r="H870" i="10"/>
  <c r="G67" i="37"/>
  <c r="G68" i="37"/>
  <c r="J68" i="37"/>
  <c r="H872" i="10"/>
  <c r="G69" i="37"/>
  <c r="G70" i="37"/>
  <c r="J70" i="37"/>
  <c r="H874" i="10"/>
  <c r="G71" i="37"/>
  <c r="G72" i="37"/>
  <c r="J72" i="37"/>
  <c r="H876" i="10"/>
  <c r="G73" i="37"/>
  <c r="G74" i="37"/>
  <c r="J74" i="37"/>
  <c r="H878" i="10"/>
  <c r="G75" i="37"/>
  <c r="G76" i="37"/>
  <c r="J76" i="37"/>
  <c r="H880" i="10"/>
  <c r="G77" i="37"/>
  <c r="G78" i="37"/>
  <c r="J78" i="37"/>
  <c r="H882" i="10"/>
  <c r="G79" i="37"/>
  <c r="G80" i="37"/>
  <c r="J80" i="37"/>
  <c r="H884" i="10"/>
  <c r="G81" i="37"/>
  <c r="G82" i="37"/>
  <c r="J82" i="37"/>
  <c r="H886" i="10"/>
  <c r="G83" i="37"/>
  <c r="G84" i="37"/>
  <c r="J84" i="37"/>
  <c r="H888" i="10"/>
  <c r="G85" i="37"/>
  <c r="G86" i="37"/>
  <c r="J86" i="37"/>
  <c r="H890" i="10"/>
  <c r="G87" i="37"/>
  <c r="G88" i="37"/>
  <c r="J88" i="37"/>
  <c r="H892" i="10"/>
  <c r="G89" i="37"/>
  <c r="G90" i="37"/>
  <c r="J90" i="37"/>
  <c r="H894" i="10"/>
  <c r="G91" i="37"/>
  <c r="G92" i="37"/>
  <c r="J92" i="37"/>
  <c r="H896" i="10"/>
  <c r="G93" i="37"/>
  <c r="G94" i="37"/>
  <c r="J94" i="37"/>
  <c r="H898" i="10"/>
  <c r="G95" i="37"/>
  <c r="G96" i="37"/>
  <c r="J96" i="37"/>
  <c r="H900" i="10"/>
  <c r="G97" i="37"/>
  <c r="G98" i="37"/>
  <c r="J98" i="37"/>
  <c r="H902" i="10"/>
  <c r="G99" i="37"/>
  <c r="G100" i="37"/>
  <c r="J100" i="37"/>
  <c r="H904" i="10"/>
  <c r="G101" i="37"/>
  <c r="G102" i="37"/>
  <c r="J102" i="37"/>
  <c r="H906" i="10"/>
  <c r="G103" i="37"/>
  <c r="G104" i="37"/>
  <c r="J104" i="37"/>
  <c r="H908" i="10"/>
  <c r="G105" i="37"/>
  <c r="G106" i="37"/>
  <c r="J106" i="37"/>
  <c r="H910" i="10"/>
  <c r="G107" i="37"/>
  <c r="G108" i="37"/>
  <c r="J108" i="37"/>
  <c r="H912" i="10"/>
  <c r="G109" i="37"/>
  <c r="G110" i="37"/>
  <c r="J110" i="37"/>
  <c r="H914" i="10"/>
  <c r="G111" i="37"/>
  <c r="G112" i="37"/>
  <c r="J112" i="37"/>
  <c r="H916" i="10"/>
  <c r="G113" i="37"/>
  <c r="G114" i="37"/>
  <c r="J114" i="37"/>
  <c r="H918" i="10"/>
  <c r="G115" i="37"/>
  <c r="G116" i="37"/>
  <c r="J116" i="37"/>
  <c r="H920" i="10"/>
  <c r="G117" i="37"/>
  <c r="G118" i="37"/>
  <c r="J118" i="37"/>
  <c r="H922" i="10"/>
  <c r="G119" i="37"/>
  <c r="G120" i="37"/>
  <c r="J120" i="37"/>
  <c r="H924" i="10"/>
  <c r="G121" i="37"/>
  <c r="G122" i="37"/>
  <c r="J122" i="37"/>
  <c r="H926" i="10"/>
  <c r="G123" i="37"/>
  <c r="G124" i="37"/>
  <c r="J124" i="37"/>
  <c r="H928" i="10"/>
  <c r="G125" i="37"/>
  <c r="G126" i="37"/>
  <c r="J126" i="37"/>
  <c r="H930" i="10"/>
  <c r="G127" i="37"/>
  <c r="G128" i="37"/>
  <c r="J128" i="37"/>
  <c r="H932" i="10"/>
  <c r="G129" i="37"/>
  <c r="G130" i="37"/>
  <c r="J130" i="37"/>
  <c r="H934" i="10"/>
  <c r="G131" i="37"/>
  <c r="G132" i="37"/>
  <c r="J132" i="37"/>
  <c r="H936" i="10"/>
  <c r="G133" i="37"/>
  <c r="G134" i="37"/>
  <c r="J134" i="37"/>
  <c r="H938" i="10"/>
  <c r="G135" i="37"/>
  <c r="G136" i="37"/>
  <c r="J136" i="37"/>
  <c r="H940" i="10"/>
  <c r="G137" i="37"/>
  <c r="G138" i="37"/>
  <c r="J138" i="37"/>
  <c r="H942" i="10"/>
  <c r="G139" i="37"/>
  <c r="G140" i="37"/>
  <c r="J140" i="37"/>
  <c r="H944" i="10"/>
  <c r="G141" i="37"/>
  <c r="G142" i="37"/>
  <c r="J142" i="37"/>
  <c r="H946" i="10"/>
  <c r="G143" i="37"/>
  <c r="G144" i="37"/>
  <c r="J144" i="37"/>
  <c r="H948" i="10"/>
  <c r="G145" i="37"/>
  <c r="G146" i="37"/>
  <c r="J146" i="37"/>
  <c r="H950" i="10"/>
  <c r="G147" i="37"/>
  <c r="G148" i="37"/>
  <c r="J148" i="37"/>
  <c r="H952" i="10"/>
  <c r="G149" i="37"/>
  <c r="G150" i="37"/>
  <c r="J150" i="37"/>
  <c r="H954" i="10"/>
  <c r="G151" i="37"/>
  <c r="G152" i="37"/>
  <c r="J152" i="37"/>
  <c r="H956" i="10"/>
  <c r="G153" i="37"/>
  <c r="G154" i="37"/>
  <c r="J154" i="37"/>
  <c r="H958" i="10"/>
  <c r="G155" i="37"/>
  <c r="G156" i="37"/>
  <c r="J156" i="37"/>
  <c r="H960" i="10"/>
  <c r="G157" i="37"/>
  <c r="G159" i="37"/>
  <c r="J159" i="37"/>
  <c r="H963" i="10"/>
  <c r="G160" i="37"/>
  <c r="J160" i="37"/>
  <c r="H964" i="10"/>
  <c r="G161" i="37"/>
  <c r="J161" i="37"/>
  <c r="H965" i="10"/>
  <c r="G162" i="37"/>
  <c r="J162" i="37"/>
  <c r="H966" i="10"/>
  <c r="G164" i="37"/>
  <c r="J164" i="37"/>
  <c r="H968" i="10"/>
  <c r="G165" i="37"/>
  <c r="J165" i="37"/>
  <c r="H969" i="10"/>
  <c r="G166" i="37"/>
  <c r="J166" i="37"/>
  <c r="H970" i="10"/>
  <c r="G167" i="37"/>
  <c r="J167" i="37"/>
  <c r="H971" i="10"/>
  <c r="G168" i="37"/>
  <c r="J168" i="37"/>
  <c r="H972" i="10"/>
  <c r="G169" i="37"/>
  <c r="J169" i="37"/>
  <c r="H973" i="10"/>
  <c r="G170" i="37"/>
  <c r="J170" i="37"/>
  <c r="H974" i="10"/>
  <c r="G171" i="37"/>
  <c r="J171" i="37"/>
  <c r="H975" i="10"/>
  <c r="G172" i="37"/>
  <c r="J172" i="37"/>
  <c r="H976" i="10"/>
  <c r="G173" i="37"/>
  <c r="J173" i="37"/>
  <c r="H977" i="10"/>
  <c r="G174" i="37"/>
  <c r="J174" i="37"/>
  <c r="H978" i="10"/>
  <c r="G175" i="37"/>
  <c r="J175" i="37"/>
  <c r="H979" i="10"/>
  <c r="G176" i="37"/>
  <c r="J176" i="37"/>
  <c r="H980" i="10"/>
  <c r="G177" i="37"/>
  <c r="J177" i="37"/>
  <c r="H981" i="10"/>
  <c r="G178" i="37"/>
  <c r="J178" i="37"/>
  <c r="H982" i="10"/>
  <c r="G179" i="37"/>
  <c r="J179" i="37"/>
  <c r="H983" i="10"/>
  <c r="G180" i="37"/>
  <c r="J180" i="37"/>
  <c r="H984" i="10"/>
  <c r="G181" i="37"/>
  <c r="J181" i="37"/>
  <c r="H985" i="10"/>
  <c r="G182" i="37"/>
  <c r="J182" i="37"/>
  <c r="H986" i="10"/>
  <c r="G183" i="37"/>
  <c r="J183" i="37"/>
  <c r="H987" i="10"/>
  <c r="G184" i="37"/>
  <c r="J184" i="37"/>
  <c r="H988" i="10"/>
  <c r="G185" i="37"/>
  <c r="J185" i="37"/>
  <c r="H989" i="10"/>
  <c r="G186" i="37"/>
  <c r="J186" i="37"/>
  <c r="H990" i="10"/>
  <c r="G187" i="37"/>
  <c r="J187" i="37"/>
  <c r="H991" i="10"/>
  <c r="G188" i="37"/>
  <c r="J188" i="37"/>
  <c r="H992" i="10"/>
  <c r="G189" i="37"/>
  <c r="J189" i="37"/>
  <c r="H993" i="10"/>
  <c r="G190" i="37"/>
  <c r="J190" i="37"/>
  <c r="H994" i="10"/>
  <c r="G191" i="37"/>
  <c r="J191" i="37"/>
  <c r="H995" i="10"/>
  <c r="G192" i="37"/>
  <c r="J192" i="37"/>
  <c r="H996" i="10"/>
  <c r="G193" i="37"/>
  <c r="J193" i="37"/>
  <c r="H997" i="10"/>
  <c r="G194" i="37"/>
  <c r="J194" i="37"/>
  <c r="H998" i="10"/>
  <c r="G195" i="37"/>
  <c r="J195" i="37"/>
  <c r="H999" i="10"/>
  <c r="G196" i="37"/>
  <c r="J196" i="37"/>
  <c r="H1000" i="10"/>
  <c r="G197" i="37"/>
  <c r="J197" i="37"/>
  <c r="H1001" i="10"/>
  <c r="G198" i="37"/>
  <c r="J198" i="37"/>
  <c r="H1002" i="10"/>
  <c r="G199" i="37"/>
  <c r="J199" i="37"/>
  <c r="H1003" i="10"/>
  <c r="G200" i="37"/>
  <c r="J200" i="37"/>
  <c r="H1004" i="10"/>
  <c r="G201" i="37"/>
  <c r="J201" i="37"/>
  <c r="H1005" i="10"/>
  <c r="G202" i="37"/>
  <c r="J202" i="37"/>
  <c r="H1006" i="10"/>
  <c r="G203" i="37"/>
  <c r="J203" i="37"/>
  <c r="H1007" i="10"/>
  <c r="G204" i="37"/>
  <c r="J204" i="37"/>
  <c r="H1008" i="10"/>
  <c r="G205" i="37"/>
  <c r="J205" i="37"/>
  <c r="H1009" i="10"/>
  <c r="G206" i="37"/>
  <c r="J206" i="37"/>
  <c r="H1010" i="10"/>
  <c r="G207" i="37"/>
  <c r="J207" i="37"/>
  <c r="H1011" i="10"/>
  <c r="G208" i="37"/>
  <c r="J208" i="37"/>
  <c r="H1012" i="10"/>
  <c r="G210" i="37"/>
  <c r="J210" i="37"/>
  <c r="H1014" i="10"/>
  <c r="G211" i="37"/>
  <c r="J211" i="37"/>
  <c r="H1015" i="10"/>
  <c r="G212" i="37"/>
  <c r="J212" i="37"/>
  <c r="H1016" i="10"/>
  <c r="G214" i="37"/>
  <c r="J214" i="37"/>
  <c r="H1018" i="10"/>
  <c r="G215" i="37"/>
  <c r="J215" i="37"/>
  <c r="H1019" i="10"/>
  <c r="G216" i="37"/>
  <c r="J216" i="37"/>
  <c r="H1020" i="10"/>
  <c r="G217" i="37"/>
  <c r="J217" i="37"/>
  <c r="H1021" i="10"/>
  <c r="G218" i="37"/>
  <c r="J218" i="37"/>
  <c r="H1022" i="10"/>
  <c r="G219" i="37"/>
  <c r="J219" i="37"/>
  <c r="H1023" i="10"/>
  <c r="G220" i="37"/>
  <c r="J220" i="37"/>
  <c r="H1024" i="10"/>
  <c r="G221" i="37"/>
  <c r="J221" i="37"/>
  <c r="H1025" i="10"/>
  <c r="G222" i="37"/>
  <c r="J222" i="37"/>
  <c r="H1026" i="10"/>
  <c r="G223" i="37"/>
  <c r="J223" i="37"/>
  <c r="H1027" i="10"/>
  <c r="H224" i="37"/>
  <c r="G224" i="37"/>
  <c r="J224" i="37"/>
  <c r="H1028" i="10"/>
  <c r="F1028" i="10"/>
  <c r="G225" i="37"/>
  <c r="J225" i="37"/>
  <c r="H1029" i="10"/>
  <c r="G226" i="37"/>
  <c r="G227" i="37"/>
  <c r="J227" i="37"/>
  <c r="H1031" i="10"/>
  <c r="G228" i="37"/>
  <c r="G229" i="37"/>
  <c r="J229" i="37"/>
  <c r="H1033" i="10"/>
  <c r="G230" i="37"/>
  <c r="G231" i="37"/>
  <c r="J231" i="37"/>
  <c r="H1035" i="10"/>
  <c r="G232" i="37"/>
  <c r="G233" i="37"/>
  <c r="J233" i="37"/>
  <c r="H1037" i="10"/>
  <c r="G234" i="37"/>
  <c r="G235" i="37"/>
  <c r="J235" i="37"/>
  <c r="H1039" i="10"/>
  <c r="G236" i="37"/>
  <c r="G237" i="37"/>
  <c r="J237" i="37"/>
  <c r="H1041" i="10"/>
  <c r="G238" i="37"/>
  <c r="G2" i="37"/>
  <c r="J2" i="37"/>
  <c r="H806" i="10"/>
  <c r="F963" i="10"/>
  <c r="F808" i="10"/>
  <c r="F810" i="10"/>
  <c r="F812" i="10"/>
  <c r="F814" i="10"/>
  <c r="F816" i="10"/>
  <c r="F818" i="10"/>
  <c r="F820" i="10"/>
  <c r="F822" i="10"/>
  <c r="F824" i="10"/>
  <c r="F826" i="10"/>
  <c r="F828" i="10"/>
  <c r="F830" i="10"/>
  <c r="F832" i="10"/>
  <c r="F834" i="10"/>
  <c r="F836" i="10"/>
  <c r="F838" i="10"/>
  <c r="F840" i="10"/>
  <c r="F842" i="10"/>
  <c r="F844" i="10"/>
  <c r="F846" i="10"/>
  <c r="F848" i="10"/>
  <c r="F851" i="10"/>
  <c r="F854" i="10"/>
  <c r="F856" i="10"/>
  <c r="F858" i="10"/>
  <c r="F860" i="10"/>
  <c r="F862" i="10"/>
  <c r="F864" i="10"/>
  <c r="F866" i="10"/>
  <c r="F868" i="10"/>
  <c r="F870" i="10"/>
  <c r="F872" i="10"/>
  <c r="F874" i="10"/>
  <c r="F876" i="10"/>
  <c r="F878" i="10"/>
  <c r="F880" i="10"/>
  <c r="F882" i="10"/>
  <c r="F884" i="10"/>
  <c r="F886" i="10"/>
  <c r="F888" i="10"/>
  <c r="F890" i="10"/>
  <c r="F892" i="10"/>
  <c r="F894" i="10"/>
  <c r="F896" i="10"/>
  <c r="F898" i="10"/>
  <c r="F900" i="10"/>
  <c r="F902" i="10"/>
  <c r="F904" i="10"/>
  <c r="F906" i="10"/>
  <c r="F908" i="10"/>
  <c r="F910" i="10"/>
  <c r="F912" i="10"/>
  <c r="F914" i="10"/>
  <c r="F916" i="10"/>
  <c r="F918" i="10"/>
  <c r="F920" i="10"/>
  <c r="F922" i="10"/>
  <c r="F924" i="10"/>
  <c r="F926" i="10"/>
  <c r="F928" i="10"/>
  <c r="F930" i="10"/>
  <c r="F932" i="10"/>
  <c r="F934" i="10"/>
  <c r="F936" i="10"/>
  <c r="F938" i="10"/>
  <c r="F940" i="10"/>
  <c r="F942" i="10"/>
  <c r="F944" i="10"/>
  <c r="F946" i="10"/>
  <c r="F948" i="10"/>
  <c r="F950" i="10"/>
  <c r="F952" i="10"/>
  <c r="F954" i="10"/>
  <c r="F956" i="10"/>
  <c r="F958" i="10"/>
  <c r="F960" i="10"/>
  <c r="F964" i="10"/>
  <c r="F965" i="10"/>
  <c r="F966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4" i="10"/>
  <c r="F1015" i="10"/>
  <c r="F1016" i="10"/>
  <c r="F1018" i="10"/>
  <c r="F1019" i="10"/>
  <c r="F1020" i="10"/>
  <c r="F1021" i="10"/>
  <c r="F1022" i="10"/>
  <c r="F1023" i="10"/>
  <c r="F1024" i="10"/>
  <c r="F1025" i="10"/>
  <c r="F1026" i="10"/>
  <c r="F1027" i="10"/>
  <c r="F1029" i="10"/>
  <c r="F1031" i="10"/>
  <c r="F1033" i="10"/>
  <c r="F1035" i="10"/>
  <c r="F1037" i="10"/>
  <c r="F1039" i="10"/>
  <c r="F1041" i="10"/>
  <c r="F806" i="10"/>
  <c r="C238" i="37"/>
  <c r="B238" i="37"/>
  <c r="C237" i="37"/>
  <c r="B237" i="37"/>
  <c r="C236" i="37"/>
  <c r="B236" i="37"/>
  <c r="C235" i="37"/>
  <c r="B235" i="37"/>
  <c r="C234" i="37"/>
  <c r="B234" i="37"/>
  <c r="C233" i="37"/>
  <c r="B233" i="37"/>
  <c r="C232" i="37"/>
  <c r="B232" i="37"/>
  <c r="C231" i="37"/>
  <c r="B231" i="37"/>
  <c r="C230" i="37"/>
  <c r="B230" i="37"/>
  <c r="C229" i="37"/>
  <c r="B229" i="37"/>
  <c r="C228" i="37"/>
  <c r="B228" i="37"/>
  <c r="C227" i="37"/>
  <c r="B227" i="37"/>
  <c r="C226" i="37"/>
  <c r="B226" i="37"/>
  <c r="C225" i="37"/>
  <c r="B225" i="37"/>
  <c r="C224" i="37"/>
  <c r="B224" i="37"/>
  <c r="C223" i="37"/>
  <c r="B223" i="37"/>
  <c r="C222" i="37"/>
  <c r="B222" i="37"/>
  <c r="C221" i="37"/>
  <c r="B221" i="37"/>
  <c r="C220" i="37"/>
  <c r="B220" i="37"/>
  <c r="C219" i="37"/>
  <c r="B219" i="37"/>
  <c r="C218" i="37"/>
  <c r="B218" i="37"/>
  <c r="C217" i="37"/>
  <c r="B217" i="37"/>
  <c r="C216" i="37"/>
  <c r="B216" i="37"/>
  <c r="C215" i="37"/>
  <c r="B215" i="37"/>
  <c r="C214" i="37"/>
  <c r="B214" i="37"/>
  <c r="C213" i="37"/>
  <c r="B213" i="37"/>
  <c r="C212" i="37"/>
  <c r="B212" i="37"/>
  <c r="C211" i="37"/>
  <c r="B211" i="37"/>
  <c r="C210" i="37"/>
  <c r="B210" i="37"/>
  <c r="C209" i="37"/>
  <c r="B209" i="37"/>
  <c r="C208" i="37"/>
  <c r="B208" i="37"/>
  <c r="C207" i="37"/>
  <c r="B207" i="37"/>
  <c r="C206" i="37"/>
  <c r="B206" i="37"/>
  <c r="C205" i="37"/>
  <c r="B205" i="37"/>
  <c r="C204" i="37"/>
  <c r="B204" i="37"/>
  <c r="C203" i="37"/>
  <c r="B203" i="37"/>
  <c r="C202" i="37"/>
  <c r="B202" i="37"/>
  <c r="C201" i="37"/>
  <c r="B201" i="37"/>
  <c r="C200" i="37"/>
  <c r="B200" i="37"/>
  <c r="C199" i="37"/>
  <c r="B199" i="37"/>
  <c r="C198" i="37"/>
  <c r="B198" i="37"/>
  <c r="C197" i="37"/>
  <c r="B197" i="37"/>
  <c r="C196" i="37"/>
  <c r="B196" i="37"/>
  <c r="C195" i="37"/>
  <c r="B195" i="37"/>
  <c r="C194" i="37"/>
  <c r="B194" i="37"/>
  <c r="C193" i="37"/>
  <c r="B193" i="37"/>
  <c r="C192" i="37"/>
  <c r="B192" i="37"/>
  <c r="C191" i="37"/>
  <c r="B191" i="37"/>
  <c r="C190" i="37"/>
  <c r="B190" i="37"/>
  <c r="C189" i="37"/>
  <c r="B189" i="37"/>
  <c r="C188" i="37"/>
  <c r="B188" i="37"/>
  <c r="C187" i="37"/>
  <c r="B187" i="37"/>
  <c r="C186" i="37"/>
  <c r="B186" i="37"/>
  <c r="C185" i="37"/>
  <c r="B185" i="37"/>
  <c r="C184" i="37"/>
  <c r="B184" i="37"/>
  <c r="C183" i="37"/>
  <c r="B183" i="37"/>
  <c r="C182" i="37"/>
  <c r="B182" i="37"/>
  <c r="C181" i="37"/>
  <c r="B181" i="37"/>
  <c r="C180" i="37"/>
  <c r="B180" i="37"/>
  <c r="C179" i="37"/>
  <c r="B179" i="37"/>
  <c r="C178" i="37"/>
  <c r="B178" i="37"/>
  <c r="C177" i="37"/>
  <c r="B177" i="37"/>
  <c r="C176" i="37"/>
  <c r="B176" i="37"/>
  <c r="C175" i="37"/>
  <c r="B175" i="37"/>
  <c r="C174" i="37"/>
  <c r="B174" i="37"/>
  <c r="C173" i="37"/>
  <c r="B173" i="37"/>
  <c r="C172" i="37"/>
  <c r="B172" i="37"/>
  <c r="C171" i="37"/>
  <c r="B171" i="37"/>
  <c r="C170" i="37"/>
  <c r="B170" i="37"/>
  <c r="C169" i="37"/>
  <c r="B169" i="37"/>
  <c r="C168" i="37"/>
  <c r="B168" i="37"/>
  <c r="C167" i="37"/>
  <c r="B167" i="37"/>
  <c r="C166" i="37"/>
  <c r="B166" i="37"/>
  <c r="C165" i="37"/>
  <c r="B165" i="37"/>
  <c r="C164" i="37"/>
  <c r="B164" i="37"/>
  <c r="C163" i="37"/>
  <c r="B163" i="37"/>
  <c r="C162" i="37"/>
  <c r="B162" i="37"/>
  <c r="C161" i="37"/>
  <c r="B161" i="37"/>
  <c r="C160" i="37"/>
  <c r="B160" i="37"/>
  <c r="C159" i="37"/>
  <c r="B159" i="37"/>
  <c r="C158" i="37"/>
  <c r="B158" i="37"/>
  <c r="C157" i="37"/>
  <c r="B157" i="37"/>
  <c r="C156" i="37"/>
  <c r="B156" i="37"/>
  <c r="C155" i="37"/>
  <c r="B155" i="37"/>
  <c r="C154" i="37"/>
  <c r="B154" i="37"/>
  <c r="C153" i="37"/>
  <c r="B153" i="37"/>
  <c r="C152" i="37"/>
  <c r="B152" i="37"/>
  <c r="C151" i="37"/>
  <c r="B151" i="37"/>
  <c r="C150" i="37"/>
  <c r="B150" i="37"/>
  <c r="C149" i="37"/>
  <c r="B149" i="37"/>
  <c r="C148" i="37"/>
  <c r="B148" i="37"/>
  <c r="C147" i="37"/>
  <c r="B147" i="37"/>
  <c r="C146" i="37"/>
  <c r="B146" i="37"/>
  <c r="C145" i="37"/>
  <c r="B145" i="37"/>
  <c r="C144" i="37"/>
  <c r="B144" i="37"/>
  <c r="C143" i="37"/>
  <c r="B143" i="37"/>
  <c r="C142" i="37"/>
  <c r="B142" i="37"/>
  <c r="C141" i="37"/>
  <c r="B141" i="37"/>
  <c r="C140" i="37"/>
  <c r="B140" i="37"/>
  <c r="C139" i="37"/>
  <c r="B139" i="37"/>
  <c r="C138" i="37"/>
  <c r="B138" i="37"/>
  <c r="C137" i="37"/>
  <c r="B137" i="37"/>
  <c r="C136" i="37"/>
  <c r="B136" i="37"/>
  <c r="C135" i="37"/>
  <c r="B135" i="37"/>
  <c r="C134" i="37"/>
  <c r="B134" i="37"/>
  <c r="C133" i="37"/>
  <c r="B133" i="37"/>
  <c r="C132" i="37"/>
  <c r="B132" i="37"/>
  <c r="C131" i="37"/>
  <c r="B131" i="37"/>
  <c r="C130" i="37"/>
  <c r="B130" i="37"/>
  <c r="C129" i="37"/>
  <c r="B129" i="37"/>
  <c r="C128" i="37"/>
  <c r="B128" i="37"/>
  <c r="C127" i="37"/>
  <c r="B127" i="37"/>
  <c r="C126" i="37"/>
  <c r="B126" i="37"/>
  <c r="C125" i="37"/>
  <c r="B125" i="37"/>
  <c r="C124" i="37"/>
  <c r="B124" i="37"/>
  <c r="C123" i="37"/>
  <c r="B123" i="37"/>
  <c r="C122" i="37"/>
  <c r="B122" i="37"/>
  <c r="C121" i="37"/>
  <c r="B121" i="37"/>
  <c r="C120" i="37"/>
  <c r="B120" i="37"/>
  <c r="C119" i="37"/>
  <c r="B119" i="37"/>
  <c r="C118" i="37"/>
  <c r="B118" i="37"/>
  <c r="C117" i="37"/>
  <c r="B117" i="37"/>
  <c r="C116" i="37"/>
  <c r="B116" i="37"/>
  <c r="C115" i="37"/>
  <c r="B115" i="37"/>
  <c r="C114" i="37"/>
  <c r="B114" i="37"/>
  <c r="C113" i="37"/>
  <c r="B113" i="37"/>
  <c r="C112" i="37"/>
  <c r="B112" i="37"/>
  <c r="C111" i="37"/>
  <c r="B111" i="37"/>
  <c r="C110" i="37"/>
  <c r="B110" i="37"/>
  <c r="C109" i="37"/>
  <c r="B109" i="37"/>
  <c r="C108" i="37"/>
  <c r="B108" i="37"/>
  <c r="C107" i="37"/>
  <c r="B107" i="37"/>
  <c r="C106" i="37"/>
  <c r="B106" i="37"/>
  <c r="C105" i="37"/>
  <c r="B105" i="37"/>
  <c r="C104" i="37"/>
  <c r="B104" i="37"/>
  <c r="C103" i="37"/>
  <c r="B103" i="37"/>
  <c r="C102" i="37"/>
  <c r="B102" i="37"/>
  <c r="C101" i="37"/>
  <c r="B101" i="37"/>
  <c r="C100" i="37"/>
  <c r="B100" i="37"/>
  <c r="C99" i="37"/>
  <c r="B99" i="37"/>
  <c r="C98" i="37"/>
  <c r="B98" i="37"/>
  <c r="C97" i="37"/>
  <c r="B97" i="37"/>
  <c r="C96" i="37"/>
  <c r="B96" i="37"/>
  <c r="C95" i="37"/>
  <c r="B95" i="37"/>
  <c r="C94" i="37"/>
  <c r="B94" i="37"/>
  <c r="C93" i="37"/>
  <c r="B93" i="37"/>
  <c r="C92" i="37"/>
  <c r="B92" i="37"/>
  <c r="C91" i="37"/>
  <c r="B91" i="37"/>
  <c r="C90" i="37"/>
  <c r="B90" i="37"/>
  <c r="C89" i="37"/>
  <c r="B89" i="37"/>
  <c r="C88" i="37"/>
  <c r="B88" i="37"/>
  <c r="C87" i="37"/>
  <c r="B87" i="37"/>
  <c r="C86" i="37"/>
  <c r="B86" i="37"/>
  <c r="C85" i="37"/>
  <c r="B85" i="37"/>
  <c r="C84" i="37"/>
  <c r="B84" i="37"/>
  <c r="C83" i="37"/>
  <c r="B83" i="37"/>
  <c r="C82" i="37"/>
  <c r="B82" i="37"/>
  <c r="C81" i="37"/>
  <c r="B81" i="37"/>
  <c r="C80" i="37"/>
  <c r="B80" i="37"/>
  <c r="C79" i="37"/>
  <c r="B79" i="37"/>
  <c r="C78" i="37"/>
  <c r="B78" i="37"/>
  <c r="C77" i="37"/>
  <c r="B77" i="37"/>
  <c r="C76" i="37"/>
  <c r="B76" i="37"/>
  <c r="C75" i="37"/>
  <c r="B75" i="37"/>
  <c r="C74" i="37"/>
  <c r="B74" i="37"/>
  <c r="C73" i="37"/>
  <c r="B73" i="37"/>
  <c r="C72" i="37"/>
  <c r="B72" i="37"/>
  <c r="C71" i="37"/>
  <c r="B71" i="37"/>
  <c r="C70" i="37"/>
  <c r="B70" i="37"/>
  <c r="C69" i="37"/>
  <c r="B69" i="37"/>
  <c r="C68" i="37"/>
  <c r="B68" i="37"/>
  <c r="C67" i="37"/>
  <c r="B67" i="37"/>
  <c r="C66" i="37"/>
  <c r="B66" i="37"/>
  <c r="C65" i="37"/>
  <c r="B65" i="37"/>
  <c r="C64" i="37"/>
  <c r="B64" i="37"/>
  <c r="C63" i="37"/>
  <c r="B63" i="37"/>
  <c r="C62" i="37"/>
  <c r="B62" i="37"/>
  <c r="C61" i="37"/>
  <c r="B61" i="37"/>
  <c r="C60" i="37"/>
  <c r="B60" i="37"/>
  <c r="C59" i="37"/>
  <c r="B59" i="37"/>
  <c r="C58" i="37"/>
  <c r="B58" i="37"/>
  <c r="C57" i="37"/>
  <c r="B57" i="37"/>
  <c r="C56" i="37"/>
  <c r="B56" i="37"/>
  <c r="C55" i="37"/>
  <c r="B55" i="37"/>
  <c r="C54" i="37"/>
  <c r="B54" i="37"/>
  <c r="C53" i="37"/>
  <c r="B53" i="37"/>
  <c r="C52" i="37"/>
  <c r="B52" i="37"/>
  <c r="C51" i="37"/>
  <c r="B51" i="37"/>
  <c r="C50" i="37"/>
  <c r="B50" i="37"/>
  <c r="C49" i="37"/>
  <c r="B49" i="37"/>
  <c r="C48" i="37"/>
  <c r="B48" i="37"/>
  <c r="C47" i="37"/>
  <c r="B47" i="37"/>
  <c r="C46" i="37"/>
  <c r="B46" i="37"/>
  <c r="C45" i="37"/>
  <c r="B45" i="37"/>
  <c r="C44" i="37"/>
  <c r="B44" i="37"/>
  <c r="C43" i="37"/>
  <c r="B43" i="37"/>
  <c r="C42" i="37"/>
  <c r="B42" i="37"/>
  <c r="C41" i="37"/>
  <c r="B41" i="37"/>
  <c r="C40" i="37"/>
  <c r="B40" i="37"/>
  <c r="C39" i="37"/>
  <c r="B39" i="37"/>
  <c r="C38" i="37"/>
  <c r="B38" i="37"/>
  <c r="C37" i="37"/>
  <c r="B37" i="37"/>
  <c r="C36" i="37"/>
  <c r="B36" i="37"/>
  <c r="C35" i="37"/>
  <c r="B35" i="37"/>
  <c r="C34" i="37"/>
  <c r="B34" i="37"/>
  <c r="C33" i="37"/>
  <c r="B33" i="37"/>
  <c r="C32" i="37"/>
  <c r="B32" i="37"/>
  <c r="C31" i="37"/>
  <c r="B31" i="37"/>
  <c r="C30" i="37"/>
  <c r="B30" i="37"/>
  <c r="C29" i="37"/>
  <c r="B29" i="37"/>
  <c r="C28" i="37"/>
  <c r="B28" i="37"/>
  <c r="C27" i="37"/>
  <c r="B27" i="37"/>
  <c r="C26" i="37"/>
  <c r="B26" i="37"/>
  <c r="C25" i="37"/>
  <c r="B25" i="37"/>
  <c r="C24" i="37"/>
  <c r="B24" i="37"/>
  <c r="C23" i="37"/>
  <c r="B23" i="37"/>
  <c r="C22" i="37"/>
  <c r="B22" i="37"/>
  <c r="C21" i="37"/>
  <c r="B21" i="37"/>
  <c r="C20" i="37"/>
  <c r="B20" i="37"/>
  <c r="C19" i="37"/>
  <c r="B19" i="37"/>
  <c r="C18" i="37"/>
  <c r="B18" i="37"/>
  <c r="C17" i="37"/>
  <c r="B17" i="37"/>
  <c r="C16" i="37"/>
  <c r="B16" i="37"/>
  <c r="C15" i="37"/>
  <c r="B15" i="37"/>
  <c r="C14" i="37"/>
  <c r="B14" i="37"/>
  <c r="C13" i="37"/>
  <c r="B13" i="37"/>
  <c r="C12" i="37"/>
  <c r="B12" i="37"/>
  <c r="C11" i="37"/>
  <c r="B11" i="37"/>
  <c r="C10" i="37"/>
  <c r="B10" i="37"/>
  <c r="C9" i="37"/>
  <c r="B9" i="37"/>
  <c r="C8" i="37"/>
  <c r="B8" i="37"/>
  <c r="C7" i="37"/>
  <c r="B7" i="37"/>
  <c r="C6" i="37"/>
  <c r="B6" i="37"/>
  <c r="C5" i="37"/>
  <c r="B5" i="37"/>
  <c r="C4" i="37"/>
  <c r="B4" i="37"/>
  <c r="C3" i="37"/>
  <c r="B3" i="37"/>
  <c r="C2" i="37"/>
  <c r="B2" i="37"/>
  <c r="F3" i="36"/>
  <c r="N3" i="36"/>
  <c r="F408" i="10"/>
  <c r="F4" i="36"/>
  <c r="N4" i="36"/>
  <c r="F409" i="10"/>
  <c r="F5" i="36"/>
  <c r="N5" i="36"/>
  <c r="F410" i="10"/>
  <c r="F6" i="36"/>
  <c r="N6" i="36"/>
  <c r="F411" i="10"/>
  <c r="N7" i="36"/>
  <c r="F412" i="10"/>
  <c r="F8" i="36"/>
  <c r="N8" i="36"/>
  <c r="F413" i="10"/>
  <c r="F9" i="36"/>
  <c r="N9" i="36"/>
  <c r="F414" i="10"/>
  <c r="N10" i="36"/>
  <c r="F415" i="10"/>
  <c r="F11" i="36"/>
  <c r="N11" i="36"/>
  <c r="F416" i="10"/>
  <c r="F12" i="36"/>
  <c r="N12" i="36"/>
  <c r="F417" i="10"/>
  <c r="F13" i="36"/>
  <c r="N13" i="36"/>
  <c r="F418" i="10"/>
  <c r="F14" i="36"/>
  <c r="N14" i="36"/>
  <c r="F419" i="10"/>
  <c r="F15" i="36"/>
  <c r="N15" i="36"/>
  <c r="F420" i="10"/>
  <c r="F16" i="36"/>
  <c r="N16" i="36"/>
  <c r="F421" i="10"/>
  <c r="F17" i="36"/>
  <c r="N17" i="36"/>
  <c r="F422" i="10"/>
  <c r="F18" i="36"/>
  <c r="N18" i="36"/>
  <c r="F423" i="10"/>
  <c r="F19" i="36"/>
  <c r="N19" i="36"/>
  <c r="F424" i="10"/>
  <c r="N20" i="36"/>
  <c r="F425" i="10"/>
  <c r="F21" i="36"/>
  <c r="N21" i="36"/>
  <c r="F426" i="10"/>
  <c r="F22" i="36"/>
  <c r="D427" i="10"/>
  <c r="N22" i="36"/>
  <c r="F427" i="10"/>
  <c r="F23" i="36"/>
  <c r="N23" i="36"/>
  <c r="F428" i="10"/>
  <c r="F24" i="36"/>
  <c r="N24" i="36"/>
  <c r="F429" i="10"/>
  <c r="F25" i="36"/>
  <c r="N25" i="36"/>
  <c r="F430" i="10"/>
  <c r="F26" i="36"/>
  <c r="N26" i="36"/>
  <c r="F431" i="10"/>
  <c r="N27" i="36"/>
  <c r="F432" i="10"/>
  <c r="F28" i="36"/>
  <c r="N28" i="36"/>
  <c r="F433" i="10"/>
  <c r="F29" i="36"/>
  <c r="N29" i="36"/>
  <c r="F434" i="10"/>
  <c r="F30" i="36"/>
  <c r="N30" i="36"/>
  <c r="F435" i="10"/>
  <c r="F31" i="36"/>
  <c r="N31" i="36"/>
  <c r="F436" i="10"/>
  <c r="F32" i="36"/>
  <c r="N32" i="36"/>
  <c r="F437" i="10"/>
  <c r="F33" i="36"/>
  <c r="N33" i="36"/>
  <c r="F438" i="10"/>
  <c r="F34" i="36"/>
  <c r="N34" i="36"/>
  <c r="F439" i="10"/>
  <c r="F35" i="36"/>
  <c r="N35" i="36"/>
  <c r="F440" i="10"/>
  <c r="F36" i="36"/>
  <c r="N36" i="36"/>
  <c r="F441" i="10"/>
  <c r="F37" i="36"/>
  <c r="N37" i="36"/>
  <c r="F442" i="10"/>
  <c r="N38" i="36"/>
  <c r="F443" i="10"/>
  <c r="F39" i="36"/>
  <c r="N39" i="36"/>
  <c r="F444" i="10"/>
  <c r="F40" i="36"/>
  <c r="N40" i="36"/>
  <c r="F445" i="10"/>
  <c r="F41" i="36"/>
  <c r="N41" i="36"/>
  <c r="F446" i="10"/>
  <c r="N42" i="36"/>
  <c r="F447" i="10"/>
  <c r="F43" i="36"/>
  <c r="N43" i="36"/>
  <c r="F448" i="10"/>
  <c r="F44" i="36"/>
  <c r="N44" i="36"/>
  <c r="F449" i="10"/>
  <c r="F45" i="36"/>
  <c r="N45" i="36"/>
  <c r="F450" i="10"/>
  <c r="F46" i="36"/>
  <c r="N46" i="36"/>
  <c r="F451" i="10"/>
  <c r="F47" i="36"/>
  <c r="N47" i="36"/>
  <c r="F452" i="10"/>
  <c r="F48" i="36"/>
  <c r="N48" i="36"/>
  <c r="F453" i="10"/>
  <c r="F49" i="36"/>
  <c r="N49" i="36"/>
  <c r="F454" i="10"/>
  <c r="F455" i="10"/>
  <c r="F51" i="36"/>
  <c r="N51" i="36"/>
  <c r="F456" i="10"/>
  <c r="F52" i="36"/>
  <c r="D457" i="10"/>
  <c r="N52" i="36"/>
  <c r="F457" i="10"/>
  <c r="F53" i="36"/>
  <c r="N53" i="36"/>
  <c r="F458" i="10"/>
  <c r="F459" i="10"/>
  <c r="F55" i="36"/>
  <c r="N55" i="36"/>
  <c r="F460" i="10"/>
  <c r="F56" i="36"/>
  <c r="N56" i="36"/>
  <c r="F461" i="10"/>
  <c r="F57" i="36"/>
  <c r="N57" i="36"/>
  <c r="F462" i="10"/>
  <c r="N58" i="36"/>
  <c r="F463" i="10"/>
  <c r="F59" i="36"/>
  <c r="N59" i="36"/>
  <c r="F464" i="10"/>
  <c r="F60" i="36"/>
  <c r="N60" i="36"/>
  <c r="F465" i="10"/>
  <c r="F2" i="36"/>
  <c r="N2" i="36"/>
  <c r="F407" i="10"/>
  <c r="D408" i="10"/>
  <c r="D410" i="10"/>
  <c r="D413" i="10"/>
  <c r="D414" i="10"/>
  <c r="D416" i="10"/>
  <c r="D418" i="10"/>
  <c r="D420" i="10"/>
  <c r="D422" i="10"/>
  <c r="D424" i="10"/>
  <c r="D426" i="10"/>
  <c r="D429" i="10"/>
  <c r="D430" i="10"/>
  <c r="D434" i="10"/>
  <c r="D435" i="10"/>
  <c r="D436" i="10"/>
  <c r="D437" i="10"/>
  <c r="D438" i="10"/>
  <c r="D439" i="10"/>
  <c r="D440" i="10"/>
  <c r="D442" i="10"/>
  <c r="D444" i="10"/>
  <c r="D445" i="10"/>
  <c r="D448" i="10"/>
  <c r="D449" i="10"/>
  <c r="D451" i="10"/>
  <c r="D452" i="10"/>
  <c r="D453" i="10"/>
  <c r="F50" i="36"/>
  <c r="D455" i="10"/>
  <c r="D458" i="10"/>
  <c r="F54" i="36"/>
  <c r="D459" i="10"/>
  <c r="D460" i="10"/>
  <c r="D462" i="10"/>
  <c r="D464" i="10"/>
  <c r="D407" i="10"/>
  <c r="T3" i="36"/>
  <c r="H408" i="10"/>
  <c r="T4" i="36"/>
  <c r="H409" i="10"/>
  <c r="T5" i="36"/>
  <c r="H410" i="10"/>
  <c r="T6" i="36"/>
  <c r="H411" i="10"/>
  <c r="T7" i="36"/>
  <c r="H412" i="10"/>
  <c r="T8" i="36"/>
  <c r="H413" i="10"/>
  <c r="T9" i="36"/>
  <c r="H414" i="10"/>
  <c r="T10" i="36"/>
  <c r="H415" i="10"/>
  <c r="T11" i="36"/>
  <c r="H416" i="10"/>
  <c r="T12" i="36"/>
  <c r="H417" i="10"/>
  <c r="T13" i="36"/>
  <c r="H418" i="10"/>
  <c r="T14" i="36"/>
  <c r="H419" i="10"/>
  <c r="T15" i="36"/>
  <c r="H420" i="10"/>
  <c r="T16" i="36"/>
  <c r="H421" i="10"/>
  <c r="T17" i="36"/>
  <c r="H422" i="10"/>
  <c r="T18" i="36"/>
  <c r="H423" i="10"/>
  <c r="T19" i="36"/>
  <c r="H424" i="10"/>
  <c r="T20" i="36"/>
  <c r="H425" i="10"/>
  <c r="T21" i="36"/>
  <c r="H426" i="10"/>
  <c r="T22" i="36"/>
  <c r="H427" i="10"/>
  <c r="T23" i="36"/>
  <c r="H428" i="10"/>
  <c r="T24" i="36"/>
  <c r="H429" i="10"/>
  <c r="T25" i="36"/>
  <c r="H430" i="10"/>
  <c r="T26" i="36"/>
  <c r="H431" i="10"/>
  <c r="T27" i="36"/>
  <c r="H432" i="10"/>
  <c r="T28" i="36"/>
  <c r="H433" i="10"/>
  <c r="T29" i="36"/>
  <c r="H434" i="10"/>
  <c r="T30" i="36"/>
  <c r="H435" i="10"/>
  <c r="T31" i="36"/>
  <c r="H436" i="10"/>
  <c r="T32" i="36"/>
  <c r="H437" i="10"/>
  <c r="T33" i="36"/>
  <c r="H438" i="10"/>
  <c r="T34" i="36"/>
  <c r="H439" i="10"/>
  <c r="T35" i="36"/>
  <c r="H440" i="10"/>
  <c r="T36" i="36"/>
  <c r="H441" i="10"/>
  <c r="T37" i="36"/>
  <c r="H442" i="10"/>
  <c r="T38" i="36"/>
  <c r="H443" i="10"/>
  <c r="T39" i="36"/>
  <c r="H444" i="10"/>
  <c r="T40" i="36"/>
  <c r="H445" i="10"/>
  <c r="T41" i="36"/>
  <c r="H446" i="10"/>
  <c r="T42" i="36"/>
  <c r="H447" i="10"/>
  <c r="T43" i="36"/>
  <c r="H448" i="10"/>
  <c r="T44" i="36"/>
  <c r="H449" i="10"/>
  <c r="T45" i="36"/>
  <c r="H450" i="10"/>
  <c r="T46" i="36"/>
  <c r="H451" i="10"/>
  <c r="T47" i="36"/>
  <c r="H452" i="10"/>
  <c r="T48" i="36"/>
  <c r="H453" i="10"/>
  <c r="T49" i="36"/>
  <c r="H454" i="10"/>
  <c r="T50" i="36"/>
  <c r="H455" i="10"/>
  <c r="T51" i="36"/>
  <c r="H456" i="10"/>
  <c r="T52" i="36"/>
  <c r="H457" i="10"/>
  <c r="T53" i="36"/>
  <c r="H458" i="10"/>
  <c r="T54" i="36"/>
  <c r="H459" i="10"/>
  <c r="T55" i="36"/>
  <c r="H460" i="10"/>
  <c r="T56" i="36"/>
  <c r="H461" i="10"/>
  <c r="T57" i="36"/>
  <c r="H462" i="10"/>
  <c r="T58" i="36"/>
  <c r="H463" i="10"/>
  <c r="T59" i="36"/>
  <c r="H464" i="10"/>
  <c r="T60" i="36"/>
  <c r="H465" i="10"/>
  <c r="H466" i="10"/>
  <c r="H467" i="10"/>
  <c r="T2" i="36"/>
  <c r="H407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10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286" i="10"/>
  <c r="AB85" i="34"/>
  <c r="AB109" i="34"/>
  <c r="AB119" i="34"/>
  <c r="AB120" i="34"/>
  <c r="AB123" i="34"/>
  <c r="AB136" i="34"/>
  <c r="AB32" i="34"/>
  <c r="AB33" i="34"/>
  <c r="AB54" i="34"/>
  <c r="AB68" i="34"/>
  <c r="AB70" i="34"/>
  <c r="E564" i="11"/>
  <c r="E551" i="11"/>
  <c r="E566" i="11"/>
  <c r="J249" i="31"/>
  <c r="J246" i="31"/>
  <c r="J239" i="31"/>
  <c r="J232" i="31"/>
  <c r="J229" i="31"/>
  <c r="J205" i="31"/>
  <c r="J186" i="31"/>
  <c r="J183" i="31"/>
  <c r="J182" i="31"/>
  <c r="J175" i="31"/>
  <c r="J161" i="31"/>
  <c r="J109" i="31"/>
  <c r="J90" i="31"/>
  <c r="J70" i="31"/>
  <c r="J57" i="31"/>
  <c r="J50" i="31"/>
  <c r="J44" i="31"/>
  <c r="J43" i="31"/>
  <c r="J32" i="31"/>
  <c r="J29" i="31"/>
  <c r="J15" i="31"/>
  <c r="J4" i="31"/>
  <c r="J27" i="31"/>
  <c r="J26" i="31"/>
  <c r="J21" i="31"/>
  <c r="M68" i="26"/>
  <c r="O68" i="26"/>
  <c r="M67" i="26"/>
  <c r="O67" i="26"/>
  <c r="M66" i="26"/>
  <c r="O66" i="26"/>
  <c r="M65" i="26"/>
  <c r="N65" i="26"/>
  <c r="O65" i="26"/>
  <c r="M64" i="26"/>
  <c r="N64" i="26"/>
  <c r="O64" i="26"/>
  <c r="M63" i="26"/>
  <c r="N63" i="26"/>
  <c r="O63" i="26"/>
  <c r="M62" i="26"/>
  <c r="N62" i="26"/>
  <c r="O62" i="26"/>
  <c r="M61" i="26"/>
  <c r="O61" i="26"/>
  <c r="M60" i="26"/>
  <c r="O60" i="26"/>
  <c r="M59" i="26"/>
  <c r="N59" i="26"/>
  <c r="O59" i="26"/>
  <c r="O58" i="26"/>
  <c r="M57" i="26"/>
  <c r="O57" i="26"/>
  <c r="M56" i="26"/>
  <c r="N56" i="26"/>
  <c r="O56" i="26"/>
  <c r="M55" i="26"/>
  <c r="O55" i="26"/>
  <c r="M54" i="26"/>
  <c r="N54" i="26"/>
  <c r="O54" i="26"/>
  <c r="M53" i="26"/>
  <c r="N53" i="26"/>
  <c r="O53" i="26"/>
  <c r="M52" i="26"/>
  <c r="N52" i="26"/>
  <c r="O52" i="26"/>
  <c r="M51" i="26"/>
  <c r="O51" i="26"/>
  <c r="M50" i="26"/>
  <c r="N50" i="26"/>
  <c r="O50" i="26"/>
  <c r="M49" i="26"/>
  <c r="N49" i="26"/>
  <c r="O49" i="26"/>
  <c r="M48" i="26"/>
  <c r="O48" i="26"/>
  <c r="M47" i="26"/>
  <c r="N47" i="26"/>
  <c r="O47" i="26"/>
  <c r="M46" i="26"/>
  <c r="N46" i="26"/>
  <c r="O46" i="26"/>
  <c r="M45" i="26"/>
  <c r="N45" i="26"/>
  <c r="O45" i="26"/>
  <c r="M44" i="26"/>
  <c r="O44" i="26"/>
  <c r="M43" i="26"/>
  <c r="N43" i="26"/>
  <c r="O43" i="26"/>
  <c r="M42" i="26"/>
  <c r="N42" i="26"/>
  <c r="O42" i="26"/>
  <c r="M41" i="26"/>
  <c r="O41" i="26"/>
  <c r="M40" i="26"/>
  <c r="N40" i="26"/>
  <c r="O40" i="26"/>
  <c r="M39" i="26"/>
  <c r="O39" i="26"/>
  <c r="M38" i="26"/>
  <c r="N38" i="26"/>
  <c r="O38" i="26"/>
  <c r="M37" i="26"/>
  <c r="N37" i="26"/>
  <c r="O37" i="26"/>
  <c r="M36" i="26"/>
  <c r="N36" i="26"/>
  <c r="O36" i="26"/>
  <c r="M35" i="26"/>
  <c r="N35" i="26"/>
  <c r="O35" i="26"/>
  <c r="M34" i="26"/>
  <c r="O34" i="26"/>
  <c r="M33" i="26"/>
  <c r="N33" i="26"/>
  <c r="O33" i="26"/>
  <c r="M32" i="26"/>
  <c r="N32" i="26"/>
  <c r="O32" i="26"/>
  <c r="M31" i="26"/>
  <c r="O31" i="26"/>
  <c r="M30" i="26"/>
  <c r="O30" i="26"/>
  <c r="M29" i="26"/>
  <c r="N29" i="26"/>
  <c r="O29" i="26"/>
  <c r="M28" i="26"/>
  <c r="N28" i="26"/>
  <c r="O28" i="26"/>
  <c r="M27" i="26"/>
  <c r="O27" i="26"/>
  <c r="M26" i="26"/>
  <c r="O26" i="26"/>
  <c r="M25" i="26"/>
  <c r="N25" i="26"/>
  <c r="O25" i="26"/>
  <c r="M24" i="26"/>
  <c r="N24" i="26"/>
  <c r="O24" i="26"/>
  <c r="M23" i="26"/>
  <c r="N23" i="26"/>
  <c r="O23" i="26"/>
  <c r="M22" i="26"/>
  <c r="N22" i="26"/>
  <c r="O22" i="26"/>
  <c r="M21" i="26"/>
  <c r="N21" i="26"/>
  <c r="O21" i="26"/>
  <c r="M20" i="26"/>
  <c r="N20" i="26"/>
  <c r="O20" i="26"/>
  <c r="M19" i="26"/>
  <c r="N19" i="26"/>
  <c r="O19" i="26"/>
  <c r="M18" i="26"/>
  <c r="N18" i="26"/>
  <c r="O18" i="26"/>
  <c r="M17" i="26"/>
  <c r="N17" i="26"/>
  <c r="O17" i="26"/>
  <c r="M16" i="26"/>
  <c r="N16" i="26"/>
  <c r="O16" i="26"/>
  <c r="M15" i="26"/>
  <c r="N15" i="26"/>
  <c r="O15" i="26"/>
  <c r="M14" i="26"/>
  <c r="N14" i="26"/>
  <c r="O14" i="26"/>
  <c r="M13" i="26"/>
  <c r="N13" i="26"/>
  <c r="O13" i="26"/>
  <c r="M12" i="26"/>
  <c r="N12" i="26"/>
  <c r="O12" i="26"/>
  <c r="M11" i="26"/>
  <c r="N11" i="26"/>
  <c r="O11" i="26"/>
  <c r="M10" i="26"/>
  <c r="N10" i="26"/>
  <c r="O10" i="26"/>
  <c r="M9" i="26"/>
  <c r="N9" i="26"/>
  <c r="O9" i="26"/>
  <c r="M8" i="26"/>
  <c r="N8" i="26"/>
  <c r="O8" i="26"/>
  <c r="M7" i="26"/>
  <c r="N7" i="26"/>
  <c r="O7" i="26"/>
  <c r="M6" i="26"/>
  <c r="N6" i="26"/>
  <c r="O6" i="26"/>
  <c r="M5" i="26"/>
  <c r="N5" i="26"/>
  <c r="O5" i="26"/>
  <c r="M4" i="26"/>
  <c r="N4" i="26"/>
  <c r="O4" i="26"/>
  <c r="M3" i="26"/>
  <c r="N3" i="26"/>
  <c r="O3" i="26"/>
  <c r="K71" i="34"/>
  <c r="U71" i="34"/>
  <c r="H216" i="10"/>
  <c r="K3" i="34"/>
  <c r="E148" i="10"/>
  <c r="K4" i="34"/>
  <c r="E149" i="10"/>
  <c r="K5" i="34"/>
  <c r="E150" i="10"/>
  <c r="K6" i="34"/>
  <c r="E151" i="10"/>
  <c r="K7" i="34"/>
  <c r="E152" i="10"/>
  <c r="K8" i="34"/>
  <c r="E153" i="10"/>
  <c r="K9" i="34"/>
  <c r="E154" i="10"/>
  <c r="K10" i="34"/>
  <c r="E155" i="10"/>
  <c r="K11" i="34"/>
  <c r="E156" i="10"/>
  <c r="K12" i="34"/>
  <c r="E157" i="10"/>
  <c r="K13" i="34"/>
  <c r="E158" i="10"/>
  <c r="K14" i="34"/>
  <c r="E159" i="10"/>
  <c r="K15" i="34"/>
  <c r="E160" i="10"/>
  <c r="K16" i="34"/>
  <c r="E161" i="10"/>
  <c r="K17" i="34"/>
  <c r="E162" i="10"/>
  <c r="K18" i="34"/>
  <c r="E163" i="10"/>
  <c r="K19" i="34"/>
  <c r="E164" i="10"/>
  <c r="K20" i="34"/>
  <c r="E165" i="10"/>
  <c r="K21" i="34"/>
  <c r="E166" i="10"/>
  <c r="K22" i="34"/>
  <c r="E167" i="10"/>
  <c r="K23" i="34"/>
  <c r="E168" i="10"/>
  <c r="K24" i="34"/>
  <c r="E169" i="10"/>
  <c r="K25" i="34"/>
  <c r="E170" i="10"/>
  <c r="K26" i="34"/>
  <c r="E171" i="10"/>
  <c r="K27" i="34"/>
  <c r="E172" i="10"/>
  <c r="K28" i="34"/>
  <c r="E173" i="10"/>
  <c r="K29" i="34"/>
  <c r="E174" i="10"/>
  <c r="K30" i="34"/>
  <c r="E175" i="10"/>
  <c r="K31" i="34"/>
  <c r="E176" i="10"/>
  <c r="K33" i="34"/>
  <c r="E178" i="10"/>
  <c r="K34" i="34"/>
  <c r="E179" i="10"/>
  <c r="K35" i="34"/>
  <c r="E180" i="10"/>
  <c r="K36" i="34"/>
  <c r="E181" i="10"/>
  <c r="K37" i="34"/>
  <c r="E182" i="10"/>
  <c r="K38" i="34"/>
  <c r="E183" i="10"/>
  <c r="K39" i="34"/>
  <c r="E184" i="10"/>
  <c r="K40" i="34"/>
  <c r="E185" i="10"/>
  <c r="K41" i="34"/>
  <c r="E186" i="10"/>
  <c r="K42" i="34"/>
  <c r="E187" i="10"/>
  <c r="K43" i="34"/>
  <c r="E188" i="10"/>
  <c r="K44" i="34"/>
  <c r="E189" i="10"/>
  <c r="K45" i="34"/>
  <c r="E190" i="10"/>
  <c r="K46" i="34"/>
  <c r="E191" i="10"/>
  <c r="K47" i="34"/>
  <c r="E192" i="10"/>
  <c r="K48" i="34"/>
  <c r="E193" i="10"/>
  <c r="K49" i="34"/>
  <c r="E194" i="10"/>
  <c r="K50" i="34"/>
  <c r="E195" i="10"/>
  <c r="K51" i="34"/>
  <c r="E196" i="10"/>
  <c r="K52" i="34"/>
  <c r="E197" i="10"/>
  <c r="K53" i="34"/>
  <c r="E198" i="10"/>
  <c r="K55" i="34"/>
  <c r="E200" i="10"/>
  <c r="K56" i="34"/>
  <c r="E201" i="10"/>
  <c r="K57" i="34"/>
  <c r="E202" i="10"/>
  <c r="K58" i="34"/>
  <c r="E203" i="10"/>
  <c r="K59" i="34"/>
  <c r="E204" i="10"/>
  <c r="K60" i="34"/>
  <c r="E205" i="10"/>
  <c r="K61" i="34"/>
  <c r="E206" i="10"/>
  <c r="K62" i="34"/>
  <c r="E207" i="10"/>
  <c r="K63" i="34"/>
  <c r="E208" i="10"/>
  <c r="K64" i="34"/>
  <c r="E209" i="10"/>
  <c r="K65" i="34"/>
  <c r="E210" i="10"/>
  <c r="K66" i="34"/>
  <c r="E211" i="10"/>
  <c r="K67" i="34"/>
  <c r="E212" i="10"/>
  <c r="K69" i="34"/>
  <c r="E214" i="10"/>
  <c r="E216" i="10"/>
  <c r="K72" i="34"/>
  <c r="E217" i="10"/>
  <c r="K73" i="34"/>
  <c r="E218" i="10"/>
  <c r="K74" i="34"/>
  <c r="E219" i="10"/>
  <c r="K75" i="34"/>
  <c r="E220" i="10"/>
  <c r="K76" i="34"/>
  <c r="E221" i="10"/>
  <c r="K77" i="34"/>
  <c r="E222" i="10"/>
  <c r="K78" i="34"/>
  <c r="E223" i="10"/>
  <c r="K79" i="34"/>
  <c r="E224" i="10"/>
  <c r="K80" i="34"/>
  <c r="E225" i="10"/>
  <c r="K81" i="34"/>
  <c r="E226" i="10"/>
  <c r="K82" i="34"/>
  <c r="E227" i="10"/>
  <c r="K83" i="34"/>
  <c r="E228" i="10"/>
  <c r="K84" i="34"/>
  <c r="E229" i="10"/>
  <c r="K86" i="34"/>
  <c r="E231" i="10"/>
  <c r="K87" i="34"/>
  <c r="E232" i="10"/>
  <c r="K88" i="34"/>
  <c r="E233" i="10"/>
  <c r="K89" i="34"/>
  <c r="E234" i="10"/>
  <c r="K90" i="34"/>
  <c r="E235" i="10"/>
  <c r="K91" i="34"/>
  <c r="E236" i="10"/>
  <c r="K92" i="34"/>
  <c r="E237" i="10"/>
  <c r="K93" i="34"/>
  <c r="E238" i="10"/>
  <c r="K94" i="34"/>
  <c r="E239" i="10"/>
  <c r="K95" i="34"/>
  <c r="E240" i="10"/>
  <c r="K96" i="34"/>
  <c r="E241" i="10"/>
  <c r="K97" i="34"/>
  <c r="E242" i="10"/>
  <c r="K98" i="34"/>
  <c r="E243" i="10"/>
  <c r="K99" i="34"/>
  <c r="E244" i="10"/>
  <c r="K100" i="34"/>
  <c r="E245" i="10"/>
  <c r="K101" i="34"/>
  <c r="E246" i="10"/>
  <c r="K102" i="34"/>
  <c r="E247" i="10"/>
  <c r="K103" i="34"/>
  <c r="E248" i="10"/>
  <c r="K104" i="34"/>
  <c r="E249" i="10"/>
  <c r="K105" i="34"/>
  <c r="E250" i="10"/>
  <c r="K106" i="34"/>
  <c r="E251" i="10"/>
  <c r="K107" i="34"/>
  <c r="E252" i="10"/>
  <c r="K108" i="34"/>
  <c r="E253" i="10"/>
  <c r="K110" i="34"/>
  <c r="E255" i="10"/>
  <c r="K111" i="34"/>
  <c r="E256" i="10"/>
  <c r="K112" i="34"/>
  <c r="E257" i="10"/>
  <c r="K113" i="34"/>
  <c r="E258" i="10"/>
  <c r="K114" i="34"/>
  <c r="E259" i="10"/>
  <c r="K115" i="34"/>
  <c r="E260" i="10"/>
  <c r="K116" i="34"/>
  <c r="E261" i="10"/>
  <c r="K117" i="34"/>
  <c r="E262" i="10"/>
  <c r="K118" i="34"/>
  <c r="E263" i="10"/>
  <c r="K121" i="34"/>
  <c r="E266" i="10"/>
  <c r="K122" i="34"/>
  <c r="E267" i="10"/>
  <c r="K124" i="34"/>
  <c r="E269" i="10"/>
  <c r="K125" i="34"/>
  <c r="E270" i="10"/>
  <c r="K126" i="34"/>
  <c r="E271" i="10"/>
  <c r="K127" i="34"/>
  <c r="E272" i="10"/>
  <c r="K128" i="34"/>
  <c r="E273" i="10"/>
  <c r="K129" i="34"/>
  <c r="E274" i="10"/>
  <c r="K130" i="34"/>
  <c r="E275" i="10"/>
  <c r="K131" i="34"/>
  <c r="E276" i="10"/>
  <c r="K132" i="34"/>
  <c r="E277" i="10"/>
  <c r="K133" i="34"/>
  <c r="E278" i="10"/>
  <c r="K134" i="34"/>
  <c r="E279" i="10"/>
  <c r="K135" i="34"/>
  <c r="E280" i="10"/>
  <c r="K137" i="34"/>
  <c r="E282" i="10"/>
  <c r="K138" i="34"/>
  <c r="E283" i="10"/>
  <c r="K139" i="34"/>
  <c r="E284" i="10"/>
  <c r="K2" i="34"/>
  <c r="E147" i="10"/>
  <c r="U4" i="34"/>
  <c r="H149" i="10"/>
  <c r="U6" i="34"/>
  <c r="H151" i="10"/>
  <c r="U8" i="34"/>
  <c r="H153" i="10"/>
  <c r="U10" i="34"/>
  <c r="H155" i="10"/>
  <c r="U12" i="34"/>
  <c r="H157" i="10"/>
  <c r="U14" i="34"/>
  <c r="H159" i="10"/>
  <c r="U16" i="34"/>
  <c r="H161" i="10"/>
  <c r="U18" i="34"/>
  <c r="H163" i="10"/>
  <c r="U20" i="34"/>
  <c r="H165" i="10"/>
  <c r="U22" i="34"/>
  <c r="H167" i="10"/>
  <c r="U24" i="34"/>
  <c r="H169" i="10"/>
  <c r="U26" i="34"/>
  <c r="H171" i="10"/>
  <c r="U28" i="34"/>
  <c r="H173" i="10"/>
  <c r="U30" i="34"/>
  <c r="H175" i="10"/>
  <c r="U33" i="34"/>
  <c r="H178" i="10"/>
  <c r="U35" i="34"/>
  <c r="H180" i="10"/>
  <c r="U37" i="34"/>
  <c r="H182" i="10"/>
  <c r="U39" i="34"/>
  <c r="H184" i="10"/>
  <c r="U41" i="34"/>
  <c r="H186" i="10"/>
  <c r="U43" i="34"/>
  <c r="H188" i="10"/>
  <c r="U45" i="34"/>
  <c r="H190" i="10"/>
  <c r="U47" i="34"/>
  <c r="H192" i="10"/>
  <c r="U49" i="34"/>
  <c r="H194" i="10"/>
  <c r="U51" i="34"/>
  <c r="H196" i="10"/>
  <c r="U53" i="34"/>
  <c r="H198" i="10"/>
  <c r="U56" i="34"/>
  <c r="H201" i="10"/>
  <c r="U58" i="34"/>
  <c r="H203" i="10"/>
  <c r="U60" i="34"/>
  <c r="H205" i="10"/>
  <c r="U62" i="34"/>
  <c r="H207" i="10"/>
  <c r="U64" i="34"/>
  <c r="H209" i="10"/>
  <c r="U66" i="34"/>
  <c r="H211" i="10"/>
  <c r="U69" i="34"/>
  <c r="H214" i="10"/>
  <c r="U73" i="34"/>
  <c r="H218" i="10"/>
  <c r="U75" i="34"/>
  <c r="H220" i="10"/>
  <c r="U77" i="34"/>
  <c r="H222" i="10"/>
  <c r="U79" i="34"/>
  <c r="H224" i="10"/>
  <c r="U81" i="34"/>
  <c r="H226" i="10"/>
  <c r="U83" i="34"/>
  <c r="H228" i="10"/>
  <c r="U86" i="34"/>
  <c r="H231" i="10"/>
  <c r="U88" i="34"/>
  <c r="H233" i="10"/>
  <c r="U90" i="34"/>
  <c r="H235" i="10"/>
  <c r="U92" i="34"/>
  <c r="H237" i="10"/>
  <c r="U94" i="34"/>
  <c r="H239" i="10"/>
  <c r="U96" i="34"/>
  <c r="H241" i="10"/>
  <c r="U98" i="34"/>
  <c r="H243" i="10"/>
  <c r="U100" i="34"/>
  <c r="H245" i="10"/>
  <c r="U102" i="34"/>
  <c r="H247" i="10"/>
  <c r="U104" i="34"/>
  <c r="H249" i="10"/>
  <c r="U106" i="34"/>
  <c r="H251" i="10"/>
  <c r="U108" i="34"/>
  <c r="H253" i="10"/>
  <c r="U111" i="34"/>
  <c r="H256" i="10"/>
  <c r="U113" i="34"/>
  <c r="H258" i="10"/>
  <c r="U115" i="34"/>
  <c r="H260" i="10"/>
  <c r="U117" i="34"/>
  <c r="H262" i="10"/>
  <c r="U121" i="34"/>
  <c r="H266" i="10"/>
  <c r="U124" i="34"/>
  <c r="H269" i="10"/>
  <c r="U126" i="34"/>
  <c r="H271" i="10"/>
  <c r="U128" i="34"/>
  <c r="H273" i="10"/>
  <c r="U130" i="34"/>
  <c r="H275" i="10"/>
  <c r="U132" i="34"/>
  <c r="H277" i="10"/>
  <c r="U134" i="34"/>
  <c r="H279" i="10"/>
  <c r="U137" i="34"/>
  <c r="H282" i="10"/>
  <c r="U139" i="34"/>
  <c r="H284" i="10"/>
  <c r="C139" i="34"/>
  <c r="B139" i="34"/>
  <c r="C138" i="34"/>
  <c r="B138" i="34"/>
  <c r="C137" i="34"/>
  <c r="B137" i="34"/>
  <c r="C136" i="34"/>
  <c r="B136" i="34"/>
  <c r="C135" i="34"/>
  <c r="B135" i="34"/>
  <c r="C134" i="34"/>
  <c r="B134" i="34"/>
  <c r="C133" i="34"/>
  <c r="B133" i="34"/>
  <c r="C132" i="34"/>
  <c r="B132" i="34"/>
  <c r="C131" i="34"/>
  <c r="B131" i="34"/>
  <c r="C130" i="34"/>
  <c r="B130" i="34"/>
  <c r="C129" i="34"/>
  <c r="B129" i="34"/>
  <c r="C128" i="34"/>
  <c r="B128" i="34"/>
  <c r="C127" i="34"/>
  <c r="B127" i="34"/>
  <c r="C126" i="34"/>
  <c r="B126" i="34"/>
  <c r="C125" i="34"/>
  <c r="B125" i="34"/>
  <c r="C124" i="34"/>
  <c r="B124" i="34"/>
  <c r="C123" i="34"/>
  <c r="B123" i="34"/>
  <c r="C122" i="34"/>
  <c r="B122" i="34"/>
  <c r="C121" i="34"/>
  <c r="B121" i="34"/>
  <c r="C120" i="34"/>
  <c r="B120" i="34"/>
  <c r="C119" i="34"/>
  <c r="B119" i="34"/>
  <c r="C118" i="34"/>
  <c r="B118" i="34"/>
  <c r="C117" i="34"/>
  <c r="B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C109" i="34"/>
  <c r="B109" i="34"/>
  <c r="C108" i="34"/>
  <c r="B108" i="34"/>
  <c r="C107" i="34"/>
  <c r="B107" i="34"/>
  <c r="C106" i="34"/>
  <c r="B106" i="34"/>
  <c r="C105" i="34"/>
  <c r="B105" i="34"/>
  <c r="C104" i="34"/>
  <c r="B104" i="34"/>
  <c r="C103" i="34"/>
  <c r="B103" i="34"/>
  <c r="C102" i="34"/>
  <c r="B102" i="34"/>
  <c r="C101" i="34"/>
  <c r="B101" i="34"/>
  <c r="C100" i="34"/>
  <c r="B100" i="34"/>
  <c r="C99" i="34"/>
  <c r="B99" i="34"/>
  <c r="C98" i="34"/>
  <c r="B98" i="34"/>
  <c r="C97" i="34"/>
  <c r="B97" i="34"/>
  <c r="C96" i="34"/>
  <c r="B96" i="34"/>
  <c r="C95" i="34"/>
  <c r="B95" i="34"/>
  <c r="C94" i="34"/>
  <c r="B94" i="34"/>
  <c r="C93" i="34"/>
  <c r="B93" i="34"/>
  <c r="C92" i="34"/>
  <c r="B92" i="34"/>
  <c r="C91" i="34"/>
  <c r="B91" i="34"/>
  <c r="C90" i="34"/>
  <c r="B90" i="34"/>
  <c r="C89" i="34"/>
  <c r="B89" i="34"/>
  <c r="C88" i="34"/>
  <c r="B88" i="34"/>
  <c r="C87" i="34"/>
  <c r="B87" i="34"/>
  <c r="C86" i="34"/>
  <c r="B86" i="34"/>
  <c r="C85" i="34"/>
  <c r="B85" i="34"/>
  <c r="C84" i="34"/>
  <c r="B84" i="34"/>
  <c r="C83" i="34"/>
  <c r="B83" i="34"/>
  <c r="C82" i="34"/>
  <c r="B82" i="34"/>
  <c r="C81" i="34"/>
  <c r="B81" i="34"/>
  <c r="C80" i="34"/>
  <c r="B80" i="34"/>
  <c r="C79" i="34"/>
  <c r="B79" i="34"/>
  <c r="C78" i="34"/>
  <c r="B78" i="34"/>
  <c r="C77" i="34"/>
  <c r="B77" i="34"/>
  <c r="C76" i="34"/>
  <c r="B76" i="34"/>
  <c r="C75" i="34"/>
  <c r="B75" i="34"/>
  <c r="C74" i="34"/>
  <c r="B74" i="34"/>
  <c r="C73" i="34"/>
  <c r="B73" i="34"/>
  <c r="C72" i="34"/>
  <c r="B72" i="34"/>
  <c r="C71" i="34"/>
  <c r="B71" i="34"/>
  <c r="C70" i="34"/>
  <c r="B70" i="34"/>
  <c r="C69" i="34"/>
  <c r="B69" i="34"/>
  <c r="C68" i="34"/>
  <c r="B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B57" i="34"/>
  <c r="C56" i="34"/>
  <c r="B56" i="34"/>
  <c r="C55" i="34"/>
  <c r="B55" i="34"/>
  <c r="C54" i="34"/>
  <c r="B54" i="34"/>
  <c r="C53" i="34"/>
  <c r="B53" i="34"/>
  <c r="C52" i="34"/>
  <c r="B52" i="34"/>
  <c r="C51" i="34"/>
  <c r="B51" i="34"/>
  <c r="C50" i="34"/>
  <c r="B50" i="34"/>
  <c r="C49" i="34"/>
  <c r="B49" i="34"/>
  <c r="C48" i="34"/>
  <c r="B48" i="34"/>
  <c r="C47" i="34"/>
  <c r="B47" i="34"/>
  <c r="C46" i="34"/>
  <c r="B46" i="34"/>
  <c r="C45" i="34"/>
  <c r="B45" i="34"/>
  <c r="C44" i="34"/>
  <c r="B44" i="34"/>
  <c r="C43" i="34"/>
  <c r="B43" i="34"/>
  <c r="C42" i="34"/>
  <c r="B42" i="34"/>
  <c r="C41" i="34"/>
  <c r="B41" i="34"/>
  <c r="C40" i="34"/>
  <c r="B40" i="34"/>
  <c r="C39" i="34"/>
  <c r="B39" i="34"/>
  <c r="C38" i="34"/>
  <c r="B38" i="34"/>
  <c r="C37" i="34"/>
  <c r="B37" i="34"/>
  <c r="C36" i="34"/>
  <c r="B36" i="34"/>
  <c r="C35" i="34"/>
  <c r="B35" i="34"/>
  <c r="C34" i="34"/>
  <c r="B34" i="34"/>
  <c r="C33" i="34"/>
  <c r="B33" i="34"/>
  <c r="C32" i="34"/>
  <c r="B32" i="34"/>
  <c r="C31" i="34"/>
  <c r="B31" i="34"/>
  <c r="C30" i="34"/>
  <c r="B30" i="34"/>
  <c r="C29" i="34"/>
  <c r="B29" i="34"/>
  <c r="C28" i="34"/>
  <c r="B28" i="34"/>
  <c r="C27" i="34"/>
  <c r="B27" i="34"/>
  <c r="C26" i="34"/>
  <c r="B26" i="34"/>
  <c r="C25" i="34"/>
  <c r="B25" i="34"/>
  <c r="C24" i="34"/>
  <c r="B24" i="34"/>
  <c r="C23" i="34"/>
  <c r="B23" i="34"/>
  <c r="C22" i="34"/>
  <c r="B22" i="34"/>
  <c r="C21" i="34"/>
  <c r="B21" i="34"/>
  <c r="C20" i="34"/>
  <c r="B20" i="34"/>
  <c r="C19" i="34"/>
  <c r="B19" i="34"/>
  <c r="C18" i="34"/>
  <c r="B18" i="34"/>
  <c r="C17" i="34"/>
  <c r="B17" i="34"/>
  <c r="C16" i="34"/>
  <c r="B16" i="34"/>
  <c r="C15" i="34"/>
  <c r="B15" i="34"/>
  <c r="C14" i="34"/>
  <c r="B14" i="34"/>
  <c r="C13" i="34"/>
  <c r="B13" i="34"/>
  <c r="C12" i="34"/>
  <c r="B12" i="34"/>
  <c r="C11" i="34"/>
  <c r="B11" i="34"/>
  <c r="C10" i="34"/>
  <c r="B10" i="34"/>
  <c r="C9" i="34"/>
  <c r="B9" i="34"/>
  <c r="C8" i="34"/>
  <c r="B8" i="34"/>
  <c r="C7" i="34"/>
  <c r="B7" i="34"/>
  <c r="C6" i="34"/>
  <c r="B6" i="34"/>
  <c r="C5" i="34"/>
  <c r="B5" i="34"/>
  <c r="C4" i="34"/>
  <c r="B4" i="34"/>
  <c r="C3" i="34"/>
  <c r="B3" i="34"/>
  <c r="C2" i="34"/>
  <c r="B2" i="34"/>
  <c r="U3" i="33"/>
  <c r="H72" i="10"/>
  <c r="U4" i="33"/>
  <c r="H73" i="10"/>
  <c r="U5" i="33"/>
  <c r="H74" i="10"/>
  <c r="U6" i="33"/>
  <c r="H75" i="10"/>
  <c r="U7" i="33"/>
  <c r="H76" i="10"/>
  <c r="U8" i="33"/>
  <c r="H77" i="10"/>
  <c r="U9" i="33"/>
  <c r="H78" i="10"/>
  <c r="U10" i="33"/>
  <c r="H79" i="10"/>
  <c r="U11" i="33"/>
  <c r="H80" i="10"/>
  <c r="U12" i="33"/>
  <c r="H81" i="10"/>
  <c r="U13" i="33"/>
  <c r="H82" i="10"/>
  <c r="U14" i="33"/>
  <c r="H83" i="10"/>
  <c r="U15" i="33"/>
  <c r="H84" i="10"/>
  <c r="U16" i="33"/>
  <c r="H85" i="10"/>
  <c r="U17" i="33"/>
  <c r="H86" i="10"/>
  <c r="U18" i="33"/>
  <c r="H87" i="10"/>
  <c r="U19" i="33"/>
  <c r="H88" i="10"/>
  <c r="U20" i="33"/>
  <c r="H89" i="10"/>
  <c r="U21" i="33"/>
  <c r="H90" i="10"/>
  <c r="U22" i="33"/>
  <c r="H91" i="10"/>
  <c r="U23" i="33"/>
  <c r="H92" i="10"/>
  <c r="U24" i="33"/>
  <c r="H93" i="10"/>
  <c r="U25" i="33"/>
  <c r="H94" i="10"/>
  <c r="U26" i="33"/>
  <c r="H95" i="10"/>
  <c r="U28" i="33"/>
  <c r="H97" i="10"/>
  <c r="U29" i="33"/>
  <c r="H98" i="10"/>
  <c r="U30" i="33"/>
  <c r="H99" i="10"/>
  <c r="U31" i="33"/>
  <c r="H100" i="10"/>
  <c r="U32" i="33"/>
  <c r="H101" i="10"/>
  <c r="U33" i="33"/>
  <c r="H102" i="10"/>
  <c r="U34" i="33"/>
  <c r="H103" i="10"/>
  <c r="U35" i="33"/>
  <c r="H104" i="10"/>
  <c r="U36" i="33"/>
  <c r="H105" i="10"/>
  <c r="U37" i="33"/>
  <c r="H106" i="10"/>
  <c r="U38" i="33"/>
  <c r="H107" i="10"/>
  <c r="U39" i="33"/>
  <c r="H108" i="10"/>
  <c r="U40" i="33"/>
  <c r="H109" i="10"/>
  <c r="U41" i="33"/>
  <c r="H110" i="10"/>
  <c r="U42" i="33"/>
  <c r="H111" i="10"/>
  <c r="U43" i="33"/>
  <c r="H112" i="10"/>
  <c r="U44" i="33"/>
  <c r="H113" i="10"/>
  <c r="U45" i="33"/>
  <c r="H114" i="10"/>
  <c r="U46" i="33"/>
  <c r="H115" i="10"/>
  <c r="U47" i="33"/>
  <c r="H116" i="10"/>
  <c r="U48" i="33"/>
  <c r="H117" i="10"/>
  <c r="U49" i="33"/>
  <c r="H118" i="10"/>
  <c r="U50" i="33"/>
  <c r="H119" i="10"/>
  <c r="U51" i="33"/>
  <c r="H120" i="10"/>
  <c r="U52" i="33"/>
  <c r="H121" i="10"/>
  <c r="U53" i="33"/>
  <c r="H122" i="10"/>
  <c r="U54" i="33"/>
  <c r="H123" i="10"/>
  <c r="U55" i="33"/>
  <c r="H124" i="10"/>
  <c r="U56" i="33"/>
  <c r="H125" i="10"/>
  <c r="U57" i="33"/>
  <c r="H126" i="10"/>
  <c r="U58" i="33"/>
  <c r="H127" i="10"/>
  <c r="U59" i="33"/>
  <c r="H128" i="10"/>
  <c r="U60" i="33"/>
  <c r="H129" i="10"/>
  <c r="U61" i="33"/>
  <c r="H130" i="10"/>
  <c r="U62" i="33"/>
  <c r="H131" i="10"/>
  <c r="U63" i="33"/>
  <c r="H132" i="10"/>
  <c r="U64" i="33"/>
  <c r="H133" i="10"/>
  <c r="U65" i="33"/>
  <c r="H134" i="10"/>
  <c r="U66" i="33"/>
  <c r="H135" i="10"/>
  <c r="U67" i="33"/>
  <c r="H136" i="10"/>
  <c r="U69" i="33"/>
  <c r="H138" i="10"/>
  <c r="U70" i="33"/>
  <c r="H139" i="10"/>
  <c r="U71" i="33"/>
  <c r="H140" i="10"/>
  <c r="U72" i="33"/>
  <c r="H141" i="10"/>
  <c r="U73" i="33"/>
  <c r="H142" i="10"/>
  <c r="U74" i="33"/>
  <c r="H143" i="10"/>
  <c r="U75" i="33"/>
  <c r="H144" i="10"/>
  <c r="U76" i="33"/>
  <c r="H145" i="10"/>
  <c r="U2" i="33"/>
  <c r="H71" i="10"/>
  <c r="U27" i="33"/>
  <c r="U68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6" i="33"/>
  <c r="K55" i="33"/>
  <c r="K54" i="33"/>
  <c r="K53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8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K3" i="33"/>
  <c r="K2" i="33"/>
  <c r="C1042" i="10"/>
  <c r="B1042" i="10"/>
  <c r="C1041" i="10"/>
  <c r="B1041" i="10"/>
  <c r="C1040" i="10"/>
  <c r="B1040" i="10"/>
  <c r="C1039" i="10"/>
  <c r="B1039" i="10"/>
  <c r="C1038" i="10"/>
  <c r="B1038" i="10"/>
  <c r="C1037" i="10"/>
  <c r="B1037" i="10"/>
  <c r="C1036" i="10"/>
  <c r="B1036" i="10"/>
  <c r="C1035" i="10"/>
  <c r="B1035" i="10"/>
  <c r="C1034" i="10"/>
  <c r="B1034" i="10"/>
  <c r="C1033" i="10"/>
  <c r="B1033" i="10"/>
  <c r="C1032" i="10"/>
  <c r="B1032" i="10"/>
  <c r="C1031" i="10"/>
  <c r="B1031" i="10"/>
  <c r="C1030" i="10"/>
  <c r="B1030" i="10"/>
  <c r="C1029" i="10"/>
  <c r="B1029" i="10"/>
  <c r="C1028" i="10"/>
  <c r="B1028" i="10"/>
  <c r="C1027" i="10"/>
  <c r="B1027" i="10"/>
  <c r="C1026" i="10"/>
  <c r="B1026" i="10"/>
  <c r="C1025" i="10"/>
  <c r="B1025" i="10"/>
  <c r="C1024" i="10"/>
  <c r="B1024" i="10"/>
  <c r="C1023" i="10"/>
  <c r="B1023" i="10"/>
  <c r="C1022" i="10"/>
  <c r="B1022" i="10"/>
  <c r="C1021" i="10"/>
  <c r="B1021" i="10"/>
  <c r="C1020" i="10"/>
  <c r="B1020" i="10"/>
  <c r="C1019" i="10"/>
  <c r="B1019" i="10"/>
  <c r="C1018" i="10"/>
  <c r="B1018" i="10"/>
  <c r="C1017" i="10"/>
  <c r="B1017" i="10"/>
  <c r="C1016" i="10"/>
  <c r="B1016" i="10"/>
  <c r="C1015" i="10"/>
  <c r="B1015" i="10"/>
  <c r="C1014" i="10"/>
  <c r="B1014" i="10"/>
  <c r="C1013" i="10"/>
  <c r="B1013" i="10"/>
  <c r="C1012" i="10"/>
  <c r="B1012" i="10"/>
  <c r="C1011" i="10"/>
  <c r="B1011" i="10"/>
  <c r="C1010" i="10"/>
  <c r="B1010" i="10"/>
  <c r="C1009" i="10"/>
  <c r="B1009" i="10"/>
  <c r="C1008" i="10"/>
  <c r="B1008" i="10"/>
  <c r="C1007" i="10"/>
  <c r="B1007" i="10"/>
  <c r="C1006" i="10"/>
  <c r="B1006" i="10"/>
  <c r="C1005" i="10"/>
  <c r="B1005" i="10"/>
  <c r="C1004" i="10"/>
  <c r="B1004" i="10"/>
  <c r="C1003" i="10"/>
  <c r="B1003" i="10"/>
  <c r="C1002" i="10"/>
  <c r="B1002" i="10"/>
  <c r="C1001" i="10"/>
  <c r="B1001" i="10"/>
  <c r="C1000" i="10"/>
  <c r="B1000" i="10"/>
  <c r="C999" i="10"/>
  <c r="B999" i="10"/>
  <c r="C998" i="10"/>
  <c r="B998" i="10"/>
  <c r="C997" i="10"/>
  <c r="B997" i="10"/>
  <c r="C996" i="10"/>
  <c r="B996" i="10"/>
  <c r="C995" i="10"/>
  <c r="B995" i="10"/>
  <c r="C994" i="10"/>
  <c r="B994" i="10"/>
  <c r="C993" i="10"/>
  <c r="B993" i="10"/>
  <c r="C992" i="10"/>
  <c r="B992" i="10"/>
  <c r="C991" i="10"/>
  <c r="B991" i="10"/>
  <c r="C990" i="10"/>
  <c r="B990" i="10"/>
  <c r="C989" i="10"/>
  <c r="B989" i="10"/>
  <c r="C988" i="10"/>
  <c r="B988" i="10"/>
  <c r="C987" i="10"/>
  <c r="B987" i="10"/>
  <c r="C986" i="10"/>
  <c r="B986" i="10"/>
  <c r="C985" i="10"/>
  <c r="B985" i="10"/>
  <c r="C984" i="10"/>
  <c r="B984" i="10"/>
  <c r="C983" i="10"/>
  <c r="B983" i="10"/>
  <c r="C982" i="10"/>
  <c r="B982" i="10"/>
  <c r="C981" i="10"/>
  <c r="B981" i="10"/>
  <c r="C980" i="10"/>
  <c r="B980" i="10"/>
  <c r="C979" i="10"/>
  <c r="B979" i="10"/>
  <c r="C978" i="10"/>
  <c r="B978" i="10"/>
  <c r="C977" i="10"/>
  <c r="B977" i="10"/>
  <c r="C976" i="10"/>
  <c r="B976" i="10"/>
  <c r="C975" i="10"/>
  <c r="B975" i="10"/>
  <c r="C974" i="10"/>
  <c r="B974" i="10"/>
  <c r="C973" i="10"/>
  <c r="B973" i="10"/>
  <c r="C972" i="10"/>
  <c r="B972" i="10"/>
  <c r="C971" i="10"/>
  <c r="B971" i="10"/>
  <c r="C970" i="10"/>
  <c r="B970" i="10"/>
  <c r="C969" i="10"/>
  <c r="B969" i="10"/>
  <c r="C968" i="10"/>
  <c r="B968" i="10"/>
  <c r="C967" i="10"/>
  <c r="B967" i="10"/>
  <c r="C966" i="10"/>
  <c r="B966" i="10"/>
  <c r="C965" i="10"/>
  <c r="B965" i="10"/>
  <c r="C964" i="10"/>
  <c r="B964" i="10"/>
  <c r="C963" i="10"/>
  <c r="B963" i="10"/>
  <c r="C962" i="10"/>
  <c r="B962" i="10"/>
  <c r="C961" i="10"/>
  <c r="B961" i="10"/>
  <c r="C960" i="10"/>
  <c r="B960" i="10"/>
  <c r="C959" i="10"/>
  <c r="B959" i="10"/>
  <c r="C958" i="10"/>
  <c r="B958" i="10"/>
  <c r="C957" i="10"/>
  <c r="B957" i="10"/>
  <c r="C956" i="10"/>
  <c r="B956" i="10"/>
  <c r="C955" i="10"/>
  <c r="B955" i="10"/>
  <c r="C954" i="10"/>
  <c r="B954" i="10"/>
  <c r="C953" i="10"/>
  <c r="B953" i="10"/>
  <c r="C952" i="10"/>
  <c r="B952" i="10"/>
  <c r="C951" i="10"/>
  <c r="B951" i="10"/>
  <c r="C950" i="10"/>
  <c r="B950" i="10"/>
  <c r="C949" i="10"/>
  <c r="B949" i="10"/>
  <c r="C948" i="10"/>
  <c r="B948" i="10"/>
  <c r="C947" i="10"/>
  <c r="B947" i="10"/>
  <c r="C946" i="10"/>
  <c r="B946" i="10"/>
  <c r="C945" i="10"/>
  <c r="B945" i="10"/>
  <c r="C944" i="10"/>
  <c r="B944" i="10"/>
  <c r="C943" i="10"/>
  <c r="B943" i="10"/>
  <c r="C942" i="10"/>
  <c r="B942" i="10"/>
  <c r="C941" i="10"/>
  <c r="B941" i="10"/>
  <c r="C940" i="10"/>
  <c r="B940" i="10"/>
  <c r="C939" i="10"/>
  <c r="B939" i="10"/>
  <c r="C938" i="10"/>
  <c r="B938" i="10"/>
  <c r="C937" i="10"/>
  <c r="B937" i="10"/>
  <c r="C936" i="10"/>
  <c r="B936" i="10"/>
  <c r="C935" i="10"/>
  <c r="B935" i="10"/>
  <c r="C934" i="10"/>
  <c r="B934" i="10"/>
  <c r="C933" i="10"/>
  <c r="B933" i="10"/>
  <c r="C932" i="10"/>
  <c r="B932" i="10"/>
  <c r="C931" i="10"/>
  <c r="B931" i="10"/>
  <c r="C930" i="10"/>
  <c r="B930" i="10"/>
  <c r="C929" i="10"/>
  <c r="B929" i="10"/>
  <c r="C928" i="10"/>
  <c r="B928" i="10"/>
  <c r="C927" i="10"/>
  <c r="B927" i="10"/>
  <c r="C926" i="10"/>
  <c r="B926" i="10"/>
  <c r="C925" i="10"/>
  <c r="B925" i="10"/>
  <c r="C924" i="10"/>
  <c r="B924" i="10"/>
  <c r="C923" i="10"/>
  <c r="B923" i="10"/>
  <c r="C922" i="10"/>
  <c r="B922" i="10"/>
  <c r="C921" i="10"/>
  <c r="B921" i="10"/>
  <c r="C920" i="10"/>
  <c r="B920" i="10"/>
  <c r="C919" i="10"/>
  <c r="B919" i="10"/>
  <c r="C918" i="10"/>
  <c r="B918" i="10"/>
  <c r="C917" i="10"/>
  <c r="B917" i="10"/>
  <c r="C916" i="10"/>
  <c r="B916" i="10"/>
  <c r="C915" i="10"/>
  <c r="B915" i="10"/>
  <c r="C914" i="10"/>
  <c r="B914" i="10"/>
  <c r="C913" i="10"/>
  <c r="B913" i="10"/>
  <c r="C912" i="10"/>
  <c r="B912" i="10"/>
  <c r="C911" i="10"/>
  <c r="B911" i="10"/>
  <c r="C910" i="10"/>
  <c r="B910" i="10"/>
  <c r="C909" i="10"/>
  <c r="B909" i="10"/>
  <c r="C908" i="10"/>
  <c r="B908" i="10"/>
  <c r="C907" i="10"/>
  <c r="B907" i="10"/>
  <c r="C906" i="10"/>
  <c r="B906" i="10"/>
  <c r="C905" i="10"/>
  <c r="B905" i="10"/>
  <c r="C904" i="10"/>
  <c r="B904" i="10"/>
  <c r="C903" i="10"/>
  <c r="B903" i="10"/>
  <c r="C902" i="10"/>
  <c r="B902" i="10"/>
  <c r="C901" i="10"/>
  <c r="B901" i="10"/>
  <c r="C900" i="10"/>
  <c r="B900" i="10"/>
  <c r="C899" i="10"/>
  <c r="B899" i="10"/>
  <c r="C898" i="10"/>
  <c r="B898" i="10"/>
  <c r="C897" i="10"/>
  <c r="B897" i="10"/>
  <c r="C896" i="10"/>
  <c r="B896" i="10"/>
  <c r="C895" i="10"/>
  <c r="B895" i="10"/>
  <c r="C894" i="10"/>
  <c r="B894" i="10"/>
  <c r="C893" i="10"/>
  <c r="B893" i="10"/>
  <c r="C892" i="10"/>
  <c r="B892" i="10"/>
  <c r="C891" i="10"/>
  <c r="B891" i="10"/>
  <c r="C890" i="10"/>
  <c r="B890" i="10"/>
  <c r="C889" i="10"/>
  <c r="B889" i="10"/>
  <c r="C888" i="10"/>
  <c r="B888" i="10"/>
  <c r="C887" i="10"/>
  <c r="B887" i="10"/>
  <c r="C886" i="10"/>
  <c r="B886" i="10"/>
  <c r="C885" i="10"/>
  <c r="B885" i="10"/>
  <c r="C884" i="10"/>
  <c r="B884" i="10"/>
  <c r="C883" i="10"/>
  <c r="B883" i="10"/>
  <c r="C882" i="10"/>
  <c r="B882" i="10"/>
  <c r="C881" i="10"/>
  <c r="B881" i="10"/>
  <c r="C880" i="10"/>
  <c r="B880" i="10"/>
  <c r="C879" i="10"/>
  <c r="B879" i="10"/>
  <c r="C878" i="10"/>
  <c r="B878" i="10"/>
  <c r="C877" i="10"/>
  <c r="B877" i="10"/>
  <c r="C876" i="10"/>
  <c r="B876" i="10"/>
  <c r="C875" i="10"/>
  <c r="B875" i="10"/>
  <c r="C874" i="10"/>
  <c r="B874" i="10"/>
  <c r="C873" i="10"/>
  <c r="B873" i="10"/>
  <c r="C872" i="10"/>
  <c r="B872" i="10"/>
  <c r="C871" i="10"/>
  <c r="B871" i="10"/>
  <c r="C870" i="10"/>
  <c r="B870" i="10"/>
  <c r="C869" i="10"/>
  <c r="B869" i="10"/>
  <c r="C868" i="10"/>
  <c r="B868" i="10"/>
  <c r="C867" i="10"/>
  <c r="B867" i="10"/>
  <c r="C866" i="10"/>
  <c r="B866" i="10"/>
  <c r="C865" i="10"/>
  <c r="B865" i="10"/>
  <c r="C864" i="10"/>
  <c r="B864" i="10"/>
  <c r="C863" i="10"/>
  <c r="B863" i="10"/>
  <c r="C862" i="10"/>
  <c r="B862" i="10"/>
  <c r="C861" i="10"/>
  <c r="B861" i="10"/>
  <c r="C860" i="10"/>
  <c r="B860" i="10"/>
  <c r="C859" i="10"/>
  <c r="B859" i="10"/>
  <c r="C858" i="10"/>
  <c r="B858" i="10"/>
  <c r="C857" i="10"/>
  <c r="B857" i="10"/>
  <c r="C856" i="10"/>
  <c r="B856" i="10"/>
  <c r="C855" i="10"/>
  <c r="B855" i="10"/>
  <c r="C854" i="10"/>
  <c r="B854" i="10"/>
  <c r="C853" i="10"/>
  <c r="B853" i="10"/>
  <c r="C852" i="10"/>
  <c r="B852" i="10"/>
  <c r="C851" i="10"/>
  <c r="B851" i="10"/>
  <c r="C850" i="10"/>
  <c r="B850" i="10"/>
  <c r="C849" i="10"/>
  <c r="B849" i="10"/>
  <c r="C848" i="10"/>
  <c r="B848" i="10"/>
  <c r="C847" i="10"/>
  <c r="B847" i="10"/>
  <c r="C846" i="10"/>
  <c r="B846" i="10"/>
  <c r="C845" i="10"/>
  <c r="B845" i="10"/>
  <c r="C844" i="10"/>
  <c r="B844" i="10"/>
  <c r="C843" i="10"/>
  <c r="B843" i="10"/>
  <c r="C842" i="10"/>
  <c r="B842" i="10"/>
  <c r="C841" i="10"/>
  <c r="B841" i="10"/>
  <c r="C840" i="10"/>
  <c r="B840" i="10"/>
  <c r="C839" i="10"/>
  <c r="B839" i="10"/>
  <c r="C838" i="10"/>
  <c r="B838" i="10"/>
  <c r="C837" i="10"/>
  <c r="B837" i="10"/>
  <c r="C836" i="10"/>
  <c r="B836" i="10"/>
  <c r="C835" i="10"/>
  <c r="B835" i="10"/>
  <c r="C834" i="10"/>
  <c r="B834" i="10"/>
  <c r="C833" i="10"/>
  <c r="B833" i="10"/>
  <c r="C832" i="10"/>
  <c r="B832" i="10"/>
  <c r="C831" i="10"/>
  <c r="B831" i="10"/>
  <c r="C830" i="10"/>
  <c r="B830" i="10"/>
  <c r="C829" i="10"/>
  <c r="B829" i="10"/>
  <c r="C828" i="10"/>
  <c r="B828" i="10"/>
  <c r="C827" i="10"/>
  <c r="B827" i="10"/>
  <c r="C826" i="10"/>
  <c r="B826" i="10"/>
  <c r="C825" i="10"/>
  <c r="B825" i="10"/>
  <c r="C824" i="10"/>
  <c r="B824" i="10"/>
  <c r="C823" i="10"/>
  <c r="B823" i="10"/>
  <c r="C822" i="10"/>
  <c r="B822" i="10"/>
  <c r="C821" i="10"/>
  <c r="B821" i="10"/>
  <c r="C820" i="10"/>
  <c r="B820" i="10"/>
  <c r="C819" i="10"/>
  <c r="B819" i="10"/>
  <c r="C818" i="10"/>
  <c r="B818" i="10"/>
  <c r="C817" i="10"/>
  <c r="B817" i="10"/>
  <c r="C816" i="10"/>
  <c r="B816" i="10"/>
  <c r="C815" i="10"/>
  <c r="B815" i="10"/>
  <c r="C814" i="10"/>
  <c r="B814" i="10"/>
  <c r="C813" i="10"/>
  <c r="B813" i="10"/>
  <c r="C812" i="10"/>
  <c r="B812" i="10"/>
  <c r="C811" i="10"/>
  <c r="B811" i="10"/>
  <c r="C810" i="10"/>
  <c r="B810" i="10"/>
  <c r="C809" i="10"/>
  <c r="B809" i="10"/>
  <c r="C808" i="10"/>
  <c r="B808" i="10"/>
  <c r="C807" i="10"/>
  <c r="B807" i="10"/>
  <c r="C806" i="10"/>
  <c r="B806" i="10"/>
  <c r="C805" i="10"/>
  <c r="B805" i="10"/>
  <c r="C804" i="10"/>
  <c r="B804" i="10"/>
  <c r="K803" i="10"/>
  <c r="J803" i="10"/>
  <c r="I803" i="10"/>
  <c r="G803" i="10"/>
  <c r="E803" i="10"/>
  <c r="D803" i="10"/>
  <c r="C803" i="10"/>
  <c r="B803" i="10"/>
  <c r="C802" i="10"/>
  <c r="B802" i="10"/>
  <c r="C801" i="10"/>
  <c r="B801" i="10"/>
  <c r="C800" i="10"/>
  <c r="B800" i="10"/>
  <c r="C799" i="10"/>
  <c r="B799" i="10"/>
  <c r="C798" i="10"/>
  <c r="B798" i="10"/>
  <c r="C797" i="10"/>
  <c r="B797" i="10"/>
  <c r="C796" i="10"/>
  <c r="B796" i="10"/>
  <c r="C795" i="10"/>
  <c r="B795" i="10"/>
  <c r="C794" i="10"/>
  <c r="B794" i="10"/>
  <c r="C793" i="10"/>
  <c r="B793" i="10"/>
  <c r="C792" i="10"/>
  <c r="B792" i="10"/>
  <c r="C791" i="10"/>
  <c r="B791" i="10"/>
  <c r="C790" i="10"/>
  <c r="B790" i="10"/>
  <c r="C789" i="10"/>
  <c r="B789" i="10"/>
  <c r="C788" i="10"/>
  <c r="B788" i="10"/>
  <c r="C787" i="10"/>
  <c r="B787" i="10"/>
  <c r="C786" i="10"/>
  <c r="B786" i="10"/>
  <c r="C785" i="10"/>
  <c r="B785" i="10"/>
  <c r="C784" i="10"/>
  <c r="B784" i="10"/>
  <c r="C783" i="10"/>
  <c r="B783" i="10"/>
  <c r="C782" i="10"/>
  <c r="B782" i="10"/>
  <c r="C781" i="10"/>
  <c r="B781" i="10"/>
  <c r="C780" i="10"/>
  <c r="B780" i="10"/>
  <c r="C779" i="10"/>
  <c r="B779" i="10"/>
  <c r="C778" i="10"/>
  <c r="B778" i="10"/>
  <c r="C777" i="10"/>
  <c r="B777" i="10"/>
  <c r="C776" i="10"/>
  <c r="B776" i="10"/>
  <c r="C775" i="10"/>
  <c r="B775" i="10"/>
  <c r="C774" i="10"/>
  <c r="B774" i="10"/>
  <c r="C773" i="10"/>
  <c r="B773" i="10"/>
  <c r="C772" i="10"/>
  <c r="B772" i="10"/>
  <c r="C771" i="10"/>
  <c r="B771" i="10"/>
  <c r="C770" i="10"/>
  <c r="B770" i="10"/>
  <c r="C769" i="10"/>
  <c r="B769" i="10"/>
  <c r="C768" i="10"/>
  <c r="B768" i="10"/>
  <c r="C767" i="10"/>
  <c r="B767" i="10"/>
  <c r="C766" i="10"/>
  <c r="B766" i="10"/>
  <c r="C765" i="10"/>
  <c r="B765" i="10"/>
  <c r="C764" i="10"/>
  <c r="B764" i="10"/>
  <c r="C763" i="10"/>
  <c r="B763" i="10"/>
  <c r="C762" i="10"/>
  <c r="B762" i="10"/>
  <c r="C761" i="10"/>
  <c r="B761" i="10"/>
  <c r="C760" i="10"/>
  <c r="B760" i="10"/>
  <c r="C759" i="10"/>
  <c r="B759" i="10"/>
  <c r="C758" i="10"/>
  <c r="B758" i="10"/>
  <c r="C757" i="10"/>
  <c r="B757" i="10"/>
  <c r="C756" i="10"/>
  <c r="B756" i="10"/>
  <c r="C755" i="10"/>
  <c r="B755" i="10"/>
  <c r="C754" i="10"/>
  <c r="B754" i="10"/>
  <c r="C753" i="10"/>
  <c r="B753" i="10"/>
  <c r="C752" i="10"/>
  <c r="B752" i="10"/>
  <c r="C751" i="10"/>
  <c r="B751" i="10"/>
  <c r="C750" i="10"/>
  <c r="B750" i="10"/>
  <c r="C749" i="10"/>
  <c r="B749" i="10"/>
  <c r="C748" i="10"/>
  <c r="B748" i="10"/>
  <c r="C747" i="10"/>
  <c r="B747" i="10"/>
  <c r="C746" i="10"/>
  <c r="B746" i="10"/>
  <c r="C745" i="10"/>
  <c r="B745" i="10"/>
  <c r="C744" i="10"/>
  <c r="B744" i="10"/>
  <c r="C743" i="10"/>
  <c r="B743" i="10"/>
  <c r="C742" i="10"/>
  <c r="B742" i="10"/>
  <c r="C741" i="10"/>
  <c r="B741" i="10"/>
  <c r="C740" i="10"/>
  <c r="B740" i="10"/>
  <c r="C739" i="10"/>
  <c r="B739" i="10"/>
  <c r="C738" i="10"/>
  <c r="B738" i="10"/>
  <c r="C737" i="10"/>
  <c r="B737" i="10"/>
  <c r="C736" i="10"/>
  <c r="B736" i="10"/>
  <c r="C735" i="10"/>
  <c r="B735" i="10"/>
  <c r="C734" i="10"/>
  <c r="B734" i="10"/>
  <c r="C733" i="10"/>
  <c r="B733" i="10"/>
  <c r="C732" i="10"/>
  <c r="B732" i="10"/>
  <c r="C731" i="10"/>
  <c r="B731" i="10"/>
  <c r="C730" i="10"/>
  <c r="B730" i="10"/>
  <c r="C729" i="10"/>
  <c r="B729" i="10"/>
  <c r="C728" i="10"/>
  <c r="B728" i="10"/>
  <c r="C727" i="10"/>
  <c r="B727" i="10"/>
  <c r="C726" i="10"/>
  <c r="B726" i="10"/>
  <c r="C725" i="10"/>
  <c r="B725" i="10"/>
  <c r="C724" i="10"/>
  <c r="B724" i="10"/>
  <c r="C723" i="10"/>
  <c r="B723" i="10"/>
  <c r="C722" i="10"/>
  <c r="B722" i="10"/>
  <c r="C721" i="10"/>
  <c r="B721" i="10"/>
  <c r="C720" i="10"/>
  <c r="B720" i="10"/>
  <c r="C719" i="10"/>
  <c r="B719" i="10"/>
  <c r="C718" i="10"/>
  <c r="B718" i="10"/>
  <c r="C717" i="10"/>
  <c r="B717" i="10"/>
  <c r="C716" i="10"/>
  <c r="B716" i="10"/>
  <c r="C715" i="10"/>
  <c r="B715" i="10"/>
  <c r="C714" i="10"/>
  <c r="B714" i="10"/>
  <c r="C713" i="10"/>
  <c r="B713" i="10"/>
  <c r="C712" i="10"/>
  <c r="B712" i="10"/>
  <c r="C711" i="10"/>
  <c r="B711" i="10"/>
  <c r="C710" i="10"/>
  <c r="B710" i="10"/>
  <c r="C709" i="10"/>
  <c r="B709" i="10"/>
  <c r="C708" i="10"/>
  <c r="B708" i="10"/>
  <c r="C707" i="10"/>
  <c r="B707" i="10"/>
  <c r="C706" i="10"/>
  <c r="B706" i="10"/>
  <c r="C705" i="10"/>
  <c r="B705" i="10"/>
  <c r="J704" i="10"/>
  <c r="I704" i="10"/>
  <c r="C704" i="10"/>
  <c r="B704" i="10"/>
  <c r="C703" i="10"/>
  <c r="B703" i="10"/>
  <c r="C702" i="10"/>
  <c r="B702" i="10"/>
  <c r="C701" i="10"/>
  <c r="B701" i="10"/>
  <c r="C700" i="10"/>
  <c r="B700" i="10"/>
  <c r="C699" i="10"/>
  <c r="B699" i="10"/>
  <c r="C698" i="10"/>
  <c r="B698" i="10"/>
  <c r="C697" i="10"/>
  <c r="B697" i="10"/>
  <c r="C696" i="10"/>
  <c r="B696" i="10"/>
  <c r="C695" i="10"/>
  <c r="B695" i="10"/>
  <c r="C694" i="10"/>
  <c r="B694" i="10"/>
  <c r="C693" i="10"/>
  <c r="B693" i="10"/>
  <c r="C692" i="10"/>
  <c r="B692" i="10"/>
  <c r="C691" i="10"/>
  <c r="B691" i="10"/>
  <c r="C690" i="10"/>
  <c r="B690" i="10"/>
  <c r="C689" i="10"/>
  <c r="B689" i="10"/>
  <c r="C688" i="10"/>
  <c r="B688" i="10"/>
  <c r="C687" i="10"/>
  <c r="B687" i="10"/>
  <c r="C686" i="10"/>
  <c r="B686" i="10"/>
  <c r="C685" i="10"/>
  <c r="B685" i="10"/>
  <c r="C684" i="10"/>
  <c r="B684" i="10"/>
  <c r="C683" i="10"/>
  <c r="B683" i="10"/>
  <c r="C682" i="10"/>
  <c r="B682" i="10"/>
  <c r="C681" i="10"/>
  <c r="B681" i="10"/>
  <c r="C680" i="10"/>
  <c r="B680" i="10"/>
  <c r="C679" i="10"/>
  <c r="B679" i="10"/>
  <c r="C678" i="10"/>
  <c r="B678" i="10"/>
  <c r="C677" i="10"/>
  <c r="B677" i="10"/>
  <c r="C676" i="10"/>
  <c r="B676" i="10"/>
  <c r="C675" i="10"/>
  <c r="B675" i="10"/>
  <c r="C674" i="10"/>
  <c r="B674" i="10"/>
  <c r="C673" i="10"/>
  <c r="B673" i="10"/>
  <c r="C672" i="10"/>
  <c r="B672" i="10"/>
  <c r="C671" i="10"/>
  <c r="B671" i="10"/>
  <c r="C670" i="10"/>
  <c r="B670" i="10"/>
  <c r="C669" i="10"/>
  <c r="B669" i="10"/>
  <c r="C668" i="10"/>
  <c r="B668" i="10"/>
  <c r="C667" i="10"/>
  <c r="B667" i="10"/>
  <c r="C666" i="10"/>
  <c r="B666" i="10"/>
  <c r="C665" i="10"/>
  <c r="B665" i="10"/>
  <c r="C664" i="10"/>
  <c r="B664" i="10"/>
  <c r="C663" i="10"/>
  <c r="B663" i="10"/>
  <c r="C662" i="10"/>
  <c r="B662" i="10"/>
  <c r="C661" i="10"/>
  <c r="B661" i="10"/>
  <c r="C660" i="10"/>
  <c r="B660" i="10"/>
  <c r="C659" i="10"/>
  <c r="B659" i="10"/>
  <c r="C658" i="10"/>
  <c r="B658" i="10"/>
  <c r="C657" i="10"/>
  <c r="B657" i="10"/>
  <c r="C656" i="10"/>
  <c r="B656" i="10"/>
  <c r="K655" i="10"/>
  <c r="J655" i="10"/>
  <c r="I655" i="10"/>
  <c r="E655" i="10"/>
  <c r="D655" i="10"/>
  <c r="C655" i="10"/>
  <c r="B655" i="10"/>
  <c r="C654" i="10"/>
  <c r="B654" i="10"/>
  <c r="C653" i="10"/>
  <c r="B653" i="10"/>
  <c r="C652" i="10"/>
  <c r="B652" i="10"/>
  <c r="C651" i="10"/>
  <c r="B651" i="10"/>
  <c r="C650" i="10"/>
  <c r="B650" i="10"/>
  <c r="C649" i="10"/>
  <c r="B649" i="10"/>
  <c r="C648" i="10"/>
  <c r="B648" i="10"/>
  <c r="C647" i="10"/>
  <c r="B647" i="10"/>
  <c r="C646" i="10"/>
  <c r="B646" i="10"/>
  <c r="C645" i="10"/>
  <c r="B645" i="10"/>
  <c r="C644" i="10"/>
  <c r="B644" i="10"/>
  <c r="C643" i="10"/>
  <c r="B643" i="10"/>
  <c r="C642" i="10"/>
  <c r="B642" i="10"/>
  <c r="C641" i="10"/>
  <c r="B641" i="10"/>
  <c r="C640" i="10"/>
  <c r="B640" i="10"/>
  <c r="C639" i="10"/>
  <c r="B639" i="10"/>
  <c r="C638" i="10"/>
  <c r="B638" i="10"/>
  <c r="C637" i="10"/>
  <c r="B637" i="10"/>
  <c r="C636" i="10"/>
  <c r="B636" i="10"/>
  <c r="C635" i="10"/>
  <c r="B635" i="10"/>
  <c r="C634" i="10"/>
  <c r="B634" i="10"/>
  <c r="C633" i="10"/>
  <c r="B633" i="10"/>
  <c r="C632" i="10"/>
  <c r="B632" i="10"/>
  <c r="C631" i="10"/>
  <c r="B631" i="10"/>
  <c r="C630" i="10"/>
  <c r="B630" i="10"/>
  <c r="C629" i="10"/>
  <c r="B629" i="10"/>
  <c r="C628" i="10"/>
  <c r="B628" i="10"/>
  <c r="C627" i="10"/>
  <c r="B627" i="10"/>
  <c r="C626" i="10"/>
  <c r="B626" i="10"/>
  <c r="C625" i="10"/>
  <c r="B625" i="10"/>
  <c r="C624" i="10"/>
  <c r="B624" i="10"/>
  <c r="C623" i="10"/>
  <c r="B623" i="10"/>
  <c r="C622" i="10"/>
  <c r="B622" i="10"/>
  <c r="C621" i="10"/>
  <c r="B621" i="10"/>
  <c r="C620" i="10"/>
  <c r="B620" i="10"/>
  <c r="C619" i="10"/>
  <c r="B619" i="10"/>
  <c r="C618" i="10"/>
  <c r="B618" i="10"/>
  <c r="C617" i="10"/>
  <c r="B617" i="10"/>
  <c r="C616" i="10"/>
  <c r="B616" i="10"/>
  <c r="C615" i="10"/>
  <c r="B615" i="10"/>
  <c r="C614" i="10"/>
  <c r="B614" i="10"/>
  <c r="C613" i="10"/>
  <c r="B613" i="10"/>
  <c r="C612" i="10"/>
  <c r="B612" i="10"/>
  <c r="C611" i="10"/>
  <c r="B611" i="10"/>
  <c r="C610" i="10"/>
  <c r="B610" i="10"/>
  <c r="C609" i="10"/>
  <c r="B609" i="10"/>
  <c r="C608" i="10"/>
  <c r="B608" i="10"/>
  <c r="C607" i="10"/>
  <c r="B607" i="10"/>
  <c r="C606" i="10"/>
  <c r="B606" i="10"/>
  <c r="C605" i="10"/>
  <c r="B605" i="10"/>
  <c r="C604" i="10"/>
  <c r="B604" i="10"/>
  <c r="C603" i="10"/>
  <c r="B603" i="10"/>
  <c r="C602" i="10"/>
  <c r="B602" i="10"/>
  <c r="C601" i="10"/>
  <c r="B601" i="10"/>
  <c r="C600" i="10"/>
  <c r="B600" i="10"/>
  <c r="C599" i="10"/>
  <c r="B599" i="10"/>
  <c r="C598" i="10"/>
  <c r="B598" i="10"/>
  <c r="C597" i="10"/>
  <c r="B597" i="10"/>
  <c r="C596" i="10"/>
  <c r="B596" i="10"/>
  <c r="C595" i="10"/>
  <c r="B595" i="10"/>
  <c r="C594" i="10"/>
  <c r="B594" i="10"/>
  <c r="C593" i="10"/>
  <c r="B593" i="10"/>
  <c r="C592" i="10"/>
  <c r="B592" i="10"/>
  <c r="C591" i="10"/>
  <c r="B591" i="10"/>
  <c r="C590" i="10"/>
  <c r="B590" i="10"/>
  <c r="C589" i="10"/>
  <c r="B589" i="10"/>
  <c r="C588" i="10"/>
  <c r="B588" i="10"/>
  <c r="C587" i="10"/>
  <c r="B587" i="10"/>
  <c r="C586" i="10"/>
  <c r="B586" i="10"/>
  <c r="C585" i="10"/>
  <c r="B585" i="10"/>
  <c r="C584" i="10"/>
  <c r="B584" i="10"/>
  <c r="C583" i="10"/>
  <c r="B583" i="10"/>
  <c r="C582" i="10"/>
  <c r="B582" i="10"/>
  <c r="C581" i="10"/>
  <c r="B581" i="10"/>
  <c r="C580" i="10"/>
  <c r="B580" i="10"/>
  <c r="C579" i="10"/>
  <c r="B579" i="10"/>
  <c r="C578" i="10"/>
  <c r="B578" i="10"/>
  <c r="C577" i="10"/>
  <c r="B577" i="10"/>
  <c r="C576" i="10"/>
  <c r="B576" i="10"/>
  <c r="C575" i="10"/>
  <c r="B575" i="10"/>
  <c r="C574" i="10"/>
  <c r="B574" i="10"/>
  <c r="C573" i="10"/>
  <c r="B573" i="10"/>
  <c r="C572" i="10"/>
  <c r="B572" i="10"/>
  <c r="C571" i="10"/>
  <c r="B571" i="10"/>
  <c r="C570" i="10"/>
  <c r="B570" i="10"/>
  <c r="C569" i="10"/>
  <c r="B569" i="10"/>
  <c r="C568" i="10"/>
  <c r="B568" i="10"/>
  <c r="C567" i="10"/>
  <c r="B567" i="10"/>
  <c r="C566" i="10"/>
  <c r="B566" i="10"/>
  <c r="C565" i="10"/>
  <c r="B565" i="10"/>
  <c r="C564" i="10"/>
  <c r="B564" i="10"/>
  <c r="C563" i="10"/>
  <c r="B563" i="10"/>
  <c r="C562" i="10"/>
  <c r="B562" i="10"/>
  <c r="C561" i="10"/>
  <c r="B561" i="10"/>
  <c r="C560" i="10"/>
  <c r="B560" i="10"/>
  <c r="C559" i="10"/>
  <c r="B559" i="10"/>
  <c r="C558" i="10"/>
  <c r="B558" i="10"/>
  <c r="C557" i="10"/>
  <c r="B557" i="10"/>
  <c r="C556" i="10"/>
  <c r="B556" i="10"/>
  <c r="C555" i="10"/>
  <c r="B555" i="10"/>
  <c r="C554" i="10"/>
  <c r="B554" i="10"/>
  <c r="C553" i="10"/>
  <c r="B553" i="10"/>
  <c r="J552" i="10"/>
  <c r="G552" i="10"/>
  <c r="E552" i="10"/>
  <c r="D552" i="10"/>
  <c r="C552" i="10"/>
  <c r="B552" i="10"/>
  <c r="C551" i="10"/>
  <c r="B551" i="10"/>
  <c r="C550" i="10"/>
  <c r="B550" i="10"/>
  <c r="C549" i="10"/>
  <c r="B549" i="10"/>
  <c r="C548" i="10"/>
  <c r="B548" i="10"/>
  <c r="C547" i="10"/>
  <c r="B547" i="10"/>
  <c r="C546" i="10"/>
  <c r="B546" i="10"/>
  <c r="C545" i="10"/>
  <c r="B545" i="10"/>
  <c r="C544" i="10"/>
  <c r="B544" i="10"/>
  <c r="C543" i="10"/>
  <c r="B543" i="10"/>
  <c r="C542" i="10"/>
  <c r="B542" i="10"/>
  <c r="C541" i="10"/>
  <c r="B541" i="10"/>
  <c r="C540" i="10"/>
  <c r="B540" i="10"/>
  <c r="C539" i="10"/>
  <c r="B539" i="10"/>
  <c r="C538" i="10"/>
  <c r="B538" i="10"/>
  <c r="C537" i="10"/>
  <c r="B537" i="10"/>
  <c r="C536" i="10"/>
  <c r="B536" i="10"/>
  <c r="C535" i="10"/>
  <c r="B535" i="10"/>
  <c r="C534" i="10"/>
  <c r="B534" i="10"/>
  <c r="C533" i="10"/>
  <c r="B533" i="10"/>
  <c r="C532" i="10"/>
  <c r="B532" i="10"/>
  <c r="C531" i="10"/>
  <c r="B531" i="10"/>
  <c r="C530" i="10"/>
  <c r="B530" i="10"/>
  <c r="C529" i="10"/>
  <c r="B529" i="10"/>
  <c r="C528" i="10"/>
  <c r="B528" i="10"/>
  <c r="C527" i="10"/>
  <c r="B527" i="10"/>
  <c r="C526" i="10"/>
  <c r="B526" i="10"/>
  <c r="C525" i="10"/>
  <c r="B525" i="10"/>
  <c r="C524" i="10"/>
  <c r="B524" i="10"/>
  <c r="C523" i="10"/>
  <c r="B523" i="10"/>
  <c r="C522" i="10"/>
  <c r="B522" i="10"/>
  <c r="C521" i="10"/>
  <c r="B521" i="10"/>
  <c r="C520" i="10"/>
  <c r="B520" i="10"/>
  <c r="C519" i="10"/>
  <c r="B519" i="10"/>
  <c r="C518" i="10"/>
  <c r="B518" i="10"/>
  <c r="C517" i="10"/>
  <c r="B517" i="10"/>
  <c r="C516" i="10"/>
  <c r="B516" i="10"/>
  <c r="C515" i="10"/>
  <c r="B515" i="10"/>
  <c r="C514" i="10"/>
  <c r="B514" i="10"/>
  <c r="C513" i="10"/>
  <c r="B513" i="10"/>
  <c r="C512" i="10"/>
  <c r="B512" i="10"/>
  <c r="C511" i="10"/>
  <c r="B511" i="10"/>
  <c r="C510" i="10"/>
  <c r="B510" i="10"/>
  <c r="C509" i="10"/>
  <c r="B509" i="10"/>
  <c r="C508" i="10"/>
  <c r="B508" i="10"/>
  <c r="C507" i="10"/>
  <c r="B507" i="10"/>
  <c r="C506" i="10"/>
  <c r="B506" i="10"/>
  <c r="C505" i="10"/>
  <c r="B505" i="10"/>
  <c r="C504" i="10"/>
  <c r="B504" i="10"/>
  <c r="C503" i="10"/>
  <c r="B503" i="10"/>
  <c r="C502" i="10"/>
  <c r="B502" i="10"/>
  <c r="C501" i="10"/>
  <c r="B501" i="10"/>
  <c r="C500" i="10"/>
  <c r="B500" i="10"/>
  <c r="C499" i="10"/>
  <c r="B499" i="10"/>
  <c r="C498" i="10"/>
  <c r="B498" i="10"/>
  <c r="C497" i="10"/>
  <c r="B497" i="10"/>
  <c r="C496" i="10"/>
  <c r="B496" i="10"/>
  <c r="C495" i="10"/>
  <c r="B495" i="10"/>
  <c r="C494" i="10"/>
  <c r="B494" i="10"/>
  <c r="C493" i="10"/>
  <c r="B493" i="10"/>
  <c r="C492" i="10"/>
  <c r="B492" i="10"/>
  <c r="C491" i="10"/>
  <c r="B491" i="10"/>
  <c r="C490" i="10"/>
  <c r="B490" i="10"/>
  <c r="C489" i="10"/>
  <c r="B489" i="10"/>
  <c r="C488" i="10"/>
  <c r="B488" i="10"/>
  <c r="C487" i="10"/>
  <c r="B487" i="10"/>
  <c r="C486" i="10"/>
  <c r="B486" i="10"/>
  <c r="C485" i="10"/>
  <c r="B485" i="10"/>
  <c r="C484" i="10"/>
  <c r="B484" i="10"/>
  <c r="C483" i="10"/>
  <c r="B483" i="10"/>
  <c r="C482" i="10"/>
  <c r="B482" i="10"/>
  <c r="C481" i="10"/>
  <c r="B481" i="10"/>
  <c r="C480" i="10"/>
  <c r="B480" i="10"/>
  <c r="C479" i="10"/>
  <c r="B479" i="10"/>
  <c r="C478" i="10"/>
  <c r="B478" i="10"/>
  <c r="C477" i="10"/>
  <c r="B477" i="10"/>
  <c r="C476" i="10"/>
  <c r="B476" i="10"/>
  <c r="C475" i="10"/>
  <c r="B475" i="10"/>
  <c r="C474" i="10"/>
  <c r="B474" i="10"/>
  <c r="C473" i="10"/>
  <c r="B473" i="10"/>
  <c r="C472" i="10"/>
  <c r="B472" i="10"/>
  <c r="C471" i="10"/>
  <c r="B471" i="10"/>
  <c r="C470" i="10"/>
  <c r="B470" i="10"/>
  <c r="C469" i="10"/>
  <c r="B469" i="10"/>
  <c r="C468" i="10"/>
  <c r="B468" i="10"/>
  <c r="C467" i="10"/>
  <c r="B467" i="10"/>
  <c r="K466" i="10"/>
  <c r="J466" i="10"/>
  <c r="I466" i="10"/>
  <c r="G466" i="10"/>
  <c r="E466" i="10"/>
  <c r="C466" i="10"/>
  <c r="B466" i="10"/>
  <c r="C465" i="10"/>
  <c r="B465" i="10"/>
  <c r="C464" i="10"/>
  <c r="B464" i="10"/>
  <c r="C463" i="10"/>
  <c r="B463" i="10"/>
  <c r="C462" i="10"/>
  <c r="B462" i="10"/>
  <c r="C461" i="10"/>
  <c r="B461" i="10"/>
  <c r="C460" i="10"/>
  <c r="B460" i="10"/>
  <c r="C459" i="10"/>
  <c r="B459" i="10"/>
  <c r="C458" i="10"/>
  <c r="B458" i="10"/>
  <c r="C457" i="10"/>
  <c r="B457" i="10"/>
  <c r="C456" i="10"/>
  <c r="B456" i="10"/>
  <c r="C455" i="10"/>
  <c r="B455" i="10"/>
  <c r="C454" i="10"/>
  <c r="B454" i="10"/>
  <c r="C453" i="10"/>
  <c r="B453" i="10"/>
  <c r="C452" i="10"/>
  <c r="B452" i="10"/>
  <c r="C451" i="10"/>
  <c r="B451" i="10"/>
  <c r="C450" i="10"/>
  <c r="B450" i="10"/>
  <c r="C449" i="10"/>
  <c r="B449" i="10"/>
  <c r="C448" i="10"/>
  <c r="B448" i="10"/>
  <c r="C447" i="10"/>
  <c r="B447" i="10"/>
  <c r="C446" i="10"/>
  <c r="B446" i="10"/>
  <c r="C445" i="10"/>
  <c r="B445" i="10"/>
  <c r="C444" i="10"/>
  <c r="B444" i="10"/>
  <c r="C443" i="10"/>
  <c r="B443" i="10"/>
  <c r="C442" i="10"/>
  <c r="B442" i="10"/>
  <c r="C441" i="10"/>
  <c r="B441" i="10"/>
  <c r="C440" i="10"/>
  <c r="B440" i="10"/>
  <c r="C439" i="10"/>
  <c r="B439" i="10"/>
  <c r="C438" i="10"/>
  <c r="B438" i="10"/>
  <c r="C437" i="10"/>
  <c r="B437" i="10"/>
  <c r="C436" i="10"/>
  <c r="B436" i="10"/>
  <c r="C435" i="10"/>
  <c r="B435" i="10"/>
  <c r="C434" i="10"/>
  <c r="B434" i="10"/>
  <c r="C433" i="10"/>
  <c r="B433" i="10"/>
  <c r="C432" i="10"/>
  <c r="B432" i="10"/>
  <c r="C431" i="10"/>
  <c r="B431" i="10"/>
  <c r="C430" i="10"/>
  <c r="B430" i="10"/>
  <c r="C429" i="10"/>
  <c r="B429" i="10"/>
  <c r="C428" i="10"/>
  <c r="B428" i="10"/>
  <c r="C427" i="10"/>
  <c r="B427" i="10"/>
  <c r="C426" i="10"/>
  <c r="B426" i="10"/>
  <c r="C425" i="10"/>
  <c r="B425" i="10"/>
  <c r="C424" i="10"/>
  <c r="B424" i="10"/>
  <c r="C423" i="10"/>
  <c r="B423" i="10"/>
  <c r="C422" i="10"/>
  <c r="B422" i="10"/>
  <c r="C421" i="10"/>
  <c r="B421" i="10"/>
  <c r="C420" i="10"/>
  <c r="B420" i="10"/>
  <c r="C419" i="10"/>
  <c r="B419" i="10"/>
  <c r="C418" i="10"/>
  <c r="B418" i="10"/>
  <c r="C417" i="10"/>
  <c r="B417" i="10"/>
  <c r="C416" i="10"/>
  <c r="B416" i="10"/>
  <c r="C415" i="10"/>
  <c r="B415" i="10"/>
  <c r="C414" i="10"/>
  <c r="B414" i="10"/>
  <c r="C413" i="10"/>
  <c r="B413" i="10"/>
  <c r="C412" i="10"/>
  <c r="B412" i="10"/>
  <c r="C411" i="10"/>
  <c r="B411" i="10"/>
  <c r="C410" i="10"/>
  <c r="B410" i="10"/>
  <c r="C409" i="10"/>
  <c r="B409" i="10"/>
  <c r="C408" i="10"/>
  <c r="B408" i="10"/>
  <c r="C407" i="10"/>
  <c r="B407" i="10"/>
  <c r="C406" i="10"/>
  <c r="B406" i="10"/>
  <c r="C405" i="10"/>
  <c r="B405" i="10"/>
  <c r="C404" i="10"/>
  <c r="B404" i="10"/>
  <c r="C403" i="10"/>
  <c r="B403" i="10"/>
  <c r="C402" i="10"/>
  <c r="B402" i="10"/>
  <c r="C401" i="10"/>
  <c r="B401" i="10"/>
  <c r="C400" i="10"/>
  <c r="B400" i="10"/>
  <c r="C399" i="10"/>
  <c r="B399" i="10"/>
  <c r="C398" i="10"/>
  <c r="B398" i="10"/>
  <c r="C397" i="10"/>
  <c r="B397" i="10"/>
  <c r="C396" i="10"/>
  <c r="B396" i="10"/>
  <c r="C395" i="10"/>
  <c r="B395" i="10"/>
  <c r="C394" i="10"/>
  <c r="B394" i="10"/>
  <c r="C393" i="10"/>
  <c r="B393" i="10"/>
  <c r="C392" i="10"/>
  <c r="B392" i="10"/>
  <c r="C391" i="10"/>
  <c r="B391" i="10"/>
  <c r="C390" i="10"/>
  <c r="B390" i="10"/>
  <c r="C389" i="10"/>
  <c r="B389" i="10"/>
  <c r="C388" i="10"/>
  <c r="B388" i="10"/>
  <c r="C387" i="10"/>
  <c r="B387" i="10"/>
  <c r="C386" i="10"/>
  <c r="B386" i="10"/>
  <c r="C385" i="10"/>
  <c r="B385" i="10"/>
  <c r="C384" i="10"/>
  <c r="B384" i="10"/>
  <c r="C383" i="10"/>
  <c r="B383" i="10"/>
  <c r="C382" i="10"/>
  <c r="B382" i="10"/>
  <c r="C381" i="10"/>
  <c r="B381" i="10"/>
  <c r="C380" i="10"/>
  <c r="B380" i="10"/>
  <c r="C379" i="10"/>
  <c r="B379" i="10"/>
  <c r="C378" i="10"/>
  <c r="B378" i="10"/>
  <c r="C377" i="10"/>
  <c r="B377" i="10"/>
  <c r="C376" i="10"/>
  <c r="B376" i="10"/>
  <c r="C375" i="10"/>
  <c r="B375" i="10"/>
  <c r="C374" i="10"/>
  <c r="B374" i="10"/>
  <c r="C373" i="10"/>
  <c r="B373" i="10"/>
  <c r="C372" i="10"/>
  <c r="B372" i="10"/>
  <c r="C371" i="10"/>
  <c r="B371" i="10"/>
  <c r="C370" i="10"/>
  <c r="B370" i="10"/>
  <c r="C369" i="10"/>
  <c r="B369" i="10"/>
  <c r="C368" i="10"/>
  <c r="B368" i="10"/>
  <c r="C367" i="10"/>
  <c r="B367" i="10"/>
  <c r="C366" i="10"/>
  <c r="B366" i="10"/>
  <c r="C365" i="10"/>
  <c r="B365" i="10"/>
  <c r="C364" i="10"/>
  <c r="B364" i="10"/>
  <c r="C363" i="10"/>
  <c r="B363" i="10"/>
  <c r="C362" i="10"/>
  <c r="B362" i="10"/>
  <c r="C361" i="10"/>
  <c r="B361" i="10"/>
  <c r="C360" i="10"/>
  <c r="B360" i="10"/>
  <c r="C359" i="10"/>
  <c r="B359" i="10"/>
  <c r="C358" i="10"/>
  <c r="B358" i="10"/>
  <c r="C357" i="10"/>
  <c r="B357" i="10"/>
  <c r="C356" i="10"/>
  <c r="B356" i="10"/>
  <c r="C355" i="10"/>
  <c r="B355" i="10"/>
  <c r="C354" i="10"/>
  <c r="B354" i="10"/>
  <c r="C353" i="10"/>
  <c r="B353" i="10"/>
  <c r="C352" i="10"/>
  <c r="B352" i="10"/>
  <c r="C351" i="10"/>
  <c r="B351" i="10"/>
  <c r="C350" i="10"/>
  <c r="B350" i="10"/>
  <c r="C349" i="10"/>
  <c r="B349" i="10"/>
  <c r="C348" i="10"/>
  <c r="B348" i="10"/>
  <c r="C347" i="10"/>
  <c r="B347" i="10"/>
  <c r="C346" i="10"/>
  <c r="B346" i="10"/>
  <c r="C345" i="10"/>
  <c r="B345" i="10"/>
  <c r="C344" i="10"/>
  <c r="B344" i="10"/>
  <c r="C343" i="10"/>
  <c r="B343" i="10"/>
  <c r="C342" i="10"/>
  <c r="B342" i="10"/>
  <c r="C341" i="10"/>
  <c r="B341" i="10"/>
  <c r="C340" i="10"/>
  <c r="B340" i="10"/>
  <c r="C339" i="10"/>
  <c r="B339" i="10"/>
  <c r="C338" i="10"/>
  <c r="B338" i="10"/>
  <c r="C337" i="10"/>
  <c r="B337" i="10"/>
  <c r="C336" i="10"/>
  <c r="B336" i="10"/>
  <c r="C335" i="10"/>
  <c r="B335" i="10"/>
  <c r="C334" i="10"/>
  <c r="B334" i="10"/>
  <c r="C333" i="10"/>
  <c r="B333" i="10"/>
  <c r="C332" i="10"/>
  <c r="B332" i="10"/>
  <c r="C331" i="10"/>
  <c r="B331" i="10"/>
  <c r="C330" i="10"/>
  <c r="B330" i="10"/>
  <c r="C329" i="10"/>
  <c r="B329" i="10"/>
  <c r="C328" i="10"/>
  <c r="B328" i="10"/>
  <c r="C327" i="10"/>
  <c r="B327" i="10"/>
  <c r="C326" i="10"/>
  <c r="B326" i="10"/>
  <c r="C325" i="10"/>
  <c r="B325" i="10"/>
  <c r="C324" i="10"/>
  <c r="B324" i="10"/>
  <c r="C323" i="10"/>
  <c r="B323" i="10"/>
  <c r="C322" i="10"/>
  <c r="B322" i="10"/>
  <c r="C321" i="10"/>
  <c r="B321" i="10"/>
  <c r="C320" i="10"/>
  <c r="B320" i="10"/>
  <c r="C319" i="10"/>
  <c r="B319" i="10"/>
  <c r="C318" i="10"/>
  <c r="B318" i="10"/>
  <c r="C317" i="10"/>
  <c r="B317" i="10"/>
  <c r="C316" i="10"/>
  <c r="B316" i="10"/>
  <c r="C315" i="10"/>
  <c r="B315" i="10"/>
  <c r="C314" i="10"/>
  <c r="B314" i="10"/>
  <c r="C313" i="10"/>
  <c r="B313" i="10"/>
  <c r="C312" i="10"/>
  <c r="B312" i="10"/>
  <c r="C311" i="10"/>
  <c r="B311" i="10"/>
  <c r="C310" i="10"/>
  <c r="B310" i="10"/>
  <c r="C309" i="10"/>
  <c r="B309" i="10"/>
  <c r="C308" i="10"/>
  <c r="B308" i="10"/>
  <c r="C307" i="10"/>
  <c r="B307" i="10"/>
  <c r="C306" i="10"/>
  <c r="B306" i="10"/>
  <c r="C305" i="10"/>
  <c r="B305" i="10"/>
  <c r="C304" i="10"/>
  <c r="B304" i="10"/>
  <c r="C303" i="10"/>
  <c r="B303" i="10"/>
  <c r="C302" i="10"/>
  <c r="B302" i="10"/>
  <c r="C301" i="10"/>
  <c r="B301" i="10"/>
  <c r="C300" i="10"/>
  <c r="B300" i="10"/>
  <c r="C299" i="10"/>
  <c r="B299" i="10"/>
  <c r="C298" i="10"/>
  <c r="B298" i="10"/>
  <c r="C297" i="10"/>
  <c r="B297" i="1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284" i="10"/>
  <c r="B284" i="10"/>
  <c r="C283" i="10"/>
  <c r="B283" i="10"/>
  <c r="C282" i="10"/>
  <c r="B282" i="10"/>
  <c r="C281" i="10"/>
  <c r="B281" i="10"/>
  <c r="C280" i="10"/>
  <c r="B280" i="10"/>
  <c r="C279" i="10"/>
  <c r="B279" i="10"/>
  <c r="C278" i="10"/>
  <c r="B278" i="10"/>
  <c r="C277" i="10"/>
  <c r="B277" i="10"/>
  <c r="C276" i="10"/>
  <c r="B276" i="10"/>
  <c r="C275" i="10"/>
  <c r="B275" i="10"/>
  <c r="C274" i="10"/>
  <c r="B274" i="10"/>
  <c r="C273" i="10"/>
  <c r="B273" i="10"/>
  <c r="C272" i="10"/>
  <c r="B272" i="10"/>
  <c r="C271" i="10"/>
  <c r="B271" i="10"/>
  <c r="C270" i="10"/>
  <c r="B270" i="10"/>
  <c r="C269" i="10"/>
  <c r="B269" i="10"/>
  <c r="C268" i="10"/>
  <c r="B268" i="10"/>
  <c r="C267" i="10"/>
  <c r="B267" i="10"/>
  <c r="C266" i="10"/>
  <c r="B266" i="10"/>
  <c r="C265" i="10"/>
  <c r="B265" i="10"/>
  <c r="C264" i="10"/>
  <c r="B264" i="10"/>
  <c r="C263" i="10"/>
  <c r="B263" i="10"/>
  <c r="C262" i="10"/>
  <c r="B262" i="10"/>
  <c r="C261" i="10"/>
  <c r="B261" i="10"/>
  <c r="C260" i="10"/>
  <c r="B260" i="10"/>
  <c r="C259" i="10"/>
  <c r="B259" i="10"/>
  <c r="C258" i="10"/>
  <c r="B258" i="10"/>
  <c r="C257" i="10"/>
  <c r="B257" i="10"/>
  <c r="C256" i="10"/>
  <c r="B256" i="10"/>
  <c r="C255" i="10"/>
  <c r="B255" i="10"/>
  <c r="C254" i="10"/>
  <c r="B254" i="10"/>
  <c r="C253" i="10"/>
  <c r="B253" i="10"/>
  <c r="C252" i="10"/>
  <c r="B252" i="10"/>
  <c r="C251" i="10"/>
  <c r="B251" i="10"/>
  <c r="C250" i="10"/>
  <c r="B250" i="10"/>
  <c r="C249" i="10"/>
  <c r="B249" i="10"/>
  <c r="C248" i="10"/>
  <c r="B248" i="10"/>
  <c r="C247" i="10"/>
  <c r="B247" i="10"/>
  <c r="C246" i="10"/>
  <c r="B246" i="10"/>
  <c r="C245" i="10"/>
  <c r="B245" i="10"/>
  <c r="C244" i="10"/>
  <c r="B244" i="10"/>
  <c r="C243" i="10"/>
  <c r="B243" i="10"/>
  <c r="C242" i="10"/>
  <c r="B242" i="10"/>
  <c r="C241" i="10"/>
  <c r="B241" i="10"/>
  <c r="C240" i="10"/>
  <c r="B240" i="10"/>
  <c r="C239" i="10"/>
  <c r="B239" i="10"/>
  <c r="C238" i="10"/>
  <c r="B238" i="10"/>
  <c r="C237" i="10"/>
  <c r="B237" i="10"/>
  <c r="C236" i="10"/>
  <c r="B236" i="10"/>
  <c r="C235" i="10"/>
  <c r="B235" i="10"/>
  <c r="C234" i="10"/>
  <c r="B234" i="10"/>
  <c r="C233" i="10"/>
  <c r="B233" i="10"/>
  <c r="C232" i="10"/>
  <c r="B232" i="10"/>
  <c r="C231" i="10"/>
  <c r="B231" i="10"/>
  <c r="C230" i="10"/>
  <c r="B230" i="10"/>
  <c r="C229" i="10"/>
  <c r="B229" i="10"/>
  <c r="C228" i="10"/>
  <c r="B228" i="10"/>
  <c r="C227" i="10"/>
  <c r="B227" i="10"/>
  <c r="C226" i="10"/>
  <c r="B226" i="10"/>
  <c r="C225" i="10"/>
  <c r="B225" i="10"/>
  <c r="C224" i="10"/>
  <c r="B224" i="10"/>
  <c r="C223" i="10"/>
  <c r="B223" i="10"/>
  <c r="C222" i="10"/>
  <c r="B222" i="10"/>
  <c r="C221" i="10"/>
  <c r="B221" i="10"/>
  <c r="C220" i="10"/>
  <c r="B220" i="10"/>
  <c r="C219" i="10"/>
  <c r="B219" i="10"/>
  <c r="C218" i="10"/>
  <c r="B218" i="10"/>
  <c r="C217" i="10"/>
  <c r="B217" i="10"/>
  <c r="C216" i="10"/>
  <c r="B216" i="10"/>
  <c r="C215" i="10"/>
  <c r="B215" i="10"/>
  <c r="C214" i="10"/>
  <c r="B214" i="10"/>
  <c r="C213" i="10"/>
  <c r="B213" i="10"/>
  <c r="C212" i="10"/>
  <c r="B212" i="10"/>
  <c r="C211" i="10"/>
  <c r="B211" i="10"/>
  <c r="C210" i="10"/>
  <c r="B210" i="10"/>
  <c r="C209" i="10"/>
  <c r="B209" i="10"/>
  <c r="C208" i="10"/>
  <c r="B208" i="10"/>
  <c r="C207" i="10"/>
  <c r="B207" i="10"/>
  <c r="C206" i="10"/>
  <c r="B206" i="10"/>
  <c r="C205" i="10"/>
  <c r="B205" i="10"/>
  <c r="C204" i="10"/>
  <c r="B204" i="10"/>
  <c r="C203" i="10"/>
  <c r="B203" i="10"/>
  <c r="C202" i="10"/>
  <c r="B202" i="10"/>
  <c r="C201" i="10"/>
  <c r="B201" i="10"/>
  <c r="C200" i="10"/>
  <c r="B200" i="10"/>
  <c r="C199" i="10"/>
  <c r="B199" i="10"/>
  <c r="C198" i="10"/>
  <c r="B198" i="10"/>
  <c r="C197" i="10"/>
  <c r="B197" i="10"/>
  <c r="C196" i="10"/>
  <c r="B196" i="10"/>
  <c r="C195" i="10"/>
  <c r="B195" i="10"/>
  <c r="C194" i="10"/>
  <c r="B194" i="10"/>
  <c r="C193" i="10"/>
  <c r="B193" i="10"/>
  <c r="C192" i="10"/>
  <c r="B192" i="10"/>
  <c r="C191" i="10"/>
  <c r="B191" i="10"/>
  <c r="C190" i="10"/>
  <c r="B190" i="10"/>
  <c r="C189" i="10"/>
  <c r="B189" i="10"/>
  <c r="C188" i="10"/>
  <c r="B188" i="10"/>
  <c r="C187" i="10"/>
  <c r="B187" i="10"/>
  <c r="C186" i="10"/>
  <c r="B186" i="10"/>
  <c r="C185" i="10"/>
  <c r="B185" i="10"/>
  <c r="C184" i="10"/>
  <c r="B184" i="10"/>
  <c r="C183" i="10"/>
  <c r="B183" i="10"/>
  <c r="C182" i="10"/>
  <c r="B182" i="10"/>
  <c r="C181" i="10"/>
  <c r="B181" i="10"/>
  <c r="C180" i="10"/>
  <c r="B180" i="10"/>
  <c r="C179" i="10"/>
  <c r="B179" i="10"/>
  <c r="C178" i="10"/>
  <c r="B178" i="10"/>
  <c r="C177" i="10"/>
  <c r="B177" i="10"/>
  <c r="C176" i="10"/>
  <c r="B176" i="10"/>
  <c r="C175" i="10"/>
  <c r="B175" i="10"/>
  <c r="C174" i="10"/>
  <c r="B174" i="10"/>
  <c r="C173" i="10"/>
  <c r="B173" i="10"/>
  <c r="C172" i="10"/>
  <c r="B172" i="10"/>
  <c r="C171" i="10"/>
  <c r="B171" i="10"/>
  <c r="C170" i="10"/>
  <c r="B170" i="10"/>
  <c r="C169" i="10"/>
  <c r="B169" i="10"/>
  <c r="C168" i="10"/>
  <c r="B168" i="10"/>
  <c r="C167" i="10"/>
  <c r="B167" i="10"/>
  <c r="C166" i="10"/>
  <c r="B166" i="10"/>
  <c r="C165" i="10"/>
  <c r="B165" i="10"/>
  <c r="C164" i="10"/>
  <c r="B164" i="10"/>
  <c r="C163" i="10"/>
  <c r="B163" i="10"/>
  <c r="C162" i="10"/>
  <c r="B162" i="10"/>
  <c r="C161" i="10"/>
  <c r="B161" i="10"/>
  <c r="C160" i="10"/>
  <c r="B160" i="10"/>
  <c r="C159" i="10"/>
  <c r="B159" i="10"/>
  <c r="C158" i="10"/>
  <c r="B158" i="10"/>
  <c r="C157" i="10"/>
  <c r="B157" i="10"/>
  <c r="C156" i="10"/>
  <c r="B156" i="10"/>
  <c r="C155" i="10"/>
  <c r="B155" i="10"/>
  <c r="C154" i="10"/>
  <c r="B154" i="10"/>
  <c r="C153" i="10"/>
  <c r="B153" i="10"/>
  <c r="C152" i="10"/>
  <c r="B152" i="10"/>
  <c r="C151" i="10"/>
  <c r="B151" i="10"/>
  <c r="C150" i="10"/>
  <c r="B150" i="10"/>
  <c r="C149" i="10"/>
  <c r="B149" i="10"/>
  <c r="C148" i="10"/>
  <c r="B148" i="10"/>
  <c r="C147" i="10"/>
  <c r="B147" i="10"/>
  <c r="C146" i="10"/>
  <c r="B146" i="10"/>
  <c r="C145" i="10"/>
  <c r="B145" i="10"/>
  <c r="C144" i="10"/>
  <c r="B144" i="10"/>
  <c r="C143" i="10"/>
  <c r="B143" i="10"/>
  <c r="C142" i="10"/>
  <c r="B142" i="10"/>
  <c r="C141" i="10"/>
  <c r="B141" i="10"/>
  <c r="C140" i="10"/>
  <c r="B140" i="10"/>
  <c r="C139" i="10"/>
  <c r="B139" i="10"/>
  <c r="C138" i="10"/>
  <c r="B138" i="10"/>
  <c r="C137" i="10"/>
  <c r="B137" i="10"/>
  <c r="C136" i="10"/>
  <c r="B136" i="10"/>
  <c r="C135" i="10"/>
  <c r="B135" i="10"/>
  <c r="C134" i="10"/>
  <c r="B134" i="10"/>
  <c r="C133" i="10"/>
  <c r="B133" i="10"/>
  <c r="C132" i="10"/>
  <c r="B132" i="10"/>
  <c r="C131" i="10"/>
  <c r="B131" i="10"/>
  <c r="C130" i="10"/>
  <c r="B130" i="10"/>
  <c r="C129" i="10"/>
  <c r="B129" i="10"/>
  <c r="C128" i="10"/>
  <c r="B128" i="10"/>
  <c r="C127" i="10"/>
  <c r="B127" i="10"/>
  <c r="C126" i="10"/>
  <c r="B126" i="10"/>
  <c r="C125" i="10"/>
  <c r="B125" i="10"/>
  <c r="C124" i="10"/>
  <c r="B124" i="10"/>
  <c r="C123" i="10"/>
  <c r="B123" i="10"/>
  <c r="C122" i="10"/>
  <c r="B122" i="10"/>
  <c r="C121" i="10"/>
  <c r="B121" i="10"/>
  <c r="C120" i="10"/>
  <c r="B120" i="10"/>
  <c r="C119" i="10"/>
  <c r="B119" i="10"/>
  <c r="C118" i="10"/>
  <c r="B118" i="10"/>
  <c r="C117" i="10"/>
  <c r="B117" i="10"/>
  <c r="C116" i="10"/>
  <c r="B116" i="10"/>
  <c r="C115" i="10"/>
  <c r="B115" i="10"/>
  <c r="C114" i="10"/>
  <c r="B114" i="10"/>
  <c r="C113" i="10"/>
  <c r="B113" i="10"/>
  <c r="C112" i="10"/>
  <c r="B112" i="10"/>
  <c r="C111" i="10"/>
  <c r="B111" i="10"/>
  <c r="C110" i="10"/>
  <c r="B110" i="10"/>
  <c r="C109" i="10"/>
  <c r="B109" i="10"/>
  <c r="C108" i="10"/>
  <c r="B108" i="10"/>
  <c r="C107" i="10"/>
  <c r="B107" i="10"/>
  <c r="C106" i="10"/>
  <c r="B106" i="10"/>
  <c r="C105" i="10"/>
  <c r="B105" i="10"/>
  <c r="C104" i="10"/>
  <c r="B104" i="10"/>
  <c r="C103" i="10"/>
  <c r="B103" i="10"/>
  <c r="C102" i="10"/>
  <c r="B102" i="10"/>
  <c r="C101" i="10"/>
  <c r="B101" i="10"/>
  <c r="C100" i="10"/>
  <c r="B100" i="10"/>
  <c r="C99" i="10"/>
  <c r="B99" i="10"/>
  <c r="C98" i="10"/>
  <c r="B98" i="10"/>
  <c r="C97" i="10"/>
  <c r="B97" i="10"/>
  <c r="C96" i="10"/>
  <c r="B96" i="10"/>
  <c r="C95" i="10"/>
  <c r="B95" i="10"/>
  <c r="C94" i="10"/>
  <c r="B94" i="10"/>
  <c r="C93" i="10"/>
  <c r="B93" i="10"/>
  <c r="C92" i="10"/>
  <c r="B92" i="10"/>
  <c r="C91" i="10"/>
  <c r="B91" i="10"/>
  <c r="C90" i="10"/>
  <c r="B90" i="10"/>
  <c r="C89" i="10"/>
  <c r="B89" i="10"/>
  <c r="C88" i="10"/>
  <c r="B88" i="10"/>
  <c r="C87" i="10"/>
  <c r="B87" i="10"/>
  <c r="C86" i="10"/>
  <c r="B86" i="10"/>
  <c r="C85" i="10"/>
  <c r="B85" i="10"/>
  <c r="C84" i="10"/>
  <c r="B84" i="10"/>
  <c r="C83" i="10"/>
  <c r="B83" i="10"/>
  <c r="C82" i="10"/>
  <c r="B82" i="10"/>
  <c r="C81" i="10"/>
  <c r="B81" i="10"/>
  <c r="C80" i="10"/>
  <c r="B80" i="10"/>
  <c r="C79" i="10"/>
  <c r="B79" i="10"/>
  <c r="C78" i="10"/>
  <c r="B78" i="10"/>
  <c r="C77" i="10"/>
  <c r="B77" i="10"/>
  <c r="C76" i="10"/>
  <c r="B76" i="10"/>
  <c r="C75" i="10"/>
  <c r="B75" i="10"/>
  <c r="C74" i="10"/>
  <c r="B74" i="10"/>
  <c r="C73" i="10"/>
  <c r="B73" i="10"/>
  <c r="C72" i="10"/>
  <c r="B72" i="10"/>
  <c r="C71" i="10"/>
  <c r="B71" i="10"/>
  <c r="C70" i="10"/>
  <c r="B70" i="10"/>
  <c r="C69" i="10"/>
  <c r="B69" i="10"/>
  <c r="C68" i="10"/>
  <c r="B68" i="10"/>
  <c r="C67" i="10"/>
  <c r="B67" i="10"/>
  <c r="C66" i="10"/>
  <c r="B66" i="10"/>
  <c r="C65" i="10"/>
  <c r="B65" i="10"/>
  <c r="C64" i="10"/>
  <c r="B64" i="10"/>
  <c r="C63" i="10"/>
  <c r="B63" i="10"/>
  <c r="C62" i="10"/>
  <c r="B62" i="10"/>
  <c r="C61" i="10"/>
  <c r="B61" i="10"/>
  <c r="C60" i="10"/>
  <c r="B60" i="10"/>
  <c r="C59" i="10"/>
  <c r="B59" i="10"/>
  <c r="C58" i="10"/>
  <c r="B58" i="10"/>
  <c r="C57" i="10"/>
  <c r="B57" i="10"/>
  <c r="C56" i="10"/>
  <c r="B56" i="10"/>
  <c r="C55" i="10"/>
  <c r="B55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C10" i="10"/>
  <c r="B10" i="10"/>
  <c r="C9" i="10"/>
  <c r="B9" i="10"/>
  <c r="C8" i="10"/>
  <c r="B8" i="10"/>
  <c r="C7" i="10"/>
  <c r="B7" i="10"/>
  <c r="C6" i="10"/>
  <c r="B6" i="10"/>
  <c r="C5" i="10"/>
  <c r="B5" i="10"/>
  <c r="C4" i="10"/>
  <c r="B4" i="10"/>
  <c r="C3" i="10"/>
  <c r="B3" i="10"/>
  <c r="C76" i="33"/>
  <c r="B76" i="33"/>
  <c r="C75" i="33"/>
  <c r="B75" i="33"/>
  <c r="C74" i="33"/>
  <c r="B74" i="33"/>
  <c r="C73" i="33"/>
  <c r="B73" i="33"/>
  <c r="C72" i="33"/>
  <c r="B72" i="33"/>
  <c r="C71" i="33"/>
  <c r="B71" i="33"/>
  <c r="C70" i="33"/>
  <c r="B70" i="33"/>
  <c r="C69" i="33"/>
  <c r="B69" i="33"/>
  <c r="C68" i="33"/>
  <c r="B68" i="33"/>
  <c r="C67" i="33"/>
  <c r="B67" i="33"/>
  <c r="C66" i="33"/>
  <c r="B66" i="33"/>
  <c r="C65" i="33"/>
  <c r="B65" i="33"/>
  <c r="C64" i="33"/>
  <c r="B64" i="33"/>
  <c r="C63" i="33"/>
  <c r="B63" i="33"/>
  <c r="C62" i="33"/>
  <c r="B62" i="33"/>
  <c r="C61" i="33"/>
  <c r="B61" i="33"/>
  <c r="C60" i="33"/>
  <c r="B60" i="33"/>
  <c r="C59" i="33"/>
  <c r="B59" i="33"/>
  <c r="C58" i="33"/>
  <c r="B58" i="33"/>
  <c r="C57" i="33"/>
  <c r="B57" i="33"/>
  <c r="C56" i="33"/>
  <c r="B56" i="33"/>
  <c r="C55" i="33"/>
  <c r="B55" i="33"/>
  <c r="C54" i="33"/>
  <c r="B54" i="33"/>
  <c r="C53" i="33"/>
  <c r="B53" i="33"/>
  <c r="C52" i="33"/>
  <c r="B52" i="33"/>
  <c r="C51" i="33"/>
  <c r="B51" i="33"/>
  <c r="C50" i="33"/>
  <c r="B50" i="33"/>
  <c r="C49" i="33"/>
  <c r="B49" i="33"/>
  <c r="C48" i="33"/>
  <c r="B48" i="33"/>
  <c r="C47" i="33"/>
  <c r="B47" i="33"/>
  <c r="C46" i="33"/>
  <c r="B46" i="33"/>
  <c r="C45" i="33"/>
  <c r="B45" i="33"/>
  <c r="C44" i="33"/>
  <c r="B44" i="33"/>
  <c r="C43" i="33"/>
  <c r="B43" i="33"/>
  <c r="C42" i="33"/>
  <c r="B42" i="33"/>
  <c r="C41" i="33"/>
  <c r="B41" i="33"/>
  <c r="C40" i="33"/>
  <c r="B40" i="33"/>
  <c r="C39" i="33"/>
  <c r="B39" i="33"/>
  <c r="C38" i="33"/>
  <c r="B38" i="33"/>
  <c r="C37" i="33"/>
  <c r="B37" i="33"/>
  <c r="C36" i="33"/>
  <c r="B36" i="33"/>
  <c r="C35" i="33"/>
  <c r="B35" i="33"/>
  <c r="C34" i="33"/>
  <c r="B34" i="33"/>
  <c r="C33" i="33"/>
  <c r="B33" i="33"/>
  <c r="C32" i="33"/>
  <c r="B32" i="33"/>
  <c r="C31" i="33"/>
  <c r="B31" i="33"/>
  <c r="C30" i="33"/>
  <c r="B30" i="33"/>
  <c r="C29" i="33"/>
  <c r="B29" i="33"/>
  <c r="C28" i="33"/>
  <c r="B28" i="33"/>
  <c r="C27" i="33"/>
  <c r="B27" i="33"/>
  <c r="C26" i="33"/>
  <c r="B26" i="33"/>
  <c r="C25" i="33"/>
  <c r="B25" i="33"/>
  <c r="C24" i="33"/>
  <c r="B24" i="33"/>
  <c r="C23" i="33"/>
  <c r="B23" i="33"/>
  <c r="C22" i="33"/>
  <c r="B22" i="33"/>
  <c r="C21" i="33"/>
  <c r="B21" i="33"/>
  <c r="C20" i="33"/>
  <c r="B20" i="33"/>
  <c r="C19" i="33"/>
  <c r="B19" i="33"/>
  <c r="C18" i="33"/>
  <c r="B18" i="33"/>
  <c r="C17" i="33"/>
  <c r="B17" i="33"/>
  <c r="C16" i="33"/>
  <c r="B16" i="33"/>
  <c r="C15" i="33"/>
  <c r="B15" i="33"/>
  <c r="C14" i="33"/>
  <c r="B14" i="33"/>
  <c r="C13" i="33"/>
  <c r="B13" i="33"/>
  <c r="C12" i="33"/>
  <c r="B12" i="33"/>
  <c r="C11" i="33"/>
  <c r="B11" i="33"/>
  <c r="C10" i="33"/>
  <c r="B10" i="33"/>
  <c r="C9" i="33"/>
  <c r="B9" i="33"/>
  <c r="C8" i="33"/>
  <c r="B8" i="33"/>
  <c r="C7" i="33"/>
  <c r="B7" i="33"/>
  <c r="C6" i="33"/>
  <c r="B6" i="33"/>
  <c r="C5" i="33"/>
  <c r="B5" i="33"/>
  <c r="C4" i="33"/>
  <c r="B4" i="33"/>
  <c r="C3" i="33"/>
  <c r="B3" i="33"/>
  <c r="C2" i="33"/>
  <c r="B2" i="33"/>
  <c r="C68" i="32"/>
  <c r="B68" i="32"/>
  <c r="C67" i="32"/>
  <c r="B67" i="32"/>
  <c r="C66" i="32"/>
  <c r="B66" i="32"/>
  <c r="C65" i="32"/>
  <c r="B65" i="32"/>
  <c r="C64" i="32"/>
  <c r="B64" i="32"/>
  <c r="C63" i="32"/>
  <c r="B63" i="32"/>
  <c r="C62" i="32"/>
  <c r="B62" i="32"/>
  <c r="C61" i="32"/>
  <c r="B61" i="32"/>
  <c r="C60" i="32"/>
  <c r="B60" i="32"/>
  <c r="C59" i="32"/>
  <c r="B59" i="32"/>
  <c r="C58" i="32"/>
  <c r="B58" i="32"/>
  <c r="C57" i="32"/>
  <c r="B57" i="32"/>
  <c r="C56" i="32"/>
  <c r="B56" i="32"/>
  <c r="C55" i="32"/>
  <c r="B55" i="32"/>
  <c r="C54" i="32"/>
  <c r="B54" i="32"/>
  <c r="C53" i="32"/>
  <c r="B53" i="32"/>
  <c r="C52" i="32"/>
  <c r="B52" i="32"/>
  <c r="C51" i="32"/>
  <c r="B51" i="32"/>
  <c r="C50" i="32"/>
  <c r="B50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C43" i="32"/>
  <c r="B43" i="32"/>
  <c r="C42" i="32"/>
  <c r="B42" i="32"/>
  <c r="C41" i="32"/>
  <c r="B41" i="32"/>
  <c r="C40" i="32"/>
  <c r="B40" i="32"/>
  <c r="C39" i="32"/>
  <c r="B39" i="32"/>
  <c r="C38" i="32"/>
  <c r="B38" i="32"/>
  <c r="C37" i="32"/>
  <c r="B37" i="32"/>
  <c r="C36" i="32"/>
  <c r="B36" i="32"/>
  <c r="C35" i="32"/>
  <c r="B35" i="32"/>
  <c r="C34" i="32"/>
  <c r="B34" i="32"/>
  <c r="C33" i="32"/>
  <c r="B33" i="32"/>
  <c r="C32" i="32"/>
  <c r="B32" i="32"/>
  <c r="C31" i="32"/>
  <c r="B31" i="32"/>
  <c r="C30" i="32"/>
  <c r="B30" i="32"/>
  <c r="C29" i="32"/>
  <c r="B29" i="32"/>
  <c r="C28" i="32"/>
  <c r="B28" i="32"/>
  <c r="C27" i="32"/>
  <c r="B27" i="32"/>
  <c r="C26" i="32"/>
  <c r="B26" i="32"/>
  <c r="C25" i="32"/>
  <c r="B25" i="32"/>
  <c r="C24" i="32"/>
  <c r="B24" i="32"/>
  <c r="C23" i="32"/>
  <c r="B23" i="32"/>
  <c r="C22" i="32"/>
  <c r="B22" i="32"/>
  <c r="C21" i="32"/>
  <c r="B21" i="32"/>
  <c r="C20" i="32"/>
  <c r="B20" i="32"/>
  <c r="C19" i="32"/>
  <c r="B19" i="32"/>
  <c r="C18" i="32"/>
  <c r="B18" i="32"/>
  <c r="C17" i="32"/>
  <c r="B17" i="32"/>
  <c r="C16" i="32"/>
  <c r="B16" i="32"/>
  <c r="C15" i="32"/>
  <c r="B15" i="32"/>
  <c r="C14" i="32"/>
  <c r="B14" i="32"/>
  <c r="C13" i="32"/>
  <c r="B13" i="32"/>
  <c r="C12" i="32"/>
  <c r="B12" i="32"/>
  <c r="C11" i="32"/>
  <c r="B11" i="32"/>
  <c r="C10" i="32"/>
  <c r="B10" i="32"/>
  <c r="C9" i="32"/>
  <c r="B9" i="32"/>
  <c r="C8" i="32"/>
  <c r="B8" i="32"/>
  <c r="C7" i="32"/>
  <c r="B7" i="32"/>
  <c r="C6" i="32"/>
  <c r="B6" i="32"/>
  <c r="C5" i="32"/>
  <c r="B5" i="32"/>
  <c r="C4" i="32"/>
  <c r="B4" i="32"/>
  <c r="C3" i="32"/>
  <c r="B3" i="32"/>
  <c r="C2" i="32"/>
  <c r="B2" i="32"/>
  <c r="I563" i="11"/>
  <c r="I560" i="11"/>
  <c r="I542" i="11"/>
  <c r="G3" i="25"/>
  <c r="S3" i="25"/>
  <c r="H3" i="25"/>
  <c r="T3" i="25"/>
  <c r="I3" i="25"/>
  <c r="U3" i="25"/>
  <c r="J3" i="25"/>
  <c r="V3" i="25"/>
  <c r="Q3" i="25"/>
  <c r="R3" i="25"/>
  <c r="K3" i="25"/>
  <c r="L3" i="25"/>
  <c r="Y3" i="25"/>
  <c r="H155" i="11"/>
  <c r="S4" i="25"/>
  <c r="H4" i="25"/>
  <c r="T4" i="25"/>
  <c r="I4" i="25"/>
  <c r="U4" i="25"/>
  <c r="J4" i="25"/>
  <c r="V4" i="25"/>
  <c r="Q4" i="25"/>
  <c r="R4" i="25"/>
  <c r="K4" i="25"/>
  <c r="L4" i="25"/>
  <c r="Y4" i="25"/>
  <c r="H156" i="11"/>
  <c r="Q5" i="25"/>
  <c r="L5" i="25"/>
  <c r="Y5" i="25"/>
  <c r="H157" i="11"/>
  <c r="Q6" i="25"/>
  <c r="K6" i="25"/>
  <c r="L6" i="25"/>
  <c r="Y6" i="25"/>
  <c r="H158" i="11"/>
  <c r="Q7" i="25"/>
  <c r="L7" i="25"/>
  <c r="Y7" i="25"/>
  <c r="H159" i="11"/>
  <c r="S8" i="25"/>
  <c r="H8" i="25"/>
  <c r="T8" i="25"/>
  <c r="U8" i="25"/>
  <c r="J8" i="25"/>
  <c r="V8" i="25"/>
  <c r="Q8" i="25"/>
  <c r="R8" i="25"/>
  <c r="K8" i="25"/>
  <c r="L8" i="25"/>
  <c r="Y8" i="25"/>
  <c r="H160" i="11"/>
  <c r="S9" i="25"/>
  <c r="H9" i="25"/>
  <c r="T9" i="25"/>
  <c r="I9" i="25"/>
  <c r="J9" i="25"/>
  <c r="K9" i="25"/>
  <c r="L9" i="25"/>
  <c r="U9" i="25"/>
  <c r="V9" i="25"/>
  <c r="Q9" i="25"/>
  <c r="R9" i="25"/>
  <c r="Y9" i="25"/>
  <c r="H161" i="11"/>
  <c r="S10" i="25"/>
  <c r="H10" i="25"/>
  <c r="T10" i="25"/>
  <c r="I10" i="25"/>
  <c r="U10" i="25"/>
  <c r="J10" i="25"/>
  <c r="V10" i="25"/>
  <c r="Q10" i="25"/>
  <c r="R10" i="25"/>
  <c r="K10" i="25"/>
  <c r="L10" i="25"/>
  <c r="Y10" i="25"/>
  <c r="H162" i="11"/>
  <c r="S11" i="25"/>
  <c r="H11" i="25"/>
  <c r="T11" i="25"/>
  <c r="I11" i="25"/>
  <c r="U11" i="25"/>
  <c r="V11" i="25"/>
  <c r="Q11" i="25"/>
  <c r="R11" i="25"/>
  <c r="K11" i="25"/>
  <c r="L11" i="25"/>
  <c r="Y11" i="25"/>
  <c r="H163" i="11"/>
  <c r="Q12" i="25"/>
  <c r="K12" i="25"/>
  <c r="L12" i="25"/>
  <c r="S13" i="25"/>
  <c r="H13" i="25"/>
  <c r="T13" i="25"/>
  <c r="I13" i="25"/>
  <c r="U13" i="25"/>
  <c r="J13" i="25"/>
  <c r="V13" i="25"/>
  <c r="Q13" i="25"/>
  <c r="L13" i="25"/>
  <c r="R13" i="25"/>
  <c r="Q14" i="25"/>
  <c r="L14" i="25"/>
  <c r="Y14" i="25"/>
  <c r="H166" i="11"/>
  <c r="Q15" i="25"/>
  <c r="K15" i="25"/>
  <c r="L15" i="25"/>
  <c r="Y15" i="25"/>
  <c r="H167" i="11"/>
  <c r="Q16" i="25"/>
  <c r="L16" i="25"/>
  <c r="Y16" i="25"/>
  <c r="H168" i="11"/>
  <c r="H17" i="25"/>
  <c r="T17" i="25"/>
  <c r="I17" i="25"/>
  <c r="U17" i="25"/>
  <c r="Q17" i="25"/>
  <c r="R17" i="25"/>
  <c r="K17" i="25"/>
  <c r="L17" i="25"/>
  <c r="Y17" i="25"/>
  <c r="H169" i="11"/>
  <c r="Q18" i="25"/>
  <c r="K18" i="25"/>
  <c r="L18" i="25"/>
  <c r="Y18" i="25"/>
  <c r="H170" i="11"/>
  <c r="H19" i="25"/>
  <c r="I19" i="25"/>
  <c r="J19" i="25"/>
  <c r="K19" i="25"/>
  <c r="L19" i="25"/>
  <c r="T19" i="25"/>
  <c r="U19" i="25"/>
  <c r="V19" i="25"/>
  <c r="R19" i="25"/>
  <c r="Q20" i="25"/>
  <c r="K20" i="25"/>
  <c r="L20" i="25"/>
  <c r="Y20" i="25"/>
  <c r="H172" i="11"/>
  <c r="H21" i="25"/>
  <c r="T21" i="25"/>
  <c r="I21" i="25"/>
  <c r="J21" i="25"/>
  <c r="K21" i="25"/>
  <c r="L21" i="25"/>
  <c r="U21" i="25"/>
  <c r="V21" i="25"/>
  <c r="Q21" i="25"/>
  <c r="R21" i="25"/>
  <c r="Y21" i="25"/>
  <c r="H173" i="11"/>
  <c r="H22" i="25"/>
  <c r="T22" i="25"/>
  <c r="I22" i="25"/>
  <c r="J22" i="25"/>
  <c r="K22" i="25"/>
  <c r="L22" i="25"/>
  <c r="U22" i="25"/>
  <c r="V22" i="25"/>
  <c r="Q22" i="25"/>
  <c r="R22" i="25"/>
  <c r="Y22" i="25"/>
  <c r="H174" i="11"/>
  <c r="Q23" i="25"/>
  <c r="K23" i="25"/>
  <c r="L23" i="25"/>
  <c r="Y23" i="25"/>
  <c r="H175" i="11"/>
  <c r="Q24" i="25"/>
  <c r="K24" i="25"/>
  <c r="L24" i="25"/>
  <c r="Y24" i="25"/>
  <c r="H176" i="11"/>
  <c r="Q25" i="25"/>
  <c r="L25" i="25"/>
  <c r="Y25" i="25"/>
  <c r="H177" i="11"/>
  <c r="Q26" i="25"/>
  <c r="L26" i="25"/>
  <c r="Y26" i="25"/>
  <c r="H178" i="11"/>
  <c r="Q27" i="25"/>
  <c r="K27" i="25"/>
  <c r="L27" i="25"/>
  <c r="Y27" i="25"/>
  <c r="H179" i="11"/>
  <c r="Q28" i="25"/>
  <c r="L28" i="25"/>
  <c r="Y28" i="25"/>
  <c r="H180" i="11"/>
  <c r="H29" i="25"/>
  <c r="I29" i="25"/>
  <c r="J29" i="25"/>
  <c r="K29" i="25"/>
  <c r="L29" i="25"/>
  <c r="T29" i="25"/>
  <c r="U29" i="25"/>
  <c r="V29" i="25"/>
  <c r="R29" i="25"/>
  <c r="T30" i="25"/>
  <c r="Q30" i="25"/>
  <c r="L30" i="25"/>
  <c r="Y30" i="25"/>
  <c r="H182" i="11"/>
  <c r="H31" i="25"/>
  <c r="T31" i="25"/>
  <c r="I31" i="25"/>
  <c r="J31" i="25"/>
  <c r="K31" i="25"/>
  <c r="L31" i="25"/>
  <c r="U31" i="25"/>
  <c r="V31" i="25"/>
  <c r="Q31" i="25"/>
  <c r="R31" i="25"/>
  <c r="H32" i="25"/>
  <c r="T32" i="25"/>
  <c r="I32" i="25"/>
  <c r="J32" i="25"/>
  <c r="K32" i="25"/>
  <c r="L32" i="25"/>
  <c r="U32" i="25"/>
  <c r="V32" i="25"/>
  <c r="Q32" i="25"/>
  <c r="R32" i="25"/>
  <c r="Q33" i="25"/>
  <c r="K33" i="25"/>
  <c r="L33" i="25"/>
  <c r="Y33" i="25"/>
  <c r="H185" i="11"/>
  <c r="Q34" i="25"/>
  <c r="L34" i="25"/>
  <c r="Y34" i="25"/>
  <c r="H186" i="11"/>
  <c r="H35" i="25"/>
  <c r="T35" i="25"/>
  <c r="I35" i="25"/>
  <c r="J35" i="25"/>
  <c r="K35" i="25"/>
  <c r="L35" i="25"/>
  <c r="U35" i="25"/>
  <c r="V35" i="25"/>
  <c r="Q35" i="25"/>
  <c r="R35" i="25"/>
  <c r="Y35" i="25"/>
  <c r="H187" i="11"/>
  <c r="G36" i="25"/>
  <c r="H36" i="25"/>
  <c r="T36" i="25"/>
  <c r="I36" i="25"/>
  <c r="U36" i="25"/>
  <c r="J36" i="25"/>
  <c r="V36" i="25"/>
  <c r="Q36" i="25"/>
  <c r="R36" i="25"/>
  <c r="K36" i="25"/>
  <c r="L36" i="25"/>
  <c r="Y36" i="25"/>
  <c r="H188" i="11"/>
  <c r="H37" i="25"/>
  <c r="T37" i="25"/>
  <c r="I37" i="25"/>
  <c r="U37" i="25"/>
  <c r="J37" i="25"/>
  <c r="V37" i="25"/>
  <c r="Q37" i="25"/>
  <c r="R37" i="25"/>
  <c r="K37" i="25"/>
  <c r="L37" i="25"/>
  <c r="Y37" i="25"/>
  <c r="H189" i="11"/>
  <c r="Q38" i="25"/>
  <c r="R38" i="25"/>
  <c r="L38" i="25"/>
  <c r="Y38" i="25"/>
  <c r="H190" i="11"/>
  <c r="H39" i="25"/>
  <c r="I39" i="25"/>
  <c r="J39" i="25"/>
  <c r="K39" i="25"/>
  <c r="L39" i="25"/>
  <c r="T39" i="25"/>
  <c r="U39" i="25"/>
  <c r="V39" i="25"/>
  <c r="R39" i="25"/>
  <c r="Q40" i="25"/>
  <c r="L40" i="25"/>
  <c r="Y40" i="25"/>
  <c r="H192" i="11"/>
  <c r="H41" i="25"/>
  <c r="I41" i="25"/>
  <c r="J41" i="25"/>
  <c r="K41" i="25"/>
  <c r="L41" i="25"/>
  <c r="T41" i="25"/>
  <c r="U41" i="25"/>
  <c r="V41" i="25"/>
  <c r="R41" i="25"/>
  <c r="Q42" i="25"/>
  <c r="L42" i="25"/>
  <c r="Y42" i="25"/>
  <c r="H194" i="11"/>
  <c r="Q43" i="25"/>
  <c r="L43" i="25"/>
  <c r="Y43" i="25"/>
  <c r="H195" i="11"/>
  <c r="H44" i="25"/>
  <c r="I44" i="25"/>
  <c r="J44" i="25"/>
  <c r="K44" i="25"/>
  <c r="L44" i="25"/>
  <c r="T44" i="25"/>
  <c r="U44" i="25"/>
  <c r="V44" i="25"/>
  <c r="R44" i="25"/>
  <c r="H45" i="25"/>
  <c r="I45" i="25"/>
  <c r="J45" i="25"/>
  <c r="K45" i="25"/>
  <c r="L45" i="25"/>
  <c r="T45" i="25"/>
  <c r="U45" i="25"/>
  <c r="V45" i="25"/>
  <c r="R45" i="25"/>
  <c r="H46" i="25"/>
  <c r="I46" i="25"/>
  <c r="J46" i="25"/>
  <c r="K46" i="25"/>
  <c r="L46" i="25"/>
  <c r="T46" i="25"/>
  <c r="U46" i="25"/>
  <c r="V46" i="25"/>
  <c r="R46" i="25"/>
  <c r="H47" i="25"/>
  <c r="I47" i="25"/>
  <c r="J47" i="25"/>
  <c r="K47" i="25"/>
  <c r="L47" i="25"/>
  <c r="T47" i="25"/>
  <c r="U47" i="25"/>
  <c r="V47" i="25"/>
  <c r="R47" i="25"/>
  <c r="Q48" i="25"/>
  <c r="K48" i="25"/>
  <c r="L48" i="25"/>
  <c r="Y48" i="25"/>
  <c r="H200" i="11"/>
  <c r="Q49" i="25"/>
  <c r="K49" i="25"/>
  <c r="L49" i="25"/>
  <c r="Y49" i="25"/>
  <c r="H201" i="11"/>
  <c r="H50" i="25"/>
  <c r="T50" i="25"/>
  <c r="I50" i="25"/>
  <c r="J50" i="25"/>
  <c r="K50" i="25"/>
  <c r="L50" i="25"/>
  <c r="U50" i="25"/>
  <c r="V50" i="25"/>
  <c r="Q50" i="25"/>
  <c r="R50" i="25"/>
  <c r="Y50" i="25"/>
  <c r="H202" i="11"/>
  <c r="Q51" i="25"/>
  <c r="L51" i="25"/>
  <c r="Y51" i="25"/>
  <c r="H203" i="11"/>
  <c r="H52" i="25"/>
  <c r="T52" i="25"/>
  <c r="I52" i="25"/>
  <c r="J52" i="25"/>
  <c r="K52" i="25"/>
  <c r="L52" i="25"/>
  <c r="U52" i="25"/>
  <c r="V52" i="25"/>
  <c r="Q52" i="25"/>
  <c r="R52" i="25"/>
  <c r="Y52" i="25"/>
  <c r="H204" i="11"/>
  <c r="G53" i="25"/>
  <c r="H53" i="25"/>
  <c r="T53" i="25"/>
  <c r="I53" i="25"/>
  <c r="U53" i="25"/>
  <c r="J53" i="25"/>
  <c r="V53" i="25"/>
  <c r="Q53" i="25"/>
  <c r="R53" i="25"/>
  <c r="K53" i="25"/>
  <c r="L53" i="25"/>
  <c r="Y53" i="25"/>
  <c r="H205" i="11"/>
  <c r="Q54" i="25"/>
  <c r="K54" i="25"/>
  <c r="L54" i="25"/>
  <c r="Y54" i="25"/>
  <c r="H206" i="11"/>
  <c r="Q55" i="25"/>
  <c r="K55" i="25"/>
  <c r="L55" i="25"/>
  <c r="Y55" i="25"/>
  <c r="H207" i="11"/>
  <c r="Q56" i="25"/>
  <c r="L56" i="25"/>
  <c r="Y56" i="25"/>
  <c r="H208" i="11"/>
  <c r="Q57" i="25"/>
  <c r="K57" i="25"/>
  <c r="L57" i="25"/>
  <c r="Y57" i="25"/>
  <c r="H209" i="11"/>
  <c r="Q59" i="25"/>
  <c r="L59" i="25"/>
  <c r="Y59" i="25"/>
  <c r="H211" i="11"/>
  <c r="G60" i="25"/>
  <c r="S60" i="25"/>
  <c r="H60" i="25"/>
  <c r="T60" i="25"/>
  <c r="I60" i="25"/>
  <c r="U60" i="25"/>
  <c r="J60" i="25"/>
  <c r="V60" i="25"/>
  <c r="Q60" i="25"/>
  <c r="R60" i="25"/>
  <c r="K60" i="25"/>
  <c r="H61" i="25"/>
  <c r="T61" i="25"/>
  <c r="I61" i="25"/>
  <c r="U61" i="25"/>
  <c r="J61" i="25"/>
  <c r="V61" i="25"/>
  <c r="R61" i="25"/>
  <c r="K61" i="25"/>
  <c r="Q62" i="25"/>
  <c r="L62" i="25"/>
  <c r="Y62" i="25"/>
  <c r="H214" i="11"/>
  <c r="Q63" i="25"/>
  <c r="L63" i="25"/>
  <c r="Y63" i="25"/>
  <c r="H215" i="11"/>
  <c r="Q64" i="25"/>
  <c r="K64" i="25"/>
  <c r="L64" i="25"/>
  <c r="Y64" i="25"/>
  <c r="H216" i="11"/>
  <c r="H65" i="25"/>
  <c r="Q65" i="25"/>
  <c r="R65" i="25"/>
  <c r="L65" i="25"/>
  <c r="T66" i="25"/>
  <c r="Q66" i="25"/>
  <c r="R66" i="25"/>
  <c r="K66" i="25"/>
  <c r="L66" i="25"/>
  <c r="Y66" i="25"/>
  <c r="H218" i="11"/>
  <c r="H67" i="25"/>
  <c r="T67" i="25"/>
  <c r="I67" i="25"/>
  <c r="J67" i="25"/>
  <c r="K67" i="25"/>
  <c r="L67" i="25"/>
  <c r="U67" i="25"/>
  <c r="V67" i="25"/>
  <c r="Q67" i="25"/>
  <c r="R67" i="25"/>
  <c r="Y67" i="25"/>
  <c r="H219" i="11"/>
  <c r="H68" i="25"/>
  <c r="T68" i="25"/>
  <c r="I68" i="25"/>
  <c r="J68" i="25"/>
  <c r="K68" i="25"/>
  <c r="L68" i="25"/>
  <c r="U68" i="25"/>
  <c r="V68" i="25"/>
  <c r="Q68" i="25"/>
  <c r="R68" i="25"/>
  <c r="Y68" i="25"/>
  <c r="H220" i="11"/>
  <c r="H69" i="25"/>
  <c r="I69" i="25"/>
  <c r="J69" i="25"/>
  <c r="Q69" i="25"/>
  <c r="R69" i="25"/>
  <c r="K69" i="25"/>
  <c r="L69" i="25"/>
  <c r="H70" i="25"/>
  <c r="T70" i="25"/>
  <c r="I70" i="25"/>
  <c r="U70" i="25"/>
  <c r="J70" i="25"/>
  <c r="V70" i="25"/>
  <c r="R70" i="25"/>
  <c r="K70" i="25"/>
  <c r="L70" i="25"/>
  <c r="Q71" i="25"/>
  <c r="K71" i="25"/>
  <c r="L71" i="25"/>
  <c r="Y71" i="25"/>
  <c r="H223" i="11"/>
  <c r="Q72" i="25"/>
  <c r="K72" i="25"/>
  <c r="L72" i="25"/>
  <c r="Y72" i="25"/>
  <c r="H224" i="11"/>
  <c r="Q73" i="25"/>
  <c r="L73" i="25"/>
  <c r="Y73" i="25"/>
  <c r="H225" i="11"/>
  <c r="H74" i="25"/>
  <c r="I74" i="25"/>
  <c r="J74" i="25"/>
  <c r="K74" i="25"/>
  <c r="L74" i="25"/>
  <c r="T74" i="25"/>
  <c r="U74" i="25"/>
  <c r="V74" i="25"/>
  <c r="Q74" i="25"/>
  <c r="R74" i="25"/>
  <c r="Y74" i="25"/>
  <c r="H226" i="11"/>
  <c r="T75" i="25"/>
  <c r="Q75" i="25"/>
  <c r="K75" i="25"/>
  <c r="L75" i="25"/>
  <c r="Y75" i="25"/>
  <c r="H227" i="11"/>
  <c r="Q76" i="25"/>
  <c r="K76" i="25"/>
  <c r="L76" i="25"/>
  <c r="Q77" i="25"/>
  <c r="K77" i="25"/>
  <c r="L77" i="25"/>
  <c r="Y77" i="25"/>
  <c r="H229" i="11"/>
  <c r="H78" i="25"/>
  <c r="T78" i="25"/>
  <c r="I78" i="25"/>
  <c r="U78" i="25"/>
  <c r="V78" i="25"/>
  <c r="R78" i="25"/>
  <c r="K78" i="25"/>
  <c r="H79" i="25"/>
  <c r="T79" i="25"/>
  <c r="I79" i="25"/>
  <c r="U79" i="25"/>
  <c r="J79" i="25"/>
  <c r="V79" i="25"/>
  <c r="R79" i="25"/>
  <c r="K79" i="25"/>
  <c r="Q80" i="25"/>
  <c r="L80" i="25"/>
  <c r="Y80" i="25"/>
  <c r="H232" i="11"/>
  <c r="H81" i="25"/>
  <c r="I81" i="25"/>
  <c r="J81" i="25"/>
  <c r="K81" i="25"/>
  <c r="L81" i="25"/>
  <c r="R81" i="25"/>
  <c r="Q82" i="25"/>
  <c r="K82" i="25"/>
  <c r="L82" i="25"/>
  <c r="Y82" i="25"/>
  <c r="H234" i="11"/>
  <c r="Q83" i="25"/>
  <c r="L83" i="25"/>
  <c r="Y83" i="25"/>
  <c r="H235" i="11"/>
  <c r="Q84" i="25"/>
  <c r="L84" i="25"/>
  <c r="Y84" i="25"/>
  <c r="H236" i="11"/>
  <c r="Q85" i="25"/>
  <c r="L85" i="25"/>
  <c r="Y85" i="25"/>
  <c r="H237" i="11"/>
  <c r="H86" i="25"/>
  <c r="T86" i="25"/>
  <c r="I86" i="25"/>
  <c r="J86" i="25"/>
  <c r="K86" i="25"/>
  <c r="L86" i="25"/>
  <c r="U86" i="25"/>
  <c r="Q86" i="25"/>
  <c r="R86" i="25"/>
  <c r="Y86" i="25"/>
  <c r="H238" i="11"/>
  <c r="Q87" i="25"/>
  <c r="L87" i="25"/>
  <c r="Y87" i="25"/>
  <c r="H239" i="11"/>
  <c r="G88" i="25"/>
  <c r="H88" i="25"/>
  <c r="T88" i="25"/>
  <c r="I88" i="25"/>
  <c r="J88" i="25"/>
  <c r="L88" i="25"/>
  <c r="U88" i="25"/>
  <c r="V88" i="25"/>
  <c r="Q88" i="25"/>
  <c r="R88" i="25"/>
  <c r="Y88" i="25"/>
  <c r="H240" i="11"/>
  <c r="Q89" i="25"/>
  <c r="L89" i="25"/>
  <c r="Y89" i="25"/>
  <c r="H241" i="11"/>
  <c r="Q90" i="25"/>
  <c r="L90" i="25"/>
  <c r="Y90" i="25"/>
  <c r="H242" i="11"/>
  <c r="Q91" i="25"/>
  <c r="L91" i="25"/>
  <c r="Y91" i="25"/>
  <c r="H243" i="11"/>
  <c r="Q92" i="25"/>
  <c r="L92" i="25"/>
  <c r="Y92" i="25"/>
  <c r="H244" i="11"/>
  <c r="H93" i="25"/>
  <c r="I93" i="25"/>
  <c r="J93" i="25"/>
  <c r="K93" i="25"/>
  <c r="L93" i="25"/>
  <c r="T93" i="25"/>
  <c r="U93" i="25"/>
  <c r="V93" i="25"/>
  <c r="Q93" i="25"/>
  <c r="R93" i="25"/>
  <c r="Y93" i="25"/>
  <c r="H245" i="11"/>
  <c r="H94" i="25"/>
  <c r="K94" i="25"/>
  <c r="L94" i="25"/>
  <c r="T94" i="25"/>
  <c r="Q94" i="25"/>
  <c r="R94" i="25"/>
  <c r="Y94" i="25"/>
  <c r="H246" i="11"/>
  <c r="Q95" i="25"/>
  <c r="K95" i="25"/>
  <c r="L95" i="25"/>
  <c r="Y95" i="25"/>
  <c r="H247" i="11"/>
  <c r="I96" i="25"/>
  <c r="Q96" i="25"/>
  <c r="L96" i="25"/>
  <c r="Q97" i="25"/>
  <c r="L97" i="25"/>
  <c r="Q98" i="25"/>
  <c r="L98" i="25"/>
  <c r="Q99" i="25"/>
  <c r="L99" i="25"/>
  <c r="Q100" i="25"/>
  <c r="L100" i="25"/>
  <c r="H101" i="25"/>
  <c r="T101" i="25"/>
  <c r="I101" i="25"/>
  <c r="U101" i="25"/>
  <c r="J101" i="25"/>
  <c r="V101" i="25"/>
  <c r="R101" i="25"/>
  <c r="K101" i="25"/>
  <c r="L101" i="25"/>
  <c r="Q103" i="25"/>
  <c r="L103" i="25"/>
  <c r="Y103" i="25"/>
  <c r="H255" i="11"/>
  <c r="H104" i="25"/>
  <c r="T104" i="25"/>
  <c r="I104" i="25"/>
  <c r="U104" i="25"/>
  <c r="J104" i="25"/>
  <c r="V104" i="25"/>
  <c r="R104" i="25"/>
  <c r="K104" i="25"/>
  <c r="L104" i="25"/>
  <c r="Q105" i="25"/>
  <c r="L105" i="25"/>
  <c r="G106" i="25"/>
  <c r="H106" i="25"/>
  <c r="K106" i="25"/>
  <c r="L106" i="25"/>
  <c r="S106" i="25"/>
  <c r="T106" i="25"/>
  <c r="Q106" i="25"/>
  <c r="R106" i="25"/>
  <c r="Y106" i="25"/>
  <c r="H258" i="11"/>
  <c r="H107" i="25"/>
  <c r="I107" i="25"/>
  <c r="J107" i="25"/>
  <c r="Q107" i="25"/>
  <c r="R107" i="25"/>
  <c r="K107" i="25"/>
  <c r="L107" i="25"/>
  <c r="Y107" i="25"/>
  <c r="H259" i="11"/>
  <c r="Q108" i="25"/>
  <c r="L108" i="25"/>
  <c r="Y108" i="25"/>
  <c r="H260" i="11"/>
  <c r="H109" i="25"/>
  <c r="T109" i="25"/>
  <c r="I109" i="25"/>
  <c r="U109" i="25"/>
  <c r="J109" i="25"/>
  <c r="V109" i="25"/>
  <c r="Q109" i="25"/>
  <c r="R109" i="25"/>
  <c r="K109" i="25"/>
  <c r="L109" i="25"/>
  <c r="Y109" i="25"/>
  <c r="H261" i="11"/>
  <c r="Q110" i="25"/>
  <c r="L110" i="25"/>
  <c r="Y110" i="25"/>
  <c r="H262" i="11"/>
  <c r="Q111" i="25"/>
  <c r="L111" i="25"/>
  <c r="Y111" i="25"/>
  <c r="H263" i="11"/>
  <c r="Q112" i="25"/>
  <c r="L112" i="25"/>
  <c r="Y112" i="25"/>
  <c r="H264" i="11"/>
  <c r="G113" i="25"/>
  <c r="H113" i="25"/>
  <c r="T113" i="25"/>
  <c r="I113" i="25"/>
  <c r="J113" i="25"/>
  <c r="V113" i="25"/>
  <c r="Q113" i="25"/>
  <c r="R113" i="25"/>
  <c r="K113" i="25"/>
  <c r="L113" i="25"/>
  <c r="Y113" i="25"/>
  <c r="H265" i="11"/>
  <c r="H114" i="25"/>
  <c r="T114" i="25"/>
  <c r="I114" i="25"/>
  <c r="J114" i="25"/>
  <c r="K114" i="25"/>
  <c r="L114" i="25"/>
  <c r="U114" i="25"/>
  <c r="V114" i="25"/>
  <c r="Q114" i="25"/>
  <c r="R114" i="25"/>
  <c r="Y114" i="25"/>
  <c r="H266" i="11"/>
  <c r="Q115" i="25"/>
  <c r="L115" i="25"/>
  <c r="Y115" i="25"/>
  <c r="H267" i="11"/>
  <c r="G116" i="25"/>
  <c r="H116" i="25"/>
  <c r="I116" i="25"/>
  <c r="J116" i="25"/>
  <c r="K116" i="25"/>
  <c r="L116" i="25"/>
  <c r="S116" i="25"/>
  <c r="T116" i="25"/>
  <c r="U116" i="25"/>
  <c r="V116" i="25"/>
  <c r="R116" i="25"/>
  <c r="H117" i="25"/>
  <c r="T117" i="25"/>
  <c r="J117" i="25"/>
  <c r="V117" i="25"/>
  <c r="Q117" i="25"/>
  <c r="R117" i="25"/>
  <c r="K117" i="25"/>
  <c r="L117" i="25"/>
  <c r="Y117" i="25"/>
  <c r="H269" i="11"/>
  <c r="Q118" i="25"/>
  <c r="L118" i="25"/>
  <c r="Y118" i="25"/>
  <c r="H270" i="11"/>
  <c r="Q119" i="25"/>
  <c r="L119" i="25"/>
  <c r="Y119" i="25"/>
  <c r="H271" i="11"/>
  <c r="Q120" i="25"/>
  <c r="L120" i="25"/>
  <c r="Y120" i="25"/>
  <c r="H272" i="11"/>
  <c r="Q121" i="25"/>
  <c r="K121" i="25"/>
  <c r="L121" i="25"/>
  <c r="Q122" i="25"/>
  <c r="L122" i="25"/>
  <c r="Y122" i="25"/>
  <c r="H274" i="11"/>
  <c r="H123" i="25"/>
  <c r="T123" i="25"/>
  <c r="Q123" i="25"/>
  <c r="R123" i="25"/>
  <c r="K123" i="25"/>
  <c r="L123" i="25"/>
  <c r="Q124" i="25"/>
  <c r="L124" i="25"/>
  <c r="Q125" i="25"/>
  <c r="L125" i="25"/>
  <c r="Q126" i="25"/>
  <c r="K126" i="25"/>
  <c r="L126" i="25"/>
  <c r="S127" i="25"/>
  <c r="H127" i="25"/>
  <c r="T127" i="25"/>
  <c r="I127" i="25"/>
  <c r="U127" i="25"/>
  <c r="J127" i="25"/>
  <c r="V127" i="25"/>
  <c r="Q127" i="25"/>
  <c r="R127" i="25"/>
  <c r="K127" i="25"/>
  <c r="L127" i="25"/>
  <c r="Y127" i="25"/>
  <c r="H279" i="11"/>
  <c r="G128" i="25"/>
  <c r="S128" i="25"/>
  <c r="H128" i="25"/>
  <c r="T128" i="25"/>
  <c r="I128" i="25"/>
  <c r="U128" i="25"/>
  <c r="J128" i="25"/>
  <c r="V128" i="25"/>
  <c r="R128" i="25"/>
  <c r="K128" i="25"/>
  <c r="L128" i="25"/>
  <c r="H129" i="25"/>
  <c r="T129" i="25"/>
  <c r="I129" i="25"/>
  <c r="U129" i="25"/>
  <c r="J129" i="25"/>
  <c r="V129" i="25"/>
  <c r="R129" i="25"/>
  <c r="K129" i="25"/>
  <c r="L129" i="25"/>
  <c r="H130" i="25"/>
  <c r="T130" i="25"/>
  <c r="I130" i="25"/>
  <c r="U130" i="25"/>
  <c r="J130" i="25"/>
  <c r="V130" i="25"/>
  <c r="R130" i="25"/>
  <c r="K130" i="25"/>
  <c r="L130" i="25"/>
  <c r="Q131" i="25"/>
  <c r="K131" i="25"/>
  <c r="L131" i="25"/>
  <c r="H132" i="25"/>
  <c r="I132" i="25"/>
  <c r="U132" i="25"/>
  <c r="J132" i="25"/>
  <c r="V132" i="25"/>
  <c r="Q133" i="25"/>
  <c r="L133" i="25"/>
  <c r="Y133" i="25"/>
  <c r="H285" i="11"/>
  <c r="H134" i="25"/>
  <c r="T134" i="25"/>
  <c r="I134" i="25"/>
  <c r="J134" i="25"/>
  <c r="K134" i="25"/>
  <c r="L134" i="25"/>
  <c r="U134" i="25"/>
  <c r="V134" i="25"/>
  <c r="Q134" i="25"/>
  <c r="R134" i="25"/>
  <c r="Y134" i="25"/>
  <c r="H286" i="11"/>
  <c r="H135" i="25"/>
  <c r="T135" i="25"/>
  <c r="I135" i="25"/>
  <c r="U135" i="25"/>
  <c r="R135" i="25"/>
  <c r="K135" i="25"/>
  <c r="L135" i="25"/>
  <c r="H136" i="25"/>
  <c r="T136" i="25"/>
  <c r="I136" i="25"/>
  <c r="U136" i="25"/>
  <c r="J136" i="25"/>
  <c r="V136" i="25"/>
  <c r="R136" i="25"/>
  <c r="K136" i="25"/>
  <c r="L136" i="25"/>
  <c r="S137" i="25"/>
  <c r="H137" i="25"/>
  <c r="T137" i="25"/>
  <c r="I137" i="25"/>
  <c r="U137" i="25"/>
  <c r="J137" i="25"/>
  <c r="V137" i="25"/>
  <c r="R137" i="25"/>
  <c r="K137" i="25"/>
  <c r="H138" i="25"/>
  <c r="T138" i="25"/>
  <c r="I138" i="25"/>
  <c r="U138" i="25"/>
  <c r="J138" i="25"/>
  <c r="V138" i="25"/>
  <c r="L138" i="25"/>
  <c r="H139" i="25"/>
  <c r="T139" i="25"/>
  <c r="I139" i="25"/>
  <c r="K139" i="25"/>
  <c r="L139" i="25"/>
  <c r="R139" i="25"/>
  <c r="Q140" i="25"/>
  <c r="L140" i="25"/>
  <c r="Y140" i="25"/>
  <c r="H292" i="11"/>
  <c r="H141" i="25"/>
  <c r="T141" i="25"/>
  <c r="I141" i="25"/>
  <c r="U141" i="25"/>
  <c r="J141" i="25"/>
  <c r="V141" i="25"/>
  <c r="R141" i="25"/>
  <c r="K141" i="25"/>
  <c r="L141" i="25"/>
  <c r="Q142" i="25"/>
  <c r="K142" i="25"/>
  <c r="L142" i="25"/>
  <c r="Y142" i="25"/>
  <c r="H294" i="11"/>
  <c r="G143" i="25"/>
  <c r="H143" i="25"/>
  <c r="I143" i="25"/>
  <c r="J143" i="25"/>
  <c r="K143" i="25"/>
  <c r="L143" i="25"/>
  <c r="S143" i="25"/>
  <c r="T143" i="25"/>
  <c r="U143" i="25"/>
  <c r="V143" i="25"/>
  <c r="Q143" i="25"/>
  <c r="R143" i="25"/>
  <c r="Y143" i="25"/>
  <c r="H295" i="11"/>
  <c r="Q144" i="25"/>
  <c r="L144" i="25"/>
  <c r="Y144" i="25"/>
  <c r="H296" i="11"/>
  <c r="Q145" i="25"/>
  <c r="L145" i="25"/>
  <c r="Y145" i="25"/>
  <c r="H297" i="11"/>
  <c r="Q146" i="25"/>
  <c r="L146" i="25"/>
  <c r="Y146" i="25"/>
  <c r="H298" i="11"/>
  <c r="G147" i="25"/>
  <c r="S147" i="25"/>
  <c r="H147" i="25"/>
  <c r="T147" i="25"/>
  <c r="I147" i="25"/>
  <c r="U147" i="25"/>
  <c r="J147" i="25"/>
  <c r="V147" i="25"/>
  <c r="Q147" i="25"/>
  <c r="R147" i="25"/>
  <c r="K147" i="25"/>
  <c r="L147" i="25"/>
  <c r="Y147" i="25"/>
  <c r="H299" i="11"/>
  <c r="G148" i="25"/>
  <c r="H148" i="25"/>
  <c r="T148" i="25"/>
  <c r="I148" i="25"/>
  <c r="U148" i="25"/>
  <c r="J148" i="25"/>
  <c r="V148" i="25"/>
  <c r="Q148" i="25"/>
  <c r="K148" i="25"/>
  <c r="L148" i="25"/>
  <c r="Y148" i="25"/>
  <c r="H300" i="11"/>
  <c r="H149" i="25"/>
  <c r="T149" i="25"/>
  <c r="I149" i="25"/>
  <c r="U149" i="25"/>
  <c r="J149" i="25"/>
  <c r="V149" i="25"/>
  <c r="Q149" i="25"/>
  <c r="R149" i="25"/>
  <c r="K149" i="25"/>
  <c r="L149" i="25"/>
  <c r="Y149" i="25"/>
  <c r="H301" i="11"/>
  <c r="Q150" i="25"/>
  <c r="K150" i="25"/>
  <c r="L150" i="25"/>
  <c r="Y150" i="25"/>
  <c r="H302" i="11"/>
  <c r="Q151" i="25"/>
  <c r="K151" i="25"/>
  <c r="L151" i="25"/>
  <c r="Y151" i="25"/>
  <c r="H303" i="11"/>
  <c r="Q152" i="25"/>
  <c r="L152" i="25"/>
  <c r="Y152" i="25"/>
  <c r="H304" i="11"/>
  <c r="Q153" i="25"/>
  <c r="L153" i="25"/>
  <c r="Y153" i="25"/>
  <c r="H305" i="11"/>
  <c r="Q154" i="25"/>
  <c r="L154" i="25"/>
  <c r="Y154" i="25"/>
  <c r="H306" i="11"/>
  <c r="Q155" i="25"/>
  <c r="L155" i="25"/>
  <c r="Y155" i="25"/>
  <c r="H307" i="11"/>
  <c r="H156" i="25"/>
  <c r="T156" i="25"/>
  <c r="I156" i="25"/>
  <c r="U156" i="25"/>
  <c r="J156" i="25"/>
  <c r="V156" i="25"/>
  <c r="Q156" i="25"/>
  <c r="R156" i="25"/>
  <c r="K156" i="25"/>
  <c r="L156" i="25"/>
  <c r="Y156" i="25"/>
  <c r="H308" i="11"/>
  <c r="Q157" i="25"/>
  <c r="K157" i="25"/>
  <c r="L157" i="25"/>
  <c r="Y157" i="25"/>
  <c r="H309" i="11"/>
  <c r="Q158" i="25"/>
  <c r="L158" i="25"/>
  <c r="Y158" i="25"/>
  <c r="H310" i="11"/>
  <c r="Q159" i="25"/>
  <c r="K159" i="25"/>
  <c r="L159" i="25"/>
  <c r="Y159" i="25"/>
  <c r="H311" i="11"/>
  <c r="Q160" i="25"/>
  <c r="L160" i="25"/>
  <c r="Y160" i="25"/>
  <c r="H312" i="11"/>
  <c r="S2" i="25"/>
  <c r="H2" i="25"/>
  <c r="T2" i="25"/>
  <c r="I2" i="25"/>
  <c r="U2" i="25"/>
  <c r="J2" i="25"/>
  <c r="V2" i="25"/>
  <c r="Q2" i="25"/>
  <c r="R2" i="25"/>
  <c r="L2" i="25"/>
  <c r="H58" i="25"/>
  <c r="T58" i="25"/>
  <c r="I58" i="25"/>
  <c r="U58" i="25"/>
  <c r="J58" i="25"/>
  <c r="V58" i="25"/>
  <c r="Q58" i="25"/>
  <c r="R58" i="25"/>
  <c r="K58" i="25"/>
  <c r="L58" i="25"/>
  <c r="Y58" i="25"/>
  <c r="Q102" i="25"/>
  <c r="L102" i="25"/>
  <c r="Y102" i="25"/>
  <c r="X2" i="25"/>
  <c r="AI3" i="24"/>
  <c r="AL3" i="24"/>
  <c r="K736" i="11"/>
  <c r="AL4" i="24"/>
  <c r="K737" i="11"/>
  <c r="AL5" i="24"/>
  <c r="K738" i="11"/>
  <c r="AI6" i="24"/>
  <c r="AL6" i="24"/>
  <c r="K739" i="11"/>
  <c r="AI7" i="24"/>
  <c r="AL7" i="24"/>
  <c r="K740" i="11"/>
  <c r="AI8" i="24"/>
  <c r="AL8" i="24"/>
  <c r="K741" i="11"/>
  <c r="AL9" i="24"/>
  <c r="K742" i="11"/>
  <c r="AL10" i="24"/>
  <c r="K743" i="11"/>
  <c r="AL11" i="24"/>
  <c r="K744" i="11"/>
  <c r="AL12" i="24"/>
  <c r="K745" i="11"/>
  <c r="AI13" i="24"/>
  <c r="AL13" i="24"/>
  <c r="K746" i="11"/>
  <c r="AL14" i="24"/>
  <c r="K747" i="11"/>
  <c r="AL15" i="24"/>
  <c r="K748" i="11"/>
  <c r="AI16" i="24"/>
  <c r="AL16" i="24"/>
  <c r="K749" i="11"/>
  <c r="AI17" i="24"/>
  <c r="AL17" i="24"/>
  <c r="K750" i="11"/>
  <c r="AL18" i="24"/>
  <c r="K751" i="11"/>
  <c r="AL19" i="24"/>
  <c r="K752" i="11"/>
  <c r="AI20" i="24"/>
  <c r="AL20" i="24"/>
  <c r="K753" i="11"/>
  <c r="AL21" i="24"/>
  <c r="K754" i="11"/>
  <c r="AL22" i="24"/>
  <c r="K755" i="11"/>
  <c r="AL23" i="24"/>
  <c r="K756" i="11"/>
  <c r="AI24" i="24"/>
  <c r="AL24" i="24"/>
  <c r="K757" i="11"/>
  <c r="AL25" i="24"/>
  <c r="K758" i="11"/>
  <c r="AL26" i="24"/>
  <c r="K759" i="11"/>
  <c r="AL27" i="24"/>
  <c r="K760" i="11"/>
  <c r="AI28" i="24"/>
  <c r="AJ28" i="24"/>
  <c r="AL28" i="24"/>
  <c r="K761" i="11"/>
  <c r="AI29" i="24"/>
  <c r="AL29" i="24"/>
  <c r="K762" i="11"/>
  <c r="AL30" i="24"/>
  <c r="K763" i="11"/>
  <c r="AL31" i="24"/>
  <c r="K764" i="11"/>
  <c r="AL32" i="24"/>
  <c r="K765" i="11"/>
  <c r="AI33" i="24"/>
  <c r="AL33" i="24"/>
  <c r="K766" i="11"/>
  <c r="AI34" i="24"/>
  <c r="AL34" i="24"/>
  <c r="K767" i="11"/>
  <c r="AL35" i="24"/>
  <c r="K768" i="11"/>
  <c r="AL36" i="24"/>
  <c r="K769" i="11"/>
  <c r="AL37" i="24"/>
  <c r="K770" i="11"/>
  <c r="AL38" i="24"/>
  <c r="K771" i="11"/>
  <c r="AL39" i="24"/>
  <c r="K772" i="11"/>
  <c r="AL40" i="24"/>
  <c r="K773" i="11"/>
  <c r="AL41" i="24"/>
  <c r="K774" i="11"/>
  <c r="AL42" i="24"/>
  <c r="K775" i="11"/>
  <c r="AL43" i="24"/>
  <c r="K776" i="11"/>
  <c r="AL44" i="24"/>
  <c r="K777" i="11"/>
  <c r="AL45" i="24"/>
  <c r="K778" i="11"/>
  <c r="AL46" i="24"/>
  <c r="K779" i="11"/>
  <c r="AL47" i="24"/>
  <c r="K780" i="11"/>
  <c r="AL48" i="24"/>
  <c r="K781" i="11"/>
  <c r="AI49" i="24"/>
  <c r="AL49" i="24"/>
  <c r="K782" i="11"/>
  <c r="AJ50" i="24"/>
  <c r="AL50" i="24"/>
  <c r="K783" i="11"/>
  <c r="AL51" i="24"/>
  <c r="K784" i="11"/>
  <c r="AL52" i="24"/>
  <c r="K785" i="11"/>
  <c r="AI53" i="24"/>
  <c r="AJ53" i="24"/>
  <c r="AL53" i="24"/>
  <c r="K786" i="11"/>
  <c r="AI54" i="24"/>
  <c r="AJ54" i="24"/>
  <c r="AL54" i="24"/>
  <c r="K787" i="11"/>
  <c r="AJ55" i="24"/>
  <c r="AL55" i="24"/>
  <c r="K788" i="11"/>
  <c r="AL56" i="24"/>
  <c r="K789" i="11"/>
  <c r="AL57" i="24"/>
  <c r="K790" i="11"/>
  <c r="AI58" i="24"/>
  <c r="AL58" i="24"/>
  <c r="K791" i="11"/>
  <c r="AI59" i="24"/>
  <c r="AL59" i="24"/>
  <c r="K792" i="11"/>
  <c r="AL60" i="24"/>
  <c r="K793" i="11"/>
  <c r="AI61" i="24"/>
  <c r="AL61" i="24"/>
  <c r="K794" i="11"/>
  <c r="AL62" i="24"/>
  <c r="K795" i="11"/>
  <c r="AJ63" i="24"/>
  <c r="AL63" i="24"/>
  <c r="K796" i="11"/>
  <c r="AI64" i="24"/>
  <c r="AL64" i="24"/>
  <c r="K797" i="11"/>
  <c r="AL65" i="24"/>
  <c r="K798" i="11"/>
  <c r="AL66" i="24"/>
  <c r="K799" i="11"/>
  <c r="AI67" i="24"/>
  <c r="AL67" i="24"/>
  <c r="K800" i="11"/>
  <c r="AL68" i="24"/>
  <c r="K801" i="11"/>
  <c r="AL69" i="24"/>
  <c r="K802" i="11"/>
  <c r="AL70" i="24"/>
  <c r="K803" i="11"/>
  <c r="AL71" i="24"/>
  <c r="K804" i="11"/>
  <c r="AL72" i="24"/>
  <c r="K805" i="11"/>
  <c r="AI73" i="24"/>
  <c r="AL73" i="24"/>
  <c r="K806" i="11"/>
  <c r="AI74" i="24"/>
  <c r="AL74" i="24"/>
  <c r="K807" i="11"/>
  <c r="AI75" i="24"/>
  <c r="AL75" i="24"/>
  <c r="K808" i="11"/>
  <c r="AI76" i="24"/>
  <c r="AJ76" i="24"/>
  <c r="AL76" i="24"/>
  <c r="K809" i="11"/>
  <c r="AL77" i="24"/>
  <c r="K810" i="11"/>
  <c r="AL78" i="24"/>
  <c r="K811" i="11"/>
  <c r="AL79" i="24"/>
  <c r="K812" i="11"/>
  <c r="AL80" i="24"/>
  <c r="K813" i="11"/>
  <c r="AI81" i="24"/>
  <c r="AL81" i="24"/>
  <c r="K814" i="11"/>
  <c r="AL82" i="24"/>
  <c r="K815" i="11"/>
  <c r="AI83" i="24"/>
  <c r="AL83" i="24"/>
  <c r="K816" i="11"/>
  <c r="AI84" i="24"/>
  <c r="AL84" i="24"/>
  <c r="K817" i="11"/>
  <c r="AI85" i="24"/>
  <c r="AL85" i="24"/>
  <c r="K818" i="11"/>
  <c r="AL86" i="24"/>
  <c r="K819" i="11"/>
  <c r="AL87" i="24"/>
  <c r="K820" i="11"/>
  <c r="AL88" i="24"/>
  <c r="K821" i="11"/>
  <c r="AL89" i="24"/>
  <c r="K822" i="11"/>
  <c r="AJ90" i="24"/>
  <c r="AL90" i="24"/>
  <c r="K823" i="11"/>
  <c r="AI91" i="24"/>
  <c r="AL91" i="24"/>
  <c r="K824" i="11"/>
  <c r="AL92" i="24"/>
  <c r="K825" i="11"/>
  <c r="AI93" i="24"/>
  <c r="AL93" i="24"/>
  <c r="K826" i="11"/>
  <c r="AI94" i="24"/>
  <c r="AL94" i="24"/>
  <c r="K827" i="11"/>
  <c r="AI95" i="24"/>
  <c r="AL95" i="24"/>
  <c r="K828" i="11"/>
  <c r="AI96" i="24"/>
  <c r="AJ96" i="24"/>
  <c r="AL96" i="24"/>
  <c r="K829" i="11"/>
  <c r="AI2" i="24"/>
  <c r="AL2" i="24"/>
  <c r="K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735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J3" i="24"/>
  <c r="Q3" i="24"/>
  <c r="J4" i="24"/>
  <c r="Q4" i="24"/>
  <c r="F737" i="11"/>
  <c r="J5" i="24"/>
  <c r="Q5" i="24"/>
  <c r="J6" i="24"/>
  <c r="Q6" i="24"/>
  <c r="F739" i="11"/>
  <c r="J7" i="24"/>
  <c r="Q7" i="24"/>
  <c r="J8" i="24"/>
  <c r="Q8" i="24"/>
  <c r="F741" i="11"/>
  <c r="J9" i="24"/>
  <c r="Q9" i="24"/>
  <c r="J10" i="24"/>
  <c r="Q10" i="24"/>
  <c r="F743" i="11"/>
  <c r="J11" i="24"/>
  <c r="Q11" i="24"/>
  <c r="J12" i="24"/>
  <c r="Q12" i="24"/>
  <c r="F745" i="11"/>
  <c r="J13" i="24"/>
  <c r="Q13" i="24"/>
  <c r="J14" i="24"/>
  <c r="Q14" i="24"/>
  <c r="F747" i="11"/>
  <c r="J15" i="24"/>
  <c r="Q15" i="24"/>
  <c r="J16" i="24"/>
  <c r="Q16" i="24"/>
  <c r="F749" i="11"/>
  <c r="J17" i="24"/>
  <c r="Q17" i="24"/>
  <c r="J18" i="24"/>
  <c r="Q18" i="24"/>
  <c r="F751" i="11"/>
  <c r="J19" i="24"/>
  <c r="Q19" i="24"/>
  <c r="J20" i="24"/>
  <c r="Q20" i="24"/>
  <c r="F753" i="11"/>
  <c r="J21" i="24"/>
  <c r="Q21" i="24"/>
  <c r="J22" i="24"/>
  <c r="Q22" i="24"/>
  <c r="F755" i="11"/>
  <c r="J23" i="24"/>
  <c r="Q23" i="24"/>
  <c r="J24" i="24"/>
  <c r="Q24" i="24"/>
  <c r="F757" i="11"/>
  <c r="J25" i="24"/>
  <c r="Q25" i="24"/>
  <c r="J26" i="24"/>
  <c r="Q26" i="24"/>
  <c r="F759" i="11"/>
  <c r="J27" i="24"/>
  <c r="Q27" i="24"/>
  <c r="F760" i="11"/>
  <c r="J28" i="24"/>
  <c r="Q28" i="24"/>
  <c r="F761" i="11"/>
  <c r="J29" i="24"/>
  <c r="Q29" i="24"/>
  <c r="J30" i="24"/>
  <c r="Q30" i="24"/>
  <c r="F763" i="11"/>
  <c r="J31" i="24"/>
  <c r="Q31" i="24"/>
  <c r="J32" i="24"/>
  <c r="Q32" i="24"/>
  <c r="F765" i="11"/>
  <c r="J33" i="24"/>
  <c r="Q33" i="24"/>
  <c r="J34" i="24"/>
  <c r="Q34" i="24"/>
  <c r="F767" i="11"/>
  <c r="J35" i="24"/>
  <c r="Q35" i="24"/>
  <c r="J36" i="24"/>
  <c r="Q36" i="24"/>
  <c r="F769" i="11"/>
  <c r="J37" i="24"/>
  <c r="Q37" i="24"/>
  <c r="J38" i="24"/>
  <c r="Q38" i="24"/>
  <c r="F771" i="11"/>
  <c r="J39" i="24"/>
  <c r="Q39" i="24"/>
  <c r="J40" i="24"/>
  <c r="Q40" i="24"/>
  <c r="F773" i="11"/>
  <c r="J41" i="24"/>
  <c r="Q41" i="24"/>
  <c r="J42" i="24"/>
  <c r="Q42" i="24"/>
  <c r="F775" i="11"/>
  <c r="J43" i="24"/>
  <c r="Q43" i="24"/>
  <c r="D44" i="24"/>
  <c r="J44" i="24"/>
  <c r="Q44" i="24"/>
  <c r="J45" i="24"/>
  <c r="Q45" i="24"/>
  <c r="F778" i="11"/>
  <c r="J46" i="24"/>
  <c r="Q46" i="24"/>
  <c r="J47" i="24"/>
  <c r="Q47" i="24"/>
  <c r="F780" i="11"/>
  <c r="J48" i="24"/>
  <c r="Q48" i="24"/>
  <c r="J49" i="24"/>
  <c r="Q49" i="24"/>
  <c r="F782" i="11"/>
  <c r="J50" i="24"/>
  <c r="Q50" i="24"/>
  <c r="J51" i="24"/>
  <c r="Q51" i="24"/>
  <c r="F784" i="11"/>
  <c r="J52" i="24"/>
  <c r="Q52" i="24"/>
  <c r="J53" i="24"/>
  <c r="Q53" i="24"/>
  <c r="F786" i="11"/>
  <c r="J54" i="24"/>
  <c r="Q54" i="24"/>
  <c r="J55" i="24"/>
  <c r="Q55" i="24"/>
  <c r="F788" i="11"/>
  <c r="J56" i="24"/>
  <c r="Q56" i="24"/>
  <c r="J57" i="24"/>
  <c r="Q57" i="24"/>
  <c r="F790" i="11"/>
  <c r="J58" i="24"/>
  <c r="Q58" i="24"/>
  <c r="J59" i="24"/>
  <c r="Q59" i="24"/>
  <c r="F792" i="11"/>
  <c r="J60" i="24"/>
  <c r="D793" i="11"/>
  <c r="J61" i="24"/>
  <c r="Q61" i="24"/>
  <c r="F794" i="11"/>
  <c r="J62" i="24"/>
  <c r="Q62" i="24"/>
  <c r="J63" i="24"/>
  <c r="Q63" i="24"/>
  <c r="F796" i="11"/>
  <c r="J64" i="24"/>
  <c r="D797" i="11"/>
  <c r="J65" i="24"/>
  <c r="Q65" i="24"/>
  <c r="F798" i="11"/>
  <c r="J66" i="24"/>
  <c r="Q66" i="24"/>
  <c r="J67" i="24"/>
  <c r="Q67" i="24"/>
  <c r="F800" i="11"/>
  <c r="J68" i="24"/>
  <c r="D801" i="11"/>
  <c r="J69" i="24"/>
  <c r="Q69" i="24"/>
  <c r="F802" i="11"/>
  <c r="J70" i="24"/>
  <c r="Q70" i="24"/>
  <c r="J71" i="24"/>
  <c r="Q71" i="24"/>
  <c r="F804" i="11"/>
  <c r="J72" i="24"/>
  <c r="D805" i="11"/>
  <c r="J73" i="24"/>
  <c r="Q73" i="24"/>
  <c r="F806" i="11"/>
  <c r="J74" i="24"/>
  <c r="Q74" i="24"/>
  <c r="J75" i="24"/>
  <c r="Q75" i="24"/>
  <c r="F808" i="11"/>
  <c r="J76" i="24"/>
  <c r="D809" i="11"/>
  <c r="J77" i="24"/>
  <c r="Q77" i="24"/>
  <c r="F810" i="11"/>
  <c r="J78" i="24"/>
  <c r="Q78" i="24"/>
  <c r="J79" i="24"/>
  <c r="Q79" i="24"/>
  <c r="F812" i="11"/>
  <c r="J80" i="24"/>
  <c r="D813" i="11"/>
  <c r="J81" i="24"/>
  <c r="Q81" i="24"/>
  <c r="F814" i="11"/>
  <c r="J82" i="24"/>
  <c r="Q82" i="24"/>
  <c r="J83" i="24"/>
  <c r="Q83" i="24"/>
  <c r="F816" i="11"/>
  <c r="J84" i="24"/>
  <c r="D817" i="11"/>
  <c r="J85" i="24"/>
  <c r="Q85" i="24"/>
  <c r="F818" i="11"/>
  <c r="J86" i="24"/>
  <c r="Q86" i="24"/>
  <c r="J87" i="24"/>
  <c r="Q87" i="24"/>
  <c r="F820" i="11"/>
  <c r="J88" i="24"/>
  <c r="D821" i="11"/>
  <c r="J89" i="24"/>
  <c r="Q89" i="24"/>
  <c r="F822" i="11"/>
  <c r="J90" i="24"/>
  <c r="Q90" i="24"/>
  <c r="J91" i="24"/>
  <c r="Q91" i="24"/>
  <c r="F824" i="11"/>
  <c r="J92" i="24"/>
  <c r="D825" i="11"/>
  <c r="J93" i="24"/>
  <c r="Q93" i="24"/>
  <c r="F826" i="11"/>
  <c r="J94" i="24"/>
  <c r="Q94" i="24"/>
  <c r="J95" i="24"/>
  <c r="Q95" i="24"/>
  <c r="F828" i="11"/>
  <c r="J96" i="24"/>
  <c r="D829" i="11"/>
  <c r="J2" i="24"/>
  <c r="Q2" i="24"/>
  <c r="F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80" i="11"/>
  <c r="D781" i="11"/>
  <c r="D782" i="11"/>
  <c r="D784" i="11"/>
  <c r="D785" i="11"/>
  <c r="D786" i="11"/>
  <c r="D788" i="11"/>
  <c r="D789" i="11"/>
  <c r="D790" i="11"/>
  <c r="D792" i="11"/>
  <c r="D794" i="11"/>
  <c r="D796" i="11"/>
  <c r="D798" i="11"/>
  <c r="D800" i="11"/>
  <c r="D802" i="11"/>
  <c r="D804" i="11"/>
  <c r="D806" i="11"/>
  <c r="D808" i="11"/>
  <c r="D810" i="11"/>
  <c r="D812" i="11"/>
  <c r="D814" i="11"/>
  <c r="D816" i="11"/>
  <c r="D818" i="11"/>
  <c r="D820" i="11"/>
  <c r="D822" i="11"/>
  <c r="D824" i="11"/>
  <c r="D826" i="11"/>
  <c r="D828" i="11"/>
  <c r="D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735" i="11"/>
  <c r="AB4" i="24"/>
  <c r="H737" i="11"/>
  <c r="AB6" i="24"/>
  <c r="H739" i="11"/>
  <c r="AB8" i="24"/>
  <c r="H741" i="11"/>
  <c r="AB10" i="24"/>
  <c r="H743" i="11"/>
  <c r="AB12" i="24"/>
  <c r="H745" i="11"/>
  <c r="AB14" i="24"/>
  <c r="H747" i="11"/>
  <c r="AB16" i="24"/>
  <c r="H749" i="11"/>
  <c r="AB18" i="24"/>
  <c r="H751" i="11"/>
  <c r="AB20" i="24"/>
  <c r="H753" i="11"/>
  <c r="AB22" i="24"/>
  <c r="H755" i="11"/>
  <c r="AB24" i="24"/>
  <c r="H757" i="11"/>
  <c r="AB26" i="24"/>
  <c r="H759" i="11"/>
  <c r="Y27" i="24"/>
  <c r="AB27" i="24"/>
  <c r="H760" i="11"/>
  <c r="Y28" i="24"/>
  <c r="AB28" i="24"/>
  <c r="H761" i="11"/>
  <c r="AB30" i="24"/>
  <c r="H763" i="11"/>
  <c r="AB32" i="24"/>
  <c r="H765" i="11"/>
  <c r="AB34" i="24"/>
  <c r="H767" i="11"/>
  <c r="AB36" i="24"/>
  <c r="H769" i="11"/>
  <c r="AB38" i="24"/>
  <c r="H771" i="11"/>
  <c r="AB40" i="24"/>
  <c r="H773" i="11"/>
  <c r="AB42" i="24"/>
  <c r="H775" i="11"/>
  <c r="AB45" i="24"/>
  <c r="H778" i="11"/>
  <c r="AB47" i="24"/>
  <c r="H780" i="11"/>
  <c r="AB49" i="24"/>
  <c r="H782" i="11"/>
  <c r="AB51" i="24"/>
  <c r="H784" i="11"/>
  <c r="AB53" i="24"/>
  <c r="H786" i="11"/>
  <c r="AB55" i="24"/>
  <c r="H788" i="11"/>
  <c r="AB57" i="24"/>
  <c r="H790" i="11"/>
  <c r="AB59" i="24"/>
  <c r="H792" i="11"/>
  <c r="AB61" i="24"/>
  <c r="H794" i="11"/>
  <c r="AB63" i="24"/>
  <c r="H796" i="11"/>
  <c r="AB65" i="24"/>
  <c r="H798" i="11"/>
  <c r="AB67" i="24"/>
  <c r="H800" i="11"/>
  <c r="AB69" i="24"/>
  <c r="H802" i="11"/>
  <c r="AB71" i="24"/>
  <c r="H804" i="11"/>
  <c r="AB73" i="24"/>
  <c r="H806" i="11"/>
  <c r="AB75" i="24"/>
  <c r="H808" i="11"/>
  <c r="AB77" i="24"/>
  <c r="H810" i="11"/>
  <c r="AB79" i="24"/>
  <c r="H812" i="11"/>
  <c r="AB81" i="24"/>
  <c r="H814" i="11"/>
  <c r="AB83" i="24"/>
  <c r="H816" i="11"/>
  <c r="AB85" i="24"/>
  <c r="H818" i="11"/>
  <c r="AB87" i="24"/>
  <c r="H820" i="11"/>
  <c r="AB89" i="24"/>
  <c r="H822" i="11"/>
  <c r="AB91" i="24"/>
  <c r="H824" i="11"/>
  <c r="AB93" i="24"/>
  <c r="H826" i="11"/>
  <c r="AB95" i="24"/>
  <c r="H828" i="11"/>
  <c r="AB2" i="24"/>
  <c r="H735" i="11"/>
  <c r="V90" i="24"/>
  <c r="V83" i="24"/>
  <c r="V80" i="24"/>
  <c r="V75" i="24"/>
  <c r="V74" i="24"/>
  <c r="V68" i="24"/>
  <c r="V67" i="24"/>
  <c r="V66" i="24"/>
  <c r="V58" i="24"/>
  <c r="V57" i="24"/>
  <c r="V55" i="24"/>
  <c r="V54" i="24"/>
  <c r="V49" i="24"/>
  <c r="V48" i="24"/>
  <c r="V46" i="24"/>
  <c r="V34" i="24"/>
  <c r="V33" i="24"/>
  <c r="V29" i="24"/>
  <c r="V24" i="24"/>
  <c r="V20" i="24"/>
  <c r="V17" i="24"/>
  <c r="V6" i="24"/>
  <c r="K3" i="24"/>
  <c r="K4" i="24"/>
  <c r="K5" i="24"/>
  <c r="K6" i="24"/>
  <c r="K7" i="24"/>
  <c r="K8" i="24"/>
  <c r="K9" i="24"/>
  <c r="K10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3" i="24"/>
  <c r="K84" i="24"/>
  <c r="K85" i="24"/>
  <c r="K87" i="24"/>
  <c r="K88" i="24"/>
  <c r="K89" i="24"/>
  <c r="K91" i="24"/>
  <c r="K92" i="24"/>
  <c r="K93" i="24"/>
  <c r="K95" i="24"/>
  <c r="K96" i="24"/>
  <c r="K2" i="24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1" i="11"/>
  <c r="H902" i="11"/>
  <c r="H903" i="11"/>
  <c r="H904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H1005" i="11"/>
  <c r="H1006" i="11"/>
  <c r="H1007" i="11"/>
  <c r="H1008" i="11"/>
  <c r="H1009" i="11"/>
  <c r="H1010" i="11"/>
  <c r="H1011" i="11"/>
  <c r="H1012" i="11"/>
  <c r="H1013" i="11"/>
  <c r="H1014" i="11"/>
  <c r="H1015" i="11"/>
  <c r="H1016" i="11"/>
  <c r="H1017" i="11"/>
  <c r="H1018" i="11"/>
  <c r="H1019" i="11"/>
  <c r="H1020" i="11"/>
  <c r="H1021" i="11"/>
  <c r="H1022" i="11"/>
  <c r="H1023" i="11"/>
  <c r="H1024" i="11"/>
  <c r="H1025" i="11"/>
  <c r="H1026" i="11"/>
  <c r="H1027" i="11"/>
  <c r="H1028" i="11"/>
  <c r="H1029" i="11"/>
  <c r="H1030" i="11"/>
  <c r="H1031" i="11"/>
  <c r="H1032" i="11"/>
  <c r="H1033" i="11"/>
  <c r="H1034" i="11"/>
  <c r="H1035" i="11"/>
  <c r="H1036" i="11"/>
  <c r="H1037" i="11"/>
  <c r="H1038" i="11"/>
  <c r="H1039" i="11"/>
  <c r="H1040" i="11"/>
  <c r="H1041" i="11"/>
  <c r="H1042" i="11"/>
  <c r="H1043" i="11"/>
  <c r="H1044" i="11"/>
  <c r="H1045" i="11"/>
  <c r="H1046" i="11"/>
  <c r="H1047" i="11"/>
  <c r="H1048" i="11"/>
  <c r="H1049" i="11"/>
  <c r="H1050" i="11"/>
  <c r="H1051" i="11"/>
  <c r="H1052" i="11"/>
  <c r="H1053" i="11"/>
  <c r="H1054" i="11"/>
  <c r="H1055" i="11"/>
  <c r="H1056" i="11"/>
  <c r="H1057" i="11"/>
  <c r="H1058" i="11"/>
  <c r="H1059" i="11"/>
  <c r="H1060" i="11"/>
  <c r="H1061" i="11"/>
  <c r="H1062" i="11"/>
  <c r="H1063" i="11"/>
  <c r="H1064" i="11"/>
  <c r="H1065" i="11"/>
  <c r="H1066" i="11"/>
  <c r="H1067" i="11"/>
  <c r="H1068" i="11"/>
  <c r="H1069" i="11"/>
  <c r="H1070" i="11"/>
  <c r="H1071" i="11"/>
  <c r="H1072" i="11"/>
  <c r="H1073" i="11"/>
  <c r="H1074" i="11"/>
  <c r="H1075" i="11"/>
  <c r="H1076" i="11"/>
  <c r="H1077" i="11"/>
  <c r="H1078" i="11"/>
  <c r="H1079" i="11"/>
  <c r="H1080" i="11"/>
  <c r="H1081" i="11"/>
  <c r="H1082" i="11"/>
  <c r="H1083" i="11"/>
  <c r="H1084" i="11"/>
  <c r="H832" i="11"/>
  <c r="P3" i="30"/>
  <c r="Q3" i="30"/>
  <c r="R3" i="30"/>
  <c r="S3" i="30"/>
  <c r="K688" i="11"/>
  <c r="P4" i="30"/>
  <c r="Q4" i="30"/>
  <c r="R4" i="30"/>
  <c r="S4" i="30"/>
  <c r="K689" i="11"/>
  <c r="P5" i="30"/>
  <c r="Q5" i="30"/>
  <c r="R5" i="30"/>
  <c r="S5" i="30"/>
  <c r="K690" i="11"/>
  <c r="P6" i="30"/>
  <c r="Q6" i="30"/>
  <c r="R6" i="30"/>
  <c r="S6" i="30"/>
  <c r="K691" i="11"/>
  <c r="P7" i="30"/>
  <c r="Q7" i="30"/>
  <c r="R7" i="30"/>
  <c r="S7" i="30"/>
  <c r="K692" i="11"/>
  <c r="P8" i="30"/>
  <c r="Q8" i="30"/>
  <c r="R8" i="30"/>
  <c r="S8" i="30"/>
  <c r="K693" i="11"/>
  <c r="P9" i="30"/>
  <c r="Q9" i="30"/>
  <c r="R9" i="30"/>
  <c r="S9" i="30"/>
  <c r="K694" i="11"/>
  <c r="P10" i="30"/>
  <c r="Q10" i="30"/>
  <c r="R10" i="30"/>
  <c r="S10" i="30"/>
  <c r="K695" i="11"/>
  <c r="P11" i="30"/>
  <c r="Q11" i="30"/>
  <c r="R11" i="30"/>
  <c r="S11" i="30"/>
  <c r="K696" i="11"/>
  <c r="P12" i="30"/>
  <c r="Q12" i="30"/>
  <c r="R12" i="30"/>
  <c r="S12" i="30"/>
  <c r="K697" i="11"/>
  <c r="P13" i="30"/>
  <c r="Q13" i="30"/>
  <c r="R13" i="30"/>
  <c r="S13" i="30"/>
  <c r="K698" i="11"/>
  <c r="P14" i="30"/>
  <c r="Q14" i="30"/>
  <c r="R14" i="30"/>
  <c r="S14" i="30"/>
  <c r="K699" i="11"/>
  <c r="Q15" i="30"/>
  <c r="R15" i="30"/>
  <c r="S15" i="30"/>
  <c r="K700" i="11"/>
  <c r="P16" i="30"/>
  <c r="Q16" i="30"/>
  <c r="R16" i="30"/>
  <c r="S16" i="30"/>
  <c r="K701" i="11"/>
  <c r="P17" i="30"/>
  <c r="Q17" i="30"/>
  <c r="R17" i="30"/>
  <c r="S17" i="30"/>
  <c r="K702" i="11"/>
  <c r="P18" i="30"/>
  <c r="Q18" i="30"/>
  <c r="R18" i="30"/>
  <c r="S18" i="30"/>
  <c r="K703" i="11"/>
  <c r="Q19" i="30"/>
  <c r="R19" i="30"/>
  <c r="S19" i="30"/>
  <c r="K704" i="11"/>
  <c r="P20" i="30"/>
  <c r="Q20" i="30"/>
  <c r="R20" i="30"/>
  <c r="S20" i="30"/>
  <c r="K705" i="11"/>
  <c r="P21" i="30"/>
  <c r="Q21" i="30"/>
  <c r="R21" i="30"/>
  <c r="S21" i="30"/>
  <c r="K706" i="11"/>
  <c r="P22" i="30"/>
  <c r="Q22" i="30"/>
  <c r="R22" i="30"/>
  <c r="S22" i="30"/>
  <c r="K707" i="11"/>
  <c r="Q23" i="30"/>
  <c r="R23" i="30"/>
  <c r="S23" i="30"/>
  <c r="K708" i="11"/>
  <c r="P24" i="30"/>
  <c r="Q24" i="30"/>
  <c r="R24" i="30"/>
  <c r="S24" i="30"/>
  <c r="K709" i="11"/>
  <c r="P25" i="30"/>
  <c r="Q25" i="30"/>
  <c r="R25" i="30"/>
  <c r="S25" i="30"/>
  <c r="K710" i="11"/>
  <c r="Q26" i="30"/>
  <c r="R26" i="30"/>
  <c r="S26" i="30"/>
  <c r="K711" i="11"/>
  <c r="Q27" i="30"/>
  <c r="R27" i="30"/>
  <c r="S27" i="30"/>
  <c r="K712" i="11"/>
  <c r="P28" i="30"/>
  <c r="Q28" i="30"/>
  <c r="R28" i="30"/>
  <c r="S28" i="30"/>
  <c r="K713" i="11"/>
  <c r="P29" i="30"/>
  <c r="Q29" i="30"/>
  <c r="R29" i="30"/>
  <c r="S29" i="30"/>
  <c r="K714" i="11"/>
  <c r="Q30" i="30"/>
  <c r="R30" i="30"/>
  <c r="S30" i="30"/>
  <c r="K715" i="11"/>
  <c r="Q31" i="30"/>
  <c r="R31" i="30"/>
  <c r="S31" i="30"/>
  <c r="K716" i="11"/>
  <c r="P32" i="30"/>
  <c r="R32" i="30"/>
  <c r="S32" i="30"/>
  <c r="K717" i="11"/>
  <c r="Q33" i="30"/>
  <c r="R33" i="30"/>
  <c r="S33" i="30"/>
  <c r="K718" i="11"/>
  <c r="Q34" i="30"/>
  <c r="S34" i="30"/>
  <c r="K719" i="11"/>
  <c r="P35" i="30"/>
  <c r="Q35" i="30"/>
  <c r="R35" i="30"/>
  <c r="S35" i="30"/>
  <c r="K720" i="11"/>
  <c r="P36" i="30"/>
  <c r="Q36" i="30"/>
  <c r="R36" i="30"/>
  <c r="S36" i="30"/>
  <c r="K721" i="11"/>
  <c r="P37" i="30"/>
  <c r="Q37" i="30"/>
  <c r="R37" i="30"/>
  <c r="S37" i="30"/>
  <c r="K722" i="11"/>
  <c r="P38" i="30"/>
  <c r="Q38" i="30"/>
  <c r="R38" i="30"/>
  <c r="S38" i="30"/>
  <c r="K723" i="11"/>
  <c r="P39" i="30"/>
  <c r="Q39" i="30"/>
  <c r="R39" i="30"/>
  <c r="S39" i="30"/>
  <c r="K724" i="11"/>
  <c r="P40" i="30"/>
  <c r="Q40" i="30"/>
  <c r="R40" i="30"/>
  <c r="S40" i="30"/>
  <c r="K725" i="11"/>
  <c r="P41" i="30"/>
  <c r="Q41" i="30"/>
  <c r="R41" i="30"/>
  <c r="S41" i="30"/>
  <c r="K726" i="11"/>
  <c r="P42" i="30"/>
  <c r="Q42" i="30"/>
  <c r="R42" i="30"/>
  <c r="S42" i="30"/>
  <c r="K727" i="11"/>
  <c r="P43" i="30"/>
  <c r="Q43" i="30"/>
  <c r="R43" i="30"/>
  <c r="S43" i="30"/>
  <c r="K728" i="11"/>
  <c r="P44" i="30"/>
  <c r="Q44" i="30"/>
  <c r="R44" i="30"/>
  <c r="S44" i="30"/>
  <c r="K729" i="11"/>
  <c r="P45" i="30"/>
  <c r="Q45" i="30"/>
  <c r="R45" i="30"/>
  <c r="S45" i="30"/>
  <c r="K730" i="11"/>
  <c r="P46" i="30"/>
  <c r="Q46" i="30"/>
  <c r="R46" i="30"/>
  <c r="S46" i="30"/>
  <c r="K731" i="11"/>
  <c r="P47" i="30"/>
  <c r="Q47" i="30"/>
  <c r="R47" i="30"/>
  <c r="S47" i="30"/>
  <c r="K732" i="11"/>
  <c r="P2" i="30"/>
  <c r="Q2" i="30"/>
  <c r="R2" i="30"/>
  <c r="S2" i="30"/>
  <c r="K687" i="11"/>
  <c r="C47" i="30"/>
  <c r="B47" i="30"/>
  <c r="C46" i="30"/>
  <c r="B46" i="30"/>
  <c r="C45" i="30"/>
  <c r="B45" i="30"/>
  <c r="C44" i="30"/>
  <c r="B44" i="30"/>
  <c r="C43" i="30"/>
  <c r="B43" i="30"/>
  <c r="C42" i="30"/>
  <c r="B42" i="30"/>
  <c r="C41" i="30"/>
  <c r="B41" i="30"/>
  <c r="C40" i="30"/>
  <c r="B40" i="30"/>
  <c r="C39" i="30"/>
  <c r="B39" i="30"/>
  <c r="C38" i="30"/>
  <c r="B38" i="30"/>
  <c r="C37" i="30"/>
  <c r="B37" i="30"/>
  <c r="C36" i="30"/>
  <c r="B36" i="30"/>
  <c r="C35" i="30"/>
  <c r="B35" i="30"/>
  <c r="C34" i="30"/>
  <c r="B34" i="30"/>
  <c r="C33" i="30"/>
  <c r="B33" i="30"/>
  <c r="C32" i="30"/>
  <c r="B32" i="30"/>
  <c r="C31" i="30"/>
  <c r="B31" i="30"/>
  <c r="C30" i="30"/>
  <c r="B30" i="30"/>
  <c r="C29" i="30"/>
  <c r="B29" i="30"/>
  <c r="C28" i="30"/>
  <c r="B28" i="30"/>
  <c r="C27" i="30"/>
  <c r="B27" i="30"/>
  <c r="C26" i="30"/>
  <c r="B26" i="30"/>
  <c r="C25" i="30"/>
  <c r="B25" i="30"/>
  <c r="C24" i="30"/>
  <c r="B24" i="30"/>
  <c r="C23" i="30"/>
  <c r="B23" i="30"/>
  <c r="C22" i="30"/>
  <c r="B22" i="30"/>
  <c r="C21" i="30"/>
  <c r="B21" i="30"/>
  <c r="C20" i="30"/>
  <c r="B20" i="30"/>
  <c r="C19" i="30"/>
  <c r="B19" i="30"/>
  <c r="C18" i="30"/>
  <c r="B18" i="30"/>
  <c r="C17" i="30"/>
  <c r="B17" i="30"/>
  <c r="C16" i="30"/>
  <c r="B16" i="30"/>
  <c r="C15" i="30"/>
  <c r="B15" i="30"/>
  <c r="C14" i="30"/>
  <c r="B14" i="30"/>
  <c r="C13" i="30"/>
  <c r="B13" i="30"/>
  <c r="C12" i="30"/>
  <c r="B12" i="30"/>
  <c r="C11" i="30"/>
  <c r="B11" i="30"/>
  <c r="C10" i="30"/>
  <c r="B10" i="30"/>
  <c r="C9" i="30"/>
  <c r="B9" i="30"/>
  <c r="C8" i="30"/>
  <c r="B8" i="30"/>
  <c r="C7" i="30"/>
  <c r="B7" i="30"/>
  <c r="C6" i="30"/>
  <c r="B6" i="30"/>
  <c r="C5" i="30"/>
  <c r="B5" i="30"/>
  <c r="C4" i="30"/>
  <c r="B4" i="30"/>
  <c r="C3" i="30"/>
  <c r="B3" i="30"/>
  <c r="C2" i="30"/>
  <c r="B2" i="30"/>
  <c r="F587" i="11"/>
  <c r="F588" i="11"/>
  <c r="F589" i="11"/>
  <c r="F591" i="11"/>
  <c r="F592" i="11"/>
  <c r="F593" i="11"/>
  <c r="F595" i="11"/>
  <c r="F596" i="11"/>
  <c r="F597" i="11"/>
  <c r="F599" i="11"/>
  <c r="F600" i="11"/>
  <c r="F601" i="11"/>
  <c r="F603" i="11"/>
  <c r="F604" i="11"/>
  <c r="F605" i="11"/>
  <c r="F607" i="11"/>
  <c r="F608" i="11"/>
  <c r="F609" i="11"/>
  <c r="F611" i="11"/>
  <c r="F612" i="11"/>
  <c r="F613" i="11"/>
  <c r="F615" i="11"/>
  <c r="F616" i="11"/>
  <c r="F617" i="11"/>
  <c r="F620" i="11"/>
  <c r="F621" i="11"/>
  <c r="F622" i="11"/>
  <c r="F624" i="11"/>
  <c r="F625" i="11"/>
  <c r="F626" i="11"/>
  <c r="F628" i="11"/>
  <c r="F629" i="11"/>
  <c r="F630" i="11"/>
  <c r="F632" i="11"/>
  <c r="F633" i="11"/>
  <c r="F634" i="11"/>
  <c r="F636" i="11"/>
  <c r="F637" i="11"/>
  <c r="F638" i="11"/>
  <c r="F640" i="11"/>
  <c r="F641" i="11"/>
  <c r="F642" i="11"/>
  <c r="F644" i="11"/>
  <c r="F645" i="11"/>
  <c r="F646" i="11"/>
  <c r="F648" i="11"/>
  <c r="F649" i="11"/>
  <c r="F650" i="11"/>
  <c r="F652" i="11"/>
  <c r="F653" i="11"/>
  <c r="F654" i="11"/>
  <c r="F656" i="11"/>
  <c r="F657" i="11"/>
  <c r="F658" i="11"/>
  <c r="F660" i="11"/>
  <c r="F661" i="11"/>
  <c r="F662" i="11"/>
  <c r="F664" i="11"/>
  <c r="F665" i="11"/>
  <c r="F666" i="11"/>
  <c r="F668" i="11"/>
  <c r="F669" i="11"/>
  <c r="F670" i="11"/>
  <c r="F672" i="11"/>
  <c r="F673" i="11"/>
  <c r="F674" i="11"/>
  <c r="F676" i="11"/>
  <c r="F677" i="11"/>
  <c r="F678" i="11"/>
  <c r="F680" i="11"/>
  <c r="F681" i="11"/>
  <c r="F682" i="11"/>
  <c r="F684" i="11"/>
  <c r="F585" i="11"/>
  <c r="C101" i="29"/>
  <c r="B101" i="29"/>
  <c r="C100" i="29"/>
  <c r="B100" i="29"/>
  <c r="C99" i="29"/>
  <c r="B99" i="29"/>
  <c r="C98" i="29"/>
  <c r="B98" i="29"/>
  <c r="C97" i="29"/>
  <c r="B97" i="29"/>
  <c r="C96" i="29"/>
  <c r="B96" i="29"/>
  <c r="C95" i="29"/>
  <c r="B95" i="29"/>
  <c r="C94" i="29"/>
  <c r="B94" i="29"/>
  <c r="C93" i="29"/>
  <c r="B93" i="29"/>
  <c r="C92" i="29"/>
  <c r="B92" i="29"/>
  <c r="C91" i="29"/>
  <c r="B91" i="29"/>
  <c r="C90" i="29"/>
  <c r="B90" i="29"/>
  <c r="C89" i="29"/>
  <c r="B89" i="29"/>
  <c r="C88" i="29"/>
  <c r="B88" i="29"/>
  <c r="C87" i="29"/>
  <c r="B87" i="29"/>
  <c r="C86" i="29"/>
  <c r="B86" i="29"/>
  <c r="C85" i="29"/>
  <c r="B85" i="29"/>
  <c r="C84" i="29"/>
  <c r="B84" i="29"/>
  <c r="C83" i="29"/>
  <c r="B83" i="29"/>
  <c r="C82" i="29"/>
  <c r="B82" i="29"/>
  <c r="C81" i="29"/>
  <c r="B81" i="29"/>
  <c r="C80" i="29"/>
  <c r="B80" i="29"/>
  <c r="C79" i="29"/>
  <c r="B79" i="29"/>
  <c r="C78" i="29"/>
  <c r="B78" i="29"/>
  <c r="C77" i="29"/>
  <c r="B77" i="29"/>
  <c r="C76" i="29"/>
  <c r="B76" i="29"/>
  <c r="C75" i="29"/>
  <c r="B75" i="29"/>
  <c r="C74" i="29"/>
  <c r="B74" i="29"/>
  <c r="C73" i="29"/>
  <c r="B73" i="29"/>
  <c r="C72" i="29"/>
  <c r="B72" i="29"/>
  <c r="C71" i="29"/>
  <c r="B71" i="29"/>
  <c r="C70" i="29"/>
  <c r="B70" i="29"/>
  <c r="C69" i="29"/>
  <c r="B69" i="29"/>
  <c r="C68" i="29"/>
  <c r="B68" i="29"/>
  <c r="C67" i="29"/>
  <c r="B67" i="29"/>
  <c r="C66" i="29"/>
  <c r="B66" i="29"/>
  <c r="C65" i="29"/>
  <c r="B65" i="29"/>
  <c r="C64" i="29"/>
  <c r="B64" i="29"/>
  <c r="C63" i="29"/>
  <c r="B63" i="29"/>
  <c r="C62" i="29"/>
  <c r="B62" i="29"/>
  <c r="C61" i="29"/>
  <c r="B61" i="29"/>
  <c r="C60" i="29"/>
  <c r="B60" i="29"/>
  <c r="C59" i="29"/>
  <c r="B59" i="29"/>
  <c r="C58" i="29"/>
  <c r="B58" i="29"/>
  <c r="C57" i="29"/>
  <c r="B57" i="29"/>
  <c r="C56" i="29"/>
  <c r="B56" i="29"/>
  <c r="C55" i="29"/>
  <c r="B55" i="29"/>
  <c r="C54" i="29"/>
  <c r="B54" i="29"/>
  <c r="C53" i="29"/>
  <c r="B53" i="29"/>
  <c r="C52" i="29"/>
  <c r="B52" i="29"/>
  <c r="C51" i="29"/>
  <c r="B51" i="29"/>
  <c r="C50" i="29"/>
  <c r="B50" i="29"/>
  <c r="C49" i="29"/>
  <c r="B49" i="29"/>
  <c r="C48" i="29"/>
  <c r="B48" i="29"/>
  <c r="C47" i="29"/>
  <c r="B47" i="29"/>
  <c r="C46" i="29"/>
  <c r="B46" i="29"/>
  <c r="C45" i="29"/>
  <c r="B45" i="29"/>
  <c r="C44" i="29"/>
  <c r="B44" i="29"/>
  <c r="C43" i="29"/>
  <c r="B43" i="29"/>
  <c r="C42" i="29"/>
  <c r="B42" i="29"/>
  <c r="C41" i="29"/>
  <c r="B41" i="29"/>
  <c r="C40" i="29"/>
  <c r="B40" i="29"/>
  <c r="C39" i="29"/>
  <c r="B39" i="29"/>
  <c r="C38" i="29"/>
  <c r="B38" i="29"/>
  <c r="C37" i="29"/>
  <c r="B37" i="29"/>
  <c r="C36" i="29"/>
  <c r="B36" i="29"/>
  <c r="C35" i="29"/>
  <c r="B35" i="29"/>
  <c r="C34" i="29"/>
  <c r="B34" i="29"/>
  <c r="C33" i="29"/>
  <c r="B33" i="29"/>
  <c r="C32" i="29"/>
  <c r="B32" i="29"/>
  <c r="C31" i="29"/>
  <c r="B31" i="29"/>
  <c r="C30" i="29"/>
  <c r="B30" i="29"/>
  <c r="C29" i="29"/>
  <c r="B29" i="29"/>
  <c r="C28" i="29"/>
  <c r="B28" i="29"/>
  <c r="C27" i="29"/>
  <c r="B27" i="29"/>
  <c r="C26" i="29"/>
  <c r="B26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C19" i="29"/>
  <c r="B19" i="29"/>
  <c r="C18" i="29"/>
  <c r="B18" i="29"/>
  <c r="C17" i="29"/>
  <c r="B17" i="29"/>
  <c r="C16" i="29"/>
  <c r="B16" i="29"/>
  <c r="C15" i="29"/>
  <c r="B15" i="29"/>
  <c r="C14" i="29"/>
  <c r="B14" i="29"/>
  <c r="C13" i="29"/>
  <c r="B13" i="29"/>
  <c r="C12" i="29"/>
  <c r="B12" i="29"/>
  <c r="C11" i="29"/>
  <c r="B11" i="29"/>
  <c r="C10" i="29"/>
  <c r="B10" i="29"/>
  <c r="C9" i="29"/>
  <c r="B9" i="29"/>
  <c r="C8" i="29"/>
  <c r="B8" i="29"/>
  <c r="C7" i="29"/>
  <c r="B7" i="29"/>
  <c r="C6" i="29"/>
  <c r="B6" i="29"/>
  <c r="C5" i="29"/>
  <c r="B5" i="29"/>
  <c r="C4" i="29"/>
  <c r="B4" i="29"/>
  <c r="C3" i="29"/>
  <c r="B3" i="29"/>
  <c r="C2" i="29"/>
  <c r="B2" i="29"/>
  <c r="S13" i="26"/>
  <c r="S12" i="26"/>
  <c r="S11" i="26"/>
  <c r="S10" i="26"/>
  <c r="S9" i="26"/>
  <c r="S8" i="26"/>
  <c r="S7" i="26"/>
  <c r="S6" i="26"/>
  <c r="S5" i="26"/>
  <c r="S4" i="26"/>
  <c r="S3" i="26"/>
  <c r="S2" i="26"/>
  <c r="AF42" i="24"/>
  <c r="AF43" i="24"/>
  <c r="AF44" i="24"/>
  <c r="D3" i="25"/>
  <c r="E3" i="25"/>
  <c r="D4" i="25"/>
  <c r="E4" i="25"/>
  <c r="F5" i="25"/>
  <c r="O5" i="25"/>
  <c r="F157" i="11"/>
  <c r="F6" i="25"/>
  <c r="F7" i="25"/>
  <c r="O7" i="25"/>
  <c r="F159" i="11"/>
  <c r="D8" i="25"/>
  <c r="E8" i="25"/>
  <c r="F8" i="25"/>
  <c r="O8" i="25"/>
  <c r="F160" i="11"/>
  <c r="D9" i="25"/>
  <c r="E9" i="25"/>
  <c r="D10" i="25"/>
  <c r="E10" i="25"/>
  <c r="D11" i="25"/>
  <c r="E11" i="25"/>
  <c r="F11" i="25"/>
  <c r="F12" i="25"/>
  <c r="O12" i="25"/>
  <c r="F164" i="11"/>
  <c r="D13" i="25"/>
  <c r="E13" i="25"/>
  <c r="F13" i="25"/>
  <c r="F14" i="25"/>
  <c r="O14" i="25"/>
  <c r="F166" i="11"/>
  <c r="F15" i="25"/>
  <c r="F167" i="11"/>
  <c r="F16" i="25"/>
  <c r="D17" i="25"/>
  <c r="E17" i="25"/>
  <c r="F18" i="25"/>
  <c r="O18" i="25"/>
  <c r="F170" i="11"/>
  <c r="D19" i="25"/>
  <c r="E19" i="25"/>
  <c r="E20" i="25"/>
  <c r="F20" i="25"/>
  <c r="O20" i="25"/>
  <c r="F172" i="11"/>
  <c r="D21" i="25"/>
  <c r="E21" i="25"/>
  <c r="F21" i="25"/>
  <c r="D22" i="25"/>
  <c r="E22" i="25"/>
  <c r="F23" i="25"/>
  <c r="F24" i="25"/>
  <c r="O24" i="25"/>
  <c r="F176" i="11"/>
  <c r="F25" i="25"/>
  <c r="O25" i="25"/>
  <c r="F26" i="25"/>
  <c r="F27" i="25"/>
  <c r="O27" i="25"/>
  <c r="F179" i="11"/>
  <c r="F28" i="25"/>
  <c r="O28" i="25"/>
  <c r="F180" i="11"/>
  <c r="D29" i="25"/>
  <c r="E29" i="25"/>
  <c r="F29" i="25"/>
  <c r="F30" i="25"/>
  <c r="O30" i="25"/>
  <c r="F182" i="11"/>
  <c r="D31" i="25"/>
  <c r="E31" i="25"/>
  <c r="F31" i="25"/>
  <c r="D32" i="25"/>
  <c r="E32" i="25"/>
  <c r="F33" i="25"/>
  <c r="F34" i="25"/>
  <c r="O34" i="25"/>
  <c r="D35" i="25"/>
  <c r="E35" i="25"/>
  <c r="F35" i="25"/>
  <c r="D36" i="25"/>
  <c r="E36" i="25"/>
  <c r="D37" i="25"/>
  <c r="E37" i="25"/>
  <c r="F38" i="25"/>
  <c r="O38" i="25"/>
  <c r="F190" i="11"/>
  <c r="D39" i="25"/>
  <c r="E39" i="25"/>
  <c r="F40" i="25"/>
  <c r="D41" i="25"/>
  <c r="E41" i="25"/>
  <c r="F42" i="25"/>
  <c r="O42" i="25"/>
  <c r="F194" i="11"/>
  <c r="D44" i="25"/>
  <c r="E44" i="25"/>
  <c r="D45" i="25"/>
  <c r="E45" i="25"/>
  <c r="F45" i="25"/>
  <c r="O45" i="25"/>
  <c r="F197" i="11"/>
  <c r="D46" i="25"/>
  <c r="E46" i="25"/>
  <c r="F46" i="25"/>
  <c r="D47" i="25"/>
  <c r="E47" i="25"/>
  <c r="F48" i="25"/>
  <c r="F49" i="25"/>
  <c r="O49" i="25"/>
  <c r="F201" i="11"/>
  <c r="D50" i="25"/>
  <c r="E50" i="25"/>
  <c r="F50" i="25"/>
  <c r="F51" i="25"/>
  <c r="O51" i="25"/>
  <c r="F203" i="11"/>
  <c r="D52" i="25"/>
  <c r="F52" i="25"/>
  <c r="D53" i="25"/>
  <c r="E53" i="25"/>
  <c r="F54" i="25"/>
  <c r="F55" i="25"/>
  <c r="F56" i="25"/>
  <c r="F208" i="11"/>
  <c r="F57" i="25"/>
  <c r="D58" i="25"/>
  <c r="E58" i="25"/>
  <c r="F58" i="25"/>
  <c r="O58" i="25"/>
  <c r="D60" i="25"/>
  <c r="E60" i="25"/>
  <c r="F60" i="25"/>
  <c r="O60" i="25"/>
  <c r="F212" i="11"/>
  <c r="D61" i="25"/>
  <c r="E61" i="25"/>
  <c r="F61" i="25"/>
  <c r="O61" i="25"/>
  <c r="F213" i="11"/>
  <c r="D62" i="25"/>
  <c r="F62" i="25"/>
  <c r="F63" i="25"/>
  <c r="F64" i="25"/>
  <c r="O64" i="25"/>
  <c r="F216" i="11"/>
  <c r="D65" i="25"/>
  <c r="F65" i="25"/>
  <c r="O65" i="25"/>
  <c r="F217" i="11"/>
  <c r="D66" i="25"/>
  <c r="E66" i="25"/>
  <c r="D67" i="25"/>
  <c r="E67" i="25"/>
  <c r="D68" i="25"/>
  <c r="E68" i="25"/>
  <c r="D69" i="25"/>
  <c r="E69" i="25"/>
  <c r="F69" i="25"/>
  <c r="D70" i="25"/>
  <c r="E70" i="25"/>
  <c r="F70" i="25"/>
  <c r="F71" i="25"/>
  <c r="O71" i="25"/>
  <c r="F223" i="11"/>
  <c r="F72" i="25"/>
  <c r="F73" i="25"/>
  <c r="O73" i="25"/>
  <c r="F225" i="11"/>
  <c r="D74" i="25"/>
  <c r="E74" i="25"/>
  <c r="F75" i="25"/>
  <c r="F76" i="25"/>
  <c r="O76" i="25"/>
  <c r="F228" i="11"/>
  <c r="F77" i="25"/>
  <c r="D78" i="25"/>
  <c r="E78" i="25"/>
  <c r="F78" i="25"/>
  <c r="O78" i="25"/>
  <c r="F230" i="11"/>
  <c r="D79" i="25"/>
  <c r="E79" i="25"/>
  <c r="F80" i="25"/>
  <c r="D81" i="25"/>
  <c r="E81" i="25"/>
  <c r="F81" i="25"/>
  <c r="O81" i="25"/>
  <c r="F233" i="11"/>
  <c r="E82" i="25"/>
  <c r="F82" i="25"/>
  <c r="O82" i="25"/>
  <c r="F234" i="11"/>
  <c r="F83" i="25"/>
  <c r="F84" i="25"/>
  <c r="O84" i="25"/>
  <c r="F236" i="11"/>
  <c r="F85" i="25"/>
  <c r="D86" i="25"/>
  <c r="E86" i="25"/>
  <c r="F87" i="25"/>
  <c r="O87" i="25"/>
  <c r="F239" i="11"/>
  <c r="D88" i="25"/>
  <c r="E88" i="25"/>
  <c r="F89" i="25"/>
  <c r="F90" i="25"/>
  <c r="O90" i="25"/>
  <c r="F242" i="11"/>
  <c r="F91" i="25"/>
  <c r="F92" i="25"/>
  <c r="O92" i="25"/>
  <c r="F244" i="11"/>
  <c r="D93" i="25"/>
  <c r="E93" i="25"/>
  <c r="F93" i="25"/>
  <c r="D94" i="25"/>
  <c r="E94" i="25"/>
  <c r="F94" i="25"/>
  <c r="F95" i="25"/>
  <c r="F96" i="25"/>
  <c r="O96" i="25"/>
  <c r="F248" i="11"/>
  <c r="F97" i="25"/>
  <c r="F98" i="25"/>
  <c r="O98" i="25"/>
  <c r="F250" i="11"/>
  <c r="F99" i="25"/>
  <c r="F100" i="25"/>
  <c r="O100" i="25"/>
  <c r="F252" i="11"/>
  <c r="D101" i="25"/>
  <c r="E101" i="25"/>
  <c r="F101" i="25"/>
  <c r="F102" i="25"/>
  <c r="O102" i="25"/>
  <c r="F103" i="25"/>
  <c r="O103" i="25"/>
  <c r="F255" i="11"/>
  <c r="D104" i="25"/>
  <c r="E104" i="25"/>
  <c r="F105" i="25"/>
  <c r="D106" i="25"/>
  <c r="E106" i="25"/>
  <c r="D107" i="25"/>
  <c r="E107" i="25"/>
  <c r="F108" i="25"/>
  <c r="O108" i="25"/>
  <c r="F260" i="11"/>
  <c r="D109" i="25"/>
  <c r="E109" i="25"/>
  <c r="F110" i="25"/>
  <c r="O110" i="25"/>
  <c r="F262" i="11"/>
  <c r="F111" i="25"/>
  <c r="O111" i="25"/>
  <c r="F263" i="11"/>
  <c r="F112" i="25"/>
  <c r="O112" i="25"/>
  <c r="F264" i="11"/>
  <c r="D113" i="25"/>
  <c r="F113" i="25"/>
  <c r="O113" i="25"/>
  <c r="F265" i="11"/>
  <c r="D114" i="25"/>
  <c r="E114" i="25"/>
  <c r="F114" i="25"/>
  <c r="O114" i="25"/>
  <c r="F266" i="11"/>
  <c r="F115" i="25"/>
  <c r="O115" i="25"/>
  <c r="F267" i="11"/>
  <c r="D116" i="25"/>
  <c r="E116" i="25"/>
  <c r="F116" i="25"/>
  <c r="D117" i="25"/>
  <c r="E117" i="25"/>
  <c r="F117" i="25"/>
  <c r="F118" i="25"/>
  <c r="O118" i="25"/>
  <c r="F270" i="11"/>
  <c r="F119" i="25"/>
  <c r="F120" i="25"/>
  <c r="F121" i="25"/>
  <c r="O121" i="25"/>
  <c r="F273" i="11"/>
  <c r="F122" i="25"/>
  <c r="O122" i="25"/>
  <c r="F274" i="11"/>
  <c r="D123" i="25"/>
  <c r="E123" i="25"/>
  <c r="F123" i="25"/>
  <c r="O123" i="25"/>
  <c r="F275" i="11"/>
  <c r="F124" i="25"/>
  <c r="F125" i="25"/>
  <c r="F126" i="25"/>
  <c r="D127" i="25"/>
  <c r="E127" i="25"/>
  <c r="D128" i="25"/>
  <c r="E128" i="25"/>
  <c r="D129" i="25"/>
  <c r="E129" i="25"/>
  <c r="F129" i="25"/>
  <c r="O129" i="25"/>
  <c r="F281" i="11"/>
  <c r="D130" i="25"/>
  <c r="E130" i="25"/>
  <c r="F130" i="25"/>
  <c r="F131" i="25"/>
  <c r="O131" i="25"/>
  <c r="D132" i="25"/>
  <c r="F132" i="25"/>
  <c r="O132" i="25"/>
  <c r="F284" i="11"/>
  <c r="F133" i="25"/>
  <c r="D134" i="25"/>
  <c r="E134" i="25"/>
  <c r="F134" i="25"/>
  <c r="D135" i="25"/>
  <c r="E135" i="25"/>
  <c r="D136" i="25"/>
  <c r="E136" i="25"/>
  <c r="D137" i="25"/>
  <c r="E137" i="25"/>
  <c r="D138" i="25"/>
  <c r="D139" i="25"/>
  <c r="E139" i="25"/>
  <c r="F139" i="25"/>
  <c r="D141" i="25"/>
  <c r="E141" i="25"/>
  <c r="F141" i="25"/>
  <c r="F142" i="25"/>
  <c r="O142" i="25"/>
  <c r="F294" i="11"/>
  <c r="D143" i="25"/>
  <c r="E143" i="25"/>
  <c r="F144" i="25"/>
  <c r="F145" i="25"/>
  <c r="F146" i="25"/>
  <c r="O146" i="25"/>
  <c r="F298" i="11"/>
  <c r="D147" i="25"/>
  <c r="E147" i="25"/>
  <c r="D148" i="25"/>
  <c r="F148" i="25"/>
  <c r="D149" i="25"/>
  <c r="E149" i="25"/>
  <c r="F150" i="25"/>
  <c r="F151" i="25"/>
  <c r="O151" i="25"/>
  <c r="F303" i="11"/>
  <c r="F152" i="25"/>
  <c r="O152" i="25"/>
  <c r="F304" i="11"/>
  <c r="F153" i="25"/>
  <c r="O153" i="25"/>
  <c r="F305" i="11"/>
  <c r="F154" i="25"/>
  <c r="F155" i="25"/>
  <c r="O155" i="25"/>
  <c r="F307" i="11"/>
  <c r="D156" i="25"/>
  <c r="E156" i="25"/>
  <c r="F156" i="25"/>
  <c r="F157" i="25"/>
  <c r="O157" i="25"/>
  <c r="F309" i="11"/>
  <c r="F158" i="25"/>
  <c r="O158" i="25"/>
  <c r="F159" i="25"/>
  <c r="O159" i="25"/>
  <c r="F311" i="11"/>
  <c r="F160" i="25"/>
  <c r="O160" i="25"/>
  <c r="F312" i="11"/>
  <c r="D2" i="25"/>
  <c r="E2" i="25"/>
  <c r="O6" i="25"/>
  <c r="F158" i="11"/>
  <c r="O16" i="25"/>
  <c r="F168" i="11"/>
  <c r="O23" i="25"/>
  <c r="F175" i="11"/>
  <c r="F177" i="11"/>
  <c r="O26" i="25"/>
  <c r="F178" i="11"/>
  <c r="O33" i="25"/>
  <c r="F185" i="11"/>
  <c r="F186" i="11"/>
  <c r="O40" i="25"/>
  <c r="F192" i="11"/>
  <c r="F195" i="11"/>
  <c r="F198" i="11"/>
  <c r="O48" i="25"/>
  <c r="F200" i="11"/>
  <c r="O54" i="25"/>
  <c r="F206" i="11"/>
  <c r="O55" i="25"/>
  <c r="F207" i="11"/>
  <c r="O57" i="25"/>
  <c r="F209" i="11"/>
  <c r="F211" i="11"/>
  <c r="F214" i="11"/>
  <c r="F215" i="11"/>
  <c r="O72" i="25"/>
  <c r="F224" i="11"/>
  <c r="O75" i="25"/>
  <c r="F227" i="11"/>
  <c r="O77" i="25"/>
  <c r="F229" i="11"/>
  <c r="O80" i="25"/>
  <c r="F232" i="11"/>
  <c r="O83" i="25"/>
  <c r="F235" i="11"/>
  <c r="O85" i="25"/>
  <c r="F237" i="11"/>
  <c r="O89" i="25"/>
  <c r="F241" i="11"/>
  <c r="O91" i="25"/>
  <c r="F243" i="11"/>
  <c r="O95" i="25"/>
  <c r="F247" i="11"/>
  <c r="O97" i="25"/>
  <c r="F249" i="11"/>
  <c r="O99" i="25"/>
  <c r="F251" i="11"/>
  <c r="O105" i="25"/>
  <c r="F257" i="11"/>
  <c r="O119" i="25"/>
  <c r="F271" i="11"/>
  <c r="F272" i="11"/>
  <c r="O124" i="25"/>
  <c r="F276" i="11"/>
  <c r="O125" i="25"/>
  <c r="F277" i="11"/>
  <c r="O126" i="25"/>
  <c r="F278" i="11"/>
  <c r="F283" i="11"/>
  <c r="O133" i="25"/>
  <c r="F285" i="11"/>
  <c r="F291" i="11"/>
  <c r="F292" i="11"/>
  <c r="O144" i="25"/>
  <c r="F296" i="11"/>
  <c r="O145" i="25"/>
  <c r="F297" i="11"/>
  <c r="O148" i="25"/>
  <c r="F300" i="11"/>
  <c r="O150" i="25"/>
  <c r="F302" i="11"/>
  <c r="O154" i="25"/>
  <c r="F306" i="11"/>
  <c r="F310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U6" i="26"/>
  <c r="I7" i="11"/>
  <c r="T10" i="26"/>
  <c r="U10" i="26"/>
  <c r="I11" i="11"/>
  <c r="U11" i="26"/>
  <c r="I12" i="11"/>
  <c r="U12" i="26"/>
  <c r="P68" i="26"/>
  <c r="P67" i="26"/>
  <c r="P66" i="26"/>
  <c r="P65" i="26"/>
  <c r="P64" i="26"/>
  <c r="P63" i="26"/>
  <c r="P62" i="26"/>
  <c r="P61" i="26"/>
  <c r="P60" i="26"/>
  <c r="P59" i="26"/>
  <c r="P58" i="26"/>
  <c r="P57" i="26"/>
  <c r="P56" i="26"/>
  <c r="P55" i="26"/>
  <c r="P54" i="26"/>
  <c r="P53" i="26"/>
  <c r="P52" i="26"/>
  <c r="P51" i="26"/>
  <c r="P50" i="26"/>
  <c r="P49" i="26"/>
  <c r="P48" i="26"/>
  <c r="P47" i="26"/>
  <c r="P46" i="26"/>
  <c r="P45" i="26"/>
  <c r="P44" i="26"/>
  <c r="P43" i="26"/>
  <c r="P42" i="26"/>
  <c r="P41" i="26"/>
  <c r="P40" i="26"/>
  <c r="P39" i="26"/>
  <c r="P38" i="26"/>
  <c r="P37" i="26"/>
  <c r="P36" i="26"/>
  <c r="P35" i="26"/>
  <c r="P34" i="26"/>
  <c r="P33" i="26"/>
  <c r="P32" i="26"/>
  <c r="P31" i="26"/>
  <c r="P30" i="26"/>
  <c r="P29" i="26"/>
  <c r="P28" i="26"/>
  <c r="P27" i="26"/>
  <c r="P26" i="26"/>
  <c r="P25" i="26"/>
  <c r="P24" i="26"/>
  <c r="P23" i="26"/>
  <c r="P22" i="26"/>
  <c r="P21" i="26"/>
  <c r="P20" i="26"/>
  <c r="P19" i="26"/>
  <c r="P18" i="26"/>
  <c r="P17" i="26"/>
  <c r="P16" i="26"/>
  <c r="P15" i="26"/>
  <c r="P14" i="26"/>
  <c r="U13" i="26"/>
  <c r="T7" i="26"/>
  <c r="U7" i="26"/>
  <c r="I8" i="11"/>
  <c r="T2" i="26"/>
  <c r="U2" i="26"/>
  <c r="I3" i="11"/>
  <c r="P13" i="26"/>
  <c r="P12" i="26"/>
  <c r="P11" i="26"/>
  <c r="P10" i="26"/>
  <c r="P9" i="26"/>
  <c r="P8" i="26"/>
  <c r="P7" i="26"/>
  <c r="P6" i="26"/>
  <c r="P5" i="26"/>
  <c r="P4" i="26"/>
  <c r="P3" i="26"/>
  <c r="P2" i="26"/>
  <c r="G5" i="28"/>
  <c r="G9" i="28"/>
  <c r="G14" i="28"/>
  <c r="G17" i="28"/>
  <c r="G18" i="28"/>
  <c r="G22" i="28"/>
  <c r="G29" i="28"/>
  <c r="G37" i="28"/>
  <c r="G42" i="28"/>
  <c r="G54" i="28"/>
  <c r="G59" i="28"/>
  <c r="G63" i="28"/>
  <c r="G70" i="28"/>
  <c r="G2" i="28"/>
  <c r="G34" i="28"/>
  <c r="G4" i="28"/>
  <c r="G6" i="28"/>
  <c r="G7" i="28"/>
  <c r="G8" i="28"/>
  <c r="G11" i="28"/>
  <c r="G12" i="28"/>
  <c r="G20" i="28"/>
  <c r="G24" i="28"/>
  <c r="G25" i="28"/>
  <c r="G27" i="28"/>
  <c r="G28" i="28"/>
  <c r="G31" i="28"/>
  <c r="G32" i="28"/>
  <c r="G33" i="28"/>
  <c r="G38" i="28"/>
  <c r="G40" i="28"/>
  <c r="G41" i="28"/>
  <c r="G43" i="28"/>
  <c r="G44" i="28"/>
  <c r="G45" i="28"/>
  <c r="G46" i="28"/>
  <c r="G47" i="28"/>
  <c r="G48" i="28"/>
  <c r="G52" i="28"/>
  <c r="G55" i="28"/>
  <c r="G56" i="28"/>
  <c r="G58" i="28"/>
  <c r="G60" i="28"/>
  <c r="G61" i="28"/>
  <c r="G64" i="28"/>
  <c r="G65" i="28"/>
  <c r="G67" i="28"/>
  <c r="G68" i="28"/>
  <c r="G75" i="28"/>
  <c r="G76" i="28"/>
  <c r="AF3" i="24"/>
  <c r="I736" i="11"/>
  <c r="AF4" i="24"/>
  <c r="I737" i="11"/>
  <c r="AF5" i="24"/>
  <c r="I738" i="11"/>
  <c r="AF6" i="24"/>
  <c r="I739" i="11"/>
  <c r="AF7" i="24"/>
  <c r="I740" i="11"/>
  <c r="AF8" i="24"/>
  <c r="I741" i="11"/>
  <c r="AF9" i="24"/>
  <c r="I742" i="11"/>
  <c r="AF10" i="24"/>
  <c r="I743" i="11"/>
  <c r="AF11" i="24"/>
  <c r="I744" i="11"/>
  <c r="AF12" i="24"/>
  <c r="I745" i="11"/>
  <c r="AF13" i="24"/>
  <c r="I746" i="11"/>
  <c r="AF14" i="24"/>
  <c r="I747" i="11"/>
  <c r="AF15" i="24"/>
  <c r="I748" i="11"/>
  <c r="AF16" i="24"/>
  <c r="I749" i="11"/>
  <c r="AF17" i="24"/>
  <c r="I750" i="11"/>
  <c r="AF18" i="24"/>
  <c r="I751" i="11"/>
  <c r="AF19" i="24"/>
  <c r="I752" i="11"/>
  <c r="AF20" i="24"/>
  <c r="I753" i="11"/>
  <c r="AF21" i="24"/>
  <c r="I754" i="11"/>
  <c r="AF22" i="24"/>
  <c r="I755" i="11"/>
  <c r="AF23" i="24"/>
  <c r="I756" i="11"/>
  <c r="AF24" i="24"/>
  <c r="I757" i="11"/>
  <c r="AF25" i="24"/>
  <c r="I758" i="11"/>
  <c r="AF26" i="24"/>
  <c r="I759" i="11"/>
  <c r="AF27" i="24"/>
  <c r="I760" i="11"/>
  <c r="AF28" i="24"/>
  <c r="I761" i="11"/>
  <c r="AF29" i="24"/>
  <c r="I762" i="11"/>
  <c r="AF30" i="24"/>
  <c r="I763" i="11"/>
  <c r="AF31" i="24"/>
  <c r="I764" i="11"/>
  <c r="AF32" i="24"/>
  <c r="I765" i="11"/>
  <c r="AF33" i="24"/>
  <c r="I766" i="11"/>
  <c r="AF34" i="24"/>
  <c r="I767" i="11"/>
  <c r="AF35" i="24"/>
  <c r="I768" i="11"/>
  <c r="AF36" i="24"/>
  <c r="I769" i="11"/>
  <c r="AF37" i="24"/>
  <c r="I770" i="11"/>
  <c r="AF38" i="24"/>
  <c r="I771" i="11"/>
  <c r="AF39" i="24"/>
  <c r="I772" i="11"/>
  <c r="AF40" i="24"/>
  <c r="I773" i="11"/>
  <c r="AF41" i="24"/>
  <c r="I774" i="11"/>
  <c r="I775" i="11"/>
  <c r="I776" i="11"/>
  <c r="I777" i="11"/>
  <c r="AF45" i="24"/>
  <c r="I778" i="11"/>
  <c r="AF46" i="24"/>
  <c r="I779" i="11"/>
  <c r="AF47" i="24"/>
  <c r="I780" i="11"/>
  <c r="AF48" i="24"/>
  <c r="I781" i="11"/>
  <c r="AF49" i="24"/>
  <c r="I782" i="11"/>
  <c r="AF50" i="24"/>
  <c r="I783" i="11"/>
  <c r="AF51" i="24"/>
  <c r="I784" i="11"/>
  <c r="AF52" i="24"/>
  <c r="I785" i="11"/>
  <c r="AF53" i="24"/>
  <c r="I786" i="11"/>
  <c r="AF54" i="24"/>
  <c r="I787" i="11"/>
  <c r="AF55" i="24"/>
  <c r="I788" i="11"/>
  <c r="AF56" i="24"/>
  <c r="I789" i="11"/>
  <c r="AF57" i="24"/>
  <c r="I790" i="11"/>
  <c r="AF58" i="24"/>
  <c r="I791" i="11"/>
  <c r="AF59" i="24"/>
  <c r="I792" i="11"/>
  <c r="AF60" i="24"/>
  <c r="I793" i="11"/>
  <c r="AF61" i="24"/>
  <c r="I794" i="11"/>
  <c r="AF62" i="24"/>
  <c r="I795" i="11"/>
  <c r="AF63" i="24"/>
  <c r="I796" i="11"/>
  <c r="AF64" i="24"/>
  <c r="I797" i="11"/>
  <c r="AF65" i="24"/>
  <c r="I798" i="11"/>
  <c r="AF66" i="24"/>
  <c r="I799" i="11"/>
  <c r="AF67" i="24"/>
  <c r="I800" i="11"/>
  <c r="AF68" i="24"/>
  <c r="I801" i="11"/>
  <c r="AF69" i="24"/>
  <c r="I802" i="11"/>
  <c r="AF70" i="24"/>
  <c r="I803" i="11"/>
  <c r="AF71" i="24"/>
  <c r="I804" i="11"/>
  <c r="AF72" i="24"/>
  <c r="I805" i="11"/>
  <c r="AF73" i="24"/>
  <c r="I806" i="11"/>
  <c r="AF74" i="24"/>
  <c r="I807" i="11"/>
  <c r="AF75" i="24"/>
  <c r="I808" i="11"/>
  <c r="AF76" i="24"/>
  <c r="I809" i="11"/>
  <c r="AF77" i="24"/>
  <c r="I810" i="11"/>
  <c r="AF78" i="24"/>
  <c r="I811" i="11"/>
  <c r="AF79" i="24"/>
  <c r="I812" i="11"/>
  <c r="AF80" i="24"/>
  <c r="I813" i="11"/>
  <c r="AF81" i="24"/>
  <c r="I814" i="11"/>
  <c r="AF82" i="24"/>
  <c r="I815" i="11"/>
  <c r="AF83" i="24"/>
  <c r="I816" i="11"/>
  <c r="AF84" i="24"/>
  <c r="I817" i="11"/>
  <c r="AF85" i="24"/>
  <c r="I818" i="11"/>
  <c r="AF86" i="24"/>
  <c r="I819" i="11"/>
  <c r="AF87" i="24"/>
  <c r="I820" i="11"/>
  <c r="AF88" i="24"/>
  <c r="I821" i="11"/>
  <c r="AF89" i="24"/>
  <c r="I822" i="11"/>
  <c r="AF90" i="24"/>
  <c r="I823" i="11"/>
  <c r="AF91" i="24"/>
  <c r="I824" i="11"/>
  <c r="AF92" i="24"/>
  <c r="I825" i="11"/>
  <c r="AF93" i="24"/>
  <c r="I826" i="11"/>
  <c r="AF94" i="24"/>
  <c r="I827" i="11"/>
  <c r="AF95" i="24"/>
  <c r="I828" i="11"/>
  <c r="AF96" i="24"/>
  <c r="I829" i="11"/>
  <c r="AF2" i="24"/>
  <c r="I735" i="11"/>
  <c r="E24" i="26"/>
  <c r="D24" i="26"/>
  <c r="F24" i="26"/>
  <c r="D25" i="11"/>
  <c r="Q10" i="26"/>
  <c r="I13" i="11"/>
  <c r="I14" i="11"/>
  <c r="S14" i="26"/>
  <c r="T14" i="26"/>
  <c r="U14" i="26"/>
  <c r="I15" i="11"/>
  <c r="S15" i="26"/>
  <c r="T15" i="26"/>
  <c r="U15" i="26"/>
  <c r="I16" i="11"/>
  <c r="S16" i="26"/>
  <c r="T16" i="26"/>
  <c r="U16" i="26"/>
  <c r="I17" i="11"/>
  <c r="S17" i="26"/>
  <c r="T17" i="26"/>
  <c r="U17" i="26"/>
  <c r="I18" i="11"/>
  <c r="S18" i="26"/>
  <c r="T18" i="26"/>
  <c r="U18" i="26"/>
  <c r="I19" i="11"/>
  <c r="S19" i="26"/>
  <c r="T19" i="26"/>
  <c r="U19" i="26"/>
  <c r="I20" i="11"/>
  <c r="S20" i="26"/>
  <c r="U20" i="26"/>
  <c r="I21" i="11"/>
  <c r="S21" i="26"/>
  <c r="T21" i="26"/>
  <c r="U21" i="26"/>
  <c r="I22" i="11"/>
  <c r="S22" i="26"/>
  <c r="T22" i="26"/>
  <c r="U22" i="26"/>
  <c r="I23" i="11"/>
  <c r="S23" i="26"/>
  <c r="U23" i="26"/>
  <c r="I24" i="11"/>
  <c r="S24" i="26"/>
  <c r="T24" i="26"/>
  <c r="S25" i="26"/>
  <c r="T25" i="26"/>
  <c r="U25" i="26"/>
  <c r="I26" i="11"/>
  <c r="S26" i="26"/>
  <c r="U26" i="26"/>
  <c r="I27" i="11"/>
  <c r="S27" i="26"/>
  <c r="U27" i="26"/>
  <c r="I28" i="11"/>
  <c r="S28" i="26"/>
  <c r="T28" i="26"/>
  <c r="U28" i="26"/>
  <c r="I29" i="11"/>
  <c r="S29" i="26"/>
  <c r="T29" i="26"/>
  <c r="U29" i="26"/>
  <c r="I30" i="11"/>
  <c r="S30" i="26"/>
  <c r="U30" i="26"/>
  <c r="I31" i="11"/>
  <c r="S31" i="26"/>
  <c r="U31" i="26"/>
  <c r="I32" i="11"/>
  <c r="S32" i="26"/>
  <c r="T32" i="26"/>
  <c r="S33" i="26"/>
  <c r="T33" i="26"/>
  <c r="U33" i="26"/>
  <c r="I34" i="11"/>
  <c r="S34" i="26"/>
  <c r="U34" i="26"/>
  <c r="I35" i="11"/>
  <c r="S35" i="26"/>
  <c r="T35" i="26"/>
  <c r="U35" i="26"/>
  <c r="I36" i="11"/>
  <c r="S36" i="26"/>
  <c r="T36" i="26"/>
  <c r="U36" i="26"/>
  <c r="I37" i="11"/>
  <c r="S37" i="26"/>
  <c r="T37" i="26"/>
  <c r="S38" i="26"/>
  <c r="T38" i="26"/>
  <c r="U38" i="26"/>
  <c r="I39" i="11"/>
  <c r="S39" i="26"/>
  <c r="U39" i="26"/>
  <c r="I40" i="11"/>
  <c r="S40" i="26"/>
  <c r="T40" i="26"/>
  <c r="U40" i="26"/>
  <c r="I41" i="11"/>
  <c r="S41" i="26"/>
  <c r="U41" i="26"/>
  <c r="I42" i="11"/>
  <c r="S42" i="26"/>
  <c r="T42" i="26"/>
  <c r="U42" i="26"/>
  <c r="I43" i="11"/>
  <c r="S43" i="26"/>
  <c r="T43" i="26"/>
  <c r="U43" i="26"/>
  <c r="I44" i="11"/>
  <c r="S44" i="26"/>
  <c r="U44" i="26"/>
  <c r="I45" i="11"/>
  <c r="S45" i="26"/>
  <c r="T45" i="26"/>
  <c r="S46" i="26"/>
  <c r="T46" i="26"/>
  <c r="U46" i="26"/>
  <c r="I47" i="11"/>
  <c r="S47" i="26"/>
  <c r="T47" i="26"/>
  <c r="U47" i="26"/>
  <c r="I48" i="11"/>
  <c r="S48" i="26"/>
  <c r="U48" i="26"/>
  <c r="I49" i="11"/>
  <c r="S49" i="26"/>
  <c r="T49" i="26"/>
  <c r="U49" i="26"/>
  <c r="I50" i="11"/>
  <c r="S50" i="26"/>
  <c r="T50" i="26"/>
  <c r="S51" i="26"/>
  <c r="U51" i="26"/>
  <c r="I52" i="11"/>
  <c r="S52" i="26"/>
  <c r="T52" i="26"/>
  <c r="U52" i="26"/>
  <c r="I53" i="11"/>
  <c r="S53" i="26"/>
  <c r="T53" i="26"/>
  <c r="U53" i="26"/>
  <c r="I54" i="11"/>
  <c r="S54" i="26"/>
  <c r="T54" i="26"/>
  <c r="U54" i="26"/>
  <c r="I55" i="11"/>
  <c r="S55" i="26"/>
  <c r="U55" i="26"/>
  <c r="I56" i="11"/>
  <c r="S56" i="26"/>
  <c r="T56" i="26"/>
  <c r="U56" i="26"/>
  <c r="I57" i="11"/>
  <c r="S57" i="26"/>
  <c r="T57" i="26"/>
  <c r="U57" i="26"/>
  <c r="I58" i="11"/>
  <c r="U58" i="26"/>
  <c r="I59" i="11"/>
  <c r="S59" i="26"/>
  <c r="T59" i="26"/>
  <c r="U59" i="26"/>
  <c r="I60" i="11"/>
  <c r="S60" i="26"/>
  <c r="U60" i="26"/>
  <c r="I61" i="11"/>
  <c r="S61" i="26"/>
  <c r="U61" i="26"/>
  <c r="I62" i="11"/>
  <c r="S62" i="26"/>
  <c r="T62" i="26"/>
  <c r="U62" i="26"/>
  <c r="I63" i="11"/>
  <c r="S63" i="26"/>
  <c r="T63" i="26"/>
  <c r="U63" i="26"/>
  <c r="I64" i="11"/>
  <c r="S64" i="26"/>
  <c r="T64" i="26"/>
  <c r="U64" i="26"/>
  <c r="I65" i="11"/>
  <c r="S65" i="26"/>
  <c r="T65" i="26"/>
  <c r="U65" i="26"/>
  <c r="I66" i="11"/>
  <c r="S66" i="26"/>
  <c r="U66" i="26"/>
  <c r="I67" i="11"/>
  <c r="S67" i="26"/>
  <c r="U67" i="26"/>
  <c r="I68" i="11"/>
  <c r="S68" i="26"/>
  <c r="U68" i="26"/>
  <c r="I69" i="11"/>
  <c r="G45" i="11"/>
  <c r="G46" i="11"/>
  <c r="G47" i="11"/>
  <c r="G48" i="11"/>
  <c r="G49" i="11"/>
  <c r="G50" i="11"/>
  <c r="G51" i="11"/>
  <c r="G52" i="11"/>
  <c r="G54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6" i="11"/>
  <c r="G7" i="11"/>
  <c r="G8" i="11"/>
  <c r="G10" i="11"/>
  <c r="G11" i="11"/>
  <c r="G12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" i="11"/>
  <c r="M2" i="26"/>
  <c r="N2" i="26"/>
  <c r="O2" i="26"/>
  <c r="G3" i="11"/>
  <c r="D68" i="26"/>
  <c r="F68" i="26"/>
  <c r="D67" i="26"/>
  <c r="E67" i="26"/>
  <c r="F67" i="26"/>
  <c r="D68" i="11"/>
  <c r="D66" i="26"/>
  <c r="E66" i="26"/>
  <c r="F66" i="26"/>
  <c r="D67" i="11"/>
  <c r="D65" i="26"/>
  <c r="E65" i="26"/>
  <c r="F65" i="26"/>
  <c r="D64" i="26"/>
  <c r="E64" i="26"/>
  <c r="F64" i="26"/>
  <c r="J64" i="26"/>
  <c r="K64" i="26"/>
  <c r="D63" i="26"/>
  <c r="E63" i="26"/>
  <c r="F63" i="26"/>
  <c r="D64" i="11"/>
  <c r="D62" i="26"/>
  <c r="E62" i="26"/>
  <c r="F62" i="26"/>
  <c r="D63" i="11"/>
  <c r="D61" i="26"/>
  <c r="E61" i="26"/>
  <c r="F61" i="26"/>
  <c r="D60" i="26"/>
  <c r="E60" i="26"/>
  <c r="F60" i="26"/>
  <c r="D59" i="26"/>
  <c r="E59" i="26"/>
  <c r="F59" i="26"/>
  <c r="D58" i="26"/>
  <c r="E58" i="26"/>
  <c r="F58" i="26"/>
  <c r="D57" i="26"/>
  <c r="E57" i="26"/>
  <c r="F57" i="26"/>
  <c r="D58" i="11"/>
  <c r="D56" i="26"/>
  <c r="E56" i="26"/>
  <c r="F56" i="26"/>
  <c r="D55" i="26"/>
  <c r="E55" i="26"/>
  <c r="F55" i="26"/>
  <c r="D56" i="11"/>
  <c r="D54" i="26"/>
  <c r="E54" i="26"/>
  <c r="F54" i="26"/>
  <c r="D55" i="11"/>
  <c r="D53" i="26"/>
  <c r="E53" i="26"/>
  <c r="F53" i="26"/>
  <c r="D54" i="11"/>
  <c r="D52" i="26"/>
  <c r="E52" i="26"/>
  <c r="F52" i="26"/>
  <c r="D51" i="26"/>
  <c r="E51" i="26"/>
  <c r="F51" i="26"/>
  <c r="D52" i="11"/>
  <c r="D50" i="26"/>
  <c r="E50" i="26"/>
  <c r="F50" i="26"/>
  <c r="D51" i="11"/>
  <c r="D49" i="26"/>
  <c r="E49" i="26"/>
  <c r="F49" i="26"/>
  <c r="D50" i="11"/>
  <c r="D48" i="26"/>
  <c r="E48" i="26"/>
  <c r="F48" i="26"/>
  <c r="D47" i="26"/>
  <c r="E47" i="26"/>
  <c r="F47" i="26"/>
  <c r="D48" i="11"/>
  <c r="D46" i="26"/>
  <c r="E46" i="26"/>
  <c r="F46" i="26"/>
  <c r="D47" i="11"/>
  <c r="D45" i="26"/>
  <c r="E45" i="26"/>
  <c r="F45" i="26"/>
  <c r="D46" i="11"/>
  <c r="D44" i="26"/>
  <c r="E44" i="26"/>
  <c r="F44" i="26"/>
  <c r="D43" i="26"/>
  <c r="E43" i="26"/>
  <c r="F43" i="26"/>
  <c r="D44" i="11"/>
  <c r="D42" i="26"/>
  <c r="E42" i="26"/>
  <c r="F42" i="26"/>
  <c r="D43" i="11"/>
  <c r="D41" i="26"/>
  <c r="E41" i="26"/>
  <c r="F41" i="26"/>
  <c r="D42" i="11"/>
  <c r="D40" i="26"/>
  <c r="E40" i="26"/>
  <c r="F40" i="26"/>
  <c r="D39" i="26"/>
  <c r="E39" i="26"/>
  <c r="F39" i="26"/>
  <c r="D40" i="11"/>
  <c r="D38" i="26"/>
  <c r="E38" i="26"/>
  <c r="F38" i="26"/>
  <c r="D39" i="11"/>
  <c r="D37" i="26"/>
  <c r="E37" i="26"/>
  <c r="F37" i="26"/>
  <c r="D36" i="26"/>
  <c r="E36" i="26"/>
  <c r="F36" i="26"/>
  <c r="D35" i="26"/>
  <c r="E35" i="26"/>
  <c r="F35" i="26"/>
  <c r="D36" i="11"/>
  <c r="D34" i="26"/>
  <c r="E34" i="26"/>
  <c r="F34" i="26"/>
  <c r="D35" i="11"/>
  <c r="D33" i="26"/>
  <c r="E33" i="26"/>
  <c r="F33" i="26"/>
  <c r="D34" i="11"/>
  <c r="D32" i="26"/>
  <c r="E32" i="26"/>
  <c r="F32" i="26"/>
  <c r="D33" i="11"/>
  <c r="D31" i="26"/>
  <c r="E31" i="26"/>
  <c r="F31" i="26"/>
  <c r="D30" i="26"/>
  <c r="E30" i="26"/>
  <c r="F30" i="26"/>
  <c r="D29" i="26"/>
  <c r="E29" i="26"/>
  <c r="F29" i="26"/>
  <c r="D28" i="26"/>
  <c r="E28" i="26"/>
  <c r="F28" i="26"/>
  <c r="D27" i="26"/>
  <c r="E27" i="26"/>
  <c r="F27" i="26"/>
  <c r="D28" i="11"/>
  <c r="D26" i="26"/>
  <c r="E26" i="26"/>
  <c r="F26" i="26"/>
  <c r="D25" i="26"/>
  <c r="E25" i="26"/>
  <c r="F25" i="26"/>
  <c r="D26" i="11"/>
  <c r="D23" i="26"/>
  <c r="E23" i="26"/>
  <c r="F23" i="26"/>
  <c r="D24" i="11"/>
  <c r="D22" i="26"/>
  <c r="E22" i="26"/>
  <c r="F22" i="26"/>
  <c r="D21" i="26"/>
  <c r="E21" i="26"/>
  <c r="F21" i="26"/>
  <c r="D20" i="26"/>
  <c r="E20" i="26"/>
  <c r="F20" i="26"/>
  <c r="D19" i="26"/>
  <c r="E19" i="26"/>
  <c r="F19" i="26"/>
  <c r="D18" i="26"/>
  <c r="E18" i="26"/>
  <c r="F18" i="26"/>
  <c r="D17" i="26"/>
  <c r="E17" i="26"/>
  <c r="F17" i="26"/>
  <c r="D16" i="26"/>
  <c r="E16" i="26"/>
  <c r="F16" i="26"/>
  <c r="D17" i="11"/>
  <c r="D15" i="26"/>
  <c r="E15" i="26"/>
  <c r="F15" i="26"/>
  <c r="D14" i="26"/>
  <c r="E14" i="26"/>
  <c r="F14" i="26"/>
  <c r="D13" i="26"/>
  <c r="E13" i="26"/>
  <c r="F13" i="26"/>
  <c r="D12" i="26"/>
  <c r="E12" i="26"/>
  <c r="F12" i="26"/>
  <c r="D11" i="26"/>
  <c r="E11" i="26"/>
  <c r="F11" i="26"/>
  <c r="D10" i="26"/>
  <c r="E10" i="26"/>
  <c r="F10" i="26"/>
  <c r="D9" i="26"/>
  <c r="E9" i="26"/>
  <c r="F9" i="26"/>
  <c r="D10" i="11"/>
  <c r="D8" i="26"/>
  <c r="E8" i="26"/>
  <c r="F8" i="26"/>
  <c r="D7" i="26"/>
  <c r="E7" i="26"/>
  <c r="F7" i="26"/>
  <c r="D8" i="11"/>
  <c r="D6" i="26"/>
  <c r="F6" i="26"/>
  <c r="D5" i="26"/>
  <c r="E5" i="26"/>
  <c r="F5" i="26"/>
  <c r="D4" i="26"/>
  <c r="E4" i="26"/>
  <c r="F4" i="26"/>
  <c r="D3" i="26"/>
  <c r="E3" i="26"/>
  <c r="D2" i="26"/>
  <c r="E2" i="26"/>
  <c r="J3" i="26"/>
  <c r="K3" i="26"/>
  <c r="J4" i="26"/>
  <c r="K4" i="26"/>
  <c r="J5" i="26"/>
  <c r="K5" i="26"/>
  <c r="J6" i="26"/>
  <c r="K6" i="26"/>
  <c r="J7" i="26"/>
  <c r="K7" i="26"/>
  <c r="L7" i="26"/>
  <c r="J8" i="26"/>
  <c r="K8" i="26"/>
  <c r="J9" i="26"/>
  <c r="K9" i="26"/>
  <c r="J10" i="26"/>
  <c r="K10" i="26"/>
  <c r="J11" i="26"/>
  <c r="K11" i="26"/>
  <c r="J12" i="26"/>
  <c r="K12" i="26"/>
  <c r="J13" i="26"/>
  <c r="K13" i="26"/>
  <c r="J14" i="26"/>
  <c r="K14" i="26"/>
  <c r="J15" i="26"/>
  <c r="K15" i="26"/>
  <c r="J16" i="26"/>
  <c r="K16" i="26"/>
  <c r="J17" i="26"/>
  <c r="K17" i="26"/>
  <c r="J18" i="26"/>
  <c r="K18" i="26"/>
  <c r="J19" i="26"/>
  <c r="K19" i="26"/>
  <c r="J20" i="26"/>
  <c r="K20" i="26"/>
  <c r="J21" i="26"/>
  <c r="K21" i="26"/>
  <c r="J22" i="26"/>
  <c r="K22" i="26"/>
  <c r="J23" i="26"/>
  <c r="K23" i="26"/>
  <c r="J24" i="26"/>
  <c r="K24" i="26"/>
  <c r="J25" i="26"/>
  <c r="K25" i="26"/>
  <c r="L25" i="26"/>
  <c r="F26" i="11"/>
  <c r="J26" i="26"/>
  <c r="K26" i="26"/>
  <c r="J27" i="26"/>
  <c r="K27" i="26"/>
  <c r="J28" i="26"/>
  <c r="K28" i="26"/>
  <c r="J29" i="26"/>
  <c r="K29" i="26"/>
  <c r="J30" i="26"/>
  <c r="K30" i="26"/>
  <c r="J31" i="26"/>
  <c r="K31" i="26"/>
  <c r="J32" i="26"/>
  <c r="K32" i="26"/>
  <c r="J33" i="26"/>
  <c r="K33" i="26"/>
  <c r="J34" i="26"/>
  <c r="K34" i="26"/>
  <c r="J35" i="26"/>
  <c r="K35" i="26"/>
  <c r="J36" i="26"/>
  <c r="K36" i="26"/>
  <c r="J37" i="26"/>
  <c r="K37" i="26"/>
  <c r="J38" i="26"/>
  <c r="K38" i="26"/>
  <c r="J39" i="26"/>
  <c r="K39" i="26"/>
  <c r="J40" i="26"/>
  <c r="K40" i="26"/>
  <c r="J41" i="26"/>
  <c r="K41" i="26"/>
  <c r="L41" i="26"/>
  <c r="F42" i="11"/>
  <c r="J42" i="26"/>
  <c r="K42" i="26"/>
  <c r="L42" i="26"/>
  <c r="F43" i="11"/>
  <c r="J43" i="26"/>
  <c r="K43" i="26"/>
  <c r="L43" i="26"/>
  <c r="F44" i="11"/>
  <c r="J44" i="26"/>
  <c r="K44" i="26"/>
  <c r="J45" i="26"/>
  <c r="K45" i="26"/>
  <c r="J46" i="26"/>
  <c r="K46" i="26"/>
  <c r="J47" i="26"/>
  <c r="K47" i="26"/>
  <c r="J48" i="26"/>
  <c r="K48" i="26"/>
  <c r="J49" i="26"/>
  <c r="K49" i="26"/>
  <c r="L49" i="26"/>
  <c r="F50" i="11"/>
  <c r="J50" i="26"/>
  <c r="K50" i="26"/>
  <c r="L50" i="26"/>
  <c r="F51" i="11"/>
  <c r="J51" i="26"/>
  <c r="K51" i="26"/>
  <c r="L51" i="26"/>
  <c r="F52" i="11"/>
  <c r="J52" i="26"/>
  <c r="K52" i="26"/>
  <c r="J53" i="26"/>
  <c r="K53" i="26"/>
  <c r="L53" i="26"/>
  <c r="F54" i="11"/>
  <c r="J54" i="26"/>
  <c r="K54" i="26"/>
  <c r="L54" i="26"/>
  <c r="F55" i="11"/>
  <c r="J55" i="26"/>
  <c r="K55" i="26"/>
  <c r="L55" i="26"/>
  <c r="F56" i="11"/>
  <c r="J56" i="26"/>
  <c r="K56" i="26"/>
  <c r="J57" i="26"/>
  <c r="K57" i="26"/>
  <c r="L57" i="26"/>
  <c r="F58" i="11"/>
  <c r="J58" i="26"/>
  <c r="J59" i="26"/>
  <c r="K59" i="26"/>
  <c r="J60" i="26"/>
  <c r="K60" i="26"/>
  <c r="J61" i="26"/>
  <c r="K61" i="26"/>
  <c r="J62" i="26"/>
  <c r="K62" i="26"/>
  <c r="L62" i="26"/>
  <c r="F63" i="11"/>
  <c r="J63" i="26"/>
  <c r="K63" i="26"/>
  <c r="L63" i="26"/>
  <c r="F64" i="11"/>
  <c r="J65" i="26"/>
  <c r="K65" i="26"/>
  <c r="J66" i="26"/>
  <c r="K66" i="26"/>
  <c r="L66" i="26"/>
  <c r="F67" i="11"/>
  <c r="J67" i="26"/>
  <c r="K67" i="26"/>
  <c r="L67" i="26"/>
  <c r="J68" i="26"/>
  <c r="J2" i="26"/>
  <c r="K2" i="26"/>
  <c r="Q65" i="26"/>
  <c r="Q64" i="26"/>
  <c r="Q63" i="26"/>
  <c r="Q62" i="26"/>
  <c r="Q59" i="26"/>
  <c r="G59" i="26"/>
  <c r="H59" i="26"/>
  <c r="I59" i="26"/>
  <c r="Q56" i="26"/>
  <c r="Q54" i="26"/>
  <c r="Q53" i="26"/>
  <c r="Q52" i="26"/>
  <c r="Q50" i="26"/>
  <c r="Q49" i="26"/>
  <c r="Q47" i="26"/>
  <c r="Q46" i="26"/>
  <c r="Q45" i="26"/>
  <c r="Q43" i="26"/>
  <c r="Q42" i="26"/>
  <c r="Q40" i="26"/>
  <c r="Q38" i="26"/>
  <c r="Q37" i="26"/>
  <c r="Q36" i="26"/>
  <c r="Q35" i="26"/>
  <c r="Q33" i="26"/>
  <c r="Q32" i="26"/>
  <c r="Q29" i="26"/>
  <c r="Q28" i="26"/>
  <c r="Q25" i="26"/>
  <c r="Q18" i="26"/>
  <c r="Q24" i="26"/>
  <c r="Q22" i="26"/>
  <c r="Q21" i="26"/>
  <c r="Q17" i="26"/>
  <c r="Q16" i="26"/>
  <c r="Q15" i="26"/>
  <c r="Q14" i="26"/>
  <c r="T9" i="26"/>
  <c r="T8" i="26"/>
  <c r="U8" i="26"/>
  <c r="I9" i="11"/>
  <c r="T5" i="26"/>
  <c r="T4" i="26"/>
  <c r="T3" i="26"/>
  <c r="U3" i="26"/>
  <c r="I4" i="11"/>
  <c r="V13" i="26"/>
  <c r="V12" i="26"/>
  <c r="V11" i="26"/>
  <c r="V10" i="26"/>
  <c r="V9" i="26"/>
  <c r="V8" i="26"/>
  <c r="V7" i="26"/>
  <c r="V6" i="26"/>
  <c r="V5" i="26"/>
  <c r="V4" i="26"/>
  <c r="V3" i="26"/>
  <c r="V2" i="26"/>
  <c r="Q11" i="26"/>
  <c r="Q9" i="26"/>
  <c r="Q8" i="26"/>
  <c r="Q7" i="26"/>
  <c r="Q6" i="26"/>
  <c r="Q5" i="26"/>
  <c r="Q4" i="26"/>
  <c r="Q3" i="26"/>
  <c r="Q2" i="26"/>
  <c r="W2" i="26"/>
  <c r="X2" i="26"/>
  <c r="Y2" i="26"/>
  <c r="Z2" i="26"/>
  <c r="AA2" i="26"/>
  <c r="K3" i="11"/>
  <c r="G68" i="26"/>
  <c r="I68" i="26"/>
  <c r="E69" i="11"/>
  <c r="G67" i="26"/>
  <c r="I67" i="26"/>
  <c r="E68" i="11"/>
  <c r="G66" i="26"/>
  <c r="I66" i="26"/>
  <c r="G65" i="26"/>
  <c r="H65" i="26"/>
  <c r="G64" i="26"/>
  <c r="H64" i="26"/>
  <c r="I64" i="26"/>
  <c r="G63" i="26"/>
  <c r="H63" i="26"/>
  <c r="I63" i="26"/>
  <c r="G62" i="26"/>
  <c r="H62" i="26"/>
  <c r="I62" i="26"/>
  <c r="G61" i="26"/>
  <c r="I61" i="26"/>
  <c r="G60" i="26"/>
  <c r="H60" i="26"/>
  <c r="I60" i="26"/>
  <c r="G58" i="26"/>
  <c r="I58" i="26"/>
  <c r="G57" i="26"/>
  <c r="H57" i="26"/>
  <c r="I57" i="26"/>
  <c r="G56" i="26"/>
  <c r="H56" i="26"/>
  <c r="I56" i="26"/>
  <c r="E57" i="11"/>
  <c r="G55" i="26"/>
  <c r="I55" i="26"/>
  <c r="G54" i="26"/>
  <c r="H54" i="26"/>
  <c r="I54" i="26"/>
  <c r="G53" i="26"/>
  <c r="H53" i="26"/>
  <c r="I53" i="26"/>
  <c r="G52" i="26"/>
  <c r="H52" i="26"/>
  <c r="G51" i="26"/>
  <c r="I51" i="26"/>
  <c r="G50" i="26"/>
  <c r="H50" i="26"/>
  <c r="I50" i="26"/>
  <c r="G49" i="26"/>
  <c r="H49" i="26"/>
  <c r="I49" i="26"/>
  <c r="G48" i="26"/>
  <c r="I48" i="26"/>
  <c r="E49" i="11"/>
  <c r="G47" i="26"/>
  <c r="H47" i="26"/>
  <c r="I47" i="26"/>
  <c r="E48" i="11"/>
  <c r="G46" i="26"/>
  <c r="H46" i="26"/>
  <c r="I46" i="26"/>
  <c r="E47" i="11"/>
  <c r="G45" i="26"/>
  <c r="H45" i="26"/>
  <c r="I45" i="26"/>
  <c r="E46" i="11"/>
  <c r="G44" i="26"/>
  <c r="I44" i="26"/>
  <c r="G43" i="26"/>
  <c r="H43" i="26"/>
  <c r="I43" i="26"/>
  <c r="G42" i="26"/>
  <c r="H42" i="26"/>
  <c r="I42" i="26"/>
  <c r="G41" i="26"/>
  <c r="I41" i="26"/>
  <c r="G40" i="26"/>
  <c r="H40" i="26"/>
  <c r="I40" i="26"/>
  <c r="G39" i="26"/>
  <c r="H39" i="26"/>
  <c r="G38" i="26"/>
  <c r="H38" i="26"/>
  <c r="G37" i="26"/>
  <c r="H37" i="26"/>
  <c r="G36" i="26"/>
  <c r="H36" i="26"/>
  <c r="I36" i="26"/>
  <c r="G35" i="26"/>
  <c r="H35" i="26"/>
  <c r="I35" i="26"/>
  <c r="G34" i="26"/>
  <c r="H34" i="26"/>
  <c r="I34" i="26"/>
  <c r="G33" i="26"/>
  <c r="H33" i="26"/>
  <c r="G32" i="26"/>
  <c r="H32" i="26"/>
  <c r="I32" i="26"/>
  <c r="G31" i="26"/>
  <c r="I31" i="26"/>
  <c r="G30" i="26"/>
  <c r="I30" i="26"/>
  <c r="G29" i="26"/>
  <c r="H29" i="26"/>
  <c r="I29" i="26"/>
  <c r="G28" i="26"/>
  <c r="H28" i="26"/>
  <c r="I28" i="26"/>
  <c r="G27" i="26"/>
  <c r="H27" i="26"/>
  <c r="I27" i="26"/>
  <c r="G26" i="26"/>
  <c r="I26" i="26"/>
  <c r="G25" i="26"/>
  <c r="H25" i="26"/>
  <c r="I25" i="26"/>
  <c r="G24" i="26"/>
  <c r="H24" i="26"/>
  <c r="I24" i="26"/>
  <c r="G23" i="26"/>
  <c r="H23" i="26"/>
  <c r="I23" i="26"/>
  <c r="G22" i="26"/>
  <c r="H22" i="26"/>
  <c r="I22" i="26"/>
  <c r="G21" i="26"/>
  <c r="H21" i="26"/>
  <c r="I21" i="26"/>
  <c r="G20" i="26"/>
  <c r="I20" i="26"/>
  <c r="G19" i="26"/>
  <c r="H19" i="26"/>
  <c r="G18" i="26"/>
  <c r="H18" i="26"/>
  <c r="I18" i="26"/>
  <c r="G17" i="26"/>
  <c r="H17" i="26"/>
  <c r="I17" i="26"/>
  <c r="G16" i="26"/>
  <c r="H16" i="26"/>
  <c r="I16" i="26"/>
  <c r="G15" i="26"/>
  <c r="H15" i="26"/>
  <c r="G14" i="26"/>
  <c r="H14" i="26"/>
  <c r="I14" i="26"/>
  <c r="E15" i="11"/>
  <c r="G13" i="26"/>
  <c r="I13" i="26"/>
  <c r="G12" i="26"/>
  <c r="I12" i="26"/>
  <c r="G11" i="26"/>
  <c r="H11" i="26"/>
  <c r="I11" i="26"/>
  <c r="G10" i="26"/>
  <c r="H10" i="26"/>
  <c r="I10" i="26"/>
  <c r="E11" i="11"/>
  <c r="G9" i="26"/>
  <c r="H9" i="26"/>
  <c r="I9" i="26"/>
  <c r="E10" i="11"/>
  <c r="G8" i="26"/>
  <c r="H8" i="26"/>
  <c r="I8" i="26"/>
  <c r="E9" i="11"/>
  <c r="G7" i="26"/>
  <c r="H7" i="26"/>
  <c r="I7" i="26"/>
  <c r="G6" i="26"/>
  <c r="H6" i="26"/>
  <c r="I6" i="26"/>
  <c r="G5" i="26"/>
  <c r="H5" i="26"/>
  <c r="I5" i="26"/>
  <c r="G4" i="26"/>
  <c r="H4" i="26"/>
  <c r="I4" i="26"/>
  <c r="G3" i="26"/>
  <c r="I3" i="26"/>
  <c r="G2" i="26"/>
  <c r="H2" i="26"/>
  <c r="I2" i="26"/>
  <c r="C76" i="28"/>
  <c r="B76" i="28"/>
  <c r="C75" i="28"/>
  <c r="B75" i="28"/>
  <c r="C74" i="28"/>
  <c r="B74" i="28"/>
  <c r="C73" i="28"/>
  <c r="B73" i="28"/>
  <c r="C72" i="28"/>
  <c r="B72" i="28"/>
  <c r="C71" i="28"/>
  <c r="B71" i="28"/>
  <c r="C70" i="28"/>
  <c r="B70" i="28"/>
  <c r="C69" i="28"/>
  <c r="B69" i="28"/>
  <c r="C68" i="28"/>
  <c r="B68" i="28"/>
  <c r="C67" i="28"/>
  <c r="B67" i="28"/>
  <c r="C66" i="28"/>
  <c r="B66" i="28"/>
  <c r="C65" i="28"/>
  <c r="B65" i="28"/>
  <c r="C64" i="28"/>
  <c r="B64" i="28"/>
  <c r="C63" i="28"/>
  <c r="B63" i="28"/>
  <c r="C62" i="28"/>
  <c r="B62" i="28"/>
  <c r="C61" i="28"/>
  <c r="B61" i="28"/>
  <c r="C60" i="28"/>
  <c r="B60" i="28"/>
  <c r="C59" i="28"/>
  <c r="B59" i="28"/>
  <c r="C58" i="28"/>
  <c r="B58" i="28"/>
  <c r="C57" i="28"/>
  <c r="B57" i="28"/>
  <c r="C56" i="28"/>
  <c r="B56" i="28"/>
  <c r="C55" i="28"/>
  <c r="B55" i="28"/>
  <c r="C54" i="28"/>
  <c r="B54" i="28"/>
  <c r="C53" i="28"/>
  <c r="B53" i="28"/>
  <c r="C52" i="28"/>
  <c r="B52" i="28"/>
  <c r="C51" i="28"/>
  <c r="B51" i="28"/>
  <c r="C50" i="28"/>
  <c r="B50" i="28"/>
  <c r="C49" i="28"/>
  <c r="B49" i="28"/>
  <c r="C48" i="28"/>
  <c r="B48" i="28"/>
  <c r="C47" i="28"/>
  <c r="B47" i="28"/>
  <c r="C46" i="28"/>
  <c r="B46" i="28"/>
  <c r="C45" i="28"/>
  <c r="B45" i="28"/>
  <c r="C44" i="28"/>
  <c r="B44" i="28"/>
  <c r="C43" i="28"/>
  <c r="B43" i="28"/>
  <c r="C42" i="28"/>
  <c r="B42" i="28"/>
  <c r="C41" i="28"/>
  <c r="B41" i="28"/>
  <c r="C40" i="28"/>
  <c r="B40" i="28"/>
  <c r="C39" i="28"/>
  <c r="B39" i="28"/>
  <c r="C38" i="28"/>
  <c r="B38" i="28"/>
  <c r="C37" i="28"/>
  <c r="B37" i="28"/>
  <c r="C36" i="28"/>
  <c r="B36" i="28"/>
  <c r="C35" i="28"/>
  <c r="B35" i="28"/>
  <c r="C34" i="28"/>
  <c r="B34" i="28"/>
  <c r="C33" i="28"/>
  <c r="B33" i="28"/>
  <c r="C32" i="28"/>
  <c r="B32" i="28"/>
  <c r="C31" i="28"/>
  <c r="B31" i="28"/>
  <c r="C30" i="28"/>
  <c r="B30" i="28"/>
  <c r="C29" i="28"/>
  <c r="B29" i="28"/>
  <c r="C28" i="28"/>
  <c r="B28" i="28"/>
  <c r="C27" i="28"/>
  <c r="B27" i="28"/>
  <c r="C26" i="28"/>
  <c r="B26" i="28"/>
  <c r="C25" i="28"/>
  <c r="B25" i="28"/>
  <c r="C24" i="28"/>
  <c r="B24" i="28"/>
  <c r="C23" i="28"/>
  <c r="B23" i="28"/>
  <c r="C22" i="28"/>
  <c r="B22" i="28"/>
  <c r="C21" i="28"/>
  <c r="B21" i="28"/>
  <c r="C20" i="28"/>
  <c r="B20" i="28"/>
  <c r="C19" i="28"/>
  <c r="B19" i="28"/>
  <c r="C18" i="28"/>
  <c r="B18" i="28"/>
  <c r="C17" i="28"/>
  <c r="B17" i="28"/>
  <c r="C16" i="28"/>
  <c r="B16" i="28"/>
  <c r="C15" i="28"/>
  <c r="B15" i="28"/>
  <c r="C14" i="28"/>
  <c r="B14" i="28"/>
  <c r="C13" i="28"/>
  <c r="B13" i="28"/>
  <c r="C12" i="28"/>
  <c r="B12" i="28"/>
  <c r="C11" i="28"/>
  <c r="B11" i="28"/>
  <c r="C10" i="28"/>
  <c r="B10" i="28"/>
  <c r="C9" i="28"/>
  <c r="B9" i="28"/>
  <c r="C8" i="28"/>
  <c r="B8" i="28"/>
  <c r="C7" i="28"/>
  <c r="B7" i="28"/>
  <c r="C6" i="28"/>
  <c r="B6" i="28"/>
  <c r="C5" i="28"/>
  <c r="B5" i="28"/>
  <c r="C4" i="28"/>
  <c r="B4" i="28"/>
  <c r="C3" i="28"/>
  <c r="B3" i="28"/>
  <c r="C2" i="28"/>
  <c r="B2" i="28"/>
  <c r="I432" i="11"/>
  <c r="I431" i="11"/>
  <c r="I430" i="11"/>
  <c r="I412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4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6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3" i="11"/>
  <c r="I342" i="11"/>
  <c r="I341" i="11"/>
  <c r="I340" i="11"/>
  <c r="I339" i="11"/>
  <c r="I338" i="11"/>
  <c r="I337" i="11"/>
  <c r="I336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5" i="11"/>
  <c r="I314" i="11"/>
  <c r="I313" i="11"/>
  <c r="D403" i="11"/>
  <c r="D402" i="11"/>
  <c r="D414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2" i="11"/>
  <c r="D411" i="11"/>
  <c r="D410" i="11"/>
  <c r="D409" i="11"/>
  <c r="D408" i="11"/>
  <c r="D407" i="11"/>
  <c r="D406" i="11"/>
  <c r="D405" i="11"/>
  <c r="D404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33" i="11"/>
  <c r="AC3" i="25"/>
  <c r="AD3" i="25"/>
  <c r="AE3" i="25"/>
  <c r="K155" i="11"/>
  <c r="AC4" i="25"/>
  <c r="AE4" i="25"/>
  <c r="K156" i="11"/>
  <c r="AE5" i="25"/>
  <c r="K157" i="11"/>
  <c r="AE6" i="25"/>
  <c r="K158" i="11"/>
  <c r="AE7" i="25"/>
  <c r="K159" i="11"/>
  <c r="AC8" i="25"/>
  <c r="AD8" i="25"/>
  <c r="AE8" i="25"/>
  <c r="K160" i="11"/>
  <c r="AC9" i="25"/>
  <c r="AD9" i="25"/>
  <c r="AE9" i="25"/>
  <c r="K161" i="11"/>
  <c r="AC10" i="25"/>
  <c r="AD10" i="25"/>
  <c r="AE10" i="25"/>
  <c r="K162" i="11"/>
  <c r="AC11" i="25"/>
  <c r="AD11" i="25"/>
  <c r="AE11" i="25"/>
  <c r="K163" i="11"/>
  <c r="AD12" i="25"/>
  <c r="AE12" i="25"/>
  <c r="K164" i="11"/>
  <c r="AC13" i="25"/>
  <c r="AE13" i="25"/>
  <c r="K165" i="11"/>
  <c r="AE14" i="25"/>
  <c r="K166" i="11"/>
  <c r="AE15" i="25"/>
  <c r="K167" i="11"/>
  <c r="AE16" i="25"/>
  <c r="K168" i="11"/>
  <c r="AC17" i="25"/>
  <c r="AD17" i="25"/>
  <c r="AE17" i="25"/>
  <c r="K169" i="11"/>
  <c r="AE18" i="25"/>
  <c r="K170" i="11"/>
  <c r="AC19" i="25"/>
  <c r="AD19" i="25"/>
  <c r="AE19" i="25"/>
  <c r="K171" i="11"/>
  <c r="AC20" i="25"/>
  <c r="AE20" i="25"/>
  <c r="K172" i="11"/>
  <c r="AC21" i="25"/>
  <c r="AD21" i="25"/>
  <c r="AE21" i="25"/>
  <c r="K173" i="11"/>
  <c r="AC22" i="25"/>
  <c r="AD22" i="25"/>
  <c r="AE22" i="25"/>
  <c r="K174" i="11"/>
  <c r="AE23" i="25"/>
  <c r="K175" i="11"/>
  <c r="AE24" i="25"/>
  <c r="K176" i="11"/>
  <c r="AE25" i="25"/>
  <c r="K177" i="11"/>
  <c r="AE26" i="25"/>
  <c r="K178" i="11"/>
  <c r="AE27" i="25"/>
  <c r="K179" i="11"/>
  <c r="AE28" i="25"/>
  <c r="K180" i="11"/>
  <c r="AC29" i="25"/>
  <c r="AD29" i="25"/>
  <c r="AE29" i="25"/>
  <c r="K181" i="11"/>
  <c r="AC30" i="25"/>
  <c r="AE30" i="25"/>
  <c r="K182" i="11"/>
  <c r="AC31" i="25"/>
  <c r="AD31" i="25"/>
  <c r="AE31" i="25"/>
  <c r="K183" i="11"/>
  <c r="AC32" i="25"/>
  <c r="AD32" i="25"/>
  <c r="AE32" i="25"/>
  <c r="K184" i="11"/>
  <c r="AE33" i="25"/>
  <c r="K185" i="11"/>
  <c r="AE34" i="25"/>
  <c r="K186" i="11"/>
  <c r="AC35" i="25"/>
  <c r="AD35" i="25"/>
  <c r="AE35" i="25"/>
  <c r="K187" i="11"/>
  <c r="AC36" i="25"/>
  <c r="AD36" i="25"/>
  <c r="AE36" i="25"/>
  <c r="K188" i="11"/>
  <c r="AC37" i="25"/>
  <c r="AD37" i="25"/>
  <c r="AE37" i="25"/>
  <c r="K189" i="11"/>
  <c r="AD38" i="25"/>
  <c r="AE38" i="25"/>
  <c r="K190" i="11"/>
  <c r="AC39" i="25"/>
  <c r="AD39" i="25"/>
  <c r="AE39" i="25"/>
  <c r="K191" i="11"/>
  <c r="AC40" i="25"/>
  <c r="AE40" i="25"/>
  <c r="K192" i="11"/>
  <c r="AC41" i="25"/>
  <c r="AD41" i="25"/>
  <c r="AE41" i="25"/>
  <c r="K193" i="11"/>
  <c r="AC42" i="25"/>
  <c r="AE42" i="25"/>
  <c r="K194" i="11"/>
  <c r="AC43" i="25"/>
  <c r="AE43" i="25"/>
  <c r="K195" i="11"/>
  <c r="AC44" i="25"/>
  <c r="AD44" i="25"/>
  <c r="AE44" i="25"/>
  <c r="K196" i="11"/>
  <c r="AC45" i="25"/>
  <c r="AD45" i="25"/>
  <c r="AE45" i="25"/>
  <c r="K197" i="11"/>
  <c r="AC46" i="25"/>
  <c r="AD46" i="25"/>
  <c r="AE46" i="25"/>
  <c r="K198" i="11"/>
  <c r="AC47" i="25"/>
  <c r="AD47" i="25"/>
  <c r="AE47" i="25"/>
  <c r="K199" i="11"/>
  <c r="AC48" i="25"/>
  <c r="AE48" i="25"/>
  <c r="K200" i="11"/>
  <c r="AE49" i="25"/>
  <c r="K201" i="11"/>
  <c r="AC50" i="25"/>
  <c r="AE50" i="25"/>
  <c r="K202" i="11"/>
  <c r="AC51" i="25"/>
  <c r="AE51" i="25"/>
  <c r="K203" i="11"/>
  <c r="AC52" i="25"/>
  <c r="AE52" i="25"/>
  <c r="K204" i="11"/>
  <c r="AC53" i="25"/>
  <c r="AD53" i="25"/>
  <c r="AE53" i="25"/>
  <c r="K205" i="11"/>
  <c r="AE54" i="25"/>
  <c r="K206" i="11"/>
  <c r="AE55" i="25"/>
  <c r="K207" i="11"/>
  <c r="AE56" i="25"/>
  <c r="K208" i="11"/>
  <c r="AE57" i="25"/>
  <c r="K209" i="11"/>
  <c r="AC58" i="25"/>
  <c r="AD58" i="25"/>
  <c r="AE59" i="25"/>
  <c r="K211" i="11"/>
  <c r="AC60" i="25"/>
  <c r="AD60" i="25"/>
  <c r="AE60" i="25"/>
  <c r="K212" i="11"/>
  <c r="AC61" i="25"/>
  <c r="AD61" i="25"/>
  <c r="AE61" i="25"/>
  <c r="K213" i="11"/>
  <c r="AE62" i="25"/>
  <c r="K214" i="11"/>
  <c r="AE63" i="25"/>
  <c r="K215" i="11"/>
  <c r="AE64" i="25"/>
  <c r="K216" i="11"/>
  <c r="AC65" i="25"/>
  <c r="AE65" i="25"/>
  <c r="K217" i="11"/>
  <c r="AC66" i="25"/>
  <c r="AE66" i="25"/>
  <c r="K218" i="11"/>
  <c r="AC67" i="25"/>
  <c r="AD67" i="25"/>
  <c r="AE67" i="25"/>
  <c r="K219" i="11"/>
  <c r="AC68" i="25"/>
  <c r="AD68" i="25"/>
  <c r="AE68" i="25"/>
  <c r="K220" i="11"/>
  <c r="AC69" i="25"/>
  <c r="AD69" i="25"/>
  <c r="AE69" i="25"/>
  <c r="K221" i="11"/>
  <c r="AC70" i="25"/>
  <c r="AD70" i="25"/>
  <c r="AE70" i="25"/>
  <c r="K222" i="11"/>
  <c r="AC71" i="25"/>
  <c r="AE71" i="25"/>
  <c r="K223" i="11"/>
  <c r="AE72" i="25"/>
  <c r="K224" i="11"/>
  <c r="AC73" i="25"/>
  <c r="AE73" i="25"/>
  <c r="K225" i="11"/>
  <c r="AC74" i="25"/>
  <c r="AD74" i="25"/>
  <c r="AE74" i="25"/>
  <c r="K226" i="11"/>
  <c r="AE75" i="25"/>
  <c r="K227" i="11"/>
  <c r="AE76" i="25"/>
  <c r="K228" i="11"/>
  <c r="AE77" i="25"/>
  <c r="K229" i="11"/>
  <c r="AC78" i="25"/>
  <c r="AD78" i="25"/>
  <c r="AE78" i="25"/>
  <c r="K230" i="11"/>
  <c r="AC79" i="25"/>
  <c r="AD79" i="25"/>
  <c r="AE80" i="25"/>
  <c r="K232" i="11"/>
  <c r="AC81" i="25"/>
  <c r="AE81" i="25"/>
  <c r="K233" i="11"/>
  <c r="AE82" i="25"/>
  <c r="K234" i="11"/>
  <c r="AE83" i="25"/>
  <c r="K235" i="11"/>
  <c r="AE84" i="25"/>
  <c r="K236" i="11"/>
  <c r="AE85" i="25"/>
  <c r="K237" i="11"/>
  <c r="AC86" i="25"/>
  <c r="AD86" i="25"/>
  <c r="AE86" i="25"/>
  <c r="K238" i="11"/>
  <c r="AE87" i="25"/>
  <c r="K239" i="11"/>
  <c r="AC88" i="25"/>
  <c r="AD88" i="25"/>
  <c r="AE88" i="25"/>
  <c r="K240" i="11"/>
  <c r="AE89" i="25"/>
  <c r="K241" i="11"/>
  <c r="AE90" i="25"/>
  <c r="K242" i="11"/>
  <c r="AE91" i="25"/>
  <c r="K243" i="11"/>
  <c r="AE92" i="25"/>
  <c r="K244" i="11"/>
  <c r="AC93" i="25"/>
  <c r="AD93" i="25"/>
  <c r="AE93" i="25"/>
  <c r="K245" i="11"/>
  <c r="AC94" i="25"/>
  <c r="AD94" i="25"/>
  <c r="AE94" i="25"/>
  <c r="K246" i="11"/>
  <c r="AE95" i="25"/>
  <c r="K247" i="11"/>
  <c r="AE96" i="25"/>
  <c r="K248" i="11"/>
  <c r="AE97" i="25"/>
  <c r="K249" i="11"/>
  <c r="AE98" i="25"/>
  <c r="K250" i="11"/>
  <c r="AE99" i="25"/>
  <c r="K251" i="11"/>
  <c r="AE100" i="25"/>
  <c r="K252" i="11"/>
  <c r="AC101" i="25"/>
  <c r="AD101" i="25"/>
  <c r="AE101" i="25"/>
  <c r="K253" i="11"/>
  <c r="AE102" i="25"/>
  <c r="K254" i="11"/>
  <c r="AE103" i="25"/>
  <c r="K255" i="11"/>
  <c r="AC104" i="25"/>
  <c r="AD104" i="25"/>
  <c r="AE105" i="25"/>
  <c r="K257" i="11"/>
  <c r="AC106" i="25"/>
  <c r="AD106" i="25"/>
  <c r="AE106" i="25"/>
  <c r="K258" i="11"/>
  <c r="AC107" i="25"/>
  <c r="AD107" i="25"/>
  <c r="AE107" i="25"/>
  <c r="K259" i="11"/>
  <c r="AD108" i="25"/>
  <c r="AE108" i="25"/>
  <c r="K260" i="11"/>
  <c r="AC109" i="25"/>
  <c r="AD109" i="25"/>
  <c r="AE109" i="25"/>
  <c r="K261" i="11"/>
  <c r="AE110" i="25"/>
  <c r="K262" i="11"/>
  <c r="AE111" i="25"/>
  <c r="K263" i="11"/>
  <c r="AE112" i="25"/>
  <c r="K264" i="11"/>
  <c r="AC113" i="25"/>
  <c r="AE113" i="25"/>
  <c r="K265" i="11"/>
  <c r="AC114" i="25"/>
  <c r="AD114" i="25"/>
  <c r="AE114" i="25"/>
  <c r="K266" i="11"/>
  <c r="AE115" i="25"/>
  <c r="K267" i="11"/>
  <c r="AC116" i="25"/>
  <c r="AD116" i="25"/>
  <c r="AE116" i="25"/>
  <c r="K268" i="11"/>
  <c r="AC117" i="25"/>
  <c r="AD117" i="25"/>
  <c r="AE117" i="25"/>
  <c r="K269" i="11"/>
  <c r="AE118" i="25"/>
  <c r="K270" i="11"/>
  <c r="AE119" i="25"/>
  <c r="K271" i="11"/>
  <c r="AE120" i="25"/>
  <c r="K272" i="11"/>
  <c r="AE121" i="25"/>
  <c r="K273" i="11"/>
  <c r="AE122" i="25"/>
  <c r="K274" i="11"/>
  <c r="AC123" i="25"/>
  <c r="AD123" i="25"/>
  <c r="AE123" i="25"/>
  <c r="K275" i="11"/>
  <c r="AE124" i="25"/>
  <c r="K276" i="11"/>
  <c r="AE125" i="25"/>
  <c r="K277" i="11"/>
  <c r="AE126" i="25"/>
  <c r="K278" i="11"/>
  <c r="AC127" i="25"/>
  <c r="AE127" i="25"/>
  <c r="K279" i="11"/>
  <c r="AC128" i="25"/>
  <c r="AD128" i="25"/>
  <c r="AE128" i="25"/>
  <c r="K280" i="11"/>
  <c r="AC129" i="25"/>
  <c r="AD129" i="25"/>
  <c r="AE129" i="25"/>
  <c r="K281" i="11"/>
  <c r="AC130" i="25"/>
  <c r="AD130" i="25"/>
  <c r="AE130" i="25"/>
  <c r="K282" i="11"/>
  <c r="AE131" i="25"/>
  <c r="K283" i="11"/>
  <c r="AC132" i="25"/>
  <c r="AD132" i="25"/>
  <c r="AE132" i="25"/>
  <c r="K284" i="11"/>
  <c r="AE133" i="25"/>
  <c r="K285" i="11"/>
  <c r="AC134" i="25"/>
  <c r="AD134" i="25"/>
  <c r="AE134" i="25"/>
  <c r="K286" i="11"/>
  <c r="AC135" i="25"/>
  <c r="AE135" i="25"/>
  <c r="K287" i="11"/>
  <c r="AC136" i="25"/>
  <c r="AD136" i="25"/>
  <c r="AE136" i="25"/>
  <c r="K288" i="11"/>
  <c r="AC137" i="25"/>
  <c r="AD137" i="25"/>
  <c r="AE137" i="25"/>
  <c r="K289" i="11"/>
  <c r="AC138" i="25"/>
  <c r="AE138" i="25"/>
  <c r="K290" i="11"/>
  <c r="AC139" i="25"/>
  <c r="AE139" i="25"/>
  <c r="K291" i="11"/>
  <c r="AE140" i="25"/>
  <c r="K292" i="11"/>
  <c r="AC141" i="25"/>
  <c r="AD141" i="25"/>
  <c r="AE141" i="25"/>
  <c r="K293" i="11"/>
  <c r="AE142" i="25"/>
  <c r="K294" i="11"/>
  <c r="AC143" i="25"/>
  <c r="AE143" i="25"/>
  <c r="K295" i="11"/>
  <c r="AE144" i="25"/>
  <c r="K296" i="11"/>
  <c r="AE145" i="25"/>
  <c r="K297" i="11"/>
  <c r="AE146" i="25"/>
  <c r="K298" i="11"/>
  <c r="AC147" i="25"/>
  <c r="AD147" i="25"/>
  <c r="AC148" i="25"/>
  <c r="AE148" i="25"/>
  <c r="K300" i="11"/>
  <c r="AC149" i="25"/>
  <c r="AD149" i="25"/>
  <c r="AE149" i="25"/>
  <c r="K301" i="11"/>
  <c r="AC150" i="25"/>
  <c r="AE150" i="25"/>
  <c r="K302" i="11"/>
  <c r="AC151" i="25"/>
  <c r="AE151" i="25"/>
  <c r="K303" i="11"/>
  <c r="AE152" i="25"/>
  <c r="K304" i="11"/>
  <c r="AE153" i="25"/>
  <c r="K305" i="11"/>
  <c r="AE154" i="25"/>
  <c r="K306" i="11"/>
  <c r="AE155" i="25"/>
  <c r="K307" i="11"/>
  <c r="AC156" i="25"/>
  <c r="AD156" i="25"/>
  <c r="AE156" i="25"/>
  <c r="K308" i="11"/>
  <c r="AE157" i="25"/>
  <c r="K309" i="11"/>
  <c r="AE158" i="25"/>
  <c r="K310" i="11"/>
  <c r="AE159" i="25"/>
  <c r="K311" i="11"/>
  <c r="AE160" i="25"/>
  <c r="K312" i="11"/>
  <c r="AC2" i="25"/>
  <c r="AD2" i="25"/>
  <c r="AE2" i="25"/>
  <c r="K154" i="11"/>
  <c r="W3" i="25"/>
  <c r="X3" i="25"/>
  <c r="W5" i="25"/>
  <c r="X5" i="25"/>
  <c r="Z5" i="25"/>
  <c r="W6" i="25"/>
  <c r="W7" i="25"/>
  <c r="X7" i="25"/>
  <c r="Z7" i="25"/>
  <c r="W8" i="25"/>
  <c r="W9" i="25"/>
  <c r="X9" i="25"/>
  <c r="Z9" i="25"/>
  <c r="X10" i="25"/>
  <c r="W11" i="25"/>
  <c r="X11" i="25"/>
  <c r="Z11" i="25"/>
  <c r="W12" i="25"/>
  <c r="X12" i="25"/>
  <c r="W13" i="25"/>
  <c r="X13" i="25"/>
  <c r="W14" i="25"/>
  <c r="X14" i="25"/>
  <c r="Z14" i="25"/>
  <c r="W15" i="25"/>
  <c r="X15" i="25"/>
  <c r="Z15" i="25"/>
  <c r="W16" i="25"/>
  <c r="X16" i="25"/>
  <c r="Z16" i="25"/>
  <c r="W17" i="25"/>
  <c r="X17" i="25"/>
  <c r="Z17" i="25"/>
  <c r="W18" i="25"/>
  <c r="X18" i="25"/>
  <c r="Z18" i="25"/>
  <c r="X19" i="25"/>
  <c r="W20" i="25"/>
  <c r="X20" i="25"/>
  <c r="Z20" i="25"/>
  <c r="W21" i="25"/>
  <c r="X21" i="25"/>
  <c r="W22" i="25"/>
  <c r="X22" i="25"/>
  <c r="W23" i="25"/>
  <c r="X23" i="25"/>
  <c r="Z23" i="25"/>
  <c r="W24" i="25"/>
  <c r="X24" i="25"/>
  <c r="Z24" i="25"/>
  <c r="W25" i="25"/>
  <c r="X25" i="25"/>
  <c r="W26" i="25"/>
  <c r="X26" i="25"/>
  <c r="Z26" i="25"/>
  <c r="W27" i="25"/>
  <c r="X27" i="25"/>
  <c r="W28" i="25"/>
  <c r="X28" i="25"/>
  <c r="Z28" i="25"/>
  <c r="X29" i="25"/>
  <c r="W30" i="25"/>
  <c r="X30" i="25"/>
  <c r="Z30" i="25"/>
  <c r="W31" i="25"/>
  <c r="X31" i="25"/>
  <c r="W32" i="25"/>
  <c r="X32" i="25"/>
  <c r="W33" i="25"/>
  <c r="X33" i="25"/>
  <c r="Z33" i="25"/>
  <c r="W34" i="25"/>
  <c r="X34" i="25"/>
  <c r="W36" i="25"/>
  <c r="X36" i="25"/>
  <c r="W37" i="25"/>
  <c r="X37" i="25"/>
  <c r="W38" i="25"/>
  <c r="X38" i="25"/>
  <c r="Z38" i="25"/>
  <c r="X39" i="25"/>
  <c r="W40" i="25"/>
  <c r="X40" i="25"/>
  <c r="Z40" i="25"/>
  <c r="X41" i="25"/>
  <c r="W42" i="25"/>
  <c r="X42" i="25"/>
  <c r="Z42" i="25"/>
  <c r="W43" i="25"/>
  <c r="X43" i="25"/>
  <c r="X44" i="25"/>
  <c r="X45" i="25"/>
  <c r="X47" i="25"/>
  <c r="W48" i="25"/>
  <c r="X48" i="25"/>
  <c r="Z48" i="25"/>
  <c r="W49" i="25"/>
  <c r="X49" i="25"/>
  <c r="W51" i="25"/>
  <c r="X51" i="25"/>
  <c r="Z51" i="25"/>
  <c r="W52" i="25"/>
  <c r="X52" i="25"/>
  <c r="Z52" i="25"/>
  <c r="X53" i="25"/>
  <c r="W54" i="25"/>
  <c r="X54" i="25"/>
  <c r="W55" i="25"/>
  <c r="X55" i="25"/>
  <c r="Z55" i="25"/>
  <c r="W56" i="25"/>
  <c r="X56" i="25"/>
  <c r="Z56" i="25"/>
  <c r="W57" i="25"/>
  <c r="X57" i="25"/>
  <c r="W59" i="25"/>
  <c r="X59" i="25"/>
  <c r="Z59" i="25"/>
  <c r="X61" i="25"/>
  <c r="W62" i="25"/>
  <c r="X62" i="25"/>
  <c r="W63" i="25"/>
  <c r="X63" i="25"/>
  <c r="Z63" i="25"/>
  <c r="W64" i="25"/>
  <c r="X64" i="25"/>
  <c r="W65" i="25"/>
  <c r="X65" i="25"/>
  <c r="Z65" i="25"/>
  <c r="W66" i="25"/>
  <c r="X66" i="25"/>
  <c r="X67" i="25"/>
  <c r="W68" i="25"/>
  <c r="X68" i="25"/>
  <c r="W69" i="25"/>
  <c r="X69" i="25"/>
  <c r="X70" i="25"/>
  <c r="W71" i="25"/>
  <c r="X71" i="25"/>
  <c r="Z71" i="25"/>
  <c r="W72" i="25"/>
  <c r="X72" i="25"/>
  <c r="Z72" i="25"/>
  <c r="W73" i="25"/>
  <c r="X73" i="25"/>
  <c r="Z73" i="25"/>
  <c r="W74" i="25"/>
  <c r="X74" i="25"/>
  <c r="Z74" i="25"/>
  <c r="W75" i="25"/>
  <c r="X75" i="25"/>
  <c r="Z75" i="25"/>
  <c r="W76" i="25"/>
  <c r="W77" i="25"/>
  <c r="X77" i="25"/>
  <c r="Z77" i="25"/>
  <c r="X78" i="25"/>
  <c r="X79" i="25"/>
  <c r="W80" i="25"/>
  <c r="X80" i="25"/>
  <c r="Z80" i="25"/>
  <c r="X81" i="25"/>
  <c r="W82" i="25"/>
  <c r="X82" i="25"/>
  <c r="Z82" i="25"/>
  <c r="W83" i="25"/>
  <c r="X83" i="25"/>
  <c r="Z83" i="25"/>
  <c r="W84" i="25"/>
  <c r="X84" i="25"/>
  <c r="W85" i="25"/>
  <c r="X85" i="25"/>
  <c r="Z85" i="25"/>
  <c r="W86" i="25"/>
  <c r="X86" i="25"/>
  <c r="Z86" i="25"/>
  <c r="W87" i="25"/>
  <c r="X87" i="25"/>
  <c r="W88" i="25"/>
  <c r="X88" i="25"/>
  <c r="Z88" i="25"/>
  <c r="W89" i="25"/>
  <c r="X89" i="25"/>
  <c r="W90" i="25"/>
  <c r="X90" i="25"/>
  <c r="Z90" i="25"/>
  <c r="W91" i="25"/>
  <c r="X91" i="25"/>
  <c r="Z91" i="25"/>
  <c r="W92" i="25"/>
  <c r="X92" i="25"/>
  <c r="Z92" i="25"/>
  <c r="W93" i="25"/>
  <c r="X93" i="25"/>
  <c r="W94" i="25"/>
  <c r="X94" i="25"/>
  <c r="Z94" i="25"/>
  <c r="W95" i="25"/>
  <c r="W96" i="25"/>
  <c r="X96" i="25"/>
  <c r="W97" i="25"/>
  <c r="X97" i="25"/>
  <c r="Z97" i="25"/>
  <c r="W98" i="25"/>
  <c r="X98" i="25"/>
  <c r="Z98" i="25"/>
  <c r="W99" i="25"/>
  <c r="X99" i="25"/>
  <c r="Z99" i="25"/>
  <c r="W100" i="25"/>
  <c r="X100" i="25"/>
  <c r="X101" i="25"/>
  <c r="W102" i="25"/>
  <c r="X102" i="25"/>
  <c r="Z102" i="25"/>
  <c r="W103" i="25"/>
  <c r="X103" i="25"/>
  <c r="Z103" i="25"/>
  <c r="X104" i="25"/>
  <c r="W105" i="25"/>
  <c r="X105" i="25"/>
  <c r="Z105" i="25"/>
  <c r="E258" i="11"/>
  <c r="W106" i="25"/>
  <c r="X106" i="25"/>
  <c r="Z106" i="25"/>
  <c r="E259" i="11"/>
  <c r="W108" i="25"/>
  <c r="X108" i="25"/>
  <c r="X109" i="25"/>
  <c r="W110" i="25"/>
  <c r="X110" i="25"/>
  <c r="W111" i="25"/>
  <c r="X111" i="25"/>
  <c r="Z111" i="25"/>
  <c r="W112" i="25"/>
  <c r="X112" i="25"/>
  <c r="E265" i="11"/>
  <c r="X113" i="25"/>
  <c r="W114" i="25"/>
  <c r="X114" i="25"/>
  <c r="W115" i="25"/>
  <c r="X115" i="25"/>
  <c r="Z115" i="25"/>
  <c r="E268" i="11"/>
  <c r="E269" i="11"/>
  <c r="W118" i="25"/>
  <c r="X118" i="25"/>
  <c r="W119" i="25"/>
  <c r="X119" i="25"/>
  <c r="Z119" i="25"/>
  <c r="W120" i="25"/>
  <c r="X120" i="25"/>
  <c r="Z120" i="25"/>
  <c r="W121" i="25"/>
  <c r="X121" i="25"/>
  <c r="Z121" i="25"/>
  <c r="W122" i="25"/>
  <c r="X122" i="25"/>
  <c r="Z122" i="25"/>
  <c r="W123" i="25"/>
  <c r="X123" i="25"/>
  <c r="W124" i="25"/>
  <c r="X124" i="25"/>
  <c r="Z124" i="25"/>
  <c r="W125" i="25"/>
  <c r="X125" i="25"/>
  <c r="Z125" i="25"/>
  <c r="W126" i="25"/>
  <c r="X126" i="25"/>
  <c r="Z126" i="25"/>
  <c r="W127" i="25"/>
  <c r="X127" i="25"/>
  <c r="X128" i="25"/>
  <c r="X129" i="25"/>
  <c r="X130" i="25"/>
  <c r="W131" i="25"/>
  <c r="X131" i="25"/>
  <c r="X132" i="25"/>
  <c r="W133" i="25"/>
  <c r="X133" i="25"/>
  <c r="Z133" i="25"/>
  <c r="W134" i="25"/>
  <c r="X134" i="25"/>
  <c r="Z134" i="25"/>
  <c r="E286" i="11"/>
  <c r="E287" i="11"/>
  <c r="X135" i="25"/>
  <c r="X136" i="25"/>
  <c r="X137" i="25"/>
  <c r="X138" i="25"/>
  <c r="X139" i="25"/>
  <c r="W140" i="25"/>
  <c r="X140" i="25"/>
  <c r="Z140" i="25"/>
  <c r="X141" i="25"/>
  <c r="W142" i="25"/>
  <c r="X142" i="25"/>
  <c r="E295" i="11"/>
  <c r="W144" i="25"/>
  <c r="X144" i="25"/>
  <c r="W145" i="25"/>
  <c r="X145" i="25"/>
  <c r="Z145" i="25"/>
  <c r="W146" i="25"/>
  <c r="X146" i="25"/>
  <c r="E298" i="11"/>
  <c r="E299" i="11"/>
  <c r="W147" i="25"/>
  <c r="X147" i="25"/>
  <c r="Z147" i="25"/>
  <c r="E300" i="11"/>
  <c r="W148" i="25"/>
  <c r="X148" i="25"/>
  <c r="E301" i="11"/>
  <c r="W149" i="25"/>
  <c r="X149" i="25"/>
  <c r="W150" i="25"/>
  <c r="X150" i="25"/>
  <c r="Z150" i="25"/>
  <c r="E302" i="11"/>
  <c r="W151" i="25"/>
  <c r="X151" i="25"/>
  <c r="Z151" i="25"/>
  <c r="W152" i="25"/>
  <c r="X152" i="25"/>
  <c r="Z152" i="25"/>
  <c r="W153" i="25"/>
  <c r="X153" i="25"/>
  <c r="Z153" i="25"/>
  <c r="W154" i="25"/>
  <c r="X154" i="25"/>
  <c r="Z154" i="25"/>
  <c r="W155" i="25"/>
  <c r="X155" i="25"/>
  <c r="Z155" i="25"/>
  <c r="E308" i="11"/>
  <c r="W156" i="25"/>
  <c r="X156" i="25"/>
  <c r="W157" i="25"/>
  <c r="X157" i="25"/>
  <c r="E309" i="11"/>
  <c r="W158" i="25"/>
  <c r="X158" i="25"/>
  <c r="Z158" i="25"/>
  <c r="E310" i="11"/>
  <c r="W159" i="25"/>
  <c r="E311" i="11"/>
  <c r="X159" i="25"/>
  <c r="W160" i="25"/>
  <c r="X160" i="25"/>
  <c r="Z160" i="25"/>
  <c r="E154" i="11"/>
  <c r="E157" i="11"/>
  <c r="E159" i="11"/>
  <c r="E161" i="11"/>
  <c r="E162" i="11"/>
  <c r="E163" i="11"/>
  <c r="E166" i="11"/>
  <c r="E167" i="11"/>
  <c r="E168" i="11"/>
  <c r="E169" i="11"/>
  <c r="E170" i="11"/>
  <c r="E172" i="11"/>
  <c r="E174" i="11"/>
  <c r="E175" i="11"/>
  <c r="E176" i="11"/>
  <c r="E177" i="11"/>
  <c r="E178" i="11"/>
  <c r="E179" i="11"/>
  <c r="E180" i="11"/>
  <c r="E181" i="11"/>
  <c r="E182" i="11"/>
  <c r="E185" i="11"/>
  <c r="E186" i="11"/>
  <c r="E187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3" i="11"/>
  <c r="E204" i="11"/>
  <c r="E206" i="11"/>
  <c r="E207" i="11"/>
  <c r="E208" i="11"/>
  <c r="E209" i="11"/>
  <c r="E211" i="11"/>
  <c r="E214" i="11"/>
  <c r="E215" i="11"/>
  <c r="E216" i="11"/>
  <c r="E217" i="11"/>
  <c r="E218" i="11"/>
  <c r="E219" i="11"/>
  <c r="E220" i="11"/>
  <c r="E221" i="11"/>
  <c r="E223" i="11"/>
  <c r="E224" i="11"/>
  <c r="E225" i="11"/>
  <c r="E226" i="11"/>
  <c r="E227" i="11"/>
  <c r="E229" i="11"/>
  <c r="E232" i="11"/>
  <c r="E234" i="11"/>
  <c r="E235" i="11"/>
  <c r="E236" i="11"/>
  <c r="E237" i="11"/>
  <c r="E238" i="11"/>
  <c r="E239" i="11"/>
  <c r="E240" i="11"/>
  <c r="E241" i="11"/>
  <c r="E242" i="11"/>
  <c r="E243" i="11"/>
  <c r="E244" i="11"/>
  <c r="E246" i="11"/>
  <c r="E248" i="11"/>
  <c r="E249" i="11"/>
  <c r="E250" i="11"/>
  <c r="E251" i="11"/>
  <c r="E252" i="11"/>
  <c r="E253" i="11"/>
  <c r="E254" i="11"/>
  <c r="E255" i="11"/>
  <c r="E257" i="11"/>
  <c r="E260" i="11"/>
  <c r="E261" i="11"/>
  <c r="E262" i="11"/>
  <c r="E263" i="11"/>
  <c r="E264" i="11"/>
  <c r="E266" i="11"/>
  <c r="E267" i="11"/>
  <c r="E270" i="11"/>
  <c r="E271" i="11"/>
  <c r="E272" i="11"/>
  <c r="E273" i="11"/>
  <c r="E274" i="11"/>
  <c r="E276" i="11"/>
  <c r="E277" i="11"/>
  <c r="E278" i="11"/>
  <c r="E283" i="11"/>
  <c r="E285" i="11"/>
  <c r="E290" i="11"/>
  <c r="E291" i="11"/>
  <c r="E292" i="11"/>
  <c r="E293" i="11"/>
  <c r="E296" i="11"/>
  <c r="E297" i="11"/>
  <c r="E303" i="11"/>
  <c r="E304" i="11"/>
  <c r="E305" i="11"/>
  <c r="E306" i="11"/>
  <c r="E307" i="11"/>
  <c r="E312" i="11"/>
  <c r="W68" i="26"/>
  <c r="X68" i="26"/>
  <c r="AA68" i="26"/>
  <c r="K69" i="11"/>
  <c r="W3" i="26"/>
  <c r="X3" i="26"/>
  <c r="Y3" i="26"/>
  <c r="Z3" i="26"/>
  <c r="AA3" i="26"/>
  <c r="K4" i="11"/>
  <c r="W4" i="26"/>
  <c r="X4" i="26"/>
  <c r="Y4" i="26"/>
  <c r="Z4" i="26"/>
  <c r="AA4" i="26"/>
  <c r="K5" i="11"/>
  <c r="W5" i="26"/>
  <c r="X5" i="26"/>
  <c r="Y5" i="26"/>
  <c r="Z5" i="26"/>
  <c r="AA5" i="26"/>
  <c r="K6" i="11"/>
  <c r="W6" i="26"/>
  <c r="X6" i="26"/>
  <c r="Y6" i="26"/>
  <c r="Z6" i="26"/>
  <c r="AA6" i="26"/>
  <c r="K7" i="11"/>
  <c r="W7" i="26"/>
  <c r="X7" i="26"/>
  <c r="Y7" i="26"/>
  <c r="Z7" i="26"/>
  <c r="AA7" i="26"/>
  <c r="K8" i="11"/>
  <c r="W8" i="26"/>
  <c r="X8" i="26"/>
  <c r="Y8" i="26"/>
  <c r="Z8" i="26"/>
  <c r="AA8" i="26"/>
  <c r="K9" i="11"/>
  <c r="W9" i="26"/>
  <c r="X9" i="26"/>
  <c r="Y9" i="26"/>
  <c r="Z9" i="26"/>
  <c r="AA9" i="26"/>
  <c r="K10" i="11"/>
  <c r="W10" i="26"/>
  <c r="X10" i="26"/>
  <c r="Y10" i="26"/>
  <c r="Z10" i="26"/>
  <c r="AA10" i="26"/>
  <c r="K11" i="11"/>
  <c r="W11" i="26"/>
  <c r="X11" i="26"/>
  <c r="Y11" i="26"/>
  <c r="Z11" i="26"/>
  <c r="AA11" i="26"/>
  <c r="K12" i="11"/>
  <c r="W12" i="26"/>
  <c r="X12" i="26"/>
  <c r="Y12" i="26"/>
  <c r="Z12" i="26"/>
  <c r="AA12" i="26"/>
  <c r="K13" i="11"/>
  <c r="W13" i="26"/>
  <c r="X13" i="26"/>
  <c r="Y13" i="26"/>
  <c r="Z13" i="26"/>
  <c r="AA13" i="26"/>
  <c r="K14" i="11"/>
  <c r="W14" i="26"/>
  <c r="X14" i="26"/>
  <c r="Y14" i="26"/>
  <c r="Z14" i="26"/>
  <c r="AA14" i="26"/>
  <c r="K15" i="11"/>
  <c r="W15" i="26"/>
  <c r="X15" i="26"/>
  <c r="Y15" i="26"/>
  <c r="Z15" i="26"/>
  <c r="AA15" i="26"/>
  <c r="K16" i="11"/>
  <c r="W16" i="26"/>
  <c r="X16" i="26"/>
  <c r="Y16" i="26"/>
  <c r="Z16" i="26"/>
  <c r="AA16" i="26"/>
  <c r="K17" i="11"/>
  <c r="W17" i="26"/>
  <c r="X17" i="26"/>
  <c r="Y17" i="26"/>
  <c r="Z17" i="26"/>
  <c r="AA17" i="26"/>
  <c r="K18" i="11"/>
  <c r="W18" i="26"/>
  <c r="X18" i="26"/>
  <c r="Y18" i="26"/>
  <c r="Z18" i="26"/>
  <c r="AA18" i="26"/>
  <c r="K19" i="11"/>
  <c r="W19" i="26"/>
  <c r="X19" i="26"/>
  <c r="Y19" i="26"/>
  <c r="Z19" i="26"/>
  <c r="AA19" i="26"/>
  <c r="K20" i="11"/>
  <c r="W20" i="26"/>
  <c r="X20" i="26"/>
  <c r="Y20" i="26"/>
  <c r="Z20" i="26"/>
  <c r="AA20" i="26"/>
  <c r="K21" i="11"/>
  <c r="W21" i="26"/>
  <c r="X21" i="26"/>
  <c r="Y21" i="26"/>
  <c r="Z21" i="26"/>
  <c r="AA21" i="26"/>
  <c r="K22" i="11"/>
  <c r="W22" i="26"/>
  <c r="X22" i="26"/>
  <c r="Y22" i="26"/>
  <c r="Z22" i="26"/>
  <c r="AA22" i="26"/>
  <c r="K23" i="11"/>
  <c r="W23" i="26"/>
  <c r="X23" i="26"/>
  <c r="AA23" i="26"/>
  <c r="K24" i="11"/>
  <c r="W24" i="26"/>
  <c r="X24" i="26"/>
  <c r="Y24" i="26"/>
  <c r="Z24" i="26"/>
  <c r="AA24" i="26"/>
  <c r="K25" i="11"/>
  <c r="W25" i="26"/>
  <c r="X25" i="26"/>
  <c r="Y25" i="26"/>
  <c r="Z25" i="26"/>
  <c r="AA25" i="26"/>
  <c r="K26" i="11"/>
  <c r="W26" i="26"/>
  <c r="X26" i="26"/>
  <c r="AA26" i="26"/>
  <c r="K27" i="11"/>
  <c r="W27" i="26"/>
  <c r="X27" i="26"/>
  <c r="Y27" i="26"/>
  <c r="Z27" i="26"/>
  <c r="AA27" i="26"/>
  <c r="K28" i="11"/>
  <c r="W28" i="26"/>
  <c r="X28" i="26"/>
  <c r="Y28" i="26"/>
  <c r="Z28" i="26"/>
  <c r="AA28" i="26"/>
  <c r="K29" i="11"/>
  <c r="W29" i="26"/>
  <c r="X29" i="26"/>
  <c r="Y29" i="26"/>
  <c r="Z29" i="26"/>
  <c r="AA29" i="26"/>
  <c r="K30" i="11"/>
  <c r="W30" i="26"/>
  <c r="X30" i="26"/>
  <c r="Y30" i="26"/>
  <c r="Z30" i="26"/>
  <c r="AA30" i="26"/>
  <c r="K31" i="11"/>
  <c r="W31" i="26"/>
  <c r="X31" i="26"/>
  <c r="Y31" i="26"/>
  <c r="Z31" i="26"/>
  <c r="AA31" i="26"/>
  <c r="K32" i="11"/>
  <c r="W32" i="26"/>
  <c r="X32" i="26"/>
  <c r="Y32" i="26"/>
  <c r="Z32" i="26"/>
  <c r="AA32" i="26"/>
  <c r="K33" i="11"/>
  <c r="W33" i="26"/>
  <c r="X33" i="26"/>
  <c r="Y33" i="26"/>
  <c r="Z33" i="26"/>
  <c r="AA33" i="26"/>
  <c r="K34" i="11"/>
  <c r="W34" i="26"/>
  <c r="X34" i="26"/>
  <c r="Y34" i="26"/>
  <c r="Z34" i="26"/>
  <c r="AA34" i="26"/>
  <c r="K35" i="11"/>
  <c r="W35" i="26"/>
  <c r="X35" i="26"/>
  <c r="Y35" i="26"/>
  <c r="Z35" i="26"/>
  <c r="AA35" i="26"/>
  <c r="K36" i="11"/>
  <c r="W36" i="26"/>
  <c r="X36" i="26"/>
  <c r="Y36" i="26"/>
  <c r="Z36" i="26"/>
  <c r="AA36" i="26"/>
  <c r="K37" i="11"/>
  <c r="W37" i="26"/>
  <c r="X37" i="26"/>
  <c r="Y37" i="26"/>
  <c r="AA37" i="26"/>
  <c r="K38" i="11"/>
  <c r="W38" i="26"/>
  <c r="X38" i="26"/>
  <c r="Y38" i="26"/>
  <c r="Z38" i="26"/>
  <c r="AA38" i="26"/>
  <c r="K39" i="11"/>
  <c r="W39" i="26"/>
  <c r="X39" i="26"/>
  <c r="AA39" i="26"/>
  <c r="K40" i="11"/>
  <c r="W40" i="26"/>
  <c r="X40" i="26"/>
  <c r="Y40" i="26"/>
  <c r="Z40" i="26"/>
  <c r="AA40" i="26"/>
  <c r="K41" i="11"/>
  <c r="W41" i="26"/>
  <c r="X41" i="26"/>
  <c r="Y41" i="26"/>
  <c r="AA41" i="26"/>
  <c r="K42" i="11"/>
  <c r="W42" i="26"/>
  <c r="X42" i="26"/>
  <c r="Y42" i="26"/>
  <c r="Z42" i="26"/>
  <c r="AA42" i="26"/>
  <c r="K43" i="11"/>
  <c r="W43" i="26"/>
  <c r="X43" i="26"/>
  <c r="Y43" i="26"/>
  <c r="Z43" i="26"/>
  <c r="AA43" i="26"/>
  <c r="K44" i="11"/>
  <c r="W44" i="26"/>
  <c r="X44" i="26"/>
  <c r="Y44" i="26"/>
  <c r="AA44" i="26"/>
  <c r="K45" i="11"/>
  <c r="W45" i="26"/>
  <c r="X45" i="26"/>
  <c r="Y45" i="26"/>
  <c r="Z45" i="26"/>
  <c r="AA45" i="26"/>
  <c r="K46" i="11"/>
  <c r="W46" i="26"/>
  <c r="X46" i="26"/>
  <c r="Y46" i="26"/>
  <c r="Z46" i="26"/>
  <c r="AA46" i="26"/>
  <c r="K47" i="11"/>
  <c r="W47" i="26"/>
  <c r="X47" i="26"/>
  <c r="Y47" i="26"/>
  <c r="Z47" i="26"/>
  <c r="AA47" i="26"/>
  <c r="K48" i="11"/>
  <c r="W48" i="26"/>
  <c r="X48" i="26"/>
  <c r="Y48" i="26"/>
  <c r="Z48" i="26"/>
  <c r="AA48" i="26"/>
  <c r="K49" i="11"/>
  <c r="W49" i="26"/>
  <c r="X49" i="26"/>
  <c r="Y49" i="26"/>
  <c r="Z49" i="26"/>
  <c r="AA49" i="26"/>
  <c r="K50" i="11"/>
  <c r="W50" i="26"/>
  <c r="X50" i="26"/>
  <c r="Y50" i="26"/>
  <c r="Z50" i="26"/>
  <c r="AA50" i="26"/>
  <c r="K51" i="11"/>
  <c r="W51" i="26"/>
  <c r="X51" i="26"/>
  <c r="Y51" i="26"/>
  <c r="Z51" i="26"/>
  <c r="AA51" i="26"/>
  <c r="K52" i="11"/>
  <c r="W52" i="26"/>
  <c r="X52" i="26"/>
  <c r="Y52" i="26"/>
  <c r="Z52" i="26"/>
  <c r="AA52" i="26"/>
  <c r="K53" i="11"/>
  <c r="W53" i="26"/>
  <c r="X53" i="26"/>
  <c r="Y53" i="26"/>
  <c r="Z53" i="26"/>
  <c r="AA53" i="26"/>
  <c r="K54" i="11"/>
  <c r="W54" i="26"/>
  <c r="X54" i="26"/>
  <c r="Y54" i="26"/>
  <c r="Z54" i="26"/>
  <c r="AA54" i="26"/>
  <c r="K55" i="11"/>
  <c r="W55" i="26"/>
  <c r="X55" i="26"/>
  <c r="Y55" i="26"/>
  <c r="Z55" i="26"/>
  <c r="AA55" i="26"/>
  <c r="K56" i="11"/>
  <c r="W56" i="26"/>
  <c r="X56" i="26"/>
  <c r="Y56" i="26"/>
  <c r="Z56" i="26"/>
  <c r="AA56" i="26"/>
  <c r="K57" i="11"/>
  <c r="W57" i="26"/>
  <c r="X57" i="26"/>
  <c r="Y57" i="26"/>
  <c r="Z57" i="26"/>
  <c r="AA57" i="26"/>
  <c r="K58" i="11"/>
  <c r="AA58" i="26"/>
  <c r="K59" i="11"/>
  <c r="W59" i="26"/>
  <c r="X59" i="26"/>
  <c r="Y59" i="26"/>
  <c r="Z59" i="26"/>
  <c r="AA59" i="26"/>
  <c r="K60" i="11"/>
  <c r="W60" i="26"/>
  <c r="X60" i="26"/>
  <c r="Y60" i="26"/>
  <c r="AA60" i="26"/>
  <c r="K61" i="11"/>
  <c r="W61" i="26"/>
  <c r="X61" i="26"/>
  <c r="Y61" i="26"/>
  <c r="AA61" i="26"/>
  <c r="K62" i="11"/>
  <c r="W62" i="26"/>
  <c r="X62" i="26"/>
  <c r="Y62" i="26"/>
  <c r="Z62" i="26"/>
  <c r="AA62" i="26"/>
  <c r="K63" i="11"/>
  <c r="W63" i="26"/>
  <c r="X63" i="26"/>
  <c r="Y63" i="26"/>
  <c r="Z63" i="26"/>
  <c r="AA63" i="26"/>
  <c r="K64" i="11"/>
  <c r="W64" i="26"/>
  <c r="X64" i="26"/>
  <c r="Y64" i="26"/>
  <c r="Z64" i="26"/>
  <c r="AA64" i="26"/>
  <c r="K65" i="11"/>
  <c r="W65" i="26"/>
  <c r="X65" i="26"/>
  <c r="Y65" i="26"/>
  <c r="Z65" i="26"/>
  <c r="AA65" i="26"/>
  <c r="K66" i="11"/>
  <c r="W66" i="26"/>
  <c r="X66" i="26"/>
  <c r="Y66" i="26"/>
  <c r="AA66" i="26"/>
  <c r="K67" i="11"/>
  <c r="W67" i="26"/>
  <c r="X67" i="26"/>
  <c r="Y67" i="26"/>
  <c r="AA67" i="26"/>
  <c r="K68" i="11"/>
  <c r="C68" i="26"/>
  <c r="B68" i="26"/>
  <c r="C67" i="26"/>
  <c r="B67" i="26"/>
  <c r="C66" i="26"/>
  <c r="B66" i="26"/>
  <c r="C65" i="26"/>
  <c r="B65" i="26"/>
  <c r="C64" i="26"/>
  <c r="B64" i="26"/>
  <c r="C63" i="26"/>
  <c r="B63" i="26"/>
  <c r="C62" i="26"/>
  <c r="B62" i="26"/>
  <c r="C61" i="26"/>
  <c r="B61" i="26"/>
  <c r="C60" i="26"/>
  <c r="B60" i="26"/>
  <c r="C59" i="26"/>
  <c r="B59" i="26"/>
  <c r="C58" i="26"/>
  <c r="B58" i="26"/>
  <c r="C57" i="26"/>
  <c r="B57" i="26"/>
  <c r="C56" i="26"/>
  <c r="B56" i="26"/>
  <c r="C55" i="26"/>
  <c r="B55" i="26"/>
  <c r="C54" i="26"/>
  <c r="B54" i="26"/>
  <c r="C53" i="26"/>
  <c r="B53" i="26"/>
  <c r="C52" i="26"/>
  <c r="B52" i="26"/>
  <c r="C51" i="26"/>
  <c r="B51" i="26"/>
  <c r="C50" i="26"/>
  <c r="B50" i="26"/>
  <c r="C49" i="26"/>
  <c r="B49" i="26"/>
  <c r="C48" i="26"/>
  <c r="B48" i="26"/>
  <c r="C47" i="26"/>
  <c r="B47" i="26"/>
  <c r="C46" i="26"/>
  <c r="B46" i="26"/>
  <c r="C45" i="26"/>
  <c r="B45" i="26"/>
  <c r="C44" i="26"/>
  <c r="B44" i="26"/>
  <c r="C43" i="26"/>
  <c r="B43" i="26"/>
  <c r="C42" i="26"/>
  <c r="B42" i="26"/>
  <c r="C41" i="26"/>
  <c r="B41" i="26"/>
  <c r="C40" i="26"/>
  <c r="B40" i="26"/>
  <c r="C39" i="26"/>
  <c r="B39" i="26"/>
  <c r="C38" i="26"/>
  <c r="B38" i="26"/>
  <c r="C37" i="26"/>
  <c r="B37" i="26"/>
  <c r="C36" i="26"/>
  <c r="B36" i="26"/>
  <c r="C35" i="26"/>
  <c r="B35" i="26"/>
  <c r="C34" i="26"/>
  <c r="B34" i="26"/>
  <c r="C33" i="26"/>
  <c r="B33" i="26"/>
  <c r="C32" i="26"/>
  <c r="B32" i="26"/>
  <c r="C31" i="26"/>
  <c r="B31" i="26"/>
  <c r="C30" i="26"/>
  <c r="B30" i="26"/>
  <c r="C29" i="26"/>
  <c r="B29" i="26"/>
  <c r="C28" i="26"/>
  <c r="B28" i="26"/>
  <c r="C27" i="26"/>
  <c r="B27" i="26"/>
  <c r="C26" i="26"/>
  <c r="B26" i="26"/>
  <c r="C25" i="26"/>
  <c r="B25" i="26"/>
  <c r="C24" i="26"/>
  <c r="B24" i="26"/>
  <c r="C23" i="26"/>
  <c r="B23" i="26"/>
  <c r="C22" i="26"/>
  <c r="B22" i="26"/>
  <c r="C21" i="26"/>
  <c r="B21" i="26"/>
  <c r="C20" i="26"/>
  <c r="B20" i="26"/>
  <c r="C19" i="26"/>
  <c r="B19" i="26"/>
  <c r="C18" i="26"/>
  <c r="B18" i="26"/>
  <c r="C17" i="26"/>
  <c r="B17" i="26"/>
  <c r="C16" i="26"/>
  <c r="B16" i="26"/>
  <c r="C15" i="26"/>
  <c r="B15" i="26"/>
  <c r="C14" i="26"/>
  <c r="B14" i="26"/>
  <c r="C13" i="26"/>
  <c r="B13" i="26"/>
  <c r="C12" i="26"/>
  <c r="B12" i="26"/>
  <c r="C11" i="26"/>
  <c r="B11" i="26"/>
  <c r="C10" i="26"/>
  <c r="B10" i="26"/>
  <c r="C9" i="26"/>
  <c r="B9" i="26"/>
  <c r="C8" i="26"/>
  <c r="B8" i="26"/>
  <c r="C7" i="26"/>
  <c r="B7" i="26"/>
  <c r="C6" i="26"/>
  <c r="B6" i="26"/>
  <c r="C5" i="26"/>
  <c r="B5" i="26"/>
  <c r="C4" i="26"/>
  <c r="B4" i="26"/>
  <c r="C3" i="26"/>
  <c r="B3" i="26"/>
  <c r="C2" i="26"/>
  <c r="B2" i="26"/>
  <c r="C160" i="25"/>
  <c r="B160" i="25"/>
  <c r="C159" i="25"/>
  <c r="B159" i="25"/>
  <c r="C158" i="25"/>
  <c r="B158" i="25"/>
  <c r="C157" i="25"/>
  <c r="B157" i="25"/>
  <c r="C156" i="25"/>
  <c r="B156" i="25"/>
  <c r="C155" i="25"/>
  <c r="B155" i="25"/>
  <c r="C154" i="25"/>
  <c r="B154" i="25"/>
  <c r="C153" i="25"/>
  <c r="B153" i="25"/>
  <c r="C152" i="25"/>
  <c r="B152" i="25"/>
  <c r="C151" i="25"/>
  <c r="B151" i="25"/>
  <c r="C150" i="25"/>
  <c r="B150" i="25"/>
  <c r="C149" i="25"/>
  <c r="B149" i="25"/>
  <c r="C148" i="25"/>
  <c r="B148" i="25"/>
  <c r="C147" i="25"/>
  <c r="B147" i="25"/>
  <c r="C146" i="25"/>
  <c r="B146" i="25"/>
  <c r="C145" i="25"/>
  <c r="B145" i="25"/>
  <c r="C144" i="25"/>
  <c r="B144" i="25"/>
  <c r="C143" i="25"/>
  <c r="B143" i="25"/>
  <c r="C142" i="25"/>
  <c r="B142" i="25"/>
  <c r="C141" i="25"/>
  <c r="B141" i="25"/>
  <c r="C140" i="25"/>
  <c r="B140" i="25"/>
  <c r="C139" i="25"/>
  <c r="B139" i="25"/>
  <c r="C138" i="25"/>
  <c r="B138" i="25"/>
  <c r="C137" i="25"/>
  <c r="B137" i="25"/>
  <c r="C136" i="25"/>
  <c r="B136" i="25"/>
  <c r="C135" i="25"/>
  <c r="B135" i="25"/>
  <c r="C134" i="25"/>
  <c r="B134" i="25"/>
  <c r="C133" i="25"/>
  <c r="B133" i="25"/>
  <c r="C132" i="25"/>
  <c r="B132" i="25"/>
  <c r="C131" i="25"/>
  <c r="B131" i="25"/>
  <c r="C130" i="25"/>
  <c r="B130" i="25"/>
  <c r="C129" i="25"/>
  <c r="B129" i="25"/>
  <c r="C128" i="25"/>
  <c r="B128" i="25"/>
  <c r="C127" i="25"/>
  <c r="B127" i="25"/>
  <c r="C126" i="25"/>
  <c r="B126" i="25"/>
  <c r="C125" i="25"/>
  <c r="B125" i="25"/>
  <c r="C124" i="25"/>
  <c r="B124" i="25"/>
  <c r="C123" i="25"/>
  <c r="B123" i="25"/>
  <c r="C122" i="25"/>
  <c r="B122" i="25"/>
  <c r="C121" i="25"/>
  <c r="B121" i="25"/>
  <c r="C120" i="25"/>
  <c r="B120" i="25"/>
  <c r="C119" i="25"/>
  <c r="B119" i="25"/>
  <c r="C118" i="25"/>
  <c r="B118" i="25"/>
  <c r="C117" i="25"/>
  <c r="B117" i="25"/>
  <c r="C116" i="25"/>
  <c r="B116" i="25"/>
  <c r="C115" i="25"/>
  <c r="B115" i="25"/>
  <c r="C114" i="25"/>
  <c r="B114" i="25"/>
  <c r="C113" i="25"/>
  <c r="B113" i="25"/>
  <c r="C112" i="25"/>
  <c r="B112" i="25"/>
  <c r="C111" i="25"/>
  <c r="B111" i="25"/>
  <c r="C110" i="25"/>
  <c r="B110" i="25"/>
  <c r="C109" i="25"/>
  <c r="B109" i="25"/>
  <c r="C108" i="25"/>
  <c r="B108" i="25"/>
  <c r="C107" i="25"/>
  <c r="B107" i="25"/>
  <c r="C106" i="25"/>
  <c r="B106" i="25"/>
  <c r="C105" i="25"/>
  <c r="B105" i="25"/>
  <c r="C104" i="25"/>
  <c r="B104" i="25"/>
  <c r="C103" i="25"/>
  <c r="B103" i="25"/>
  <c r="C102" i="25"/>
  <c r="B102" i="25"/>
  <c r="C101" i="25"/>
  <c r="B101" i="25"/>
  <c r="C100" i="25"/>
  <c r="B100" i="25"/>
  <c r="C99" i="25"/>
  <c r="B99" i="25"/>
  <c r="C98" i="25"/>
  <c r="B98" i="25"/>
  <c r="C97" i="25"/>
  <c r="B97" i="25"/>
  <c r="C96" i="25"/>
  <c r="B96" i="25"/>
  <c r="C95" i="25"/>
  <c r="B95" i="25"/>
  <c r="C94" i="25"/>
  <c r="B94" i="25"/>
  <c r="C93" i="25"/>
  <c r="B93" i="25"/>
  <c r="C92" i="25"/>
  <c r="B92" i="25"/>
  <c r="C91" i="25"/>
  <c r="B91" i="25"/>
  <c r="C90" i="25"/>
  <c r="B90" i="25"/>
  <c r="C89" i="25"/>
  <c r="B89" i="25"/>
  <c r="C88" i="25"/>
  <c r="B88" i="25"/>
  <c r="C87" i="25"/>
  <c r="B87" i="25"/>
  <c r="C86" i="25"/>
  <c r="B86" i="25"/>
  <c r="C85" i="25"/>
  <c r="B85" i="25"/>
  <c r="C84" i="25"/>
  <c r="B84" i="25"/>
  <c r="C83" i="25"/>
  <c r="B83" i="25"/>
  <c r="C82" i="25"/>
  <c r="B82" i="25"/>
  <c r="C81" i="25"/>
  <c r="B81" i="25"/>
  <c r="C80" i="25"/>
  <c r="B80" i="25"/>
  <c r="C79" i="25"/>
  <c r="B79" i="25"/>
  <c r="C78" i="25"/>
  <c r="B78" i="25"/>
  <c r="C77" i="25"/>
  <c r="B77" i="25"/>
  <c r="C76" i="25"/>
  <c r="B76" i="25"/>
  <c r="C75" i="25"/>
  <c r="B75" i="25"/>
  <c r="C74" i="25"/>
  <c r="B74" i="25"/>
  <c r="C73" i="25"/>
  <c r="B73" i="25"/>
  <c r="C72" i="25"/>
  <c r="B72" i="25"/>
  <c r="C71" i="25"/>
  <c r="B71" i="25"/>
  <c r="C70" i="25"/>
  <c r="B70" i="25"/>
  <c r="C69" i="25"/>
  <c r="B69" i="25"/>
  <c r="C68" i="25"/>
  <c r="B68" i="25"/>
  <c r="C67" i="25"/>
  <c r="B67" i="25"/>
  <c r="C66" i="25"/>
  <c r="B66" i="25"/>
  <c r="C65" i="25"/>
  <c r="B65" i="25"/>
  <c r="C64" i="25"/>
  <c r="B64" i="25"/>
  <c r="C63" i="25"/>
  <c r="B63" i="25"/>
  <c r="C62" i="25"/>
  <c r="B62" i="25"/>
  <c r="C61" i="25"/>
  <c r="B61" i="25"/>
  <c r="C60" i="25"/>
  <c r="B60" i="25"/>
  <c r="C59" i="25"/>
  <c r="B59" i="25"/>
  <c r="C58" i="25"/>
  <c r="B58" i="25"/>
  <c r="C57" i="25"/>
  <c r="B57" i="25"/>
  <c r="C56" i="25"/>
  <c r="B56" i="25"/>
  <c r="C55" i="25"/>
  <c r="B55" i="25"/>
  <c r="C54" i="25"/>
  <c r="B54" i="25"/>
  <c r="C53" i="25"/>
  <c r="B53" i="25"/>
  <c r="C52" i="25"/>
  <c r="B52" i="25"/>
  <c r="C51" i="25"/>
  <c r="B51" i="25"/>
  <c r="C50" i="25"/>
  <c r="B50" i="25"/>
  <c r="C49" i="25"/>
  <c r="B49" i="25"/>
  <c r="C48" i="25"/>
  <c r="B48" i="25"/>
  <c r="C47" i="25"/>
  <c r="B47" i="25"/>
  <c r="C46" i="25"/>
  <c r="B46" i="25"/>
  <c r="C45" i="25"/>
  <c r="B45" i="25"/>
  <c r="C44" i="25"/>
  <c r="B44" i="25"/>
  <c r="C43" i="25"/>
  <c r="B43" i="25"/>
  <c r="C42" i="25"/>
  <c r="B42" i="25"/>
  <c r="C41" i="25"/>
  <c r="B41" i="25"/>
  <c r="C40" i="25"/>
  <c r="B40" i="25"/>
  <c r="C39" i="25"/>
  <c r="B39" i="25"/>
  <c r="C38" i="25"/>
  <c r="B38" i="25"/>
  <c r="C37" i="25"/>
  <c r="B37" i="25"/>
  <c r="C36" i="25"/>
  <c r="B36" i="25"/>
  <c r="C35" i="25"/>
  <c r="B35" i="25"/>
  <c r="C34" i="25"/>
  <c r="B34" i="25"/>
  <c r="C33" i="25"/>
  <c r="B33" i="25"/>
  <c r="C32" i="25"/>
  <c r="B32" i="25"/>
  <c r="C31" i="25"/>
  <c r="B31" i="25"/>
  <c r="C30" i="25"/>
  <c r="B30" i="25"/>
  <c r="C29" i="25"/>
  <c r="B29" i="25"/>
  <c r="C28" i="25"/>
  <c r="B28" i="25"/>
  <c r="C27" i="25"/>
  <c r="B27" i="25"/>
  <c r="C26" i="25"/>
  <c r="B26" i="25"/>
  <c r="C25" i="25"/>
  <c r="B25" i="25"/>
  <c r="C24" i="25"/>
  <c r="B24" i="25"/>
  <c r="C23" i="25"/>
  <c r="B23" i="25"/>
  <c r="C22" i="25"/>
  <c r="B22" i="25"/>
  <c r="C21" i="25"/>
  <c r="B21" i="25"/>
  <c r="C20" i="25"/>
  <c r="B20" i="25"/>
  <c r="C19" i="25"/>
  <c r="B19" i="25"/>
  <c r="C18" i="25"/>
  <c r="B18" i="25"/>
  <c r="C17" i="25"/>
  <c r="B17" i="25"/>
  <c r="C16" i="25"/>
  <c r="B16" i="25"/>
  <c r="C15" i="25"/>
  <c r="B15" i="25"/>
  <c r="C14" i="25"/>
  <c r="B14" i="25"/>
  <c r="C13" i="25"/>
  <c r="B13" i="25"/>
  <c r="C12" i="25"/>
  <c r="B12" i="25"/>
  <c r="C11" i="25"/>
  <c r="B11" i="25"/>
  <c r="C10" i="25"/>
  <c r="B10" i="25"/>
  <c r="C9" i="25"/>
  <c r="B9" i="25"/>
  <c r="C8" i="25"/>
  <c r="B8" i="25"/>
  <c r="C7" i="25"/>
  <c r="B7" i="25"/>
  <c r="C6" i="25"/>
  <c r="B6" i="25"/>
  <c r="C5" i="25"/>
  <c r="B5" i="25"/>
  <c r="C4" i="25"/>
  <c r="B4" i="25"/>
  <c r="C3" i="25"/>
  <c r="B3" i="25"/>
  <c r="C2" i="25"/>
  <c r="B2" i="25"/>
  <c r="C98" i="24"/>
  <c r="B98" i="24"/>
  <c r="AG97" i="24"/>
  <c r="AC97" i="24"/>
  <c r="U97" i="24"/>
  <c r="L97" i="24"/>
  <c r="D97" i="24"/>
  <c r="C97" i="24"/>
  <c r="B97" i="24"/>
  <c r="C96" i="24"/>
  <c r="B96" i="24"/>
  <c r="C95" i="24"/>
  <c r="B95" i="24"/>
  <c r="C94" i="24"/>
  <c r="B94" i="24"/>
  <c r="C93" i="24"/>
  <c r="B93" i="24"/>
  <c r="C92" i="24"/>
  <c r="B92" i="24"/>
  <c r="C91" i="24"/>
  <c r="B91" i="24"/>
  <c r="C90" i="24"/>
  <c r="B90" i="24"/>
  <c r="C89" i="24"/>
  <c r="B89" i="24"/>
  <c r="C88" i="24"/>
  <c r="B88" i="24"/>
  <c r="C87" i="24"/>
  <c r="B87" i="24"/>
  <c r="C86" i="24"/>
  <c r="B86" i="24"/>
  <c r="C85" i="24"/>
  <c r="B85" i="24"/>
  <c r="C84" i="24"/>
  <c r="B84" i="24"/>
  <c r="C83" i="24"/>
  <c r="B83" i="24"/>
  <c r="C82" i="24"/>
  <c r="B82" i="24"/>
  <c r="C81" i="24"/>
  <c r="B81" i="24"/>
  <c r="C80" i="24"/>
  <c r="B80" i="24"/>
  <c r="C79" i="24"/>
  <c r="B79" i="24"/>
  <c r="C78" i="24"/>
  <c r="B78" i="24"/>
  <c r="C77" i="24"/>
  <c r="B77" i="24"/>
  <c r="C76" i="24"/>
  <c r="B76" i="24"/>
  <c r="C75" i="24"/>
  <c r="B75" i="24"/>
  <c r="C74" i="24"/>
  <c r="B74" i="24"/>
  <c r="C73" i="24"/>
  <c r="B73" i="24"/>
  <c r="C72" i="24"/>
  <c r="B72" i="24"/>
  <c r="C71" i="24"/>
  <c r="B71" i="24"/>
  <c r="C70" i="24"/>
  <c r="B70" i="24"/>
  <c r="C69" i="24"/>
  <c r="B69" i="24"/>
  <c r="C68" i="24"/>
  <c r="B68" i="24"/>
  <c r="C67" i="24"/>
  <c r="B67" i="24"/>
  <c r="C66" i="24"/>
  <c r="B66" i="24"/>
  <c r="C65" i="24"/>
  <c r="B65" i="24"/>
  <c r="C64" i="24"/>
  <c r="B64" i="24"/>
  <c r="C63" i="24"/>
  <c r="B63" i="24"/>
  <c r="C62" i="24"/>
  <c r="B62" i="24"/>
  <c r="C61" i="24"/>
  <c r="B61" i="24"/>
  <c r="C60" i="24"/>
  <c r="B60" i="24"/>
  <c r="C59" i="24"/>
  <c r="B59" i="24"/>
  <c r="C58" i="24"/>
  <c r="B58" i="24"/>
  <c r="C57" i="24"/>
  <c r="B57" i="24"/>
  <c r="C56" i="24"/>
  <c r="B56" i="24"/>
  <c r="C55" i="24"/>
  <c r="B55" i="24"/>
  <c r="C54" i="24"/>
  <c r="B54" i="24"/>
  <c r="C53" i="24"/>
  <c r="B53" i="24"/>
  <c r="C52" i="24"/>
  <c r="B52" i="24"/>
  <c r="C51" i="24"/>
  <c r="B51" i="24"/>
  <c r="C50" i="24"/>
  <c r="B50" i="24"/>
  <c r="C49" i="24"/>
  <c r="B49" i="24"/>
  <c r="C48" i="24"/>
  <c r="B48" i="24"/>
  <c r="C47" i="24"/>
  <c r="B47" i="24"/>
  <c r="C46" i="24"/>
  <c r="B46" i="24"/>
  <c r="C45" i="24"/>
  <c r="B45" i="24"/>
  <c r="C44" i="24"/>
  <c r="B44" i="24"/>
  <c r="C43" i="24"/>
  <c r="B43" i="24"/>
  <c r="C42" i="24"/>
  <c r="B42" i="24"/>
  <c r="C41" i="24"/>
  <c r="B41" i="24"/>
  <c r="C40" i="24"/>
  <c r="B40" i="24"/>
  <c r="C39" i="24"/>
  <c r="B39" i="24"/>
  <c r="C38" i="24"/>
  <c r="B38" i="24"/>
  <c r="C37" i="24"/>
  <c r="B37" i="24"/>
  <c r="C36" i="24"/>
  <c r="B36" i="24"/>
  <c r="C35" i="24"/>
  <c r="B35" i="24"/>
  <c r="C34" i="24"/>
  <c r="B34" i="24"/>
  <c r="C33" i="24"/>
  <c r="B33" i="24"/>
  <c r="C32" i="24"/>
  <c r="B32" i="24"/>
  <c r="C31" i="24"/>
  <c r="B31" i="24"/>
  <c r="C30" i="24"/>
  <c r="B30" i="24"/>
  <c r="C29" i="24"/>
  <c r="B29" i="24"/>
  <c r="C28" i="24"/>
  <c r="B28" i="24"/>
  <c r="C27" i="24"/>
  <c r="B27" i="24"/>
  <c r="C26" i="24"/>
  <c r="B26" i="24"/>
  <c r="C25" i="24"/>
  <c r="B25" i="24"/>
  <c r="C24" i="24"/>
  <c r="B24" i="24"/>
  <c r="C23" i="24"/>
  <c r="B23" i="24"/>
  <c r="C22" i="24"/>
  <c r="B22" i="24"/>
  <c r="C21" i="24"/>
  <c r="B21" i="24"/>
  <c r="C20" i="24"/>
  <c r="B20" i="24"/>
  <c r="C19" i="24"/>
  <c r="B19" i="24"/>
  <c r="C18" i="24"/>
  <c r="B18" i="24"/>
  <c r="C17" i="24"/>
  <c r="B17" i="24"/>
  <c r="C16" i="24"/>
  <c r="B16" i="24"/>
  <c r="C15" i="24"/>
  <c r="B15" i="24"/>
  <c r="C14" i="24"/>
  <c r="B14" i="24"/>
  <c r="C13" i="24"/>
  <c r="B13" i="24"/>
  <c r="C12" i="24"/>
  <c r="B12" i="24"/>
  <c r="C11" i="24"/>
  <c r="B11" i="24"/>
  <c r="C10" i="24"/>
  <c r="B10" i="24"/>
  <c r="C9" i="24"/>
  <c r="B9" i="24"/>
  <c r="C8" i="24"/>
  <c r="B8" i="24"/>
  <c r="C7" i="24"/>
  <c r="B7" i="24"/>
  <c r="C6" i="24"/>
  <c r="B6" i="24"/>
  <c r="C5" i="24"/>
  <c r="B5" i="24"/>
  <c r="C4" i="24"/>
  <c r="B4" i="24"/>
  <c r="C3" i="24"/>
  <c r="B3" i="24"/>
  <c r="C2" i="24"/>
  <c r="B2" i="24"/>
  <c r="E1205" i="11"/>
  <c r="J1093" i="11"/>
  <c r="E143" i="7"/>
  <c r="E144" i="7"/>
  <c r="E186" i="7"/>
  <c r="E196" i="7"/>
  <c r="E288" i="7"/>
  <c r="E294" i="7"/>
  <c r="E295" i="7"/>
  <c r="E297" i="7"/>
  <c r="E298" i="7"/>
  <c r="C52" i="3"/>
  <c r="B52" i="3"/>
  <c r="C2" i="16"/>
  <c r="E70" i="16"/>
  <c r="B971" i="16"/>
  <c r="C971" i="16"/>
  <c r="B972" i="16"/>
  <c r="C972" i="16"/>
  <c r="B973" i="16"/>
  <c r="C973" i="16"/>
  <c r="B974" i="16"/>
  <c r="C974" i="16"/>
  <c r="B975" i="16"/>
  <c r="C975" i="16"/>
  <c r="B976" i="16"/>
  <c r="C976" i="16"/>
  <c r="B977" i="16"/>
  <c r="C977" i="16"/>
  <c r="B978" i="16"/>
  <c r="C978" i="16"/>
  <c r="B979" i="16"/>
  <c r="C979" i="16"/>
  <c r="B980" i="16"/>
  <c r="C980" i="16"/>
  <c r="B981" i="16"/>
  <c r="C981" i="16"/>
  <c r="B982" i="16"/>
  <c r="C982" i="16"/>
  <c r="C60" i="16"/>
  <c r="B60" i="16"/>
  <c r="C926" i="16"/>
  <c r="C821" i="16"/>
  <c r="C725" i="16"/>
  <c r="C678" i="16"/>
  <c r="C577" i="16"/>
  <c r="C494" i="16"/>
  <c r="C429" i="16"/>
  <c r="C308" i="16"/>
  <c r="C146" i="16"/>
  <c r="C70" i="16"/>
  <c r="C1026" i="16"/>
  <c r="B1026" i="16"/>
  <c r="C1025" i="16"/>
  <c r="B1025" i="16"/>
  <c r="C1024" i="16"/>
  <c r="B1024" i="16"/>
  <c r="C1023" i="16"/>
  <c r="B1023" i="16"/>
  <c r="C1022" i="16"/>
  <c r="B1022" i="16"/>
  <c r="C1021" i="16"/>
  <c r="B1021" i="16"/>
  <c r="C1020" i="16"/>
  <c r="B1020" i="16"/>
  <c r="C1019" i="16"/>
  <c r="B1019" i="16"/>
  <c r="C1018" i="16"/>
  <c r="B1018" i="16"/>
  <c r="C1017" i="16"/>
  <c r="B1017" i="16"/>
  <c r="C1016" i="16"/>
  <c r="B1016" i="16"/>
  <c r="C1015" i="16"/>
  <c r="B1015" i="16"/>
  <c r="C1014" i="16"/>
  <c r="B1014" i="16"/>
  <c r="C1013" i="16"/>
  <c r="B1013" i="16"/>
  <c r="C1012" i="16"/>
  <c r="B1012" i="16"/>
  <c r="C1011" i="16"/>
  <c r="B1011" i="16"/>
  <c r="C1010" i="16"/>
  <c r="B1010" i="16"/>
  <c r="C1009" i="16"/>
  <c r="B1009" i="16"/>
  <c r="C1008" i="16"/>
  <c r="B1008" i="16"/>
  <c r="C1007" i="16"/>
  <c r="B1007" i="16"/>
  <c r="C1006" i="16"/>
  <c r="B1006" i="16"/>
  <c r="C1005" i="16"/>
  <c r="B1005" i="16"/>
  <c r="C1004" i="16"/>
  <c r="B1004" i="16"/>
  <c r="C1003" i="16"/>
  <c r="B1003" i="16"/>
  <c r="C1002" i="16"/>
  <c r="B1002" i="16"/>
  <c r="C1001" i="16"/>
  <c r="B1001" i="16"/>
  <c r="C1000" i="16"/>
  <c r="B1000" i="16"/>
  <c r="C999" i="16"/>
  <c r="B999" i="16"/>
  <c r="C998" i="16"/>
  <c r="B998" i="16"/>
  <c r="C997" i="16"/>
  <c r="B997" i="16"/>
  <c r="C996" i="16"/>
  <c r="B996" i="16"/>
  <c r="C995" i="16"/>
  <c r="B995" i="16"/>
  <c r="C994" i="16"/>
  <c r="B994" i="16"/>
  <c r="C993" i="16"/>
  <c r="B993" i="16"/>
  <c r="C992" i="16"/>
  <c r="B992" i="16"/>
  <c r="C991" i="16"/>
  <c r="B991" i="16"/>
  <c r="C990" i="16"/>
  <c r="B990" i="16"/>
  <c r="C989" i="16"/>
  <c r="B989" i="16"/>
  <c r="C988" i="16"/>
  <c r="B988" i="16"/>
  <c r="C987" i="16"/>
  <c r="B987" i="16"/>
  <c r="C986" i="16"/>
  <c r="B986" i="16"/>
  <c r="C985" i="16"/>
  <c r="B985" i="16"/>
  <c r="C984" i="16"/>
  <c r="B984" i="16"/>
  <c r="C983" i="16"/>
  <c r="B983" i="16"/>
  <c r="C970" i="16"/>
  <c r="B970" i="16"/>
  <c r="C969" i="16"/>
  <c r="B969" i="16"/>
  <c r="C968" i="16"/>
  <c r="B968" i="16"/>
  <c r="C967" i="16"/>
  <c r="B967" i="16"/>
  <c r="C966" i="16"/>
  <c r="B966" i="16"/>
  <c r="C965" i="16"/>
  <c r="B965" i="16"/>
  <c r="C964" i="16"/>
  <c r="B964" i="16"/>
  <c r="C963" i="16"/>
  <c r="B963" i="16"/>
  <c r="C962" i="16"/>
  <c r="B962" i="16"/>
  <c r="C961" i="16"/>
  <c r="B961" i="16"/>
  <c r="C960" i="16"/>
  <c r="B960" i="16"/>
  <c r="C959" i="16"/>
  <c r="B959" i="16"/>
  <c r="C958" i="16"/>
  <c r="B958" i="16"/>
  <c r="C957" i="16"/>
  <c r="B957" i="16"/>
  <c r="C956" i="16"/>
  <c r="B956" i="16"/>
  <c r="C955" i="16"/>
  <c r="B955" i="16"/>
  <c r="C954" i="16"/>
  <c r="B954" i="16"/>
  <c r="C953" i="16"/>
  <c r="B953" i="16"/>
  <c r="C952" i="16"/>
  <c r="B952" i="16"/>
  <c r="C951" i="16"/>
  <c r="B951" i="16"/>
  <c r="C950" i="16"/>
  <c r="B950" i="16"/>
  <c r="C949" i="16"/>
  <c r="B949" i="16"/>
  <c r="C948" i="16"/>
  <c r="B948" i="16"/>
  <c r="C947" i="16"/>
  <c r="B947" i="16"/>
  <c r="C946" i="16"/>
  <c r="B946" i="16"/>
  <c r="C945" i="16"/>
  <c r="B945" i="16"/>
  <c r="C944" i="16"/>
  <c r="B944" i="16"/>
  <c r="C943" i="16"/>
  <c r="B943" i="16"/>
  <c r="C942" i="16"/>
  <c r="B942" i="16"/>
  <c r="C941" i="16"/>
  <c r="B941" i="16"/>
  <c r="C940" i="16"/>
  <c r="B940" i="16"/>
  <c r="C939" i="16"/>
  <c r="B939" i="16"/>
  <c r="C938" i="16"/>
  <c r="B938" i="16"/>
  <c r="C937" i="16"/>
  <c r="B937" i="16"/>
  <c r="C936" i="16"/>
  <c r="B936" i="16"/>
  <c r="C935" i="16"/>
  <c r="B935" i="16"/>
  <c r="C934" i="16"/>
  <c r="B934" i="16"/>
  <c r="C933" i="16"/>
  <c r="B933" i="16"/>
  <c r="C932" i="16"/>
  <c r="B932" i="16"/>
  <c r="C931" i="16"/>
  <c r="B931" i="16"/>
  <c r="C930" i="16"/>
  <c r="B930" i="16"/>
  <c r="C929" i="16"/>
  <c r="B929" i="16"/>
  <c r="C928" i="16"/>
  <c r="B928" i="16"/>
  <c r="C927" i="16"/>
  <c r="B927" i="16"/>
  <c r="C925" i="16"/>
  <c r="B925" i="16"/>
  <c r="C924" i="16"/>
  <c r="B924" i="16"/>
  <c r="C923" i="16"/>
  <c r="B923" i="16"/>
  <c r="C922" i="16"/>
  <c r="B922" i="16"/>
  <c r="C921" i="16"/>
  <c r="B921" i="16"/>
  <c r="C920" i="16"/>
  <c r="B920" i="16"/>
  <c r="C919" i="16"/>
  <c r="B919" i="16"/>
  <c r="C918" i="16"/>
  <c r="B918" i="16"/>
  <c r="C917" i="16"/>
  <c r="B917" i="16"/>
  <c r="C916" i="16"/>
  <c r="B916" i="16"/>
  <c r="C915" i="16"/>
  <c r="B915" i="16"/>
  <c r="C914" i="16"/>
  <c r="B914" i="16"/>
  <c r="C913" i="16"/>
  <c r="B913" i="16"/>
  <c r="C912" i="16"/>
  <c r="B912" i="16"/>
  <c r="C911" i="16"/>
  <c r="B911" i="16"/>
  <c r="C910" i="16"/>
  <c r="B910" i="16"/>
  <c r="C909" i="16"/>
  <c r="B909" i="16"/>
  <c r="C908" i="16"/>
  <c r="B908" i="16"/>
  <c r="C907" i="16"/>
  <c r="B907" i="16"/>
  <c r="C906" i="16"/>
  <c r="B906" i="16"/>
  <c r="C905" i="16"/>
  <c r="B905" i="16"/>
  <c r="C904" i="16"/>
  <c r="B904" i="16"/>
  <c r="C903" i="16"/>
  <c r="B903" i="16"/>
  <c r="C902" i="16"/>
  <c r="B902" i="16"/>
  <c r="C901" i="16"/>
  <c r="B901" i="16"/>
  <c r="C900" i="16"/>
  <c r="B900" i="16"/>
  <c r="C899" i="16"/>
  <c r="B899" i="16"/>
  <c r="C898" i="16"/>
  <c r="B898" i="16"/>
  <c r="C897" i="16"/>
  <c r="B897" i="16"/>
  <c r="C896" i="16"/>
  <c r="B896" i="16"/>
  <c r="C895" i="16"/>
  <c r="B895" i="16"/>
  <c r="C894" i="16"/>
  <c r="B894" i="16"/>
  <c r="C893" i="16"/>
  <c r="B893" i="16"/>
  <c r="C892" i="16"/>
  <c r="B892" i="16"/>
  <c r="C891" i="16"/>
  <c r="B891" i="16"/>
  <c r="C890" i="16"/>
  <c r="B890" i="16"/>
  <c r="C889" i="16"/>
  <c r="B889" i="16"/>
  <c r="C888" i="16"/>
  <c r="B888" i="16"/>
  <c r="C887" i="16"/>
  <c r="B887" i="16"/>
  <c r="C883" i="16"/>
  <c r="B883" i="16"/>
  <c r="C886" i="16"/>
  <c r="B886" i="16"/>
  <c r="C885" i="16"/>
  <c r="B885" i="16"/>
  <c r="C884" i="16"/>
  <c r="B884" i="16"/>
  <c r="C882" i="16"/>
  <c r="B882" i="16"/>
  <c r="C881" i="16"/>
  <c r="B881" i="16"/>
  <c r="C880" i="16"/>
  <c r="B880" i="16"/>
  <c r="C879" i="16"/>
  <c r="B879" i="16"/>
  <c r="C878" i="16"/>
  <c r="B878" i="16"/>
  <c r="C877" i="16"/>
  <c r="B877" i="16"/>
  <c r="C876" i="16"/>
  <c r="B876" i="16"/>
  <c r="C875" i="16"/>
  <c r="B875" i="16"/>
  <c r="C874" i="16"/>
  <c r="B874" i="16"/>
  <c r="C873" i="16"/>
  <c r="B873" i="16"/>
  <c r="C872" i="16"/>
  <c r="B872" i="16"/>
  <c r="C871" i="16"/>
  <c r="B871" i="16"/>
  <c r="C870" i="16"/>
  <c r="B870" i="16"/>
  <c r="C869" i="16"/>
  <c r="B869" i="16"/>
  <c r="C868" i="16"/>
  <c r="B868" i="16"/>
  <c r="C867" i="16"/>
  <c r="B867" i="16"/>
  <c r="C866" i="16"/>
  <c r="B866" i="16"/>
  <c r="C865" i="16"/>
  <c r="B865" i="16"/>
  <c r="C864" i="16"/>
  <c r="B864" i="16"/>
  <c r="C863" i="16"/>
  <c r="B863" i="16"/>
  <c r="C862" i="16"/>
  <c r="B862" i="16"/>
  <c r="C861" i="16"/>
  <c r="B861" i="16"/>
  <c r="C860" i="16"/>
  <c r="B860" i="16"/>
  <c r="C859" i="16"/>
  <c r="B859" i="16"/>
  <c r="C858" i="16"/>
  <c r="B858" i="16"/>
  <c r="C857" i="16"/>
  <c r="B857" i="16"/>
  <c r="C856" i="16"/>
  <c r="B856" i="16"/>
  <c r="C855" i="16"/>
  <c r="B855" i="16"/>
  <c r="C854" i="16"/>
  <c r="B854" i="16"/>
  <c r="C853" i="16"/>
  <c r="B853" i="16"/>
  <c r="C852" i="16"/>
  <c r="B852" i="16"/>
  <c r="C851" i="16"/>
  <c r="B851" i="16"/>
  <c r="C850" i="16"/>
  <c r="B850" i="16"/>
  <c r="C849" i="16"/>
  <c r="B849" i="16"/>
  <c r="C848" i="16"/>
  <c r="B848" i="16"/>
  <c r="C847" i="16"/>
  <c r="B847" i="16"/>
  <c r="C846" i="16"/>
  <c r="B846" i="16"/>
  <c r="C845" i="16"/>
  <c r="B845" i="16"/>
  <c r="C844" i="16"/>
  <c r="B844" i="16"/>
  <c r="C843" i="16"/>
  <c r="B843" i="16"/>
  <c r="C842" i="16"/>
  <c r="B842" i="16"/>
  <c r="C841" i="16"/>
  <c r="B841" i="16"/>
  <c r="C840" i="16"/>
  <c r="B840" i="16"/>
  <c r="C839" i="16"/>
  <c r="B839" i="16"/>
  <c r="C838" i="16"/>
  <c r="B838" i="16"/>
  <c r="C837" i="16"/>
  <c r="B837" i="16"/>
  <c r="C836" i="16"/>
  <c r="B836" i="16"/>
  <c r="C835" i="16"/>
  <c r="B835" i="16"/>
  <c r="C834" i="16"/>
  <c r="B834" i="16"/>
  <c r="C833" i="16"/>
  <c r="B833" i="16"/>
  <c r="C832" i="16"/>
  <c r="B832" i="16"/>
  <c r="C831" i="16"/>
  <c r="B831" i="16"/>
  <c r="C830" i="16"/>
  <c r="B830" i="16"/>
  <c r="C829" i="16"/>
  <c r="B829" i="16"/>
  <c r="C828" i="16"/>
  <c r="B828" i="16"/>
  <c r="C827" i="16"/>
  <c r="B827" i="16"/>
  <c r="C826" i="16"/>
  <c r="B826" i="16"/>
  <c r="C825" i="16"/>
  <c r="B825" i="16"/>
  <c r="C824" i="16"/>
  <c r="B824" i="16"/>
  <c r="C823" i="16"/>
  <c r="B823" i="16"/>
  <c r="C822" i="16"/>
  <c r="B822" i="16"/>
  <c r="C1048" i="10"/>
  <c r="C533" i="17"/>
  <c r="B533" i="17"/>
  <c r="C532" i="17"/>
  <c r="B532" i="17"/>
  <c r="C531" i="17"/>
  <c r="B531" i="17"/>
  <c r="C530" i="17"/>
  <c r="B530" i="17"/>
  <c r="C529" i="17"/>
  <c r="B529" i="17"/>
  <c r="C528" i="17"/>
  <c r="B528" i="17"/>
  <c r="C527" i="17"/>
  <c r="B527" i="17"/>
  <c r="C526" i="17"/>
  <c r="B526" i="17"/>
  <c r="C525" i="17"/>
  <c r="B525" i="17"/>
  <c r="C524" i="17"/>
  <c r="B524" i="17"/>
  <c r="C523" i="17"/>
  <c r="B523" i="17"/>
  <c r="C522" i="17"/>
  <c r="B522" i="17"/>
  <c r="C521" i="17"/>
  <c r="B521" i="17"/>
  <c r="C520" i="17"/>
  <c r="B520" i="17"/>
  <c r="C519" i="17"/>
  <c r="B519" i="17"/>
  <c r="C518" i="17"/>
  <c r="B518" i="17"/>
  <c r="C517" i="17"/>
  <c r="B517" i="17"/>
  <c r="C516" i="17"/>
  <c r="B516" i="17"/>
  <c r="C515" i="17"/>
  <c r="B515" i="17"/>
  <c r="C514" i="17"/>
  <c r="B514" i="17"/>
  <c r="C513" i="17"/>
  <c r="B513" i="17"/>
  <c r="C512" i="17"/>
  <c r="B512" i="17"/>
  <c r="C511" i="17"/>
  <c r="B511" i="17"/>
  <c r="C510" i="17"/>
  <c r="B510" i="17"/>
  <c r="C509" i="17"/>
  <c r="B509" i="17"/>
  <c r="C508" i="17"/>
  <c r="B508" i="17"/>
  <c r="C507" i="17"/>
  <c r="B507" i="17"/>
  <c r="C506" i="17"/>
  <c r="B506" i="17"/>
  <c r="C505" i="17"/>
  <c r="B505" i="17"/>
  <c r="C504" i="17"/>
  <c r="B504" i="17"/>
  <c r="C503" i="17"/>
  <c r="B503" i="17"/>
  <c r="C502" i="17"/>
  <c r="B502" i="17"/>
  <c r="C501" i="17"/>
  <c r="B501" i="17"/>
  <c r="C500" i="17"/>
  <c r="B500" i="17"/>
  <c r="C499" i="17"/>
  <c r="B499" i="17"/>
  <c r="C498" i="17"/>
  <c r="B498" i="17"/>
  <c r="C497" i="17"/>
  <c r="B497" i="17"/>
  <c r="C496" i="17"/>
  <c r="B496" i="17"/>
  <c r="C495" i="17"/>
  <c r="B495" i="17"/>
  <c r="C494" i="17"/>
  <c r="B494" i="17"/>
  <c r="C493" i="17"/>
  <c r="B493" i="17"/>
  <c r="C492" i="17"/>
  <c r="B492" i="17"/>
  <c r="C491" i="17"/>
  <c r="B491" i="17"/>
  <c r="C490" i="17"/>
  <c r="B490" i="17"/>
  <c r="C489" i="17"/>
  <c r="B489" i="17"/>
  <c r="C488" i="17"/>
  <c r="B488" i="17"/>
  <c r="C487" i="17"/>
  <c r="B487" i="17"/>
  <c r="C486" i="17"/>
  <c r="B486" i="17"/>
  <c r="C485" i="17"/>
  <c r="B485" i="17"/>
  <c r="C484" i="17"/>
  <c r="B484" i="17"/>
  <c r="C483" i="17"/>
  <c r="B483" i="17"/>
  <c r="C482" i="17"/>
  <c r="B482" i="17"/>
  <c r="C481" i="17"/>
  <c r="B481" i="17"/>
  <c r="C480" i="17"/>
  <c r="B480" i="17"/>
  <c r="C479" i="17"/>
  <c r="B479" i="17"/>
  <c r="C478" i="17"/>
  <c r="B478" i="17"/>
  <c r="C477" i="17"/>
  <c r="B477" i="17"/>
  <c r="C476" i="17"/>
  <c r="B476" i="17"/>
  <c r="C475" i="17"/>
  <c r="B475" i="17"/>
  <c r="C474" i="17"/>
  <c r="B474" i="17"/>
  <c r="C473" i="17"/>
  <c r="B473" i="17"/>
  <c r="C472" i="17"/>
  <c r="B472" i="17"/>
  <c r="C471" i="17"/>
  <c r="B471" i="17"/>
  <c r="C470" i="17"/>
  <c r="B470" i="17"/>
  <c r="C469" i="17"/>
  <c r="B469" i="17"/>
  <c r="C468" i="17"/>
  <c r="B468" i="17"/>
  <c r="C467" i="17"/>
  <c r="B467" i="17"/>
  <c r="C466" i="17"/>
  <c r="B466" i="17"/>
  <c r="C465" i="17"/>
  <c r="B465" i="17"/>
  <c r="C464" i="17"/>
  <c r="B464" i="17"/>
  <c r="C463" i="17"/>
  <c r="B463" i="17"/>
  <c r="C462" i="17"/>
  <c r="B462" i="17"/>
  <c r="C461" i="17"/>
  <c r="B461" i="17"/>
  <c r="C460" i="17"/>
  <c r="B460" i="17"/>
  <c r="C459" i="17"/>
  <c r="B459" i="17"/>
  <c r="C458" i="17"/>
  <c r="B458" i="17"/>
  <c r="C457" i="17"/>
  <c r="B457" i="17"/>
  <c r="C456" i="17"/>
  <c r="B456" i="17"/>
  <c r="C455" i="17"/>
  <c r="B455" i="17"/>
  <c r="C454" i="17"/>
  <c r="B454" i="17"/>
  <c r="C453" i="17"/>
  <c r="B453" i="17"/>
  <c r="C452" i="17"/>
  <c r="B452" i="17"/>
  <c r="C451" i="17"/>
  <c r="B451" i="17"/>
  <c r="C450" i="17"/>
  <c r="B450" i="17"/>
  <c r="C449" i="17"/>
  <c r="B449" i="17"/>
  <c r="C448" i="17"/>
  <c r="B448" i="17"/>
  <c r="C447" i="17"/>
  <c r="B447" i="17"/>
  <c r="C446" i="17"/>
  <c r="B446" i="17"/>
  <c r="C445" i="17"/>
  <c r="B445" i="17"/>
  <c r="C444" i="17"/>
  <c r="B444" i="17"/>
  <c r="C443" i="17"/>
  <c r="B443" i="17"/>
  <c r="C442" i="17"/>
  <c r="B442" i="17"/>
  <c r="C441" i="17"/>
  <c r="B441" i="17"/>
  <c r="C440" i="17"/>
  <c r="B440" i="17"/>
  <c r="C439" i="17"/>
  <c r="B439" i="17"/>
  <c r="C438" i="17"/>
  <c r="B438" i="17"/>
  <c r="C437" i="17"/>
  <c r="B437" i="17"/>
  <c r="C436" i="17"/>
  <c r="B436" i="17"/>
  <c r="C435" i="17"/>
  <c r="B435" i="17"/>
  <c r="C434" i="17"/>
  <c r="B434" i="17"/>
  <c r="C433" i="17"/>
  <c r="B433" i="17"/>
  <c r="C432" i="17"/>
  <c r="B432" i="17"/>
  <c r="C431" i="17"/>
  <c r="B431" i="17"/>
  <c r="C430" i="17"/>
  <c r="B430" i="17"/>
  <c r="C429" i="17"/>
  <c r="B429" i="17"/>
  <c r="C428" i="17"/>
  <c r="B428" i="17"/>
  <c r="C427" i="17"/>
  <c r="B427" i="17"/>
  <c r="C426" i="17"/>
  <c r="B426" i="17"/>
  <c r="C425" i="17"/>
  <c r="B425" i="17"/>
  <c r="C424" i="17"/>
  <c r="B424" i="17"/>
  <c r="C423" i="17"/>
  <c r="B423" i="17"/>
  <c r="C422" i="17"/>
  <c r="B422" i="17"/>
  <c r="C421" i="17"/>
  <c r="B421" i="17"/>
  <c r="C420" i="17"/>
  <c r="B420" i="17"/>
  <c r="C419" i="17"/>
  <c r="B419" i="17"/>
  <c r="C418" i="17"/>
  <c r="B418" i="17"/>
  <c r="C417" i="17"/>
  <c r="B417" i="17"/>
  <c r="C416" i="17"/>
  <c r="B416" i="17"/>
  <c r="C415" i="17"/>
  <c r="B415" i="17"/>
  <c r="C414" i="17"/>
  <c r="B414" i="17"/>
  <c r="C413" i="17"/>
  <c r="B413" i="17"/>
  <c r="C412" i="17"/>
  <c r="B412" i="17"/>
  <c r="C411" i="17"/>
  <c r="B411" i="17"/>
  <c r="C410" i="17"/>
  <c r="B410" i="17"/>
  <c r="C409" i="17"/>
  <c r="B409" i="17"/>
  <c r="C408" i="17"/>
  <c r="B408" i="17"/>
  <c r="C407" i="17"/>
  <c r="B407" i="17"/>
  <c r="C406" i="17"/>
  <c r="B406" i="17"/>
  <c r="C405" i="17"/>
  <c r="B405" i="17"/>
  <c r="C404" i="17"/>
  <c r="B404" i="17"/>
  <c r="C403" i="17"/>
  <c r="B403" i="17"/>
  <c r="C402" i="17"/>
  <c r="B402" i="17"/>
  <c r="C401" i="17"/>
  <c r="B401" i="17"/>
  <c r="C400" i="17"/>
  <c r="B400" i="17"/>
  <c r="C399" i="17"/>
  <c r="B399" i="17"/>
  <c r="C398" i="17"/>
  <c r="B398" i="17"/>
  <c r="C397" i="17"/>
  <c r="B397" i="17"/>
  <c r="C396" i="17"/>
  <c r="B396" i="17"/>
  <c r="C395" i="17"/>
  <c r="B395" i="17"/>
  <c r="C394" i="17"/>
  <c r="B394" i="17"/>
  <c r="C393" i="17"/>
  <c r="B393" i="17"/>
  <c r="C392" i="17"/>
  <c r="B392" i="17"/>
  <c r="C391" i="17"/>
  <c r="B391" i="17"/>
  <c r="C390" i="17"/>
  <c r="B390" i="17"/>
  <c r="C389" i="17"/>
  <c r="B389" i="17"/>
  <c r="C388" i="17"/>
  <c r="B388" i="17"/>
  <c r="C387" i="17"/>
  <c r="B387" i="17"/>
  <c r="C386" i="17"/>
  <c r="B386" i="17"/>
  <c r="C385" i="17"/>
  <c r="B385" i="17"/>
  <c r="C384" i="17"/>
  <c r="B384" i="17"/>
  <c r="C383" i="17"/>
  <c r="B383" i="17"/>
  <c r="C382" i="17"/>
  <c r="B382" i="17"/>
  <c r="C381" i="17"/>
  <c r="B381" i="17"/>
  <c r="C380" i="17"/>
  <c r="B380" i="17"/>
  <c r="C379" i="17"/>
  <c r="B379" i="17"/>
  <c r="C378" i="17"/>
  <c r="B378" i="17"/>
  <c r="C377" i="17"/>
  <c r="B377" i="17"/>
  <c r="C376" i="17"/>
  <c r="B376" i="17"/>
  <c r="C375" i="17"/>
  <c r="B375" i="17"/>
  <c r="C374" i="17"/>
  <c r="B374" i="17"/>
  <c r="C373" i="17"/>
  <c r="B373" i="17"/>
  <c r="C372" i="17"/>
  <c r="B372" i="17"/>
  <c r="C371" i="17"/>
  <c r="B371" i="17"/>
  <c r="C370" i="17"/>
  <c r="B370" i="17"/>
  <c r="C369" i="17"/>
  <c r="B369" i="17"/>
  <c r="C368" i="17"/>
  <c r="B368" i="17"/>
  <c r="C367" i="17"/>
  <c r="B367" i="17"/>
  <c r="C366" i="17"/>
  <c r="B366" i="17"/>
  <c r="C365" i="17"/>
  <c r="B365" i="17"/>
  <c r="C364" i="17"/>
  <c r="B364" i="17"/>
  <c r="C363" i="17"/>
  <c r="B363" i="17"/>
  <c r="C362" i="17"/>
  <c r="B362" i="17"/>
  <c r="C361" i="17"/>
  <c r="B361" i="17"/>
  <c r="C360" i="17"/>
  <c r="B360" i="17"/>
  <c r="C359" i="17"/>
  <c r="B359" i="17"/>
  <c r="C358" i="17"/>
  <c r="B358" i="17"/>
  <c r="C357" i="17"/>
  <c r="B357" i="17"/>
  <c r="C356" i="17"/>
  <c r="B356" i="17"/>
  <c r="C355" i="17"/>
  <c r="B355" i="17"/>
  <c r="C354" i="17"/>
  <c r="B354" i="17"/>
  <c r="C353" i="17"/>
  <c r="B353" i="17"/>
  <c r="C352" i="17"/>
  <c r="B352" i="17"/>
  <c r="C351" i="17"/>
  <c r="B351" i="17"/>
  <c r="C350" i="17"/>
  <c r="B350" i="17"/>
  <c r="C349" i="17"/>
  <c r="B349" i="17"/>
  <c r="C348" i="17"/>
  <c r="B348" i="17"/>
  <c r="C347" i="17"/>
  <c r="B347" i="17"/>
  <c r="C346" i="17"/>
  <c r="B346" i="17"/>
  <c r="C345" i="17"/>
  <c r="B345" i="17"/>
  <c r="C344" i="17"/>
  <c r="B344" i="17"/>
  <c r="C343" i="17"/>
  <c r="B343" i="17"/>
  <c r="C342" i="17"/>
  <c r="B342" i="17"/>
  <c r="C341" i="17"/>
  <c r="B341" i="17"/>
  <c r="C340" i="17"/>
  <c r="B340" i="17"/>
  <c r="C339" i="17"/>
  <c r="B339" i="17"/>
  <c r="C338" i="17"/>
  <c r="B338" i="17"/>
  <c r="C337" i="17"/>
  <c r="B337" i="17"/>
  <c r="C336" i="17"/>
  <c r="B336" i="17"/>
  <c r="C335" i="17"/>
  <c r="B335" i="17"/>
  <c r="C334" i="17"/>
  <c r="B334" i="17"/>
  <c r="C333" i="17"/>
  <c r="B333" i="17"/>
  <c r="C332" i="17"/>
  <c r="B332" i="17"/>
  <c r="C331" i="17"/>
  <c r="B331" i="17"/>
  <c r="C330" i="17"/>
  <c r="B330" i="17"/>
  <c r="C329" i="17"/>
  <c r="B329" i="17"/>
  <c r="C328" i="17"/>
  <c r="B328" i="17"/>
  <c r="C327" i="17"/>
  <c r="B327" i="17"/>
  <c r="C326" i="17"/>
  <c r="B326" i="17"/>
  <c r="C325" i="17"/>
  <c r="B325" i="17"/>
  <c r="C324" i="17"/>
  <c r="B324" i="17"/>
  <c r="C323" i="17"/>
  <c r="B323" i="17"/>
  <c r="C322" i="17"/>
  <c r="B322" i="17"/>
  <c r="C321" i="17"/>
  <c r="B321" i="17"/>
  <c r="C320" i="17"/>
  <c r="B320" i="17"/>
  <c r="C319" i="17"/>
  <c r="B319" i="17"/>
  <c r="C318" i="17"/>
  <c r="B318" i="17"/>
  <c r="C317" i="17"/>
  <c r="B317" i="17"/>
  <c r="C316" i="17"/>
  <c r="B316" i="17"/>
  <c r="C315" i="17"/>
  <c r="B315" i="17"/>
  <c r="C314" i="17"/>
  <c r="B314" i="17"/>
  <c r="C313" i="17"/>
  <c r="B313" i="17"/>
  <c r="C312" i="17"/>
  <c r="B312" i="17"/>
  <c r="C311" i="17"/>
  <c r="B311" i="17"/>
  <c r="C310" i="17"/>
  <c r="B310" i="17"/>
  <c r="C309" i="17"/>
  <c r="B309" i="17"/>
  <c r="C308" i="17"/>
  <c r="B308" i="17"/>
  <c r="C307" i="17"/>
  <c r="B307" i="17"/>
  <c r="C306" i="17"/>
  <c r="B306" i="17"/>
  <c r="C305" i="17"/>
  <c r="B305" i="17"/>
  <c r="C304" i="17"/>
  <c r="B304" i="17"/>
  <c r="C303" i="17"/>
  <c r="B303" i="17"/>
  <c r="C302" i="17"/>
  <c r="B302" i="17"/>
  <c r="C301" i="17"/>
  <c r="B301" i="17"/>
  <c r="C300" i="17"/>
  <c r="B300" i="17"/>
  <c r="C299" i="17"/>
  <c r="B299" i="17"/>
  <c r="C298" i="17"/>
  <c r="B298" i="17"/>
  <c r="C297" i="17"/>
  <c r="B297" i="17"/>
  <c r="C296" i="17"/>
  <c r="B296" i="17"/>
  <c r="C295" i="17"/>
  <c r="B295" i="17"/>
  <c r="C294" i="17"/>
  <c r="B294" i="17"/>
  <c r="C293" i="17"/>
  <c r="B293" i="17"/>
  <c r="C292" i="17"/>
  <c r="B292" i="17"/>
  <c r="C291" i="17"/>
  <c r="B291" i="17"/>
  <c r="C290" i="17"/>
  <c r="B290" i="17"/>
  <c r="C289" i="17"/>
  <c r="B289" i="17"/>
  <c r="C288" i="17"/>
  <c r="B288" i="17"/>
  <c r="C287" i="17"/>
  <c r="B287" i="17"/>
  <c r="C286" i="17"/>
  <c r="B286" i="17"/>
  <c r="C285" i="17"/>
  <c r="B285" i="17"/>
  <c r="C284" i="17"/>
  <c r="B284" i="17"/>
  <c r="C283" i="17"/>
  <c r="B283" i="17"/>
  <c r="C282" i="17"/>
  <c r="B282" i="17"/>
  <c r="C281" i="17"/>
  <c r="B281" i="17"/>
  <c r="C280" i="17"/>
  <c r="B280" i="17"/>
  <c r="C279" i="17"/>
  <c r="B279" i="17"/>
  <c r="C278" i="17"/>
  <c r="B278" i="17"/>
  <c r="C277" i="17"/>
  <c r="B277" i="17"/>
  <c r="C276" i="17"/>
  <c r="B276" i="17"/>
  <c r="C275" i="17"/>
  <c r="B275" i="17"/>
  <c r="C274" i="17"/>
  <c r="B274" i="17"/>
  <c r="C273" i="17"/>
  <c r="B273" i="17"/>
  <c r="C272" i="17"/>
  <c r="B272" i="17"/>
  <c r="C271" i="17"/>
  <c r="B271" i="17"/>
  <c r="C270" i="17"/>
  <c r="B270" i="17"/>
  <c r="C269" i="17"/>
  <c r="B269" i="17"/>
  <c r="C268" i="17"/>
  <c r="B268" i="17"/>
  <c r="C267" i="17"/>
  <c r="B267" i="17"/>
  <c r="C266" i="17"/>
  <c r="B266" i="17"/>
  <c r="C265" i="17"/>
  <c r="B265" i="17"/>
  <c r="C264" i="17"/>
  <c r="B264" i="17"/>
  <c r="C263" i="17"/>
  <c r="B263" i="17"/>
  <c r="C262" i="17"/>
  <c r="B262" i="17"/>
  <c r="C261" i="17"/>
  <c r="B261" i="17"/>
  <c r="C260" i="17"/>
  <c r="B260" i="17"/>
  <c r="C259" i="17"/>
  <c r="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C215" i="17"/>
  <c r="B215" i="17"/>
  <c r="C214" i="17"/>
  <c r="B214" i="17"/>
  <c r="C213" i="17"/>
  <c r="B213" i="17"/>
  <c r="C212" i="17"/>
  <c r="B212" i="17"/>
  <c r="C211" i="17"/>
  <c r="B211" i="17"/>
  <c r="C210" i="17"/>
  <c r="B210" i="17"/>
  <c r="C209" i="17"/>
  <c r="B209" i="17"/>
  <c r="C208" i="17"/>
  <c r="B208" i="17"/>
  <c r="C207" i="17"/>
  <c r="B207" i="17"/>
  <c r="C206" i="17"/>
  <c r="B206" i="17"/>
  <c r="C205" i="17"/>
  <c r="B205" i="17"/>
  <c r="C204" i="17"/>
  <c r="B204" i="17"/>
  <c r="C203" i="17"/>
  <c r="B203" i="17"/>
  <c r="C202" i="17"/>
  <c r="B202" i="17"/>
  <c r="C201" i="17"/>
  <c r="B201" i="17"/>
  <c r="C200" i="17"/>
  <c r="B200" i="17"/>
  <c r="C199" i="17"/>
  <c r="B199" i="17"/>
  <c r="C198" i="17"/>
  <c r="B198" i="17"/>
  <c r="C197" i="17"/>
  <c r="B197" i="17"/>
  <c r="C196" i="17"/>
  <c r="B196" i="17"/>
  <c r="C195" i="17"/>
  <c r="B195" i="17"/>
  <c r="C194" i="17"/>
  <c r="B194" i="17"/>
  <c r="C193" i="17"/>
  <c r="B193" i="17"/>
  <c r="C192" i="17"/>
  <c r="B192" i="17"/>
  <c r="C191" i="17"/>
  <c r="B191" i="17"/>
  <c r="C190" i="17"/>
  <c r="B190" i="17"/>
  <c r="C189" i="17"/>
  <c r="B189" i="17"/>
  <c r="C188" i="17"/>
  <c r="B188" i="17"/>
  <c r="C187" i="17"/>
  <c r="B187" i="17"/>
  <c r="C186" i="17"/>
  <c r="B186" i="17"/>
  <c r="C185" i="17"/>
  <c r="B185" i="17"/>
  <c r="C184" i="17"/>
  <c r="B184" i="17"/>
  <c r="C183" i="17"/>
  <c r="B183" i="17"/>
  <c r="C182" i="17"/>
  <c r="B182" i="17"/>
  <c r="C181" i="17"/>
  <c r="B181" i="17"/>
  <c r="C180" i="17"/>
  <c r="B180" i="17"/>
  <c r="C179" i="17"/>
  <c r="B179" i="17"/>
  <c r="C178" i="17"/>
  <c r="B178" i="17"/>
  <c r="C177" i="17"/>
  <c r="B177" i="17"/>
  <c r="C176" i="17"/>
  <c r="B176" i="17"/>
  <c r="C175" i="17"/>
  <c r="B175" i="17"/>
  <c r="C174" i="17"/>
  <c r="B174" i="17"/>
  <c r="C173" i="17"/>
  <c r="B173" i="17"/>
  <c r="C172" i="17"/>
  <c r="B172" i="17"/>
  <c r="C171" i="17"/>
  <c r="B171" i="17"/>
  <c r="C170" i="17"/>
  <c r="B170" i="17"/>
  <c r="C169" i="17"/>
  <c r="B169" i="17"/>
  <c r="C168" i="17"/>
  <c r="B168" i="17"/>
  <c r="C167" i="17"/>
  <c r="B167" i="17"/>
  <c r="C166" i="17"/>
  <c r="B166" i="17"/>
  <c r="C165" i="17"/>
  <c r="B165" i="17"/>
  <c r="C164" i="17"/>
  <c r="B164" i="17"/>
  <c r="C163" i="17"/>
  <c r="B163" i="17"/>
  <c r="C162" i="17"/>
  <c r="B162" i="17"/>
  <c r="C161" i="17"/>
  <c r="B161" i="17"/>
  <c r="C160" i="17"/>
  <c r="B160" i="17"/>
  <c r="C159" i="17"/>
  <c r="B159" i="17"/>
  <c r="C158" i="17"/>
  <c r="B158" i="17"/>
  <c r="C157" i="17"/>
  <c r="B157" i="17"/>
  <c r="C156" i="17"/>
  <c r="B156" i="17"/>
  <c r="C155" i="17"/>
  <c r="B155" i="17"/>
  <c r="C154" i="17"/>
  <c r="B154" i="17"/>
  <c r="C153" i="17"/>
  <c r="B153" i="17"/>
  <c r="C152" i="17"/>
  <c r="B152" i="17"/>
  <c r="C151" i="17"/>
  <c r="B151" i="17"/>
  <c r="C150" i="17"/>
  <c r="B150" i="17"/>
  <c r="C149" i="17"/>
  <c r="B149" i="17"/>
  <c r="C148" i="17"/>
  <c r="B148" i="17"/>
  <c r="C147" i="17"/>
  <c r="B147" i="17"/>
  <c r="C146" i="17"/>
  <c r="B146" i="17"/>
  <c r="C145" i="17"/>
  <c r="B145" i="17"/>
  <c r="C144" i="17"/>
  <c r="B144" i="17"/>
  <c r="C143" i="17"/>
  <c r="B143" i="17"/>
  <c r="C142" i="17"/>
  <c r="B142" i="17"/>
  <c r="C141" i="17"/>
  <c r="B141" i="17"/>
  <c r="C140" i="17"/>
  <c r="B140" i="17"/>
  <c r="C139" i="17"/>
  <c r="B139" i="17"/>
  <c r="C138" i="17"/>
  <c r="B138" i="17"/>
  <c r="C137" i="17"/>
  <c r="B137" i="17"/>
  <c r="C136" i="17"/>
  <c r="B136" i="17"/>
  <c r="C135" i="17"/>
  <c r="B135" i="17"/>
  <c r="C134" i="17"/>
  <c r="B134" i="17"/>
  <c r="C133" i="17"/>
  <c r="B133" i="17"/>
  <c r="C132" i="17"/>
  <c r="B132" i="17"/>
  <c r="C131" i="17"/>
  <c r="B131" i="17"/>
  <c r="C130" i="17"/>
  <c r="B130" i="17"/>
  <c r="C129" i="17"/>
  <c r="B129" i="17"/>
  <c r="C128" i="17"/>
  <c r="B128" i="17"/>
  <c r="C127" i="17"/>
  <c r="B127" i="17"/>
  <c r="C126" i="17"/>
  <c r="B126" i="17"/>
  <c r="C125" i="17"/>
  <c r="B125" i="17"/>
  <c r="C124" i="17"/>
  <c r="B124" i="17"/>
  <c r="C123" i="17"/>
  <c r="B123" i="17"/>
  <c r="C122" i="17"/>
  <c r="B122" i="17"/>
  <c r="C121" i="17"/>
  <c r="B121" i="17"/>
  <c r="C120" i="17"/>
  <c r="B120" i="17"/>
  <c r="C119" i="17"/>
  <c r="B119" i="17"/>
  <c r="C118" i="17"/>
  <c r="B118" i="17"/>
  <c r="C117" i="17"/>
  <c r="B117" i="17"/>
  <c r="C116" i="17"/>
  <c r="B116" i="17"/>
  <c r="C115" i="17"/>
  <c r="B115" i="17"/>
  <c r="C114" i="17"/>
  <c r="B114" i="17"/>
  <c r="C113" i="17"/>
  <c r="B113" i="17"/>
  <c r="C112" i="17"/>
  <c r="B112" i="17"/>
  <c r="C111" i="17"/>
  <c r="B111" i="17"/>
  <c r="C110" i="17"/>
  <c r="B110" i="17"/>
  <c r="C109" i="17"/>
  <c r="B109" i="17"/>
  <c r="C108" i="17"/>
  <c r="B108" i="17"/>
  <c r="C107" i="17"/>
  <c r="B107" i="17"/>
  <c r="C106" i="17"/>
  <c r="B106" i="17"/>
  <c r="C105" i="17"/>
  <c r="B105" i="17"/>
  <c r="C104" i="17"/>
  <c r="B104" i="17"/>
  <c r="C103" i="17"/>
  <c r="B103" i="17"/>
  <c r="C102" i="17"/>
  <c r="B102" i="17"/>
  <c r="C101" i="17"/>
  <c r="B101" i="17"/>
  <c r="C100" i="17"/>
  <c r="B100" i="17"/>
  <c r="C99" i="17"/>
  <c r="B99" i="17"/>
  <c r="C98" i="17"/>
  <c r="B98" i="17"/>
  <c r="C97" i="17"/>
  <c r="B97" i="17"/>
  <c r="C96" i="17"/>
  <c r="B96" i="17"/>
  <c r="C95" i="17"/>
  <c r="B95" i="17"/>
  <c r="C94" i="17"/>
  <c r="B94" i="17"/>
  <c r="C93" i="17"/>
  <c r="B93" i="17"/>
  <c r="C92" i="17"/>
  <c r="B92" i="17"/>
  <c r="C91" i="17"/>
  <c r="B91" i="17"/>
  <c r="C90" i="17"/>
  <c r="B90" i="17"/>
  <c r="C89" i="17"/>
  <c r="B89" i="17"/>
  <c r="C88" i="17"/>
  <c r="B88" i="17"/>
  <c r="C87" i="17"/>
  <c r="B87" i="17"/>
  <c r="C86" i="17"/>
  <c r="B86" i="17"/>
  <c r="C85" i="17"/>
  <c r="B85" i="17"/>
  <c r="C84" i="17"/>
  <c r="B84" i="17"/>
  <c r="C83" i="17"/>
  <c r="B83" i="17"/>
  <c r="C82" i="17"/>
  <c r="B82" i="17"/>
  <c r="C81" i="17"/>
  <c r="B81" i="17"/>
  <c r="C80" i="17"/>
  <c r="B80" i="17"/>
  <c r="C79" i="17"/>
  <c r="B79" i="17"/>
  <c r="C78" i="17"/>
  <c r="B78" i="17"/>
  <c r="C77" i="17"/>
  <c r="B77" i="17"/>
  <c r="C76" i="17"/>
  <c r="B76" i="17"/>
  <c r="C75" i="17"/>
  <c r="B75" i="17"/>
  <c r="C74" i="17"/>
  <c r="B74" i="17"/>
  <c r="C73" i="17"/>
  <c r="B73" i="17"/>
  <c r="C72" i="17"/>
  <c r="B72" i="17"/>
  <c r="C71" i="17"/>
  <c r="B71" i="17"/>
  <c r="C70" i="17"/>
  <c r="B70" i="17"/>
  <c r="C69" i="17"/>
  <c r="B69" i="17"/>
  <c r="C68" i="17"/>
  <c r="B68" i="17"/>
  <c r="C67" i="17"/>
  <c r="B67" i="17"/>
  <c r="C66" i="17"/>
  <c r="B66" i="17"/>
  <c r="C65" i="17"/>
  <c r="B65" i="17"/>
  <c r="C64" i="17"/>
  <c r="B64" i="17"/>
  <c r="C63" i="17"/>
  <c r="B63" i="17"/>
  <c r="C62" i="17"/>
  <c r="B62" i="17"/>
  <c r="C61" i="17"/>
  <c r="B61" i="17"/>
  <c r="C60" i="17"/>
  <c r="B60" i="17"/>
  <c r="C59" i="17"/>
  <c r="B59" i="17"/>
  <c r="C58" i="17"/>
  <c r="B58" i="17"/>
  <c r="C57" i="17"/>
  <c r="B57" i="17"/>
  <c r="C56" i="17"/>
  <c r="B56" i="17"/>
  <c r="C55" i="17"/>
  <c r="B55" i="17"/>
  <c r="C54" i="17"/>
  <c r="B54" i="17"/>
  <c r="C53" i="17"/>
  <c r="B53" i="17"/>
  <c r="C52" i="17"/>
  <c r="B52" i="17"/>
  <c r="C51" i="17"/>
  <c r="B51" i="17"/>
  <c r="C50" i="17"/>
  <c r="B50" i="17"/>
  <c r="C49" i="17"/>
  <c r="B49" i="17"/>
  <c r="C48" i="17"/>
  <c r="B48" i="17"/>
  <c r="C47" i="17"/>
  <c r="B47" i="17"/>
  <c r="C46" i="17"/>
  <c r="B46" i="17"/>
  <c r="C45" i="17"/>
  <c r="B45" i="17"/>
  <c r="C44" i="17"/>
  <c r="B44" i="17"/>
  <c r="C43" i="17"/>
  <c r="B43" i="17"/>
  <c r="C42" i="17"/>
  <c r="B42" i="17"/>
  <c r="C41" i="17"/>
  <c r="B41" i="17"/>
  <c r="C40" i="17"/>
  <c r="B40" i="17"/>
  <c r="C39" i="17"/>
  <c r="B39" i="17"/>
  <c r="C38" i="17"/>
  <c r="B38" i="17"/>
  <c r="C37" i="17"/>
  <c r="B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B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B12" i="17"/>
  <c r="C11" i="17"/>
  <c r="B11" i="17"/>
  <c r="C10" i="17"/>
  <c r="B10" i="17"/>
  <c r="C9" i="17"/>
  <c r="B9" i="17"/>
  <c r="C8" i="17"/>
  <c r="B8" i="17"/>
  <c r="C7" i="17"/>
  <c r="B7" i="17"/>
  <c r="C6" i="17"/>
  <c r="B6" i="17"/>
  <c r="C5" i="17"/>
  <c r="B5" i="17"/>
  <c r="C4" i="17"/>
  <c r="B4" i="17"/>
  <c r="C3" i="17"/>
  <c r="B3" i="17"/>
  <c r="C2" i="17"/>
  <c r="B2" i="17"/>
  <c r="B54" i="22"/>
  <c r="F2" i="18"/>
  <c r="G2" i="18"/>
  <c r="F3" i="18"/>
  <c r="G3" i="18"/>
  <c r="F4" i="18"/>
  <c r="G4" i="18"/>
  <c r="F5" i="18"/>
  <c r="G5" i="18"/>
  <c r="F6" i="18"/>
  <c r="G6" i="18"/>
  <c r="F7" i="18"/>
  <c r="G7" i="18"/>
  <c r="F8" i="18"/>
  <c r="G8" i="18"/>
  <c r="F9" i="18"/>
  <c r="G9" i="18"/>
  <c r="F13" i="18"/>
  <c r="G13" i="18"/>
  <c r="F14" i="18"/>
  <c r="G14" i="18"/>
  <c r="F15" i="18"/>
  <c r="G15" i="18"/>
  <c r="F16" i="18"/>
  <c r="G16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F39" i="18"/>
  <c r="G39" i="18"/>
  <c r="F40" i="18"/>
  <c r="G40" i="18"/>
  <c r="F41" i="18"/>
  <c r="G41" i="18"/>
  <c r="F42" i="18"/>
  <c r="G42" i="18"/>
  <c r="F43" i="18"/>
  <c r="G43" i="18"/>
  <c r="F44" i="18"/>
  <c r="G44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C54" i="18"/>
  <c r="D54" i="18"/>
  <c r="B54" i="18"/>
  <c r="C1635" i="10"/>
  <c r="B1635" i="10"/>
  <c r="C1634" i="10"/>
  <c r="B1634" i="10"/>
  <c r="C1633" i="10"/>
  <c r="B1633" i="10"/>
  <c r="C1632" i="10"/>
  <c r="B1632" i="10"/>
  <c r="C1631" i="10"/>
  <c r="B1631" i="10"/>
  <c r="C1630" i="10"/>
  <c r="B1630" i="10"/>
  <c r="C1629" i="10"/>
  <c r="B1629" i="10"/>
  <c r="C1628" i="10"/>
  <c r="B1628" i="10"/>
  <c r="C1627" i="10"/>
  <c r="B1627" i="10"/>
  <c r="C1626" i="10"/>
  <c r="B1626" i="10"/>
  <c r="C1625" i="10"/>
  <c r="B1625" i="10"/>
  <c r="C1624" i="10"/>
  <c r="B1624" i="10"/>
  <c r="C1623" i="10"/>
  <c r="B1623" i="10"/>
  <c r="C1622" i="10"/>
  <c r="B1622" i="10"/>
  <c r="C1621" i="10"/>
  <c r="B1621" i="10"/>
  <c r="C1620" i="10"/>
  <c r="B1620" i="10"/>
  <c r="C1619" i="10"/>
  <c r="B1619" i="10"/>
  <c r="C1618" i="10"/>
  <c r="B1618" i="10"/>
  <c r="C1617" i="10"/>
  <c r="B1617" i="10"/>
  <c r="C1616" i="10"/>
  <c r="B1616" i="10"/>
  <c r="C1615" i="10"/>
  <c r="B1615" i="10"/>
  <c r="C1614" i="10"/>
  <c r="B1614" i="10"/>
  <c r="C1613" i="10"/>
  <c r="B1613" i="10"/>
  <c r="C1612" i="10"/>
  <c r="B1612" i="10"/>
  <c r="C1611" i="10"/>
  <c r="B1611" i="10"/>
  <c r="C1610" i="10"/>
  <c r="B1610" i="10"/>
  <c r="C1609" i="10"/>
  <c r="B1609" i="10"/>
  <c r="C1608" i="10"/>
  <c r="B1608" i="10"/>
  <c r="C1607" i="10"/>
  <c r="B1607" i="10"/>
  <c r="C1606" i="10"/>
  <c r="B1606" i="10"/>
  <c r="C1605" i="10"/>
  <c r="B1605" i="10"/>
  <c r="C1604" i="10"/>
  <c r="B1604" i="10"/>
  <c r="C1603" i="10"/>
  <c r="B1603" i="10"/>
  <c r="C1602" i="10"/>
  <c r="B1602" i="10"/>
  <c r="C1601" i="10"/>
  <c r="B1601" i="10"/>
  <c r="C1600" i="10"/>
  <c r="B1600" i="10"/>
  <c r="C1599" i="10"/>
  <c r="B1599" i="10"/>
  <c r="C1598" i="10"/>
  <c r="B1598" i="10"/>
  <c r="C1597" i="10"/>
  <c r="B1597" i="10"/>
  <c r="C1596" i="10"/>
  <c r="B1596" i="10"/>
  <c r="C1595" i="10"/>
  <c r="B1595" i="10"/>
  <c r="C1594" i="10"/>
  <c r="B1594" i="10"/>
  <c r="C1593" i="10"/>
  <c r="B1593" i="10"/>
  <c r="C1592" i="10"/>
  <c r="B1592" i="10"/>
  <c r="C1591" i="10"/>
  <c r="B1591" i="10"/>
  <c r="C1590" i="10"/>
  <c r="B1590" i="10"/>
  <c r="C1589" i="10"/>
  <c r="B1589" i="10"/>
  <c r="C1588" i="10"/>
  <c r="B1588" i="10"/>
  <c r="C1587" i="10"/>
  <c r="B1587" i="10"/>
  <c r="C1586" i="10"/>
  <c r="B1586" i="10"/>
  <c r="C1585" i="10"/>
  <c r="B1585" i="10"/>
  <c r="C1584" i="10"/>
  <c r="B1584" i="10"/>
  <c r="C1583" i="10"/>
  <c r="B1583" i="10"/>
  <c r="C1582" i="10"/>
  <c r="B1582" i="10"/>
  <c r="C1581" i="10"/>
  <c r="B1581" i="10"/>
  <c r="C1580" i="10"/>
  <c r="B1580" i="10"/>
  <c r="C1579" i="10"/>
  <c r="B1579" i="10"/>
  <c r="C1578" i="10"/>
  <c r="B1578" i="10"/>
  <c r="C1577" i="10"/>
  <c r="B1577" i="10"/>
  <c r="C1576" i="10"/>
  <c r="B1576" i="10"/>
  <c r="C1575" i="10"/>
  <c r="B1575" i="10"/>
  <c r="C1574" i="10"/>
  <c r="B1574" i="10"/>
  <c r="C1573" i="10"/>
  <c r="B1573" i="10"/>
  <c r="C1572" i="10"/>
  <c r="B1572" i="10"/>
  <c r="C1571" i="10"/>
  <c r="B1571" i="10"/>
  <c r="C1570" i="10"/>
  <c r="B1570" i="10"/>
  <c r="C1569" i="10"/>
  <c r="B1569" i="10"/>
  <c r="C1568" i="10"/>
  <c r="B1568" i="10"/>
  <c r="C1567" i="10"/>
  <c r="B1567" i="10"/>
  <c r="C1566" i="10"/>
  <c r="B1566" i="10"/>
  <c r="C1565" i="10"/>
  <c r="B1565" i="10"/>
  <c r="C1564" i="10"/>
  <c r="B1564" i="10"/>
  <c r="C1563" i="10"/>
  <c r="B1563" i="10"/>
  <c r="C1562" i="10"/>
  <c r="B1562" i="10"/>
  <c r="C1561" i="10"/>
  <c r="B1561" i="10"/>
  <c r="C1560" i="10"/>
  <c r="B1560" i="10"/>
  <c r="C1559" i="10"/>
  <c r="B1559" i="10"/>
  <c r="C1558" i="10"/>
  <c r="B1558" i="10"/>
  <c r="C1557" i="10"/>
  <c r="B1557" i="10"/>
  <c r="C1556" i="10"/>
  <c r="B1556" i="10"/>
  <c r="C1555" i="10"/>
  <c r="B1555" i="10"/>
  <c r="C1554" i="10"/>
  <c r="B1554" i="10"/>
  <c r="C1553" i="10"/>
  <c r="B1553" i="10"/>
  <c r="C1552" i="10"/>
  <c r="B1552" i="10"/>
  <c r="C1551" i="10"/>
  <c r="B1551" i="10"/>
  <c r="C1550" i="10"/>
  <c r="B1550" i="10"/>
  <c r="C1549" i="10"/>
  <c r="B1549" i="10"/>
  <c r="C1548" i="10"/>
  <c r="B1548" i="10"/>
  <c r="C1547" i="10"/>
  <c r="B1547" i="10"/>
  <c r="C1546" i="10"/>
  <c r="B1546" i="10"/>
  <c r="C1545" i="10"/>
  <c r="B1545" i="10"/>
  <c r="C1544" i="10"/>
  <c r="B1544" i="10"/>
  <c r="C1543" i="10"/>
  <c r="B1543" i="10"/>
  <c r="C1542" i="10"/>
  <c r="B1542" i="10"/>
  <c r="C1541" i="10"/>
  <c r="B1541" i="10"/>
  <c r="C1540" i="10"/>
  <c r="B1540" i="10"/>
  <c r="C1539" i="10"/>
  <c r="B1539" i="10"/>
  <c r="C1538" i="10"/>
  <c r="B1538" i="10"/>
  <c r="C1537" i="10"/>
  <c r="B1537" i="10"/>
  <c r="C1536" i="10"/>
  <c r="B1536" i="10"/>
  <c r="C1535" i="10"/>
  <c r="B1535" i="10"/>
  <c r="C1534" i="10"/>
  <c r="B1534" i="10"/>
  <c r="C1533" i="10"/>
  <c r="B1533" i="10"/>
  <c r="C1532" i="10"/>
  <c r="B1532" i="10"/>
  <c r="C1531" i="10"/>
  <c r="B1531" i="10"/>
  <c r="C1530" i="10"/>
  <c r="B1530" i="10"/>
  <c r="C1529" i="10"/>
  <c r="B1529" i="10"/>
  <c r="C1528" i="10"/>
  <c r="B1528" i="10"/>
  <c r="C1527" i="10"/>
  <c r="B1527" i="10"/>
  <c r="C1526" i="10"/>
  <c r="B1526" i="10"/>
  <c r="C1525" i="10"/>
  <c r="B1525" i="10"/>
  <c r="C1524" i="10"/>
  <c r="B1524" i="10"/>
  <c r="C1523" i="10"/>
  <c r="B1523" i="10"/>
  <c r="C1522" i="10"/>
  <c r="B1522" i="10"/>
  <c r="C1521" i="10"/>
  <c r="B1521" i="10"/>
  <c r="C1520" i="10"/>
  <c r="B1520" i="10"/>
  <c r="C1519" i="10"/>
  <c r="B1519" i="10"/>
  <c r="C1518" i="10"/>
  <c r="B1518" i="10"/>
  <c r="C1517" i="10"/>
  <c r="B1517" i="10"/>
  <c r="C1516" i="10"/>
  <c r="B1516" i="10"/>
  <c r="C1515" i="10"/>
  <c r="B1515" i="10"/>
  <c r="C1514" i="10"/>
  <c r="B1514" i="10"/>
  <c r="C1513" i="10"/>
  <c r="B1513" i="10"/>
  <c r="C1512" i="10"/>
  <c r="B1512" i="10"/>
  <c r="C1511" i="10"/>
  <c r="B1511" i="10"/>
  <c r="C1510" i="10"/>
  <c r="B1510" i="10"/>
  <c r="C1509" i="10"/>
  <c r="B1509" i="10"/>
  <c r="C1508" i="10"/>
  <c r="B1508" i="10"/>
  <c r="C1507" i="10"/>
  <c r="B1507" i="10"/>
  <c r="C1506" i="10"/>
  <c r="B1506" i="10"/>
  <c r="C1505" i="10"/>
  <c r="B1505" i="10"/>
  <c r="C1504" i="10"/>
  <c r="B1504" i="10"/>
  <c r="C1503" i="10"/>
  <c r="B1503" i="10"/>
  <c r="C1502" i="10"/>
  <c r="B1502" i="10"/>
  <c r="C1501" i="10"/>
  <c r="B1501" i="10"/>
  <c r="C1500" i="10"/>
  <c r="B1500" i="10"/>
  <c r="C1499" i="10"/>
  <c r="B1499" i="10"/>
  <c r="C1498" i="10"/>
  <c r="B1498" i="10"/>
  <c r="C1497" i="10"/>
  <c r="B1497" i="10"/>
  <c r="C1496" i="10"/>
  <c r="B1496" i="10"/>
  <c r="C1495" i="10"/>
  <c r="B1495" i="10"/>
  <c r="C1494" i="10"/>
  <c r="B1494" i="10"/>
  <c r="C1493" i="10"/>
  <c r="B1493" i="10"/>
  <c r="C1492" i="10"/>
  <c r="B1492" i="10"/>
  <c r="C1491" i="10"/>
  <c r="B1491" i="10"/>
  <c r="C1490" i="10"/>
  <c r="B1490" i="10"/>
  <c r="C1489" i="10"/>
  <c r="B1489" i="10"/>
  <c r="C1488" i="10"/>
  <c r="B1488" i="10"/>
  <c r="C1487" i="10"/>
  <c r="B1487" i="10"/>
  <c r="C1486" i="10"/>
  <c r="B1486" i="10"/>
  <c r="C1485" i="10"/>
  <c r="B1485" i="10"/>
  <c r="C1484" i="10"/>
  <c r="B1484" i="10"/>
  <c r="C1483" i="10"/>
  <c r="B1483" i="10"/>
  <c r="C1482" i="10"/>
  <c r="B1482" i="10"/>
  <c r="C1481" i="10"/>
  <c r="B1481" i="10"/>
  <c r="C1480" i="10"/>
  <c r="B1480" i="10"/>
  <c r="C1479" i="10"/>
  <c r="B1479" i="10"/>
  <c r="C1478" i="10"/>
  <c r="B1478" i="10"/>
  <c r="C1477" i="10"/>
  <c r="B1477" i="10"/>
  <c r="C1476" i="10"/>
  <c r="B1476" i="10"/>
  <c r="C1475" i="10"/>
  <c r="B1475" i="10"/>
  <c r="C1474" i="10"/>
  <c r="B1474" i="10"/>
  <c r="C1473" i="10"/>
  <c r="B1473" i="10"/>
  <c r="C1472" i="10"/>
  <c r="B1472" i="10"/>
  <c r="C1471" i="10"/>
  <c r="B1471" i="10"/>
  <c r="C1470" i="10"/>
  <c r="B1470" i="10"/>
  <c r="C1469" i="10"/>
  <c r="B1469" i="10"/>
  <c r="C1468" i="10"/>
  <c r="B1468" i="10"/>
  <c r="C1467" i="10"/>
  <c r="B1467" i="10"/>
  <c r="C1466" i="10"/>
  <c r="B1466" i="10"/>
  <c r="C1465" i="10"/>
  <c r="B1465" i="10"/>
  <c r="C1464" i="10"/>
  <c r="B1464" i="10"/>
  <c r="C1463" i="10"/>
  <c r="B1463" i="10"/>
  <c r="C1462" i="10"/>
  <c r="B1462" i="10"/>
  <c r="C1461" i="10"/>
  <c r="B1461" i="10"/>
  <c r="C1460" i="10"/>
  <c r="B1460" i="10"/>
  <c r="C1459" i="10"/>
  <c r="B1459" i="10"/>
  <c r="C1458" i="10"/>
  <c r="B1458" i="10"/>
  <c r="C1457" i="10"/>
  <c r="B1457" i="10"/>
  <c r="C1456" i="10"/>
  <c r="B1456" i="10"/>
  <c r="C1455" i="10"/>
  <c r="B1455" i="10"/>
  <c r="C1454" i="10"/>
  <c r="B1454" i="10"/>
  <c r="C1453" i="10"/>
  <c r="B1453" i="10"/>
  <c r="C1452" i="10"/>
  <c r="B1452" i="10"/>
  <c r="C1451" i="10"/>
  <c r="B1451" i="10"/>
  <c r="C1450" i="10"/>
  <c r="B1450" i="10"/>
  <c r="C1449" i="10"/>
  <c r="B1449" i="10"/>
  <c r="C1448" i="10"/>
  <c r="B1448" i="10"/>
  <c r="C1447" i="10"/>
  <c r="B1447" i="10"/>
  <c r="C1446" i="10"/>
  <c r="B1446" i="10"/>
  <c r="C1445" i="10"/>
  <c r="B1445" i="10"/>
  <c r="C1444" i="10"/>
  <c r="B1444" i="10"/>
  <c r="C1443" i="10"/>
  <c r="B1443" i="10"/>
  <c r="C1442" i="10"/>
  <c r="B1442" i="10"/>
  <c r="C1441" i="10"/>
  <c r="B1441" i="10"/>
  <c r="C1440" i="10"/>
  <c r="B1440" i="10"/>
  <c r="C1439" i="10"/>
  <c r="B1439" i="10"/>
  <c r="C1438" i="10"/>
  <c r="B1438" i="10"/>
  <c r="C1437" i="10"/>
  <c r="B1437" i="10"/>
  <c r="C1436" i="10"/>
  <c r="B1436" i="10"/>
  <c r="C1435" i="10"/>
  <c r="B1435" i="10"/>
  <c r="C1434" i="10"/>
  <c r="B1434" i="10"/>
  <c r="C1433" i="10"/>
  <c r="B1433" i="10"/>
  <c r="C1432" i="10"/>
  <c r="B1432" i="10"/>
  <c r="C1431" i="10"/>
  <c r="B1431" i="10"/>
  <c r="C1430" i="10"/>
  <c r="B1430" i="10"/>
  <c r="C1429" i="10"/>
  <c r="B1429" i="10"/>
  <c r="C1428" i="10"/>
  <c r="B1428" i="10"/>
  <c r="C1427" i="10"/>
  <c r="B1427" i="10"/>
  <c r="C1426" i="10"/>
  <c r="B1426" i="10"/>
  <c r="C1425" i="10"/>
  <c r="B1425" i="10"/>
  <c r="C1424" i="10"/>
  <c r="B1424" i="10"/>
  <c r="C1423" i="10"/>
  <c r="B1423" i="10"/>
  <c r="C1422" i="10"/>
  <c r="B1422" i="10"/>
  <c r="C1421" i="10"/>
  <c r="B1421" i="10"/>
  <c r="C1420" i="10"/>
  <c r="B1420" i="10"/>
  <c r="C1419" i="10"/>
  <c r="B1419" i="10"/>
  <c r="C1418" i="10"/>
  <c r="B1418" i="10"/>
  <c r="C1417" i="10"/>
  <c r="B1417" i="10"/>
  <c r="C1416" i="10"/>
  <c r="B1416" i="10"/>
  <c r="C1415" i="10"/>
  <c r="B1415" i="10"/>
  <c r="C1414" i="10"/>
  <c r="B1414" i="10"/>
  <c r="C1413" i="10"/>
  <c r="B1413" i="10"/>
  <c r="C1412" i="10"/>
  <c r="B1412" i="10"/>
  <c r="C1411" i="10"/>
  <c r="B1411" i="10"/>
  <c r="C1410" i="10"/>
  <c r="B1410" i="10"/>
  <c r="C1409" i="10"/>
  <c r="B1409" i="10"/>
  <c r="C1408" i="10"/>
  <c r="B1408" i="10"/>
  <c r="C1407" i="10"/>
  <c r="B1407" i="10"/>
  <c r="C1406" i="10"/>
  <c r="B1406" i="10"/>
  <c r="C1405" i="10"/>
  <c r="B1405" i="10"/>
  <c r="C1404" i="10"/>
  <c r="B1404" i="10"/>
  <c r="C1403" i="10"/>
  <c r="B1403" i="10"/>
  <c r="C1402" i="10"/>
  <c r="B1402" i="10"/>
  <c r="C1401" i="10"/>
  <c r="B1401" i="10"/>
  <c r="C1400" i="10"/>
  <c r="B1400" i="10"/>
  <c r="C1399" i="10"/>
  <c r="B1399" i="10"/>
  <c r="C1398" i="10"/>
  <c r="B1398" i="10"/>
  <c r="C1397" i="10"/>
  <c r="B1397" i="10"/>
  <c r="C1396" i="10"/>
  <c r="B1396" i="10"/>
  <c r="C1395" i="10"/>
  <c r="B1395" i="10"/>
  <c r="C1394" i="10"/>
  <c r="B1394" i="10"/>
  <c r="C1393" i="10"/>
  <c r="B1393" i="10"/>
  <c r="C1392" i="10"/>
  <c r="B1392" i="10"/>
  <c r="C1391" i="10"/>
  <c r="B1391" i="10"/>
  <c r="C1390" i="10"/>
  <c r="B1390" i="10"/>
  <c r="C1389" i="10"/>
  <c r="B1389" i="10"/>
  <c r="C1388" i="10"/>
  <c r="B1388" i="10"/>
  <c r="C1387" i="10"/>
  <c r="B1387" i="10"/>
  <c r="C1386" i="10"/>
  <c r="B1386" i="10"/>
  <c r="C1385" i="10"/>
  <c r="B1385" i="10"/>
  <c r="C1384" i="10"/>
  <c r="B1384" i="10"/>
  <c r="C1383" i="10"/>
  <c r="B1383" i="10"/>
  <c r="C1382" i="10"/>
  <c r="B1382" i="10"/>
  <c r="C1381" i="10"/>
  <c r="B1381" i="10"/>
  <c r="C1380" i="10"/>
  <c r="B1380" i="10"/>
  <c r="C1379" i="10"/>
  <c r="B1379" i="10"/>
  <c r="C1378" i="10"/>
  <c r="B1378" i="10"/>
  <c r="C1377" i="10"/>
  <c r="B1377" i="10"/>
  <c r="C1376" i="10"/>
  <c r="B1376" i="10"/>
  <c r="C1375" i="10"/>
  <c r="B1375" i="10"/>
  <c r="C1374" i="10"/>
  <c r="B1374" i="10"/>
  <c r="C1373" i="10"/>
  <c r="B1373" i="10"/>
  <c r="C1372" i="10"/>
  <c r="B1372" i="10"/>
  <c r="C1371" i="10"/>
  <c r="B1371" i="10"/>
  <c r="C1370" i="10"/>
  <c r="B1370" i="10"/>
  <c r="C1369" i="10"/>
  <c r="B1369" i="10"/>
  <c r="C1368" i="10"/>
  <c r="B1368" i="10"/>
  <c r="C1367" i="10"/>
  <c r="B1367" i="10"/>
  <c r="C1366" i="10"/>
  <c r="B1366" i="10"/>
  <c r="C1365" i="10"/>
  <c r="B1365" i="10"/>
  <c r="C1364" i="10"/>
  <c r="B1364" i="10"/>
  <c r="C1363" i="10"/>
  <c r="B1363" i="10"/>
  <c r="C1362" i="10"/>
  <c r="B1362" i="10"/>
  <c r="C1361" i="10"/>
  <c r="B1361" i="10"/>
  <c r="C1360" i="10"/>
  <c r="B1360" i="10"/>
  <c r="C1359" i="10"/>
  <c r="B1359" i="10"/>
  <c r="C1358" i="10"/>
  <c r="B1358" i="10"/>
  <c r="C1357" i="10"/>
  <c r="B1357" i="10"/>
  <c r="C1356" i="10"/>
  <c r="B1356" i="10"/>
  <c r="C1355" i="10"/>
  <c r="B1355" i="10"/>
  <c r="C1354" i="10"/>
  <c r="B1354" i="10"/>
  <c r="C1353" i="10"/>
  <c r="B1353" i="10"/>
  <c r="C1352" i="10"/>
  <c r="B1352" i="10"/>
  <c r="C1351" i="10"/>
  <c r="B1351" i="10"/>
  <c r="C1350" i="10"/>
  <c r="B1350" i="10"/>
  <c r="C1349" i="10"/>
  <c r="B1349" i="10"/>
  <c r="C1348" i="10"/>
  <c r="B1348" i="10"/>
  <c r="C1347" i="10"/>
  <c r="B1347" i="10"/>
  <c r="C1346" i="10"/>
  <c r="B1346" i="10"/>
  <c r="C1345" i="10"/>
  <c r="B1345" i="10"/>
  <c r="C1344" i="10"/>
  <c r="B1344" i="10"/>
  <c r="C1343" i="10"/>
  <c r="B1343" i="10"/>
  <c r="C1342" i="10"/>
  <c r="B1342" i="10"/>
  <c r="C1341" i="10"/>
  <c r="B1341" i="10"/>
  <c r="C1340" i="10"/>
  <c r="B1340" i="10"/>
  <c r="C1339" i="10"/>
  <c r="B1339" i="10"/>
  <c r="C1338" i="10"/>
  <c r="B1338" i="10"/>
  <c r="C1337" i="10"/>
  <c r="B1337" i="10"/>
  <c r="C1336" i="10"/>
  <c r="B1336" i="10"/>
  <c r="C1335" i="10"/>
  <c r="B1335" i="10"/>
  <c r="C1334" i="10"/>
  <c r="B1334" i="10"/>
  <c r="C1333" i="10"/>
  <c r="B1333" i="10"/>
  <c r="C1332" i="10"/>
  <c r="B1332" i="10"/>
  <c r="C1331" i="10"/>
  <c r="B1331" i="10"/>
  <c r="C1330" i="10"/>
  <c r="B1330" i="10"/>
  <c r="C1329" i="10"/>
  <c r="B1329" i="10"/>
  <c r="C1328" i="10"/>
  <c r="B1328" i="10"/>
  <c r="C1327" i="10"/>
  <c r="B1327" i="10"/>
  <c r="C1326" i="10"/>
  <c r="B1326" i="10"/>
  <c r="C1325" i="10"/>
  <c r="B1325" i="10"/>
  <c r="C1324" i="10"/>
  <c r="B1324" i="10"/>
  <c r="C1323" i="10"/>
  <c r="B1323" i="10"/>
  <c r="C1322" i="10"/>
  <c r="B1322" i="10"/>
  <c r="C1321" i="10"/>
  <c r="B1321" i="10"/>
  <c r="C1320" i="10"/>
  <c r="B1320" i="10"/>
  <c r="C1319" i="10"/>
  <c r="B1319" i="10"/>
  <c r="C1318" i="10"/>
  <c r="B1318" i="10"/>
  <c r="C1317" i="10"/>
  <c r="B1317" i="10"/>
  <c r="C1316" i="10"/>
  <c r="B1316" i="10"/>
  <c r="C1315" i="10"/>
  <c r="B1315" i="10"/>
  <c r="C1314" i="10"/>
  <c r="B1314" i="10"/>
  <c r="C1313" i="10"/>
  <c r="B1313" i="10"/>
  <c r="C1312" i="10"/>
  <c r="B1312" i="10"/>
  <c r="C1311" i="10"/>
  <c r="B1311" i="10"/>
  <c r="C1310" i="10"/>
  <c r="B1310" i="10"/>
  <c r="C1309" i="10"/>
  <c r="B1309" i="10"/>
  <c r="C1308" i="10"/>
  <c r="B1308" i="10"/>
  <c r="C1307" i="10"/>
  <c r="B1307" i="10"/>
  <c r="C1306" i="10"/>
  <c r="B1306" i="10"/>
  <c r="C1305" i="10"/>
  <c r="B1305" i="10"/>
  <c r="C1304" i="10"/>
  <c r="B1304" i="10"/>
  <c r="C1303" i="10"/>
  <c r="B1303" i="10"/>
  <c r="C1302" i="10"/>
  <c r="B1302" i="10"/>
  <c r="C1301" i="10"/>
  <c r="B1301" i="10"/>
  <c r="C1300" i="10"/>
  <c r="B1300" i="10"/>
  <c r="C1299" i="10"/>
  <c r="B1299" i="10"/>
  <c r="C1298" i="10"/>
  <c r="B1298" i="10"/>
  <c r="C1297" i="10"/>
  <c r="B1297" i="10"/>
  <c r="C1296" i="10"/>
  <c r="B1296" i="10"/>
  <c r="C1295" i="10"/>
  <c r="B1295" i="10"/>
  <c r="C1294" i="10"/>
  <c r="B1294" i="10"/>
  <c r="C1293" i="10"/>
  <c r="B1293" i="10"/>
  <c r="C1292" i="10"/>
  <c r="B1292" i="10"/>
  <c r="C1291" i="10"/>
  <c r="B1291" i="10"/>
  <c r="C1290" i="10"/>
  <c r="B1290" i="10"/>
  <c r="C1289" i="10"/>
  <c r="B1289" i="10"/>
  <c r="C1288" i="10"/>
  <c r="B1288" i="10"/>
  <c r="C1287" i="10"/>
  <c r="B1287" i="10"/>
  <c r="C1286" i="10"/>
  <c r="B1286" i="10"/>
  <c r="C1285" i="10"/>
  <c r="B1285" i="10"/>
  <c r="C1284" i="10"/>
  <c r="B1284" i="10"/>
  <c r="C1283" i="10"/>
  <c r="B1283" i="10"/>
  <c r="C1282" i="10"/>
  <c r="B1282" i="10"/>
  <c r="C1281" i="10"/>
  <c r="B1281" i="10"/>
  <c r="C1280" i="10"/>
  <c r="B1280" i="10"/>
  <c r="C1279" i="10"/>
  <c r="B1279" i="10"/>
  <c r="C1278" i="10"/>
  <c r="B1278" i="10"/>
  <c r="C1277" i="10"/>
  <c r="B1277" i="10"/>
  <c r="C1276" i="10"/>
  <c r="B1276" i="10"/>
  <c r="C1275" i="10"/>
  <c r="B1275" i="10"/>
  <c r="C1274" i="10"/>
  <c r="B1274" i="10"/>
  <c r="C1273" i="10"/>
  <c r="B1273" i="10"/>
  <c r="C1272" i="10"/>
  <c r="B1272" i="10"/>
  <c r="C1271" i="10"/>
  <c r="B1271" i="10"/>
  <c r="C1270" i="10"/>
  <c r="B1270" i="10"/>
  <c r="C1269" i="10"/>
  <c r="B1269" i="10"/>
  <c r="C1268" i="10"/>
  <c r="B1268" i="10"/>
  <c r="C1267" i="10"/>
  <c r="B1267" i="10"/>
  <c r="C1266" i="10"/>
  <c r="B1266" i="10"/>
  <c r="C1265" i="10"/>
  <c r="B1265" i="10"/>
  <c r="C1264" i="10"/>
  <c r="B1264" i="10"/>
  <c r="C1263" i="10"/>
  <c r="B1263" i="10"/>
  <c r="C1262" i="10"/>
  <c r="B1262" i="10"/>
  <c r="C1261" i="10"/>
  <c r="B1261" i="10"/>
  <c r="C1260" i="10"/>
  <c r="B1260" i="10"/>
  <c r="C1259" i="10"/>
  <c r="B1259" i="10"/>
  <c r="C1258" i="10"/>
  <c r="B1258" i="10"/>
  <c r="C1257" i="10"/>
  <c r="B1257" i="10"/>
  <c r="C1256" i="10"/>
  <c r="B1256" i="10"/>
  <c r="C1255" i="10"/>
  <c r="B1255" i="10"/>
  <c r="C1254" i="10"/>
  <c r="B1254" i="10"/>
  <c r="C1253" i="10"/>
  <c r="B1253" i="10"/>
  <c r="C1252" i="10"/>
  <c r="B1252" i="10"/>
  <c r="C1251" i="10"/>
  <c r="B1251" i="10"/>
  <c r="C1250" i="10"/>
  <c r="B1250" i="10"/>
  <c r="C1249" i="10"/>
  <c r="B1249" i="10"/>
  <c r="C1248" i="10"/>
  <c r="B1248" i="10"/>
  <c r="C1247" i="10"/>
  <c r="B1247" i="10"/>
  <c r="C1246" i="10"/>
  <c r="B1246" i="10"/>
  <c r="C1245" i="10"/>
  <c r="B1245" i="10"/>
  <c r="C1244" i="10"/>
  <c r="B1244" i="10"/>
  <c r="C1243" i="10"/>
  <c r="B1243" i="10"/>
  <c r="C1242" i="10"/>
  <c r="B1242" i="10"/>
  <c r="C1241" i="10"/>
  <c r="B1241" i="10"/>
  <c r="C1240" i="10"/>
  <c r="B1240" i="10"/>
  <c r="C1239" i="10"/>
  <c r="B1239" i="10"/>
  <c r="C1238" i="10"/>
  <c r="B1238" i="10"/>
  <c r="C1237" i="10"/>
  <c r="B1237" i="10"/>
  <c r="C1236" i="10"/>
  <c r="B1236" i="10"/>
  <c r="C1235" i="10"/>
  <c r="B1235" i="10"/>
  <c r="C1234" i="10"/>
  <c r="B1234" i="10"/>
  <c r="C1233" i="10"/>
  <c r="B1233" i="10"/>
  <c r="C1232" i="10"/>
  <c r="B1232" i="10"/>
  <c r="C1231" i="10"/>
  <c r="B1231" i="10"/>
  <c r="C1230" i="10"/>
  <c r="B1230" i="10"/>
  <c r="C1229" i="10"/>
  <c r="B1229" i="10"/>
  <c r="C1228" i="10"/>
  <c r="B1228" i="10"/>
  <c r="C1227" i="10"/>
  <c r="B1227" i="10"/>
  <c r="C1226" i="10"/>
  <c r="B1226" i="10"/>
  <c r="C1225" i="10"/>
  <c r="B1225" i="10"/>
  <c r="C1224" i="10"/>
  <c r="B1224" i="10"/>
  <c r="C1223" i="10"/>
  <c r="B1223" i="10"/>
  <c r="C1222" i="10"/>
  <c r="B1222" i="10"/>
  <c r="C1221" i="10"/>
  <c r="B1221" i="10"/>
  <c r="C1220" i="10"/>
  <c r="B1220" i="10"/>
  <c r="C1219" i="10"/>
  <c r="B1219" i="10"/>
  <c r="C1218" i="10"/>
  <c r="B1218" i="10"/>
  <c r="C1217" i="10"/>
  <c r="B1217" i="10"/>
  <c r="C1216" i="10"/>
  <c r="B1216" i="10"/>
  <c r="C1215" i="10"/>
  <c r="B1215" i="10"/>
  <c r="C1214" i="10"/>
  <c r="B1214" i="10"/>
  <c r="C1213" i="10"/>
  <c r="B1213" i="10"/>
  <c r="C1212" i="10"/>
  <c r="B1212" i="10"/>
  <c r="C1211" i="10"/>
  <c r="B1211" i="10"/>
  <c r="C1210" i="10"/>
  <c r="B1210" i="10"/>
  <c r="C1209" i="10"/>
  <c r="B1209" i="10"/>
  <c r="C1208" i="10"/>
  <c r="B1208" i="10"/>
  <c r="C1207" i="10"/>
  <c r="B1207" i="10"/>
  <c r="C1206" i="10"/>
  <c r="B1206" i="10"/>
  <c r="C1205" i="10"/>
  <c r="B1205" i="10"/>
  <c r="C1204" i="10"/>
  <c r="B1204" i="10"/>
  <c r="C1203" i="10"/>
  <c r="B1203" i="10"/>
  <c r="C1202" i="10"/>
  <c r="B1202" i="10"/>
  <c r="C1201" i="10"/>
  <c r="B1201" i="10"/>
  <c r="C1200" i="10"/>
  <c r="B1200" i="10"/>
  <c r="C1199" i="10"/>
  <c r="B1199" i="10"/>
  <c r="C1198" i="10"/>
  <c r="B1198" i="10"/>
  <c r="C1197" i="10"/>
  <c r="B1197" i="10"/>
  <c r="C1196" i="10"/>
  <c r="B1196" i="10"/>
  <c r="C1195" i="10"/>
  <c r="B1195" i="10"/>
  <c r="C1194" i="10"/>
  <c r="B1194" i="10"/>
  <c r="C1193" i="10"/>
  <c r="B1193" i="10"/>
  <c r="C1192" i="10"/>
  <c r="B1192" i="10"/>
  <c r="C1191" i="10"/>
  <c r="B1191" i="10"/>
  <c r="C1190" i="10"/>
  <c r="B1190" i="10"/>
  <c r="C1189" i="10"/>
  <c r="B1189" i="10"/>
  <c r="C1188" i="10"/>
  <c r="B1188" i="10"/>
  <c r="C1187" i="10"/>
  <c r="B1187" i="10"/>
  <c r="C1186" i="10"/>
  <c r="B1186" i="10"/>
  <c r="C1185" i="10"/>
  <c r="B1185" i="10"/>
  <c r="C1184" i="10"/>
  <c r="B1184" i="10"/>
  <c r="C1183" i="10"/>
  <c r="B1183" i="10"/>
  <c r="C1182" i="10"/>
  <c r="B1182" i="10"/>
  <c r="C1181" i="10"/>
  <c r="B1181" i="10"/>
  <c r="C1180" i="10"/>
  <c r="B1180" i="10"/>
  <c r="C1179" i="10"/>
  <c r="B1179" i="10"/>
  <c r="C1178" i="10"/>
  <c r="B1178" i="10"/>
  <c r="C1177" i="10"/>
  <c r="B1177" i="10"/>
  <c r="C1176" i="10"/>
  <c r="B1176" i="10"/>
  <c r="C1175" i="10"/>
  <c r="B1175" i="10"/>
  <c r="C1174" i="10"/>
  <c r="B1174" i="10"/>
  <c r="C1173" i="10"/>
  <c r="B1173" i="10"/>
  <c r="C1172" i="10"/>
  <c r="B1172" i="10"/>
  <c r="C1171" i="10"/>
  <c r="B1171" i="10"/>
  <c r="C1170" i="10"/>
  <c r="B1170" i="10"/>
  <c r="C1169" i="10"/>
  <c r="B1169" i="10"/>
  <c r="C1168" i="10"/>
  <c r="B1168" i="10"/>
  <c r="C1167" i="10"/>
  <c r="B1167" i="10"/>
  <c r="C1166" i="10"/>
  <c r="B1166" i="10"/>
  <c r="C1165" i="10"/>
  <c r="B1165" i="10"/>
  <c r="C1164" i="10"/>
  <c r="B1164" i="10"/>
  <c r="C1163" i="10"/>
  <c r="B1163" i="10"/>
  <c r="C1162" i="10"/>
  <c r="B1162" i="10"/>
  <c r="C1161" i="10"/>
  <c r="B1161" i="10"/>
  <c r="C1160" i="10"/>
  <c r="B1160" i="10"/>
  <c r="C1159" i="10"/>
  <c r="B1159" i="10"/>
  <c r="C1158" i="10"/>
  <c r="B1158" i="10"/>
  <c r="C1157" i="10"/>
  <c r="B1157" i="10"/>
  <c r="C1156" i="10"/>
  <c r="B1156" i="10"/>
  <c r="C1155" i="10"/>
  <c r="B1155" i="10"/>
  <c r="C1154" i="10"/>
  <c r="B1154" i="10"/>
  <c r="C1153" i="10"/>
  <c r="B1153" i="10"/>
  <c r="C1152" i="10"/>
  <c r="B1152" i="10"/>
  <c r="C1151" i="10"/>
  <c r="B1151" i="10"/>
  <c r="C1150" i="10"/>
  <c r="B1150" i="10"/>
  <c r="C1149" i="10"/>
  <c r="B1149" i="10"/>
  <c r="C1148" i="10"/>
  <c r="B1148" i="10"/>
  <c r="C1147" i="10"/>
  <c r="B1147" i="10"/>
  <c r="C1146" i="10"/>
  <c r="B1146" i="10"/>
  <c r="C1145" i="10"/>
  <c r="B1145" i="10"/>
  <c r="C1144" i="10"/>
  <c r="B1144" i="10"/>
  <c r="C1143" i="10"/>
  <c r="B1143" i="10"/>
  <c r="C1142" i="10"/>
  <c r="B1142" i="10"/>
  <c r="C1141" i="10"/>
  <c r="B1141" i="10"/>
  <c r="C1140" i="10"/>
  <c r="B1140" i="10"/>
  <c r="C1139" i="10"/>
  <c r="B1139" i="10"/>
  <c r="C1138" i="10"/>
  <c r="B1138" i="10"/>
  <c r="C1137" i="10"/>
  <c r="B1137" i="10"/>
  <c r="C1136" i="10"/>
  <c r="B1136" i="10"/>
  <c r="C1135" i="10"/>
  <c r="B1135" i="10"/>
  <c r="C1134" i="10"/>
  <c r="B1134" i="10"/>
  <c r="C1133" i="10"/>
  <c r="B1133" i="10"/>
  <c r="C1132" i="10"/>
  <c r="B1132" i="10"/>
  <c r="C1131" i="10"/>
  <c r="B1131" i="10"/>
  <c r="C1130" i="10"/>
  <c r="B1130" i="10"/>
  <c r="C1129" i="10"/>
  <c r="B1129" i="10"/>
  <c r="C1128" i="10"/>
  <c r="B1128" i="10"/>
  <c r="C1127" i="10"/>
  <c r="B1127" i="10"/>
  <c r="C1126" i="10"/>
  <c r="B1126" i="10"/>
  <c r="C1125" i="10"/>
  <c r="B1125" i="10"/>
  <c r="C1124" i="10"/>
  <c r="B1124" i="10"/>
  <c r="C1123" i="10"/>
  <c r="B1123" i="10"/>
  <c r="C1122" i="10"/>
  <c r="B1122" i="10"/>
  <c r="C1121" i="10"/>
  <c r="B1121" i="10"/>
  <c r="C1120" i="10"/>
  <c r="B1120" i="10"/>
  <c r="C1119" i="10"/>
  <c r="B1119" i="10"/>
  <c r="C1118" i="10"/>
  <c r="B1118" i="10"/>
  <c r="C1117" i="10"/>
  <c r="B1117" i="10"/>
  <c r="C1116" i="10"/>
  <c r="B1116" i="10"/>
  <c r="C1115" i="10"/>
  <c r="B1115" i="10"/>
  <c r="C1114" i="10"/>
  <c r="B1114" i="10"/>
  <c r="C1113" i="10"/>
  <c r="B1113" i="10"/>
  <c r="C1112" i="10"/>
  <c r="B1112" i="10"/>
  <c r="C1111" i="10"/>
  <c r="B1111" i="10"/>
  <c r="C1110" i="10"/>
  <c r="B1110" i="10"/>
  <c r="C1109" i="10"/>
  <c r="B1109" i="10"/>
  <c r="C1108" i="10"/>
  <c r="B1108" i="10"/>
  <c r="C1107" i="10"/>
  <c r="B1107" i="10"/>
  <c r="C1106" i="10"/>
  <c r="B1106" i="10"/>
  <c r="C1105" i="10"/>
  <c r="B1105" i="10"/>
  <c r="C1104" i="10"/>
  <c r="B1104" i="10"/>
  <c r="C1103" i="10"/>
  <c r="B1103" i="10"/>
  <c r="C1102" i="10"/>
  <c r="B1102" i="10"/>
  <c r="C1101" i="10"/>
  <c r="B1101" i="10"/>
  <c r="C1100" i="10"/>
  <c r="B1100" i="10"/>
  <c r="C1099" i="10"/>
  <c r="B1099" i="10"/>
  <c r="C1098" i="10"/>
  <c r="B1098" i="10"/>
  <c r="C1097" i="10"/>
  <c r="B1097" i="10"/>
  <c r="C1096" i="10"/>
  <c r="B1096" i="10"/>
  <c r="C1095" i="10"/>
  <c r="B1095" i="10"/>
  <c r="C1094" i="10"/>
  <c r="B1094" i="10"/>
  <c r="C1093" i="10"/>
  <c r="B1093" i="10"/>
  <c r="C1092" i="10"/>
  <c r="B1092" i="10"/>
  <c r="C1091" i="10"/>
  <c r="B1091" i="10"/>
  <c r="C1090" i="10"/>
  <c r="B1090" i="10"/>
  <c r="C1089" i="10"/>
  <c r="B1089" i="10"/>
  <c r="C1088" i="10"/>
  <c r="B1088" i="10"/>
  <c r="C1087" i="10"/>
  <c r="B1087" i="10"/>
  <c r="C1086" i="10"/>
  <c r="B1086" i="10"/>
  <c r="C1085" i="10"/>
  <c r="B1085" i="10"/>
  <c r="C1084" i="10"/>
  <c r="B1084" i="10"/>
  <c r="C1083" i="10"/>
  <c r="B1083" i="10"/>
  <c r="C1082" i="10"/>
  <c r="B1082" i="10"/>
  <c r="C1081" i="10"/>
  <c r="B1081" i="10"/>
  <c r="C1080" i="10"/>
  <c r="B1080" i="10"/>
  <c r="C1079" i="10"/>
  <c r="B1079" i="10"/>
  <c r="C1078" i="10"/>
  <c r="B1078" i="10"/>
  <c r="C1077" i="10"/>
  <c r="B1077" i="10"/>
  <c r="C1076" i="10"/>
  <c r="B1076" i="10"/>
  <c r="C1075" i="10"/>
  <c r="B1075" i="10"/>
  <c r="C1074" i="10"/>
  <c r="B1074" i="10"/>
  <c r="C1073" i="10"/>
  <c r="B1073" i="10"/>
  <c r="C1072" i="10"/>
  <c r="B1072" i="10"/>
  <c r="C1071" i="10"/>
  <c r="B1071" i="10"/>
  <c r="C1070" i="10"/>
  <c r="B1070" i="10"/>
  <c r="C1069" i="10"/>
  <c r="B1069" i="10"/>
  <c r="C1068" i="10"/>
  <c r="B1068" i="10"/>
  <c r="C1067" i="10"/>
  <c r="B1067" i="10"/>
  <c r="C1066" i="10"/>
  <c r="B1066" i="10"/>
  <c r="C1065" i="10"/>
  <c r="B1065" i="10"/>
  <c r="C1064" i="10"/>
  <c r="B1064" i="10"/>
  <c r="C1063" i="10"/>
  <c r="B1063" i="10"/>
  <c r="C1062" i="10"/>
  <c r="B1062" i="10"/>
  <c r="C1061" i="10"/>
  <c r="B1061" i="10"/>
  <c r="C1060" i="10"/>
  <c r="B1060" i="10"/>
  <c r="C1059" i="10"/>
  <c r="B1059" i="10"/>
  <c r="C1058" i="10"/>
  <c r="B1058" i="10"/>
  <c r="C1057" i="10"/>
  <c r="B1057" i="10"/>
  <c r="C1056" i="10"/>
  <c r="B1056" i="10"/>
  <c r="C1055" i="10"/>
  <c r="B1055" i="10"/>
  <c r="C1054" i="10"/>
  <c r="B1054" i="10"/>
  <c r="C1053" i="10"/>
  <c r="B1053" i="10"/>
  <c r="C1052" i="10"/>
  <c r="B1052" i="10"/>
  <c r="C1051" i="10"/>
  <c r="B1051" i="10"/>
  <c r="C1050" i="10"/>
  <c r="B1050" i="10"/>
  <c r="C1049" i="10"/>
  <c r="B1049" i="10"/>
  <c r="B1048" i="10"/>
  <c r="C1047" i="10"/>
  <c r="B1047" i="10"/>
  <c r="C1046" i="10"/>
  <c r="B1046" i="10"/>
  <c r="C1045" i="10"/>
  <c r="B1045" i="10"/>
  <c r="C1044" i="10"/>
  <c r="B1044" i="10"/>
  <c r="C1605" i="11"/>
  <c r="B1605" i="11"/>
  <c r="C1604" i="11"/>
  <c r="B1604" i="11"/>
  <c r="C1603" i="11"/>
  <c r="B1603" i="11"/>
  <c r="C1602" i="11"/>
  <c r="B1602" i="11"/>
  <c r="C1601" i="11"/>
  <c r="B1601" i="11"/>
  <c r="C1600" i="11"/>
  <c r="B1600" i="11"/>
  <c r="C1599" i="11"/>
  <c r="B1599" i="11"/>
  <c r="C1598" i="11"/>
  <c r="B1598" i="11"/>
  <c r="C1597" i="11"/>
  <c r="B1597" i="11"/>
  <c r="C1596" i="11"/>
  <c r="B1596" i="11"/>
  <c r="C1595" i="11"/>
  <c r="B1595" i="11"/>
  <c r="C1594" i="11"/>
  <c r="B1594" i="11"/>
  <c r="C1593" i="11"/>
  <c r="B1593" i="11"/>
  <c r="C1592" i="11"/>
  <c r="B1592" i="11"/>
  <c r="C1591" i="11"/>
  <c r="B1591" i="11"/>
  <c r="C1590" i="11"/>
  <c r="B1590" i="11"/>
  <c r="C1589" i="11"/>
  <c r="B1589" i="11"/>
  <c r="C1588" i="11"/>
  <c r="B1588" i="11"/>
  <c r="C1587" i="11"/>
  <c r="B1587" i="11"/>
  <c r="C1586" i="11"/>
  <c r="B1586" i="11"/>
  <c r="C1585" i="11"/>
  <c r="B1585" i="11"/>
  <c r="C1584" i="11"/>
  <c r="B1584" i="11"/>
  <c r="C1583" i="11"/>
  <c r="B1583" i="11"/>
  <c r="C1582" i="11"/>
  <c r="B1582" i="11"/>
  <c r="C1581" i="11"/>
  <c r="B1581" i="11"/>
  <c r="C1580" i="11"/>
  <c r="B1580" i="11"/>
  <c r="C1579" i="11"/>
  <c r="B1579" i="11"/>
  <c r="C1578" i="11"/>
  <c r="B1578" i="11"/>
  <c r="C1577" i="11"/>
  <c r="B1577" i="11"/>
  <c r="C1576" i="11"/>
  <c r="B1576" i="11"/>
  <c r="C1575" i="11"/>
  <c r="B1575" i="11"/>
  <c r="C1574" i="11"/>
  <c r="B1574" i="11"/>
  <c r="C1573" i="11"/>
  <c r="B1573" i="11"/>
  <c r="C1572" i="11"/>
  <c r="B1572" i="11"/>
  <c r="C1571" i="11"/>
  <c r="B1571" i="11"/>
  <c r="C1570" i="11"/>
  <c r="B1570" i="11"/>
  <c r="C1569" i="11"/>
  <c r="B1569" i="11"/>
  <c r="C1568" i="11"/>
  <c r="B1568" i="11"/>
  <c r="C1567" i="11"/>
  <c r="B1567" i="11"/>
  <c r="C1566" i="11"/>
  <c r="B1566" i="11"/>
  <c r="C1565" i="11"/>
  <c r="B1565" i="11"/>
  <c r="C1564" i="11"/>
  <c r="B1564" i="11"/>
  <c r="C1563" i="11"/>
  <c r="B1563" i="11"/>
  <c r="C1562" i="11"/>
  <c r="B1562" i="11"/>
  <c r="C1561" i="11"/>
  <c r="B1561" i="11"/>
  <c r="C1560" i="11"/>
  <c r="B1560" i="11"/>
  <c r="C1559" i="11"/>
  <c r="B1559" i="11"/>
  <c r="C1558" i="11"/>
  <c r="B1558" i="11"/>
  <c r="C1557" i="11"/>
  <c r="B1557" i="11"/>
  <c r="C1556" i="11"/>
  <c r="B1556" i="11"/>
  <c r="C1555" i="11"/>
  <c r="B1555" i="11"/>
  <c r="C1554" i="11"/>
  <c r="B1554" i="11"/>
  <c r="C1553" i="11"/>
  <c r="B1553" i="11"/>
  <c r="C1552" i="11"/>
  <c r="B1552" i="11"/>
  <c r="C1551" i="11"/>
  <c r="B1551" i="11"/>
  <c r="C1550" i="11"/>
  <c r="B1550" i="11"/>
  <c r="C1549" i="11"/>
  <c r="B1549" i="11"/>
  <c r="C1548" i="11"/>
  <c r="B1548" i="11"/>
  <c r="C1547" i="11"/>
  <c r="B1547" i="11"/>
  <c r="C1546" i="11"/>
  <c r="B1546" i="11"/>
  <c r="C1545" i="11"/>
  <c r="B1545" i="11"/>
  <c r="C1544" i="11"/>
  <c r="B1544" i="11"/>
  <c r="C1543" i="11"/>
  <c r="B1543" i="11"/>
  <c r="C1542" i="11"/>
  <c r="B1542" i="11"/>
  <c r="C1541" i="11"/>
  <c r="B1541" i="11"/>
  <c r="C1540" i="11"/>
  <c r="B1540" i="11"/>
  <c r="C1539" i="11"/>
  <c r="B1539" i="11"/>
  <c r="C1538" i="11"/>
  <c r="B1538" i="11"/>
  <c r="C1537" i="11"/>
  <c r="B1537" i="11"/>
  <c r="C1536" i="11"/>
  <c r="B1536" i="11"/>
  <c r="C1535" i="11"/>
  <c r="B1535" i="11"/>
  <c r="C1534" i="11"/>
  <c r="B1534" i="11"/>
  <c r="C1533" i="11"/>
  <c r="B1533" i="11"/>
  <c r="C1532" i="11"/>
  <c r="B1532" i="11"/>
  <c r="C1531" i="11"/>
  <c r="B1531" i="11"/>
  <c r="C1530" i="11"/>
  <c r="B1530" i="11"/>
  <c r="C1529" i="11"/>
  <c r="B1529" i="11"/>
  <c r="C1528" i="11"/>
  <c r="B1528" i="11"/>
  <c r="C1527" i="11"/>
  <c r="B1527" i="11"/>
  <c r="C1526" i="11"/>
  <c r="B1526" i="11"/>
  <c r="C1525" i="11"/>
  <c r="B1525" i="11"/>
  <c r="C1524" i="11"/>
  <c r="B1524" i="11"/>
  <c r="C1523" i="11"/>
  <c r="B1523" i="11"/>
  <c r="C1522" i="11"/>
  <c r="B1522" i="11"/>
  <c r="C1521" i="11"/>
  <c r="B1521" i="11"/>
  <c r="C1520" i="11"/>
  <c r="B1520" i="11"/>
  <c r="C1519" i="11"/>
  <c r="B1519" i="11"/>
  <c r="C1518" i="11"/>
  <c r="B1518" i="11"/>
  <c r="C1517" i="11"/>
  <c r="B1517" i="11"/>
  <c r="C1516" i="11"/>
  <c r="B1516" i="11"/>
  <c r="C1515" i="11"/>
  <c r="B1515" i="11"/>
  <c r="C1514" i="11"/>
  <c r="B1514" i="11"/>
  <c r="C1513" i="11"/>
  <c r="B1513" i="11"/>
  <c r="C1512" i="11"/>
  <c r="B1512" i="11"/>
  <c r="C1511" i="11"/>
  <c r="B1511" i="11"/>
  <c r="C1510" i="11"/>
  <c r="B1510" i="11"/>
  <c r="C1509" i="11"/>
  <c r="B1509" i="11"/>
  <c r="C1508" i="11"/>
  <c r="B1508" i="11"/>
  <c r="C1507" i="11"/>
  <c r="B1507" i="11"/>
  <c r="C1506" i="11"/>
  <c r="B1506" i="11"/>
  <c r="C1505" i="11"/>
  <c r="B1505" i="11"/>
  <c r="C1504" i="11"/>
  <c r="B1504" i="11"/>
  <c r="C1503" i="11"/>
  <c r="B1503" i="11"/>
  <c r="C1502" i="11"/>
  <c r="B1502" i="11"/>
  <c r="C1501" i="11"/>
  <c r="B1501" i="11"/>
  <c r="C1500" i="11"/>
  <c r="B1500" i="11"/>
  <c r="C1499" i="11"/>
  <c r="B1499" i="11"/>
  <c r="C1498" i="11"/>
  <c r="B1498" i="11"/>
  <c r="C1497" i="11"/>
  <c r="B1497" i="11"/>
  <c r="C1496" i="11"/>
  <c r="B1496" i="11"/>
  <c r="C1495" i="11"/>
  <c r="B1495" i="11"/>
  <c r="C1494" i="11"/>
  <c r="B1494" i="11"/>
  <c r="C1493" i="11"/>
  <c r="B1493" i="11"/>
  <c r="C1492" i="11"/>
  <c r="B1492" i="11"/>
  <c r="C1491" i="11"/>
  <c r="B1491" i="11"/>
  <c r="C1490" i="11"/>
  <c r="B1490" i="11"/>
  <c r="C1489" i="11"/>
  <c r="B1489" i="11"/>
  <c r="C1488" i="11"/>
  <c r="B1488" i="11"/>
  <c r="C1487" i="11"/>
  <c r="B1487" i="11"/>
  <c r="C1486" i="11"/>
  <c r="B1486" i="11"/>
  <c r="C1485" i="11"/>
  <c r="B1485" i="11"/>
  <c r="C1484" i="11"/>
  <c r="B1484" i="11"/>
  <c r="C1483" i="11"/>
  <c r="B1483" i="11"/>
  <c r="C1482" i="11"/>
  <c r="B1482" i="11"/>
  <c r="C1481" i="11"/>
  <c r="B1481" i="11"/>
  <c r="C1480" i="11"/>
  <c r="B1480" i="11"/>
  <c r="C1479" i="11"/>
  <c r="B1479" i="11"/>
  <c r="C1478" i="11"/>
  <c r="B1478" i="11"/>
  <c r="C1477" i="11"/>
  <c r="B1477" i="11"/>
  <c r="C1476" i="11"/>
  <c r="B1476" i="11"/>
  <c r="C1475" i="11"/>
  <c r="B1475" i="11"/>
  <c r="C1474" i="11"/>
  <c r="B1474" i="11"/>
  <c r="C1473" i="11"/>
  <c r="B1473" i="11"/>
  <c r="C1472" i="11"/>
  <c r="B1472" i="11"/>
  <c r="C1471" i="11"/>
  <c r="B1471" i="11"/>
  <c r="C1470" i="11"/>
  <c r="B1470" i="11"/>
  <c r="C1469" i="11"/>
  <c r="B1469" i="11"/>
  <c r="C1468" i="11"/>
  <c r="B1468" i="11"/>
  <c r="C1467" i="11"/>
  <c r="B1467" i="11"/>
  <c r="C1466" i="11"/>
  <c r="B1466" i="11"/>
  <c r="C1465" i="11"/>
  <c r="B1465" i="11"/>
  <c r="C1464" i="11"/>
  <c r="B1464" i="11"/>
  <c r="C1463" i="11"/>
  <c r="B1463" i="11"/>
  <c r="C1462" i="11"/>
  <c r="B1462" i="11"/>
  <c r="C1461" i="11"/>
  <c r="B1461" i="11"/>
  <c r="C1460" i="11"/>
  <c r="B1460" i="11"/>
  <c r="C1459" i="11"/>
  <c r="B1459" i="11"/>
  <c r="C1458" i="11"/>
  <c r="B1458" i="11"/>
  <c r="C1457" i="11"/>
  <c r="B1457" i="11"/>
  <c r="C1456" i="11"/>
  <c r="B1456" i="11"/>
  <c r="C1455" i="11"/>
  <c r="B1455" i="11"/>
  <c r="C1454" i="11"/>
  <c r="B1454" i="11"/>
  <c r="C1453" i="11"/>
  <c r="B1453" i="11"/>
  <c r="C1452" i="11"/>
  <c r="B1452" i="11"/>
  <c r="C1451" i="11"/>
  <c r="B1451" i="11"/>
  <c r="C1450" i="11"/>
  <c r="B1450" i="11"/>
  <c r="C1449" i="11"/>
  <c r="B1449" i="11"/>
  <c r="C1448" i="11"/>
  <c r="B1448" i="11"/>
  <c r="C1447" i="11"/>
  <c r="B1447" i="11"/>
  <c r="C1446" i="11"/>
  <c r="B1446" i="11"/>
  <c r="C1445" i="11"/>
  <c r="B1445" i="11"/>
  <c r="C1444" i="11"/>
  <c r="B1444" i="11"/>
  <c r="C1443" i="11"/>
  <c r="B1443" i="11"/>
  <c r="C1442" i="11"/>
  <c r="B1442" i="11"/>
  <c r="C1441" i="11"/>
  <c r="B1441" i="11"/>
  <c r="C1440" i="11"/>
  <c r="B1440" i="11"/>
  <c r="C1439" i="11"/>
  <c r="B1439" i="11"/>
  <c r="C1438" i="11"/>
  <c r="B1438" i="11"/>
  <c r="C1437" i="11"/>
  <c r="B1437" i="11"/>
  <c r="C1436" i="11"/>
  <c r="B1436" i="11"/>
  <c r="C1435" i="11"/>
  <c r="B1435" i="11"/>
  <c r="C1434" i="11"/>
  <c r="B1434" i="11"/>
  <c r="C1433" i="11"/>
  <c r="B1433" i="11"/>
  <c r="C1432" i="11"/>
  <c r="B1432" i="11"/>
  <c r="C1431" i="11"/>
  <c r="B1431" i="11"/>
  <c r="C1430" i="11"/>
  <c r="B1430" i="11"/>
  <c r="C1429" i="11"/>
  <c r="B1429" i="11"/>
  <c r="C1428" i="11"/>
  <c r="B1428" i="11"/>
  <c r="C1427" i="11"/>
  <c r="B1427" i="11"/>
  <c r="C1426" i="11"/>
  <c r="B1426" i="11"/>
  <c r="C1425" i="11"/>
  <c r="B1425" i="11"/>
  <c r="C1424" i="11"/>
  <c r="B1424" i="11"/>
  <c r="C1423" i="11"/>
  <c r="B1423" i="11"/>
  <c r="C1422" i="11"/>
  <c r="B1422" i="11"/>
  <c r="C1421" i="11"/>
  <c r="B1421" i="11"/>
  <c r="C1420" i="11"/>
  <c r="B1420" i="11"/>
  <c r="C1419" i="11"/>
  <c r="B1419" i="11"/>
  <c r="C1418" i="11"/>
  <c r="B1418" i="11"/>
  <c r="C1417" i="11"/>
  <c r="B1417" i="11"/>
  <c r="C1416" i="11"/>
  <c r="B1416" i="11"/>
  <c r="C1415" i="11"/>
  <c r="B1415" i="11"/>
  <c r="C1414" i="11"/>
  <c r="B1414" i="11"/>
  <c r="C1413" i="11"/>
  <c r="B1413" i="11"/>
  <c r="C1412" i="11"/>
  <c r="B1412" i="11"/>
  <c r="C1411" i="11"/>
  <c r="B1411" i="11"/>
  <c r="C1410" i="11"/>
  <c r="B1410" i="11"/>
  <c r="C1409" i="11"/>
  <c r="B1409" i="11"/>
  <c r="C1408" i="11"/>
  <c r="B1408" i="11"/>
  <c r="C1407" i="11"/>
  <c r="B1407" i="11"/>
  <c r="C1406" i="11"/>
  <c r="B1406" i="11"/>
  <c r="C1405" i="11"/>
  <c r="B1405" i="11"/>
  <c r="C1404" i="11"/>
  <c r="B1404" i="11"/>
  <c r="C1403" i="11"/>
  <c r="B1403" i="11"/>
  <c r="C1402" i="11"/>
  <c r="B1402" i="11"/>
  <c r="C1401" i="11"/>
  <c r="B1401" i="11"/>
  <c r="C1400" i="11"/>
  <c r="B1400" i="11"/>
  <c r="C1399" i="11"/>
  <c r="B1399" i="11"/>
  <c r="C1398" i="11"/>
  <c r="B1398" i="11"/>
  <c r="C1397" i="11"/>
  <c r="B1397" i="11"/>
  <c r="C1396" i="11"/>
  <c r="B1396" i="11"/>
  <c r="C1395" i="11"/>
  <c r="B1395" i="11"/>
  <c r="C1394" i="11"/>
  <c r="B1394" i="11"/>
  <c r="C1393" i="11"/>
  <c r="B1393" i="11"/>
  <c r="C1392" i="11"/>
  <c r="B1392" i="11"/>
  <c r="C1391" i="11"/>
  <c r="B1391" i="11"/>
  <c r="C1390" i="11"/>
  <c r="B1390" i="11"/>
  <c r="C1389" i="11"/>
  <c r="B1389" i="11"/>
  <c r="C1388" i="11"/>
  <c r="B1388" i="11"/>
  <c r="C1387" i="11"/>
  <c r="B1387" i="11"/>
  <c r="C1386" i="11"/>
  <c r="B1386" i="11"/>
  <c r="C1385" i="11"/>
  <c r="B1385" i="11"/>
  <c r="C1384" i="11"/>
  <c r="B1384" i="11"/>
  <c r="C1383" i="11"/>
  <c r="B1383" i="11"/>
  <c r="C1382" i="11"/>
  <c r="B1382" i="11"/>
  <c r="C1381" i="11"/>
  <c r="B1381" i="11"/>
  <c r="C1380" i="11"/>
  <c r="B1380" i="11"/>
  <c r="C1379" i="11"/>
  <c r="B1379" i="11"/>
  <c r="C1378" i="11"/>
  <c r="B1378" i="11"/>
  <c r="C1377" i="11"/>
  <c r="B1377" i="11"/>
  <c r="C1376" i="11"/>
  <c r="B1376" i="11"/>
  <c r="C1375" i="11"/>
  <c r="B1375" i="11"/>
  <c r="C1374" i="11"/>
  <c r="B1374" i="11"/>
  <c r="C1373" i="11"/>
  <c r="B1373" i="11"/>
  <c r="C1372" i="11"/>
  <c r="B1372" i="11"/>
  <c r="C1371" i="11"/>
  <c r="B1371" i="11"/>
  <c r="C1370" i="11"/>
  <c r="B1370" i="11"/>
  <c r="C1369" i="11"/>
  <c r="B1369" i="11"/>
  <c r="C1368" i="11"/>
  <c r="B1368" i="11"/>
  <c r="C1367" i="11"/>
  <c r="B1367" i="11"/>
  <c r="C1366" i="11"/>
  <c r="B1366" i="11"/>
  <c r="C1365" i="11"/>
  <c r="B1365" i="11"/>
  <c r="C1364" i="11"/>
  <c r="B1364" i="11"/>
  <c r="C1363" i="11"/>
  <c r="B1363" i="11"/>
  <c r="C1362" i="11"/>
  <c r="B1362" i="11"/>
  <c r="C1361" i="11"/>
  <c r="B1361" i="11"/>
  <c r="C1360" i="11"/>
  <c r="B1360" i="11"/>
  <c r="C1359" i="11"/>
  <c r="B1359" i="11"/>
  <c r="C1358" i="11"/>
  <c r="B1358" i="11"/>
  <c r="C1357" i="11"/>
  <c r="B1357" i="11"/>
  <c r="C1356" i="11"/>
  <c r="B1356" i="11"/>
  <c r="C1355" i="11"/>
  <c r="B1355" i="11"/>
  <c r="C1354" i="11"/>
  <c r="B1354" i="11"/>
  <c r="C1353" i="11"/>
  <c r="B1353" i="11"/>
  <c r="C1352" i="11"/>
  <c r="B1352" i="11"/>
  <c r="C1351" i="11"/>
  <c r="B1351" i="11"/>
  <c r="C1350" i="11"/>
  <c r="B1350" i="11"/>
  <c r="C1349" i="11"/>
  <c r="B1349" i="11"/>
  <c r="C1348" i="11"/>
  <c r="B1348" i="11"/>
  <c r="C1347" i="11"/>
  <c r="B1347" i="11"/>
  <c r="C1346" i="11"/>
  <c r="B1346" i="11"/>
  <c r="C1345" i="11"/>
  <c r="B1345" i="11"/>
  <c r="C1344" i="11"/>
  <c r="B1344" i="11"/>
  <c r="C1343" i="11"/>
  <c r="B1343" i="11"/>
  <c r="C1342" i="11"/>
  <c r="B1342" i="11"/>
  <c r="C1341" i="11"/>
  <c r="B1341" i="11"/>
  <c r="C1340" i="11"/>
  <c r="B1340" i="11"/>
  <c r="C1339" i="11"/>
  <c r="B1339" i="11"/>
  <c r="C1338" i="11"/>
  <c r="B1338" i="11"/>
  <c r="C1337" i="11"/>
  <c r="B1337" i="11"/>
  <c r="C1336" i="11"/>
  <c r="B1336" i="11"/>
  <c r="C1335" i="11"/>
  <c r="B1335" i="11"/>
  <c r="C1334" i="11"/>
  <c r="B1334" i="11"/>
  <c r="C1333" i="11"/>
  <c r="B1333" i="11"/>
  <c r="C1332" i="11"/>
  <c r="B1332" i="11"/>
  <c r="C1331" i="11"/>
  <c r="B1331" i="11"/>
  <c r="C1330" i="11"/>
  <c r="B1330" i="11"/>
  <c r="C1329" i="11"/>
  <c r="B1329" i="11"/>
  <c r="C1328" i="11"/>
  <c r="B1328" i="11"/>
  <c r="C1327" i="11"/>
  <c r="B1327" i="11"/>
  <c r="C1326" i="11"/>
  <c r="B1326" i="11"/>
  <c r="C1325" i="11"/>
  <c r="B1325" i="11"/>
  <c r="C1324" i="11"/>
  <c r="B1324" i="11"/>
  <c r="C1323" i="11"/>
  <c r="B1323" i="11"/>
  <c r="C1322" i="11"/>
  <c r="B1322" i="11"/>
  <c r="C1321" i="11"/>
  <c r="B1321" i="11"/>
  <c r="C1320" i="11"/>
  <c r="B1320" i="11"/>
  <c r="C1319" i="11"/>
  <c r="B1319" i="11"/>
  <c r="C1318" i="11"/>
  <c r="B1318" i="11"/>
  <c r="C1317" i="11"/>
  <c r="B1317" i="11"/>
  <c r="C1316" i="11"/>
  <c r="B1316" i="11"/>
  <c r="C1315" i="11"/>
  <c r="B1315" i="11"/>
  <c r="C1314" i="11"/>
  <c r="B1314" i="11"/>
  <c r="C1313" i="11"/>
  <c r="B1313" i="11"/>
  <c r="C1312" i="11"/>
  <c r="B1312" i="11"/>
  <c r="C1311" i="11"/>
  <c r="B1311" i="11"/>
  <c r="C1310" i="11"/>
  <c r="B1310" i="11"/>
  <c r="C1309" i="11"/>
  <c r="B1309" i="11"/>
  <c r="C1308" i="11"/>
  <c r="B1308" i="11"/>
  <c r="C1307" i="11"/>
  <c r="B1307" i="11"/>
  <c r="C1306" i="11"/>
  <c r="B1306" i="11"/>
  <c r="C1305" i="11"/>
  <c r="B1305" i="11"/>
  <c r="C1304" i="11"/>
  <c r="B1304" i="11"/>
  <c r="C1303" i="11"/>
  <c r="B1303" i="11"/>
  <c r="C1302" i="11"/>
  <c r="B1302" i="11"/>
  <c r="C1301" i="11"/>
  <c r="B1301" i="11"/>
  <c r="C1300" i="11"/>
  <c r="B1300" i="11"/>
  <c r="C1299" i="11"/>
  <c r="B1299" i="11"/>
  <c r="C1298" i="11"/>
  <c r="B1298" i="11"/>
  <c r="C1297" i="11"/>
  <c r="B1297" i="11"/>
  <c r="C1296" i="11"/>
  <c r="B1296" i="11"/>
  <c r="C1295" i="11"/>
  <c r="B1295" i="11"/>
  <c r="C1294" i="11"/>
  <c r="B1294" i="11"/>
  <c r="C1293" i="11"/>
  <c r="B1293" i="11"/>
  <c r="C1292" i="11"/>
  <c r="B1292" i="11"/>
  <c r="C1291" i="11"/>
  <c r="B1291" i="11"/>
  <c r="C1290" i="11"/>
  <c r="B1290" i="11"/>
  <c r="C1289" i="11"/>
  <c r="B1289" i="11"/>
  <c r="C1288" i="11"/>
  <c r="B1288" i="11"/>
  <c r="C1287" i="11"/>
  <c r="B1287" i="11"/>
  <c r="C1286" i="11"/>
  <c r="B1286" i="11"/>
  <c r="C1285" i="11"/>
  <c r="B1285" i="11"/>
  <c r="C1284" i="11"/>
  <c r="B1284" i="11"/>
  <c r="C1283" i="11"/>
  <c r="B1283" i="11"/>
  <c r="C1282" i="11"/>
  <c r="B1282" i="11"/>
  <c r="C1281" i="11"/>
  <c r="B1281" i="11"/>
  <c r="C1280" i="11"/>
  <c r="B1280" i="11"/>
  <c r="C1279" i="11"/>
  <c r="B1279" i="11"/>
  <c r="C1278" i="11"/>
  <c r="B1278" i="11"/>
  <c r="C1277" i="11"/>
  <c r="B1277" i="11"/>
  <c r="C1276" i="11"/>
  <c r="B1276" i="11"/>
  <c r="C1275" i="11"/>
  <c r="B1275" i="11"/>
  <c r="C1274" i="11"/>
  <c r="B1274" i="11"/>
  <c r="C1273" i="11"/>
  <c r="B1273" i="11"/>
  <c r="C1272" i="11"/>
  <c r="B1272" i="11"/>
  <c r="C1271" i="11"/>
  <c r="B1271" i="11"/>
  <c r="C1270" i="11"/>
  <c r="B1270" i="11"/>
  <c r="C1269" i="11"/>
  <c r="B1269" i="11"/>
  <c r="C1268" i="11"/>
  <c r="B1268" i="11"/>
  <c r="C1267" i="11"/>
  <c r="B1267" i="11"/>
  <c r="C1266" i="11"/>
  <c r="B1266" i="11"/>
  <c r="C1265" i="11"/>
  <c r="B1265" i="11"/>
  <c r="C1264" i="11"/>
  <c r="B1264" i="11"/>
  <c r="C1263" i="11"/>
  <c r="B1263" i="11"/>
  <c r="C1262" i="11"/>
  <c r="B1262" i="11"/>
  <c r="C1261" i="11"/>
  <c r="B1261" i="11"/>
  <c r="C1260" i="11"/>
  <c r="B1260" i="11"/>
  <c r="C1259" i="11"/>
  <c r="B1259" i="11"/>
  <c r="C1258" i="11"/>
  <c r="B1258" i="11"/>
  <c r="C1257" i="11"/>
  <c r="B1257" i="11"/>
  <c r="C1256" i="11"/>
  <c r="B1256" i="11"/>
  <c r="C1255" i="11"/>
  <c r="B1255" i="11"/>
  <c r="C1254" i="11"/>
  <c r="B1254" i="11"/>
  <c r="C1253" i="11"/>
  <c r="B1253" i="11"/>
  <c r="C1252" i="11"/>
  <c r="B1252" i="11"/>
  <c r="C1251" i="11"/>
  <c r="B1251" i="11"/>
  <c r="C1250" i="11"/>
  <c r="B1250" i="11"/>
  <c r="C1249" i="11"/>
  <c r="B1249" i="11"/>
  <c r="C1248" i="11"/>
  <c r="B1248" i="11"/>
  <c r="C1247" i="11"/>
  <c r="B1247" i="11"/>
  <c r="C1246" i="11"/>
  <c r="B1246" i="11"/>
  <c r="C1245" i="11"/>
  <c r="B1245" i="11"/>
  <c r="C1244" i="11"/>
  <c r="B1244" i="11"/>
  <c r="C1243" i="11"/>
  <c r="B1243" i="11"/>
  <c r="C1242" i="11"/>
  <c r="B1242" i="11"/>
  <c r="C1241" i="11"/>
  <c r="B1241" i="11"/>
  <c r="C1240" i="11"/>
  <c r="B1240" i="11"/>
  <c r="C1239" i="11"/>
  <c r="B1239" i="11"/>
  <c r="C1238" i="11"/>
  <c r="B1238" i="11"/>
  <c r="C1237" i="11"/>
  <c r="B1237" i="11"/>
  <c r="C1236" i="11"/>
  <c r="B1236" i="11"/>
  <c r="C1235" i="11"/>
  <c r="B1235" i="11"/>
  <c r="C1234" i="11"/>
  <c r="B1234" i="11"/>
  <c r="C1233" i="11"/>
  <c r="B1233" i="11"/>
  <c r="C1232" i="11"/>
  <c r="B1232" i="11"/>
  <c r="C1231" i="11"/>
  <c r="B1231" i="11"/>
  <c r="C1230" i="11"/>
  <c r="B1230" i="11"/>
  <c r="C1229" i="11"/>
  <c r="B1229" i="11"/>
  <c r="C1228" i="11"/>
  <c r="B1228" i="11"/>
  <c r="C1227" i="11"/>
  <c r="B1227" i="11"/>
  <c r="C1226" i="11"/>
  <c r="B1226" i="11"/>
  <c r="C1225" i="11"/>
  <c r="B1225" i="11"/>
  <c r="C1224" i="11"/>
  <c r="B1224" i="11"/>
  <c r="C1223" i="11"/>
  <c r="B1223" i="11"/>
  <c r="C1222" i="11"/>
  <c r="B1222" i="11"/>
  <c r="C1221" i="11"/>
  <c r="B1221" i="11"/>
  <c r="C1220" i="11"/>
  <c r="B1220" i="11"/>
  <c r="C1219" i="11"/>
  <c r="B1219" i="11"/>
  <c r="C1218" i="11"/>
  <c r="B1218" i="11"/>
  <c r="C1217" i="11"/>
  <c r="B1217" i="11"/>
  <c r="C1216" i="11"/>
  <c r="B1216" i="11"/>
  <c r="C1215" i="11"/>
  <c r="B1215" i="11"/>
  <c r="C1214" i="11"/>
  <c r="B1214" i="11"/>
  <c r="C1213" i="11"/>
  <c r="B1213" i="11"/>
  <c r="C1212" i="11"/>
  <c r="B1212" i="11"/>
  <c r="C1211" i="11"/>
  <c r="B1211" i="11"/>
  <c r="C1210" i="11"/>
  <c r="B1210" i="11"/>
  <c r="C1209" i="11"/>
  <c r="B1209" i="11"/>
  <c r="C1208" i="11"/>
  <c r="B1208" i="11"/>
  <c r="C1207" i="11"/>
  <c r="B1207" i="11"/>
  <c r="C1206" i="11"/>
  <c r="B1206" i="11"/>
  <c r="C1205" i="11"/>
  <c r="B1205" i="11"/>
  <c r="C1204" i="11"/>
  <c r="B1204" i="11"/>
  <c r="C1203" i="11"/>
  <c r="B1203" i="11"/>
  <c r="C1202" i="11"/>
  <c r="B1202" i="11"/>
  <c r="C1201" i="11"/>
  <c r="B1201" i="11"/>
  <c r="C1200" i="11"/>
  <c r="B1200" i="11"/>
  <c r="C1199" i="11"/>
  <c r="B1199" i="11"/>
  <c r="C1198" i="11"/>
  <c r="B1198" i="11"/>
  <c r="C1197" i="11"/>
  <c r="B1197" i="11"/>
  <c r="C1196" i="11"/>
  <c r="B1196" i="11"/>
  <c r="C1195" i="11"/>
  <c r="B1195" i="11"/>
  <c r="C1194" i="11"/>
  <c r="B1194" i="11"/>
  <c r="C1193" i="11"/>
  <c r="B1193" i="11"/>
  <c r="C1192" i="11"/>
  <c r="B1192" i="11"/>
  <c r="C1191" i="11"/>
  <c r="B1191" i="11"/>
  <c r="C1190" i="11"/>
  <c r="B1190" i="11"/>
  <c r="C1189" i="11"/>
  <c r="B1189" i="11"/>
  <c r="C1188" i="11"/>
  <c r="B1188" i="11"/>
  <c r="C1187" i="11"/>
  <c r="B1187" i="11"/>
  <c r="C1186" i="11"/>
  <c r="B1186" i="11"/>
  <c r="C1185" i="11"/>
  <c r="B1185" i="11"/>
  <c r="C1184" i="11"/>
  <c r="B1184" i="11"/>
  <c r="C1183" i="11"/>
  <c r="B1183" i="11"/>
  <c r="C1182" i="11"/>
  <c r="B1182" i="11"/>
  <c r="C1181" i="11"/>
  <c r="B1181" i="11"/>
  <c r="C1180" i="11"/>
  <c r="B1180" i="11"/>
  <c r="C1179" i="11"/>
  <c r="B1179" i="11"/>
  <c r="C1178" i="11"/>
  <c r="B1178" i="11"/>
  <c r="C1177" i="11"/>
  <c r="B1177" i="11"/>
  <c r="C1176" i="11"/>
  <c r="B1176" i="11"/>
  <c r="C1175" i="11"/>
  <c r="B1175" i="11"/>
  <c r="C1174" i="11"/>
  <c r="B1174" i="11"/>
  <c r="C1173" i="11"/>
  <c r="B1173" i="11"/>
  <c r="C1172" i="11"/>
  <c r="B1172" i="11"/>
  <c r="C1171" i="11"/>
  <c r="B1171" i="11"/>
  <c r="C1170" i="11"/>
  <c r="B1170" i="11"/>
  <c r="C1169" i="11"/>
  <c r="B1169" i="11"/>
  <c r="C1168" i="11"/>
  <c r="B1168" i="11"/>
  <c r="C1167" i="11"/>
  <c r="B1167" i="11"/>
  <c r="C1166" i="11"/>
  <c r="B1166" i="11"/>
  <c r="C1165" i="11"/>
  <c r="B1165" i="11"/>
  <c r="C1164" i="11"/>
  <c r="B1164" i="11"/>
  <c r="C1163" i="11"/>
  <c r="B1163" i="11"/>
  <c r="C1162" i="11"/>
  <c r="B1162" i="11"/>
  <c r="C1161" i="11"/>
  <c r="B1161" i="11"/>
  <c r="C1160" i="11"/>
  <c r="B1160" i="11"/>
  <c r="C1159" i="11"/>
  <c r="B1159" i="11"/>
  <c r="C1158" i="11"/>
  <c r="B1158" i="11"/>
  <c r="C1157" i="11"/>
  <c r="B1157" i="11"/>
  <c r="C1156" i="11"/>
  <c r="B1156" i="11"/>
  <c r="C1155" i="11"/>
  <c r="B1155" i="11"/>
  <c r="C1154" i="11"/>
  <c r="B1154" i="11"/>
  <c r="C1153" i="11"/>
  <c r="B1153" i="11"/>
  <c r="C1152" i="11"/>
  <c r="B1152" i="11"/>
  <c r="C1151" i="11"/>
  <c r="B1151" i="11"/>
  <c r="C1150" i="11"/>
  <c r="B1150" i="11"/>
  <c r="C1149" i="11"/>
  <c r="B1149" i="11"/>
  <c r="C1148" i="11"/>
  <c r="B1148" i="11"/>
  <c r="C1147" i="11"/>
  <c r="B1147" i="11"/>
  <c r="C1146" i="11"/>
  <c r="B1146" i="11"/>
  <c r="C1145" i="11"/>
  <c r="B1145" i="11"/>
  <c r="C1144" i="11"/>
  <c r="B1144" i="11"/>
  <c r="C1143" i="11"/>
  <c r="B1143" i="11"/>
  <c r="C1142" i="11"/>
  <c r="B1142" i="11"/>
  <c r="C1141" i="11"/>
  <c r="B1141" i="11"/>
  <c r="C1140" i="11"/>
  <c r="B1140" i="11"/>
  <c r="C1139" i="11"/>
  <c r="B1139" i="11"/>
  <c r="C1138" i="11"/>
  <c r="B1138" i="11"/>
  <c r="C1137" i="11"/>
  <c r="B1137" i="11"/>
  <c r="C1136" i="11"/>
  <c r="B1136" i="11"/>
  <c r="C1135" i="11"/>
  <c r="B1135" i="11"/>
  <c r="C1134" i="11"/>
  <c r="B1134" i="11"/>
  <c r="C1133" i="11"/>
  <c r="B1133" i="11"/>
  <c r="C1132" i="11"/>
  <c r="B1132" i="11"/>
  <c r="C1131" i="11"/>
  <c r="B1131" i="11"/>
  <c r="C1130" i="11"/>
  <c r="B1130" i="11"/>
  <c r="C1129" i="11"/>
  <c r="B1129" i="11"/>
  <c r="C1128" i="11"/>
  <c r="B1128" i="11"/>
  <c r="C1127" i="11"/>
  <c r="B1127" i="11"/>
  <c r="C1126" i="11"/>
  <c r="B1126" i="11"/>
  <c r="C1125" i="11"/>
  <c r="B1125" i="11"/>
  <c r="C1124" i="11"/>
  <c r="B1124" i="11"/>
  <c r="C1123" i="11"/>
  <c r="B1123" i="11"/>
  <c r="C1122" i="11"/>
  <c r="B1122" i="11"/>
  <c r="C1121" i="11"/>
  <c r="B1121" i="11"/>
  <c r="C1120" i="11"/>
  <c r="B1120" i="11"/>
  <c r="C1119" i="11"/>
  <c r="B1119" i="11"/>
  <c r="C1118" i="11"/>
  <c r="B1118" i="11"/>
  <c r="C1117" i="11"/>
  <c r="B1117" i="11"/>
  <c r="C1116" i="11"/>
  <c r="B1116" i="11"/>
  <c r="C1115" i="11"/>
  <c r="B1115" i="11"/>
  <c r="C1114" i="11"/>
  <c r="B1114" i="11"/>
  <c r="C1113" i="11"/>
  <c r="B1113" i="11"/>
  <c r="C1112" i="11"/>
  <c r="B1112" i="11"/>
  <c r="C1111" i="11"/>
  <c r="B1111" i="11"/>
  <c r="C1110" i="11"/>
  <c r="B1110" i="11"/>
  <c r="C1109" i="11"/>
  <c r="B1109" i="11"/>
  <c r="C1108" i="11"/>
  <c r="B1108" i="11"/>
  <c r="C1107" i="11"/>
  <c r="B1107" i="11"/>
  <c r="C1106" i="11"/>
  <c r="B1106" i="11"/>
  <c r="C1105" i="11"/>
  <c r="B1105" i="11"/>
  <c r="C1104" i="11"/>
  <c r="B1104" i="11"/>
  <c r="C1103" i="11"/>
  <c r="B1103" i="11"/>
  <c r="C1102" i="11"/>
  <c r="B1102" i="11"/>
  <c r="C1101" i="11"/>
  <c r="B1101" i="11"/>
  <c r="C1100" i="11"/>
  <c r="B1100" i="11"/>
  <c r="C1099" i="11"/>
  <c r="B1099" i="11"/>
  <c r="C1098" i="11"/>
  <c r="B1098" i="11"/>
  <c r="C1097" i="11"/>
  <c r="B1097" i="11"/>
  <c r="C1096" i="11"/>
  <c r="B1096" i="11"/>
  <c r="C1095" i="11"/>
  <c r="B1095" i="11"/>
  <c r="C1094" i="11"/>
  <c r="B1094" i="11"/>
  <c r="C1093" i="11"/>
  <c r="B1093" i="11"/>
  <c r="C1092" i="11"/>
  <c r="B1092" i="11"/>
  <c r="C1091" i="11"/>
  <c r="B1091" i="11"/>
  <c r="C1090" i="11"/>
  <c r="B1090" i="11"/>
  <c r="C1089" i="11"/>
  <c r="B1089" i="11"/>
  <c r="C1088" i="11"/>
  <c r="B1088" i="11"/>
  <c r="C1087" i="11"/>
  <c r="B1087" i="11"/>
  <c r="C1086" i="11"/>
  <c r="B1086" i="11"/>
  <c r="C1085" i="11"/>
  <c r="B1085" i="11"/>
  <c r="C1084" i="11"/>
  <c r="B1084" i="11"/>
  <c r="C1083" i="11"/>
  <c r="B1083" i="11"/>
  <c r="C1082" i="11"/>
  <c r="B1082" i="11"/>
  <c r="C1081" i="11"/>
  <c r="B1081" i="11"/>
  <c r="C1080" i="11"/>
  <c r="B1080" i="11"/>
  <c r="C1079" i="11"/>
  <c r="B1079" i="11"/>
  <c r="C1078" i="11"/>
  <c r="B1078" i="11"/>
  <c r="C1077" i="11"/>
  <c r="B1077" i="11"/>
  <c r="C1076" i="11"/>
  <c r="B1076" i="11"/>
  <c r="C1075" i="11"/>
  <c r="B1075" i="11"/>
  <c r="C1074" i="11"/>
  <c r="B1074" i="11"/>
  <c r="C1073" i="11"/>
  <c r="B1073" i="11"/>
  <c r="C1072" i="11"/>
  <c r="B1072" i="11"/>
  <c r="C1071" i="11"/>
  <c r="B1071" i="11"/>
  <c r="C1070" i="11"/>
  <c r="B1070" i="11"/>
  <c r="C1069" i="11"/>
  <c r="B1069" i="11"/>
  <c r="C1068" i="11"/>
  <c r="B1068" i="11"/>
  <c r="C1067" i="11"/>
  <c r="B1067" i="11"/>
  <c r="C1066" i="11"/>
  <c r="B1066" i="11"/>
  <c r="C1065" i="11"/>
  <c r="B1065" i="11"/>
  <c r="C1064" i="11"/>
  <c r="B1064" i="11"/>
  <c r="C1063" i="11"/>
  <c r="B1063" i="11"/>
  <c r="C1062" i="11"/>
  <c r="B1062" i="11"/>
  <c r="C1061" i="11"/>
  <c r="B1061" i="11"/>
  <c r="C1060" i="11"/>
  <c r="B1060" i="11"/>
  <c r="C1059" i="11"/>
  <c r="B1059" i="11"/>
  <c r="C1058" i="11"/>
  <c r="B1058" i="11"/>
  <c r="C1057" i="11"/>
  <c r="B1057" i="11"/>
  <c r="C1056" i="11"/>
  <c r="B1056" i="11"/>
  <c r="C1055" i="11"/>
  <c r="B1055" i="11"/>
  <c r="C1054" i="11"/>
  <c r="B1054" i="11"/>
  <c r="C1053" i="11"/>
  <c r="B1053" i="11"/>
  <c r="C1052" i="11"/>
  <c r="B1052" i="11"/>
  <c r="C1051" i="11"/>
  <c r="B1051" i="11"/>
  <c r="C1050" i="11"/>
  <c r="B1050" i="11"/>
  <c r="C1049" i="11"/>
  <c r="B1049" i="11"/>
  <c r="C1048" i="11"/>
  <c r="B1048" i="11"/>
  <c r="C1047" i="11"/>
  <c r="B1047" i="11"/>
  <c r="C1046" i="11"/>
  <c r="B1046" i="11"/>
  <c r="C1045" i="11"/>
  <c r="B1045" i="11"/>
  <c r="C1044" i="11"/>
  <c r="B1044" i="11"/>
  <c r="C1043" i="11"/>
  <c r="B1043" i="11"/>
  <c r="C1042" i="11"/>
  <c r="B1042" i="11"/>
  <c r="C1041" i="11"/>
  <c r="B1041" i="11"/>
  <c r="C1040" i="11"/>
  <c r="B1040" i="11"/>
  <c r="C1039" i="11"/>
  <c r="B1039" i="11"/>
  <c r="C1038" i="11"/>
  <c r="B1038" i="11"/>
  <c r="C1037" i="11"/>
  <c r="B1037" i="11"/>
  <c r="C1036" i="11"/>
  <c r="B1036" i="11"/>
  <c r="C1035" i="11"/>
  <c r="B1035" i="11"/>
  <c r="C1034" i="11"/>
  <c r="B1034" i="11"/>
  <c r="C1033" i="11"/>
  <c r="B1033" i="11"/>
  <c r="C1032" i="11"/>
  <c r="B1032" i="11"/>
  <c r="C1031" i="11"/>
  <c r="B1031" i="11"/>
  <c r="C1030" i="11"/>
  <c r="B1030" i="11"/>
  <c r="C1029" i="11"/>
  <c r="B1029" i="11"/>
  <c r="C1028" i="11"/>
  <c r="B1028" i="11"/>
  <c r="C1027" i="11"/>
  <c r="B1027" i="11"/>
  <c r="C1026" i="11"/>
  <c r="B1026" i="11"/>
  <c r="C1025" i="11"/>
  <c r="B1025" i="11"/>
  <c r="C1024" i="11"/>
  <c r="B1024" i="11"/>
  <c r="C1023" i="11"/>
  <c r="B1023" i="11"/>
  <c r="C1022" i="11"/>
  <c r="B1022" i="11"/>
  <c r="C1021" i="11"/>
  <c r="B1021" i="11"/>
  <c r="C1020" i="11"/>
  <c r="B1020" i="11"/>
  <c r="C1019" i="11"/>
  <c r="B1019" i="11"/>
  <c r="C1018" i="11"/>
  <c r="B1018" i="11"/>
  <c r="C1017" i="11"/>
  <c r="B1017" i="11"/>
  <c r="C1016" i="11"/>
  <c r="B1016" i="11"/>
  <c r="C1015" i="11"/>
  <c r="B1015" i="11"/>
  <c r="C1014" i="11"/>
  <c r="B1014" i="11"/>
  <c r="C1013" i="11"/>
  <c r="B1013" i="11"/>
  <c r="C1012" i="11"/>
  <c r="B1012" i="11"/>
  <c r="C1011" i="11"/>
  <c r="B1011" i="11"/>
  <c r="C1010" i="11"/>
  <c r="B1010" i="11"/>
  <c r="C1009" i="11"/>
  <c r="B1009" i="11"/>
  <c r="C1008" i="11"/>
  <c r="B1008" i="11"/>
  <c r="C1007" i="11"/>
  <c r="B1007" i="11"/>
  <c r="C1006" i="11"/>
  <c r="B1006" i="11"/>
  <c r="C1005" i="11"/>
  <c r="B1005" i="11"/>
  <c r="C1004" i="11"/>
  <c r="B1004" i="11"/>
  <c r="C1003" i="11"/>
  <c r="B1003" i="11"/>
  <c r="C1002" i="11"/>
  <c r="B1002" i="11"/>
  <c r="C1001" i="11"/>
  <c r="B1001" i="11"/>
  <c r="C1000" i="11"/>
  <c r="B1000" i="11"/>
  <c r="C999" i="11"/>
  <c r="B999" i="11"/>
  <c r="C998" i="11"/>
  <c r="B998" i="11"/>
  <c r="C997" i="11"/>
  <c r="B997" i="11"/>
  <c r="C996" i="11"/>
  <c r="B996" i="11"/>
  <c r="C995" i="11"/>
  <c r="B995" i="11"/>
  <c r="C994" i="11"/>
  <c r="B994" i="11"/>
  <c r="C993" i="11"/>
  <c r="B993" i="11"/>
  <c r="C992" i="11"/>
  <c r="B992" i="11"/>
  <c r="C991" i="11"/>
  <c r="B991" i="11"/>
  <c r="C990" i="11"/>
  <c r="B990" i="11"/>
  <c r="C989" i="11"/>
  <c r="B989" i="11"/>
  <c r="C988" i="11"/>
  <c r="B988" i="11"/>
  <c r="C987" i="11"/>
  <c r="B987" i="11"/>
  <c r="C986" i="11"/>
  <c r="B986" i="11"/>
  <c r="C985" i="11"/>
  <c r="B985" i="11"/>
  <c r="C984" i="11"/>
  <c r="B984" i="11"/>
  <c r="C983" i="11"/>
  <c r="B983" i="11"/>
  <c r="C982" i="11"/>
  <c r="B982" i="11"/>
  <c r="C981" i="11"/>
  <c r="B981" i="11"/>
  <c r="C980" i="11"/>
  <c r="B980" i="11"/>
  <c r="C979" i="11"/>
  <c r="B979" i="11"/>
  <c r="C978" i="11"/>
  <c r="B978" i="11"/>
  <c r="C977" i="11"/>
  <c r="B977" i="11"/>
  <c r="C976" i="11"/>
  <c r="B976" i="11"/>
  <c r="C975" i="11"/>
  <c r="B975" i="11"/>
  <c r="C974" i="11"/>
  <c r="B974" i="11"/>
  <c r="C973" i="11"/>
  <c r="B973" i="11"/>
  <c r="C972" i="11"/>
  <c r="B972" i="11"/>
  <c r="C971" i="11"/>
  <c r="B971" i="11"/>
  <c r="C970" i="11"/>
  <c r="B970" i="11"/>
  <c r="C969" i="11"/>
  <c r="B969" i="11"/>
  <c r="C968" i="11"/>
  <c r="B968" i="11"/>
  <c r="C967" i="11"/>
  <c r="B967" i="11"/>
  <c r="C966" i="11"/>
  <c r="B966" i="11"/>
  <c r="C965" i="11"/>
  <c r="B965" i="11"/>
  <c r="C964" i="11"/>
  <c r="B964" i="11"/>
  <c r="C963" i="11"/>
  <c r="B963" i="11"/>
  <c r="C962" i="11"/>
  <c r="B962" i="11"/>
  <c r="C961" i="11"/>
  <c r="B961" i="11"/>
  <c r="C960" i="11"/>
  <c r="B960" i="11"/>
  <c r="C959" i="11"/>
  <c r="B959" i="11"/>
  <c r="C958" i="11"/>
  <c r="B958" i="11"/>
  <c r="C957" i="11"/>
  <c r="B957" i="11"/>
  <c r="C956" i="11"/>
  <c r="B956" i="11"/>
  <c r="C955" i="11"/>
  <c r="B955" i="11"/>
  <c r="C954" i="11"/>
  <c r="B954" i="11"/>
  <c r="C953" i="11"/>
  <c r="B953" i="11"/>
  <c r="C952" i="11"/>
  <c r="B952" i="11"/>
  <c r="C951" i="11"/>
  <c r="B951" i="11"/>
  <c r="C950" i="11"/>
  <c r="B950" i="11"/>
  <c r="C949" i="11"/>
  <c r="B949" i="11"/>
  <c r="C948" i="11"/>
  <c r="B948" i="11"/>
  <c r="C947" i="11"/>
  <c r="B947" i="11"/>
  <c r="C946" i="11"/>
  <c r="B946" i="11"/>
  <c r="C945" i="11"/>
  <c r="B945" i="11"/>
  <c r="C944" i="11"/>
  <c r="B944" i="11"/>
  <c r="C943" i="11"/>
  <c r="B943" i="11"/>
  <c r="C942" i="11"/>
  <c r="B942" i="11"/>
  <c r="C941" i="11"/>
  <c r="B941" i="11"/>
  <c r="C940" i="11"/>
  <c r="B940" i="11"/>
  <c r="C939" i="11"/>
  <c r="B939" i="11"/>
  <c r="C938" i="11"/>
  <c r="B938" i="11"/>
  <c r="C937" i="11"/>
  <c r="B937" i="11"/>
  <c r="C936" i="11"/>
  <c r="B936" i="11"/>
  <c r="C935" i="11"/>
  <c r="B935" i="11"/>
  <c r="C934" i="11"/>
  <c r="B934" i="11"/>
  <c r="C933" i="11"/>
  <c r="B933" i="11"/>
  <c r="C932" i="11"/>
  <c r="B932" i="11"/>
  <c r="C931" i="11"/>
  <c r="B931" i="11"/>
  <c r="C930" i="11"/>
  <c r="B930" i="11"/>
  <c r="C929" i="11"/>
  <c r="B929" i="11"/>
  <c r="C928" i="11"/>
  <c r="B928" i="11"/>
  <c r="C927" i="11"/>
  <c r="B927" i="11"/>
  <c r="C926" i="11"/>
  <c r="B926" i="11"/>
  <c r="C925" i="11"/>
  <c r="B925" i="11"/>
  <c r="C924" i="11"/>
  <c r="B924" i="11"/>
  <c r="C923" i="11"/>
  <c r="B923" i="11"/>
  <c r="C922" i="11"/>
  <c r="B922" i="11"/>
  <c r="C921" i="11"/>
  <c r="B921" i="11"/>
  <c r="C920" i="11"/>
  <c r="B920" i="11"/>
  <c r="C919" i="11"/>
  <c r="B919" i="11"/>
  <c r="C918" i="11"/>
  <c r="B918" i="11"/>
  <c r="C917" i="11"/>
  <c r="B917" i="11"/>
  <c r="C916" i="11"/>
  <c r="B916" i="11"/>
  <c r="C915" i="11"/>
  <c r="B915" i="11"/>
  <c r="C914" i="11"/>
  <c r="B914" i="11"/>
  <c r="C913" i="11"/>
  <c r="B913" i="11"/>
  <c r="C912" i="11"/>
  <c r="B912" i="11"/>
  <c r="C911" i="11"/>
  <c r="B911" i="11"/>
  <c r="C910" i="11"/>
  <c r="B910" i="11"/>
  <c r="C909" i="11"/>
  <c r="B909" i="11"/>
  <c r="C908" i="11"/>
  <c r="B908" i="11"/>
  <c r="C907" i="11"/>
  <c r="B907" i="11"/>
  <c r="C906" i="11"/>
  <c r="B906" i="11"/>
  <c r="C905" i="11"/>
  <c r="B905" i="11"/>
  <c r="C904" i="11"/>
  <c r="B904" i="11"/>
  <c r="C903" i="11"/>
  <c r="B903" i="11"/>
  <c r="C902" i="11"/>
  <c r="B902" i="11"/>
  <c r="C901" i="11"/>
  <c r="B901" i="11"/>
  <c r="C900" i="11"/>
  <c r="B900" i="11"/>
  <c r="C899" i="11"/>
  <c r="B899" i="11"/>
  <c r="C898" i="11"/>
  <c r="B898" i="11"/>
  <c r="C897" i="11"/>
  <c r="B897" i="11"/>
  <c r="C896" i="11"/>
  <c r="B896" i="11"/>
  <c r="C895" i="11"/>
  <c r="B895" i="11"/>
  <c r="C894" i="11"/>
  <c r="B894" i="11"/>
  <c r="C893" i="11"/>
  <c r="B893" i="11"/>
  <c r="C892" i="11"/>
  <c r="B892" i="11"/>
  <c r="C891" i="11"/>
  <c r="B891" i="11"/>
  <c r="C890" i="11"/>
  <c r="B890" i="11"/>
  <c r="C889" i="11"/>
  <c r="B889" i="11"/>
  <c r="C888" i="11"/>
  <c r="B888" i="11"/>
  <c r="C887" i="11"/>
  <c r="B887" i="11"/>
  <c r="C886" i="11"/>
  <c r="B886" i="11"/>
  <c r="C885" i="11"/>
  <c r="B885" i="11"/>
  <c r="C884" i="11"/>
  <c r="B884" i="11"/>
  <c r="C883" i="11"/>
  <c r="B883" i="11"/>
  <c r="C882" i="11"/>
  <c r="B882" i="11"/>
  <c r="C881" i="11"/>
  <c r="B881" i="11"/>
  <c r="C880" i="11"/>
  <c r="B880" i="11"/>
  <c r="C879" i="11"/>
  <c r="B879" i="11"/>
  <c r="C878" i="11"/>
  <c r="B878" i="11"/>
  <c r="C877" i="11"/>
  <c r="B877" i="11"/>
  <c r="C876" i="11"/>
  <c r="B876" i="11"/>
  <c r="C875" i="11"/>
  <c r="B875" i="11"/>
  <c r="C874" i="11"/>
  <c r="B874" i="11"/>
  <c r="C873" i="11"/>
  <c r="B873" i="11"/>
  <c r="C872" i="11"/>
  <c r="B872" i="11"/>
  <c r="C871" i="11"/>
  <c r="B871" i="11"/>
  <c r="C870" i="11"/>
  <c r="B870" i="11"/>
  <c r="C869" i="11"/>
  <c r="B869" i="11"/>
  <c r="C868" i="11"/>
  <c r="B868" i="11"/>
  <c r="C867" i="11"/>
  <c r="B867" i="11"/>
  <c r="C866" i="11"/>
  <c r="B866" i="11"/>
  <c r="C865" i="11"/>
  <c r="B865" i="11"/>
  <c r="C864" i="11"/>
  <c r="B864" i="11"/>
  <c r="C863" i="11"/>
  <c r="B863" i="11"/>
  <c r="C862" i="11"/>
  <c r="B862" i="11"/>
  <c r="C861" i="11"/>
  <c r="B861" i="11"/>
  <c r="C860" i="11"/>
  <c r="B860" i="11"/>
  <c r="C859" i="11"/>
  <c r="B859" i="11"/>
  <c r="C858" i="11"/>
  <c r="B858" i="11"/>
  <c r="C857" i="11"/>
  <c r="B857" i="11"/>
  <c r="C856" i="11"/>
  <c r="B856" i="11"/>
  <c r="C855" i="11"/>
  <c r="B855" i="11"/>
  <c r="C854" i="11"/>
  <c r="B854" i="11"/>
  <c r="C853" i="11"/>
  <c r="B853" i="11"/>
  <c r="C852" i="11"/>
  <c r="B852" i="11"/>
  <c r="C851" i="11"/>
  <c r="B851" i="11"/>
  <c r="C850" i="11"/>
  <c r="B850" i="11"/>
  <c r="C849" i="11"/>
  <c r="B849" i="11"/>
  <c r="C848" i="11"/>
  <c r="B848" i="11"/>
  <c r="C847" i="11"/>
  <c r="B847" i="11"/>
  <c r="C846" i="11"/>
  <c r="B846" i="11"/>
  <c r="C845" i="11"/>
  <c r="B845" i="11"/>
  <c r="C844" i="11"/>
  <c r="B844" i="11"/>
  <c r="C843" i="11"/>
  <c r="B843" i="11"/>
  <c r="C842" i="11"/>
  <c r="B842" i="11"/>
  <c r="C841" i="11"/>
  <c r="B841" i="11"/>
  <c r="C840" i="11"/>
  <c r="B840" i="11"/>
  <c r="C839" i="11"/>
  <c r="B839" i="11"/>
  <c r="C838" i="11"/>
  <c r="B838" i="11"/>
  <c r="C837" i="11"/>
  <c r="B837" i="11"/>
  <c r="C836" i="11"/>
  <c r="B836" i="11"/>
  <c r="C834" i="11"/>
  <c r="B835" i="11"/>
  <c r="C833" i="11"/>
  <c r="B834" i="11"/>
  <c r="C835" i="11"/>
  <c r="B833" i="11"/>
  <c r="C832" i="11"/>
  <c r="B832" i="11"/>
  <c r="C831" i="11"/>
  <c r="B831" i="11"/>
  <c r="C830" i="11"/>
  <c r="B830" i="11"/>
  <c r="C829" i="11"/>
  <c r="B829" i="11"/>
  <c r="C828" i="11"/>
  <c r="B828" i="11"/>
  <c r="C827" i="11"/>
  <c r="B827" i="11"/>
  <c r="C826" i="11"/>
  <c r="B826" i="11"/>
  <c r="C825" i="11"/>
  <c r="B825" i="11"/>
  <c r="C824" i="11"/>
  <c r="B824" i="11"/>
  <c r="C823" i="11"/>
  <c r="B823" i="11"/>
  <c r="C822" i="11"/>
  <c r="B822" i="11"/>
  <c r="C821" i="11"/>
  <c r="B821" i="11"/>
  <c r="C820" i="11"/>
  <c r="B820" i="11"/>
  <c r="C819" i="11"/>
  <c r="B819" i="11"/>
  <c r="C818" i="11"/>
  <c r="B818" i="11"/>
  <c r="C817" i="11"/>
  <c r="B817" i="11"/>
  <c r="C816" i="11"/>
  <c r="B816" i="11"/>
  <c r="C815" i="11"/>
  <c r="B815" i="11"/>
  <c r="C814" i="11"/>
  <c r="B814" i="11"/>
  <c r="C813" i="11"/>
  <c r="B813" i="11"/>
  <c r="C812" i="11"/>
  <c r="B812" i="11"/>
  <c r="C811" i="11"/>
  <c r="B811" i="11"/>
  <c r="C810" i="11"/>
  <c r="B810" i="11"/>
  <c r="C809" i="11"/>
  <c r="B809" i="11"/>
  <c r="C808" i="11"/>
  <c r="B808" i="11"/>
  <c r="C807" i="11"/>
  <c r="B807" i="11"/>
  <c r="C806" i="11"/>
  <c r="B806" i="11"/>
  <c r="C805" i="11"/>
  <c r="B805" i="11"/>
  <c r="C804" i="11"/>
  <c r="B804" i="11"/>
  <c r="C803" i="11"/>
  <c r="B803" i="11"/>
  <c r="C802" i="11"/>
  <c r="B802" i="11"/>
  <c r="C801" i="11"/>
  <c r="B801" i="11"/>
  <c r="C800" i="11"/>
  <c r="B800" i="11"/>
  <c r="C799" i="11"/>
  <c r="B799" i="11"/>
  <c r="C798" i="11"/>
  <c r="B798" i="11"/>
  <c r="C797" i="11"/>
  <c r="B797" i="11"/>
  <c r="C796" i="11"/>
  <c r="B796" i="11"/>
  <c r="C795" i="11"/>
  <c r="B795" i="11"/>
  <c r="C794" i="11"/>
  <c r="B794" i="11"/>
  <c r="C793" i="11"/>
  <c r="B793" i="11"/>
  <c r="C792" i="11"/>
  <c r="B792" i="11"/>
  <c r="C791" i="11"/>
  <c r="B791" i="11"/>
  <c r="C790" i="11"/>
  <c r="B790" i="11"/>
  <c r="C789" i="11"/>
  <c r="B789" i="11"/>
  <c r="C788" i="11"/>
  <c r="B788" i="11"/>
  <c r="C787" i="11"/>
  <c r="B787" i="11"/>
  <c r="C786" i="11"/>
  <c r="B786" i="11"/>
  <c r="C785" i="11"/>
  <c r="B785" i="11"/>
  <c r="C784" i="11"/>
  <c r="B784" i="11"/>
  <c r="C783" i="11"/>
  <c r="B783" i="11"/>
  <c r="C782" i="11"/>
  <c r="B782" i="11"/>
  <c r="C781" i="11"/>
  <c r="B781" i="11"/>
  <c r="C780" i="11"/>
  <c r="B780" i="11"/>
  <c r="C779" i="11"/>
  <c r="B779" i="11"/>
  <c r="C778" i="11"/>
  <c r="B778" i="11"/>
  <c r="C777" i="11"/>
  <c r="B777" i="11"/>
  <c r="C776" i="11"/>
  <c r="B776" i="11"/>
  <c r="C775" i="11"/>
  <c r="B775" i="11"/>
  <c r="C774" i="11"/>
  <c r="B774" i="11"/>
  <c r="C773" i="11"/>
  <c r="B773" i="11"/>
  <c r="C772" i="11"/>
  <c r="B772" i="11"/>
  <c r="C771" i="11"/>
  <c r="B771" i="11"/>
  <c r="C770" i="11"/>
  <c r="B770" i="11"/>
  <c r="C769" i="11"/>
  <c r="B769" i="11"/>
  <c r="C768" i="11"/>
  <c r="B768" i="11"/>
  <c r="C767" i="11"/>
  <c r="B767" i="11"/>
  <c r="C766" i="11"/>
  <c r="B766" i="11"/>
  <c r="C765" i="11"/>
  <c r="B765" i="11"/>
  <c r="C764" i="11"/>
  <c r="B764" i="11"/>
  <c r="C763" i="11"/>
  <c r="B763" i="11"/>
  <c r="C762" i="11"/>
  <c r="B762" i="11"/>
  <c r="C761" i="11"/>
  <c r="B761" i="11"/>
  <c r="C760" i="11"/>
  <c r="B760" i="11"/>
  <c r="C759" i="11"/>
  <c r="B759" i="11"/>
  <c r="C758" i="11"/>
  <c r="B758" i="11"/>
  <c r="C757" i="11"/>
  <c r="B757" i="11"/>
  <c r="C756" i="11"/>
  <c r="B756" i="11"/>
  <c r="C755" i="11"/>
  <c r="B755" i="11"/>
  <c r="C754" i="11"/>
  <c r="B754" i="11"/>
  <c r="C753" i="11"/>
  <c r="B753" i="11"/>
  <c r="C752" i="11"/>
  <c r="B752" i="11"/>
  <c r="C751" i="11"/>
  <c r="B751" i="11"/>
  <c r="C750" i="11"/>
  <c r="B750" i="11"/>
  <c r="C749" i="11"/>
  <c r="B749" i="11"/>
  <c r="C748" i="11"/>
  <c r="B748" i="11"/>
  <c r="C747" i="11"/>
  <c r="B747" i="11"/>
  <c r="C746" i="11"/>
  <c r="B746" i="11"/>
  <c r="C745" i="11"/>
  <c r="B745" i="11"/>
  <c r="C744" i="11"/>
  <c r="B744" i="11"/>
  <c r="C743" i="11"/>
  <c r="B743" i="11"/>
  <c r="C742" i="11"/>
  <c r="B742" i="11"/>
  <c r="C741" i="11"/>
  <c r="B741" i="11"/>
  <c r="C740" i="11"/>
  <c r="B740" i="11"/>
  <c r="C739" i="11"/>
  <c r="B739" i="11"/>
  <c r="C738" i="11"/>
  <c r="B738" i="11"/>
  <c r="C737" i="11"/>
  <c r="B737" i="11"/>
  <c r="C736" i="11"/>
  <c r="B736" i="11"/>
  <c r="C735" i="11"/>
  <c r="B735" i="11"/>
  <c r="C734" i="11"/>
  <c r="B734" i="11"/>
  <c r="C733" i="11"/>
  <c r="B733" i="11"/>
  <c r="C732" i="11"/>
  <c r="B732" i="11"/>
  <c r="C731" i="11"/>
  <c r="B731" i="11"/>
  <c r="C730" i="11"/>
  <c r="B730" i="11"/>
  <c r="C729" i="11"/>
  <c r="B729" i="11"/>
  <c r="C728" i="11"/>
  <c r="B728" i="11"/>
  <c r="C727" i="11"/>
  <c r="B727" i="11"/>
  <c r="C726" i="11"/>
  <c r="B726" i="11"/>
  <c r="C725" i="11"/>
  <c r="B725" i="11"/>
  <c r="C724" i="11"/>
  <c r="B724" i="11"/>
  <c r="C723" i="11"/>
  <c r="B723" i="11"/>
  <c r="C722" i="11"/>
  <c r="B722" i="11"/>
  <c r="C721" i="11"/>
  <c r="B721" i="11"/>
  <c r="C720" i="11"/>
  <c r="B720" i="11"/>
  <c r="C719" i="11"/>
  <c r="B719" i="11"/>
  <c r="C718" i="11"/>
  <c r="B718" i="11"/>
  <c r="C717" i="11"/>
  <c r="B717" i="11"/>
  <c r="C716" i="11"/>
  <c r="B716" i="11"/>
  <c r="C715" i="11"/>
  <c r="B715" i="11"/>
  <c r="C714" i="11"/>
  <c r="B714" i="11"/>
  <c r="C713" i="11"/>
  <c r="B713" i="11"/>
  <c r="C712" i="11"/>
  <c r="B712" i="11"/>
  <c r="C711" i="11"/>
  <c r="B711" i="11"/>
  <c r="C710" i="11"/>
  <c r="B710" i="11"/>
  <c r="C709" i="11"/>
  <c r="B709" i="11"/>
  <c r="C708" i="11"/>
  <c r="B708" i="11"/>
  <c r="C707" i="11"/>
  <c r="B707" i="11"/>
  <c r="C706" i="11"/>
  <c r="B706" i="11"/>
  <c r="C705" i="11"/>
  <c r="B705" i="11"/>
  <c r="C704" i="11"/>
  <c r="B704" i="11"/>
  <c r="C703" i="11"/>
  <c r="B703" i="11"/>
  <c r="C702" i="11"/>
  <c r="B702" i="11"/>
  <c r="C701" i="11"/>
  <c r="B701" i="11"/>
  <c r="C700" i="11"/>
  <c r="B700" i="11"/>
  <c r="C699" i="11"/>
  <c r="B699" i="11"/>
  <c r="C698" i="11"/>
  <c r="B698" i="11"/>
  <c r="C697" i="11"/>
  <c r="B697" i="11"/>
  <c r="C696" i="11"/>
  <c r="B696" i="11"/>
  <c r="C695" i="11"/>
  <c r="B695" i="11"/>
  <c r="C694" i="11"/>
  <c r="B694" i="11"/>
  <c r="C693" i="11"/>
  <c r="B693" i="11"/>
  <c r="C692" i="11"/>
  <c r="B692" i="11"/>
  <c r="C691" i="11"/>
  <c r="B691" i="11"/>
  <c r="C690" i="11"/>
  <c r="B690" i="11"/>
  <c r="C689" i="11"/>
  <c r="B689" i="11"/>
  <c r="C688" i="11"/>
  <c r="B688" i="11"/>
  <c r="C687" i="11"/>
  <c r="B687" i="11"/>
  <c r="C686" i="11"/>
  <c r="B686" i="11"/>
  <c r="C685" i="11"/>
  <c r="B685" i="11"/>
  <c r="C684" i="11"/>
  <c r="B684" i="11"/>
  <c r="C683" i="11"/>
  <c r="B683" i="11"/>
  <c r="C682" i="11"/>
  <c r="B682" i="11"/>
  <c r="C681" i="11"/>
  <c r="B681" i="11"/>
  <c r="C680" i="11"/>
  <c r="B680" i="11"/>
  <c r="C679" i="11"/>
  <c r="B679" i="11"/>
  <c r="C678" i="11"/>
  <c r="B678" i="11"/>
  <c r="C677" i="11"/>
  <c r="B677" i="11"/>
  <c r="C676" i="11"/>
  <c r="B676" i="11"/>
  <c r="C675" i="11"/>
  <c r="B675" i="11"/>
  <c r="C674" i="11"/>
  <c r="B674" i="11"/>
  <c r="C673" i="11"/>
  <c r="B673" i="11"/>
  <c r="C672" i="11"/>
  <c r="B672" i="11"/>
  <c r="C671" i="11"/>
  <c r="B671" i="11"/>
  <c r="C670" i="11"/>
  <c r="B670" i="11"/>
  <c r="C669" i="11"/>
  <c r="B669" i="11"/>
  <c r="C668" i="11"/>
  <c r="B668" i="11"/>
  <c r="C667" i="11"/>
  <c r="B667" i="11"/>
  <c r="C666" i="11"/>
  <c r="B666" i="11"/>
  <c r="C665" i="11"/>
  <c r="B665" i="11"/>
  <c r="C664" i="11"/>
  <c r="B664" i="11"/>
  <c r="C663" i="11"/>
  <c r="B663" i="11"/>
  <c r="C662" i="11"/>
  <c r="B662" i="11"/>
  <c r="C661" i="11"/>
  <c r="B661" i="11"/>
  <c r="C660" i="11"/>
  <c r="B660" i="11"/>
  <c r="C659" i="11"/>
  <c r="B659" i="11"/>
  <c r="C658" i="11"/>
  <c r="B658" i="11"/>
  <c r="C657" i="11"/>
  <c r="B657" i="11"/>
  <c r="C656" i="11"/>
  <c r="B656" i="11"/>
  <c r="C655" i="11"/>
  <c r="B655" i="11"/>
  <c r="C654" i="11"/>
  <c r="B654" i="11"/>
  <c r="C653" i="11"/>
  <c r="B653" i="11"/>
  <c r="C652" i="11"/>
  <c r="B652" i="11"/>
  <c r="C651" i="11"/>
  <c r="B651" i="11"/>
  <c r="C650" i="11"/>
  <c r="B650" i="11"/>
  <c r="C649" i="11"/>
  <c r="B649" i="11"/>
  <c r="C648" i="11"/>
  <c r="B648" i="11"/>
  <c r="C647" i="11"/>
  <c r="B647" i="11"/>
  <c r="C646" i="11"/>
  <c r="B646" i="11"/>
  <c r="C645" i="11"/>
  <c r="B645" i="11"/>
  <c r="C644" i="11"/>
  <c r="B644" i="11"/>
  <c r="C643" i="11"/>
  <c r="B643" i="11"/>
  <c r="C642" i="11"/>
  <c r="B642" i="11"/>
  <c r="C641" i="11"/>
  <c r="B641" i="11"/>
  <c r="C640" i="11"/>
  <c r="B640" i="11"/>
  <c r="C639" i="11"/>
  <c r="B639" i="11"/>
  <c r="C638" i="11"/>
  <c r="B638" i="11"/>
  <c r="C637" i="11"/>
  <c r="B637" i="11"/>
  <c r="C636" i="11"/>
  <c r="B636" i="11"/>
  <c r="C635" i="11"/>
  <c r="B635" i="11"/>
  <c r="C634" i="11"/>
  <c r="B634" i="11"/>
  <c r="C633" i="11"/>
  <c r="B633" i="11"/>
  <c r="C632" i="11"/>
  <c r="B632" i="11"/>
  <c r="C631" i="11"/>
  <c r="B631" i="11"/>
  <c r="C630" i="11"/>
  <c r="B630" i="11"/>
  <c r="C629" i="11"/>
  <c r="B629" i="11"/>
  <c r="C628" i="11"/>
  <c r="B628" i="11"/>
  <c r="C627" i="11"/>
  <c r="B627" i="11"/>
  <c r="C626" i="11"/>
  <c r="B626" i="11"/>
  <c r="C625" i="11"/>
  <c r="B625" i="11"/>
  <c r="C624" i="11"/>
  <c r="B624" i="11"/>
  <c r="C623" i="11"/>
  <c r="B623" i="11"/>
  <c r="C622" i="11"/>
  <c r="B622" i="11"/>
  <c r="C621" i="11"/>
  <c r="B621" i="11"/>
  <c r="C620" i="11"/>
  <c r="B620" i="11"/>
  <c r="C619" i="11"/>
  <c r="B619" i="11"/>
  <c r="C618" i="11"/>
  <c r="B618" i="11"/>
  <c r="C617" i="11"/>
  <c r="B617" i="11"/>
  <c r="C616" i="11"/>
  <c r="B616" i="11"/>
  <c r="C615" i="11"/>
  <c r="B615" i="11"/>
  <c r="C614" i="11"/>
  <c r="B614" i="11"/>
  <c r="C613" i="11"/>
  <c r="B613" i="11"/>
  <c r="C612" i="11"/>
  <c r="B612" i="11"/>
  <c r="C611" i="11"/>
  <c r="B611" i="11"/>
  <c r="C610" i="11"/>
  <c r="B610" i="11"/>
  <c r="C609" i="11"/>
  <c r="B609" i="11"/>
  <c r="C608" i="11"/>
  <c r="B608" i="11"/>
  <c r="C607" i="11"/>
  <c r="B607" i="11"/>
  <c r="C606" i="11"/>
  <c r="B606" i="11"/>
  <c r="C605" i="11"/>
  <c r="B605" i="11"/>
  <c r="C604" i="11"/>
  <c r="B604" i="11"/>
  <c r="C603" i="11"/>
  <c r="B603" i="11"/>
  <c r="C602" i="11"/>
  <c r="B602" i="11"/>
  <c r="C601" i="11"/>
  <c r="B601" i="11"/>
  <c r="C600" i="11"/>
  <c r="B600" i="11"/>
  <c r="C599" i="11"/>
  <c r="B599" i="11"/>
  <c r="C598" i="11"/>
  <c r="B598" i="11"/>
  <c r="C597" i="11"/>
  <c r="B597" i="11"/>
  <c r="C596" i="11"/>
  <c r="B596" i="11"/>
  <c r="C595" i="11"/>
  <c r="B595" i="11"/>
  <c r="C594" i="11"/>
  <c r="B594" i="11"/>
  <c r="C593" i="11"/>
  <c r="B593" i="11"/>
  <c r="C592" i="11"/>
  <c r="B592" i="11"/>
  <c r="C591" i="11"/>
  <c r="B591" i="11"/>
  <c r="C590" i="11"/>
  <c r="B590" i="11"/>
  <c r="C589" i="11"/>
  <c r="B589" i="11"/>
  <c r="C588" i="11"/>
  <c r="B588" i="11"/>
  <c r="C587" i="11"/>
  <c r="B587" i="11"/>
  <c r="C586" i="11"/>
  <c r="B586" i="11"/>
  <c r="C585" i="11"/>
  <c r="B585" i="11"/>
  <c r="C584" i="11"/>
  <c r="B584" i="11"/>
  <c r="C583" i="11"/>
  <c r="B583" i="11"/>
  <c r="C582" i="11"/>
  <c r="B582" i="11"/>
  <c r="C581" i="11"/>
  <c r="B581" i="11"/>
  <c r="C580" i="11"/>
  <c r="B580" i="11"/>
  <c r="C579" i="11"/>
  <c r="B579" i="11"/>
  <c r="C578" i="11"/>
  <c r="B578" i="11"/>
  <c r="C577" i="11"/>
  <c r="B577" i="11"/>
  <c r="C576" i="11"/>
  <c r="B576" i="11"/>
  <c r="C575" i="11"/>
  <c r="B575" i="11"/>
  <c r="C574" i="11"/>
  <c r="B574" i="11"/>
  <c r="C573" i="11"/>
  <c r="B573" i="11"/>
  <c r="C572" i="11"/>
  <c r="B572" i="11"/>
  <c r="C571" i="11"/>
  <c r="B571" i="11"/>
  <c r="C570" i="11"/>
  <c r="B570" i="11"/>
  <c r="C569" i="11"/>
  <c r="B569" i="11"/>
  <c r="C568" i="11"/>
  <c r="B568" i="11"/>
  <c r="C567" i="11"/>
  <c r="B567" i="11"/>
  <c r="C566" i="11"/>
  <c r="B566" i="11"/>
  <c r="C565" i="11"/>
  <c r="B565" i="11"/>
  <c r="C564" i="11"/>
  <c r="B564" i="11"/>
  <c r="C563" i="11"/>
  <c r="B563" i="11"/>
  <c r="C562" i="11"/>
  <c r="B562" i="11"/>
  <c r="C561" i="11"/>
  <c r="B561" i="11"/>
  <c r="C560" i="11"/>
  <c r="B560" i="11"/>
  <c r="C559" i="11"/>
  <c r="B559" i="11"/>
  <c r="C558" i="11"/>
  <c r="B558" i="11"/>
  <c r="C557" i="11"/>
  <c r="B557" i="11"/>
  <c r="C556" i="11"/>
  <c r="B556" i="11"/>
  <c r="C555" i="11"/>
  <c r="B555" i="11"/>
  <c r="C554" i="11"/>
  <c r="B554" i="11"/>
  <c r="C553" i="11"/>
  <c r="B553" i="11"/>
  <c r="C552" i="11"/>
  <c r="B552" i="11"/>
  <c r="C551" i="11"/>
  <c r="B551" i="11"/>
  <c r="C550" i="11"/>
  <c r="B550" i="11"/>
  <c r="C549" i="11"/>
  <c r="B549" i="11"/>
  <c r="C548" i="11"/>
  <c r="B548" i="11"/>
  <c r="C547" i="11"/>
  <c r="B547" i="11"/>
  <c r="C546" i="11"/>
  <c r="B546" i="11"/>
  <c r="C545" i="11"/>
  <c r="B545" i="11"/>
  <c r="C544" i="11"/>
  <c r="B544" i="11"/>
  <c r="C543" i="11"/>
  <c r="B543" i="11"/>
  <c r="C542" i="11"/>
  <c r="B542" i="11"/>
  <c r="C541" i="11"/>
  <c r="B541" i="11"/>
  <c r="C540" i="11"/>
  <c r="B540" i="11"/>
  <c r="C539" i="11"/>
  <c r="B539" i="11"/>
  <c r="C538" i="11"/>
  <c r="B538" i="11"/>
  <c r="C537" i="11"/>
  <c r="B537" i="11"/>
  <c r="C536" i="11"/>
  <c r="B536" i="11"/>
  <c r="C535" i="11"/>
  <c r="B535" i="11"/>
  <c r="C534" i="11"/>
  <c r="B534" i="11"/>
  <c r="C533" i="11"/>
  <c r="B533" i="11"/>
  <c r="C532" i="11"/>
  <c r="B532" i="11"/>
  <c r="C531" i="11"/>
  <c r="B531" i="11"/>
  <c r="C530" i="11"/>
  <c r="B530" i="11"/>
  <c r="C529" i="11"/>
  <c r="B529" i="11"/>
  <c r="C528" i="11"/>
  <c r="B528" i="11"/>
  <c r="C527" i="11"/>
  <c r="B527" i="11"/>
  <c r="C526" i="11"/>
  <c r="B526" i="11"/>
  <c r="C525" i="11"/>
  <c r="B525" i="11"/>
  <c r="C524" i="11"/>
  <c r="B524" i="11"/>
  <c r="C523" i="11"/>
  <c r="B523" i="11"/>
  <c r="C522" i="11"/>
  <c r="B522" i="11"/>
  <c r="C521" i="11"/>
  <c r="B521" i="11"/>
  <c r="C520" i="11"/>
  <c r="B520" i="11"/>
  <c r="C519" i="11"/>
  <c r="B519" i="11"/>
  <c r="C518" i="11"/>
  <c r="B518" i="11"/>
  <c r="C517" i="11"/>
  <c r="B517" i="11"/>
  <c r="C516" i="11"/>
  <c r="B516" i="11"/>
  <c r="C515" i="11"/>
  <c r="B515" i="11"/>
  <c r="C514" i="11"/>
  <c r="B514" i="11"/>
  <c r="C513" i="11"/>
  <c r="B513" i="11"/>
  <c r="C512" i="11"/>
  <c r="B512" i="11"/>
  <c r="C511" i="11"/>
  <c r="B511" i="11"/>
  <c r="C510" i="11"/>
  <c r="B510" i="11"/>
  <c r="C509" i="11"/>
  <c r="B509" i="11"/>
  <c r="C508" i="11"/>
  <c r="B508" i="11"/>
  <c r="C507" i="11"/>
  <c r="B507" i="11"/>
  <c r="C506" i="11"/>
  <c r="B506" i="11"/>
  <c r="C505" i="11"/>
  <c r="B505" i="11"/>
  <c r="C504" i="11"/>
  <c r="B504" i="11"/>
  <c r="C503" i="11"/>
  <c r="B503" i="11"/>
  <c r="C502" i="11"/>
  <c r="B502" i="11"/>
  <c r="C501" i="11"/>
  <c r="B501" i="11"/>
  <c r="C500" i="11"/>
  <c r="B500" i="11"/>
  <c r="C499" i="11"/>
  <c r="B499" i="11"/>
  <c r="C498" i="11"/>
  <c r="B498" i="11"/>
  <c r="C497" i="11"/>
  <c r="B497" i="11"/>
  <c r="C496" i="11"/>
  <c r="B496" i="11"/>
  <c r="C495" i="11"/>
  <c r="B495" i="11"/>
  <c r="C494" i="11"/>
  <c r="B494" i="11"/>
  <c r="C493" i="11"/>
  <c r="B493" i="11"/>
  <c r="C492" i="11"/>
  <c r="B492" i="11"/>
  <c r="C491" i="11"/>
  <c r="B491" i="11"/>
  <c r="C490" i="11"/>
  <c r="B490" i="11"/>
  <c r="C489" i="11"/>
  <c r="B489" i="11"/>
  <c r="C488" i="11"/>
  <c r="B488" i="11"/>
  <c r="C487" i="11"/>
  <c r="B487" i="11"/>
  <c r="C486" i="11"/>
  <c r="B486" i="11"/>
  <c r="C485" i="11"/>
  <c r="B485" i="11"/>
  <c r="C484" i="11"/>
  <c r="B484" i="11"/>
  <c r="C483" i="11"/>
  <c r="B483" i="11"/>
  <c r="C482" i="11"/>
  <c r="B482" i="11"/>
  <c r="C481" i="11"/>
  <c r="B481" i="11"/>
  <c r="C480" i="11"/>
  <c r="B480" i="11"/>
  <c r="C479" i="11"/>
  <c r="B479" i="11"/>
  <c r="C478" i="11"/>
  <c r="B478" i="11"/>
  <c r="C477" i="11"/>
  <c r="B477" i="11"/>
  <c r="C476" i="11"/>
  <c r="B476" i="11"/>
  <c r="C475" i="11"/>
  <c r="B475" i="11"/>
  <c r="C474" i="11"/>
  <c r="B474" i="11"/>
  <c r="C473" i="11"/>
  <c r="B473" i="11"/>
  <c r="C472" i="11"/>
  <c r="B472" i="11"/>
  <c r="C471" i="11"/>
  <c r="B471" i="11"/>
  <c r="C470" i="11"/>
  <c r="B470" i="11"/>
  <c r="C469" i="11"/>
  <c r="B469" i="11"/>
  <c r="C468" i="11"/>
  <c r="B468" i="11"/>
  <c r="C467" i="11"/>
  <c r="B467" i="11"/>
  <c r="C466" i="11"/>
  <c r="B466" i="11"/>
  <c r="C465" i="11"/>
  <c r="B465" i="11"/>
  <c r="C464" i="11"/>
  <c r="B464" i="11"/>
  <c r="C463" i="11"/>
  <c r="B463" i="11"/>
  <c r="C462" i="11"/>
  <c r="B462" i="11"/>
  <c r="C461" i="11"/>
  <c r="B461" i="11"/>
  <c r="C460" i="11"/>
  <c r="B460" i="11"/>
  <c r="C459" i="11"/>
  <c r="B459" i="11"/>
  <c r="C458" i="11"/>
  <c r="B458" i="11"/>
  <c r="C457" i="11"/>
  <c r="B457" i="11"/>
  <c r="C456" i="11"/>
  <c r="B456" i="11"/>
  <c r="C455" i="11"/>
  <c r="B455" i="11"/>
  <c r="C454" i="11"/>
  <c r="B454" i="11"/>
  <c r="C453" i="11"/>
  <c r="B453" i="11"/>
  <c r="C452" i="11"/>
  <c r="B452" i="11"/>
  <c r="C451" i="11"/>
  <c r="B451" i="11"/>
  <c r="C450" i="11"/>
  <c r="B450" i="11"/>
  <c r="C449" i="11"/>
  <c r="B449" i="11"/>
  <c r="C448" i="11"/>
  <c r="B448" i="11"/>
  <c r="C447" i="11"/>
  <c r="B447" i="11"/>
  <c r="C446" i="11"/>
  <c r="B446" i="11"/>
  <c r="C445" i="11"/>
  <c r="B445" i="11"/>
  <c r="C444" i="11"/>
  <c r="B444" i="11"/>
  <c r="C443" i="11"/>
  <c r="B443" i="11"/>
  <c r="C442" i="11"/>
  <c r="B442" i="11"/>
  <c r="C441" i="11"/>
  <c r="B441" i="11"/>
  <c r="C440" i="11"/>
  <c r="B440" i="11"/>
  <c r="C439" i="11"/>
  <c r="B439" i="11"/>
  <c r="C438" i="11"/>
  <c r="B438" i="11"/>
  <c r="C437" i="11"/>
  <c r="B437" i="11"/>
  <c r="C436" i="11"/>
  <c r="B436" i="11"/>
  <c r="C435" i="11"/>
  <c r="B435" i="11"/>
  <c r="C434" i="11"/>
  <c r="B434" i="11"/>
  <c r="C433" i="11"/>
  <c r="B433" i="11"/>
  <c r="C432" i="11"/>
  <c r="B432" i="11"/>
  <c r="C431" i="11"/>
  <c r="B431" i="11"/>
  <c r="C430" i="11"/>
  <c r="B430" i="11"/>
  <c r="C429" i="11"/>
  <c r="B429" i="11"/>
  <c r="C428" i="11"/>
  <c r="B428" i="11"/>
  <c r="C427" i="11"/>
  <c r="B427" i="11"/>
  <c r="C426" i="11"/>
  <c r="B426" i="11"/>
  <c r="C425" i="11"/>
  <c r="B425" i="11"/>
  <c r="C424" i="11"/>
  <c r="B424" i="11"/>
  <c r="C423" i="11"/>
  <c r="B423" i="11"/>
  <c r="C422" i="11"/>
  <c r="B422" i="11"/>
  <c r="C421" i="11"/>
  <c r="B421" i="11"/>
  <c r="C420" i="11"/>
  <c r="B420" i="11"/>
  <c r="C419" i="11"/>
  <c r="B419" i="11"/>
  <c r="C418" i="11"/>
  <c r="B418" i="11"/>
  <c r="C417" i="11"/>
  <c r="B417" i="11"/>
  <c r="C416" i="11"/>
  <c r="B416" i="11"/>
  <c r="C415" i="11"/>
  <c r="B415" i="11"/>
  <c r="C414" i="11"/>
  <c r="B414" i="11"/>
  <c r="C413" i="11"/>
  <c r="B413" i="11"/>
  <c r="C412" i="11"/>
  <c r="B412" i="11"/>
  <c r="C411" i="11"/>
  <c r="B411" i="11"/>
  <c r="C410" i="11"/>
  <c r="B410" i="11"/>
  <c r="C409" i="11"/>
  <c r="B409" i="11"/>
  <c r="C408" i="11"/>
  <c r="B408" i="11"/>
  <c r="C407" i="11"/>
  <c r="B407" i="11"/>
  <c r="C406" i="11"/>
  <c r="B406" i="11"/>
  <c r="C405" i="11"/>
  <c r="B405" i="11"/>
  <c r="C404" i="11"/>
  <c r="B404" i="11"/>
  <c r="C403" i="11"/>
  <c r="B403" i="11"/>
  <c r="C402" i="11"/>
  <c r="B402" i="11"/>
  <c r="C401" i="11"/>
  <c r="B401" i="11"/>
  <c r="C400" i="11"/>
  <c r="B400" i="11"/>
  <c r="C399" i="11"/>
  <c r="B399" i="11"/>
  <c r="C398" i="11"/>
  <c r="B398" i="11"/>
  <c r="C397" i="11"/>
  <c r="B397" i="11"/>
  <c r="C396" i="11"/>
  <c r="B396" i="11"/>
  <c r="C395" i="11"/>
  <c r="B395" i="11"/>
  <c r="C394" i="11"/>
  <c r="B394" i="11"/>
  <c r="C393" i="11"/>
  <c r="B393" i="11"/>
  <c r="C392" i="11"/>
  <c r="B392" i="11"/>
  <c r="C391" i="11"/>
  <c r="B391" i="11"/>
  <c r="C390" i="11"/>
  <c r="B390" i="11"/>
  <c r="C389" i="11"/>
  <c r="B389" i="11"/>
  <c r="C388" i="11"/>
  <c r="B388" i="11"/>
  <c r="C387" i="11"/>
  <c r="B387" i="11"/>
  <c r="C386" i="11"/>
  <c r="B386" i="11"/>
  <c r="C385" i="11"/>
  <c r="B385" i="11"/>
  <c r="C384" i="11"/>
  <c r="B384" i="11"/>
  <c r="C383" i="11"/>
  <c r="B383" i="11"/>
  <c r="C382" i="11"/>
  <c r="B382" i="11"/>
  <c r="C381" i="11"/>
  <c r="B381" i="11"/>
  <c r="C380" i="11"/>
  <c r="B380" i="11"/>
  <c r="C379" i="11"/>
  <c r="B379" i="11"/>
  <c r="C378" i="11"/>
  <c r="B378" i="11"/>
  <c r="C377" i="11"/>
  <c r="B377" i="11"/>
  <c r="C376" i="11"/>
  <c r="B376" i="11"/>
  <c r="C375" i="11"/>
  <c r="B375" i="11"/>
  <c r="C374" i="11"/>
  <c r="B374" i="11"/>
  <c r="C373" i="11"/>
  <c r="B373" i="11"/>
  <c r="C372" i="11"/>
  <c r="B372" i="11"/>
  <c r="C371" i="11"/>
  <c r="B371" i="11"/>
  <c r="C370" i="11"/>
  <c r="B370" i="11"/>
  <c r="C369" i="11"/>
  <c r="B369" i="11"/>
  <c r="C368" i="11"/>
  <c r="B368" i="11"/>
  <c r="C367" i="11"/>
  <c r="B367" i="11"/>
  <c r="C366" i="11"/>
  <c r="B366" i="11"/>
  <c r="C365" i="11"/>
  <c r="B365" i="11"/>
  <c r="C364" i="11"/>
  <c r="B364" i="11"/>
  <c r="C363" i="11"/>
  <c r="B363" i="11"/>
  <c r="C362" i="11"/>
  <c r="B362" i="11"/>
  <c r="C361" i="11"/>
  <c r="B361" i="11"/>
  <c r="C360" i="11"/>
  <c r="B360" i="11"/>
  <c r="C359" i="11"/>
  <c r="B359" i="11"/>
  <c r="C358" i="11"/>
  <c r="B358" i="11"/>
  <c r="C357" i="11"/>
  <c r="B357" i="11"/>
  <c r="C356" i="11"/>
  <c r="B356" i="11"/>
  <c r="C355" i="11"/>
  <c r="B355" i="11"/>
  <c r="C354" i="11"/>
  <c r="B354" i="11"/>
  <c r="C353" i="11"/>
  <c r="B353" i="11"/>
  <c r="C352" i="11"/>
  <c r="B352" i="11"/>
  <c r="C351" i="11"/>
  <c r="B351" i="11"/>
  <c r="C350" i="11"/>
  <c r="B350" i="11"/>
  <c r="C349" i="11"/>
  <c r="B349" i="11"/>
  <c r="C348" i="11"/>
  <c r="B348" i="11"/>
  <c r="C347" i="11"/>
  <c r="B347" i="11"/>
  <c r="C346" i="11"/>
  <c r="B346" i="11"/>
  <c r="C345" i="11"/>
  <c r="B345" i="11"/>
  <c r="C344" i="11"/>
  <c r="B344" i="11"/>
  <c r="C343" i="11"/>
  <c r="B343" i="11"/>
  <c r="C342" i="11"/>
  <c r="B342" i="11"/>
  <c r="C341" i="11"/>
  <c r="B341" i="11"/>
  <c r="C340" i="11"/>
  <c r="B340" i="11"/>
  <c r="C339" i="11"/>
  <c r="B339" i="11"/>
  <c r="C338" i="11"/>
  <c r="B338" i="11"/>
  <c r="C337" i="11"/>
  <c r="B337" i="11"/>
  <c r="C336" i="11"/>
  <c r="B336" i="11"/>
  <c r="C335" i="11"/>
  <c r="B335" i="11"/>
  <c r="C334" i="11"/>
  <c r="B334" i="11"/>
  <c r="C333" i="11"/>
  <c r="B333" i="11"/>
  <c r="C332" i="11"/>
  <c r="B332" i="11"/>
  <c r="C331" i="11"/>
  <c r="B331" i="11"/>
  <c r="C330" i="11"/>
  <c r="B330" i="11"/>
  <c r="C329" i="11"/>
  <c r="B329" i="11"/>
  <c r="C328" i="11"/>
  <c r="B328" i="11"/>
  <c r="C327" i="11"/>
  <c r="B327" i="11"/>
  <c r="C326" i="11"/>
  <c r="B326" i="11"/>
  <c r="C325" i="11"/>
  <c r="B325" i="11"/>
  <c r="C324" i="11"/>
  <c r="B324" i="11"/>
  <c r="C323" i="11"/>
  <c r="B323" i="11"/>
  <c r="C322" i="11"/>
  <c r="B322" i="11"/>
  <c r="C321" i="11"/>
  <c r="B321" i="11"/>
  <c r="C320" i="11"/>
  <c r="B320" i="11"/>
  <c r="C319" i="11"/>
  <c r="B319" i="11"/>
  <c r="C318" i="11"/>
  <c r="B318" i="11"/>
  <c r="C317" i="11"/>
  <c r="B317" i="11"/>
  <c r="C316" i="11"/>
  <c r="B316" i="11"/>
  <c r="C315" i="11"/>
  <c r="B315" i="11"/>
  <c r="C314" i="11"/>
  <c r="B314" i="11"/>
  <c r="C313" i="11"/>
  <c r="B313" i="11"/>
  <c r="C312" i="11"/>
  <c r="B312" i="11"/>
  <c r="C311" i="11"/>
  <c r="B311" i="11"/>
  <c r="C310" i="11"/>
  <c r="B310" i="11"/>
  <c r="C309" i="11"/>
  <c r="B309" i="11"/>
  <c r="C308" i="11"/>
  <c r="B308" i="11"/>
  <c r="C307" i="11"/>
  <c r="B307" i="11"/>
  <c r="C306" i="11"/>
  <c r="B306" i="11"/>
  <c r="C305" i="11"/>
  <c r="B305" i="11"/>
  <c r="C304" i="11"/>
  <c r="B304" i="11"/>
  <c r="C303" i="11"/>
  <c r="B303" i="11"/>
  <c r="C302" i="11"/>
  <c r="B302" i="11"/>
  <c r="C301" i="11"/>
  <c r="B301" i="11"/>
  <c r="C300" i="11"/>
  <c r="B300" i="11"/>
  <c r="C299" i="11"/>
  <c r="B299" i="11"/>
  <c r="C298" i="11"/>
  <c r="B298" i="11"/>
  <c r="C297" i="11"/>
  <c r="B297" i="11"/>
  <c r="C296" i="11"/>
  <c r="B296" i="11"/>
  <c r="C295" i="11"/>
  <c r="B295" i="11"/>
  <c r="C294" i="11"/>
  <c r="B294" i="11"/>
  <c r="C293" i="11"/>
  <c r="B293" i="11"/>
  <c r="C292" i="11"/>
  <c r="B292" i="11"/>
  <c r="C291" i="11"/>
  <c r="B291" i="11"/>
  <c r="C290" i="11"/>
  <c r="B290" i="11"/>
  <c r="C289" i="11"/>
  <c r="B289" i="11"/>
  <c r="C288" i="11"/>
  <c r="B288" i="11"/>
  <c r="C287" i="11"/>
  <c r="B287" i="11"/>
  <c r="C286" i="11"/>
  <c r="B286" i="11"/>
  <c r="C285" i="11"/>
  <c r="B285" i="11"/>
  <c r="C284" i="11"/>
  <c r="B284" i="11"/>
  <c r="C283" i="11"/>
  <c r="B283" i="11"/>
  <c r="C282" i="11"/>
  <c r="B282" i="11"/>
  <c r="C281" i="11"/>
  <c r="B281" i="11"/>
  <c r="C280" i="11"/>
  <c r="B280" i="11"/>
  <c r="C279" i="11"/>
  <c r="B279" i="11"/>
  <c r="C278" i="11"/>
  <c r="B278" i="11"/>
  <c r="C277" i="11"/>
  <c r="B277" i="11"/>
  <c r="C276" i="11"/>
  <c r="B276" i="11"/>
  <c r="C275" i="11"/>
  <c r="B275" i="11"/>
  <c r="C274" i="11"/>
  <c r="B274" i="11"/>
  <c r="C273" i="11"/>
  <c r="B273" i="11"/>
  <c r="C272" i="11"/>
  <c r="B272" i="11"/>
  <c r="C271" i="11"/>
  <c r="B271" i="11"/>
  <c r="C270" i="11"/>
  <c r="B270" i="11"/>
  <c r="C269" i="11"/>
  <c r="B269" i="11"/>
  <c r="C268" i="11"/>
  <c r="B268" i="11"/>
  <c r="C267" i="11"/>
  <c r="B267" i="11"/>
  <c r="C266" i="11"/>
  <c r="B266" i="11"/>
  <c r="C265" i="11"/>
  <c r="B265" i="11"/>
  <c r="C264" i="11"/>
  <c r="B264" i="11"/>
  <c r="C263" i="11"/>
  <c r="B263" i="11"/>
  <c r="C262" i="11"/>
  <c r="B262" i="11"/>
  <c r="C261" i="11"/>
  <c r="B261" i="11"/>
  <c r="C260" i="11"/>
  <c r="B260" i="11"/>
  <c r="C259" i="11"/>
  <c r="B259" i="11"/>
  <c r="C258" i="11"/>
  <c r="B258" i="11"/>
  <c r="C257" i="11"/>
  <c r="B257" i="11"/>
  <c r="C256" i="11"/>
  <c r="B256" i="11"/>
  <c r="C255" i="11"/>
  <c r="B255" i="11"/>
  <c r="C254" i="11"/>
  <c r="B254" i="11"/>
  <c r="C253" i="11"/>
  <c r="B253" i="11"/>
  <c r="C252" i="11"/>
  <c r="B252" i="11"/>
  <c r="C251" i="11"/>
  <c r="B251" i="11"/>
  <c r="C250" i="11"/>
  <c r="B250" i="11"/>
  <c r="C249" i="11"/>
  <c r="B249" i="11"/>
  <c r="C248" i="11"/>
  <c r="B248" i="11"/>
  <c r="C247" i="11"/>
  <c r="B247" i="11"/>
  <c r="C246" i="11"/>
  <c r="B246" i="11"/>
  <c r="C245" i="11"/>
  <c r="B245" i="11"/>
  <c r="C244" i="11"/>
  <c r="B244" i="11"/>
  <c r="C243" i="11"/>
  <c r="B243" i="11"/>
  <c r="C242" i="11"/>
  <c r="B242" i="11"/>
  <c r="C241" i="11"/>
  <c r="B241" i="11"/>
  <c r="C240" i="11"/>
  <c r="B240" i="11"/>
  <c r="C239" i="11"/>
  <c r="B239" i="11"/>
  <c r="C238" i="11"/>
  <c r="B238" i="11"/>
  <c r="C237" i="11"/>
  <c r="B237" i="11"/>
  <c r="C236" i="11"/>
  <c r="B236" i="11"/>
  <c r="C235" i="11"/>
  <c r="B235" i="11"/>
  <c r="C234" i="11"/>
  <c r="B234" i="11"/>
  <c r="C233" i="11"/>
  <c r="B233" i="11"/>
  <c r="C232" i="11"/>
  <c r="B232" i="11"/>
  <c r="C231" i="11"/>
  <c r="B231" i="11"/>
  <c r="C230" i="11"/>
  <c r="B230" i="11"/>
  <c r="C229" i="11"/>
  <c r="B229" i="11"/>
  <c r="C228" i="11"/>
  <c r="B228" i="11"/>
  <c r="C227" i="11"/>
  <c r="B227" i="11"/>
  <c r="C226" i="11"/>
  <c r="B226" i="11"/>
  <c r="C225" i="11"/>
  <c r="B225" i="11"/>
  <c r="C224" i="11"/>
  <c r="B224" i="11"/>
  <c r="C223" i="11"/>
  <c r="B223" i="11"/>
  <c r="C222" i="11"/>
  <c r="B222" i="11"/>
  <c r="C221" i="11"/>
  <c r="B221" i="11"/>
  <c r="C220" i="11"/>
  <c r="B220" i="11"/>
  <c r="C219" i="11"/>
  <c r="B219" i="11"/>
  <c r="C218" i="11"/>
  <c r="B218" i="11"/>
  <c r="C217" i="11"/>
  <c r="B217" i="11"/>
  <c r="C216" i="11"/>
  <c r="B216" i="11"/>
  <c r="C215" i="11"/>
  <c r="B215" i="11"/>
  <c r="C214" i="11"/>
  <c r="B214" i="11"/>
  <c r="C213" i="11"/>
  <c r="B213" i="11"/>
  <c r="C212" i="11"/>
  <c r="B212" i="11"/>
  <c r="C211" i="11"/>
  <c r="B211" i="11"/>
  <c r="C210" i="11"/>
  <c r="B210" i="11"/>
  <c r="C209" i="11"/>
  <c r="B209" i="11"/>
  <c r="C208" i="11"/>
  <c r="B208" i="11"/>
  <c r="C207" i="11"/>
  <c r="B207" i="11"/>
  <c r="C206" i="11"/>
  <c r="B206" i="11"/>
  <c r="C205" i="11"/>
  <c r="B205" i="11"/>
  <c r="C204" i="11"/>
  <c r="B204" i="11"/>
  <c r="C203" i="11"/>
  <c r="B203" i="11"/>
  <c r="C202" i="11"/>
  <c r="B202" i="11"/>
  <c r="C201" i="11"/>
  <c r="B201" i="11"/>
  <c r="C200" i="11"/>
  <c r="B200" i="11"/>
  <c r="C199" i="11"/>
  <c r="B199" i="11"/>
  <c r="C198" i="11"/>
  <c r="B198" i="11"/>
  <c r="C197" i="11"/>
  <c r="B197" i="11"/>
  <c r="C196" i="11"/>
  <c r="B196" i="11"/>
  <c r="C195" i="11"/>
  <c r="B195" i="11"/>
  <c r="C194" i="11"/>
  <c r="B194" i="11"/>
  <c r="C193" i="11"/>
  <c r="B193" i="11"/>
  <c r="C192" i="11"/>
  <c r="B192" i="11"/>
  <c r="C191" i="11"/>
  <c r="B191" i="11"/>
  <c r="C190" i="11"/>
  <c r="B190" i="11"/>
  <c r="C189" i="11"/>
  <c r="B189" i="11"/>
  <c r="C188" i="11"/>
  <c r="B188" i="11"/>
  <c r="C187" i="11"/>
  <c r="B187" i="11"/>
  <c r="C186" i="11"/>
  <c r="B186" i="11"/>
  <c r="C185" i="11"/>
  <c r="B185" i="11"/>
  <c r="C184" i="11"/>
  <c r="B184" i="11"/>
  <c r="C183" i="11"/>
  <c r="B183" i="11"/>
  <c r="C182" i="11"/>
  <c r="B182" i="11"/>
  <c r="C181" i="11"/>
  <c r="B181" i="11"/>
  <c r="C180" i="11"/>
  <c r="B180" i="11"/>
  <c r="C179" i="11"/>
  <c r="B179" i="11"/>
  <c r="C178" i="11"/>
  <c r="B178" i="11"/>
  <c r="C177" i="11"/>
  <c r="B177" i="11"/>
  <c r="C176" i="11"/>
  <c r="B176" i="11"/>
  <c r="C175" i="11"/>
  <c r="B175" i="11"/>
  <c r="C174" i="11"/>
  <c r="B174" i="11"/>
  <c r="C173" i="11"/>
  <c r="B173" i="11"/>
  <c r="C172" i="11"/>
  <c r="B172" i="11"/>
  <c r="C171" i="11"/>
  <c r="B171" i="11"/>
  <c r="C170" i="11"/>
  <c r="B170" i="11"/>
  <c r="C169" i="11"/>
  <c r="B169" i="11"/>
  <c r="C168" i="11"/>
  <c r="B168" i="11"/>
  <c r="C167" i="11"/>
  <c r="B167" i="11"/>
  <c r="C166" i="11"/>
  <c r="B166" i="11"/>
  <c r="C165" i="11"/>
  <c r="B165" i="11"/>
  <c r="C164" i="11"/>
  <c r="B164" i="11"/>
  <c r="C163" i="11"/>
  <c r="B163" i="11"/>
  <c r="C162" i="11"/>
  <c r="B162" i="11"/>
  <c r="C161" i="11"/>
  <c r="B161" i="11"/>
  <c r="C160" i="11"/>
  <c r="B160" i="11"/>
  <c r="C159" i="11"/>
  <c r="B159" i="11"/>
  <c r="C158" i="11"/>
  <c r="B158" i="11"/>
  <c r="C157" i="11"/>
  <c r="B157" i="11"/>
  <c r="C156" i="11"/>
  <c r="B156" i="11"/>
  <c r="C155" i="11"/>
  <c r="B155" i="11"/>
  <c r="C154" i="11"/>
  <c r="B154" i="11"/>
  <c r="C153" i="11"/>
  <c r="B153" i="11"/>
  <c r="C152" i="11"/>
  <c r="B152" i="11"/>
  <c r="C151" i="11"/>
  <c r="B151" i="11"/>
  <c r="C150" i="11"/>
  <c r="B150" i="11"/>
  <c r="C149" i="11"/>
  <c r="B149" i="11"/>
  <c r="C148" i="11"/>
  <c r="B148" i="11"/>
  <c r="C147" i="11"/>
  <c r="B147" i="11"/>
  <c r="C146" i="11"/>
  <c r="B146" i="11"/>
  <c r="C145" i="11"/>
  <c r="B145" i="11"/>
  <c r="C144" i="11"/>
  <c r="B144" i="11"/>
  <c r="C143" i="11"/>
  <c r="B143" i="11"/>
  <c r="C142" i="11"/>
  <c r="B142" i="11"/>
  <c r="C141" i="11"/>
  <c r="B141" i="11"/>
  <c r="C140" i="11"/>
  <c r="B140" i="11"/>
  <c r="C139" i="11"/>
  <c r="B139" i="11"/>
  <c r="C138" i="11"/>
  <c r="B138" i="11"/>
  <c r="C137" i="11"/>
  <c r="B137" i="11"/>
  <c r="C136" i="11"/>
  <c r="B136" i="11"/>
  <c r="C135" i="11"/>
  <c r="B135" i="11"/>
  <c r="C134" i="11"/>
  <c r="B134" i="11"/>
  <c r="C133" i="11"/>
  <c r="B133" i="11"/>
  <c r="C132" i="11"/>
  <c r="B132" i="11"/>
  <c r="C131" i="11"/>
  <c r="B131" i="11"/>
  <c r="C130" i="11"/>
  <c r="B130" i="11"/>
  <c r="C129" i="11"/>
  <c r="B129" i="11"/>
  <c r="C128" i="11"/>
  <c r="B128" i="11"/>
  <c r="C127" i="11"/>
  <c r="B127" i="11"/>
  <c r="C126" i="11"/>
  <c r="B126" i="11"/>
  <c r="C125" i="11"/>
  <c r="B125" i="11"/>
  <c r="C124" i="11"/>
  <c r="B124" i="11"/>
  <c r="C123" i="11"/>
  <c r="B123" i="11"/>
  <c r="C122" i="11"/>
  <c r="B122" i="11"/>
  <c r="C121" i="11"/>
  <c r="B121" i="11"/>
  <c r="C120" i="11"/>
  <c r="B120" i="11"/>
  <c r="C119" i="11"/>
  <c r="B119" i="11"/>
  <c r="C118" i="11"/>
  <c r="B118" i="11"/>
  <c r="C117" i="11"/>
  <c r="B117" i="11"/>
  <c r="C116" i="11"/>
  <c r="B116" i="11"/>
  <c r="C115" i="11"/>
  <c r="B115" i="11"/>
  <c r="C114" i="11"/>
  <c r="B114" i="11"/>
  <c r="C113" i="11"/>
  <c r="B113" i="11"/>
  <c r="C112" i="11"/>
  <c r="B112" i="11"/>
  <c r="C111" i="11"/>
  <c r="B111" i="11"/>
  <c r="C110" i="11"/>
  <c r="B110" i="11"/>
  <c r="C109" i="11"/>
  <c r="B109" i="11"/>
  <c r="C108" i="11"/>
  <c r="B108" i="11"/>
  <c r="C107" i="11"/>
  <c r="B107" i="11"/>
  <c r="C106" i="11"/>
  <c r="B106" i="11"/>
  <c r="C105" i="11"/>
  <c r="B105" i="11"/>
  <c r="C104" i="11"/>
  <c r="B104" i="11"/>
  <c r="C103" i="11"/>
  <c r="B103" i="11"/>
  <c r="C102" i="11"/>
  <c r="B102" i="11"/>
  <c r="C101" i="11"/>
  <c r="B101" i="11"/>
  <c r="C100" i="11"/>
  <c r="B100" i="11"/>
  <c r="C99" i="11"/>
  <c r="B99" i="11"/>
  <c r="C98" i="11"/>
  <c r="B98" i="11"/>
  <c r="C97" i="11"/>
  <c r="B97" i="11"/>
  <c r="C96" i="11"/>
  <c r="B96" i="11"/>
  <c r="C95" i="11"/>
  <c r="B95" i="11"/>
  <c r="C94" i="11"/>
  <c r="B94" i="11"/>
  <c r="C93" i="11"/>
  <c r="B93" i="11"/>
  <c r="C92" i="11"/>
  <c r="B92" i="11"/>
  <c r="C91" i="11"/>
  <c r="B91" i="11"/>
  <c r="C90" i="11"/>
  <c r="B90" i="11"/>
  <c r="C89" i="11"/>
  <c r="B89" i="11"/>
  <c r="C88" i="11"/>
  <c r="B88" i="11"/>
  <c r="C87" i="11"/>
  <c r="B87" i="11"/>
  <c r="C86" i="11"/>
  <c r="B86" i="11"/>
  <c r="C85" i="11"/>
  <c r="B85" i="11"/>
  <c r="C84" i="11"/>
  <c r="B84" i="11"/>
  <c r="C83" i="11"/>
  <c r="B83" i="11"/>
  <c r="C82" i="11"/>
  <c r="B82" i="11"/>
  <c r="C81" i="11"/>
  <c r="B81" i="11"/>
  <c r="C80" i="11"/>
  <c r="B80" i="11"/>
  <c r="C79" i="11"/>
  <c r="B79" i="11"/>
  <c r="C78" i="11"/>
  <c r="B78" i="11"/>
  <c r="C77" i="11"/>
  <c r="B77" i="11"/>
  <c r="C76" i="11"/>
  <c r="B76" i="11"/>
  <c r="C75" i="11"/>
  <c r="B75" i="11"/>
  <c r="C74" i="11"/>
  <c r="B74" i="11"/>
  <c r="C73" i="11"/>
  <c r="B73" i="11"/>
  <c r="C72" i="11"/>
  <c r="B72" i="11"/>
  <c r="C71" i="11"/>
  <c r="B71" i="11"/>
  <c r="C70" i="11"/>
  <c r="B70" i="11"/>
  <c r="C69" i="11"/>
  <c r="B69" i="11"/>
  <c r="C68" i="11"/>
  <c r="B68" i="11"/>
  <c r="C67" i="11"/>
  <c r="B67" i="11"/>
  <c r="C66" i="11"/>
  <c r="B66" i="11"/>
  <c r="C65" i="11"/>
  <c r="B65" i="11"/>
  <c r="C64" i="11"/>
  <c r="B64" i="11"/>
  <c r="C63" i="11"/>
  <c r="B63" i="11"/>
  <c r="C62" i="11"/>
  <c r="B62" i="11"/>
  <c r="C61" i="11"/>
  <c r="B61" i="11"/>
  <c r="C60" i="11"/>
  <c r="B60" i="11"/>
  <c r="C59" i="11"/>
  <c r="B59" i="11"/>
  <c r="C58" i="11"/>
  <c r="B58" i="11"/>
  <c r="C57" i="11"/>
  <c r="B57" i="11"/>
  <c r="C56" i="11"/>
  <c r="B56" i="11"/>
  <c r="C55" i="11"/>
  <c r="B55" i="11"/>
  <c r="C54" i="11"/>
  <c r="B54" i="11"/>
  <c r="C53" i="1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C9" i="11"/>
  <c r="B9" i="11"/>
  <c r="C8" i="11"/>
  <c r="B8" i="11"/>
  <c r="C7" i="11"/>
  <c r="B7" i="11"/>
  <c r="C6" i="11"/>
  <c r="B6" i="11"/>
  <c r="C5" i="11"/>
  <c r="B5" i="11"/>
  <c r="C4" i="11"/>
  <c r="B4" i="11"/>
  <c r="C3" i="11"/>
  <c r="B3" i="11"/>
  <c r="C1467" i="16"/>
  <c r="B1467" i="16"/>
  <c r="C1466" i="16"/>
  <c r="B1466" i="16"/>
  <c r="C1465" i="16"/>
  <c r="B1465" i="16"/>
  <c r="C1464" i="16"/>
  <c r="B1464" i="16"/>
  <c r="C1463" i="16"/>
  <c r="B1463" i="16"/>
  <c r="C1462" i="16"/>
  <c r="B1462" i="16"/>
  <c r="C1461" i="16"/>
  <c r="B1461" i="16"/>
  <c r="C1460" i="16"/>
  <c r="B1460" i="16"/>
  <c r="C1459" i="16"/>
  <c r="B1459" i="16"/>
  <c r="C1458" i="16"/>
  <c r="B1458" i="16"/>
  <c r="C1457" i="16"/>
  <c r="B1457" i="16"/>
  <c r="C1456" i="16"/>
  <c r="B1456" i="16"/>
  <c r="C1455" i="16"/>
  <c r="B1455" i="16"/>
  <c r="C1454" i="16"/>
  <c r="B1454" i="16"/>
  <c r="C1453" i="16"/>
  <c r="B1453" i="16"/>
  <c r="C1452" i="16"/>
  <c r="B1452" i="16"/>
  <c r="C1451" i="16"/>
  <c r="B1451" i="16"/>
  <c r="C1450" i="16"/>
  <c r="B1450" i="16"/>
  <c r="C1449" i="16"/>
  <c r="B1449" i="16"/>
  <c r="C1448" i="16"/>
  <c r="B1448" i="16"/>
  <c r="C1447" i="16"/>
  <c r="B1447" i="16"/>
  <c r="C1446" i="16"/>
  <c r="B1446" i="16"/>
  <c r="C1445" i="16"/>
  <c r="B1445" i="16"/>
  <c r="C1444" i="16"/>
  <c r="B1444" i="16"/>
  <c r="C1443" i="16"/>
  <c r="B1443" i="16"/>
  <c r="C1442" i="16"/>
  <c r="B1442" i="16"/>
  <c r="C1441" i="16"/>
  <c r="B1441" i="16"/>
  <c r="C1440" i="16"/>
  <c r="B1440" i="16"/>
  <c r="C1439" i="16"/>
  <c r="B1439" i="16"/>
  <c r="C1438" i="16"/>
  <c r="B1438" i="16"/>
  <c r="C1437" i="16"/>
  <c r="B1437" i="16"/>
  <c r="C1436" i="16"/>
  <c r="B1436" i="16"/>
  <c r="C1435" i="16"/>
  <c r="B1435" i="16"/>
  <c r="C1434" i="16"/>
  <c r="B1434" i="16"/>
  <c r="C1433" i="16"/>
  <c r="B1433" i="16"/>
  <c r="C1432" i="16"/>
  <c r="B1432" i="16"/>
  <c r="C1431" i="16"/>
  <c r="B1431" i="16"/>
  <c r="C1430" i="16"/>
  <c r="B1430" i="16"/>
  <c r="C1429" i="16"/>
  <c r="B1429" i="16"/>
  <c r="C1428" i="16"/>
  <c r="B1428" i="16"/>
  <c r="C1427" i="16"/>
  <c r="B1427" i="16"/>
  <c r="C1426" i="16"/>
  <c r="B1426" i="16"/>
  <c r="C1425" i="16"/>
  <c r="B1425" i="16"/>
  <c r="C1424" i="16"/>
  <c r="B1424" i="16"/>
  <c r="C1423" i="16"/>
  <c r="B1423" i="16"/>
  <c r="C1422" i="16"/>
  <c r="B1422" i="16"/>
  <c r="C1421" i="16"/>
  <c r="B1421" i="16"/>
  <c r="C1420" i="16"/>
  <c r="B1420" i="16"/>
  <c r="C1419" i="16"/>
  <c r="B1419" i="16"/>
  <c r="C1418" i="16"/>
  <c r="B1418" i="16"/>
  <c r="C1417" i="16"/>
  <c r="B1417" i="16"/>
  <c r="C1416" i="16"/>
  <c r="B1416" i="16"/>
  <c r="C1415" i="16"/>
  <c r="B1415" i="16"/>
  <c r="C1414" i="16"/>
  <c r="B1414" i="16"/>
  <c r="C1413" i="16"/>
  <c r="B1413" i="16"/>
  <c r="C1412" i="16"/>
  <c r="B1412" i="16"/>
  <c r="C1411" i="16"/>
  <c r="B1411" i="16"/>
  <c r="C1410" i="16"/>
  <c r="B1410" i="16"/>
  <c r="C1409" i="16"/>
  <c r="B1409" i="16"/>
  <c r="C1408" i="16"/>
  <c r="B1408" i="16"/>
  <c r="C1407" i="16"/>
  <c r="B1407" i="16"/>
  <c r="C1406" i="16"/>
  <c r="B1406" i="16"/>
  <c r="C1405" i="16"/>
  <c r="B1405" i="16"/>
  <c r="C1404" i="16"/>
  <c r="B1404" i="16"/>
  <c r="C1403" i="16"/>
  <c r="B1403" i="16"/>
  <c r="C1402" i="16"/>
  <c r="B1402" i="16"/>
  <c r="C1401" i="16"/>
  <c r="B1401" i="16"/>
  <c r="C1400" i="16"/>
  <c r="B1400" i="16"/>
  <c r="C1399" i="16"/>
  <c r="B1399" i="16"/>
  <c r="C1398" i="16"/>
  <c r="B1398" i="16"/>
  <c r="C1397" i="16"/>
  <c r="B1397" i="16"/>
  <c r="C1396" i="16"/>
  <c r="B1396" i="16"/>
  <c r="C1395" i="16"/>
  <c r="B1395" i="16"/>
  <c r="C1394" i="16"/>
  <c r="B1394" i="16"/>
  <c r="C1393" i="16"/>
  <c r="B1393" i="16"/>
  <c r="C1392" i="16"/>
  <c r="B1392" i="16"/>
  <c r="C1391" i="16"/>
  <c r="B1391" i="16"/>
  <c r="C1390" i="16"/>
  <c r="B1390" i="16"/>
  <c r="C1389" i="16"/>
  <c r="B1389" i="16"/>
  <c r="C1388" i="16"/>
  <c r="B1388" i="16"/>
  <c r="C1387" i="16"/>
  <c r="B1387" i="16"/>
  <c r="C1386" i="16"/>
  <c r="B1386" i="16"/>
  <c r="C1385" i="16"/>
  <c r="B1385" i="16"/>
  <c r="C1384" i="16"/>
  <c r="B1384" i="16"/>
  <c r="C1383" i="16"/>
  <c r="B1383" i="16"/>
  <c r="C1382" i="16"/>
  <c r="B1382" i="16"/>
  <c r="C1381" i="16"/>
  <c r="B1381" i="16"/>
  <c r="C1380" i="16"/>
  <c r="B1380" i="16"/>
  <c r="C1379" i="16"/>
  <c r="B1379" i="16"/>
  <c r="C1378" i="16"/>
  <c r="B1378" i="16"/>
  <c r="C1377" i="16"/>
  <c r="B1377" i="16"/>
  <c r="C1376" i="16"/>
  <c r="B1376" i="16"/>
  <c r="C1375" i="16"/>
  <c r="B1375" i="16"/>
  <c r="C1374" i="16"/>
  <c r="B1374" i="16"/>
  <c r="C1373" i="16"/>
  <c r="B1373" i="16"/>
  <c r="C1372" i="16"/>
  <c r="B1372" i="16"/>
  <c r="C1371" i="16"/>
  <c r="B1371" i="16"/>
  <c r="C1370" i="16"/>
  <c r="B1370" i="16"/>
  <c r="C1369" i="16"/>
  <c r="B1369" i="16"/>
  <c r="C1368" i="16"/>
  <c r="B1368" i="16"/>
  <c r="C1367" i="16"/>
  <c r="B1367" i="16"/>
  <c r="C1366" i="16"/>
  <c r="B1366" i="16"/>
  <c r="C1365" i="16"/>
  <c r="B1365" i="16"/>
  <c r="C1364" i="16"/>
  <c r="B1364" i="16"/>
  <c r="C1363" i="16"/>
  <c r="B1363" i="16"/>
  <c r="C1362" i="16"/>
  <c r="B1362" i="16"/>
  <c r="C1361" i="16"/>
  <c r="B1361" i="16"/>
  <c r="C1360" i="16"/>
  <c r="B1360" i="16"/>
  <c r="C1359" i="16"/>
  <c r="B1359" i="16"/>
  <c r="C1358" i="16"/>
  <c r="B1358" i="16"/>
  <c r="C1357" i="16"/>
  <c r="B1357" i="16"/>
  <c r="C1356" i="16"/>
  <c r="B1356" i="16"/>
  <c r="C1355" i="16"/>
  <c r="B1355" i="16"/>
  <c r="C1354" i="16"/>
  <c r="B1354" i="16"/>
  <c r="C1353" i="16"/>
  <c r="B1353" i="16"/>
  <c r="C1352" i="16"/>
  <c r="B1352" i="16"/>
  <c r="C1351" i="16"/>
  <c r="B1351" i="16"/>
  <c r="C1350" i="16"/>
  <c r="B1350" i="16"/>
  <c r="C1349" i="16"/>
  <c r="B1349" i="16"/>
  <c r="C1348" i="16"/>
  <c r="B1348" i="16"/>
  <c r="C1347" i="16"/>
  <c r="B1347" i="16"/>
  <c r="C1346" i="16"/>
  <c r="B1346" i="16"/>
  <c r="C1345" i="16"/>
  <c r="B1345" i="16"/>
  <c r="C1344" i="16"/>
  <c r="B1344" i="16"/>
  <c r="C1343" i="16"/>
  <c r="B1343" i="16"/>
  <c r="C1342" i="16"/>
  <c r="B1342" i="16"/>
  <c r="C1341" i="16"/>
  <c r="B1341" i="16"/>
  <c r="C1340" i="16"/>
  <c r="B1340" i="16"/>
  <c r="C1339" i="16"/>
  <c r="B1339" i="16"/>
  <c r="C1338" i="16"/>
  <c r="B1338" i="16"/>
  <c r="C1337" i="16"/>
  <c r="B1337" i="16"/>
  <c r="C1336" i="16"/>
  <c r="B1336" i="16"/>
  <c r="C1335" i="16"/>
  <c r="B1335" i="16"/>
  <c r="C1334" i="16"/>
  <c r="B1334" i="16"/>
  <c r="C1333" i="16"/>
  <c r="B1333" i="16"/>
  <c r="C1332" i="16"/>
  <c r="B1332" i="16"/>
  <c r="C1331" i="16"/>
  <c r="B1331" i="16"/>
  <c r="C1330" i="16"/>
  <c r="B1330" i="16"/>
  <c r="C1329" i="16"/>
  <c r="B1329" i="16"/>
  <c r="C1328" i="16"/>
  <c r="B1328" i="16"/>
  <c r="C1327" i="16"/>
  <c r="B1327" i="16"/>
  <c r="C1326" i="16"/>
  <c r="B1326" i="16"/>
  <c r="C1325" i="16"/>
  <c r="B1325" i="16"/>
  <c r="C1324" i="16"/>
  <c r="B1324" i="16"/>
  <c r="C1323" i="16"/>
  <c r="B1323" i="16"/>
  <c r="C1322" i="16"/>
  <c r="B1322" i="16"/>
  <c r="C1321" i="16"/>
  <c r="B1321" i="16"/>
  <c r="C1320" i="16"/>
  <c r="B1320" i="16"/>
  <c r="C1319" i="16"/>
  <c r="B1319" i="16"/>
  <c r="C1318" i="16"/>
  <c r="B1318" i="16"/>
  <c r="C1317" i="16"/>
  <c r="B1317" i="16"/>
  <c r="C1316" i="16"/>
  <c r="B1316" i="16"/>
  <c r="C1315" i="16"/>
  <c r="B1315" i="16"/>
  <c r="C1314" i="16"/>
  <c r="B1314" i="16"/>
  <c r="C1313" i="16"/>
  <c r="B1313" i="16"/>
  <c r="C1312" i="16"/>
  <c r="B1312" i="16"/>
  <c r="C1311" i="16"/>
  <c r="B1311" i="16"/>
  <c r="C1310" i="16"/>
  <c r="B1310" i="16"/>
  <c r="C1309" i="16"/>
  <c r="B1309" i="16"/>
  <c r="C1308" i="16"/>
  <c r="B1308" i="16"/>
  <c r="C1307" i="16"/>
  <c r="B1307" i="16"/>
  <c r="C1306" i="16"/>
  <c r="B1306" i="16"/>
  <c r="C1305" i="16"/>
  <c r="B1305" i="16"/>
  <c r="C1304" i="16"/>
  <c r="B1304" i="16"/>
  <c r="C1303" i="16"/>
  <c r="B1303" i="16"/>
  <c r="C1302" i="16"/>
  <c r="B1302" i="16"/>
  <c r="C1301" i="16"/>
  <c r="B1301" i="16"/>
  <c r="C1300" i="16"/>
  <c r="B1300" i="16"/>
  <c r="C1299" i="16"/>
  <c r="B1299" i="16"/>
  <c r="C1298" i="16"/>
  <c r="B1298" i="16"/>
  <c r="C1297" i="16"/>
  <c r="B1297" i="16"/>
  <c r="C1296" i="16"/>
  <c r="B1296" i="16"/>
  <c r="C1295" i="16"/>
  <c r="B1295" i="16"/>
  <c r="C1294" i="16"/>
  <c r="B1294" i="16"/>
  <c r="C1293" i="16"/>
  <c r="B1293" i="16"/>
  <c r="C1292" i="16"/>
  <c r="B1292" i="16"/>
  <c r="C1291" i="16"/>
  <c r="B1291" i="16"/>
  <c r="C1290" i="16"/>
  <c r="B1290" i="16"/>
  <c r="C1289" i="16"/>
  <c r="B1289" i="16"/>
  <c r="C1288" i="16"/>
  <c r="B1288" i="16"/>
  <c r="C1287" i="16"/>
  <c r="B1287" i="16"/>
  <c r="C1286" i="16"/>
  <c r="B1286" i="16"/>
  <c r="C1285" i="16"/>
  <c r="B1285" i="16"/>
  <c r="C1284" i="16"/>
  <c r="B1284" i="16"/>
  <c r="C1283" i="16"/>
  <c r="B1283" i="16"/>
  <c r="C1282" i="16"/>
  <c r="B1282" i="16"/>
  <c r="C1281" i="16"/>
  <c r="B1281" i="16"/>
  <c r="C1280" i="16"/>
  <c r="B1280" i="16"/>
  <c r="C1279" i="16"/>
  <c r="B1279" i="16"/>
  <c r="C1278" i="16"/>
  <c r="B1278" i="16"/>
  <c r="C1277" i="16"/>
  <c r="B1277" i="16"/>
  <c r="C1276" i="16"/>
  <c r="B1276" i="16"/>
  <c r="C1275" i="16"/>
  <c r="B1275" i="16"/>
  <c r="C1274" i="16"/>
  <c r="B1274" i="16"/>
  <c r="C1273" i="16"/>
  <c r="B1273" i="16"/>
  <c r="C1272" i="16"/>
  <c r="B1272" i="16"/>
  <c r="C1271" i="16"/>
  <c r="B1271" i="16"/>
  <c r="C1270" i="16"/>
  <c r="B1270" i="16"/>
  <c r="C1269" i="16"/>
  <c r="B1269" i="16"/>
  <c r="C1268" i="16"/>
  <c r="B1268" i="16"/>
  <c r="C1267" i="16"/>
  <c r="B1267" i="16"/>
  <c r="C1266" i="16"/>
  <c r="B1266" i="16"/>
  <c r="C1265" i="16"/>
  <c r="B1265" i="16"/>
  <c r="C1264" i="16"/>
  <c r="B1264" i="16"/>
  <c r="C1263" i="16"/>
  <c r="B1263" i="16"/>
  <c r="C1262" i="16"/>
  <c r="B1262" i="16"/>
  <c r="C1261" i="16"/>
  <c r="B1261" i="16"/>
  <c r="C1260" i="16"/>
  <c r="B1260" i="16"/>
  <c r="C1259" i="16"/>
  <c r="B1259" i="16"/>
  <c r="C1258" i="16"/>
  <c r="B1258" i="16"/>
  <c r="C1257" i="16"/>
  <c r="B1257" i="16"/>
  <c r="C1256" i="16"/>
  <c r="B1256" i="16"/>
  <c r="C1255" i="16"/>
  <c r="B1255" i="16"/>
  <c r="C1254" i="16"/>
  <c r="B1254" i="16"/>
  <c r="C1253" i="16"/>
  <c r="B1253" i="16"/>
  <c r="C1252" i="16"/>
  <c r="B1252" i="16"/>
  <c r="C1251" i="16"/>
  <c r="B1251" i="16"/>
  <c r="C1250" i="16"/>
  <c r="B1250" i="16"/>
  <c r="C1249" i="16"/>
  <c r="B1249" i="16"/>
  <c r="C1248" i="16"/>
  <c r="B1248" i="16"/>
  <c r="C1247" i="16"/>
  <c r="B1247" i="16"/>
  <c r="C1246" i="16"/>
  <c r="B1246" i="16"/>
  <c r="C1245" i="16"/>
  <c r="B1245" i="16"/>
  <c r="C1244" i="16"/>
  <c r="B1244" i="16"/>
  <c r="C1243" i="16"/>
  <c r="B1243" i="16"/>
  <c r="C1242" i="16"/>
  <c r="B1242" i="16"/>
  <c r="C1241" i="16"/>
  <c r="B1241" i="16"/>
  <c r="C1240" i="16"/>
  <c r="B1240" i="16"/>
  <c r="C1239" i="16"/>
  <c r="B1239" i="16"/>
  <c r="C1238" i="16"/>
  <c r="B1238" i="16"/>
  <c r="C1237" i="16"/>
  <c r="B1237" i="16"/>
  <c r="C1236" i="16"/>
  <c r="B1236" i="16"/>
  <c r="C1235" i="16"/>
  <c r="B1235" i="16"/>
  <c r="C1234" i="16"/>
  <c r="B1234" i="16"/>
  <c r="C1233" i="16"/>
  <c r="B1233" i="16"/>
  <c r="C1232" i="16"/>
  <c r="B1232" i="16"/>
  <c r="C1231" i="16"/>
  <c r="B1231" i="16"/>
  <c r="C1230" i="16"/>
  <c r="B1230" i="16"/>
  <c r="C1229" i="16"/>
  <c r="B1229" i="16"/>
  <c r="C1228" i="16"/>
  <c r="B1228" i="16"/>
  <c r="C1227" i="16"/>
  <c r="B1227" i="16"/>
  <c r="C1226" i="16"/>
  <c r="B1226" i="16"/>
  <c r="C1225" i="16"/>
  <c r="B1225" i="16"/>
  <c r="C1224" i="16"/>
  <c r="B1224" i="16"/>
  <c r="C1223" i="16"/>
  <c r="B1223" i="16"/>
  <c r="C1222" i="16"/>
  <c r="B1222" i="16"/>
  <c r="C1221" i="16"/>
  <c r="B1221" i="16"/>
  <c r="C1220" i="16"/>
  <c r="B1220" i="16"/>
  <c r="C1219" i="16"/>
  <c r="B1219" i="16"/>
  <c r="C1218" i="16"/>
  <c r="B1218" i="16"/>
  <c r="C1217" i="16"/>
  <c r="B1217" i="16"/>
  <c r="C1216" i="16"/>
  <c r="B1216" i="16"/>
  <c r="C1215" i="16"/>
  <c r="B1215" i="16"/>
  <c r="C1214" i="16"/>
  <c r="B1214" i="16"/>
  <c r="C1213" i="16"/>
  <c r="B1213" i="16"/>
  <c r="C1212" i="16"/>
  <c r="B1212" i="16"/>
  <c r="C1211" i="16"/>
  <c r="B1211" i="16"/>
  <c r="C1210" i="16"/>
  <c r="B1210" i="16"/>
  <c r="C1209" i="16"/>
  <c r="B1209" i="16"/>
  <c r="C1208" i="16"/>
  <c r="B1208" i="16"/>
  <c r="C1207" i="16"/>
  <c r="B1207" i="16"/>
  <c r="C1206" i="16"/>
  <c r="B1206" i="16"/>
  <c r="C1205" i="16"/>
  <c r="B1205" i="16"/>
  <c r="C1204" i="16"/>
  <c r="B1204" i="16"/>
  <c r="C1203" i="16"/>
  <c r="B1203" i="16"/>
  <c r="C1202" i="16"/>
  <c r="B1202" i="16"/>
  <c r="C1201" i="16"/>
  <c r="B1201" i="16"/>
  <c r="C1200" i="16"/>
  <c r="B1200" i="16"/>
  <c r="C1199" i="16"/>
  <c r="B1199" i="16"/>
  <c r="C1198" i="16"/>
  <c r="B1198" i="16"/>
  <c r="C1197" i="16"/>
  <c r="B1197" i="16"/>
  <c r="C1196" i="16"/>
  <c r="B1196" i="16"/>
  <c r="C1195" i="16"/>
  <c r="B1195" i="16"/>
  <c r="C1194" i="16"/>
  <c r="B1194" i="16"/>
  <c r="C1193" i="16"/>
  <c r="B1193" i="16"/>
  <c r="C1192" i="16"/>
  <c r="B1192" i="16"/>
  <c r="C1191" i="16"/>
  <c r="B1191" i="16"/>
  <c r="C1190" i="16"/>
  <c r="B1190" i="16"/>
  <c r="C1189" i="16"/>
  <c r="B1189" i="16"/>
  <c r="C1188" i="16"/>
  <c r="B1188" i="16"/>
  <c r="C1187" i="16"/>
  <c r="B1187" i="16"/>
  <c r="C1186" i="16"/>
  <c r="B1186" i="16"/>
  <c r="C1185" i="16"/>
  <c r="B1185" i="16"/>
  <c r="C1184" i="16"/>
  <c r="B1184" i="16"/>
  <c r="C1183" i="16"/>
  <c r="B1183" i="16"/>
  <c r="C1182" i="16"/>
  <c r="B1182" i="16"/>
  <c r="C1181" i="16"/>
  <c r="B1181" i="16"/>
  <c r="C1180" i="16"/>
  <c r="B1180" i="16"/>
  <c r="C1179" i="16"/>
  <c r="B1179" i="16"/>
  <c r="C1178" i="16"/>
  <c r="B1178" i="16"/>
  <c r="C1177" i="16"/>
  <c r="B1177" i="16"/>
  <c r="C1176" i="16"/>
  <c r="B1176" i="16"/>
  <c r="C1175" i="16"/>
  <c r="B1175" i="16"/>
  <c r="C1174" i="16"/>
  <c r="B1174" i="16"/>
  <c r="C1173" i="16"/>
  <c r="B1173" i="16"/>
  <c r="C1172" i="16"/>
  <c r="B1172" i="16"/>
  <c r="C1171" i="16"/>
  <c r="B1171" i="16"/>
  <c r="C1170" i="16"/>
  <c r="B1170" i="16"/>
  <c r="C1169" i="16"/>
  <c r="B1169" i="16"/>
  <c r="C1168" i="16"/>
  <c r="B1168" i="16"/>
  <c r="C1167" i="16"/>
  <c r="B1167" i="16"/>
  <c r="C1166" i="16"/>
  <c r="B1166" i="16"/>
  <c r="C1165" i="16"/>
  <c r="B1165" i="16"/>
  <c r="C1164" i="16"/>
  <c r="B1164" i="16"/>
  <c r="C1163" i="16"/>
  <c r="B1163" i="16"/>
  <c r="C1162" i="16"/>
  <c r="B1162" i="16"/>
  <c r="C1161" i="16"/>
  <c r="B1161" i="16"/>
  <c r="C1160" i="16"/>
  <c r="B1160" i="16"/>
  <c r="C1159" i="16"/>
  <c r="B1159" i="16"/>
  <c r="C1158" i="16"/>
  <c r="B1158" i="16"/>
  <c r="C1157" i="16"/>
  <c r="B1157" i="16"/>
  <c r="C1156" i="16"/>
  <c r="B1156" i="16"/>
  <c r="C1155" i="16"/>
  <c r="B1155" i="16"/>
  <c r="C1154" i="16"/>
  <c r="B1154" i="16"/>
  <c r="C1153" i="16"/>
  <c r="B1153" i="16"/>
  <c r="C1152" i="16"/>
  <c r="B1152" i="16"/>
  <c r="C1151" i="16"/>
  <c r="B1151" i="16"/>
  <c r="C1150" i="16"/>
  <c r="B1150" i="16"/>
  <c r="C1149" i="16"/>
  <c r="B1149" i="16"/>
  <c r="C1148" i="16"/>
  <c r="B1148" i="16"/>
  <c r="C1147" i="16"/>
  <c r="B1147" i="16"/>
  <c r="C1146" i="16"/>
  <c r="B1146" i="16"/>
  <c r="C1145" i="16"/>
  <c r="B1145" i="16"/>
  <c r="C1144" i="16"/>
  <c r="B1144" i="16"/>
  <c r="C1143" i="16"/>
  <c r="B1143" i="16"/>
  <c r="C1142" i="16"/>
  <c r="B1142" i="16"/>
  <c r="C1141" i="16"/>
  <c r="B1141" i="16"/>
  <c r="C1140" i="16"/>
  <c r="B1140" i="16"/>
  <c r="C1139" i="16"/>
  <c r="B1139" i="16"/>
  <c r="C1138" i="16"/>
  <c r="B1138" i="16"/>
  <c r="C1137" i="16"/>
  <c r="B1137" i="16"/>
  <c r="C1136" i="16"/>
  <c r="B1136" i="16"/>
  <c r="C1135" i="16"/>
  <c r="B1135" i="16"/>
  <c r="C1134" i="16"/>
  <c r="B1134" i="16"/>
  <c r="C1133" i="16"/>
  <c r="B1133" i="16"/>
  <c r="C1132" i="16"/>
  <c r="B1132" i="16"/>
  <c r="C1131" i="16"/>
  <c r="B1131" i="16"/>
  <c r="C1130" i="16"/>
  <c r="B1130" i="16"/>
  <c r="C1129" i="16"/>
  <c r="B1129" i="16"/>
  <c r="C1128" i="16"/>
  <c r="B1128" i="16"/>
  <c r="C1127" i="16"/>
  <c r="B1127" i="16"/>
  <c r="C1126" i="16"/>
  <c r="B1126" i="16"/>
  <c r="C1125" i="16"/>
  <c r="B1125" i="16"/>
  <c r="C1124" i="16"/>
  <c r="B1124" i="16"/>
  <c r="C1123" i="16"/>
  <c r="B1123" i="16"/>
  <c r="C1122" i="16"/>
  <c r="B1122" i="16"/>
  <c r="C1121" i="16"/>
  <c r="B1121" i="16"/>
  <c r="C1120" i="16"/>
  <c r="B1120" i="16"/>
  <c r="C1119" i="16"/>
  <c r="B1119" i="16"/>
  <c r="C1118" i="16"/>
  <c r="B1118" i="16"/>
  <c r="C1117" i="16"/>
  <c r="B1117" i="16"/>
  <c r="C1116" i="16"/>
  <c r="B1116" i="16"/>
  <c r="C1115" i="16"/>
  <c r="B1115" i="16"/>
  <c r="C1114" i="16"/>
  <c r="B1114" i="16"/>
  <c r="C1113" i="16"/>
  <c r="B1113" i="16"/>
  <c r="C1112" i="16"/>
  <c r="B1112" i="16"/>
  <c r="C1111" i="16"/>
  <c r="B1111" i="16"/>
  <c r="C1110" i="16"/>
  <c r="B1110" i="16"/>
  <c r="C1109" i="16"/>
  <c r="B1109" i="16"/>
  <c r="C1108" i="16"/>
  <c r="B1108" i="16"/>
  <c r="C1107" i="16"/>
  <c r="B1107" i="16"/>
  <c r="C1106" i="16"/>
  <c r="B1106" i="16"/>
  <c r="C1105" i="16"/>
  <c r="B1105" i="16"/>
  <c r="C1104" i="16"/>
  <c r="B1104" i="16"/>
  <c r="C1103" i="16"/>
  <c r="B1103" i="16"/>
  <c r="C1102" i="16"/>
  <c r="B1102" i="16"/>
  <c r="C1101" i="16"/>
  <c r="B1101" i="16"/>
  <c r="C1100" i="16"/>
  <c r="B1100" i="16"/>
  <c r="C1099" i="16"/>
  <c r="B1099" i="16"/>
  <c r="C1098" i="16"/>
  <c r="B1098" i="16"/>
  <c r="C1097" i="16"/>
  <c r="B1097" i="16"/>
  <c r="C1096" i="16"/>
  <c r="B1096" i="16"/>
  <c r="C1095" i="16"/>
  <c r="B1095" i="16"/>
  <c r="C1094" i="16"/>
  <c r="B1094" i="16"/>
  <c r="C1093" i="16"/>
  <c r="B1093" i="16"/>
  <c r="C1092" i="16"/>
  <c r="B1092" i="16"/>
  <c r="C1091" i="16"/>
  <c r="B1091" i="16"/>
  <c r="C1090" i="16"/>
  <c r="B1090" i="16"/>
  <c r="C1089" i="16"/>
  <c r="B1089" i="16"/>
  <c r="C1088" i="16"/>
  <c r="B1088" i="16"/>
  <c r="C1087" i="16"/>
  <c r="B1087" i="16"/>
  <c r="C1086" i="16"/>
  <c r="B1086" i="16"/>
  <c r="C1085" i="16"/>
  <c r="B1085" i="16"/>
  <c r="C1084" i="16"/>
  <c r="B1084" i="16"/>
  <c r="C1083" i="16"/>
  <c r="B1083" i="16"/>
  <c r="C1082" i="16"/>
  <c r="B1082" i="16"/>
  <c r="C1081" i="16"/>
  <c r="B1081" i="16"/>
  <c r="C1080" i="16"/>
  <c r="B1080" i="16"/>
  <c r="C1079" i="16"/>
  <c r="B1079" i="16"/>
  <c r="C1078" i="16"/>
  <c r="B1078" i="16"/>
  <c r="C1077" i="16"/>
  <c r="B1077" i="16"/>
  <c r="C1076" i="16"/>
  <c r="B1076" i="16"/>
  <c r="C1075" i="16"/>
  <c r="B1075" i="16"/>
  <c r="C1074" i="16"/>
  <c r="B1074" i="16"/>
  <c r="C1073" i="16"/>
  <c r="B1073" i="16"/>
  <c r="C1072" i="16"/>
  <c r="B1072" i="16"/>
  <c r="C1071" i="16"/>
  <c r="B1071" i="16"/>
  <c r="C1070" i="16"/>
  <c r="B1070" i="16"/>
  <c r="C1069" i="16"/>
  <c r="B1069" i="16"/>
  <c r="C1068" i="16"/>
  <c r="B1068" i="16"/>
  <c r="C1067" i="16"/>
  <c r="B1067" i="16"/>
  <c r="C1066" i="16"/>
  <c r="B1066" i="16"/>
  <c r="C1065" i="16"/>
  <c r="B1065" i="16"/>
  <c r="C1064" i="16"/>
  <c r="B1064" i="16"/>
  <c r="C1063" i="16"/>
  <c r="B1063" i="16"/>
  <c r="C1062" i="16"/>
  <c r="B1062" i="16"/>
  <c r="C1061" i="16"/>
  <c r="B1061" i="16"/>
  <c r="C1060" i="16"/>
  <c r="B1060" i="16"/>
  <c r="C1059" i="16"/>
  <c r="B1059" i="16"/>
  <c r="C1058" i="16"/>
  <c r="B1058" i="16"/>
  <c r="C1057" i="16"/>
  <c r="B1057" i="16"/>
  <c r="C1056" i="16"/>
  <c r="B1056" i="16"/>
  <c r="C1055" i="16"/>
  <c r="B1055" i="16"/>
  <c r="C1054" i="16"/>
  <c r="B1054" i="16"/>
  <c r="C1053" i="16"/>
  <c r="B1053" i="16"/>
  <c r="C1052" i="16"/>
  <c r="B1052" i="16"/>
  <c r="C1051" i="16"/>
  <c r="B1051" i="16"/>
  <c r="C1050" i="16"/>
  <c r="B1050" i="16"/>
  <c r="C1049" i="16"/>
  <c r="B1049" i="16"/>
  <c r="C1048" i="16"/>
  <c r="B1048" i="16"/>
  <c r="C1047" i="16"/>
  <c r="B1047" i="16"/>
  <c r="C1046" i="16"/>
  <c r="B1046" i="16"/>
  <c r="C1045" i="16"/>
  <c r="B1045" i="16"/>
  <c r="C820" i="16"/>
  <c r="B820" i="16"/>
  <c r="C819" i="16"/>
  <c r="B819" i="16"/>
  <c r="C818" i="16"/>
  <c r="B818" i="16"/>
  <c r="C817" i="16"/>
  <c r="B817" i="16"/>
  <c r="C816" i="16"/>
  <c r="B816" i="16"/>
  <c r="C815" i="16"/>
  <c r="B815" i="16"/>
  <c r="C814" i="16"/>
  <c r="B814" i="16"/>
  <c r="C813" i="16"/>
  <c r="B813" i="16"/>
  <c r="C812" i="16"/>
  <c r="B812" i="16"/>
  <c r="C811" i="16"/>
  <c r="B811" i="16"/>
  <c r="C810" i="16"/>
  <c r="B810" i="16"/>
  <c r="C809" i="16"/>
  <c r="B809" i="16"/>
  <c r="C808" i="16"/>
  <c r="B808" i="16"/>
  <c r="C807" i="16"/>
  <c r="B807" i="16"/>
  <c r="C806" i="16"/>
  <c r="B806" i="16"/>
  <c r="C805" i="16"/>
  <c r="B805" i="16"/>
  <c r="C804" i="16"/>
  <c r="B804" i="16"/>
  <c r="C803" i="16"/>
  <c r="B803" i="16"/>
  <c r="C802" i="16"/>
  <c r="B802" i="16"/>
  <c r="C801" i="16"/>
  <c r="B801" i="16"/>
  <c r="C800" i="16"/>
  <c r="B800" i="16"/>
  <c r="C799" i="16"/>
  <c r="B799" i="16"/>
  <c r="C798" i="16"/>
  <c r="B798" i="16"/>
  <c r="C797" i="16"/>
  <c r="B797" i="16"/>
  <c r="C796" i="16"/>
  <c r="B796" i="16"/>
  <c r="C795" i="16"/>
  <c r="B795" i="16"/>
  <c r="C794" i="16"/>
  <c r="B794" i="16"/>
  <c r="C793" i="16"/>
  <c r="B793" i="16"/>
  <c r="C792" i="16"/>
  <c r="B792" i="16"/>
  <c r="C791" i="16"/>
  <c r="B791" i="16"/>
  <c r="C790" i="16"/>
  <c r="B790" i="16"/>
  <c r="C789" i="16"/>
  <c r="B789" i="16"/>
  <c r="C788" i="16"/>
  <c r="B788" i="16"/>
  <c r="C787" i="16"/>
  <c r="B787" i="16"/>
  <c r="C786" i="16"/>
  <c r="B786" i="16"/>
  <c r="C785" i="16"/>
  <c r="B785" i="16"/>
  <c r="C784" i="16"/>
  <c r="B784" i="16"/>
  <c r="C783" i="16"/>
  <c r="B783" i="16"/>
  <c r="C782" i="16"/>
  <c r="B782" i="16"/>
  <c r="C781" i="16"/>
  <c r="B781" i="16"/>
  <c r="C780" i="16"/>
  <c r="B780" i="16"/>
  <c r="C779" i="16"/>
  <c r="B779" i="16"/>
  <c r="C778" i="16"/>
  <c r="B778" i="16"/>
  <c r="C777" i="16"/>
  <c r="B777" i="16"/>
  <c r="C776" i="16"/>
  <c r="B776" i="16"/>
  <c r="C775" i="16"/>
  <c r="B775" i="16"/>
  <c r="C774" i="16"/>
  <c r="B774" i="16"/>
  <c r="C773" i="16"/>
  <c r="B773" i="16"/>
  <c r="C772" i="16"/>
  <c r="B772" i="16"/>
  <c r="C771" i="16"/>
  <c r="B771" i="16"/>
  <c r="C770" i="16"/>
  <c r="B770" i="16"/>
  <c r="C769" i="16"/>
  <c r="B769" i="16"/>
  <c r="C768" i="16"/>
  <c r="B768" i="16"/>
  <c r="C767" i="16"/>
  <c r="B767" i="16"/>
  <c r="C766" i="16"/>
  <c r="B766" i="16"/>
  <c r="C765" i="16"/>
  <c r="B765" i="16"/>
  <c r="C764" i="16"/>
  <c r="B764" i="16"/>
  <c r="C763" i="16"/>
  <c r="B763" i="16"/>
  <c r="C762" i="16"/>
  <c r="B762" i="16"/>
  <c r="C761" i="16"/>
  <c r="B761" i="16"/>
  <c r="C760" i="16"/>
  <c r="B760" i="16"/>
  <c r="C759" i="16"/>
  <c r="B759" i="16"/>
  <c r="C758" i="16"/>
  <c r="B758" i="16"/>
  <c r="C757" i="16"/>
  <c r="B757" i="16"/>
  <c r="C756" i="16"/>
  <c r="B756" i="16"/>
  <c r="C755" i="16"/>
  <c r="B755" i="16"/>
  <c r="C754" i="16"/>
  <c r="B754" i="16"/>
  <c r="C753" i="16"/>
  <c r="B753" i="16"/>
  <c r="C752" i="16"/>
  <c r="B752" i="16"/>
  <c r="C751" i="16"/>
  <c r="B751" i="16"/>
  <c r="C750" i="16"/>
  <c r="B750" i="16"/>
  <c r="C749" i="16"/>
  <c r="B749" i="16"/>
  <c r="C748" i="16"/>
  <c r="B748" i="16"/>
  <c r="C747" i="16"/>
  <c r="B747" i="16"/>
  <c r="C746" i="16"/>
  <c r="B746" i="16"/>
  <c r="C745" i="16"/>
  <c r="B745" i="16"/>
  <c r="C744" i="16"/>
  <c r="B744" i="16"/>
  <c r="C743" i="16"/>
  <c r="B743" i="16"/>
  <c r="C742" i="16"/>
  <c r="B742" i="16"/>
  <c r="C741" i="16"/>
  <c r="B741" i="16"/>
  <c r="C740" i="16"/>
  <c r="B740" i="16"/>
  <c r="C739" i="16"/>
  <c r="B739" i="16"/>
  <c r="C738" i="16"/>
  <c r="B738" i="16"/>
  <c r="C737" i="16"/>
  <c r="B737" i="16"/>
  <c r="C736" i="16"/>
  <c r="B736" i="16"/>
  <c r="C735" i="16"/>
  <c r="B735" i="16"/>
  <c r="C734" i="16"/>
  <c r="B734" i="16"/>
  <c r="C733" i="16"/>
  <c r="B733" i="16"/>
  <c r="C732" i="16"/>
  <c r="B732" i="16"/>
  <c r="C731" i="16"/>
  <c r="B731" i="16"/>
  <c r="C730" i="16"/>
  <c r="B730" i="16"/>
  <c r="C729" i="16"/>
  <c r="B729" i="16"/>
  <c r="C728" i="16"/>
  <c r="B728" i="16"/>
  <c r="C727" i="16"/>
  <c r="B727" i="16"/>
  <c r="C726" i="16"/>
  <c r="B726" i="16"/>
  <c r="C724" i="16"/>
  <c r="B724" i="16"/>
  <c r="C723" i="16"/>
  <c r="B723" i="16"/>
  <c r="C722" i="16"/>
  <c r="B722" i="16"/>
  <c r="C721" i="16"/>
  <c r="B721" i="16"/>
  <c r="C720" i="16"/>
  <c r="B720" i="16"/>
  <c r="C719" i="16"/>
  <c r="B719" i="16"/>
  <c r="C718" i="16"/>
  <c r="B718" i="16"/>
  <c r="C717" i="16"/>
  <c r="B717" i="16"/>
  <c r="C716" i="16"/>
  <c r="B716" i="16"/>
  <c r="C715" i="16"/>
  <c r="B715" i="16"/>
  <c r="C714" i="16"/>
  <c r="B714" i="16"/>
  <c r="C713" i="16"/>
  <c r="B713" i="16"/>
  <c r="C712" i="16"/>
  <c r="B712" i="16"/>
  <c r="C711" i="16"/>
  <c r="B711" i="16"/>
  <c r="C710" i="16"/>
  <c r="B710" i="16"/>
  <c r="C709" i="16"/>
  <c r="B709" i="16"/>
  <c r="C708" i="16"/>
  <c r="B708" i="16"/>
  <c r="C707" i="16"/>
  <c r="B707" i="16"/>
  <c r="C706" i="16"/>
  <c r="B706" i="16"/>
  <c r="C705" i="16"/>
  <c r="B705" i="16"/>
  <c r="C704" i="16"/>
  <c r="B704" i="16"/>
  <c r="C703" i="16"/>
  <c r="B703" i="16"/>
  <c r="C702" i="16"/>
  <c r="B702" i="16"/>
  <c r="C701" i="16"/>
  <c r="B701" i="16"/>
  <c r="C700" i="16"/>
  <c r="B700" i="16"/>
  <c r="C699" i="16"/>
  <c r="B699" i="16"/>
  <c r="C698" i="16"/>
  <c r="B698" i="16"/>
  <c r="C697" i="16"/>
  <c r="B697" i="16"/>
  <c r="C696" i="16"/>
  <c r="B696" i="16"/>
  <c r="C695" i="16"/>
  <c r="B695" i="16"/>
  <c r="C694" i="16"/>
  <c r="B694" i="16"/>
  <c r="C693" i="16"/>
  <c r="B693" i="16"/>
  <c r="C692" i="16"/>
  <c r="B692" i="16"/>
  <c r="C691" i="16"/>
  <c r="B691" i="16"/>
  <c r="C690" i="16"/>
  <c r="B690" i="16"/>
  <c r="C689" i="16"/>
  <c r="B689" i="16"/>
  <c r="C688" i="16"/>
  <c r="B688" i="16"/>
  <c r="C687" i="16"/>
  <c r="B687" i="16"/>
  <c r="C686" i="16"/>
  <c r="B686" i="16"/>
  <c r="C685" i="16"/>
  <c r="B685" i="16"/>
  <c r="C684" i="16"/>
  <c r="B684" i="16"/>
  <c r="C683" i="16"/>
  <c r="B683" i="16"/>
  <c r="C682" i="16"/>
  <c r="B682" i="16"/>
  <c r="C681" i="16"/>
  <c r="B681" i="16"/>
  <c r="C680" i="16"/>
  <c r="B680" i="16"/>
  <c r="C679" i="16"/>
  <c r="B679" i="16"/>
  <c r="C677" i="16"/>
  <c r="B677" i="16"/>
  <c r="C676" i="16"/>
  <c r="B676" i="16"/>
  <c r="C675" i="16"/>
  <c r="B675" i="16"/>
  <c r="C674" i="16"/>
  <c r="B674" i="16"/>
  <c r="C673" i="16"/>
  <c r="B673" i="16"/>
  <c r="C672" i="16"/>
  <c r="B672" i="16"/>
  <c r="C671" i="16"/>
  <c r="B671" i="16"/>
  <c r="C670" i="16"/>
  <c r="B670" i="16"/>
  <c r="C669" i="16"/>
  <c r="B669" i="16"/>
  <c r="C668" i="16"/>
  <c r="B668" i="16"/>
  <c r="C667" i="16"/>
  <c r="B667" i="16"/>
  <c r="C666" i="16"/>
  <c r="B666" i="16"/>
  <c r="C665" i="16"/>
  <c r="B665" i="16"/>
  <c r="C664" i="16"/>
  <c r="B664" i="16"/>
  <c r="C663" i="16"/>
  <c r="B663" i="16"/>
  <c r="C662" i="16"/>
  <c r="B662" i="16"/>
  <c r="C661" i="16"/>
  <c r="B661" i="16"/>
  <c r="C660" i="16"/>
  <c r="B660" i="16"/>
  <c r="C659" i="16"/>
  <c r="B659" i="16"/>
  <c r="C658" i="16"/>
  <c r="B658" i="16"/>
  <c r="C657" i="16"/>
  <c r="B657" i="16"/>
  <c r="C656" i="16"/>
  <c r="B656" i="16"/>
  <c r="C655" i="16"/>
  <c r="B655" i="16"/>
  <c r="C654" i="16"/>
  <c r="B654" i="16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C643" i="16"/>
  <c r="B643" i="16"/>
  <c r="C642" i="16"/>
  <c r="B642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C631" i="16"/>
  <c r="B631" i="16"/>
  <c r="C630" i="16"/>
  <c r="B630" i="16"/>
  <c r="C629" i="16"/>
  <c r="B629" i="16"/>
  <c r="C628" i="16"/>
  <c r="B628" i="16"/>
  <c r="C627" i="16"/>
  <c r="B627" i="16"/>
  <c r="C626" i="16"/>
  <c r="B626" i="16"/>
  <c r="C625" i="16"/>
  <c r="B625" i="16"/>
  <c r="C624" i="16"/>
  <c r="B624" i="16"/>
  <c r="C623" i="16"/>
  <c r="B623" i="16"/>
  <c r="C622" i="16"/>
  <c r="B622" i="16"/>
  <c r="C621" i="16"/>
  <c r="B621" i="16"/>
  <c r="C620" i="16"/>
  <c r="B620" i="16"/>
  <c r="C619" i="16"/>
  <c r="B619" i="16"/>
  <c r="C618" i="16"/>
  <c r="B618" i="16"/>
  <c r="C617" i="16"/>
  <c r="B617" i="16"/>
  <c r="C616" i="16"/>
  <c r="B616" i="16"/>
  <c r="C615" i="16"/>
  <c r="B615" i="16"/>
  <c r="C614" i="16"/>
  <c r="B614" i="16"/>
  <c r="C613" i="16"/>
  <c r="B613" i="16"/>
  <c r="C612" i="16"/>
  <c r="B612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C601" i="16"/>
  <c r="B601" i="16"/>
  <c r="C600" i="16"/>
  <c r="B600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B590" i="16"/>
  <c r="C589" i="16"/>
  <c r="B589" i="16"/>
  <c r="C588" i="16"/>
  <c r="B588" i="16"/>
  <c r="C587" i="16"/>
  <c r="B587" i="16"/>
  <c r="C586" i="16"/>
  <c r="B586" i="16"/>
  <c r="C585" i="16"/>
  <c r="B585" i="16"/>
  <c r="C584" i="16"/>
  <c r="B584" i="16"/>
  <c r="C583" i="16"/>
  <c r="B583" i="16"/>
  <c r="C582" i="16"/>
  <c r="B582" i="16"/>
  <c r="C581" i="16"/>
  <c r="B581" i="16"/>
  <c r="C580" i="16"/>
  <c r="B580" i="16"/>
  <c r="C579" i="16"/>
  <c r="B579" i="16"/>
  <c r="C578" i="16"/>
  <c r="B578" i="16"/>
  <c r="C576" i="16"/>
  <c r="B576" i="16"/>
  <c r="C575" i="16"/>
  <c r="B575" i="16"/>
  <c r="C574" i="16"/>
  <c r="B574" i="16"/>
  <c r="C573" i="16"/>
  <c r="B573" i="16"/>
  <c r="C572" i="16"/>
  <c r="B572" i="16"/>
  <c r="C571" i="16"/>
  <c r="B571" i="16"/>
  <c r="C570" i="16"/>
  <c r="B570" i="16"/>
  <c r="C569" i="16"/>
  <c r="B569" i="16"/>
  <c r="C568" i="16"/>
  <c r="B568" i="16"/>
  <c r="C567" i="16"/>
  <c r="B567" i="16"/>
  <c r="C566" i="16"/>
  <c r="B566" i="16"/>
  <c r="C565" i="16"/>
  <c r="B565" i="16"/>
  <c r="C564" i="16"/>
  <c r="B564" i="16"/>
  <c r="C563" i="16"/>
  <c r="B563" i="16"/>
  <c r="C562" i="16"/>
  <c r="B562" i="16"/>
  <c r="C561" i="16"/>
  <c r="B561" i="16"/>
  <c r="C560" i="16"/>
  <c r="B560" i="16"/>
  <c r="C559" i="16"/>
  <c r="B559" i="16"/>
  <c r="C558" i="16"/>
  <c r="B558" i="16"/>
  <c r="C557" i="16"/>
  <c r="B557" i="16"/>
  <c r="C556" i="16"/>
  <c r="B556" i="16"/>
  <c r="C555" i="16"/>
  <c r="B555" i="16"/>
  <c r="C554" i="16"/>
  <c r="B554" i="16"/>
  <c r="C553" i="16"/>
  <c r="B553" i="16"/>
  <c r="C552" i="16"/>
  <c r="B552" i="16"/>
  <c r="C551" i="16"/>
  <c r="B551" i="16"/>
  <c r="C550" i="16"/>
  <c r="B550" i="16"/>
  <c r="C549" i="16"/>
  <c r="B549" i="16"/>
  <c r="C548" i="16"/>
  <c r="B548" i="16"/>
  <c r="C547" i="16"/>
  <c r="B547" i="16"/>
  <c r="C546" i="16"/>
  <c r="B546" i="16"/>
  <c r="C545" i="16"/>
  <c r="B545" i="16"/>
  <c r="C544" i="16"/>
  <c r="B544" i="16"/>
  <c r="C543" i="16"/>
  <c r="B543" i="16"/>
  <c r="C542" i="16"/>
  <c r="B542" i="16"/>
  <c r="C541" i="16"/>
  <c r="B541" i="16"/>
  <c r="C540" i="16"/>
  <c r="B540" i="16"/>
  <c r="C539" i="16"/>
  <c r="B539" i="16"/>
  <c r="C538" i="16"/>
  <c r="B538" i="16"/>
  <c r="C537" i="16"/>
  <c r="B537" i="16"/>
  <c r="C536" i="16"/>
  <c r="B536" i="16"/>
  <c r="C535" i="16"/>
  <c r="B535" i="16"/>
  <c r="C534" i="16"/>
  <c r="B534" i="16"/>
  <c r="C533" i="16"/>
  <c r="B533" i="16"/>
  <c r="C532" i="16"/>
  <c r="B532" i="16"/>
  <c r="C531" i="16"/>
  <c r="B531" i="16"/>
  <c r="C530" i="16"/>
  <c r="B530" i="16"/>
  <c r="C529" i="16"/>
  <c r="B529" i="16"/>
  <c r="C528" i="16"/>
  <c r="B528" i="16"/>
  <c r="C527" i="16"/>
  <c r="B527" i="16"/>
  <c r="C526" i="16"/>
  <c r="B526" i="16"/>
  <c r="C525" i="16"/>
  <c r="B525" i="16"/>
  <c r="C524" i="16"/>
  <c r="B524" i="16"/>
  <c r="C523" i="16"/>
  <c r="B523" i="16"/>
  <c r="C522" i="16"/>
  <c r="B522" i="16"/>
  <c r="C521" i="16"/>
  <c r="B521" i="16"/>
  <c r="C520" i="16"/>
  <c r="B520" i="16"/>
  <c r="C519" i="16"/>
  <c r="B519" i="16"/>
  <c r="C518" i="16"/>
  <c r="B518" i="16"/>
  <c r="C517" i="16"/>
  <c r="B517" i="16"/>
  <c r="C516" i="16"/>
  <c r="B516" i="16"/>
  <c r="C515" i="16"/>
  <c r="B515" i="16"/>
  <c r="C514" i="16"/>
  <c r="B514" i="16"/>
  <c r="C513" i="16"/>
  <c r="B513" i="16"/>
  <c r="C512" i="16"/>
  <c r="B512" i="16"/>
  <c r="C511" i="16"/>
  <c r="B511" i="16"/>
  <c r="C510" i="16"/>
  <c r="B510" i="16"/>
  <c r="C509" i="16"/>
  <c r="B509" i="16"/>
  <c r="C508" i="16"/>
  <c r="B508" i="16"/>
  <c r="C507" i="16"/>
  <c r="B507" i="16"/>
  <c r="C506" i="16"/>
  <c r="B506" i="16"/>
  <c r="C505" i="16"/>
  <c r="B505" i="16"/>
  <c r="C504" i="16"/>
  <c r="B504" i="16"/>
  <c r="C503" i="16"/>
  <c r="B503" i="16"/>
  <c r="C502" i="16"/>
  <c r="B502" i="16"/>
  <c r="C501" i="16"/>
  <c r="B501" i="16"/>
  <c r="C500" i="16"/>
  <c r="B500" i="16"/>
  <c r="C499" i="16"/>
  <c r="B499" i="16"/>
  <c r="C498" i="16"/>
  <c r="B498" i="16"/>
  <c r="C497" i="16"/>
  <c r="B497" i="16"/>
  <c r="C496" i="16"/>
  <c r="B496" i="16"/>
  <c r="C495" i="16"/>
  <c r="B495" i="16"/>
  <c r="C493" i="16"/>
  <c r="B493" i="16"/>
  <c r="C492" i="16"/>
  <c r="B492" i="16"/>
  <c r="C491" i="16"/>
  <c r="B491" i="16"/>
  <c r="C490" i="16"/>
  <c r="B490" i="16"/>
  <c r="C489" i="16"/>
  <c r="B489" i="16"/>
  <c r="C488" i="16"/>
  <c r="B488" i="16"/>
  <c r="C487" i="16"/>
  <c r="B487" i="16"/>
  <c r="C486" i="16"/>
  <c r="B486" i="16"/>
  <c r="C485" i="16"/>
  <c r="B485" i="16"/>
  <c r="C484" i="16"/>
  <c r="B484" i="16"/>
  <c r="C483" i="16"/>
  <c r="B483" i="16"/>
  <c r="C482" i="16"/>
  <c r="B482" i="16"/>
  <c r="C481" i="16"/>
  <c r="B481" i="16"/>
  <c r="C480" i="16"/>
  <c r="B480" i="16"/>
  <c r="C479" i="16"/>
  <c r="B479" i="16"/>
  <c r="C478" i="16"/>
  <c r="B478" i="16"/>
  <c r="C477" i="16"/>
  <c r="B477" i="16"/>
  <c r="C476" i="16"/>
  <c r="B476" i="16"/>
  <c r="C475" i="16"/>
  <c r="B475" i="16"/>
  <c r="C474" i="16"/>
  <c r="B474" i="16"/>
  <c r="C473" i="16"/>
  <c r="B473" i="16"/>
  <c r="C472" i="16"/>
  <c r="B472" i="16"/>
  <c r="C471" i="16"/>
  <c r="B471" i="16"/>
  <c r="C470" i="16"/>
  <c r="B470" i="16"/>
  <c r="C469" i="16"/>
  <c r="B469" i="16"/>
  <c r="C468" i="16"/>
  <c r="B468" i="16"/>
  <c r="C467" i="16"/>
  <c r="B467" i="16"/>
  <c r="C466" i="16"/>
  <c r="B466" i="16"/>
  <c r="C465" i="16"/>
  <c r="B465" i="16"/>
  <c r="C464" i="16"/>
  <c r="B464" i="16"/>
  <c r="C463" i="16"/>
  <c r="B463" i="16"/>
  <c r="C462" i="16"/>
  <c r="B462" i="16"/>
  <c r="C461" i="16"/>
  <c r="B461" i="16"/>
  <c r="C460" i="16"/>
  <c r="B460" i="16"/>
  <c r="C459" i="16"/>
  <c r="B459" i="16"/>
  <c r="C458" i="16"/>
  <c r="B458" i="16"/>
  <c r="C457" i="16"/>
  <c r="B457" i="16"/>
  <c r="C456" i="16"/>
  <c r="B456" i="16"/>
  <c r="C455" i="16"/>
  <c r="B455" i="16"/>
  <c r="C454" i="16"/>
  <c r="B454" i="16"/>
  <c r="C453" i="16"/>
  <c r="B453" i="16"/>
  <c r="C452" i="16"/>
  <c r="B452" i="16"/>
  <c r="C451" i="16"/>
  <c r="B451" i="16"/>
  <c r="C450" i="16"/>
  <c r="B450" i="16"/>
  <c r="C449" i="16"/>
  <c r="B449" i="16"/>
  <c r="C448" i="16"/>
  <c r="B448" i="16"/>
  <c r="C447" i="16"/>
  <c r="B447" i="16"/>
  <c r="C446" i="16"/>
  <c r="B446" i="16"/>
  <c r="C445" i="16"/>
  <c r="B445" i="16"/>
  <c r="C444" i="16"/>
  <c r="B444" i="16"/>
  <c r="C443" i="16"/>
  <c r="B443" i="16"/>
  <c r="C442" i="16"/>
  <c r="B442" i="16"/>
  <c r="C441" i="16"/>
  <c r="B441" i="16"/>
  <c r="C440" i="16"/>
  <c r="B440" i="16"/>
  <c r="C439" i="16"/>
  <c r="B439" i="16"/>
  <c r="C438" i="16"/>
  <c r="B438" i="16"/>
  <c r="C437" i="16"/>
  <c r="B437" i="16"/>
  <c r="C436" i="16"/>
  <c r="B436" i="16"/>
  <c r="C435" i="16"/>
  <c r="B435" i="16"/>
  <c r="C434" i="16"/>
  <c r="B434" i="16"/>
  <c r="C433" i="16"/>
  <c r="B433" i="16"/>
  <c r="C432" i="16"/>
  <c r="B432" i="16"/>
  <c r="C431" i="16"/>
  <c r="B431" i="16"/>
  <c r="C430" i="16"/>
  <c r="B430" i="16"/>
  <c r="C428" i="16"/>
  <c r="B428" i="16"/>
  <c r="C427" i="16"/>
  <c r="B427" i="16"/>
  <c r="C426" i="16"/>
  <c r="B426" i="16"/>
  <c r="C425" i="16"/>
  <c r="B425" i="16"/>
  <c r="C424" i="16"/>
  <c r="B424" i="16"/>
  <c r="C423" i="16"/>
  <c r="B423" i="16"/>
  <c r="C422" i="16"/>
  <c r="B422" i="16"/>
  <c r="C421" i="16"/>
  <c r="B421" i="16"/>
  <c r="C420" i="16"/>
  <c r="B420" i="16"/>
  <c r="C419" i="16"/>
  <c r="B419" i="16"/>
  <c r="C418" i="16"/>
  <c r="B418" i="16"/>
  <c r="C417" i="16"/>
  <c r="B417" i="16"/>
  <c r="C416" i="16"/>
  <c r="B416" i="16"/>
  <c r="C415" i="16"/>
  <c r="B415" i="16"/>
  <c r="C414" i="16"/>
  <c r="B414" i="16"/>
  <c r="C413" i="16"/>
  <c r="B413" i="16"/>
  <c r="C412" i="16"/>
  <c r="B412" i="16"/>
  <c r="C411" i="16"/>
  <c r="B411" i="16"/>
  <c r="C410" i="16"/>
  <c r="B410" i="16"/>
  <c r="C409" i="16"/>
  <c r="B409" i="16"/>
  <c r="C408" i="16"/>
  <c r="B408" i="16"/>
  <c r="C407" i="16"/>
  <c r="B407" i="16"/>
  <c r="C406" i="16"/>
  <c r="B406" i="16"/>
  <c r="C405" i="16"/>
  <c r="B405" i="16"/>
  <c r="C404" i="16"/>
  <c r="B404" i="16"/>
  <c r="C403" i="16"/>
  <c r="B403" i="16"/>
  <c r="C402" i="16"/>
  <c r="B402" i="16"/>
  <c r="C401" i="16"/>
  <c r="B401" i="16"/>
  <c r="C400" i="16"/>
  <c r="B400" i="16"/>
  <c r="C399" i="16"/>
  <c r="B399" i="16"/>
  <c r="C398" i="16"/>
  <c r="B398" i="16"/>
  <c r="C397" i="16"/>
  <c r="B397" i="16"/>
  <c r="C396" i="16"/>
  <c r="B396" i="16"/>
  <c r="C395" i="16"/>
  <c r="B395" i="16"/>
  <c r="C394" i="16"/>
  <c r="B394" i="16"/>
  <c r="C393" i="16"/>
  <c r="B393" i="16"/>
  <c r="C392" i="16"/>
  <c r="B392" i="16"/>
  <c r="C391" i="16"/>
  <c r="B391" i="16"/>
  <c r="C390" i="16"/>
  <c r="B390" i="16"/>
  <c r="C389" i="16"/>
  <c r="B389" i="16"/>
  <c r="C388" i="16"/>
  <c r="B388" i="16"/>
  <c r="C387" i="16"/>
  <c r="B387" i="16"/>
  <c r="C386" i="16"/>
  <c r="B386" i="16"/>
  <c r="C385" i="16"/>
  <c r="B385" i="16"/>
  <c r="C384" i="16"/>
  <c r="B384" i="16"/>
  <c r="C383" i="16"/>
  <c r="B383" i="16"/>
  <c r="C382" i="16"/>
  <c r="B382" i="16"/>
  <c r="C381" i="16"/>
  <c r="B381" i="16"/>
  <c r="C380" i="16"/>
  <c r="B380" i="16"/>
  <c r="C379" i="16"/>
  <c r="B379" i="16"/>
  <c r="C378" i="16"/>
  <c r="B378" i="16"/>
  <c r="C377" i="16"/>
  <c r="B377" i="16"/>
  <c r="C376" i="16"/>
  <c r="B376" i="16"/>
  <c r="C375" i="16"/>
  <c r="B375" i="16"/>
  <c r="C374" i="16"/>
  <c r="B374" i="16"/>
  <c r="C373" i="16"/>
  <c r="B373" i="16"/>
  <c r="C372" i="16"/>
  <c r="B372" i="16"/>
  <c r="C371" i="16"/>
  <c r="B371" i="16"/>
  <c r="C370" i="16"/>
  <c r="B370" i="16"/>
  <c r="C369" i="16"/>
  <c r="B369" i="16"/>
  <c r="C368" i="16"/>
  <c r="B368" i="16"/>
  <c r="C367" i="16"/>
  <c r="B367" i="16"/>
  <c r="C366" i="16"/>
  <c r="B366" i="16"/>
  <c r="C365" i="16"/>
  <c r="B365" i="16"/>
  <c r="C364" i="16"/>
  <c r="B364" i="16"/>
  <c r="C363" i="16"/>
  <c r="B363" i="16"/>
  <c r="C362" i="16"/>
  <c r="B362" i="16"/>
  <c r="C361" i="16"/>
  <c r="B361" i="16"/>
  <c r="C360" i="16"/>
  <c r="B360" i="16"/>
  <c r="C359" i="16"/>
  <c r="B359" i="16"/>
  <c r="C358" i="16"/>
  <c r="B358" i="16"/>
  <c r="C357" i="16"/>
  <c r="B357" i="16"/>
  <c r="C356" i="16"/>
  <c r="B356" i="16"/>
  <c r="C355" i="16"/>
  <c r="B355" i="16"/>
  <c r="C354" i="16"/>
  <c r="B354" i="16"/>
  <c r="C353" i="16"/>
  <c r="B353" i="16"/>
  <c r="C352" i="16"/>
  <c r="B352" i="16"/>
  <c r="C351" i="16"/>
  <c r="B351" i="16"/>
  <c r="C350" i="16"/>
  <c r="B350" i="16"/>
  <c r="C349" i="16"/>
  <c r="B349" i="16"/>
  <c r="C348" i="16"/>
  <c r="B348" i="16"/>
  <c r="C347" i="16"/>
  <c r="B347" i="16"/>
  <c r="C346" i="16"/>
  <c r="B346" i="16"/>
  <c r="C345" i="16"/>
  <c r="B345" i="16"/>
  <c r="C344" i="16"/>
  <c r="B344" i="16"/>
  <c r="C343" i="16"/>
  <c r="B343" i="16"/>
  <c r="C342" i="16"/>
  <c r="B342" i="16"/>
  <c r="C341" i="16"/>
  <c r="B341" i="16"/>
  <c r="C340" i="16"/>
  <c r="B340" i="16"/>
  <c r="C339" i="16"/>
  <c r="B339" i="16"/>
  <c r="C338" i="16"/>
  <c r="B338" i="16"/>
  <c r="C337" i="16"/>
  <c r="B337" i="16"/>
  <c r="C336" i="16"/>
  <c r="B336" i="16"/>
  <c r="C335" i="16"/>
  <c r="B335" i="16"/>
  <c r="C334" i="16"/>
  <c r="B334" i="16"/>
  <c r="C333" i="16"/>
  <c r="B333" i="16"/>
  <c r="C332" i="16"/>
  <c r="B332" i="16"/>
  <c r="C331" i="16"/>
  <c r="B331" i="16"/>
  <c r="C330" i="16"/>
  <c r="B330" i="16"/>
  <c r="C329" i="16"/>
  <c r="B329" i="16"/>
  <c r="C328" i="16"/>
  <c r="B328" i="16"/>
  <c r="C327" i="16"/>
  <c r="B327" i="16"/>
  <c r="C326" i="16"/>
  <c r="B326" i="16"/>
  <c r="C325" i="16"/>
  <c r="B325" i="16"/>
  <c r="C324" i="16"/>
  <c r="B324" i="16"/>
  <c r="C323" i="16"/>
  <c r="B323" i="16"/>
  <c r="C322" i="16"/>
  <c r="B322" i="16"/>
  <c r="C321" i="16"/>
  <c r="B321" i="16"/>
  <c r="C320" i="16"/>
  <c r="B320" i="16"/>
  <c r="C319" i="16"/>
  <c r="B319" i="16"/>
  <c r="C318" i="16"/>
  <c r="B318" i="16"/>
  <c r="C317" i="16"/>
  <c r="B317" i="16"/>
  <c r="C316" i="16"/>
  <c r="B316" i="16"/>
  <c r="C315" i="16"/>
  <c r="B315" i="16"/>
  <c r="C314" i="16"/>
  <c r="B314" i="16"/>
  <c r="C313" i="16"/>
  <c r="B313" i="16"/>
  <c r="C312" i="16"/>
  <c r="B312" i="16"/>
  <c r="C311" i="16"/>
  <c r="B311" i="16"/>
  <c r="C310" i="16"/>
  <c r="B310" i="16"/>
  <c r="C309" i="16"/>
  <c r="B309" i="16"/>
  <c r="C307" i="16"/>
  <c r="B307" i="16"/>
  <c r="C306" i="16"/>
  <c r="B306" i="16"/>
  <c r="C305" i="16"/>
  <c r="B305" i="16"/>
  <c r="C304" i="16"/>
  <c r="B304" i="16"/>
  <c r="C303" i="16"/>
  <c r="B303" i="16"/>
  <c r="C302" i="16"/>
  <c r="B302" i="16"/>
  <c r="C301" i="16"/>
  <c r="B301" i="16"/>
  <c r="C300" i="16"/>
  <c r="B300" i="16"/>
  <c r="C299" i="16"/>
  <c r="B299" i="16"/>
  <c r="C298" i="16"/>
  <c r="B298" i="16"/>
  <c r="C297" i="16"/>
  <c r="B297" i="16"/>
  <c r="C296" i="16"/>
  <c r="B296" i="16"/>
  <c r="C295" i="16"/>
  <c r="B295" i="16"/>
  <c r="C294" i="16"/>
  <c r="B294" i="16"/>
  <c r="C293" i="16"/>
  <c r="B293" i="16"/>
  <c r="C292" i="16"/>
  <c r="B292" i="16"/>
  <c r="C291" i="16"/>
  <c r="B291" i="16"/>
  <c r="C290" i="16"/>
  <c r="B290" i="16"/>
  <c r="C289" i="16"/>
  <c r="B289" i="16"/>
  <c r="C288" i="16"/>
  <c r="B288" i="16"/>
  <c r="C287" i="16"/>
  <c r="B287" i="16"/>
  <c r="C286" i="16"/>
  <c r="B286" i="16"/>
  <c r="C285" i="16"/>
  <c r="B285" i="16"/>
  <c r="C284" i="16"/>
  <c r="B284" i="16"/>
  <c r="C283" i="16"/>
  <c r="B283" i="16"/>
  <c r="C282" i="16"/>
  <c r="B282" i="16"/>
  <c r="C281" i="16"/>
  <c r="B281" i="16"/>
  <c r="C280" i="16"/>
  <c r="B280" i="16"/>
  <c r="C279" i="16"/>
  <c r="B279" i="16"/>
  <c r="C278" i="16"/>
  <c r="B278" i="16"/>
  <c r="C277" i="16"/>
  <c r="B277" i="16"/>
  <c r="C276" i="16"/>
  <c r="B276" i="16"/>
  <c r="C275" i="16"/>
  <c r="B275" i="16"/>
  <c r="C274" i="16"/>
  <c r="B274" i="16"/>
  <c r="C273" i="16"/>
  <c r="B273" i="16"/>
  <c r="C272" i="16"/>
  <c r="B272" i="16"/>
  <c r="C271" i="16"/>
  <c r="B271" i="16"/>
  <c r="C270" i="16"/>
  <c r="B270" i="16"/>
  <c r="C269" i="16"/>
  <c r="B269" i="16"/>
  <c r="C268" i="16"/>
  <c r="B268" i="16"/>
  <c r="C267" i="16"/>
  <c r="B267" i="16"/>
  <c r="C266" i="16"/>
  <c r="B266" i="16"/>
  <c r="C265" i="16"/>
  <c r="B265" i="16"/>
  <c r="C264" i="16"/>
  <c r="B264" i="16"/>
  <c r="C263" i="16"/>
  <c r="B263" i="16"/>
  <c r="C262" i="16"/>
  <c r="B262" i="16"/>
  <c r="C261" i="16"/>
  <c r="B261" i="16"/>
  <c r="C260" i="16"/>
  <c r="B260" i="16"/>
  <c r="C259" i="16"/>
  <c r="B259" i="16"/>
  <c r="C258" i="16"/>
  <c r="B258" i="16"/>
  <c r="C257" i="16"/>
  <c r="B257" i="16"/>
  <c r="C256" i="16"/>
  <c r="B256" i="16"/>
  <c r="C255" i="16"/>
  <c r="B255" i="16"/>
  <c r="C254" i="16"/>
  <c r="B254" i="16"/>
  <c r="C253" i="16"/>
  <c r="B253" i="16"/>
  <c r="C252" i="16"/>
  <c r="B252" i="16"/>
  <c r="C251" i="16"/>
  <c r="B251" i="16"/>
  <c r="C250" i="16"/>
  <c r="B250" i="16"/>
  <c r="C249" i="16"/>
  <c r="B249" i="16"/>
  <c r="C248" i="16"/>
  <c r="B248" i="16"/>
  <c r="C247" i="16"/>
  <c r="B247" i="16"/>
  <c r="C246" i="16"/>
  <c r="B246" i="16"/>
  <c r="C245" i="16"/>
  <c r="B245" i="16"/>
  <c r="C244" i="16"/>
  <c r="B244" i="16"/>
  <c r="C243" i="16"/>
  <c r="B243" i="16"/>
  <c r="C242" i="16"/>
  <c r="B242" i="16"/>
  <c r="C241" i="16"/>
  <c r="B241" i="16"/>
  <c r="C240" i="16"/>
  <c r="B240" i="16"/>
  <c r="C239" i="16"/>
  <c r="B239" i="16"/>
  <c r="C238" i="16"/>
  <c r="B238" i="16"/>
  <c r="C237" i="16"/>
  <c r="B237" i="16"/>
  <c r="C236" i="16"/>
  <c r="B236" i="16"/>
  <c r="C235" i="16"/>
  <c r="B235" i="16"/>
  <c r="C234" i="16"/>
  <c r="B234" i="16"/>
  <c r="C233" i="16"/>
  <c r="B233" i="16"/>
  <c r="C232" i="16"/>
  <c r="B232" i="16"/>
  <c r="C231" i="16"/>
  <c r="B231" i="16"/>
  <c r="C230" i="16"/>
  <c r="B230" i="16"/>
  <c r="C229" i="16"/>
  <c r="B229" i="16"/>
  <c r="C228" i="16"/>
  <c r="B228" i="16"/>
  <c r="C227" i="16"/>
  <c r="B227" i="16"/>
  <c r="C226" i="16"/>
  <c r="B226" i="16"/>
  <c r="C225" i="16"/>
  <c r="B225" i="16"/>
  <c r="C224" i="16"/>
  <c r="B224" i="16"/>
  <c r="C223" i="16"/>
  <c r="B223" i="16"/>
  <c r="C222" i="16"/>
  <c r="B222" i="16"/>
  <c r="C221" i="16"/>
  <c r="B221" i="16"/>
  <c r="C220" i="16"/>
  <c r="B220" i="16"/>
  <c r="C219" i="16"/>
  <c r="B219" i="16"/>
  <c r="C218" i="16"/>
  <c r="B218" i="16"/>
  <c r="C217" i="16"/>
  <c r="B217" i="16"/>
  <c r="C216" i="16"/>
  <c r="B216" i="16"/>
  <c r="C215" i="16"/>
  <c r="B215" i="16"/>
  <c r="C214" i="16"/>
  <c r="B214" i="16"/>
  <c r="C213" i="16"/>
  <c r="B213" i="16"/>
  <c r="C212" i="16"/>
  <c r="B212" i="16"/>
  <c r="C211" i="16"/>
  <c r="B211" i="16"/>
  <c r="C210" i="16"/>
  <c r="B210" i="16"/>
  <c r="C209" i="16"/>
  <c r="B209" i="16"/>
  <c r="C208" i="16"/>
  <c r="B208" i="16"/>
  <c r="C207" i="16"/>
  <c r="B207" i="16"/>
  <c r="C206" i="16"/>
  <c r="B206" i="16"/>
  <c r="C205" i="16"/>
  <c r="B205" i="16"/>
  <c r="C204" i="16"/>
  <c r="B204" i="16"/>
  <c r="C203" i="16"/>
  <c r="B203" i="16"/>
  <c r="C202" i="16"/>
  <c r="B202" i="16"/>
  <c r="C201" i="16"/>
  <c r="B201" i="16"/>
  <c r="C200" i="16"/>
  <c r="B200" i="16"/>
  <c r="C199" i="16"/>
  <c r="B199" i="16"/>
  <c r="C198" i="16"/>
  <c r="B198" i="16"/>
  <c r="C197" i="16"/>
  <c r="B197" i="16"/>
  <c r="C196" i="16"/>
  <c r="B196" i="16"/>
  <c r="C195" i="16"/>
  <c r="B195" i="16"/>
  <c r="C194" i="16"/>
  <c r="B194" i="16"/>
  <c r="C193" i="16"/>
  <c r="B193" i="16"/>
  <c r="C192" i="16"/>
  <c r="B192" i="16"/>
  <c r="C191" i="16"/>
  <c r="B191" i="16"/>
  <c r="C190" i="16"/>
  <c r="B190" i="16"/>
  <c r="C189" i="16"/>
  <c r="B189" i="16"/>
  <c r="C188" i="16"/>
  <c r="B188" i="16"/>
  <c r="C187" i="16"/>
  <c r="B187" i="16"/>
  <c r="C186" i="16"/>
  <c r="B186" i="16"/>
  <c r="C185" i="16"/>
  <c r="B185" i="16"/>
  <c r="C184" i="16"/>
  <c r="B184" i="16"/>
  <c r="C183" i="16"/>
  <c r="B183" i="16"/>
  <c r="C182" i="16"/>
  <c r="B182" i="16"/>
  <c r="C181" i="16"/>
  <c r="B181" i="16"/>
  <c r="C180" i="16"/>
  <c r="B180" i="16"/>
  <c r="C179" i="16"/>
  <c r="B179" i="16"/>
  <c r="C178" i="16"/>
  <c r="B178" i="16"/>
  <c r="C177" i="16"/>
  <c r="B177" i="16"/>
  <c r="C176" i="16"/>
  <c r="B176" i="16"/>
  <c r="C175" i="16"/>
  <c r="B175" i="16"/>
  <c r="C174" i="16"/>
  <c r="B174" i="16"/>
  <c r="C173" i="16"/>
  <c r="B173" i="16"/>
  <c r="C172" i="16"/>
  <c r="B172" i="16"/>
  <c r="C171" i="16"/>
  <c r="B171" i="16"/>
  <c r="C170" i="16"/>
  <c r="B170" i="16"/>
  <c r="C169" i="16"/>
  <c r="B169" i="16"/>
  <c r="C168" i="16"/>
  <c r="B168" i="16"/>
  <c r="C167" i="16"/>
  <c r="B167" i="16"/>
  <c r="C166" i="16"/>
  <c r="B166" i="16"/>
  <c r="C165" i="16"/>
  <c r="B165" i="16"/>
  <c r="C164" i="16"/>
  <c r="B164" i="16"/>
  <c r="C163" i="16"/>
  <c r="B163" i="16"/>
  <c r="C162" i="16"/>
  <c r="B162" i="16"/>
  <c r="C161" i="16"/>
  <c r="B161" i="16"/>
  <c r="C160" i="16"/>
  <c r="B160" i="16"/>
  <c r="C159" i="16"/>
  <c r="B159" i="16"/>
  <c r="C158" i="16"/>
  <c r="B158" i="16"/>
  <c r="C157" i="16"/>
  <c r="B157" i="16"/>
  <c r="C156" i="16"/>
  <c r="B156" i="16"/>
  <c r="C155" i="16"/>
  <c r="B155" i="16"/>
  <c r="C154" i="16"/>
  <c r="B154" i="16"/>
  <c r="C153" i="16"/>
  <c r="B153" i="16"/>
  <c r="C152" i="16"/>
  <c r="B152" i="16"/>
  <c r="C151" i="16"/>
  <c r="B151" i="16"/>
  <c r="C150" i="16"/>
  <c r="B150" i="16"/>
  <c r="C149" i="16"/>
  <c r="B149" i="16"/>
  <c r="C148" i="16"/>
  <c r="B148" i="16"/>
  <c r="C147" i="16"/>
  <c r="B147" i="16"/>
  <c r="C145" i="16"/>
  <c r="B145" i="16"/>
  <c r="C144" i="16"/>
  <c r="B144" i="16"/>
  <c r="C143" i="16"/>
  <c r="B143" i="16"/>
  <c r="C142" i="16"/>
  <c r="B142" i="16"/>
  <c r="C141" i="16"/>
  <c r="B141" i="16"/>
  <c r="C140" i="16"/>
  <c r="B140" i="16"/>
  <c r="C139" i="16"/>
  <c r="B139" i="16"/>
  <c r="C132" i="16"/>
  <c r="B132" i="16"/>
  <c r="C138" i="16"/>
  <c r="B138" i="16"/>
  <c r="C137" i="16"/>
  <c r="B137" i="16"/>
  <c r="C136" i="16"/>
  <c r="B136" i="16"/>
  <c r="C135" i="16"/>
  <c r="B135" i="16"/>
  <c r="C134" i="16"/>
  <c r="B134" i="16"/>
  <c r="C133" i="16"/>
  <c r="B133" i="16"/>
  <c r="C131" i="16"/>
  <c r="B131" i="16"/>
  <c r="C130" i="16"/>
  <c r="B130" i="16"/>
  <c r="C129" i="16"/>
  <c r="B129" i="16"/>
  <c r="C128" i="16"/>
  <c r="B128" i="16"/>
  <c r="C127" i="16"/>
  <c r="B127" i="16"/>
  <c r="C126" i="16"/>
  <c r="B126" i="16"/>
  <c r="C125" i="16"/>
  <c r="B125" i="16"/>
  <c r="C124" i="16"/>
  <c r="B124" i="16"/>
  <c r="C123" i="16"/>
  <c r="B123" i="16"/>
  <c r="C122" i="16"/>
  <c r="B122" i="16"/>
  <c r="C121" i="16"/>
  <c r="B121" i="16"/>
  <c r="C120" i="16"/>
  <c r="B120" i="16"/>
  <c r="C119" i="16"/>
  <c r="B119" i="16"/>
  <c r="C118" i="16"/>
  <c r="B118" i="16"/>
  <c r="C117" i="16"/>
  <c r="B117" i="16"/>
  <c r="C116" i="16"/>
  <c r="B116" i="16"/>
  <c r="C115" i="16"/>
  <c r="B115" i="16"/>
  <c r="C114" i="16"/>
  <c r="B114" i="16"/>
  <c r="C113" i="16"/>
  <c r="B113" i="16"/>
  <c r="C112" i="16"/>
  <c r="B112" i="16"/>
  <c r="C111" i="16"/>
  <c r="B111" i="16"/>
  <c r="C110" i="16"/>
  <c r="B110" i="16"/>
  <c r="C109" i="16"/>
  <c r="B109" i="16"/>
  <c r="C108" i="16"/>
  <c r="B108" i="16"/>
  <c r="C107" i="16"/>
  <c r="B107" i="16"/>
  <c r="C106" i="16"/>
  <c r="B106" i="16"/>
  <c r="C105" i="16"/>
  <c r="B105" i="16"/>
  <c r="C104" i="16"/>
  <c r="B104" i="16"/>
  <c r="C103" i="16"/>
  <c r="B103" i="16"/>
  <c r="C102" i="16"/>
  <c r="B102" i="16"/>
  <c r="C101" i="16"/>
  <c r="B101" i="16"/>
  <c r="C100" i="16"/>
  <c r="B100" i="16"/>
  <c r="C99" i="16"/>
  <c r="B99" i="16"/>
  <c r="C98" i="16"/>
  <c r="B98" i="16"/>
  <c r="C97" i="16"/>
  <c r="B97" i="16"/>
  <c r="C96" i="16"/>
  <c r="B96" i="16"/>
  <c r="C95" i="16"/>
  <c r="B95" i="16"/>
  <c r="C94" i="16"/>
  <c r="B94" i="16"/>
  <c r="C93" i="16"/>
  <c r="B93" i="16"/>
  <c r="C92" i="16"/>
  <c r="B92" i="16"/>
  <c r="C91" i="16"/>
  <c r="B91" i="16"/>
  <c r="C90" i="16"/>
  <c r="B90" i="16"/>
  <c r="C89" i="16"/>
  <c r="B89" i="16"/>
  <c r="C88" i="16"/>
  <c r="B88" i="16"/>
  <c r="C87" i="16"/>
  <c r="B87" i="16"/>
  <c r="C86" i="16"/>
  <c r="B86" i="16"/>
  <c r="C85" i="16"/>
  <c r="B85" i="16"/>
  <c r="C84" i="16"/>
  <c r="B84" i="16"/>
  <c r="C83" i="16"/>
  <c r="B83" i="16"/>
  <c r="C82" i="16"/>
  <c r="B82" i="16"/>
  <c r="C81" i="16"/>
  <c r="B81" i="16"/>
  <c r="C80" i="16"/>
  <c r="B80" i="16"/>
  <c r="C79" i="16"/>
  <c r="B79" i="16"/>
  <c r="C78" i="16"/>
  <c r="B78" i="16"/>
  <c r="C77" i="16"/>
  <c r="B77" i="16"/>
  <c r="C76" i="16"/>
  <c r="B76" i="16"/>
  <c r="C75" i="16"/>
  <c r="B75" i="16"/>
  <c r="C74" i="16"/>
  <c r="B74" i="16"/>
  <c r="C73" i="16"/>
  <c r="B73" i="16"/>
  <c r="C72" i="16"/>
  <c r="B72" i="16"/>
  <c r="C71" i="16"/>
  <c r="B71" i="16"/>
  <c r="C69" i="16"/>
  <c r="B69" i="16"/>
  <c r="C68" i="16"/>
  <c r="B68" i="16"/>
  <c r="C67" i="16"/>
  <c r="B67" i="16"/>
  <c r="C66" i="16"/>
  <c r="B66" i="16"/>
  <c r="C65" i="16"/>
  <c r="B65" i="16"/>
  <c r="C64" i="16"/>
  <c r="B64" i="16"/>
  <c r="C63" i="16"/>
  <c r="B63" i="16"/>
  <c r="C62" i="16"/>
  <c r="B62" i="16"/>
  <c r="C61" i="16"/>
  <c r="B61" i="16"/>
  <c r="C59" i="16"/>
  <c r="B59" i="16"/>
  <c r="C58" i="16"/>
  <c r="B58" i="16"/>
  <c r="C57" i="16"/>
  <c r="B57" i="16"/>
  <c r="C56" i="16"/>
  <c r="B56" i="16"/>
  <c r="C55" i="16"/>
  <c r="B55" i="16"/>
  <c r="C54" i="16"/>
  <c r="B54" i="16"/>
  <c r="C53" i="16"/>
  <c r="B53" i="16"/>
  <c r="C52" i="16"/>
  <c r="B52" i="16"/>
  <c r="C51" i="16"/>
  <c r="B51" i="16"/>
  <c r="C50" i="16"/>
  <c r="B50" i="16"/>
  <c r="C49" i="16"/>
  <c r="B49" i="16"/>
  <c r="C48" i="16"/>
  <c r="B48" i="16"/>
  <c r="C47" i="16"/>
  <c r="B47" i="16"/>
  <c r="C46" i="16"/>
  <c r="B46" i="16"/>
  <c r="C45" i="16"/>
  <c r="B45" i="16"/>
  <c r="C44" i="16"/>
  <c r="B44" i="16"/>
  <c r="C43" i="16"/>
  <c r="B43" i="16"/>
  <c r="C42" i="16"/>
  <c r="B42" i="16"/>
  <c r="C41" i="16"/>
  <c r="B41" i="16"/>
  <c r="C40" i="16"/>
  <c r="B40" i="16"/>
  <c r="C39" i="16"/>
  <c r="B39" i="16"/>
  <c r="C38" i="16"/>
  <c r="B38" i="16"/>
  <c r="C37" i="16"/>
  <c r="B37" i="16"/>
  <c r="C36" i="16"/>
  <c r="B36" i="16"/>
  <c r="C35" i="16"/>
  <c r="B35" i="16"/>
  <c r="C34" i="16"/>
  <c r="B34" i="16"/>
  <c r="C33" i="16"/>
  <c r="B33" i="16"/>
  <c r="C32" i="16"/>
  <c r="B32" i="16"/>
  <c r="C31" i="16"/>
  <c r="B31" i="16"/>
  <c r="C30" i="16"/>
  <c r="B30" i="16"/>
  <c r="C29" i="16"/>
  <c r="B29" i="16"/>
  <c r="C28" i="16"/>
  <c r="B28" i="16"/>
  <c r="C27" i="16"/>
  <c r="B27" i="16"/>
  <c r="C26" i="16"/>
  <c r="B26" i="16"/>
  <c r="C25" i="16"/>
  <c r="B25" i="16"/>
  <c r="C24" i="16"/>
  <c r="B24" i="16"/>
  <c r="C23" i="16"/>
  <c r="B23" i="16"/>
  <c r="C22" i="16"/>
  <c r="B22" i="16"/>
  <c r="C21" i="16"/>
  <c r="B21" i="16"/>
  <c r="C20" i="16"/>
  <c r="B20" i="16"/>
  <c r="C19" i="16"/>
  <c r="B19" i="16"/>
  <c r="C18" i="16"/>
  <c r="B18" i="16"/>
  <c r="C17" i="16"/>
  <c r="B17" i="16"/>
  <c r="C16" i="16"/>
  <c r="B16" i="16"/>
  <c r="C15" i="16"/>
  <c r="B15" i="16"/>
  <c r="C14" i="16"/>
  <c r="B14" i="16"/>
  <c r="C13" i="16"/>
  <c r="B13" i="16"/>
  <c r="C12" i="16"/>
  <c r="B12" i="16"/>
  <c r="C11" i="16"/>
  <c r="B11" i="16"/>
  <c r="C10" i="16"/>
  <c r="B10" i="16"/>
  <c r="C9" i="16"/>
  <c r="B9" i="16"/>
  <c r="C8" i="16"/>
  <c r="B8" i="16"/>
  <c r="C7" i="16"/>
  <c r="B7" i="16"/>
  <c r="C6" i="16"/>
  <c r="B6" i="16"/>
  <c r="C5" i="16"/>
  <c r="B5" i="16"/>
  <c r="C4" i="16"/>
  <c r="B4" i="16"/>
  <c r="C3" i="16"/>
  <c r="B3" i="16"/>
  <c r="C1609" i="15"/>
  <c r="B1609" i="15"/>
  <c r="C1608" i="15"/>
  <c r="B1608" i="15"/>
  <c r="C1607" i="15"/>
  <c r="B1607" i="15"/>
  <c r="C1606" i="15"/>
  <c r="B1606" i="15"/>
  <c r="C1605" i="15"/>
  <c r="B1605" i="15"/>
  <c r="C1604" i="15"/>
  <c r="B1604" i="15"/>
  <c r="C1603" i="15"/>
  <c r="B1603" i="15"/>
  <c r="C1602" i="15"/>
  <c r="B1602" i="15"/>
  <c r="C1601" i="15"/>
  <c r="B1601" i="15"/>
  <c r="C1600" i="15"/>
  <c r="B1600" i="15"/>
  <c r="C1599" i="15"/>
  <c r="B1599" i="15"/>
  <c r="C1598" i="15"/>
  <c r="B1598" i="15"/>
  <c r="C1597" i="15"/>
  <c r="B1597" i="15"/>
  <c r="C1596" i="15"/>
  <c r="B1596" i="15"/>
  <c r="C1595" i="15"/>
  <c r="B1595" i="15"/>
  <c r="C1594" i="15"/>
  <c r="B1594" i="15"/>
  <c r="C1593" i="15"/>
  <c r="B1593" i="15"/>
  <c r="C1592" i="15"/>
  <c r="B1592" i="15"/>
  <c r="C1591" i="15"/>
  <c r="B1591" i="15"/>
  <c r="C1590" i="15"/>
  <c r="B1590" i="15"/>
  <c r="C1589" i="15"/>
  <c r="B1589" i="15"/>
  <c r="C1588" i="15"/>
  <c r="B1588" i="15"/>
  <c r="C1587" i="15"/>
  <c r="B1587" i="15"/>
  <c r="C1586" i="15"/>
  <c r="B1586" i="15"/>
  <c r="C1585" i="15"/>
  <c r="B1585" i="15"/>
  <c r="C1584" i="15"/>
  <c r="B1584" i="15"/>
  <c r="C1583" i="15"/>
  <c r="B1583" i="15"/>
  <c r="C1582" i="15"/>
  <c r="B1582" i="15"/>
  <c r="C1581" i="15"/>
  <c r="B1581" i="15"/>
  <c r="C1580" i="15"/>
  <c r="B1580" i="15"/>
  <c r="C1579" i="15"/>
  <c r="B1579" i="15"/>
  <c r="C1578" i="15"/>
  <c r="B1578" i="15"/>
  <c r="C1577" i="15"/>
  <c r="B1577" i="15"/>
  <c r="C1576" i="15"/>
  <c r="B1576" i="15"/>
  <c r="C1575" i="15"/>
  <c r="B1575" i="15"/>
  <c r="C1574" i="15"/>
  <c r="B1574" i="15"/>
  <c r="C1573" i="15"/>
  <c r="B1573" i="15"/>
  <c r="C1572" i="15"/>
  <c r="B1572" i="15"/>
  <c r="C1571" i="15"/>
  <c r="B1571" i="15"/>
  <c r="C1570" i="15"/>
  <c r="B1570" i="15"/>
  <c r="C1569" i="15"/>
  <c r="B1569" i="15"/>
  <c r="C1568" i="15"/>
  <c r="B1568" i="15"/>
  <c r="C1567" i="15"/>
  <c r="B1567" i="15"/>
  <c r="C1566" i="15"/>
  <c r="B1566" i="15"/>
  <c r="C1565" i="15"/>
  <c r="B1565" i="15"/>
  <c r="C1564" i="15"/>
  <c r="B1564" i="15"/>
  <c r="C1563" i="15"/>
  <c r="B1563" i="15"/>
  <c r="C1562" i="15"/>
  <c r="B1562" i="15"/>
  <c r="C1561" i="15"/>
  <c r="B1561" i="15"/>
  <c r="C1560" i="15"/>
  <c r="B1560" i="15"/>
  <c r="C1559" i="15"/>
  <c r="B1559" i="15"/>
  <c r="C1558" i="15"/>
  <c r="B1558" i="15"/>
  <c r="C1557" i="15"/>
  <c r="B1557" i="15"/>
  <c r="C1556" i="15"/>
  <c r="B1556" i="15"/>
  <c r="C1555" i="15"/>
  <c r="B1555" i="15"/>
  <c r="C1554" i="15"/>
  <c r="B1554" i="15"/>
  <c r="C1553" i="15"/>
  <c r="B1553" i="15"/>
  <c r="C1552" i="15"/>
  <c r="B1552" i="15"/>
  <c r="C1551" i="15"/>
  <c r="B1551" i="15"/>
  <c r="C1550" i="15"/>
  <c r="B1550" i="15"/>
  <c r="C1549" i="15"/>
  <c r="B1549" i="15"/>
  <c r="C1548" i="15"/>
  <c r="B1548" i="15"/>
  <c r="C1547" i="15"/>
  <c r="B1547" i="15"/>
  <c r="C1546" i="15"/>
  <c r="B1546" i="15"/>
  <c r="C1545" i="15"/>
  <c r="B1545" i="15"/>
  <c r="C1544" i="15"/>
  <c r="B1544" i="15"/>
  <c r="C1543" i="15"/>
  <c r="B1543" i="15"/>
  <c r="C1542" i="15"/>
  <c r="B1542" i="15"/>
  <c r="C1541" i="15"/>
  <c r="B1541" i="15"/>
  <c r="C1540" i="15"/>
  <c r="B1540" i="15"/>
  <c r="C1539" i="15"/>
  <c r="B1539" i="15"/>
  <c r="C1538" i="15"/>
  <c r="B1538" i="15"/>
  <c r="C1537" i="15"/>
  <c r="B1537" i="15"/>
  <c r="C1536" i="15"/>
  <c r="B1536" i="15"/>
  <c r="C1535" i="15"/>
  <c r="B1535" i="15"/>
  <c r="C1534" i="15"/>
  <c r="B1534" i="15"/>
  <c r="C1533" i="15"/>
  <c r="B1533" i="15"/>
  <c r="C1532" i="15"/>
  <c r="B1532" i="15"/>
  <c r="C1531" i="15"/>
  <c r="B1531" i="15"/>
  <c r="C1530" i="15"/>
  <c r="B1530" i="15"/>
  <c r="C1529" i="15"/>
  <c r="B1529" i="15"/>
  <c r="C1528" i="15"/>
  <c r="B1528" i="15"/>
  <c r="C1527" i="15"/>
  <c r="B1527" i="15"/>
  <c r="C1526" i="15"/>
  <c r="B1526" i="15"/>
  <c r="C1525" i="15"/>
  <c r="B1525" i="15"/>
  <c r="C1524" i="15"/>
  <c r="B1524" i="15"/>
  <c r="C1523" i="15"/>
  <c r="B1523" i="15"/>
  <c r="C1522" i="15"/>
  <c r="B1522" i="15"/>
  <c r="C1521" i="15"/>
  <c r="B1521" i="15"/>
  <c r="C1520" i="15"/>
  <c r="B1520" i="15"/>
  <c r="C1519" i="15"/>
  <c r="B1519" i="15"/>
  <c r="C1518" i="15"/>
  <c r="B1518" i="15"/>
  <c r="C1517" i="15"/>
  <c r="B1517" i="15"/>
  <c r="C1516" i="15"/>
  <c r="B1516" i="15"/>
  <c r="C1515" i="15"/>
  <c r="B1515" i="15"/>
  <c r="C1514" i="15"/>
  <c r="B1514" i="15"/>
  <c r="C1513" i="15"/>
  <c r="B1513" i="15"/>
  <c r="C1512" i="15"/>
  <c r="B1512" i="15"/>
  <c r="C1511" i="15"/>
  <c r="B1511" i="15"/>
  <c r="C1510" i="15"/>
  <c r="B1510" i="15"/>
  <c r="C1509" i="15"/>
  <c r="B1509" i="15"/>
  <c r="C1508" i="15"/>
  <c r="B1508" i="15"/>
  <c r="C1507" i="15"/>
  <c r="B1507" i="15"/>
  <c r="C1506" i="15"/>
  <c r="B1506" i="15"/>
  <c r="C1505" i="15"/>
  <c r="B1505" i="15"/>
  <c r="C1504" i="15"/>
  <c r="B1504" i="15"/>
  <c r="C1503" i="15"/>
  <c r="B1503" i="15"/>
  <c r="C1502" i="15"/>
  <c r="B1502" i="15"/>
  <c r="C1501" i="15"/>
  <c r="B1501" i="15"/>
  <c r="C1500" i="15"/>
  <c r="B1500" i="15"/>
  <c r="C1499" i="15"/>
  <c r="B1499" i="15"/>
  <c r="C1498" i="15"/>
  <c r="B1498" i="15"/>
  <c r="C1497" i="15"/>
  <c r="B1497" i="15"/>
  <c r="C1496" i="15"/>
  <c r="B1496" i="15"/>
  <c r="C1495" i="15"/>
  <c r="B1495" i="15"/>
  <c r="C1494" i="15"/>
  <c r="B1494" i="15"/>
  <c r="C1493" i="15"/>
  <c r="B1493" i="15"/>
  <c r="C1492" i="15"/>
  <c r="B1492" i="15"/>
  <c r="C1491" i="15"/>
  <c r="B1491" i="15"/>
  <c r="C1490" i="15"/>
  <c r="B1490" i="15"/>
  <c r="C1489" i="15"/>
  <c r="B1489" i="15"/>
  <c r="C1488" i="15"/>
  <c r="B1488" i="15"/>
  <c r="C1487" i="15"/>
  <c r="B1487" i="15"/>
  <c r="C1486" i="15"/>
  <c r="B1486" i="15"/>
  <c r="C1485" i="15"/>
  <c r="B1485" i="15"/>
  <c r="C1484" i="15"/>
  <c r="B1484" i="15"/>
  <c r="C1483" i="15"/>
  <c r="B1483" i="15"/>
  <c r="C1482" i="15"/>
  <c r="B1482" i="15"/>
  <c r="C1481" i="15"/>
  <c r="B1481" i="15"/>
  <c r="C1480" i="15"/>
  <c r="B1480" i="15"/>
  <c r="C1479" i="15"/>
  <c r="B1479" i="15"/>
  <c r="C1478" i="15"/>
  <c r="B1478" i="15"/>
  <c r="C1477" i="15"/>
  <c r="B1477" i="15"/>
  <c r="C1476" i="15"/>
  <c r="B1476" i="15"/>
  <c r="C1475" i="15"/>
  <c r="B1475" i="15"/>
  <c r="C1474" i="15"/>
  <c r="B1474" i="15"/>
  <c r="C1473" i="15"/>
  <c r="B1473" i="15"/>
  <c r="C1472" i="15"/>
  <c r="B1472" i="15"/>
  <c r="C1471" i="15"/>
  <c r="B1471" i="15"/>
  <c r="C1470" i="15"/>
  <c r="B1470" i="15"/>
  <c r="C1469" i="15"/>
  <c r="B1469" i="15"/>
  <c r="C1468" i="15"/>
  <c r="B1468" i="15"/>
  <c r="C1467" i="15"/>
  <c r="B1467" i="15"/>
  <c r="C1466" i="15"/>
  <c r="B1466" i="15"/>
  <c r="C1465" i="15"/>
  <c r="B1465" i="15"/>
  <c r="C1464" i="15"/>
  <c r="B1464" i="15"/>
  <c r="C1463" i="15"/>
  <c r="B1463" i="15"/>
  <c r="C1462" i="15"/>
  <c r="B1462" i="15"/>
  <c r="C1461" i="15"/>
  <c r="B1461" i="15"/>
  <c r="C1460" i="15"/>
  <c r="B1460" i="15"/>
  <c r="C1459" i="15"/>
  <c r="B1459" i="15"/>
  <c r="C1458" i="15"/>
  <c r="B1458" i="15"/>
  <c r="C1457" i="15"/>
  <c r="B1457" i="15"/>
  <c r="C1456" i="15"/>
  <c r="B1456" i="15"/>
  <c r="C1455" i="15"/>
  <c r="B1455" i="15"/>
  <c r="C1454" i="15"/>
  <c r="B1454" i="15"/>
  <c r="C1453" i="15"/>
  <c r="B1453" i="15"/>
  <c r="C1452" i="15"/>
  <c r="B1452" i="15"/>
  <c r="C1451" i="15"/>
  <c r="B1451" i="15"/>
  <c r="C1450" i="15"/>
  <c r="B1450" i="15"/>
  <c r="C1449" i="15"/>
  <c r="B1449" i="15"/>
  <c r="C1448" i="15"/>
  <c r="B1448" i="15"/>
  <c r="C1447" i="15"/>
  <c r="B1447" i="15"/>
  <c r="C1446" i="15"/>
  <c r="B1446" i="15"/>
  <c r="C1445" i="15"/>
  <c r="B1445" i="15"/>
  <c r="C1444" i="15"/>
  <c r="B1444" i="15"/>
  <c r="C1443" i="15"/>
  <c r="B1443" i="15"/>
  <c r="C1442" i="15"/>
  <c r="B1442" i="15"/>
  <c r="C1441" i="15"/>
  <c r="B1441" i="15"/>
  <c r="C1440" i="15"/>
  <c r="B1440" i="15"/>
  <c r="C1439" i="15"/>
  <c r="B1439" i="15"/>
  <c r="C1438" i="15"/>
  <c r="B1438" i="15"/>
  <c r="C1437" i="15"/>
  <c r="B1437" i="15"/>
  <c r="C1436" i="15"/>
  <c r="B1436" i="15"/>
  <c r="C1435" i="15"/>
  <c r="B1435" i="15"/>
  <c r="C1434" i="15"/>
  <c r="B1434" i="15"/>
  <c r="C1433" i="15"/>
  <c r="B1433" i="15"/>
  <c r="C1432" i="15"/>
  <c r="B1432" i="15"/>
  <c r="C1431" i="15"/>
  <c r="B1431" i="15"/>
  <c r="C1430" i="15"/>
  <c r="B1430" i="15"/>
  <c r="C1429" i="15"/>
  <c r="B1429" i="15"/>
  <c r="C1428" i="15"/>
  <c r="B1428" i="15"/>
  <c r="C1427" i="15"/>
  <c r="B1427" i="15"/>
  <c r="C1426" i="15"/>
  <c r="B1426" i="15"/>
  <c r="C1425" i="15"/>
  <c r="B1425" i="15"/>
  <c r="C1424" i="15"/>
  <c r="B1424" i="15"/>
  <c r="C1423" i="15"/>
  <c r="B1423" i="15"/>
  <c r="C1422" i="15"/>
  <c r="B1422" i="15"/>
  <c r="C1421" i="15"/>
  <c r="B1421" i="15"/>
  <c r="C1420" i="15"/>
  <c r="B1420" i="15"/>
  <c r="C1419" i="15"/>
  <c r="B1419" i="15"/>
  <c r="C1418" i="15"/>
  <c r="B1418" i="15"/>
  <c r="C1417" i="15"/>
  <c r="B1417" i="15"/>
  <c r="C1416" i="15"/>
  <c r="B1416" i="15"/>
  <c r="C1415" i="15"/>
  <c r="B1415" i="15"/>
  <c r="C1414" i="15"/>
  <c r="B1414" i="15"/>
  <c r="C1413" i="15"/>
  <c r="B1413" i="15"/>
  <c r="C1412" i="15"/>
  <c r="B1412" i="15"/>
  <c r="C1411" i="15"/>
  <c r="B1411" i="15"/>
  <c r="C1410" i="15"/>
  <c r="B1410" i="15"/>
  <c r="C1409" i="15"/>
  <c r="B1409" i="15"/>
  <c r="C1408" i="15"/>
  <c r="B1408" i="15"/>
  <c r="C1407" i="15"/>
  <c r="B1407" i="15"/>
  <c r="C1406" i="15"/>
  <c r="B1406" i="15"/>
  <c r="C1405" i="15"/>
  <c r="B1405" i="15"/>
  <c r="C1404" i="15"/>
  <c r="B1404" i="15"/>
  <c r="C1403" i="15"/>
  <c r="B1403" i="15"/>
  <c r="C1402" i="15"/>
  <c r="B1402" i="15"/>
  <c r="C1401" i="15"/>
  <c r="B1401" i="15"/>
  <c r="C1400" i="15"/>
  <c r="B1400" i="15"/>
  <c r="C1399" i="15"/>
  <c r="B1399" i="15"/>
  <c r="C1398" i="15"/>
  <c r="B1398" i="15"/>
  <c r="C1397" i="15"/>
  <c r="B1397" i="15"/>
  <c r="C1396" i="15"/>
  <c r="B1396" i="15"/>
  <c r="C1395" i="15"/>
  <c r="B1395" i="15"/>
  <c r="C1394" i="15"/>
  <c r="B1394" i="15"/>
  <c r="C1393" i="15"/>
  <c r="B1393" i="15"/>
  <c r="C1392" i="15"/>
  <c r="B1392" i="15"/>
  <c r="C1391" i="15"/>
  <c r="B1391" i="15"/>
  <c r="C1390" i="15"/>
  <c r="B1390" i="15"/>
  <c r="C1389" i="15"/>
  <c r="B1389" i="15"/>
  <c r="C1388" i="15"/>
  <c r="B1388" i="15"/>
  <c r="C1387" i="15"/>
  <c r="B1387" i="15"/>
  <c r="C1386" i="15"/>
  <c r="B1386" i="15"/>
  <c r="C1385" i="15"/>
  <c r="B1385" i="15"/>
  <c r="C1384" i="15"/>
  <c r="B1384" i="15"/>
  <c r="C1383" i="15"/>
  <c r="B1383" i="15"/>
  <c r="C1382" i="15"/>
  <c r="B1382" i="15"/>
  <c r="C1381" i="15"/>
  <c r="B1381" i="15"/>
  <c r="C1380" i="15"/>
  <c r="B1380" i="15"/>
  <c r="C1379" i="15"/>
  <c r="B1379" i="15"/>
  <c r="C1378" i="15"/>
  <c r="B1378" i="15"/>
  <c r="C1377" i="15"/>
  <c r="B1377" i="15"/>
  <c r="C1376" i="15"/>
  <c r="B1376" i="15"/>
  <c r="C1375" i="15"/>
  <c r="B1375" i="15"/>
  <c r="C1374" i="15"/>
  <c r="B1374" i="15"/>
  <c r="C1373" i="15"/>
  <c r="B1373" i="15"/>
  <c r="C1372" i="15"/>
  <c r="B1372" i="15"/>
  <c r="C1371" i="15"/>
  <c r="B1371" i="15"/>
  <c r="C1370" i="15"/>
  <c r="B1370" i="15"/>
  <c r="C1369" i="15"/>
  <c r="B1369" i="15"/>
  <c r="C1368" i="15"/>
  <c r="B1368" i="15"/>
  <c r="C1367" i="15"/>
  <c r="B1367" i="15"/>
  <c r="C1366" i="15"/>
  <c r="B1366" i="15"/>
  <c r="C1365" i="15"/>
  <c r="B1365" i="15"/>
  <c r="C1364" i="15"/>
  <c r="B1364" i="15"/>
  <c r="C1363" i="15"/>
  <c r="B1363" i="15"/>
  <c r="C1362" i="15"/>
  <c r="B1362" i="15"/>
  <c r="C1361" i="15"/>
  <c r="B1361" i="15"/>
  <c r="C1360" i="15"/>
  <c r="B1360" i="15"/>
  <c r="C1359" i="15"/>
  <c r="B1359" i="15"/>
  <c r="C1358" i="15"/>
  <c r="B1358" i="15"/>
  <c r="C1357" i="15"/>
  <c r="B1357" i="15"/>
  <c r="C1356" i="15"/>
  <c r="B1356" i="15"/>
  <c r="C1355" i="15"/>
  <c r="B1355" i="15"/>
  <c r="C1354" i="15"/>
  <c r="B1354" i="15"/>
  <c r="C1353" i="15"/>
  <c r="B1353" i="15"/>
  <c r="C1352" i="15"/>
  <c r="B1352" i="15"/>
  <c r="C1351" i="15"/>
  <c r="B1351" i="15"/>
  <c r="C1350" i="15"/>
  <c r="B1350" i="15"/>
  <c r="C1349" i="15"/>
  <c r="B1349" i="15"/>
  <c r="C1348" i="15"/>
  <c r="B1348" i="15"/>
  <c r="C1347" i="15"/>
  <c r="B1347" i="15"/>
  <c r="C1346" i="15"/>
  <c r="B1346" i="15"/>
  <c r="C1345" i="15"/>
  <c r="B1345" i="15"/>
  <c r="C1344" i="15"/>
  <c r="B1344" i="15"/>
  <c r="C1343" i="15"/>
  <c r="B1343" i="15"/>
  <c r="C1342" i="15"/>
  <c r="B1342" i="15"/>
  <c r="C1341" i="15"/>
  <c r="B1341" i="15"/>
  <c r="C1340" i="15"/>
  <c r="B1340" i="15"/>
  <c r="C1339" i="15"/>
  <c r="B1339" i="15"/>
  <c r="C1338" i="15"/>
  <c r="B1338" i="15"/>
  <c r="C1337" i="15"/>
  <c r="B1337" i="15"/>
  <c r="C1336" i="15"/>
  <c r="B1336" i="15"/>
  <c r="C1335" i="15"/>
  <c r="B1335" i="15"/>
  <c r="C1334" i="15"/>
  <c r="B1334" i="15"/>
  <c r="C1333" i="15"/>
  <c r="B1333" i="15"/>
  <c r="C1332" i="15"/>
  <c r="B1332" i="15"/>
  <c r="C1331" i="15"/>
  <c r="B1331" i="15"/>
  <c r="C1330" i="15"/>
  <c r="B1330" i="15"/>
  <c r="C1329" i="15"/>
  <c r="B1329" i="15"/>
  <c r="C1328" i="15"/>
  <c r="B1328" i="15"/>
  <c r="C1327" i="15"/>
  <c r="B1327" i="15"/>
  <c r="C1326" i="15"/>
  <c r="B1326" i="15"/>
  <c r="C1325" i="15"/>
  <c r="B1325" i="15"/>
  <c r="C1324" i="15"/>
  <c r="B1324" i="15"/>
  <c r="C1323" i="15"/>
  <c r="B1323" i="15"/>
  <c r="C1322" i="15"/>
  <c r="B1322" i="15"/>
  <c r="C1321" i="15"/>
  <c r="B1321" i="15"/>
  <c r="C1320" i="15"/>
  <c r="B1320" i="15"/>
  <c r="C1319" i="15"/>
  <c r="B1319" i="15"/>
  <c r="C1318" i="15"/>
  <c r="B1318" i="15"/>
  <c r="C1317" i="15"/>
  <c r="B1317" i="15"/>
  <c r="C1316" i="15"/>
  <c r="B1316" i="15"/>
  <c r="C1315" i="15"/>
  <c r="B1315" i="15"/>
  <c r="C1314" i="15"/>
  <c r="B1314" i="15"/>
  <c r="C1313" i="15"/>
  <c r="B1313" i="15"/>
  <c r="C1312" i="15"/>
  <c r="B1312" i="15"/>
  <c r="C1311" i="15"/>
  <c r="B1311" i="15"/>
  <c r="C1310" i="15"/>
  <c r="B1310" i="15"/>
  <c r="C1309" i="15"/>
  <c r="B1309" i="15"/>
  <c r="C1308" i="15"/>
  <c r="B1308" i="15"/>
  <c r="C1307" i="15"/>
  <c r="B1307" i="15"/>
  <c r="C1306" i="15"/>
  <c r="B1306" i="15"/>
  <c r="C1305" i="15"/>
  <c r="B1305" i="15"/>
  <c r="C1304" i="15"/>
  <c r="B1304" i="15"/>
  <c r="C1303" i="15"/>
  <c r="B1303" i="15"/>
  <c r="C1302" i="15"/>
  <c r="B1302" i="15"/>
  <c r="C1301" i="15"/>
  <c r="B1301" i="15"/>
  <c r="C1300" i="15"/>
  <c r="B1300" i="15"/>
  <c r="C1299" i="15"/>
  <c r="B1299" i="15"/>
  <c r="C1298" i="15"/>
  <c r="B1298" i="15"/>
  <c r="C1297" i="15"/>
  <c r="B1297" i="15"/>
  <c r="C1296" i="15"/>
  <c r="B1296" i="15"/>
  <c r="C1295" i="15"/>
  <c r="B1295" i="15"/>
  <c r="C1294" i="15"/>
  <c r="B1294" i="15"/>
  <c r="C1293" i="15"/>
  <c r="B1293" i="15"/>
  <c r="C1292" i="15"/>
  <c r="B1292" i="15"/>
  <c r="C1291" i="15"/>
  <c r="B1291" i="15"/>
  <c r="C1290" i="15"/>
  <c r="B1290" i="15"/>
  <c r="C1289" i="15"/>
  <c r="B1289" i="15"/>
  <c r="C1288" i="15"/>
  <c r="B1288" i="15"/>
  <c r="C1287" i="15"/>
  <c r="B1287" i="15"/>
  <c r="C1286" i="15"/>
  <c r="B1286" i="15"/>
  <c r="C1285" i="15"/>
  <c r="B1285" i="15"/>
  <c r="C1284" i="15"/>
  <c r="B1284" i="15"/>
  <c r="C1283" i="15"/>
  <c r="B1283" i="15"/>
  <c r="C1282" i="15"/>
  <c r="B1282" i="15"/>
  <c r="C1281" i="15"/>
  <c r="B1281" i="15"/>
  <c r="C1280" i="15"/>
  <c r="B1280" i="15"/>
  <c r="C1279" i="15"/>
  <c r="B1279" i="15"/>
  <c r="C1278" i="15"/>
  <c r="B1278" i="15"/>
  <c r="C1277" i="15"/>
  <c r="B1277" i="15"/>
  <c r="C1276" i="15"/>
  <c r="B1276" i="15"/>
  <c r="C1275" i="15"/>
  <c r="B1275" i="15"/>
  <c r="C1274" i="15"/>
  <c r="B1274" i="15"/>
  <c r="C1273" i="15"/>
  <c r="B1273" i="15"/>
  <c r="C1272" i="15"/>
  <c r="B1272" i="15"/>
  <c r="C1271" i="15"/>
  <c r="B1271" i="15"/>
  <c r="C1270" i="15"/>
  <c r="B1270" i="15"/>
  <c r="C1269" i="15"/>
  <c r="B1269" i="15"/>
  <c r="C1268" i="15"/>
  <c r="B1268" i="15"/>
  <c r="C1267" i="15"/>
  <c r="B1267" i="15"/>
  <c r="C1266" i="15"/>
  <c r="B1266" i="15"/>
  <c r="C1265" i="15"/>
  <c r="B1265" i="15"/>
  <c r="C1264" i="15"/>
  <c r="B1264" i="15"/>
  <c r="C1263" i="15"/>
  <c r="B1263" i="15"/>
  <c r="C1262" i="15"/>
  <c r="B1262" i="15"/>
  <c r="C1261" i="15"/>
  <c r="B1261" i="15"/>
  <c r="C1260" i="15"/>
  <c r="B1260" i="15"/>
  <c r="C1259" i="15"/>
  <c r="B1259" i="15"/>
  <c r="C1258" i="15"/>
  <c r="B1258" i="15"/>
  <c r="C1257" i="15"/>
  <c r="B1257" i="15"/>
  <c r="C1256" i="15"/>
  <c r="B1256" i="15"/>
  <c r="C1255" i="15"/>
  <c r="B1255" i="15"/>
  <c r="C1254" i="15"/>
  <c r="B1254" i="15"/>
  <c r="C1253" i="15"/>
  <c r="B1253" i="15"/>
  <c r="C1252" i="15"/>
  <c r="B1252" i="15"/>
  <c r="C1251" i="15"/>
  <c r="B1251" i="15"/>
  <c r="C1250" i="15"/>
  <c r="B1250" i="15"/>
  <c r="C1249" i="15"/>
  <c r="B1249" i="15"/>
  <c r="C1248" i="15"/>
  <c r="B1248" i="15"/>
  <c r="C1247" i="15"/>
  <c r="B1247" i="15"/>
  <c r="C1246" i="15"/>
  <c r="B1246" i="15"/>
  <c r="C1245" i="15"/>
  <c r="B1245" i="15"/>
  <c r="C1244" i="15"/>
  <c r="B1244" i="15"/>
  <c r="C1243" i="15"/>
  <c r="B1243" i="15"/>
  <c r="C1242" i="15"/>
  <c r="B1242" i="15"/>
  <c r="C1241" i="15"/>
  <c r="B1241" i="15"/>
  <c r="C1240" i="15"/>
  <c r="B1240" i="15"/>
  <c r="C1239" i="15"/>
  <c r="B1239" i="15"/>
  <c r="C1238" i="15"/>
  <c r="B1238" i="15"/>
  <c r="C1237" i="15"/>
  <c r="B1237" i="15"/>
  <c r="C1236" i="15"/>
  <c r="B1236" i="15"/>
  <c r="C1235" i="15"/>
  <c r="B1235" i="15"/>
  <c r="C1234" i="15"/>
  <c r="B1234" i="15"/>
  <c r="C1233" i="15"/>
  <c r="B1233" i="15"/>
  <c r="C1232" i="15"/>
  <c r="B1232" i="15"/>
  <c r="C1231" i="15"/>
  <c r="B1231" i="15"/>
  <c r="C1230" i="15"/>
  <c r="B1230" i="15"/>
  <c r="C1229" i="15"/>
  <c r="B1229" i="15"/>
  <c r="C1228" i="15"/>
  <c r="B1228" i="15"/>
  <c r="C1227" i="15"/>
  <c r="B1227" i="15"/>
  <c r="C1226" i="15"/>
  <c r="B1226" i="15"/>
  <c r="C1225" i="15"/>
  <c r="B1225" i="15"/>
  <c r="C1224" i="15"/>
  <c r="B1224" i="15"/>
  <c r="C1223" i="15"/>
  <c r="B1223" i="15"/>
  <c r="C1222" i="15"/>
  <c r="B1222" i="15"/>
  <c r="C1221" i="15"/>
  <c r="B1221" i="15"/>
  <c r="C1220" i="15"/>
  <c r="B1220" i="15"/>
  <c r="C1219" i="15"/>
  <c r="B1219" i="15"/>
  <c r="C1218" i="15"/>
  <c r="B1218" i="15"/>
  <c r="C1217" i="15"/>
  <c r="B1217" i="15"/>
  <c r="C1216" i="15"/>
  <c r="B1216" i="15"/>
  <c r="C1215" i="15"/>
  <c r="B1215" i="15"/>
  <c r="C1214" i="15"/>
  <c r="B1214" i="15"/>
  <c r="C1213" i="15"/>
  <c r="B1213" i="15"/>
  <c r="C1212" i="15"/>
  <c r="B1212" i="15"/>
  <c r="C1211" i="15"/>
  <c r="B1211" i="15"/>
  <c r="C1210" i="15"/>
  <c r="B1210" i="15"/>
  <c r="C1209" i="15"/>
  <c r="B1209" i="15"/>
  <c r="C1208" i="15"/>
  <c r="B1208" i="15"/>
  <c r="C1207" i="15"/>
  <c r="B1207" i="15"/>
  <c r="C1206" i="15"/>
  <c r="B1206" i="15"/>
  <c r="C1205" i="15"/>
  <c r="B1205" i="15"/>
  <c r="C1204" i="15"/>
  <c r="B1204" i="15"/>
  <c r="C1203" i="15"/>
  <c r="B1203" i="15"/>
  <c r="C1202" i="15"/>
  <c r="B1202" i="15"/>
  <c r="C1201" i="15"/>
  <c r="B1201" i="15"/>
  <c r="C1200" i="15"/>
  <c r="B1200" i="15"/>
  <c r="C1199" i="15"/>
  <c r="B1199" i="15"/>
  <c r="C1198" i="15"/>
  <c r="B1198" i="15"/>
  <c r="C1197" i="15"/>
  <c r="B1197" i="15"/>
  <c r="C1196" i="15"/>
  <c r="B1196" i="15"/>
  <c r="C1195" i="15"/>
  <c r="B1195" i="15"/>
  <c r="C1194" i="15"/>
  <c r="B1194" i="15"/>
  <c r="C1193" i="15"/>
  <c r="B1193" i="15"/>
  <c r="C1192" i="15"/>
  <c r="B1192" i="15"/>
  <c r="C1191" i="15"/>
  <c r="B1191" i="15"/>
  <c r="C1190" i="15"/>
  <c r="B1190" i="15"/>
  <c r="C1189" i="15"/>
  <c r="B1189" i="15"/>
  <c r="C1188" i="15"/>
  <c r="B1188" i="15"/>
  <c r="C1187" i="15"/>
  <c r="B1187" i="15"/>
  <c r="C1186" i="15"/>
  <c r="B1186" i="15"/>
  <c r="C1185" i="15"/>
  <c r="B1185" i="15"/>
  <c r="C1184" i="15"/>
  <c r="B1184" i="15"/>
  <c r="C1183" i="15"/>
  <c r="B1183" i="15"/>
  <c r="C1182" i="15"/>
  <c r="B1182" i="15"/>
  <c r="C1181" i="15"/>
  <c r="B1181" i="15"/>
  <c r="C1180" i="15"/>
  <c r="B1180" i="15"/>
  <c r="C1179" i="15"/>
  <c r="B1179" i="15"/>
  <c r="C1178" i="15"/>
  <c r="B1178" i="15"/>
  <c r="C1177" i="15"/>
  <c r="B1177" i="15"/>
  <c r="C1176" i="15"/>
  <c r="B1176" i="15"/>
  <c r="C1175" i="15"/>
  <c r="B1175" i="15"/>
  <c r="C1174" i="15"/>
  <c r="B1174" i="15"/>
  <c r="C1173" i="15"/>
  <c r="B1173" i="15"/>
  <c r="C1172" i="15"/>
  <c r="B1172" i="15"/>
  <c r="C1171" i="15"/>
  <c r="B1171" i="15"/>
  <c r="C1170" i="15"/>
  <c r="B1170" i="15"/>
  <c r="C1169" i="15"/>
  <c r="B1169" i="15"/>
  <c r="C1168" i="15"/>
  <c r="B1168" i="15"/>
  <c r="C1167" i="15"/>
  <c r="B1167" i="15"/>
  <c r="C1166" i="15"/>
  <c r="B1166" i="15"/>
  <c r="C1165" i="15"/>
  <c r="B1165" i="15"/>
  <c r="C1164" i="15"/>
  <c r="B1164" i="15"/>
  <c r="C1163" i="15"/>
  <c r="B1163" i="15"/>
  <c r="C1162" i="15"/>
  <c r="B1162" i="15"/>
  <c r="C1161" i="15"/>
  <c r="B1161" i="15"/>
  <c r="C1160" i="15"/>
  <c r="B1160" i="15"/>
  <c r="C1159" i="15"/>
  <c r="B1159" i="15"/>
  <c r="C1158" i="15"/>
  <c r="B1158" i="15"/>
  <c r="C1157" i="15"/>
  <c r="B1157" i="15"/>
  <c r="C1156" i="15"/>
  <c r="B1156" i="15"/>
  <c r="C1155" i="15"/>
  <c r="B1155" i="15"/>
  <c r="C1154" i="15"/>
  <c r="B1154" i="15"/>
  <c r="C1153" i="15"/>
  <c r="B1153" i="15"/>
  <c r="C1152" i="15"/>
  <c r="B1152" i="15"/>
  <c r="C1151" i="15"/>
  <c r="B1151" i="15"/>
  <c r="C1150" i="15"/>
  <c r="B1150" i="15"/>
  <c r="C1149" i="15"/>
  <c r="B1149" i="15"/>
  <c r="C1148" i="15"/>
  <c r="B1148" i="15"/>
  <c r="C1147" i="15"/>
  <c r="B1147" i="15"/>
  <c r="C1146" i="15"/>
  <c r="B1146" i="15"/>
  <c r="C1145" i="15"/>
  <c r="B1145" i="15"/>
  <c r="C1144" i="15"/>
  <c r="B1144" i="15"/>
  <c r="C1143" i="15"/>
  <c r="B1143" i="15"/>
  <c r="C1142" i="15"/>
  <c r="B1142" i="15"/>
  <c r="C1141" i="15"/>
  <c r="B1141" i="15"/>
  <c r="C1140" i="15"/>
  <c r="B1140" i="15"/>
  <c r="C1139" i="15"/>
  <c r="B1139" i="15"/>
  <c r="C1138" i="15"/>
  <c r="B1138" i="15"/>
  <c r="C1137" i="15"/>
  <c r="B1137" i="15"/>
  <c r="C1136" i="15"/>
  <c r="B1136" i="15"/>
  <c r="C1135" i="15"/>
  <c r="B1135" i="15"/>
  <c r="C1134" i="15"/>
  <c r="B1134" i="15"/>
  <c r="C1133" i="15"/>
  <c r="B1133" i="15"/>
  <c r="C1132" i="15"/>
  <c r="B1132" i="15"/>
  <c r="C1131" i="15"/>
  <c r="B1131" i="15"/>
  <c r="C1130" i="15"/>
  <c r="B1130" i="15"/>
  <c r="C1129" i="15"/>
  <c r="B1129" i="15"/>
  <c r="C1128" i="15"/>
  <c r="B1128" i="15"/>
  <c r="C1127" i="15"/>
  <c r="B1127" i="15"/>
  <c r="C1126" i="15"/>
  <c r="B1126" i="15"/>
  <c r="C1125" i="15"/>
  <c r="B1125" i="15"/>
  <c r="C1124" i="15"/>
  <c r="B1124" i="15"/>
  <c r="C1123" i="15"/>
  <c r="B1123" i="15"/>
  <c r="C1122" i="15"/>
  <c r="B1122" i="15"/>
  <c r="C1121" i="15"/>
  <c r="B1121" i="15"/>
  <c r="C1120" i="15"/>
  <c r="B1120" i="15"/>
  <c r="C1119" i="15"/>
  <c r="B1119" i="15"/>
  <c r="C1118" i="15"/>
  <c r="B1118" i="15"/>
  <c r="C1117" i="15"/>
  <c r="B1117" i="15"/>
  <c r="C1116" i="15"/>
  <c r="B1116" i="15"/>
  <c r="C1115" i="15"/>
  <c r="B1115" i="15"/>
  <c r="C1114" i="15"/>
  <c r="B1114" i="15"/>
  <c r="C1113" i="15"/>
  <c r="B1113" i="15"/>
  <c r="C1112" i="15"/>
  <c r="B1112" i="15"/>
  <c r="C1111" i="15"/>
  <c r="B1111" i="15"/>
  <c r="C1110" i="15"/>
  <c r="B1110" i="15"/>
  <c r="C1109" i="15"/>
  <c r="B1109" i="15"/>
  <c r="C1108" i="15"/>
  <c r="B1108" i="15"/>
  <c r="C1107" i="15"/>
  <c r="B1107" i="15"/>
  <c r="C1106" i="15"/>
  <c r="B1106" i="15"/>
  <c r="C1105" i="15"/>
  <c r="B1105" i="15"/>
  <c r="C1104" i="15"/>
  <c r="B1104" i="15"/>
  <c r="C1103" i="15"/>
  <c r="B1103" i="15"/>
  <c r="C1102" i="15"/>
  <c r="B1102" i="15"/>
  <c r="C1101" i="15"/>
  <c r="B1101" i="15"/>
  <c r="C1100" i="15"/>
  <c r="B1100" i="15"/>
  <c r="C1099" i="15"/>
  <c r="B1099" i="15"/>
  <c r="C1098" i="15"/>
  <c r="B1098" i="15"/>
  <c r="C1097" i="15"/>
  <c r="B1097" i="15"/>
  <c r="C1096" i="15"/>
  <c r="B1096" i="15"/>
  <c r="C1095" i="15"/>
  <c r="B1095" i="15"/>
  <c r="C1094" i="15"/>
  <c r="B1094" i="15"/>
  <c r="C1093" i="15"/>
  <c r="B1093" i="15"/>
  <c r="C1092" i="15"/>
  <c r="B1092" i="15"/>
  <c r="C1091" i="15"/>
  <c r="B1091" i="15"/>
  <c r="C1090" i="15"/>
  <c r="B1090" i="15"/>
  <c r="C1089" i="15"/>
  <c r="B1089" i="15"/>
  <c r="C1088" i="15"/>
  <c r="B1088" i="15"/>
  <c r="C1087" i="15"/>
  <c r="B1087" i="15"/>
  <c r="C1086" i="15"/>
  <c r="B1086" i="15"/>
  <c r="C1085" i="15"/>
  <c r="B1085" i="15"/>
  <c r="C1084" i="15"/>
  <c r="B1084" i="15"/>
  <c r="C1083" i="15"/>
  <c r="B1083" i="15"/>
  <c r="C1082" i="15"/>
  <c r="B1082" i="15"/>
  <c r="C1081" i="15"/>
  <c r="B1081" i="15"/>
  <c r="C1080" i="15"/>
  <c r="B1080" i="15"/>
  <c r="C1079" i="15"/>
  <c r="B1079" i="15"/>
  <c r="C1078" i="15"/>
  <c r="B1078" i="15"/>
  <c r="C1077" i="15"/>
  <c r="B1077" i="15"/>
  <c r="C1076" i="15"/>
  <c r="B1076" i="15"/>
  <c r="C1075" i="15"/>
  <c r="B1075" i="15"/>
  <c r="C1074" i="15"/>
  <c r="B1074" i="15"/>
  <c r="C1073" i="15"/>
  <c r="B1073" i="15"/>
  <c r="C1072" i="15"/>
  <c r="B1072" i="15"/>
  <c r="C1071" i="15"/>
  <c r="B1071" i="15"/>
  <c r="C1070" i="15"/>
  <c r="B1070" i="15"/>
  <c r="C1069" i="15"/>
  <c r="B1069" i="15"/>
  <c r="C1068" i="15"/>
  <c r="B1068" i="15"/>
  <c r="C1067" i="15"/>
  <c r="B1067" i="15"/>
  <c r="C1066" i="15"/>
  <c r="B1066" i="15"/>
  <c r="C1065" i="15"/>
  <c r="B1065" i="15"/>
  <c r="C1064" i="15"/>
  <c r="B1064" i="15"/>
  <c r="C1063" i="15"/>
  <c r="B1063" i="15"/>
  <c r="C1062" i="15"/>
  <c r="B1062" i="15"/>
  <c r="C1061" i="15"/>
  <c r="B1061" i="15"/>
  <c r="C1060" i="15"/>
  <c r="B1060" i="15"/>
  <c r="C1059" i="15"/>
  <c r="B1059" i="15"/>
  <c r="C1058" i="15"/>
  <c r="B1058" i="15"/>
  <c r="C1057" i="15"/>
  <c r="B1057" i="15"/>
  <c r="C1056" i="15"/>
  <c r="B1056" i="15"/>
  <c r="C1055" i="15"/>
  <c r="B1055" i="15"/>
  <c r="C1054" i="15"/>
  <c r="B1054" i="15"/>
  <c r="C1053" i="15"/>
  <c r="B1053" i="15"/>
  <c r="C1052" i="15"/>
  <c r="B1052" i="15"/>
  <c r="C1051" i="15"/>
  <c r="B1051" i="15"/>
  <c r="C1050" i="15"/>
  <c r="B1050" i="15"/>
  <c r="C1049" i="15"/>
  <c r="B1049" i="15"/>
  <c r="C1048" i="15"/>
  <c r="B1048" i="15"/>
  <c r="C1047" i="15"/>
  <c r="B1047" i="15"/>
  <c r="C1046" i="15"/>
  <c r="B1046" i="15"/>
  <c r="C1045" i="15"/>
  <c r="B1045" i="15"/>
  <c r="C1044" i="15"/>
  <c r="B1044" i="15"/>
  <c r="C1043" i="15"/>
  <c r="B1043" i="15"/>
  <c r="C1042" i="15"/>
  <c r="B1042" i="15"/>
  <c r="C1041" i="15"/>
  <c r="B1041" i="15"/>
  <c r="C1040" i="15"/>
  <c r="B1040" i="15"/>
  <c r="C1039" i="15"/>
  <c r="B1039" i="15"/>
  <c r="C1038" i="15"/>
  <c r="B1038" i="15"/>
  <c r="C1037" i="15"/>
  <c r="B1037" i="15"/>
  <c r="C1036" i="15"/>
  <c r="B1036" i="15"/>
  <c r="C1035" i="15"/>
  <c r="B1035" i="15"/>
  <c r="C1034" i="15"/>
  <c r="B1034" i="15"/>
  <c r="C1033" i="15"/>
  <c r="B1033" i="15"/>
  <c r="C1032" i="15"/>
  <c r="B1032" i="15"/>
  <c r="C1031" i="15"/>
  <c r="B1031" i="15"/>
  <c r="C1030" i="15"/>
  <c r="B1030" i="15"/>
  <c r="C1029" i="15"/>
  <c r="B1029" i="15"/>
  <c r="C1028" i="15"/>
  <c r="B1028" i="15"/>
  <c r="C1027" i="15"/>
  <c r="B1027" i="15"/>
  <c r="C1026" i="15"/>
  <c r="B1026" i="15"/>
  <c r="C1025" i="15"/>
  <c r="B1025" i="15"/>
  <c r="C1024" i="15"/>
  <c r="B1024" i="15"/>
  <c r="C1023" i="15"/>
  <c r="B1023" i="15"/>
  <c r="C1022" i="15"/>
  <c r="B1022" i="15"/>
  <c r="C1021" i="15"/>
  <c r="B1021" i="15"/>
  <c r="C1020" i="15"/>
  <c r="B1020" i="15"/>
  <c r="C1019" i="15"/>
  <c r="B1019" i="15"/>
  <c r="C1018" i="15"/>
  <c r="B1018" i="15"/>
  <c r="C1017" i="15"/>
  <c r="B1017" i="15"/>
  <c r="C1016" i="15"/>
  <c r="B1016" i="15"/>
  <c r="C1015" i="15"/>
  <c r="B1015" i="15"/>
  <c r="C1014" i="15"/>
  <c r="B1014" i="15"/>
  <c r="C1013" i="15"/>
  <c r="B1013" i="15"/>
  <c r="C1012" i="15"/>
  <c r="B1012" i="15"/>
  <c r="C1011" i="15"/>
  <c r="B1011" i="15"/>
  <c r="C1010" i="15"/>
  <c r="B1010" i="15"/>
  <c r="C1009" i="15"/>
  <c r="B1009" i="15"/>
  <c r="C1008" i="15"/>
  <c r="B1008" i="15"/>
  <c r="C1007" i="15"/>
  <c r="B1007" i="15"/>
  <c r="C1006" i="15"/>
  <c r="B1006" i="15"/>
  <c r="C1005" i="15"/>
  <c r="B1005" i="15"/>
  <c r="C1004" i="15"/>
  <c r="B1004" i="15"/>
  <c r="C1003" i="15"/>
  <c r="B1003" i="15"/>
  <c r="C1002" i="15"/>
  <c r="B1002" i="15"/>
  <c r="C1001" i="15"/>
  <c r="B1001" i="15"/>
  <c r="C1000" i="15"/>
  <c r="B1000" i="15"/>
  <c r="C999" i="15"/>
  <c r="B999" i="15"/>
  <c r="C998" i="15"/>
  <c r="B998" i="15"/>
  <c r="C997" i="15"/>
  <c r="B997" i="15"/>
  <c r="C996" i="15"/>
  <c r="B996" i="15"/>
  <c r="C995" i="15"/>
  <c r="B995" i="15"/>
  <c r="C994" i="15"/>
  <c r="B994" i="15"/>
  <c r="C993" i="15"/>
  <c r="B993" i="15"/>
  <c r="C992" i="15"/>
  <c r="B992" i="15"/>
  <c r="C991" i="15"/>
  <c r="B991" i="15"/>
  <c r="C990" i="15"/>
  <c r="B990" i="15"/>
  <c r="C989" i="15"/>
  <c r="B989" i="15"/>
  <c r="C988" i="15"/>
  <c r="B988" i="15"/>
  <c r="C987" i="15"/>
  <c r="B987" i="15"/>
  <c r="C986" i="15"/>
  <c r="B986" i="15"/>
  <c r="C985" i="15"/>
  <c r="B985" i="15"/>
  <c r="C984" i="15"/>
  <c r="B984" i="15"/>
  <c r="C983" i="15"/>
  <c r="B983" i="15"/>
  <c r="C982" i="15"/>
  <c r="B982" i="15"/>
  <c r="C981" i="15"/>
  <c r="B981" i="15"/>
  <c r="C980" i="15"/>
  <c r="B980" i="15"/>
  <c r="C979" i="15"/>
  <c r="B979" i="15"/>
  <c r="C978" i="15"/>
  <c r="B978" i="15"/>
  <c r="C977" i="15"/>
  <c r="B977" i="15"/>
  <c r="C976" i="15"/>
  <c r="B976" i="15"/>
  <c r="C975" i="15"/>
  <c r="B975" i="15"/>
  <c r="C974" i="15"/>
  <c r="B974" i="15"/>
  <c r="C973" i="15"/>
  <c r="B973" i="15"/>
  <c r="C972" i="15"/>
  <c r="B972" i="15"/>
  <c r="C971" i="15"/>
  <c r="B971" i="15"/>
  <c r="C970" i="15"/>
  <c r="B970" i="15"/>
  <c r="C969" i="15"/>
  <c r="B969" i="15"/>
  <c r="C968" i="15"/>
  <c r="B968" i="15"/>
  <c r="C967" i="15"/>
  <c r="B967" i="15"/>
  <c r="C966" i="15"/>
  <c r="B966" i="15"/>
  <c r="C965" i="15"/>
  <c r="B965" i="15"/>
  <c r="C964" i="15"/>
  <c r="B964" i="15"/>
  <c r="C963" i="15"/>
  <c r="B963" i="15"/>
  <c r="C962" i="15"/>
  <c r="B962" i="15"/>
  <c r="C961" i="15"/>
  <c r="B961" i="15"/>
  <c r="C960" i="15"/>
  <c r="B960" i="15"/>
  <c r="C959" i="15"/>
  <c r="B959" i="15"/>
  <c r="C958" i="15"/>
  <c r="B958" i="15"/>
  <c r="C957" i="15"/>
  <c r="B957" i="15"/>
  <c r="C956" i="15"/>
  <c r="B956" i="15"/>
  <c r="C955" i="15"/>
  <c r="B955" i="15"/>
  <c r="C954" i="15"/>
  <c r="B954" i="15"/>
  <c r="C953" i="15"/>
  <c r="B953" i="15"/>
  <c r="C952" i="15"/>
  <c r="B952" i="15"/>
  <c r="C951" i="15"/>
  <c r="B951" i="15"/>
  <c r="C950" i="15"/>
  <c r="B950" i="15"/>
  <c r="C949" i="15"/>
  <c r="B949" i="15"/>
  <c r="C948" i="15"/>
  <c r="B948" i="15"/>
  <c r="C947" i="15"/>
  <c r="B947" i="15"/>
  <c r="C946" i="15"/>
  <c r="B946" i="15"/>
  <c r="C945" i="15"/>
  <c r="B945" i="15"/>
  <c r="C944" i="15"/>
  <c r="B944" i="15"/>
  <c r="C943" i="15"/>
  <c r="B943" i="15"/>
  <c r="C942" i="15"/>
  <c r="B942" i="15"/>
  <c r="C941" i="15"/>
  <c r="B941" i="15"/>
  <c r="C940" i="15"/>
  <c r="B940" i="15"/>
  <c r="C939" i="15"/>
  <c r="B939" i="15"/>
  <c r="C938" i="15"/>
  <c r="B938" i="15"/>
  <c r="C937" i="15"/>
  <c r="B937" i="15"/>
  <c r="C936" i="15"/>
  <c r="B936" i="15"/>
  <c r="C935" i="15"/>
  <c r="B935" i="15"/>
  <c r="C934" i="15"/>
  <c r="B934" i="15"/>
  <c r="C933" i="15"/>
  <c r="B933" i="15"/>
  <c r="C932" i="15"/>
  <c r="B932" i="15"/>
  <c r="C931" i="15"/>
  <c r="B931" i="15"/>
  <c r="C930" i="15"/>
  <c r="B930" i="15"/>
  <c r="C929" i="15"/>
  <c r="B929" i="15"/>
  <c r="C928" i="15"/>
  <c r="B928" i="15"/>
  <c r="C927" i="15"/>
  <c r="B927" i="15"/>
  <c r="C926" i="15"/>
  <c r="B926" i="15"/>
  <c r="C925" i="15"/>
  <c r="B925" i="15"/>
  <c r="C924" i="15"/>
  <c r="B924" i="15"/>
  <c r="C923" i="15"/>
  <c r="B923" i="15"/>
  <c r="C922" i="15"/>
  <c r="B922" i="15"/>
  <c r="C921" i="15"/>
  <c r="B921" i="15"/>
  <c r="C920" i="15"/>
  <c r="B920" i="15"/>
  <c r="C919" i="15"/>
  <c r="B919" i="15"/>
  <c r="C918" i="15"/>
  <c r="B918" i="15"/>
  <c r="C917" i="15"/>
  <c r="B917" i="15"/>
  <c r="C916" i="15"/>
  <c r="B916" i="15"/>
  <c r="C915" i="15"/>
  <c r="B915" i="15"/>
  <c r="C914" i="15"/>
  <c r="B914" i="15"/>
  <c r="C913" i="15"/>
  <c r="B913" i="15"/>
  <c r="C912" i="15"/>
  <c r="B912" i="15"/>
  <c r="C911" i="15"/>
  <c r="B911" i="15"/>
  <c r="C910" i="15"/>
  <c r="B910" i="15"/>
  <c r="C909" i="15"/>
  <c r="B909" i="15"/>
  <c r="C908" i="15"/>
  <c r="B908" i="15"/>
  <c r="C907" i="15"/>
  <c r="B907" i="15"/>
  <c r="C906" i="15"/>
  <c r="B906" i="15"/>
  <c r="C905" i="15"/>
  <c r="B905" i="15"/>
  <c r="C904" i="15"/>
  <c r="B904" i="15"/>
  <c r="C903" i="15"/>
  <c r="B903" i="15"/>
  <c r="C902" i="15"/>
  <c r="B902" i="15"/>
  <c r="C901" i="15"/>
  <c r="B901" i="15"/>
  <c r="C900" i="15"/>
  <c r="B900" i="15"/>
  <c r="C899" i="15"/>
  <c r="B899" i="15"/>
  <c r="C898" i="15"/>
  <c r="B898" i="15"/>
  <c r="C897" i="15"/>
  <c r="B897" i="15"/>
  <c r="C896" i="15"/>
  <c r="B896" i="15"/>
  <c r="C895" i="15"/>
  <c r="B895" i="15"/>
  <c r="C894" i="15"/>
  <c r="B894" i="15"/>
  <c r="C893" i="15"/>
  <c r="B893" i="15"/>
  <c r="C892" i="15"/>
  <c r="B892" i="15"/>
  <c r="C891" i="15"/>
  <c r="B891" i="15"/>
  <c r="C890" i="15"/>
  <c r="B890" i="15"/>
  <c r="C889" i="15"/>
  <c r="B889" i="15"/>
  <c r="C888" i="15"/>
  <c r="B888" i="15"/>
  <c r="C887" i="15"/>
  <c r="B887" i="15"/>
  <c r="C886" i="15"/>
  <c r="B886" i="15"/>
  <c r="C885" i="15"/>
  <c r="B885" i="15"/>
  <c r="C884" i="15"/>
  <c r="B884" i="15"/>
  <c r="C883" i="15"/>
  <c r="B883" i="15"/>
  <c r="C882" i="15"/>
  <c r="B882" i="15"/>
  <c r="C881" i="15"/>
  <c r="B881" i="15"/>
  <c r="C880" i="15"/>
  <c r="B880" i="15"/>
  <c r="C879" i="15"/>
  <c r="B879" i="15"/>
  <c r="C878" i="15"/>
  <c r="B878" i="15"/>
  <c r="C877" i="15"/>
  <c r="B877" i="15"/>
  <c r="C876" i="15"/>
  <c r="B876" i="15"/>
  <c r="C875" i="15"/>
  <c r="B875" i="15"/>
  <c r="C874" i="15"/>
  <c r="B874" i="15"/>
  <c r="C873" i="15"/>
  <c r="B873" i="15"/>
  <c r="C872" i="15"/>
  <c r="B872" i="15"/>
  <c r="C871" i="15"/>
  <c r="B871" i="15"/>
  <c r="C870" i="15"/>
  <c r="B870" i="15"/>
  <c r="C869" i="15"/>
  <c r="B869" i="15"/>
  <c r="C868" i="15"/>
  <c r="B868" i="15"/>
  <c r="C867" i="15"/>
  <c r="B867" i="15"/>
  <c r="C866" i="15"/>
  <c r="B866" i="15"/>
  <c r="C865" i="15"/>
  <c r="B865" i="15"/>
  <c r="C864" i="15"/>
  <c r="B864" i="15"/>
  <c r="C863" i="15"/>
  <c r="B863" i="15"/>
  <c r="C862" i="15"/>
  <c r="B862" i="15"/>
  <c r="C861" i="15"/>
  <c r="B861" i="15"/>
  <c r="C860" i="15"/>
  <c r="B860" i="15"/>
  <c r="C859" i="15"/>
  <c r="B859" i="15"/>
  <c r="C858" i="15"/>
  <c r="B858" i="15"/>
  <c r="C857" i="15"/>
  <c r="B857" i="15"/>
  <c r="C856" i="15"/>
  <c r="B856" i="15"/>
  <c r="C855" i="15"/>
  <c r="B855" i="15"/>
  <c r="C854" i="15"/>
  <c r="B854" i="15"/>
  <c r="C853" i="15"/>
  <c r="B853" i="15"/>
  <c r="C852" i="15"/>
  <c r="B852" i="15"/>
  <c r="C851" i="15"/>
  <c r="B851" i="15"/>
  <c r="C850" i="15"/>
  <c r="B850" i="15"/>
  <c r="C849" i="15"/>
  <c r="B849" i="15"/>
  <c r="C848" i="15"/>
  <c r="B848" i="15"/>
  <c r="C847" i="15"/>
  <c r="B847" i="15"/>
  <c r="C846" i="15"/>
  <c r="B846" i="15"/>
  <c r="C845" i="15"/>
  <c r="B845" i="15"/>
  <c r="C844" i="15"/>
  <c r="B844" i="15"/>
  <c r="C843" i="15"/>
  <c r="B843" i="15"/>
  <c r="C842" i="15"/>
  <c r="B842" i="15"/>
  <c r="C841" i="15"/>
  <c r="B841" i="15"/>
  <c r="C840" i="15"/>
  <c r="B840" i="15"/>
  <c r="C839" i="15"/>
  <c r="B839" i="15"/>
  <c r="C838" i="15"/>
  <c r="B838" i="15"/>
  <c r="C837" i="15"/>
  <c r="B837" i="15"/>
  <c r="C836" i="15"/>
  <c r="B836" i="15"/>
  <c r="C835" i="15"/>
  <c r="B835" i="15"/>
  <c r="C834" i="15"/>
  <c r="B834" i="15"/>
  <c r="C833" i="15"/>
  <c r="B833" i="15"/>
  <c r="C832" i="15"/>
  <c r="B832" i="15"/>
  <c r="C831" i="15"/>
  <c r="B831" i="15"/>
  <c r="C830" i="15"/>
  <c r="B830" i="15"/>
  <c r="C829" i="15"/>
  <c r="B829" i="15"/>
  <c r="C828" i="15"/>
  <c r="B828" i="15"/>
  <c r="C827" i="15"/>
  <c r="B827" i="15"/>
  <c r="C826" i="15"/>
  <c r="B826" i="15"/>
  <c r="C825" i="15"/>
  <c r="B825" i="15"/>
  <c r="C824" i="15"/>
  <c r="B824" i="15"/>
  <c r="C823" i="15"/>
  <c r="B823" i="15"/>
  <c r="C822" i="15"/>
  <c r="B822" i="15"/>
  <c r="C821" i="15"/>
  <c r="B821" i="15"/>
  <c r="C820" i="15"/>
  <c r="B820" i="15"/>
  <c r="C819" i="15"/>
  <c r="B819" i="15"/>
  <c r="C818" i="15"/>
  <c r="B818" i="15"/>
  <c r="C817" i="15"/>
  <c r="B817" i="15"/>
  <c r="C816" i="15"/>
  <c r="B816" i="15"/>
  <c r="C815" i="15"/>
  <c r="B815" i="15"/>
  <c r="C814" i="15"/>
  <c r="B814" i="15"/>
  <c r="C813" i="15"/>
  <c r="B813" i="15"/>
  <c r="C812" i="15"/>
  <c r="B812" i="15"/>
  <c r="C811" i="15"/>
  <c r="B811" i="15"/>
  <c r="C810" i="15"/>
  <c r="B810" i="15"/>
  <c r="C809" i="15"/>
  <c r="B809" i="15"/>
  <c r="C808" i="15"/>
  <c r="B808" i="15"/>
  <c r="C807" i="15"/>
  <c r="B807" i="15"/>
  <c r="C806" i="15"/>
  <c r="B806" i="15"/>
  <c r="C805" i="15"/>
  <c r="B805" i="15"/>
  <c r="C804" i="15"/>
  <c r="B804" i="15"/>
  <c r="C803" i="15"/>
  <c r="B803" i="15"/>
  <c r="C802" i="15"/>
  <c r="B802" i="15"/>
  <c r="C801" i="15"/>
  <c r="B801" i="15"/>
  <c r="C800" i="15"/>
  <c r="B800" i="15"/>
  <c r="C799" i="15"/>
  <c r="B799" i="15"/>
  <c r="C798" i="15"/>
  <c r="B798" i="15"/>
  <c r="C797" i="15"/>
  <c r="B797" i="15"/>
  <c r="C796" i="15"/>
  <c r="B796" i="15"/>
  <c r="C795" i="15"/>
  <c r="B795" i="15"/>
  <c r="C794" i="15"/>
  <c r="B794" i="15"/>
  <c r="C793" i="15"/>
  <c r="B793" i="15"/>
  <c r="C792" i="15"/>
  <c r="B792" i="15"/>
  <c r="C791" i="15"/>
  <c r="B791" i="15"/>
  <c r="C790" i="15"/>
  <c r="B790" i="15"/>
  <c r="C789" i="15"/>
  <c r="B789" i="15"/>
  <c r="C788" i="15"/>
  <c r="B788" i="15"/>
  <c r="C787" i="15"/>
  <c r="B787" i="15"/>
  <c r="C786" i="15"/>
  <c r="B786" i="15"/>
  <c r="C785" i="15"/>
  <c r="B785" i="15"/>
  <c r="C784" i="15"/>
  <c r="B784" i="15"/>
  <c r="C783" i="15"/>
  <c r="B783" i="15"/>
  <c r="C782" i="15"/>
  <c r="B782" i="15"/>
  <c r="C781" i="15"/>
  <c r="B781" i="15"/>
  <c r="C780" i="15"/>
  <c r="B780" i="15"/>
  <c r="C779" i="15"/>
  <c r="B779" i="15"/>
  <c r="C778" i="15"/>
  <c r="B778" i="15"/>
  <c r="C777" i="15"/>
  <c r="B777" i="15"/>
  <c r="C776" i="15"/>
  <c r="B776" i="15"/>
  <c r="C775" i="15"/>
  <c r="B775" i="15"/>
  <c r="C774" i="15"/>
  <c r="B774" i="15"/>
  <c r="C773" i="15"/>
  <c r="B773" i="15"/>
  <c r="C772" i="15"/>
  <c r="B772" i="15"/>
  <c r="C771" i="15"/>
  <c r="B771" i="15"/>
  <c r="C770" i="15"/>
  <c r="B770" i="15"/>
  <c r="C769" i="15"/>
  <c r="B769" i="15"/>
  <c r="C768" i="15"/>
  <c r="B768" i="15"/>
  <c r="C767" i="15"/>
  <c r="B767" i="15"/>
  <c r="C766" i="15"/>
  <c r="B766" i="15"/>
  <c r="C765" i="15"/>
  <c r="B765" i="15"/>
  <c r="C764" i="15"/>
  <c r="B764" i="15"/>
  <c r="C763" i="15"/>
  <c r="B763" i="15"/>
  <c r="C762" i="15"/>
  <c r="B762" i="15"/>
  <c r="C761" i="15"/>
  <c r="B761" i="15"/>
  <c r="C760" i="15"/>
  <c r="B760" i="15"/>
  <c r="C759" i="15"/>
  <c r="B759" i="15"/>
  <c r="C758" i="15"/>
  <c r="B758" i="15"/>
  <c r="C757" i="15"/>
  <c r="B757" i="15"/>
  <c r="C756" i="15"/>
  <c r="B756" i="15"/>
  <c r="C755" i="15"/>
  <c r="B755" i="15"/>
  <c r="C754" i="15"/>
  <c r="B754" i="15"/>
  <c r="C753" i="15"/>
  <c r="B753" i="15"/>
  <c r="C752" i="15"/>
  <c r="B752" i="15"/>
  <c r="C751" i="15"/>
  <c r="B751" i="15"/>
  <c r="C750" i="15"/>
  <c r="B750" i="15"/>
  <c r="C749" i="15"/>
  <c r="B749" i="15"/>
  <c r="C748" i="15"/>
  <c r="B748" i="15"/>
  <c r="C747" i="15"/>
  <c r="B747" i="15"/>
  <c r="C746" i="15"/>
  <c r="B746" i="15"/>
  <c r="C745" i="15"/>
  <c r="B745" i="15"/>
  <c r="C744" i="15"/>
  <c r="B744" i="15"/>
  <c r="C743" i="15"/>
  <c r="B743" i="15"/>
  <c r="C742" i="15"/>
  <c r="B742" i="15"/>
  <c r="C741" i="15"/>
  <c r="B741" i="15"/>
  <c r="C740" i="15"/>
  <c r="B740" i="15"/>
  <c r="C739" i="15"/>
  <c r="B739" i="15"/>
  <c r="C738" i="15"/>
  <c r="B738" i="15"/>
  <c r="C737" i="15"/>
  <c r="B737" i="15"/>
  <c r="C736" i="15"/>
  <c r="B736" i="15"/>
  <c r="C735" i="15"/>
  <c r="B735" i="15"/>
  <c r="C734" i="15"/>
  <c r="B734" i="15"/>
  <c r="C733" i="15"/>
  <c r="B733" i="15"/>
  <c r="C732" i="15"/>
  <c r="B732" i="15"/>
  <c r="C731" i="15"/>
  <c r="B731" i="15"/>
  <c r="C730" i="15"/>
  <c r="B730" i="15"/>
  <c r="C729" i="15"/>
  <c r="B729" i="15"/>
  <c r="C728" i="15"/>
  <c r="B728" i="15"/>
  <c r="C727" i="15"/>
  <c r="B727" i="15"/>
  <c r="C726" i="15"/>
  <c r="B726" i="15"/>
  <c r="C725" i="15"/>
  <c r="B725" i="15"/>
  <c r="C724" i="15"/>
  <c r="B724" i="15"/>
  <c r="C723" i="15"/>
  <c r="B723" i="15"/>
  <c r="C722" i="15"/>
  <c r="B722" i="15"/>
  <c r="C721" i="15"/>
  <c r="B721" i="15"/>
  <c r="C720" i="15"/>
  <c r="B720" i="15"/>
  <c r="C719" i="15"/>
  <c r="B719" i="15"/>
  <c r="C718" i="15"/>
  <c r="B718" i="15"/>
  <c r="C717" i="15"/>
  <c r="B717" i="15"/>
  <c r="C716" i="15"/>
  <c r="B716" i="15"/>
  <c r="C715" i="15"/>
  <c r="B715" i="15"/>
  <c r="C714" i="15"/>
  <c r="B714" i="15"/>
  <c r="C713" i="15"/>
  <c r="B713" i="15"/>
  <c r="C712" i="15"/>
  <c r="B712" i="15"/>
  <c r="C711" i="15"/>
  <c r="B711" i="15"/>
  <c r="C710" i="15"/>
  <c r="B710" i="15"/>
  <c r="C709" i="15"/>
  <c r="B709" i="15"/>
  <c r="C708" i="15"/>
  <c r="B708" i="15"/>
  <c r="C707" i="15"/>
  <c r="B707" i="15"/>
  <c r="C706" i="15"/>
  <c r="B706" i="15"/>
  <c r="C705" i="15"/>
  <c r="B705" i="15"/>
  <c r="C704" i="15"/>
  <c r="B704" i="15"/>
  <c r="C703" i="15"/>
  <c r="B703" i="15"/>
  <c r="C702" i="15"/>
  <c r="B702" i="15"/>
  <c r="C701" i="15"/>
  <c r="B701" i="15"/>
  <c r="C700" i="15"/>
  <c r="B700" i="15"/>
  <c r="C699" i="15"/>
  <c r="B699" i="15"/>
  <c r="C698" i="15"/>
  <c r="B698" i="15"/>
  <c r="C697" i="15"/>
  <c r="B697" i="15"/>
  <c r="C696" i="15"/>
  <c r="B696" i="15"/>
  <c r="C695" i="15"/>
  <c r="B695" i="15"/>
  <c r="C694" i="15"/>
  <c r="B694" i="15"/>
  <c r="C693" i="15"/>
  <c r="B693" i="15"/>
  <c r="C692" i="15"/>
  <c r="B692" i="15"/>
  <c r="C691" i="15"/>
  <c r="B691" i="15"/>
  <c r="C690" i="15"/>
  <c r="B690" i="15"/>
  <c r="C689" i="15"/>
  <c r="B689" i="15"/>
  <c r="C688" i="15"/>
  <c r="B688" i="15"/>
  <c r="C687" i="15"/>
  <c r="B687" i="15"/>
  <c r="C686" i="15"/>
  <c r="B686" i="15"/>
  <c r="C685" i="15"/>
  <c r="B685" i="15"/>
  <c r="C684" i="15"/>
  <c r="B684" i="15"/>
  <c r="C683" i="15"/>
  <c r="B683" i="15"/>
  <c r="C682" i="15"/>
  <c r="B682" i="15"/>
  <c r="C681" i="15"/>
  <c r="B681" i="15"/>
  <c r="C680" i="15"/>
  <c r="B680" i="15"/>
  <c r="C679" i="15"/>
  <c r="B679" i="15"/>
  <c r="C678" i="15"/>
  <c r="B678" i="15"/>
  <c r="C677" i="15"/>
  <c r="B677" i="15"/>
  <c r="C676" i="15"/>
  <c r="B676" i="15"/>
  <c r="C675" i="15"/>
  <c r="B675" i="15"/>
  <c r="C674" i="15"/>
  <c r="B674" i="15"/>
  <c r="C673" i="15"/>
  <c r="B673" i="15"/>
  <c r="C672" i="15"/>
  <c r="B672" i="15"/>
  <c r="C671" i="15"/>
  <c r="B671" i="15"/>
  <c r="C670" i="15"/>
  <c r="B670" i="15"/>
  <c r="C669" i="15"/>
  <c r="B669" i="15"/>
  <c r="C668" i="15"/>
  <c r="B668" i="15"/>
  <c r="C667" i="15"/>
  <c r="B667" i="15"/>
  <c r="C666" i="15"/>
  <c r="B666" i="15"/>
  <c r="C665" i="15"/>
  <c r="B665" i="15"/>
  <c r="C664" i="15"/>
  <c r="B664" i="15"/>
  <c r="C663" i="15"/>
  <c r="B663" i="15"/>
  <c r="C662" i="15"/>
  <c r="B662" i="15"/>
  <c r="C661" i="15"/>
  <c r="B661" i="15"/>
  <c r="C660" i="15"/>
  <c r="B660" i="15"/>
  <c r="C659" i="15"/>
  <c r="B659" i="15"/>
  <c r="C658" i="15"/>
  <c r="B658" i="15"/>
  <c r="C657" i="15"/>
  <c r="B657" i="15"/>
  <c r="C656" i="15"/>
  <c r="B656" i="15"/>
  <c r="C655" i="15"/>
  <c r="B655" i="15"/>
  <c r="C654" i="15"/>
  <c r="B654" i="15"/>
  <c r="C653" i="15"/>
  <c r="B653" i="15"/>
  <c r="C652" i="15"/>
  <c r="B652" i="15"/>
  <c r="C651" i="15"/>
  <c r="B651" i="15"/>
  <c r="C650" i="15"/>
  <c r="B650" i="15"/>
  <c r="C649" i="15"/>
  <c r="B649" i="15"/>
  <c r="C648" i="15"/>
  <c r="B648" i="15"/>
  <c r="C647" i="15"/>
  <c r="B647" i="15"/>
  <c r="C646" i="15"/>
  <c r="B646" i="15"/>
  <c r="C645" i="15"/>
  <c r="B645" i="15"/>
  <c r="C644" i="15"/>
  <c r="B644" i="15"/>
  <c r="C643" i="15"/>
  <c r="B643" i="15"/>
  <c r="C642" i="15"/>
  <c r="B642" i="15"/>
  <c r="C641" i="15"/>
  <c r="B641" i="15"/>
  <c r="C640" i="15"/>
  <c r="B640" i="15"/>
  <c r="C639" i="15"/>
  <c r="B639" i="15"/>
  <c r="C638" i="15"/>
  <c r="B638" i="15"/>
  <c r="C637" i="15"/>
  <c r="B637" i="15"/>
  <c r="C636" i="15"/>
  <c r="B636" i="15"/>
  <c r="C635" i="15"/>
  <c r="B635" i="15"/>
  <c r="C634" i="15"/>
  <c r="B634" i="15"/>
  <c r="C633" i="15"/>
  <c r="B633" i="15"/>
  <c r="C632" i="15"/>
  <c r="B632" i="15"/>
  <c r="C631" i="15"/>
  <c r="B631" i="15"/>
  <c r="C630" i="15"/>
  <c r="B630" i="15"/>
  <c r="C629" i="15"/>
  <c r="B629" i="15"/>
  <c r="C628" i="15"/>
  <c r="B628" i="15"/>
  <c r="C627" i="15"/>
  <c r="B627" i="15"/>
  <c r="C626" i="15"/>
  <c r="B626" i="15"/>
  <c r="C625" i="15"/>
  <c r="B625" i="15"/>
  <c r="C624" i="15"/>
  <c r="B624" i="15"/>
  <c r="C623" i="15"/>
  <c r="B623" i="15"/>
  <c r="C622" i="15"/>
  <c r="B622" i="15"/>
  <c r="C621" i="15"/>
  <c r="B621" i="15"/>
  <c r="C620" i="15"/>
  <c r="B620" i="15"/>
  <c r="C619" i="15"/>
  <c r="B619" i="15"/>
  <c r="C618" i="15"/>
  <c r="B618" i="15"/>
  <c r="C617" i="15"/>
  <c r="B617" i="15"/>
  <c r="C616" i="15"/>
  <c r="B616" i="15"/>
  <c r="C615" i="15"/>
  <c r="B615" i="15"/>
  <c r="C614" i="15"/>
  <c r="B614" i="15"/>
  <c r="C613" i="15"/>
  <c r="B613" i="15"/>
  <c r="C612" i="15"/>
  <c r="B612" i="15"/>
  <c r="C611" i="15"/>
  <c r="B611" i="15"/>
  <c r="C610" i="15"/>
  <c r="B610" i="15"/>
  <c r="C609" i="15"/>
  <c r="B609" i="15"/>
  <c r="C608" i="15"/>
  <c r="B608" i="15"/>
  <c r="C607" i="15"/>
  <c r="B607" i="15"/>
  <c r="C606" i="15"/>
  <c r="B606" i="15"/>
  <c r="C605" i="15"/>
  <c r="B605" i="15"/>
  <c r="C604" i="15"/>
  <c r="B604" i="15"/>
  <c r="C603" i="15"/>
  <c r="B603" i="15"/>
  <c r="C602" i="15"/>
  <c r="B602" i="15"/>
  <c r="C601" i="15"/>
  <c r="B601" i="15"/>
  <c r="C600" i="15"/>
  <c r="B600" i="15"/>
  <c r="C599" i="15"/>
  <c r="B599" i="15"/>
  <c r="C598" i="15"/>
  <c r="B598" i="15"/>
  <c r="C597" i="15"/>
  <c r="B597" i="15"/>
  <c r="C596" i="15"/>
  <c r="B596" i="15"/>
  <c r="C595" i="15"/>
  <c r="B595" i="15"/>
  <c r="C594" i="15"/>
  <c r="B594" i="15"/>
  <c r="C593" i="15"/>
  <c r="B593" i="15"/>
  <c r="C592" i="15"/>
  <c r="B592" i="15"/>
  <c r="C591" i="15"/>
  <c r="B591" i="15"/>
  <c r="C590" i="15"/>
  <c r="B590" i="15"/>
  <c r="C589" i="15"/>
  <c r="B589" i="15"/>
  <c r="C588" i="15"/>
  <c r="B588" i="15"/>
  <c r="C587" i="15"/>
  <c r="B587" i="15"/>
  <c r="C586" i="15"/>
  <c r="B586" i="15"/>
  <c r="C585" i="15"/>
  <c r="B585" i="15"/>
  <c r="C584" i="15"/>
  <c r="B584" i="15"/>
  <c r="C583" i="15"/>
  <c r="B583" i="15"/>
  <c r="C582" i="15"/>
  <c r="B582" i="15"/>
  <c r="C581" i="15"/>
  <c r="B581" i="15"/>
  <c r="C580" i="15"/>
  <c r="B580" i="15"/>
  <c r="C579" i="15"/>
  <c r="B579" i="15"/>
  <c r="C578" i="15"/>
  <c r="B578" i="15"/>
  <c r="C577" i="15"/>
  <c r="B577" i="15"/>
  <c r="C576" i="15"/>
  <c r="B576" i="15"/>
  <c r="C575" i="15"/>
  <c r="B575" i="15"/>
  <c r="C574" i="15"/>
  <c r="B574" i="15"/>
  <c r="C573" i="15"/>
  <c r="B573" i="15"/>
  <c r="C572" i="15"/>
  <c r="B572" i="15"/>
  <c r="C571" i="15"/>
  <c r="B571" i="15"/>
  <c r="C570" i="15"/>
  <c r="B570" i="15"/>
  <c r="C569" i="15"/>
  <c r="B569" i="15"/>
  <c r="C568" i="15"/>
  <c r="B568" i="15"/>
  <c r="C567" i="15"/>
  <c r="B567" i="15"/>
  <c r="C566" i="15"/>
  <c r="B566" i="15"/>
  <c r="C565" i="15"/>
  <c r="B565" i="15"/>
  <c r="C564" i="15"/>
  <c r="B564" i="15"/>
  <c r="C563" i="15"/>
  <c r="B563" i="15"/>
  <c r="C562" i="15"/>
  <c r="B562" i="15"/>
  <c r="C561" i="15"/>
  <c r="B561" i="15"/>
  <c r="C560" i="15"/>
  <c r="B560" i="15"/>
  <c r="C559" i="15"/>
  <c r="B559" i="15"/>
  <c r="C558" i="15"/>
  <c r="B558" i="15"/>
  <c r="C557" i="15"/>
  <c r="B557" i="15"/>
  <c r="C556" i="15"/>
  <c r="B556" i="15"/>
  <c r="C555" i="15"/>
  <c r="B555" i="15"/>
  <c r="C554" i="15"/>
  <c r="B554" i="15"/>
  <c r="C553" i="15"/>
  <c r="B553" i="15"/>
  <c r="C552" i="15"/>
  <c r="B552" i="15"/>
  <c r="C551" i="15"/>
  <c r="B551" i="15"/>
  <c r="C550" i="15"/>
  <c r="B550" i="15"/>
  <c r="C549" i="15"/>
  <c r="B549" i="15"/>
  <c r="C548" i="15"/>
  <c r="B548" i="15"/>
  <c r="C547" i="15"/>
  <c r="B547" i="15"/>
  <c r="C546" i="15"/>
  <c r="B546" i="15"/>
  <c r="C545" i="15"/>
  <c r="B545" i="15"/>
  <c r="C544" i="15"/>
  <c r="B544" i="15"/>
  <c r="C543" i="15"/>
  <c r="B543" i="15"/>
  <c r="C542" i="15"/>
  <c r="B542" i="15"/>
  <c r="C541" i="15"/>
  <c r="B541" i="15"/>
  <c r="C540" i="15"/>
  <c r="B540" i="15"/>
  <c r="C539" i="15"/>
  <c r="B539" i="15"/>
  <c r="C538" i="15"/>
  <c r="B538" i="15"/>
  <c r="C537" i="15"/>
  <c r="B537" i="15"/>
  <c r="C536" i="15"/>
  <c r="B536" i="15"/>
  <c r="C535" i="15"/>
  <c r="B535" i="15"/>
  <c r="C534" i="15"/>
  <c r="B534" i="15"/>
  <c r="C533" i="15"/>
  <c r="B533" i="15"/>
  <c r="C532" i="15"/>
  <c r="B532" i="15"/>
  <c r="C531" i="15"/>
  <c r="B531" i="15"/>
  <c r="C530" i="15"/>
  <c r="B530" i="15"/>
  <c r="C529" i="15"/>
  <c r="B529" i="15"/>
  <c r="C528" i="15"/>
  <c r="B528" i="15"/>
  <c r="C527" i="15"/>
  <c r="B527" i="15"/>
  <c r="C526" i="15"/>
  <c r="B526" i="15"/>
  <c r="C525" i="15"/>
  <c r="B525" i="15"/>
  <c r="C524" i="15"/>
  <c r="B524" i="15"/>
  <c r="C523" i="15"/>
  <c r="B523" i="15"/>
  <c r="C522" i="15"/>
  <c r="B522" i="15"/>
  <c r="C521" i="15"/>
  <c r="B521" i="15"/>
  <c r="C520" i="15"/>
  <c r="B520" i="15"/>
  <c r="C519" i="15"/>
  <c r="B519" i="15"/>
  <c r="C518" i="15"/>
  <c r="B518" i="15"/>
  <c r="C517" i="15"/>
  <c r="B517" i="15"/>
  <c r="C516" i="15"/>
  <c r="B516" i="15"/>
  <c r="C515" i="15"/>
  <c r="B515" i="15"/>
  <c r="C514" i="15"/>
  <c r="B514" i="15"/>
  <c r="C513" i="15"/>
  <c r="B513" i="15"/>
  <c r="C512" i="15"/>
  <c r="B512" i="15"/>
  <c r="C511" i="15"/>
  <c r="B511" i="15"/>
  <c r="C510" i="15"/>
  <c r="B510" i="15"/>
  <c r="C509" i="15"/>
  <c r="B509" i="15"/>
  <c r="C508" i="15"/>
  <c r="B508" i="15"/>
  <c r="C507" i="15"/>
  <c r="B507" i="15"/>
  <c r="C506" i="15"/>
  <c r="B506" i="15"/>
  <c r="C505" i="15"/>
  <c r="B505" i="15"/>
  <c r="C504" i="15"/>
  <c r="B504" i="15"/>
  <c r="C503" i="15"/>
  <c r="B503" i="15"/>
  <c r="C502" i="15"/>
  <c r="B502" i="15"/>
  <c r="C501" i="15"/>
  <c r="B501" i="15"/>
  <c r="C500" i="15"/>
  <c r="B500" i="15"/>
  <c r="C499" i="15"/>
  <c r="B499" i="15"/>
  <c r="C498" i="15"/>
  <c r="B498" i="15"/>
  <c r="C497" i="15"/>
  <c r="B497" i="15"/>
  <c r="C496" i="15"/>
  <c r="B496" i="15"/>
  <c r="C495" i="15"/>
  <c r="B495" i="15"/>
  <c r="C494" i="15"/>
  <c r="B494" i="15"/>
  <c r="C493" i="15"/>
  <c r="B493" i="15"/>
  <c r="C492" i="15"/>
  <c r="B492" i="15"/>
  <c r="C491" i="15"/>
  <c r="B491" i="15"/>
  <c r="C490" i="15"/>
  <c r="B490" i="15"/>
  <c r="C489" i="15"/>
  <c r="B489" i="15"/>
  <c r="C488" i="15"/>
  <c r="B488" i="15"/>
  <c r="C487" i="15"/>
  <c r="B487" i="15"/>
  <c r="C486" i="15"/>
  <c r="B486" i="15"/>
  <c r="C485" i="15"/>
  <c r="B485" i="15"/>
  <c r="C484" i="15"/>
  <c r="B484" i="15"/>
  <c r="C483" i="15"/>
  <c r="B483" i="15"/>
  <c r="C482" i="15"/>
  <c r="B482" i="15"/>
  <c r="C481" i="15"/>
  <c r="B481" i="15"/>
  <c r="C480" i="15"/>
  <c r="B480" i="15"/>
  <c r="C479" i="15"/>
  <c r="B479" i="15"/>
  <c r="C478" i="15"/>
  <c r="B478" i="15"/>
  <c r="C477" i="15"/>
  <c r="B477" i="15"/>
  <c r="C476" i="15"/>
  <c r="B476" i="15"/>
  <c r="C475" i="15"/>
  <c r="B475" i="15"/>
  <c r="C474" i="15"/>
  <c r="B474" i="15"/>
  <c r="C473" i="15"/>
  <c r="B473" i="15"/>
  <c r="C472" i="15"/>
  <c r="B472" i="15"/>
  <c r="C471" i="15"/>
  <c r="B471" i="15"/>
  <c r="C470" i="15"/>
  <c r="B470" i="15"/>
  <c r="C469" i="15"/>
  <c r="B469" i="15"/>
  <c r="C468" i="15"/>
  <c r="B468" i="15"/>
  <c r="C467" i="15"/>
  <c r="B467" i="15"/>
  <c r="C466" i="15"/>
  <c r="B466" i="15"/>
  <c r="C465" i="15"/>
  <c r="B465" i="15"/>
  <c r="C464" i="15"/>
  <c r="B464" i="15"/>
  <c r="C463" i="15"/>
  <c r="B463" i="15"/>
  <c r="C462" i="15"/>
  <c r="B462" i="15"/>
  <c r="C461" i="15"/>
  <c r="B461" i="15"/>
  <c r="C460" i="15"/>
  <c r="B460" i="15"/>
  <c r="C459" i="15"/>
  <c r="B459" i="15"/>
  <c r="C458" i="15"/>
  <c r="B458" i="15"/>
  <c r="C457" i="15"/>
  <c r="B457" i="15"/>
  <c r="C456" i="15"/>
  <c r="B456" i="15"/>
  <c r="C455" i="15"/>
  <c r="B455" i="15"/>
  <c r="C454" i="15"/>
  <c r="B454" i="15"/>
  <c r="C453" i="15"/>
  <c r="B453" i="15"/>
  <c r="C452" i="15"/>
  <c r="B452" i="15"/>
  <c r="C451" i="15"/>
  <c r="B451" i="15"/>
  <c r="C450" i="15"/>
  <c r="B450" i="15"/>
  <c r="C449" i="15"/>
  <c r="B449" i="15"/>
  <c r="C448" i="15"/>
  <c r="B448" i="15"/>
  <c r="C447" i="15"/>
  <c r="B447" i="15"/>
  <c r="C446" i="15"/>
  <c r="B446" i="15"/>
  <c r="C445" i="15"/>
  <c r="B445" i="15"/>
  <c r="C444" i="15"/>
  <c r="B444" i="15"/>
  <c r="C443" i="15"/>
  <c r="B443" i="15"/>
  <c r="C442" i="15"/>
  <c r="B442" i="15"/>
  <c r="C441" i="15"/>
  <c r="B441" i="15"/>
  <c r="C440" i="15"/>
  <c r="B440" i="15"/>
  <c r="C439" i="15"/>
  <c r="B439" i="15"/>
  <c r="C438" i="15"/>
  <c r="B438" i="15"/>
  <c r="C437" i="15"/>
  <c r="B437" i="15"/>
  <c r="C436" i="15"/>
  <c r="B436" i="15"/>
  <c r="C435" i="15"/>
  <c r="B435" i="15"/>
  <c r="C434" i="15"/>
  <c r="B434" i="15"/>
  <c r="C433" i="15"/>
  <c r="B433" i="15"/>
  <c r="C432" i="15"/>
  <c r="B432" i="15"/>
  <c r="C431" i="15"/>
  <c r="B431" i="15"/>
  <c r="C430" i="15"/>
  <c r="B430" i="15"/>
  <c r="C429" i="15"/>
  <c r="B429" i="15"/>
  <c r="C428" i="15"/>
  <c r="B428" i="15"/>
  <c r="C427" i="15"/>
  <c r="B427" i="15"/>
  <c r="C426" i="15"/>
  <c r="B426" i="15"/>
  <c r="C425" i="15"/>
  <c r="B425" i="15"/>
  <c r="C424" i="15"/>
  <c r="B424" i="15"/>
  <c r="C423" i="15"/>
  <c r="B423" i="15"/>
  <c r="C422" i="15"/>
  <c r="B422" i="15"/>
  <c r="C421" i="15"/>
  <c r="B421" i="15"/>
  <c r="C420" i="15"/>
  <c r="B420" i="15"/>
  <c r="C419" i="15"/>
  <c r="B419" i="15"/>
  <c r="C418" i="15"/>
  <c r="B418" i="15"/>
  <c r="C417" i="15"/>
  <c r="B417" i="15"/>
  <c r="C416" i="15"/>
  <c r="B416" i="15"/>
  <c r="C415" i="15"/>
  <c r="B415" i="15"/>
  <c r="C414" i="15"/>
  <c r="B414" i="15"/>
  <c r="C413" i="15"/>
  <c r="B413" i="15"/>
  <c r="C412" i="15"/>
  <c r="B412" i="15"/>
  <c r="C411" i="15"/>
  <c r="B411" i="15"/>
  <c r="C410" i="15"/>
  <c r="B410" i="15"/>
  <c r="C409" i="15"/>
  <c r="B409" i="15"/>
  <c r="C408" i="15"/>
  <c r="B408" i="15"/>
  <c r="C407" i="15"/>
  <c r="B407" i="15"/>
  <c r="C406" i="15"/>
  <c r="B406" i="15"/>
  <c r="C405" i="15"/>
  <c r="B405" i="15"/>
  <c r="C404" i="15"/>
  <c r="B404" i="15"/>
  <c r="C403" i="15"/>
  <c r="B403" i="15"/>
  <c r="C402" i="15"/>
  <c r="B402" i="15"/>
  <c r="C401" i="15"/>
  <c r="B401" i="15"/>
  <c r="C400" i="15"/>
  <c r="B400" i="15"/>
  <c r="C399" i="15"/>
  <c r="B399" i="15"/>
  <c r="C398" i="15"/>
  <c r="B398" i="15"/>
  <c r="C397" i="15"/>
  <c r="B397" i="15"/>
  <c r="C396" i="15"/>
  <c r="B396" i="15"/>
  <c r="C395" i="15"/>
  <c r="B395" i="15"/>
  <c r="C394" i="15"/>
  <c r="B394" i="15"/>
  <c r="C393" i="15"/>
  <c r="B393" i="15"/>
  <c r="C392" i="15"/>
  <c r="B392" i="15"/>
  <c r="C391" i="15"/>
  <c r="B391" i="15"/>
  <c r="C390" i="15"/>
  <c r="B390" i="15"/>
  <c r="C389" i="15"/>
  <c r="B389" i="15"/>
  <c r="C388" i="15"/>
  <c r="B388" i="15"/>
  <c r="C387" i="15"/>
  <c r="B387" i="15"/>
  <c r="C386" i="15"/>
  <c r="B386" i="15"/>
  <c r="C385" i="15"/>
  <c r="B385" i="15"/>
  <c r="C384" i="15"/>
  <c r="B384" i="15"/>
  <c r="C383" i="15"/>
  <c r="B383" i="15"/>
  <c r="C382" i="15"/>
  <c r="B382" i="15"/>
  <c r="C381" i="15"/>
  <c r="B381" i="15"/>
  <c r="C380" i="15"/>
  <c r="B380" i="15"/>
  <c r="C379" i="15"/>
  <c r="B379" i="15"/>
  <c r="C378" i="15"/>
  <c r="B378" i="15"/>
  <c r="C377" i="15"/>
  <c r="B377" i="15"/>
  <c r="C376" i="15"/>
  <c r="B376" i="15"/>
  <c r="C375" i="15"/>
  <c r="B375" i="15"/>
  <c r="C374" i="15"/>
  <c r="B374" i="15"/>
  <c r="C373" i="15"/>
  <c r="B373" i="15"/>
  <c r="C372" i="15"/>
  <c r="B372" i="15"/>
  <c r="C371" i="15"/>
  <c r="B371" i="15"/>
  <c r="C370" i="15"/>
  <c r="B370" i="15"/>
  <c r="C369" i="15"/>
  <c r="B369" i="15"/>
  <c r="C368" i="15"/>
  <c r="B368" i="15"/>
  <c r="C367" i="15"/>
  <c r="B367" i="15"/>
  <c r="C366" i="15"/>
  <c r="B366" i="15"/>
  <c r="C365" i="15"/>
  <c r="B365" i="15"/>
  <c r="C364" i="15"/>
  <c r="B364" i="15"/>
  <c r="C363" i="15"/>
  <c r="B363" i="15"/>
  <c r="C362" i="15"/>
  <c r="B362" i="15"/>
  <c r="C361" i="15"/>
  <c r="B361" i="15"/>
  <c r="C360" i="15"/>
  <c r="B360" i="15"/>
  <c r="C359" i="15"/>
  <c r="B359" i="15"/>
  <c r="C358" i="15"/>
  <c r="B358" i="15"/>
  <c r="C357" i="15"/>
  <c r="B357" i="15"/>
  <c r="C356" i="15"/>
  <c r="B356" i="15"/>
  <c r="C355" i="15"/>
  <c r="B355" i="15"/>
  <c r="C354" i="15"/>
  <c r="B354" i="15"/>
  <c r="C353" i="15"/>
  <c r="B353" i="15"/>
  <c r="C352" i="15"/>
  <c r="B352" i="15"/>
  <c r="C351" i="15"/>
  <c r="B351" i="15"/>
  <c r="C350" i="15"/>
  <c r="B350" i="15"/>
  <c r="C349" i="15"/>
  <c r="B349" i="15"/>
  <c r="C348" i="15"/>
  <c r="B348" i="15"/>
  <c r="C347" i="15"/>
  <c r="B347" i="15"/>
  <c r="C346" i="15"/>
  <c r="B346" i="15"/>
  <c r="C345" i="15"/>
  <c r="B345" i="15"/>
  <c r="C344" i="15"/>
  <c r="B344" i="15"/>
  <c r="C343" i="15"/>
  <c r="B343" i="15"/>
  <c r="C342" i="15"/>
  <c r="B342" i="15"/>
  <c r="C341" i="15"/>
  <c r="B341" i="15"/>
  <c r="C340" i="15"/>
  <c r="B340" i="15"/>
  <c r="C339" i="15"/>
  <c r="B339" i="15"/>
  <c r="C338" i="15"/>
  <c r="B338" i="15"/>
  <c r="C337" i="15"/>
  <c r="B337" i="15"/>
  <c r="C336" i="15"/>
  <c r="B336" i="15"/>
  <c r="C335" i="15"/>
  <c r="B335" i="15"/>
  <c r="C334" i="15"/>
  <c r="B334" i="15"/>
  <c r="C333" i="15"/>
  <c r="B333" i="15"/>
  <c r="C332" i="15"/>
  <c r="B332" i="15"/>
  <c r="C331" i="15"/>
  <c r="B331" i="15"/>
  <c r="C330" i="15"/>
  <c r="B330" i="15"/>
  <c r="C329" i="15"/>
  <c r="B329" i="15"/>
  <c r="C328" i="15"/>
  <c r="B328" i="15"/>
  <c r="C327" i="15"/>
  <c r="B327" i="15"/>
  <c r="C326" i="15"/>
  <c r="B326" i="15"/>
  <c r="C325" i="15"/>
  <c r="B325" i="15"/>
  <c r="C324" i="15"/>
  <c r="B324" i="15"/>
  <c r="C323" i="15"/>
  <c r="B323" i="15"/>
  <c r="C322" i="15"/>
  <c r="B322" i="15"/>
  <c r="C321" i="15"/>
  <c r="B321" i="15"/>
  <c r="C320" i="15"/>
  <c r="B320" i="15"/>
  <c r="C319" i="15"/>
  <c r="B319" i="15"/>
  <c r="C318" i="15"/>
  <c r="B318" i="15"/>
  <c r="C317" i="15"/>
  <c r="B317" i="15"/>
  <c r="C316" i="15"/>
  <c r="B316" i="15"/>
  <c r="C315" i="15"/>
  <c r="B315" i="15"/>
  <c r="C314" i="15"/>
  <c r="B314" i="15"/>
  <c r="C313" i="15"/>
  <c r="B313" i="15"/>
  <c r="C312" i="15"/>
  <c r="B312" i="15"/>
  <c r="C311" i="15"/>
  <c r="B311" i="15"/>
  <c r="C310" i="15"/>
  <c r="B310" i="15"/>
  <c r="C309" i="15"/>
  <c r="B309" i="15"/>
  <c r="C308" i="15"/>
  <c r="B308" i="15"/>
  <c r="C307" i="15"/>
  <c r="B307" i="15"/>
  <c r="C306" i="15"/>
  <c r="B306" i="15"/>
  <c r="C305" i="15"/>
  <c r="B305" i="15"/>
  <c r="C304" i="15"/>
  <c r="B304" i="15"/>
  <c r="C303" i="15"/>
  <c r="B303" i="15"/>
  <c r="C302" i="15"/>
  <c r="B302" i="15"/>
  <c r="C301" i="15"/>
  <c r="B301" i="15"/>
  <c r="C300" i="15"/>
  <c r="B300" i="15"/>
  <c r="C299" i="15"/>
  <c r="B299" i="15"/>
  <c r="C298" i="15"/>
  <c r="B298" i="15"/>
  <c r="C297" i="15"/>
  <c r="B297" i="15"/>
  <c r="C296" i="15"/>
  <c r="B296" i="15"/>
  <c r="C295" i="15"/>
  <c r="B295" i="15"/>
  <c r="C294" i="15"/>
  <c r="B294" i="15"/>
  <c r="C293" i="15"/>
  <c r="B293" i="15"/>
  <c r="C292" i="15"/>
  <c r="B292" i="15"/>
  <c r="C291" i="15"/>
  <c r="B291" i="15"/>
  <c r="C290" i="15"/>
  <c r="B290" i="15"/>
  <c r="C289" i="15"/>
  <c r="B289" i="15"/>
  <c r="C288" i="15"/>
  <c r="B288" i="15"/>
  <c r="C287" i="15"/>
  <c r="B287" i="15"/>
  <c r="C286" i="15"/>
  <c r="B286" i="15"/>
  <c r="C285" i="15"/>
  <c r="B285" i="15"/>
  <c r="C284" i="15"/>
  <c r="B284" i="15"/>
  <c r="C283" i="15"/>
  <c r="B283" i="15"/>
  <c r="C282" i="15"/>
  <c r="B282" i="15"/>
  <c r="C281" i="15"/>
  <c r="B281" i="15"/>
  <c r="C280" i="15"/>
  <c r="B280" i="15"/>
  <c r="C279" i="15"/>
  <c r="B279" i="15"/>
  <c r="C278" i="15"/>
  <c r="B278" i="15"/>
  <c r="C277" i="15"/>
  <c r="B277" i="15"/>
  <c r="C276" i="15"/>
  <c r="B276" i="15"/>
  <c r="C275" i="15"/>
  <c r="B275" i="15"/>
  <c r="C274" i="15"/>
  <c r="B274" i="15"/>
  <c r="C273" i="15"/>
  <c r="B273" i="15"/>
  <c r="C272" i="15"/>
  <c r="B272" i="15"/>
  <c r="C271" i="15"/>
  <c r="B271" i="15"/>
  <c r="C270" i="15"/>
  <c r="B270" i="15"/>
  <c r="C269" i="15"/>
  <c r="B269" i="15"/>
  <c r="C268" i="15"/>
  <c r="B268" i="15"/>
  <c r="C267" i="15"/>
  <c r="B267" i="15"/>
  <c r="C266" i="15"/>
  <c r="B266" i="15"/>
  <c r="C265" i="15"/>
  <c r="B265" i="15"/>
  <c r="C264" i="15"/>
  <c r="B264" i="15"/>
  <c r="C263" i="15"/>
  <c r="B263" i="15"/>
  <c r="C262" i="15"/>
  <c r="B262" i="15"/>
  <c r="C261" i="15"/>
  <c r="B261" i="15"/>
  <c r="C260" i="15"/>
  <c r="B260" i="15"/>
  <c r="C259" i="15"/>
  <c r="B259" i="15"/>
  <c r="C258" i="15"/>
  <c r="B258" i="15"/>
  <c r="C257" i="15"/>
  <c r="B257" i="15"/>
  <c r="C256" i="15"/>
  <c r="B256" i="15"/>
  <c r="C255" i="15"/>
  <c r="B255" i="15"/>
  <c r="C254" i="15"/>
  <c r="B254" i="15"/>
  <c r="C253" i="15"/>
  <c r="B253" i="15"/>
  <c r="C252" i="15"/>
  <c r="B252" i="15"/>
  <c r="C251" i="15"/>
  <c r="B251" i="15"/>
  <c r="C250" i="15"/>
  <c r="B250" i="15"/>
  <c r="C249" i="15"/>
  <c r="B249" i="15"/>
  <c r="C248" i="15"/>
  <c r="B248" i="15"/>
  <c r="C247" i="15"/>
  <c r="B247" i="15"/>
  <c r="C246" i="15"/>
  <c r="B246" i="15"/>
  <c r="C245" i="15"/>
  <c r="B245" i="15"/>
  <c r="C244" i="15"/>
  <c r="B244" i="15"/>
  <c r="C243" i="15"/>
  <c r="B243" i="15"/>
  <c r="C242" i="15"/>
  <c r="B242" i="15"/>
  <c r="C241" i="15"/>
  <c r="B241" i="15"/>
  <c r="C240" i="15"/>
  <c r="B240" i="15"/>
  <c r="C239" i="15"/>
  <c r="B239" i="15"/>
  <c r="C238" i="15"/>
  <c r="B238" i="15"/>
  <c r="C237" i="15"/>
  <c r="B237" i="15"/>
  <c r="C236" i="15"/>
  <c r="B236" i="15"/>
  <c r="C235" i="15"/>
  <c r="B235" i="15"/>
  <c r="C234" i="15"/>
  <c r="B234" i="15"/>
  <c r="C233" i="15"/>
  <c r="B233" i="15"/>
  <c r="C232" i="15"/>
  <c r="B232" i="15"/>
  <c r="C231" i="15"/>
  <c r="B231" i="15"/>
  <c r="C230" i="15"/>
  <c r="B230" i="15"/>
  <c r="C229" i="15"/>
  <c r="B229" i="15"/>
  <c r="C228" i="15"/>
  <c r="B228" i="15"/>
  <c r="C227" i="15"/>
  <c r="B227" i="15"/>
  <c r="C226" i="15"/>
  <c r="B226" i="15"/>
  <c r="C225" i="15"/>
  <c r="B225" i="15"/>
  <c r="C224" i="15"/>
  <c r="B224" i="15"/>
  <c r="C223" i="15"/>
  <c r="B223" i="15"/>
  <c r="C222" i="15"/>
  <c r="B222" i="15"/>
  <c r="C221" i="15"/>
  <c r="B221" i="15"/>
  <c r="C220" i="15"/>
  <c r="B220" i="15"/>
  <c r="C219" i="15"/>
  <c r="B219" i="15"/>
  <c r="C218" i="15"/>
  <c r="B218" i="15"/>
  <c r="C217" i="15"/>
  <c r="B217" i="15"/>
  <c r="C216" i="15"/>
  <c r="B216" i="15"/>
  <c r="C215" i="15"/>
  <c r="B215" i="15"/>
  <c r="C214" i="15"/>
  <c r="B214" i="15"/>
  <c r="C213" i="15"/>
  <c r="B213" i="15"/>
  <c r="C212" i="15"/>
  <c r="B212" i="15"/>
  <c r="C211" i="15"/>
  <c r="B211" i="15"/>
  <c r="C210" i="15"/>
  <c r="B210" i="15"/>
  <c r="C209" i="15"/>
  <c r="B209" i="15"/>
  <c r="C208" i="15"/>
  <c r="B208" i="15"/>
  <c r="C207" i="15"/>
  <c r="B207" i="15"/>
  <c r="C206" i="15"/>
  <c r="B206" i="15"/>
  <c r="C205" i="15"/>
  <c r="B205" i="15"/>
  <c r="C204" i="15"/>
  <c r="B204" i="15"/>
  <c r="C203" i="15"/>
  <c r="B203" i="15"/>
  <c r="C202" i="15"/>
  <c r="B202" i="15"/>
  <c r="C201" i="15"/>
  <c r="B201" i="15"/>
  <c r="C200" i="15"/>
  <c r="B200" i="15"/>
  <c r="C199" i="15"/>
  <c r="B199" i="15"/>
  <c r="C198" i="15"/>
  <c r="B198" i="15"/>
  <c r="C197" i="15"/>
  <c r="B197" i="15"/>
  <c r="C196" i="15"/>
  <c r="B196" i="15"/>
  <c r="C195" i="15"/>
  <c r="B195" i="15"/>
  <c r="C194" i="15"/>
  <c r="B194" i="15"/>
  <c r="C193" i="15"/>
  <c r="B193" i="15"/>
  <c r="C192" i="15"/>
  <c r="B192" i="15"/>
  <c r="C191" i="15"/>
  <c r="B191" i="15"/>
  <c r="C190" i="15"/>
  <c r="B190" i="15"/>
  <c r="C189" i="15"/>
  <c r="B189" i="15"/>
  <c r="C188" i="15"/>
  <c r="B188" i="15"/>
  <c r="C187" i="15"/>
  <c r="B187" i="15"/>
  <c r="C186" i="15"/>
  <c r="B186" i="15"/>
  <c r="C185" i="15"/>
  <c r="B185" i="15"/>
  <c r="C184" i="15"/>
  <c r="B184" i="15"/>
  <c r="C183" i="15"/>
  <c r="B183" i="15"/>
  <c r="C182" i="15"/>
  <c r="B182" i="15"/>
  <c r="C181" i="15"/>
  <c r="B181" i="15"/>
  <c r="C180" i="15"/>
  <c r="B180" i="15"/>
  <c r="C179" i="15"/>
  <c r="B179" i="15"/>
  <c r="C178" i="15"/>
  <c r="B178" i="15"/>
  <c r="C177" i="15"/>
  <c r="B177" i="15"/>
  <c r="C176" i="15"/>
  <c r="B176" i="15"/>
  <c r="C175" i="15"/>
  <c r="B175" i="15"/>
  <c r="C174" i="15"/>
  <c r="B174" i="15"/>
  <c r="C173" i="15"/>
  <c r="B173" i="15"/>
  <c r="C172" i="15"/>
  <c r="B172" i="15"/>
  <c r="C171" i="15"/>
  <c r="B171" i="15"/>
  <c r="C170" i="15"/>
  <c r="B170" i="15"/>
  <c r="C169" i="15"/>
  <c r="B169" i="15"/>
  <c r="C168" i="15"/>
  <c r="B168" i="15"/>
  <c r="C167" i="15"/>
  <c r="B167" i="15"/>
  <c r="C166" i="15"/>
  <c r="B166" i="15"/>
  <c r="C165" i="15"/>
  <c r="B165" i="15"/>
  <c r="C164" i="15"/>
  <c r="B164" i="15"/>
  <c r="C163" i="15"/>
  <c r="B163" i="15"/>
  <c r="C162" i="15"/>
  <c r="B162" i="15"/>
  <c r="C161" i="15"/>
  <c r="B161" i="15"/>
  <c r="C160" i="15"/>
  <c r="B160" i="15"/>
  <c r="C159" i="15"/>
  <c r="B159" i="15"/>
  <c r="C158" i="15"/>
  <c r="B158" i="15"/>
  <c r="C157" i="15"/>
  <c r="B157" i="15"/>
  <c r="C156" i="15"/>
  <c r="B156" i="15"/>
  <c r="C155" i="15"/>
  <c r="B155" i="15"/>
  <c r="C154" i="15"/>
  <c r="B154" i="15"/>
  <c r="C153" i="15"/>
  <c r="B153" i="15"/>
  <c r="C152" i="15"/>
  <c r="B152" i="15"/>
  <c r="C151" i="15"/>
  <c r="B151" i="15"/>
  <c r="C150" i="15"/>
  <c r="B150" i="15"/>
  <c r="C149" i="15"/>
  <c r="B149" i="15"/>
  <c r="C148" i="15"/>
  <c r="B148" i="15"/>
  <c r="C147" i="15"/>
  <c r="B147" i="15"/>
  <c r="C146" i="15"/>
  <c r="B146" i="15"/>
  <c r="C145" i="15"/>
  <c r="B145" i="15"/>
  <c r="C144" i="15"/>
  <c r="B144" i="15"/>
  <c r="C143" i="15"/>
  <c r="B143" i="15"/>
  <c r="C142" i="15"/>
  <c r="B142" i="15"/>
  <c r="C141" i="15"/>
  <c r="B141" i="15"/>
  <c r="C140" i="15"/>
  <c r="B140" i="15"/>
  <c r="C139" i="15"/>
  <c r="B139" i="15"/>
  <c r="C138" i="15"/>
  <c r="B138" i="15"/>
  <c r="C137" i="15"/>
  <c r="B137" i="15"/>
  <c r="C136" i="15"/>
  <c r="B136" i="15"/>
  <c r="C135" i="15"/>
  <c r="B135" i="15"/>
  <c r="C134" i="15"/>
  <c r="B134" i="15"/>
  <c r="C133" i="15"/>
  <c r="B133" i="15"/>
  <c r="C132" i="15"/>
  <c r="B132" i="15"/>
  <c r="C131" i="15"/>
  <c r="B131" i="15"/>
  <c r="C130" i="15"/>
  <c r="B130" i="15"/>
  <c r="C129" i="15"/>
  <c r="B129" i="15"/>
  <c r="C128" i="15"/>
  <c r="B128" i="15"/>
  <c r="C127" i="15"/>
  <c r="B127" i="15"/>
  <c r="C126" i="15"/>
  <c r="B126" i="15"/>
  <c r="C125" i="15"/>
  <c r="B125" i="15"/>
  <c r="C124" i="15"/>
  <c r="B124" i="15"/>
  <c r="C123" i="15"/>
  <c r="B123" i="15"/>
  <c r="C122" i="15"/>
  <c r="B122" i="15"/>
  <c r="C121" i="15"/>
  <c r="B121" i="15"/>
  <c r="C120" i="15"/>
  <c r="B120" i="15"/>
  <c r="C119" i="15"/>
  <c r="B119" i="15"/>
  <c r="C118" i="15"/>
  <c r="B118" i="15"/>
  <c r="C117" i="15"/>
  <c r="B117" i="15"/>
  <c r="C116" i="15"/>
  <c r="B116" i="15"/>
  <c r="C115" i="15"/>
  <c r="B115" i="15"/>
  <c r="C114" i="15"/>
  <c r="B114" i="15"/>
  <c r="C113" i="15"/>
  <c r="B113" i="15"/>
  <c r="C112" i="15"/>
  <c r="B112" i="15"/>
  <c r="C111" i="15"/>
  <c r="B111" i="15"/>
  <c r="C110" i="15"/>
  <c r="B110" i="15"/>
  <c r="C109" i="15"/>
  <c r="B109" i="15"/>
  <c r="C108" i="15"/>
  <c r="B108" i="15"/>
  <c r="C107" i="15"/>
  <c r="B107" i="15"/>
  <c r="C106" i="15"/>
  <c r="B106" i="15"/>
  <c r="C105" i="15"/>
  <c r="B105" i="15"/>
  <c r="C104" i="15"/>
  <c r="B104" i="15"/>
  <c r="C103" i="15"/>
  <c r="B103" i="15"/>
  <c r="C102" i="15"/>
  <c r="B102" i="15"/>
  <c r="C101" i="15"/>
  <c r="B101" i="15"/>
  <c r="C100" i="15"/>
  <c r="B100" i="15"/>
  <c r="C99" i="15"/>
  <c r="B99" i="15"/>
  <c r="C98" i="15"/>
  <c r="B98" i="15"/>
  <c r="C97" i="15"/>
  <c r="B97" i="15"/>
  <c r="C96" i="15"/>
  <c r="B96" i="15"/>
  <c r="C95" i="15"/>
  <c r="B95" i="15"/>
  <c r="C94" i="15"/>
  <c r="B94" i="15"/>
  <c r="C93" i="15"/>
  <c r="B93" i="15"/>
  <c r="C92" i="15"/>
  <c r="B92" i="15"/>
  <c r="C91" i="15"/>
  <c r="B91" i="15"/>
  <c r="C90" i="15"/>
  <c r="B90" i="15"/>
  <c r="C89" i="15"/>
  <c r="B89" i="15"/>
  <c r="C88" i="15"/>
  <c r="B88" i="15"/>
  <c r="C87" i="15"/>
  <c r="B87" i="15"/>
  <c r="C86" i="15"/>
  <c r="B86" i="15"/>
  <c r="C85" i="15"/>
  <c r="B85" i="15"/>
  <c r="C84" i="15"/>
  <c r="B84" i="15"/>
  <c r="C83" i="15"/>
  <c r="B83" i="15"/>
  <c r="C82" i="15"/>
  <c r="B82" i="15"/>
  <c r="C81" i="15"/>
  <c r="B81" i="15"/>
  <c r="C80" i="15"/>
  <c r="B80" i="15"/>
  <c r="C79" i="15"/>
  <c r="B79" i="15"/>
  <c r="C78" i="15"/>
  <c r="B78" i="15"/>
  <c r="C77" i="15"/>
  <c r="B77" i="15"/>
  <c r="C76" i="15"/>
  <c r="B76" i="15"/>
  <c r="C75" i="15"/>
  <c r="B75" i="15"/>
  <c r="C74" i="15"/>
  <c r="B74" i="15"/>
  <c r="C73" i="15"/>
  <c r="B73" i="15"/>
  <c r="C72" i="15"/>
  <c r="B72" i="15"/>
  <c r="C71" i="15"/>
  <c r="B71" i="15"/>
  <c r="C70" i="15"/>
  <c r="B70" i="15"/>
  <c r="C69" i="15"/>
  <c r="B69" i="15"/>
  <c r="C68" i="15"/>
  <c r="B68" i="15"/>
  <c r="C67" i="15"/>
  <c r="B67" i="15"/>
  <c r="C66" i="15"/>
  <c r="B66" i="15"/>
  <c r="C65" i="15"/>
  <c r="B65" i="15"/>
  <c r="C64" i="15"/>
  <c r="B64" i="15"/>
  <c r="C63" i="15"/>
  <c r="B63" i="15"/>
  <c r="C62" i="15"/>
  <c r="B62" i="15"/>
  <c r="C61" i="15"/>
  <c r="B61" i="15"/>
  <c r="C60" i="15"/>
  <c r="B60" i="15"/>
  <c r="C59" i="15"/>
  <c r="B59" i="15"/>
  <c r="C58" i="15"/>
  <c r="B58" i="15"/>
  <c r="C57" i="15"/>
  <c r="B57" i="15"/>
  <c r="C56" i="15"/>
  <c r="B56" i="15"/>
  <c r="C55" i="15"/>
  <c r="B55" i="15"/>
  <c r="C54" i="15"/>
  <c r="B54" i="15"/>
  <c r="C53" i="15"/>
  <c r="B53" i="15"/>
  <c r="C52" i="15"/>
  <c r="B52" i="15"/>
  <c r="C51" i="15"/>
  <c r="B51" i="15"/>
  <c r="C50" i="15"/>
  <c r="B50" i="15"/>
  <c r="C49" i="15"/>
  <c r="B49" i="15"/>
  <c r="C48" i="15"/>
  <c r="B48" i="15"/>
  <c r="C47" i="15"/>
  <c r="B47" i="15"/>
  <c r="C46" i="15"/>
  <c r="B46" i="15"/>
  <c r="C45" i="15"/>
  <c r="B45" i="15"/>
  <c r="C44" i="15"/>
  <c r="B44" i="15"/>
  <c r="C43" i="15"/>
  <c r="B43" i="15"/>
  <c r="C42" i="15"/>
  <c r="B42" i="15"/>
  <c r="C41" i="15"/>
  <c r="B41" i="15"/>
  <c r="C40" i="15"/>
  <c r="B40" i="15"/>
  <c r="C39" i="15"/>
  <c r="B39" i="15"/>
  <c r="C38" i="15"/>
  <c r="B38" i="15"/>
  <c r="C37" i="15"/>
  <c r="B37" i="15"/>
  <c r="C36" i="15"/>
  <c r="B36" i="15"/>
  <c r="C35" i="15"/>
  <c r="B35" i="15"/>
  <c r="C34" i="15"/>
  <c r="B34" i="15"/>
  <c r="C33" i="15"/>
  <c r="B33" i="15"/>
  <c r="C32" i="15"/>
  <c r="B32" i="15"/>
  <c r="C31" i="15"/>
  <c r="B31" i="15"/>
  <c r="C30" i="15"/>
  <c r="B30" i="15"/>
  <c r="C29" i="15"/>
  <c r="B29" i="15"/>
  <c r="C28" i="15"/>
  <c r="B28" i="15"/>
  <c r="C27" i="15"/>
  <c r="B27" i="15"/>
  <c r="C26" i="15"/>
  <c r="B26" i="15"/>
  <c r="C25" i="15"/>
  <c r="B25" i="15"/>
  <c r="C24" i="15"/>
  <c r="B24" i="15"/>
  <c r="C23" i="15"/>
  <c r="B23" i="15"/>
  <c r="C22" i="15"/>
  <c r="B22" i="15"/>
  <c r="C21" i="15"/>
  <c r="B21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C14" i="15"/>
  <c r="B14" i="15"/>
  <c r="C13" i="15"/>
  <c r="B13" i="15"/>
  <c r="C12" i="15"/>
  <c r="B12" i="15"/>
  <c r="C11" i="15"/>
  <c r="B11" i="15"/>
  <c r="C10" i="15"/>
  <c r="B10" i="15"/>
  <c r="C9" i="15"/>
  <c r="B9" i="15"/>
  <c r="C8" i="15"/>
  <c r="B8" i="15"/>
  <c r="C7" i="15"/>
  <c r="B7" i="15"/>
  <c r="C6" i="15"/>
  <c r="B6" i="15"/>
  <c r="C5" i="15"/>
  <c r="B5" i="15"/>
  <c r="C4" i="15"/>
  <c r="B4" i="15"/>
  <c r="C3" i="15"/>
  <c r="B3" i="15"/>
  <c r="C2" i="15"/>
  <c r="B2" i="15"/>
  <c r="C1609" i="1"/>
  <c r="B1609" i="1"/>
  <c r="C1608" i="1"/>
  <c r="B1608" i="1"/>
  <c r="C1607" i="1"/>
  <c r="B1607" i="1"/>
  <c r="C1606" i="1"/>
  <c r="B1606" i="1"/>
  <c r="C1605" i="1"/>
  <c r="B1605" i="1"/>
  <c r="C1604" i="1"/>
  <c r="B1604" i="1"/>
  <c r="C1603" i="1"/>
  <c r="B1603" i="1"/>
  <c r="C1602" i="1"/>
  <c r="B1602" i="1"/>
  <c r="C1601" i="1"/>
  <c r="B1601" i="1"/>
  <c r="C1600" i="1"/>
  <c r="B1600" i="1"/>
  <c r="C1599" i="1"/>
  <c r="B1599" i="1"/>
  <c r="C1598" i="1"/>
  <c r="B1598" i="1"/>
  <c r="C1597" i="1"/>
  <c r="B1597" i="1"/>
  <c r="C1596" i="1"/>
  <c r="B1596" i="1"/>
  <c r="C1595" i="1"/>
  <c r="B1595" i="1"/>
  <c r="C1594" i="1"/>
  <c r="B1594" i="1"/>
  <c r="C1593" i="1"/>
  <c r="B1593" i="1"/>
  <c r="C1592" i="1"/>
  <c r="B1592" i="1"/>
  <c r="C1591" i="1"/>
  <c r="B1591" i="1"/>
  <c r="C1590" i="1"/>
  <c r="B1590" i="1"/>
  <c r="C1589" i="1"/>
  <c r="B1589" i="1"/>
  <c r="C1588" i="1"/>
  <c r="B1588" i="1"/>
  <c r="C1587" i="1"/>
  <c r="B1587" i="1"/>
  <c r="C1586" i="1"/>
  <c r="B1586" i="1"/>
  <c r="C1585" i="1"/>
  <c r="B1585" i="1"/>
  <c r="C1584" i="1"/>
  <c r="B1584" i="1"/>
  <c r="C1583" i="1"/>
  <c r="B1583" i="1"/>
  <c r="C1582" i="1"/>
  <c r="B1582" i="1"/>
  <c r="C1581" i="1"/>
  <c r="B1581" i="1"/>
  <c r="C1580" i="1"/>
  <c r="B1580" i="1"/>
  <c r="C1579" i="1"/>
  <c r="B1579" i="1"/>
  <c r="C1578" i="1"/>
  <c r="B1578" i="1"/>
  <c r="C1577" i="1"/>
  <c r="B1577" i="1"/>
  <c r="C1576" i="1"/>
  <c r="B1576" i="1"/>
  <c r="C1575" i="1"/>
  <c r="B1575" i="1"/>
  <c r="C1574" i="1"/>
  <c r="B1574" i="1"/>
  <c r="C1573" i="1"/>
  <c r="B1573" i="1"/>
  <c r="C1572" i="1"/>
  <c r="B1572" i="1"/>
  <c r="C1571" i="1"/>
  <c r="B1571" i="1"/>
  <c r="C1570" i="1"/>
  <c r="B1570" i="1"/>
  <c r="C1569" i="1"/>
  <c r="B1569" i="1"/>
  <c r="C1568" i="1"/>
  <c r="B1568" i="1"/>
  <c r="C1567" i="1"/>
  <c r="B1567" i="1"/>
  <c r="C1566" i="1"/>
  <c r="B1566" i="1"/>
  <c r="C1565" i="1"/>
  <c r="B1565" i="1"/>
  <c r="C1564" i="1"/>
  <c r="B1564" i="1"/>
  <c r="C1563" i="1"/>
  <c r="B1563" i="1"/>
  <c r="C1562" i="1"/>
  <c r="B1562" i="1"/>
  <c r="C1561" i="1"/>
  <c r="B1561" i="1"/>
  <c r="C1560" i="1"/>
  <c r="B1560" i="1"/>
  <c r="C1559" i="1"/>
  <c r="B1559" i="1"/>
  <c r="C1558" i="1"/>
  <c r="B1558" i="1"/>
  <c r="C1557" i="1"/>
  <c r="B1557" i="1"/>
  <c r="C1556" i="1"/>
  <c r="B1556" i="1"/>
  <c r="C1555" i="1"/>
  <c r="B1555" i="1"/>
  <c r="C1554" i="1"/>
  <c r="B1554" i="1"/>
  <c r="C1553" i="1"/>
  <c r="B1553" i="1"/>
  <c r="C1552" i="1"/>
  <c r="B1552" i="1"/>
  <c r="C1551" i="1"/>
  <c r="B1551" i="1"/>
  <c r="C1550" i="1"/>
  <c r="B1550" i="1"/>
  <c r="C1549" i="1"/>
  <c r="B1549" i="1"/>
  <c r="C1548" i="1"/>
  <c r="B1548" i="1"/>
  <c r="C1547" i="1"/>
  <c r="B1547" i="1"/>
  <c r="C1546" i="1"/>
  <c r="B1546" i="1"/>
  <c r="C1545" i="1"/>
  <c r="B1545" i="1"/>
  <c r="C1544" i="1"/>
  <c r="B1544" i="1"/>
  <c r="C1543" i="1"/>
  <c r="B1543" i="1"/>
  <c r="C1542" i="1"/>
  <c r="B1542" i="1"/>
  <c r="C1541" i="1"/>
  <c r="B1541" i="1"/>
  <c r="C1540" i="1"/>
  <c r="B1540" i="1"/>
  <c r="C1539" i="1"/>
  <c r="B1539" i="1"/>
  <c r="C1538" i="1"/>
  <c r="B1538" i="1"/>
  <c r="C1537" i="1"/>
  <c r="B1537" i="1"/>
  <c r="C1536" i="1"/>
  <c r="B1536" i="1"/>
  <c r="C1535" i="1"/>
  <c r="B1535" i="1"/>
  <c r="C1534" i="1"/>
  <c r="B1534" i="1"/>
  <c r="C1533" i="1"/>
  <c r="B1533" i="1"/>
  <c r="C1532" i="1"/>
  <c r="B1532" i="1"/>
  <c r="C1531" i="1"/>
  <c r="B1531" i="1"/>
  <c r="C1530" i="1"/>
  <c r="B1530" i="1"/>
  <c r="C1529" i="1"/>
  <c r="B1529" i="1"/>
  <c r="C1528" i="1"/>
  <c r="B1528" i="1"/>
  <c r="C1527" i="1"/>
  <c r="B1527" i="1"/>
  <c r="C1526" i="1"/>
  <c r="B1526" i="1"/>
  <c r="C1525" i="1"/>
  <c r="B1525" i="1"/>
  <c r="C1524" i="1"/>
  <c r="B1524" i="1"/>
  <c r="C1523" i="1"/>
  <c r="B1523" i="1"/>
  <c r="C1522" i="1"/>
  <c r="B1522" i="1"/>
  <c r="C1521" i="1"/>
  <c r="B1521" i="1"/>
  <c r="C1520" i="1"/>
  <c r="B1520" i="1"/>
  <c r="C1519" i="1"/>
  <c r="B1519" i="1"/>
  <c r="C1518" i="1"/>
  <c r="B1518" i="1"/>
  <c r="C1517" i="1"/>
  <c r="B1517" i="1"/>
  <c r="C1516" i="1"/>
  <c r="B1516" i="1"/>
  <c r="C1515" i="1"/>
  <c r="B1515" i="1"/>
  <c r="C1514" i="1"/>
  <c r="B1514" i="1"/>
  <c r="C1513" i="1"/>
  <c r="B1513" i="1"/>
  <c r="C1512" i="1"/>
  <c r="B1512" i="1"/>
  <c r="C1511" i="1"/>
  <c r="B1511" i="1"/>
  <c r="C1510" i="1"/>
  <c r="B1510" i="1"/>
  <c r="C1509" i="1"/>
  <c r="B1509" i="1"/>
  <c r="C1508" i="1"/>
  <c r="B1508" i="1"/>
  <c r="C1507" i="1"/>
  <c r="B1507" i="1"/>
  <c r="C1506" i="1"/>
  <c r="B1506" i="1"/>
  <c r="C1505" i="1"/>
  <c r="B1505" i="1"/>
  <c r="C1504" i="1"/>
  <c r="B1504" i="1"/>
  <c r="C1503" i="1"/>
  <c r="B1503" i="1"/>
  <c r="C1502" i="1"/>
  <c r="B1502" i="1"/>
  <c r="C1501" i="1"/>
  <c r="B1501" i="1"/>
  <c r="C1500" i="1"/>
  <c r="B1500" i="1"/>
  <c r="C1499" i="1"/>
  <c r="B1499" i="1"/>
  <c r="C1498" i="1"/>
  <c r="B1498" i="1"/>
  <c r="C1497" i="1"/>
  <c r="B1497" i="1"/>
  <c r="C1496" i="1"/>
  <c r="B1496" i="1"/>
  <c r="C1495" i="1"/>
  <c r="B1495" i="1"/>
  <c r="C1494" i="1"/>
  <c r="B1494" i="1"/>
  <c r="C1493" i="1"/>
  <c r="B1493" i="1"/>
  <c r="C1492" i="1"/>
  <c r="B1492" i="1"/>
  <c r="C1491" i="1"/>
  <c r="B1491" i="1"/>
  <c r="C1490" i="1"/>
  <c r="B1490" i="1"/>
  <c r="C1489" i="1"/>
  <c r="B1489" i="1"/>
  <c r="C1488" i="1"/>
  <c r="B1488" i="1"/>
  <c r="C1487" i="1"/>
  <c r="B1487" i="1"/>
  <c r="C1486" i="1"/>
  <c r="B1486" i="1"/>
  <c r="C1485" i="1"/>
  <c r="B1485" i="1"/>
  <c r="C1484" i="1"/>
  <c r="B1484" i="1"/>
  <c r="C1483" i="1"/>
  <c r="B1483" i="1"/>
  <c r="C1482" i="1"/>
  <c r="B1482" i="1"/>
  <c r="C1481" i="1"/>
  <c r="B1481" i="1"/>
  <c r="C1480" i="1"/>
  <c r="B1480" i="1"/>
  <c r="C1479" i="1"/>
  <c r="B1479" i="1"/>
  <c r="C1478" i="1"/>
  <c r="B1478" i="1"/>
  <c r="C1477" i="1"/>
  <c r="B1477" i="1"/>
  <c r="C1476" i="1"/>
  <c r="B1476" i="1"/>
  <c r="C1475" i="1"/>
  <c r="B1475" i="1"/>
  <c r="C1474" i="1"/>
  <c r="B1474" i="1"/>
  <c r="C1473" i="1"/>
  <c r="B1473" i="1"/>
  <c r="C1472" i="1"/>
  <c r="B1472" i="1"/>
  <c r="C1471" i="1"/>
  <c r="B1471" i="1"/>
  <c r="C1470" i="1"/>
  <c r="B1470" i="1"/>
  <c r="C1469" i="1"/>
  <c r="B1469" i="1"/>
  <c r="C1468" i="1"/>
  <c r="B1468" i="1"/>
  <c r="C1467" i="1"/>
  <c r="B1467" i="1"/>
  <c r="C1466" i="1"/>
  <c r="B1466" i="1"/>
  <c r="C1465" i="1"/>
  <c r="B1465" i="1"/>
  <c r="C1464" i="1"/>
  <c r="B1464" i="1"/>
  <c r="C1463" i="1"/>
  <c r="B1463" i="1"/>
  <c r="C1462" i="1"/>
  <c r="B1462" i="1"/>
  <c r="C1461" i="1"/>
  <c r="B1461" i="1"/>
  <c r="C1460" i="1"/>
  <c r="B1460" i="1"/>
  <c r="C1459" i="1"/>
  <c r="B1459" i="1"/>
  <c r="C1458" i="1"/>
  <c r="B1458" i="1"/>
  <c r="C1457" i="1"/>
  <c r="B1457" i="1"/>
  <c r="C1456" i="1"/>
  <c r="B1456" i="1"/>
  <c r="C1455" i="1"/>
  <c r="B1455" i="1"/>
  <c r="C1454" i="1"/>
  <c r="B1454" i="1"/>
  <c r="C1453" i="1"/>
  <c r="B1453" i="1"/>
  <c r="C1452" i="1"/>
  <c r="B1452" i="1"/>
  <c r="C1451" i="1"/>
  <c r="B1451" i="1"/>
  <c r="C1450" i="1"/>
  <c r="B1450" i="1"/>
  <c r="C1449" i="1"/>
  <c r="B1449" i="1"/>
  <c r="C1448" i="1"/>
  <c r="B1448" i="1"/>
  <c r="C1447" i="1"/>
  <c r="B1447" i="1"/>
  <c r="C1446" i="1"/>
  <c r="B1446" i="1"/>
  <c r="C1445" i="1"/>
  <c r="B1445" i="1"/>
  <c r="C1444" i="1"/>
  <c r="B1444" i="1"/>
  <c r="C1443" i="1"/>
  <c r="B1443" i="1"/>
  <c r="C1442" i="1"/>
  <c r="B1442" i="1"/>
  <c r="C1441" i="1"/>
  <c r="B1441" i="1"/>
  <c r="C1440" i="1"/>
  <c r="B1440" i="1"/>
  <c r="C1439" i="1"/>
  <c r="B1439" i="1"/>
  <c r="C1438" i="1"/>
  <c r="B1438" i="1"/>
  <c r="C1437" i="1"/>
  <c r="B1437" i="1"/>
  <c r="C1436" i="1"/>
  <c r="B1436" i="1"/>
  <c r="C1435" i="1"/>
  <c r="B1435" i="1"/>
  <c r="C1434" i="1"/>
  <c r="B1434" i="1"/>
  <c r="C1433" i="1"/>
  <c r="B1433" i="1"/>
  <c r="C1432" i="1"/>
  <c r="B1432" i="1"/>
  <c r="C1431" i="1"/>
  <c r="B1431" i="1"/>
  <c r="C1430" i="1"/>
  <c r="B1430" i="1"/>
  <c r="C1429" i="1"/>
  <c r="B1429" i="1"/>
  <c r="C1428" i="1"/>
  <c r="B1428" i="1"/>
  <c r="C1427" i="1"/>
  <c r="B1427" i="1"/>
  <c r="C1426" i="1"/>
  <c r="B1426" i="1"/>
  <c r="C1425" i="1"/>
  <c r="B1425" i="1"/>
  <c r="C1424" i="1"/>
  <c r="B1424" i="1"/>
  <c r="C1423" i="1"/>
  <c r="B1423" i="1"/>
  <c r="C1422" i="1"/>
  <c r="B1422" i="1"/>
  <c r="C1421" i="1"/>
  <c r="B1421" i="1"/>
  <c r="C1420" i="1"/>
  <c r="B1420" i="1"/>
  <c r="C1419" i="1"/>
  <c r="B1419" i="1"/>
  <c r="C1418" i="1"/>
  <c r="B1418" i="1"/>
  <c r="C1417" i="1"/>
  <c r="B1417" i="1"/>
  <c r="C1416" i="1"/>
  <c r="B1416" i="1"/>
  <c r="C1415" i="1"/>
  <c r="B1415" i="1"/>
  <c r="C1414" i="1"/>
  <c r="B1414" i="1"/>
  <c r="C1413" i="1"/>
  <c r="B1413" i="1"/>
  <c r="C1412" i="1"/>
  <c r="B1412" i="1"/>
  <c r="C1411" i="1"/>
  <c r="B1411" i="1"/>
  <c r="C1410" i="1"/>
  <c r="B1410" i="1"/>
  <c r="C1409" i="1"/>
  <c r="B1409" i="1"/>
  <c r="C1408" i="1"/>
  <c r="B1408" i="1"/>
  <c r="C1407" i="1"/>
  <c r="B1407" i="1"/>
  <c r="C1406" i="1"/>
  <c r="B1406" i="1"/>
  <c r="C1405" i="1"/>
  <c r="B1405" i="1"/>
  <c r="C1404" i="1"/>
  <c r="B1404" i="1"/>
  <c r="C1403" i="1"/>
  <c r="B1403" i="1"/>
  <c r="C1402" i="1"/>
  <c r="B1402" i="1"/>
  <c r="C1401" i="1"/>
  <c r="B1401" i="1"/>
  <c r="C1400" i="1"/>
  <c r="B1400" i="1"/>
  <c r="C1399" i="1"/>
  <c r="B1399" i="1"/>
  <c r="C1398" i="1"/>
  <c r="B1398" i="1"/>
  <c r="C1397" i="1"/>
  <c r="B1397" i="1"/>
  <c r="C1396" i="1"/>
  <c r="B1396" i="1"/>
  <c r="C1395" i="1"/>
  <c r="B1395" i="1"/>
  <c r="C1394" i="1"/>
  <c r="B1394" i="1"/>
  <c r="C1393" i="1"/>
  <c r="B1393" i="1"/>
  <c r="C1392" i="1"/>
  <c r="B1392" i="1"/>
  <c r="C1391" i="1"/>
  <c r="B1391" i="1"/>
  <c r="C1390" i="1"/>
  <c r="B1390" i="1"/>
  <c r="C1389" i="1"/>
  <c r="B1389" i="1"/>
  <c r="C1388" i="1"/>
  <c r="B1388" i="1"/>
  <c r="C1387" i="1"/>
  <c r="B1387" i="1"/>
  <c r="C1386" i="1"/>
  <c r="B1386" i="1"/>
  <c r="C1385" i="1"/>
  <c r="B1385" i="1"/>
  <c r="C1384" i="1"/>
  <c r="B1384" i="1"/>
  <c r="C1383" i="1"/>
  <c r="B1383" i="1"/>
  <c r="C1382" i="1"/>
  <c r="B1382" i="1"/>
  <c r="C1381" i="1"/>
  <c r="B1381" i="1"/>
  <c r="C1380" i="1"/>
  <c r="B1380" i="1"/>
  <c r="C1379" i="1"/>
  <c r="B1379" i="1"/>
  <c r="C1378" i="1"/>
  <c r="B1378" i="1"/>
  <c r="C1377" i="1"/>
  <c r="B1377" i="1"/>
  <c r="C1376" i="1"/>
  <c r="B1376" i="1"/>
  <c r="C1375" i="1"/>
  <c r="B1375" i="1"/>
  <c r="C1374" i="1"/>
  <c r="B1374" i="1"/>
  <c r="C1373" i="1"/>
  <c r="B1373" i="1"/>
  <c r="C1372" i="1"/>
  <c r="B1372" i="1"/>
  <c r="C1371" i="1"/>
  <c r="B1371" i="1"/>
  <c r="C1370" i="1"/>
  <c r="B1370" i="1"/>
  <c r="C1369" i="1"/>
  <c r="B1369" i="1"/>
  <c r="C1368" i="1"/>
  <c r="B1368" i="1"/>
  <c r="C1367" i="1"/>
  <c r="B1367" i="1"/>
  <c r="C1366" i="1"/>
  <c r="B1366" i="1"/>
  <c r="C1365" i="1"/>
  <c r="B1365" i="1"/>
  <c r="C1364" i="1"/>
  <c r="B1364" i="1"/>
  <c r="C1363" i="1"/>
  <c r="B1363" i="1"/>
  <c r="C1362" i="1"/>
  <c r="B1362" i="1"/>
  <c r="C1361" i="1"/>
  <c r="B1361" i="1"/>
  <c r="C1360" i="1"/>
  <c r="B1360" i="1"/>
  <c r="C1359" i="1"/>
  <c r="B1359" i="1"/>
  <c r="C1358" i="1"/>
  <c r="B1358" i="1"/>
  <c r="C1357" i="1"/>
  <c r="B1357" i="1"/>
  <c r="C1356" i="1"/>
  <c r="B1356" i="1"/>
  <c r="C1355" i="1"/>
  <c r="B1355" i="1"/>
  <c r="C1354" i="1"/>
  <c r="B1354" i="1"/>
  <c r="C1353" i="1"/>
  <c r="B1353" i="1"/>
  <c r="C1352" i="1"/>
  <c r="B1352" i="1"/>
  <c r="C1351" i="1"/>
  <c r="B1351" i="1"/>
  <c r="C1350" i="1"/>
  <c r="B1350" i="1"/>
  <c r="C1349" i="1"/>
  <c r="B1349" i="1"/>
  <c r="C1348" i="1"/>
  <c r="B1348" i="1"/>
  <c r="C1347" i="1"/>
  <c r="B1347" i="1"/>
  <c r="C1346" i="1"/>
  <c r="B1346" i="1"/>
  <c r="C1345" i="1"/>
  <c r="B1345" i="1"/>
  <c r="C1344" i="1"/>
  <c r="B1344" i="1"/>
  <c r="C1343" i="1"/>
  <c r="B1343" i="1"/>
  <c r="C1342" i="1"/>
  <c r="B1342" i="1"/>
  <c r="C1341" i="1"/>
  <c r="B1341" i="1"/>
  <c r="C1340" i="1"/>
  <c r="B1340" i="1"/>
  <c r="C1339" i="1"/>
  <c r="B1339" i="1"/>
  <c r="C1338" i="1"/>
  <c r="B1338" i="1"/>
  <c r="C1337" i="1"/>
  <c r="B1337" i="1"/>
  <c r="C1336" i="1"/>
  <c r="B1336" i="1"/>
  <c r="C1335" i="1"/>
  <c r="B1335" i="1"/>
  <c r="C1334" i="1"/>
  <c r="B1334" i="1"/>
  <c r="C1333" i="1"/>
  <c r="B1333" i="1"/>
  <c r="C1332" i="1"/>
  <c r="B1332" i="1"/>
  <c r="C1331" i="1"/>
  <c r="B1331" i="1"/>
  <c r="C1330" i="1"/>
  <c r="B1330" i="1"/>
  <c r="C1329" i="1"/>
  <c r="B1329" i="1"/>
  <c r="C1328" i="1"/>
  <c r="B1328" i="1"/>
  <c r="C1327" i="1"/>
  <c r="B1327" i="1"/>
  <c r="C1326" i="1"/>
  <c r="B1326" i="1"/>
  <c r="C1325" i="1"/>
  <c r="B1325" i="1"/>
  <c r="C1324" i="1"/>
  <c r="B1324" i="1"/>
  <c r="C1323" i="1"/>
  <c r="B1323" i="1"/>
  <c r="C1322" i="1"/>
  <c r="B1322" i="1"/>
  <c r="C1321" i="1"/>
  <c r="B1321" i="1"/>
  <c r="C1320" i="1"/>
  <c r="B1320" i="1"/>
  <c r="C1319" i="1"/>
  <c r="B1319" i="1"/>
  <c r="C1318" i="1"/>
  <c r="B1318" i="1"/>
  <c r="C1317" i="1"/>
  <c r="B1317" i="1"/>
  <c r="C1316" i="1"/>
  <c r="B1316" i="1"/>
  <c r="C1315" i="1"/>
  <c r="B1315" i="1"/>
  <c r="C1314" i="1"/>
  <c r="B1314" i="1"/>
  <c r="C1313" i="1"/>
  <c r="B1313" i="1"/>
  <c r="C1312" i="1"/>
  <c r="B1312" i="1"/>
  <c r="C1311" i="1"/>
  <c r="B1311" i="1"/>
  <c r="C1310" i="1"/>
  <c r="B1310" i="1"/>
  <c r="C1309" i="1"/>
  <c r="B1309" i="1"/>
  <c r="C1308" i="1"/>
  <c r="B1308" i="1"/>
  <c r="C1307" i="1"/>
  <c r="B1307" i="1"/>
  <c r="C1306" i="1"/>
  <c r="B1306" i="1"/>
  <c r="C1305" i="1"/>
  <c r="B1305" i="1"/>
  <c r="C1304" i="1"/>
  <c r="B1304" i="1"/>
  <c r="C1303" i="1"/>
  <c r="B1303" i="1"/>
  <c r="C1302" i="1"/>
  <c r="B1302" i="1"/>
  <c r="C1301" i="1"/>
  <c r="B1301" i="1"/>
  <c r="C1300" i="1"/>
  <c r="B1300" i="1"/>
  <c r="C1299" i="1"/>
  <c r="B1299" i="1"/>
  <c r="C1298" i="1"/>
  <c r="B1298" i="1"/>
  <c r="C1297" i="1"/>
  <c r="B1297" i="1"/>
  <c r="C1296" i="1"/>
  <c r="B1296" i="1"/>
  <c r="C1295" i="1"/>
  <c r="B1295" i="1"/>
  <c r="C1294" i="1"/>
  <c r="B1294" i="1"/>
  <c r="C1293" i="1"/>
  <c r="B1293" i="1"/>
  <c r="C1292" i="1"/>
  <c r="B1292" i="1"/>
  <c r="C1291" i="1"/>
  <c r="B1291" i="1"/>
  <c r="C1290" i="1"/>
  <c r="B1290" i="1"/>
  <c r="C1289" i="1"/>
  <c r="B1289" i="1"/>
  <c r="C1288" i="1"/>
  <c r="B1288" i="1"/>
  <c r="C1287" i="1"/>
  <c r="B1287" i="1"/>
  <c r="C1286" i="1"/>
  <c r="B1286" i="1"/>
  <c r="C1285" i="1"/>
  <c r="B1285" i="1"/>
  <c r="C1284" i="1"/>
  <c r="B1284" i="1"/>
  <c r="C1283" i="1"/>
  <c r="B1283" i="1"/>
  <c r="C1282" i="1"/>
  <c r="B1282" i="1"/>
  <c r="C1281" i="1"/>
  <c r="B1281" i="1"/>
  <c r="C1280" i="1"/>
  <c r="B1280" i="1"/>
  <c r="C1279" i="1"/>
  <c r="B1279" i="1"/>
  <c r="C1278" i="1"/>
  <c r="B1278" i="1"/>
  <c r="C1277" i="1"/>
  <c r="B1277" i="1"/>
  <c r="C1276" i="1"/>
  <c r="B1276" i="1"/>
  <c r="C1275" i="1"/>
  <c r="B1275" i="1"/>
  <c r="C1274" i="1"/>
  <c r="B1274" i="1"/>
  <c r="C1273" i="1"/>
  <c r="B1273" i="1"/>
  <c r="C1272" i="1"/>
  <c r="B1272" i="1"/>
  <c r="C1271" i="1"/>
  <c r="B1271" i="1"/>
  <c r="C1270" i="1"/>
  <c r="B1270" i="1"/>
  <c r="C1269" i="1"/>
  <c r="B1269" i="1"/>
  <c r="C1268" i="1"/>
  <c r="B1268" i="1"/>
  <c r="C1267" i="1"/>
  <c r="B1267" i="1"/>
  <c r="C1266" i="1"/>
  <c r="B1266" i="1"/>
  <c r="C1265" i="1"/>
  <c r="B1265" i="1"/>
  <c r="C1264" i="1"/>
  <c r="B1264" i="1"/>
  <c r="C1263" i="1"/>
  <c r="B1263" i="1"/>
  <c r="C1262" i="1"/>
  <c r="B1262" i="1"/>
  <c r="C1261" i="1"/>
  <c r="B1261" i="1"/>
  <c r="C1260" i="1"/>
  <c r="B1260" i="1"/>
  <c r="C1259" i="1"/>
  <c r="B1259" i="1"/>
  <c r="C1258" i="1"/>
  <c r="B1258" i="1"/>
  <c r="C1257" i="1"/>
  <c r="B1257" i="1"/>
  <c r="C1256" i="1"/>
  <c r="B1256" i="1"/>
  <c r="C1255" i="1"/>
  <c r="B1255" i="1"/>
  <c r="C1254" i="1"/>
  <c r="B1254" i="1"/>
  <c r="C1253" i="1"/>
  <c r="B1253" i="1"/>
  <c r="C1252" i="1"/>
  <c r="B1252" i="1"/>
  <c r="C1251" i="1"/>
  <c r="B1251" i="1"/>
  <c r="C1250" i="1"/>
  <c r="B1250" i="1"/>
  <c r="C1249" i="1"/>
  <c r="B1249" i="1"/>
  <c r="C1248" i="1"/>
  <c r="B1248" i="1"/>
  <c r="C1247" i="1"/>
  <c r="B1247" i="1"/>
  <c r="C1246" i="1"/>
  <c r="B1246" i="1"/>
  <c r="C1245" i="1"/>
  <c r="B1245" i="1"/>
  <c r="C1244" i="1"/>
  <c r="B1244" i="1"/>
  <c r="C1243" i="1"/>
  <c r="B1243" i="1"/>
  <c r="C1242" i="1"/>
  <c r="B1242" i="1"/>
  <c r="C1241" i="1"/>
  <c r="B1241" i="1"/>
  <c r="C1240" i="1"/>
  <c r="B1240" i="1"/>
  <c r="C1239" i="1"/>
  <c r="B1239" i="1"/>
  <c r="C1238" i="1"/>
  <c r="B1238" i="1"/>
  <c r="C1237" i="1"/>
  <c r="B1237" i="1"/>
  <c r="C1236" i="1"/>
  <c r="B1236" i="1"/>
  <c r="C1235" i="1"/>
  <c r="B1235" i="1"/>
  <c r="C1234" i="1"/>
  <c r="B1234" i="1"/>
  <c r="C1233" i="1"/>
  <c r="B1233" i="1"/>
  <c r="C1232" i="1"/>
  <c r="B1232" i="1"/>
  <c r="C1231" i="1"/>
  <c r="B1231" i="1"/>
  <c r="C1230" i="1"/>
  <c r="B1230" i="1"/>
  <c r="C1229" i="1"/>
  <c r="B1229" i="1"/>
  <c r="C1228" i="1"/>
  <c r="B1228" i="1"/>
  <c r="C1227" i="1"/>
  <c r="B1227" i="1"/>
  <c r="C1226" i="1"/>
  <c r="B1226" i="1"/>
  <c r="C1225" i="1"/>
  <c r="B1225" i="1"/>
  <c r="C1224" i="1"/>
  <c r="B1224" i="1"/>
  <c r="C1223" i="1"/>
  <c r="B1223" i="1"/>
  <c r="C1222" i="1"/>
  <c r="B1222" i="1"/>
  <c r="C1221" i="1"/>
  <c r="B1221" i="1"/>
  <c r="C1220" i="1"/>
  <c r="B1220" i="1"/>
  <c r="C1219" i="1"/>
  <c r="B1219" i="1"/>
  <c r="C1218" i="1"/>
  <c r="B1218" i="1"/>
  <c r="C1217" i="1"/>
  <c r="B1217" i="1"/>
  <c r="C1216" i="1"/>
  <c r="B1216" i="1"/>
  <c r="C1215" i="1"/>
  <c r="B1215" i="1"/>
  <c r="C1214" i="1"/>
  <c r="B1214" i="1"/>
  <c r="C1213" i="1"/>
  <c r="B1213" i="1"/>
  <c r="C1212" i="1"/>
  <c r="B1212" i="1"/>
  <c r="C1211" i="1"/>
  <c r="B1211" i="1"/>
  <c r="C1210" i="1"/>
  <c r="B1210" i="1"/>
  <c r="C1209" i="1"/>
  <c r="B1209" i="1"/>
  <c r="C1208" i="1"/>
  <c r="B1208" i="1"/>
  <c r="C1207" i="1"/>
  <c r="B1207" i="1"/>
  <c r="C1206" i="1"/>
  <c r="B1206" i="1"/>
  <c r="C1205" i="1"/>
  <c r="B1205" i="1"/>
  <c r="C1204" i="1"/>
  <c r="B1204" i="1"/>
  <c r="C1203" i="1"/>
  <c r="B1203" i="1"/>
  <c r="C1202" i="1"/>
  <c r="B1202" i="1"/>
  <c r="C1201" i="1"/>
  <c r="B1201" i="1"/>
  <c r="C1200" i="1"/>
  <c r="B1200" i="1"/>
  <c r="C1199" i="1"/>
  <c r="B1199" i="1"/>
  <c r="C1198" i="1"/>
  <c r="B1198" i="1"/>
  <c r="C1197" i="1"/>
  <c r="B1197" i="1"/>
  <c r="C1196" i="1"/>
  <c r="B1196" i="1"/>
  <c r="C1195" i="1"/>
  <c r="B1195" i="1"/>
  <c r="C1194" i="1"/>
  <c r="B1194" i="1"/>
  <c r="C1193" i="1"/>
  <c r="B1193" i="1"/>
  <c r="C1192" i="1"/>
  <c r="B1192" i="1"/>
  <c r="C1191" i="1"/>
  <c r="B1191" i="1"/>
  <c r="C1190" i="1"/>
  <c r="B1190" i="1"/>
  <c r="C1189" i="1"/>
  <c r="B1189" i="1"/>
  <c r="C1188" i="1"/>
  <c r="B1188" i="1"/>
  <c r="C1187" i="1"/>
  <c r="B1187" i="1"/>
  <c r="C1186" i="1"/>
  <c r="B1186" i="1"/>
  <c r="C1185" i="1"/>
  <c r="B1185" i="1"/>
  <c r="C1184" i="1"/>
  <c r="B1184" i="1"/>
  <c r="C1183" i="1"/>
  <c r="B1183" i="1"/>
  <c r="C1182" i="1"/>
  <c r="B1182" i="1"/>
  <c r="C1181" i="1"/>
  <c r="B1181" i="1"/>
  <c r="C1180" i="1"/>
  <c r="B1180" i="1"/>
  <c r="C1179" i="1"/>
  <c r="B1179" i="1"/>
  <c r="C1178" i="1"/>
  <c r="B1178" i="1"/>
  <c r="C1177" i="1"/>
  <c r="B1177" i="1"/>
  <c r="C1176" i="1"/>
  <c r="B1176" i="1"/>
  <c r="C1175" i="1"/>
  <c r="B1175" i="1"/>
  <c r="C1174" i="1"/>
  <c r="B1174" i="1"/>
  <c r="C1173" i="1"/>
  <c r="B1173" i="1"/>
  <c r="C1172" i="1"/>
  <c r="B1172" i="1"/>
  <c r="C1171" i="1"/>
  <c r="B1171" i="1"/>
  <c r="C1170" i="1"/>
  <c r="B1170" i="1"/>
  <c r="C1169" i="1"/>
  <c r="B1169" i="1"/>
  <c r="C1168" i="1"/>
  <c r="B1168" i="1"/>
  <c r="C1167" i="1"/>
  <c r="B1167" i="1"/>
  <c r="C1166" i="1"/>
  <c r="B1166" i="1"/>
  <c r="C1165" i="1"/>
  <c r="B1165" i="1"/>
  <c r="C1164" i="1"/>
  <c r="B1164" i="1"/>
  <c r="C1163" i="1"/>
  <c r="B1163" i="1"/>
  <c r="C1162" i="1"/>
  <c r="B1162" i="1"/>
  <c r="C1161" i="1"/>
  <c r="B1161" i="1"/>
  <c r="C1160" i="1"/>
  <c r="B1160" i="1"/>
  <c r="C1159" i="1"/>
  <c r="B1159" i="1"/>
  <c r="C1158" i="1"/>
  <c r="B1158" i="1"/>
  <c r="C1157" i="1"/>
  <c r="B1157" i="1"/>
  <c r="C1156" i="1"/>
  <c r="B1156" i="1"/>
  <c r="C1155" i="1"/>
  <c r="B1155" i="1"/>
  <c r="C1154" i="1"/>
  <c r="B1154" i="1"/>
  <c r="C1153" i="1"/>
  <c r="B1153" i="1"/>
  <c r="C1152" i="1"/>
  <c r="B1152" i="1"/>
  <c r="C1151" i="1"/>
  <c r="B1151" i="1"/>
  <c r="C1150" i="1"/>
  <c r="B1150" i="1"/>
  <c r="C1149" i="1"/>
  <c r="B1149" i="1"/>
  <c r="C1148" i="1"/>
  <c r="B1148" i="1"/>
  <c r="C1147" i="1"/>
  <c r="B1147" i="1"/>
  <c r="C1146" i="1"/>
  <c r="B1146" i="1"/>
  <c r="C1145" i="1"/>
  <c r="B1145" i="1"/>
  <c r="C1144" i="1"/>
  <c r="B1144" i="1"/>
  <c r="C1143" i="1"/>
  <c r="B1143" i="1"/>
  <c r="C1142" i="1"/>
  <c r="B1142" i="1"/>
  <c r="C1141" i="1"/>
  <c r="B1141" i="1"/>
  <c r="C1140" i="1"/>
  <c r="B1140" i="1"/>
  <c r="C1139" i="1"/>
  <c r="B1139" i="1"/>
  <c r="C1138" i="1"/>
  <c r="B1138" i="1"/>
  <c r="C1137" i="1"/>
  <c r="B1137" i="1"/>
  <c r="C1136" i="1"/>
  <c r="B1136" i="1"/>
  <c r="C1135" i="1"/>
  <c r="B1135" i="1"/>
  <c r="C1134" i="1"/>
  <c r="B1134" i="1"/>
  <c r="C1133" i="1"/>
  <c r="B1133" i="1"/>
  <c r="C1132" i="1"/>
  <c r="B1132" i="1"/>
  <c r="C1131" i="1"/>
  <c r="B1131" i="1"/>
  <c r="C1130" i="1"/>
  <c r="B1130" i="1"/>
  <c r="C1129" i="1"/>
  <c r="B1129" i="1"/>
  <c r="C1128" i="1"/>
  <c r="B1128" i="1"/>
  <c r="C1127" i="1"/>
  <c r="B1127" i="1"/>
  <c r="C1126" i="1"/>
  <c r="B1126" i="1"/>
  <c r="C1125" i="1"/>
  <c r="B1125" i="1"/>
  <c r="C1124" i="1"/>
  <c r="B1124" i="1"/>
  <c r="C1123" i="1"/>
  <c r="B1123" i="1"/>
  <c r="C1122" i="1"/>
  <c r="B1122" i="1"/>
  <c r="C1121" i="1"/>
  <c r="B1121" i="1"/>
  <c r="C1120" i="1"/>
  <c r="B1120" i="1"/>
  <c r="C1119" i="1"/>
  <c r="B1119" i="1"/>
  <c r="C1118" i="1"/>
  <c r="B1118" i="1"/>
  <c r="C1117" i="1"/>
  <c r="B1117" i="1"/>
  <c r="C1116" i="1"/>
  <c r="B1116" i="1"/>
  <c r="C1115" i="1"/>
  <c r="B1115" i="1"/>
  <c r="C1114" i="1"/>
  <c r="B1114" i="1"/>
  <c r="C1113" i="1"/>
  <c r="B1113" i="1"/>
  <c r="C1112" i="1"/>
  <c r="B1112" i="1"/>
  <c r="C1111" i="1"/>
  <c r="B1111" i="1"/>
  <c r="C1110" i="1"/>
  <c r="B1110" i="1"/>
  <c r="C1109" i="1"/>
  <c r="B1109" i="1"/>
  <c r="C1108" i="1"/>
  <c r="B1108" i="1"/>
  <c r="C1107" i="1"/>
  <c r="B1107" i="1"/>
  <c r="C1106" i="1"/>
  <c r="B1106" i="1"/>
  <c r="C1105" i="1"/>
  <c r="B1105" i="1"/>
  <c r="C1104" i="1"/>
  <c r="B1104" i="1"/>
  <c r="C1103" i="1"/>
  <c r="B1103" i="1"/>
  <c r="C1102" i="1"/>
  <c r="B1102" i="1"/>
  <c r="C1101" i="1"/>
  <c r="B1101" i="1"/>
  <c r="C1100" i="1"/>
  <c r="B1100" i="1"/>
  <c r="C1099" i="1"/>
  <c r="B1099" i="1"/>
  <c r="C1098" i="1"/>
  <c r="B1098" i="1"/>
  <c r="C1097" i="1"/>
  <c r="B1097" i="1"/>
  <c r="C1096" i="1"/>
  <c r="B1096" i="1"/>
  <c r="C1095" i="1"/>
  <c r="B1095" i="1"/>
  <c r="C1094" i="1"/>
  <c r="B1094" i="1"/>
  <c r="C1093" i="1"/>
  <c r="B1093" i="1"/>
  <c r="C1092" i="1"/>
  <c r="B1092" i="1"/>
  <c r="C1091" i="1"/>
  <c r="B1091" i="1"/>
  <c r="C1090" i="1"/>
  <c r="B1090" i="1"/>
  <c r="C1089" i="1"/>
  <c r="B1089" i="1"/>
  <c r="C1088" i="1"/>
  <c r="B1088" i="1"/>
  <c r="C1087" i="1"/>
  <c r="B1087" i="1"/>
  <c r="C1086" i="1"/>
  <c r="B1086" i="1"/>
  <c r="C1085" i="1"/>
  <c r="B1085" i="1"/>
  <c r="C1084" i="1"/>
  <c r="B1084" i="1"/>
  <c r="C1083" i="1"/>
  <c r="B1083" i="1"/>
  <c r="C1082" i="1"/>
  <c r="B1082" i="1"/>
  <c r="C1081" i="1"/>
  <c r="B1081" i="1"/>
  <c r="C1080" i="1"/>
  <c r="B1080" i="1"/>
  <c r="C1079" i="1"/>
  <c r="B1079" i="1"/>
  <c r="C1078" i="1"/>
  <c r="B1078" i="1"/>
  <c r="C1077" i="1"/>
  <c r="B1077" i="1"/>
  <c r="C1076" i="1"/>
  <c r="B1076" i="1"/>
  <c r="C1075" i="1"/>
  <c r="B1075" i="1"/>
  <c r="C1074" i="1"/>
  <c r="B1074" i="1"/>
  <c r="C1073" i="1"/>
  <c r="B1073" i="1"/>
  <c r="C1072" i="1"/>
  <c r="B1072" i="1"/>
  <c r="C1071" i="1"/>
  <c r="B1071" i="1"/>
  <c r="C1070" i="1"/>
  <c r="B1070" i="1"/>
  <c r="C1069" i="1"/>
  <c r="B1069" i="1"/>
  <c r="C1068" i="1"/>
  <c r="B1068" i="1"/>
  <c r="C1067" i="1"/>
  <c r="B1067" i="1"/>
  <c r="C1066" i="1"/>
  <c r="B1066" i="1"/>
  <c r="C1065" i="1"/>
  <c r="B1065" i="1"/>
  <c r="C1064" i="1"/>
  <c r="B1064" i="1"/>
  <c r="C1063" i="1"/>
  <c r="B1063" i="1"/>
  <c r="C1062" i="1"/>
  <c r="B1062" i="1"/>
  <c r="C1061" i="1"/>
  <c r="B1061" i="1"/>
  <c r="C1060" i="1"/>
  <c r="B1060" i="1"/>
  <c r="C1059" i="1"/>
  <c r="B1059" i="1"/>
  <c r="C1058" i="1"/>
  <c r="B1058" i="1"/>
  <c r="C1057" i="1"/>
  <c r="B1057" i="1"/>
  <c r="C1056" i="1"/>
  <c r="B1056" i="1"/>
  <c r="C1055" i="1"/>
  <c r="B1055" i="1"/>
  <c r="C1054" i="1"/>
  <c r="B1054" i="1"/>
  <c r="C1053" i="1"/>
  <c r="B1053" i="1"/>
  <c r="C1052" i="1"/>
  <c r="B1052" i="1"/>
  <c r="C1051" i="1"/>
  <c r="B1051" i="1"/>
  <c r="C1050" i="1"/>
  <c r="B1050" i="1"/>
  <c r="C1049" i="1"/>
  <c r="B1049" i="1"/>
  <c r="C1048" i="1"/>
  <c r="B1048" i="1"/>
  <c r="C1047" i="1"/>
  <c r="B1047" i="1"/>
  <c r="C1046" i="1"/>
  <c r="B1046" i="1"/>
  <c r="C1045" i="1"/>
  <c r="B1045" i="1"/>
  <c r="C1044" i="1"/>
  <c r="B1044" i="1"/>
  <c r="C1043" i="1"/>
  <c r="B1043" i="1"/>
  <c r="C1042" i="1"/>
  <c r="B1042" i="1"/>
  <c r="C1041" i="1"/>
  <c r="B1041" i="1"/>
  <c r="C1040" i="1"/>
  <c r="B1040" i="1"/>
  <c r="C1039" i="1"/>
  <c r="B1039" i="1"/>
  <c r="C1038" i="1"/>
  <c r="B1038" i="1"/>
  <c r="C1037" i="1"/>
  <c r="B1037" i="1"/>
  <c r="C1036" i="1"/>
  <c r="B1036" i="1"/>
  <c r="C1035" i="1"/>
  <c r="B1035" i="1"/>
  <c r="C1034" i="1"/>
  <c r="B1034" i="1"/>
  <c r="C1033" i="1"/>
  <c r="B1033" i="1"/>
  <c r="C1032" i="1"/>
  <c r="B1032" i="1"/>
  <c r="C1031" i="1"/>
  <c r="B1031" i="1"/>
  <c r="C1030" i="1"/>
  <c r="B1030" i="1"/>
  <c r="C1029" i="1"/>
  <c r="B1029" i="1"/>
  <c r="C1028" i="1"/>
  <c r="B1028" i="1"/>
  <c r="C1027" i="1"/>
  <c r="B1027" i="1"/>
  <c r="C1026" i="1"/>
  <c r="B1026" i="1"/>
  <c r="C1025" i="1"/>
  <c r="B1025" i="1"/>
  <c r="C1024" i="1"/>
  <c r="B1024" i="1"/>
  <c r="C1023" i="1"/>
  <c r="B1023" i="1"/>
  <c r="C1022" i="1"/>
  <c r="B1022" i="1"/>
  <c r="C1021" i="1"/>
  <c r="B1021" i="1"/>
  <c r="C1020" i="1"/>
  <c r="B1020" i="1"/>
  <c r="C1019" i="1"/>
  <c r="B1019" i="1"/>
  <c r="C1018" i="1"/>
  <c r="B1018" i="1"/>
  <c r="C1017" i="1"/>
  <c r="B1017" i="1"/>
  <c r="C1016" i="1"/>
  <c r="B1016" i="1"/>
  <c r="C1015" i="1"/>
  <c r="B1015" i="1"/>
  <c r="C1014" i="1"/>
  <c r="B1014" i="1"/>
  <c r="C1013" i="1"/>
  <c r="B1013" i="1"/>
  <c r="C1012" i="1"/>
  <c r="B1012" i="1"/>
  <c r="C1011" i="1"/>
  <c r="B1011" i="1"/>
  <c r="C1010" i="1"/>
  <c r="B1010" i="1"/>
  <c r="C1009" i="1"/>
  <c r="B1009" i="1"/>
  <c r="C1008" i="1"/>
  <c r="B1008" i="1"/>
  <c r="C1007" i="1"/>
  <c r="B1007" i="1"/>
  <c r="C1006" i="1"/>
  <c r="B1006" i="1"/>
  <c r="C1005" i="1"/>
  <c r="B1005" i="1"/>
  <c r="C1004" i="1"/>
  <c r="B1004" i="1"/>
  <c r="C1003" i="1"/>
  <c r="B1003" i="1"/>
  <c r="C1002" i="1"/>
  <c r="B1002" i="1"/>
  <c r="C1001" i="1"/>
  <c r="B1001" i="1"/>
  <c r="C1000" i="1"/>
  <c r="B1000" i="1"/>
  <c r="C999" i="1"/>
  <c r="B999" i="1"/>
  <c r="C998" i="1"/>
  <c r="B998" i="1"/>
  <c r="C997" i="1"/>
  <c r="B997" i="1"/>
  <c r="C996" i="1"/>
  <c r="B996" i="1"/>
  <c r="C995" i="1"/>
  <c r="B995" i="1"/>
  <c r="C994" i="1"/>
  <c r="B994" i="1"/>
  <c r="C993" i="1"/>
  <c r="B993" i="1"/>
  <c r="C992" i="1"/>
  <c r="B992" i="1"/>
  <c r="C991" i="1"/>
  <c r="B991" i="1"/>
  <c r="C990" i="1"/>
  <c r="B990" i="1"/>
  <c r="C989" i="1"/>
  <c r="B989" i="1"/>
  <c r="C988" i="1"/>
  <c r="B988" i="1"/>
  <c r="C987" i="1"/>
  <c r="B987" i="1"/>
  <c r="C986" i="1"/>
  <c r="B986" i="1"/>
  <c r="C985" i="1"/>
  <c r="B985" i="1"/>
  <c r="C984" i="1"/>
  <c r="B984" i="1"/>
  <c r="C983" i="1"/>
  <c r="B983" i="1"/>
  <c r="C982" i="1"/>
  <c r="B982" i="1"/>
  <c r="C981" i="1"/>
  <c r="B981" i="1"/>
  <c r="C980" i="1"/>
  <c r="B980" i="1"/>
  <c r="C979" i="1"/>
  <c r="B979" i="1"/>
  <c r="C978" i="1"/>
  <c r="B978" i="1"/>
  <c r="C977" i="1"/>
  <c r="B977" i="1"/>
  <c r="C976" i="1"/>
  <c r="B976" i="1"/>
  <c r="C975" i="1"/>
  <c r="B975" i="1"/>
  <c r="C974" i="1"/>
  <c r="B974" i="1"/>
  <c r="C973" i="1"/>
  <c r="B973" i="1"/>
  <c r="C972" i="1"/>
  <c r="B972" i="1"/>
  <c r="C971" i="1"/>
  <c r="B971" i="1"/>
  <c r="C970" i="1"/>
  <c r="B970" i="1"/>
  <c r="C969" i="1"/>
  <c r="B969" i="1"/>
  <c r="C968" i="1"/>
  <c r="B968" i="1"/>
  <c r="C967" i="1"/>
  <c r="B967" i="1"/>
  <c r="C966" i="1"/>
  <c r="B966" i="1"/>
  <c r="C965" i="1"/>
  <c r="B965" i="1"/>
  <c r="C964" i="1"/>
  <c r="B964" i="1"/>
  <c r="C963" i="1"/>
  <c r="B963" i="1"/>
  <c r="C962" i="1"/>
  <c r="B962" i="1"/>
  <c r="C961" i="1"/>
  <c r="B961" i="1"/>
  <c r="C960" i="1"/>
  <c r="B960" i="1"/>
  <c r="C959" i="1"/>
  <c r="B959" i="1"/>
  <c r="C958" i="1"/>
  <c r="B958" i="1"/>
  <c r="C957" i="1"/>
  <c r="B957" i="1"/>
  <c r="C956" i="1"/>
  <c r="B956" i="1"/>
  <c r="C955" i="1"/>
  <c r="B955" i="1"/>
  <c r="C954" i="1"/>
  <c r="B954" i="1"/>
  <c r="C953" i="1"/>
  <c r="B953" i="1"/>
  <c r="C952" i="1"/>
  <c r="B952" i="1"/>
  <c r="C951" i="1"/>
  <c r="B951" i="1"/>
  <c r="C950" i="1"/>
  <c r="B950" i="1"/>
  <c r="C949" i="1"/>
  <c r="B949" i="1"/>
  <c r="C948" i="1"/>
  <c r="B948" i="1"/>
  <c r="C947" i="1"/>
  <c r="B947" i="1"/>
  <c r="C946" i="1"/>
  <c r="B946" i="1"/>
  <c r="C945" i="1"/>
  <c r="B945" i="1"/>
  <c r="C944" i="1"/>
  <c r="B944" i="1"/>
  <c r="C943" i="1"/>
  <c r="B943" i="1"/>
  <c r="C942" i="1"/>
  <c r="B942" i="1"/>
  <c r="C941" i="1"/>
  <c r="B941" i="1"/>
  <c r="C940" i="1"/>
  <c r="B940" i="1"/>
  <c r="C939" i="1"/>
  <c r="B939" i="1"/>
  <c r="C938" i="1"/>
  <c r="B938" i="1"/>
  <c r="C937" i="1"/>
  <c r="B937" i="1"/>
  <c r="C936" i="1"/>
  <c r="B936" i="1"/>
  <c r="C935" i="1"/>
  <c r="B935" i="1"/>
  <c r="C934" i="1"/>
  <c r="B934" i="1"/>
  <c r="C933" i="1"/>
  <c r="B933" i="1"/>
  <c r="C932" i="1"/>
  <c r="B932" i="1"/>
  <c r="C931" i="1"/>
  <c r="B931" i="1"/>
  <c r="C930" i="1"/>
  <c r="B930" i="1"/>
  <c r="C929" i="1"/>
  <c r="B929" i="1"/>
  <c r="C928" i="1"/>
  <c r="B928" i="1"/>
  <c r="C927" i="1"/>
  <c r="B927" i="1"/>
  <c r="C926" i="1"/>
  <c r="B926" i="1"/>
  <c r="C925" i="1"/>
  <c r="B925" i="1"/>
  <c r="C924" i="1"/>
  <c r="B924" i="1"/>
  <c r="C923" i="1"/>
  <c r="B923" i="1"/>
  <c r="C922" i="1"/>
  <c r="B922" i="1"/>
  <c r="C921" i="1"/>
  <c r="B921" i="1"/>
  <c r="C920" i="1"/>
  <c r="B920" i="1"/>
  <c r="C919" i="1"/>
  <c r="B919" i="1"/>
  <c r="C918" i="1"/>
  <c r="B918" i="1"/>
  <c r="C917" i="1"/>
  <c r="B917" i="1"/>
  <c r="C916" i="1"/>
  <c r="B916" i="1"/>
  <c r="C915" i="1"/>
  <c r="B915" i="1"/>
  <c r="C914" i="1"/>
  <c r="B914" i="1"/>
  <c r="C913" i="1"/>
  <c r="B913" i="1"/>
  <c r="C912" i="1"/>
  <c r="B912" i="1"/>
  <c r="C911" i="1"/>
  <c r="B911" i="1"/>
  <c r="C910" i="1"/>
  <c r="B910" i="1"/>
  <c r="C909" i="1"/>
  <c r="B909" i="1"/>
  <c r="C908" i="1"/>
  <c r="B908" i="1"/>
  <c r="C907" i="1"/>
  <c r="B907" i="1"/>
  <c r="C906" i="1"/>
  <c r="B906" i="1"/>
  <c r="C905" i="1"/>
  <c r="B905" i="1"/>
  <c r="C904" i="1"/>
  <c r="B904" i="1"/>
  <c r="C903" i="1"/>
  <c r="B903" i="1"/>
  <c r="C902" i="1"/>
  <c r="B902" i="1"/>
  <c r="C901" i="1"/>
  <c r="B901" i="1"/>
  <c r="C900" i="1"/>
  <c r="B900" i="1"/>
  <c r="C899" i="1"/>
  <c r="B899" i="1"/>
  <c r="C898" i="1"/>
  <c r="B898" i="1"/>
  <c r="C897" i="1"/>
  <c r="B897" i="1"/>
  <c r="C896" i="1"/>
  <c r="B896" i="1"/>
  <c r="C895" i="1"/>
  <c r="B895" i="1"/>
  <c r="C894" i="1"/>
  <c r="B894" i="1"/>
  <c r="C893" i="1"/>
  <c r="B893" i="1"/>
  <c r="C892" i="1"/>
  <c r="B892" i="1"/>
  <c r="C891" i="1"/>
  <c r="B891" i="1"/>
  <c r="C890" i="1"/>
  <c r="B890" i="1"/>
  <c r="C889" i="1"/>
  <c r="B889" i="1"/>
  <c r="C888" i="1"/>
  <c r="B888" i="1"/>
  <c r="C887" i="1"/>
  <c r="B887" i="1"/>
  <c r="C886" i="1"/>
  <c r="B886" i="1"/>
  <c r="C885" i="1"/>
  <c r="B885" i="1"/>
  <c r="C884" i="1"/>
  <c r="B884" i="1"/>
  <c r="C883" i="1"/>
  <c r="B883" i="1"/>
  <c r="C882" i="1"/>
  <c r="B882" i="1"/>
  <c r="C881" i="1"/>
  <c r="B881" i="1"/>
  <c r="C880" i="1"/>
  <c r="B880" i="1"/>
  <c r="C879" i="1"/>
  <c r="B879" i="1"/>
  <c r="C878" i="1"/>
  <c r="B878" i="1"/>
  <c r="C877" i="1"/>
  <c r="B877" i="1"/>
  <c r="C876" i="1"/>
  <c r="B876" i="1"/>
  <c r="C875" i="1"/>
  <c r="B875" i="1"/>
  <c r="C874" i="1"/>
  <c r="B874" i="1"/>
  <c r="C873" i="1"/>
  <c r="B873" i="1"/>
  <c r="C872" i="1"/>
  <c r="B872" i="1"/>
  <c r="C871" i="1"/>
  <c r="B871" i="1"/>
  <c r="C870" i="1"/>
  <c r="B870" i="1"/>
  <c r="C869" i="1"/>
  <c r="B869" i="1"/>
  <c r="C868" i="1"/>
  <c r="B868" i="1"/>
  <c r="C867" i="1"/>
  <c r="B867" i="1"/>
  <c r="C866" i="1"/>
  <c r="B866" i="1"/>
  <c r="C865" i="1"/>
  <c r="B865" i="1"/>
  <c r="C864" i="1"/>
  <c r="B864" i="1"/>
  <c r="C863" i="1"/>
  <c r="B863" i="1"/>
  <c r="C862" i="1"/>
  <c r="B862" i="1"/>
  <c r="C861" i="1"/>
  <c r="B861" i="1"/>
  <c r="C860" i="1"/>
  <c r="B860" i="1"/>
  <c r="C859" i="1"/>
  <c r="B859" i="1"/>
  <c r="C858" i="1"/>
  <c r="B858" i="1"/>
  <c r="C857" i="1"/>
  <c r="B857" i="1"/>
  <c r="C856" i="1"/>
  <c r="B856" i="1"/>
  <c r="C855" i="1"/>
  <c r="B855" i="1"/>
  <c r="C854" i="1"/>
  <c r="B854" i="1"/>
  <c r="C853" i="1"/>
  <c r="B853" i="1"/>
  <c r="C852" i="1"/>
  <c r="B852" i="1"/>
  <c r="C851" i="1"/>
  <c r="B851" i="1"/>
  <c r="C850" i="1"/>
  <c r="B850" i="1"/>
  <c r="C849" i="1"/>
  <c r="B849" i="1"/>
  <c r="C848" i="1"/>
  <c r="B848" i="1"/>
  <c r="C847" i="1"/>
  <c r="B847" i="1"/>
  <c r="C846" i="1"/>
  <c r="B846" i="1"/>
  <c r="C845" i="1"/>
  <c r="B845" i="1"/>
  <c r="C844" i="1"/>
  <c r="B844" i="1"/>
  <c r="C843" i="1"/>
  <c r="B843" i="1"/>
  <c r="C842" i="1"/>
  <c r="B842" i="1"/>
  <c r="C841" i="1"/>
  <c r="B841" i="1"/>
  <c r="C840" i="1"/>
  <c r="B840" i="1"/>
  <c r="C839" i="1"/>
  <c r="B839" i="1"/>
  <c r="C838" i="1"/>
  <c r="B838" i="1"/>
  <c r="C837" i="1"/>
  <c r="B837" i="1"/>
  <c r="C836" i="1"/>
  <c r="B836" i="1"/>
  <c r="C835" i="1"/>
  <c r="B835" i="1"/>
  <c r="C834" i="1"/>
  <c r="B834" i="1"/>
  <c r="C833" i="1"/>
  <c r="B833" i="1"/>
  <c r="C832" i="1"/>
  <c r="B832" i="1"/>
  <c r="C831" i="1"/>
  <c r="B831" i="1"/>
  <c r="C830" i="1"/>
  <c r="B830" i="1"/>
  <c r="C829" i="1"/>
  <c r="B829" i="1"/>
  <c r="C828" i="1"/>
  <c r="B828" i="1"/>
  <c r="C827" i="1"/>
  <c r="B827" i="1"/>
  <c r="C826" i="1"/>
  <c r="B826" i="1"/>
  <c r="C825" i="1"/>
  <c r="B825" i="1"/>
  <c r="C824" i="1"/>
  <c r="B824" i="1"/>
  <c r="C823" i="1"/>
  <c r="B823" i="1"/>
  <c r="C822" i="1"/>
  <c r="B822" i="1"/>
  <c r="C821" i="1"/>
  <c r="B821" i="1"/>
  <c r="C820" i="1"/>
  <c r="B820" i="1"/>
  <c r="C819" i="1"/>
  <c r="B819" i="1"/>
  <c r="C818" i="1"/>
  <c r="B818" i="1"/>
  <c r="C817" i="1"/>
  <c r="B817" i="1"/>
  <c r="C816" i="1"/>
  <c r="B816" i="1"/>
  <c r="C815" i="1"/>
  <c r="B815" i="1"/>
  <c r="C814" i="1"/>
  <c r="B814" i="1"/>
  <c r="C813" i="1"/>
  <c r="B813" i="1"/>
  <c r="C812" i="1"/>
  <c r="B812" i="1"/>
  <c r="C811" i="1"/>
  <c r="B811" i="1"/>
  <c r="C810" i="1"/>
  <c r="B810" i="1"/>
  <c r="C809" i="1"/>
  <c r="B809" i="1"/>
  <c r="C808" i="1"/>
  <c r="B808" i="1"/>
  <c r="C807" i="1"/>
  <c r="B807" i="1"/>
  <c r="C806" i="1"/>
  <c r="B806" i="1"/>
  <c r="C805" i="1"/>
  <c r="B805" i="1"/>
  <c r="C804" i="1"/>
  <c r="B804" i="1"/>
  <c r="C803" i="1"/>
  <c r="B803" i="1"/>
  <c r="C802" i="1"/>
  <c r="B802" i="1"/>
  <c r="C801" i="1"/>
  <c r="B801" i="1"/>
  <c r="C800" i="1"/>
  <c r="B800" i="1"/>
  <c r="C799" i="1"/>
  <c r="B799" i="1"/>
  <c r="C798" i="1"/>
  <c r="B798" i="1"/>
  <c r="C797" i="1"/>
  <c r="B797" i="1"/>
  <c r="C796" i="1"/>
  <c r="B796" i="1"/>
  <c r="C795" i="1"/>
  <c r="B795" i="1"/>
  <c r="C794" i="1"/>
  <c r="B794" i="1"/>
  <c r="C793" i="1"/>
  <c r="B793" i="1"/>
  <c r="C792" i="1"/>
  <c r="B792" i="1"/>
  <c r="C791" i="1"/>
  <c r="B791" i="1"/>
  <c r="C790" i="1"/>
  <c r="B790" i="1"/>
  <c r="C789" i="1"/>
  <c r="B789" i="1"/>
  <c r="C788" i="1"/>
  <c r="B788" i="1"/>
  <c r="C787" i="1"/>
  <c r="B787" i="1"/>
  <c r="C786" i="1"/>
  <c r="B786" i="1"/>
  <c r="C785" i="1"/>
  <c r="B785" i="1"/>
  <c r="C784" i="1"/>
  <c r="B784" i="1"/>
  <c r="C783" i="1"/>
  <c r="B783" i="1"/>
  <c r="C782" i="1"/>
  <c r="B782" i="1"/>
  <c r="C781" i="1"/>
  <c r="B781" i="1"/>
  <c r="C780" i="1"/>
  <c r="B780" i="1"/>
  <c r="C779" i="1"/>
  <c r="B779" i="1"/>
  <c r="C778" i="1"/>
  <c r="B778" i="1"/>
  <c r="C777" i="1"/>
  <c r="B777" i="1"/>
  <c r="C776" i="1"/>
  <c r="B776" i="1"/>
  <c r="C775" i="1"/>
  <c r="B775" i="1"/>
  <c r="C774" i="1"/>
  <c r="B774" i="1"/>
  <c r="C773" i="1"/>
  <c r="B773" i="1"/>
  <c r="C772" i="1"/>
  <c r="B772" i="1"/>
  <c r="C771" i="1"/>
  <c r="B771" i="1"/>
  <c r="C770" i="1"/>
  <c r="B770" i="1"/>
  <c r="C769" i="1"/>
  <c r="B769" i="1"/>
  <c r="C768" i="1"/>
  <c r="B768" i="1"/>
  <c r="C767" i="1"/>
  <c r="B767" i="1"/>
  <c r="C766" i="1"/>
  <c r="B766" i="1"/>
  <c r="C765" i="1"/>
  <c r="B765" i="1"/>
  <c r="C764" i="1"/>
  <c r="B764" i="1"/>
  <c r="C763" i="1"/>
  <c r="B763" i="1"/>
  <c r="C762" i="1"/>
  <c r="B762" i="1"/>
  <c r="C761" i="1"/>
  <c r="B761" i="1"/>
  <c r="C760" i="1"/>
  <c r="B760" i="1"/>
  <c r="C759" i="1"/>
  <c r="B759" i="1"/>
  <c r="C758" i="1"/>
  <c r="B758" i="1"/>
  <c r="C757" i="1"/>
  <c r="B757" i="1"/>
  <c r="C756" i="1"/>
  <c r="B756" i="1"/>
  <c r="C755" i="1"/>
  <c r="B755" i="1"/>
  <c r="C754" i="1"/>
  <c r="B754" i="1"/>
  <c r="C753" i="1"/>
  <c r="B753" i="1"/>
  <c r="C752" i="1"/>
  <c r="B752" i="1"/>
  <c r="C751" i="1"/>
  <c r="B751" i="1"/>
  <c r="C750" i="1"/>
  <c r="B750" i="1"/>
  <c r="C749" i="1"/>
  <c r="B749" i="1"/>
  <c r="C748" i="1"/>
  <c r="B748" i="1"/>
  <c r="C747" i="1"/>
  <c r="B747" i="1"/>
  <c r="C746" i="1"/>
  <c r="B746" i="1"/>
  <c r="C745" i="1"/>
  <c r="B745" i="1"/>
  <c r="C744" i="1"/>
  <c r="B744" i="1"/>
  <c r="C743" i="1"/>
  <c r="B743" i="1"/>
  <c r="C742" i="1"/>
  <c r="B742" i="1"/>
  <c r="C741" i="1"/>
  <c r="B741" i="1"/>
  <c r="C740" i="1"/>
  <c r="B740" i="1"/>
  <c r="C739" i="1"/>
  <c r="B739" i="1"/>
  <c r="C738" i="1"/>
  <c r="B738" i="1"/>
  <c r="C737" i="1"/>
  <c r="B737" i="1"/>
  <c r="C736" i="1"/>
  <c r="B736" i="1"/>
  <c r="C735" i="1"/>
  <c r="B735" i="1"/>
  <c r="C734" i="1"/>
  <c r="B734" i="1"/>
  <c r="C733" i="1"/>
  <c r="B733" i="1"/>
  <c r="C732" i="1"/>
  <c r="B732" i="1"/>
  <c r="C731" i="1"/>
  <c r="B731" i="1"/>
  <c r="C730" i="1"/>
  <c r="B730" i="1"/>
  <c r="C729" i="1"/>
  <c r="B729" i="1"/>
  <c r="C728" i="1"/>
  <c r="B728" i="1"/>
  <c r="C727" i="1"/>
  <c r="B727" i="1"/>
  <c r="C726" i="1"/>
  <c r="B726" i="1"/>
  <c r="C725" i="1"/>
  <c r="B725" i="1"/>
  <c r="C724" i="1"/>
  <c r="B724" i="1"/>
  <c r="C723" i="1"/>
  <c r="B723" i="1"/>
  <c r="C722" i="1"/>
  <c r="B722" i="1"/>
  <c r="C721" i="1"/>
  <c r="B721" i="1"/>
  <c r="C720" i="1"/>
  <c r="B720" i="1"/>
  <c r="C719" i="1"/>
  <c r="B719" i="1"/>
  <c r="C718" i="1"/>
  <c r="B718" i="1"/>
  <c r="C717" i="1"/>
  <c r="B717" i="1"/>
  <c r="C716" i="1"/>
  <c r="B716" i="1"/>
  <c r="C715" i="1"/>
  <c r="B715" i="1"/>
  <c r="C714" i="1"/>
  <c r="B714" i="1"/>
  <c r="C713" i="1"/>
  <c r="B713" i="1"/>
  <c r="C712" i="1"/>
  <c r="B712" i="1"/>
  <c r="C711" i="1"/>
  <c r="B711" i="1"/>
  <c r="C710" i="1"/>
  <c r="B710" i="1"/>
  <c r="C709" i="1"/>
  <c r="B709" i="1"/>
  <c r="C708" i="1"/>
  <c r="B708" i="1"/>
  <c r="C707" i="1"/>
  <c r="B707" i="1"/>
  <c r="C706" i="1"/>
  <c r="B706" i="1"/>
  <c r="C705" i="1"/>
  <c r="B705" i="1"/>
  <c r="C704" i="1"/>
  <c r="B704" i="1"/>
  <c r="C703" i="1"/>
  <c r="B703" i="1"/>
  <c r="C702" i="1"/>
  <c r="B702" i="1"/>
  <c r="C701" i="1"/>
  <c r="B701" i="1"/>
  <c r="C700" i="1"/>
  <c r="B700" i="1"/>
  <c r="C699" i="1"/>
  <c r="B699" i="1"/>
  <c r="C698" i="1"/>
  <c r="B698" i="1"/>
  <c r="C697" i="1"/>
  <c r="B697" i="1"/>
  <c r="C696" i="1"/>
  <c r="B696" i="1"/>
  <c r="C695" i="1"/>
  <c r="B695" i="1"/>
  <c r="C694" i="1"/>
  <c r="B694" i="1"/>
  <c r="C693" i="1"/>
  <c r="B693" i="1"/>
  <c r="C692" i="1"/>
  <c r="B692" i="1"/>
  <c r="C691" i="1"/>
  <c r="B691" i="1"/>
  <c r="C690" i="1"/>
  <c r="B690" i="1"/>
  <c r="C689" i="1"/>
  <c r="B689" i="1"/>
  <c r="C688" i="1"/>
  <c r="B688" i="1"/>
  <c r="C687" i="1"/>
  <c r="B687" i="1"/>
  <c r="C686" i="1"/>
  <c r="B686" i="1"/>
  <c r="C685" i="1"/>
  <c r="B685" i="1"/>
  <c r="C684" i="1"/>
  <c r="B684" i="1"/>
  <c r="C683" i="1"/>
  <c r="B683" i="1"/>
  <c r="C682" i="1"/>
  <c r="B682" i="1"/>
  <c r="C681" i="1"/>
  <c r="B681" i="1"/>
  <c r="C680" i="1"/>
  <c r="B680" i="1"/>
  <c r="C679" i="1"/>
  <c r="B679" i="1"/>
  <c r="C678" i="1"/>
  <c r="B678" i="1"/>
  <c r="C677" i="1"/>
  <c r="B677" i="1"/>
  <c r="C676" i="1"/>
  <c r="B676" i="1"/>
  <c r="C675" i="1"/>
  <c r="B675" i="1"/>
  <c r="C674" i="1"/>
  <c r="B674" i="1"/>
  <c r="C673" i="1"/>
  <c r="B673" i="1"/>
  <c r="C672" i="1"/>
  <c r="B672" i="1"/>
  <c r="C671" i="1"/>
  <c r="B671" i="1"/>
  <c r="C670" i="1"/>
  <c r="B670" i="1"/>
  <c r="C669" i="1"/>
  <c r="B669" i="1"/>
  <c r="C668" i="1"/>
  <c r="B668" i="1"/>
  <c r="C667" i="1"/>
  <c r="B667" i="1"/>
  <c r="C666" i="1"/>
  <c r="B666" i="1"/>
  <c r="C665" i="1"/>
  <c r="B665" i="1"/>
  <c r="C664" i="1"/>
  <c r="B664" i="1"/>
  <c r="C663" i="1"/>
  <c r="B663" i="1"/>
  <c r="C662" i="1"/>
  <c r="B662" i="1"/>
  <c r="C661" i="1"/>
  <c r="B661" i="1"/>
  <c r="C660" i="1"/>
  <c r="B660" i="1"/>
  <c r="C659" i="1"/>
  <c r="B659" i="1"/>
  <c r="C658" i="1"/>
  <c r="B658" i="1"/>
  <c r="C657" i="1"/>
  <c r="B657" i="1"/>
  <c r="C656" i="1"/>
  <c r="B656" i="1"/>
  <c r="C655" i="1"/>
  <c r="B655" i="1"/>
  <c r="C654" i="1"/>
  <c r="B654" i="1"/>
  <c r="C653" i="1"/>
  <c r="B653" i="1"/>
  <c r="C652" i="1"/>
  <c r="B652" i="1"/>
  <c r="C651" i="1"/>
  <c r="B651" i="1"/>
  <c r="C650" i="1"/>
  <c r="B650" i="1"/>
  <c r="C649" i="1"/>
  <c r="B649" i="1"/>
  <c r="C648" i="1"/>
  <c r="B648" i="1"/>
  <c r="C647" i="1"/>
  <c r="B647" i="1"/>
  <c r="C646" i="1"/>
  <c r="B646" i="1"/>
  <c r="C645" i="1"/>
  <c r="B645" i="1"/>
  <c r="C644" i="1"/>
  <c r="B644" i="1"/>
  <c r="C643" i="1"/>
  <c r="B643" i="1"/>
  <c r="C642" i="1"/>
  <c r="B642" i="1"/>
  <c r="C641" i="1"/>
  <c r="B641" i="1"/>
  <c r="C640" i="1"/>
  <c r="B640" i="1"/>
  <c r="C639" i="1"/>
  <c r="B639" i="1"/>
  <c r="C638" i="1"/>
  <c r="B638" i="1"/>
  <c r="C637" i="1"/>
  <c r="B637" i="1"/>
  <c r="C636" i="1"/>
  <c r="B636" i="1"/>
  <c r="C635" i="1"/>
  <c r="B635" i="1"/>
  <c r="C634" i="1"/>
  <c r="B634" i="1"/>
  <c r="C633" i="1"/>
  <c r="B633" i="1"/>
  <c r="C632" i="1"/>
  <c r="B632" i="1"/>
  <c r="C631" i="1"/>
  <c r="B631" i="1"/>
  <c r="C630" i="1"/>
  <c r="B630" i="1"/>
  <c r="C629" i="1"/>
  <c r="B629" i="1"/>
  <c r="C628" i="1"/>
  <c r="B628" i="1"/>
  <c r="C627" i="1"/>
  <c r="B627" i="1"/>
  <c r="C626" i="1"/>
  <c r="B626" i="1"/>
  <c r="C625" i="1"/>
  <c r="B625" i="1"/>
  <c r="C624" i="1"/>
  <c r="B624" i="1"/>
  <c r="C623" i="1"/>
  <c r="B623" i="1"/>
  <c r="C622" i="1"/>
  <c r="B622" i="1"/>
  <c r="C621" i="1"/>
  <c r="B621" i="1"/>
  <c r="C620" i="1"/>
  <c r="B620" i="1"/>
  <c r="C619" i="1"/>
  <c r="B619" i="1"/>
  <c r="C618" i="1"/>
  <c r="B618" i="1"/>
  <c r="C617" i="1"/>
  <c r="B617" i="1"/>
  <c r="C616" i="1"/>
  <c r="B616" i="1"/>
  <c r="C615" i="1"/>
  <c r="B615" i="1"/>
  <c r="C614" i="1"/>
  <c r="B614" i="1"/>
  <c r="C613" i="1"/>
  <c r="B613" i="1"/>
  <c r="C612" i="1"/>
  <c r="B612" i="1"/>
  <c r="C611" i="1"/>
  <c r="B611" i="1"/>
  <c r="C610" i="1"/>
  <c r="B610" i="1"/>
  <c r="C609" i="1"/>
  <c r="B609" i="1"/>
  <c r="C608" i="1"/>
  <c r="B608" i="1"/>
  <c r="C607" i="1"/>
  <c r="B607" i="1"/>
  <c r="C606" i="1"/>
  <c r="B606" i="1"/>
  <c r="C605" i="1"/>
  <c r="B605" i="1"/>
  <c r="C604" i="1"/>
  <c r="B604" i="1"/>
  <c r="C603" i="1"/>
  <c r="B603" i="1"/>
  <c r="C602" i="1"/>
  <c r="B602" i="1"/>
  <c r="C601" i="1"/>
  <c r="B601" i="1"/>
  <c r="C600" i="1"/>
  <c r="B600" i="1"/>
  <c r="C599" i="1"/>
  <c r="B599" i="1"/>
  <c r="C598" i="1"/>
  <c r="B598" i="1"/>
  <c r="C597" i="1"/>
  <c r="B597" i="1"/>
  <c r="C596" i="1"/>
  <c r="B596" i="1"/>
  <c r="C595" i="1"/>
  <c r="B595" i="1"/>
  <c r="C594" i="1"/>
  <c r="B594" i="1"/>
  <c r="C593" i="1"/>
  <c r="B593" i="1"/>
  <c r="C592" i="1"/>
  <c r="B592" i="1"/>
  <c r="C591" i="1"/>
  <c r="B591" i="1"/>
  <c r="C590" i="1"/>
  <c r="B590" i="1"/>
  <c r="C589" i="1"/>
  <c r="B589" i="1"/>
  <c r="C588" i="1"/>
  <c r="B588" i="1"/>
  <c r="C587" i="1"/>
  <c r="B587" i="1"/>
  <c r="C586" i="1"/>
  <c r="B586" i="1"/>
  <c r="C585" i="1"/>
  <c r="B585" i="1"/>
  <c r="C584" i="1"/>
  <c r="B584" i="1"/>
  <c r="C583" i="1"/>
  <c r="B583" i="1"/>
  <c r="C582" i="1"/>
  <c r="B582" i="1"/>
  <c r="C581" i="1"/>
  <c r="B581" i="1"/>
  <c r="C580" i="1"/>
  <c r="B580" i="1"/>
  <c r="C579" i="1"/>
  <c r="B579" i="1"/>
  <c r="C578" i="1"/>
  <c r="B578" i="1"/>
  <c r="C577" i="1"/>
  <c r="B577" i="1"/>
  <c r="C576" i="1"/>
  <c r="B576" i="1"/>
  <c r="C575" i="1"/>
  <c r="B575" i="1"/>
  <c r="C574" i="1"/>
  <c r="B574" i="1"/>
  <c r="C573" i="1"/>
  <c r="B573" i="1"/>
  <c r="C572" i="1"/>
  <c r="B572" i="1"/>
  <c r="C571" i="1"/>
  <c r="B571" i="1"/>
  <c r="C570" i="1"/>
  <c r="B570" i="1"/>
  <c r="C569" i="1"/>
  <c r="B569" i="1"/>
  <c r="C568" i="1"/>
  <c r="B568" i="1"/>
  <c r="C567" i="1"/>
  <c r="B567" i="1"/>
  <c r="C566" i="1"/>
  <c r="B566" i="1"/>
  <c r="C565" i="1"/>
  <c r="B565" i="1"/>
  <c r="C564" i="1"/>
  <c r="B564" i="1"/>
  <c r="C563" i="1"/>
  <c r="B563" i="1"/>
  <c r="C562" i="1"/>
  <c r="B562" i="1"/>
  <c r="C561" i="1"/>
  <c r="B561" i="1"/>
  <c r="C560" i="1"/>
  <c r="B560" i="1"/>
  <c r="C559" i="1"/>
  <c r="B559" i="1"/>
  <c r="C558" i="1"/>
  <c r="B558" i="1"/>
  <c r="C557" i="1"/>
  <c r="B557" i="1"/>
  <c r="C556" i="1"/>
  <c r="B556" i="1"/>
  <c r="C555" i="1"/>
  <c r="B555" i="1"/>
  <c r="C554" i="1"/>
  <c r="B554" i="1"/>
  <c r="C553" i="1"/>
  <c r="B553" i="1"/>
  <c r="C552" i="1"/>
  <c r="B552" i="1"/>
  <c r="C551" i="1"/>
  <c r="B551" i="1"/>
  <c r="C550" i="1"/>
  <c r="B550" i="1"/>
  <c r="C549" i="1"/>
  <c r="B549" i="1"/>
  <c r="C548" i="1"/>
  <c r="B548" i="1"/>
  <c r="C547" i="1"/>
  <c r="B547" i="1"/>
  <c r="C546" i="1"/>
  <c r="B546" i="1"/>
  <c r="C545" i="1"/>
  <c r="B545" i="1"/>
  <c r="C544" i="1"/>
  <c r="B544" i="1"/>
  <c r="C543" i="1"/>
  <c r="B543" i="1"/>
  <c r="C542" i="1"/>
  <c r="B542" i="1"/>
  <c r="C541" i="1"/>
  <c r="B541" i="1"/>
  <c r="C540" i="1"/>
  <c r="B540" i="1"/>
  <c r="C539" i="1"/>
  <c r="B539" i="1"/>
  <c r="C538" i="1"/>
  <c r="B538" i="1"/>
  <c r="C537" i="1"/>
  <c r="B537" i="1"/>
  <c r="C536" i="1"/>
  <c r="B536" i="1"/>
  <c r="C535" i="1"/>
  <c r="B535" i="1"/>
  <c r="C534" i="1"/>
  <c r="B534" i="1"/>
  <c r="C533" i="1"/>
  <c r="B533" i="1"/>
  <c r="C532" i="1"/>
  <c r="B532" i="1"/>
  <c r="C531" i="1"/>
  <c r="B531" i="1"/>
  <c r="C530" i="1"/>
  <c r="B530" i="1"/>
  <c r="C529" i="1"/>
  <c r="B529" i="1"/>
  <c r="C528" i="1"/>
  <c r="B528" i="1"/>
  <c r="C527" i="1"/>
  <c r="B527" i="1"/>
  <c r="C526" i="1"/>
  <c r="B526" i="1"/>
  <c r="C525" i="1"/>
  <c r="B525" i="1"/>
  <c r="C524" i="1"/>
  <c r="B524" i="1"/>
  <c r="C523" i="1"/>
  <c r="B523" i="1"/>
  <c r="C522" i="1"/>
  <c r="B522" i="1"/>
  <c r="C521" i="1"/>
  <c r="B521" i="1"/>
  <c r="C520" i="1"/>
  <c r="B520" i="1"/>
  <c r="C519" i="1"/>
  <c r="B519" i="1"/>
  <c r="C518" i="1"/>
  <c r="B518" i="1"/>
  <c r="C517" i="1"/>
  <c r="B517" i="1"/>
  <c r="C516" i="1"/>
  <c r="B516" i="1"/>
  <c r="C515" i="1"/>
  <c r="B515" i="1"/>
  <c r="C514" i="1"/>
  <c r="B514" i="1"/>
  <c r="C513" i="1"/>
  <c r="B513" i="1"/>
  <c r="C512" i="1"/>
  <c r="B512" i="1"/>
  <c r="C511" i="1"/>
  <c r="B511" i="1"/>
  <c r="C510" i="1"/>
  <c r="B510" i="1"/>
  <c r="C509" i="1"/>
  <c r="B509" i="1"/>
  <c r="C508" i="1"/>
  <c r="B508" i="1"/>
  <c r="C507" i="1"/>
  <c r="B507" i="1"/>
  <c r="C506" i="1"/>
  <c r="B506" i="1"/>
  <c r="C505" i="1"/>
  <c r="B505" i="1"/>
  <c r="C504" i="1"/>
  <c r="B504" i="1"/>
  <c r="C503" i="1"/>
  <c r="B503" i="1"/>
  <c r="C502" i="1"/>
  <c r="B502" i="1"/>
  <c r="C501" i="1"/>
  <c r="B501" i="1"/>
  <c r="C500" i="1"/>
  <c r="B500" i="1"/>
  <c r="C499" i="1"/>
  <c r="B499" i="1"/>
  <c r="C498" i="1"/>
  <c r="B498" i="1"/>
  <c r="C497" i="1"/>
  <c r="B497" i="1"/>
  <c r="C496" i="1"/>
  <c r="B496" i="1"/>
  <c r="C495" i="1"/>
  <c r="B495" i="1"/>
  <c r="C494" i="1"/>
  <c r="B494" i="1"/>
  <c r="C493" i="1"/>
  <c r="B493" i="1"/>
  <c r="C492" i="1"/>
  <c r="B492" i="1"/>
  <c r="C491" i="1"/>
  <c r="B491" i="1"/>
  <c r="C490" i="1"/>
  <c r="B490" i="1"/>
  <c r="C489" i="1"/>
  <c r="B489" i="1"/>
  <c r="C488" i="1"/>
  <c r="B488" i="1"/>
  <c r="C487" i="1"/>
  <c r="B487" i="1"/>
  <c r="C486" i="1"/>
  <c r="B486" i="1"/>
  <c r="C485" i="1"/>
  <c r="B485" i="1"/>
  <c r="C484" i="1"/>
  <c r="B484" i="1"/>
  <c r="C483" i="1"/>
  <c r="B483" i="1"/>
  <c r="C482" i="1"/>
  <c r="B482" i="1"/>
  <c r="C481" i="1"/>
  <c r="B481" i="1"/>
  <c r="C480" i="1"/>
  <c r="B480" i="1"/>
  <c r="C479" i="1"/>
  <c r="B479" i="1"/>
  <c r="C478" i="1"/>
  <c r="B478" i="1"/>
  <c r="C477" i="1"/>
  <c r="B477" i="1"/>
  <c r="C476" i="1"/>
  <c r="B476" i="1"/>
  <c r="C475" i="1"/>
  <c r="B475" i="1"/>
  <c r="C474" i="1"/>
  <c r="B474" i="1"/>
  <c r="C473" i="1"/>
  <c r="B473" i="1"/>
  <c r="C472" i="1"/>
  <c r="B472" i="1"/>
  <c r="C471" i="1"/>
  <c r="B471" i="1"/>
  <c r="C470" i="1"/>
  <c r="B470" i="1"/>
  <c r="C469" i="1"/>
  <c r="B469" i="1"/>
  <c r="C468" i="1"/>
  <c r="B468" i="1"/>
  <c r="C467" i="1"/>
  <c r="B467" i="1"/>
  <c r="C466" i="1"/>
  <c r="B466" i="1"/>
  <c r="C465" i="1"/>
  <c r="B465" i="1"/>
  <c r="C464" i="1"/>
  <c r="B464" i="1"/>
  <c r="C463" i="1"/>
  <c r="B463" i="1"/>
  <c r="C462" i="1"/>
  <c r="B462" i="1"/>
  <c r="C461" i="1"/>
  <c r="B461" i="1"/>
  <c r="C460" i="1"/>
  <c r="B460" i="1"/>
  <c r="C459" i="1"/>
  <c r="B459" i="1"/>
  <c r="C458" i="1"/>
  <c r="B458" i="1"/>
  <c r="C457" i="1"/>
  <c r="B457" i="1"/>
  <c r="C456" i="1"/>
  <c r="B456" i="1"/>
  <c r="C455" i="1"/>
  <c r="B455" i="1"/>
  <c r="C454" i="1"/>
  <c r="B454" i="1"/>
  <c r="C453" i="1"/>
  <c r="B453" i="1"/>
  <c r="C452" i="1"/>
  <c r="B452" i="1"/>
  <c r="C451" i="1"/>
  <c r="B451" i="1"/>
  <c r="C450" i="1"/>
  <c r="B450" i="1"/>
  <c r="C449" i="1"/>
  <c r="B449" i="1"/>
  <c r="C448" i="1"/>
  <c r="B448" i="1"/>
  <c r="C447" i="1"/>
  <c r="B447" i="1"/>
  <c r="C446" i="1"/>
  <c r="B446" i="1"/>
  <c r="C445" i="1"/>
  <c r="B445" i="1"/>
  <c r="C444" i="1"/>
  <c r="B444" i="1"/>
  <c r="C443" i="1"/>
  <c r="B443" i="1"/>
  <c r="C442" i="1"/>
  <c r="B442" i="1"/>
  <c r="C441" i="1"/>
  <c r="B441" i="1"/>
  <c r="C440" i="1"/>
  <c r="B440" i="1"/>
  <c r="C439" i="1"/>
  <c r="B439" i="1"/>
  <c r="C438" i="1"/>
  <c r="B438" i="1"/>
  <c r="C437" i="1"/>
  <c r="B437" i="1"/>
  <c r="C436" i="1"/>
  <c r="B436" i="1"/>
  <c r="C435" i="1"/>
  <c r="B435" i="1"/>
  <c r="C434" i="1"/>
  <c r="B434" i="1"/>
  <c r="C433" i="1"/>
  <c r="B433" i="1"/>
  <c r="C432" i="1"/>
  <c r="B432" i="1"/>
  <c r="C431" i="1"/>
  <c r="B431" i="1"/>
  <c r="C430" i="1"/>
  <c r="B430" i="1"/>
  <c r="C429" i="1"/>
  <c r="B429" i="1"/>
  <c r="C428" i="1"/>
  <c r="B428" i="1"/>
  <c r="C427" i="1"/>
  <c r="B427" i="1"/>
  <c r="C426" i="1"/>
  <c r="B426" i="1"/>
  <c r="C425" i="1"/>
  <c r="B425" i="1"/>
  <c r="C424" i="1"/>
  <c r="B424" i="1"/>
  <c r="C423" i="1"/>
  <c r="B423" i="1"/>
  <c r="C422" i="1"/>
  <c r="B422" i="1"/>
  <c r="C421" i="1"/>
  <c r="B421" i="1"/>
  <c r="C420" i="1"/>
  <c r="B420" i="1"/>
  <c r="C419" i="1"/>
  <c r="B419" i="1"/>
  <c r="C418" i="1"/>
  <c r="B418" i="1"/>
  <c r="C417" i="1"/>
  <c r="B417" i="1"/>
  <c r="C416" i="1"/>
  <c r="B416" i="1"/>
  <c r="C415" i="1"/>
  <c r="B415" i="1"/>
  <c r="C414" i="1"/>
  <c r="B414" i="1"/>
  <c r="C413" i="1"/>
  <c r="B413" i="1"/>
  <c r="C412" i="1"/>
  <c r="B412" i="1"/>
  <c r="C411" i="1"/>
  <c r="B411" i="1"/>
  <c r="C410" i="1"/>
  <c r="B410" i="1"/>
  <c r="C409" i="1"/>
  <c r="B409" i="1"/>
  <c r="C408" i="1"/>
  <c r="B408" i="1"/>
  <c r="C407" i="1"/>
  <c r="B407" i="1"/>
  <c r="C406" i="1"/>
  <c r="B406" i="1"/>
  <c r="C405" i="1"/>
  <c r="B405" i="1"/>
  <c r="C404" i="1"/>
  <c r="B404" i="1"/>
  <c r="C403" i="1"/>
  <c r="B403" i="1"/>
  <c r="C402" i="1"/>
  <c r="B402" i="1"/>
  <c r="C401" i="1"/>
  <c r="B401" i="1"/>
  <c r="C400" i="1"/>
  <c r="B400" i="1"/>
  <c r="C399" i="1"/>
  <c r="B399" i="1"/>
  <c r="C398" i="1"/>
  <c r="B398" i="1"/>
  <c r="C397" i="1"/>
  <c r="B397" i="1"/>
  <c r="C396" i="1"/>
  <c r="B396" i="1"/>
  <c r="C395" i="1"/>
  <c r="B395" i="1"/>
  <c r="C394" i="1"/>
  <c r="B394" i="1"/>
  <c r="C393" i="1"/>
  <c r="B393" i="1"/>
  <c r="C392" i="1"/>
  <c r="B392" i="1"/>
  <c r="C391" i="1"/>
  <c r="B391" i="1"/>
  <c r="C390" i="1"/>
  <c r="B390" i="1"/>
  <c r="C389" i="1"/>
  <c r="B389" i="1"/>
  <c r="C388" i="1"/>
  <c r="B388" i="1"/>
  <c r="C387" i="1"/>
  <c r="B387" i="1"/>
  <c r="C386" i="1"/>
  <c r="B386" i="1"/>
  <c r="C385" i="1"/>
  <c r="B385" i="1"/>
  <c r="C384" i="1"/>
  <c r="B384" i="1"/>
  <c r="C383" i="1"/>
  <c r="B383" i="1"/>
  <c r="C382" i="1"/>
  <c r="B382" i="1"/>
  <c r="C381" i="1"/>
  <c r="B381" i="1"/>
  <c r="C380" i="1"/>
  <c r="B380" i="1"/>
  <c r="C379" i="1"/>
  <c r="B379" i="1"/>
  <c r="C378" i="1"/>
  <c r="B378" i="1"/>
  <c r="C377" i="1"/>
  <c r="B377" i="1"/>
  <c r="C376" i="1"/>
  <c r="B376" i="1"/>
  <c r="C375" i="1"/>
  <c r="B375" i="1"/>
  <c r="C374" i="1"/>
  <c r="B374" i="1"/>
  <c r="C373" i="1"/>
  <c r="B373" i="1"/>
  <c r="C372" i="1"/>
  <c r="B372" i="1"/>
  <c r="C371" i="1"/>
  <c r="B371" i="1"/>
  <c r="C370" i="1"/>
  <c r="B370" i="1"/>
  <c r="C369" i="1"/>
  <c r="B369" i="1"/>
  <c r="C368" i="1"/>
  <c r="B368" i="1"/>
  <c r="C367" i="1"/>
  <c r="B367" i="1"/>
  <c r="C366" i="1"/>
  <c r="B366" i="1"/>
  <c r="C365" i="1"/>
  <c r="B365" i="1"/>
  <c r="C364" i="1"/>
  <c r="B364" i="1"/>
  <c r="C363" i="1"/>
  <c r="B363" i="1"/>
  <c r="C362" i="1"/>
  <c r="B362" i="1"/>
  <c r="C361" i="1"/>
  <c r="B361" i="1"/>
  <c r="C360" i="1"/>
  <c r="B360" i="1"/>
  <c r="C359" i="1"/>
  <c r="B359" i="1"/>
  <c r="C358" i="1"/>
  <c r="B358" i="1"/>
  <c r="C357" i="1"/>
  <c r="B357" i="1"/>
  <c r="C356" i="1"/>
  <c r="B356" i="1"/>
  <c r="C355" i="1"/>
  <c r="B355" i="1"/>
  <c r="C354" i="1"/>
  <c r="B354" i="1"/>
  <c r="C353" i="1"/>
  <c r="B353" i="1"/>
  <c r="C352" i="1"/>
  <c r="B352" i="1"/>
  <c r="C351" i="1"/>
  <c r="B351" i="1"/>
  <c r="C350" i="1"/>
  <c r="B350" i="1"/>
  <c r="C349" i="1"/>
  <c r="B349" i="1"/>
  <c r="C348" i="1"/>
  <c r="B348" i="1"/>
  <c r="C347" i="1"/>
  <c r="B347" i="1"/>
  <c r="C346" i="1"/>
  <c r="B346" i="1"/>
  <c r="C345" i="1"/>
  <c r="B345" i="1"/>
  <c r="C344" i="1"/>
  <c r="B344" i="1"/>
  <c r="C343" i="1"/>
  <c r="B343" i="1"/>
  <c r="C342" i="1"/>
  <c r="B342" i="1"/>
  <c r="C341" i="1"/>
  <c r="B341" i="1"/>
  <c r="C340" i="1"/>
  <c r="B340" i="1"/>
  <c r="C339" i="1"/>
  <c r="B339" i="1"/>
  <c r="C338" i="1"/>
  <c r="B338" i="1"/>
  <c r="C337" i="1"/>
  <c r="B337" i="1"/>
  <c r="C336" i="1"/>
  <c r="B336" i="1"/>
  <c r="C335" i="1"/>
  <c r="B335" i="1"/>
  <c r="C334" i="1"/>
  <c r="B334" i="1"/>
  <c r="C333" i="1"/>
  <c r="B333" i="1"/>
  <c r="C332" i="1"/>
  <c r="B332" i="1"/>
  <c r="C331" i="1"/>
  <c r="B331" i="1"/>
  <c r="C330" i="1"/>
  <c r="B330" i="1"/>
  <c r="C329" i="1"/>
  <c r="B329" i="1"/>
  <c r="C328" i="1"/>
  <c r="B328" i="1"/>
  <c r="C327" i="1"/>
  <c r="B327" i="1"/>
  <c r="C326" i="1"/>
  <c r="B326" i="1"/>
  <c r="C325" i="1"/>
  <c r="B325" i="1"/>
  <c r="C324" i="1"/>
  <c r="B324" i="1"/>
  <c r="C323" i="1"/>
  <c r="B323" i="1"/>
  <c r="C322" i="1"/>
  <c r="B322" i="1"/>
  <c r="C321" i="1"/>
  <c r="B321" i="1"/>
  <c r="C320" i="1"/>
  <c r="B320" i="1"/>
  <c r="C319" i="1"/>
  <c r="B319" i="1"/>
  <c r="C318" i="1"/>
  <c r="B318" i="1"/>
  <c r="C317" i="1"/>
  <c r="B317" i="1"/>
  <c r="C316" i="1"/>
  <c r="B316" i="1"/>
  <c r="C315" i="1"/>
  <c r="B315" i="1"/>
  <c r="C314" i="1"/>
  <c r="B314" i="1"/>
  <c r="C313" i="1"/>
  <c r="B313" i="1"/>
  <c r="C312" i="1"/>
  <c r="B312" i="1"/>
  <c r="C311" i="1"/>
  <c r="B311" i="1"/>
  <c r="C310" i="1"/>
  <c r="B310" i="1"/>
  <c r="C309" i="1"/>
  <c r="B309" i="1"/>
  <c r="C308" i="1"/>
  <c r="B308" i="1"/>
  <c r="C307" i="1"/>
  <c r="B307" i="1"/>
  <c r="C306" i="1"/>
  <c r="B306" i="1"/>
  <c r="C305" i="1"/>
  <c r="B305" i="1"/>
  <c r="C304" i="1"/>
  <c r="B304" i="1"/>
  <c r="C303" i="1"/>
  <c r="B303" i="1"/>
  <c r="C302" i="1"/>
  <c r="B302" i="1"/>
  <c r="C301" i="1"/>
  <c r="B301" i="1"/>
  <c r="C300" i="1"/>
  <c r="B300" i="1"/>
  <c r="C299" i="1"/>
  <c r="B299" i="1"/>
  <c r="C298" i="1"/>
  <c r="B298" i="1"/>
  <c r="C297" i="1"/>
  <c r="B297" i="1"/>
  <c r="C296" i="1"/>
  <c r="B296" i="1"/>
  <c r="C295" i="1"/>
  <c r="B295" i="1"/>
  <c r="C294" i="1"/>
  <c r="B294" i="1"/>
  <c r="C293" i="1"/>
  <c r="B293" i="1"/>
  <c r="C292" i="1"/>
  <c r="B292" i="1"/>
  <c r="C291" i="1"/>
  <c r="B291" i="1"/>
  <c r="C290" i="1"/>
  <c r="B290" i="1"/>
  <c r="C289" i="1"/>
  <c r="B289" i="1"/>
  <c r="C288" i="1"/>
  <c r="B288" i="1"/>
  <c r="C287" i="1"/>
  <c r="B287" i="1"/>
  <c r="C286" i="1"/>
  <c r="B286" i="1"/>
  <c r="C285" i="1"/>
  <c r="B285" i="1"/>
  <c r="C284" i="1"/>
  <c r="B284" i="1"/>
  <c r="C283" i="1"/>
  <c r="B283" i="1"/>
  <c r="C282" i="1"/>
  <c r="B282" i="1"/>
  <c r="C281" i="1"/>
  <c r="B281" i="1"/>
  <c r="C280" i="1"/>
  <c r="B280" i="1"/>
  <c r="C279" i="1"/>
  <c r="B279" i="1"/>
  <c r="C278" i="1"/>
  <c r="B278" i="1"/>
  <c r="C277" i="1"/>
  <c r="B277" i="1"/>
  <c r="C276" i="1"/>
  <c r="B276" i="1"/>
  <c r="C275" i="1"/>
  <c r="B275" i="1"/>
  <c r="C274" i="1"/>
  <c r="B274" i="1"/>
  <c r="C273" i="1"/>
  <c r="B273" i="1"/>
  <c r="C272" i="1"/>
  <c r="B272" i="1"/>
  <c r="C271" i="1"/>
  <c r="B271" i="1"/>
  <c r="C270" i="1"/>
  <c r="B270" i="1"/>
  <c r="C269" i="1"/>
  <c r="B269" i="1"/>
  <c r="C268" i="1"/>
  <c r="B268" i="1"/>
  <c r="C267" i="1"/>
  <c r="B267" i="1"/>
  <c r="C266" i="1"/>
  <c r="B266" i="1"/>
  <c r="C265" i="1"/>
  <c r="B265" i="1"/>
  <c r="C264" i="1"/>
  <c r="B264" i="1"/>
  <c r="C263" i="1"/>
  <c r="B263" i="1"/>
  <c r="C262" i="1"/>
  <c r="B262" i="1"/>
  <c r="C261" i="1"/>
  <c r="B261" i="1"/>
  <c r="C260" i="1"/>
  <c r="B260" i="1"/>
  <c r="C259" i="1"/>
  <c r="B259" i="1"/>
  <c r="C258" i="1"/>
  <c r="B258" i="1"/>
  <c r="C257" i="1"/>
  <c r="B257" i="1"/>
  <c r="C256" i="1"/>
  <c r="B256" i="1"/>
  <c r="C255" i="1"/>
  <c r="B255" i="1"/>
  <c r="C254" i="1"/>
  <c r="B254" i="1"/>
  <c r="C253" i="1"/>
  <c r="B253" i="1"/>
  <c r="C252" i="1"/>
  <c r="B252" i="1"/>
  <c r="C251" i="1"/>
  <c r="B251" i="1"/>
  <c r="C250" i="1"/>
  <c r="B250" i="1"/>
  <c r="C249" i="1"/>
  <c r="B249" i="1"/>
  <c r="C248" i="1"/>
  <c r="B248" i="1"/>
  <c r="C247" i="1"/>
  <c r="B247" i="1"/>
  <c r="C246" i="1"/>
  <c r="B246" i="1"/>
  <c r="C245" i="1"/>
  <c r="B245" i="1"/>
  <c r="C244" i="1"/>
  <c r="B244" i="1"/>
  <c r="C243" i="1"/>
  <c r="B243" i="1"/>
  <c r="C242" i="1"/>
  <c r="B242" i="1"/>
  <c r="C241" i="1"/>
  <c r="B241" i="1"/>
  <c r="C240" i="1"/>
  <c r="B240" i="1"/>
  <c r="C239" i="1"/>
  <c r="B239" i="1"/>
  <c r="C238" i="1"/>
  <c r="B238" i="1"/>
  <c r="C237" i="1"/>
  <c r="B237" i="1"/>
  <c r="C236" i="1"/>
  <c r="B236" i="1"/>
  <c r="C235" i="1"/>
  <c r="B235" i="1"/>
  <c r="C234" i="1"/>
  <c r="B234" i="1"/>
  <c r="C233" i="1"/>
  <c r="B233" i="1"/>
  <c r="C232" i="1"/>
  <c r="B232" i="1"/>
  <c r="C231" i="1"/>
  <c r="B231" i="1"/>
  <c r="C230" i="1"/>
  <c r="B230" i="1"/>
  <c r="C229" i="1"/>
  <c r="B229" i="1"/>
  <c r="C228" i="1"/>
  <c r="B228" i="1"/>
  <c r="C227" i="1"/>
  <c r="B227" i="1"/>
  <c r="C226" i="1"/>
  <c r="B226" i="1"/>
  <c r="C225" i="1"/>
  <c r="B225" i="1"/>
  <c r="C224" i="1"/>
  <c r="B224" i="1"/>
  <c r="C223" i="1"/>
  <c r="B223" i="1"/>
  <c r="C222" i="1"/>
  <c r="B222" i="1"/>
  <c r="C221" i="1"/>
  <c r="B221" i="1"/>
  <c r="C220" i="1"/>
  <c r="B220" i="1"/>
  <c r="C219" i="1"/>
  <c r="B219" i="1"/>
  <c r="C218" i="1"/>
  <c r="B218" i="1"/>
  <c r="C217" i="1"/>
  <c r="B217" i="1"/>
  <c r="C216" i="1"/>
  <c r="B216" i="1"/>
  <c r="C215" i="1"/>
  <c r="B215" i="1"/>
  <c r="C214" i="1"/>
  <c r="B214" i="1"/>
  <c r="C213" i="1"/>
  <c r="B213" i="1"/>
  <c r="C212" i="1"/>
  <c r="B212" i="1"/>
  <c r="C211" i="1"/>
  <c r="B211" i="1"/>
  <c r="C210" i="1"/>
  <c r="B210" i="1"/>
  <c r="C209" i="1"/>
  <c r="B209" i="1"/>
  <c r="C208" i="1"/>
  <c r="B208" i="1"/>
  <c r="C207" i="1"/>
  <c r="B207" i="1"/>
  <c r="C206" i="1"/>
  <c r="B206" i="1"/>
  <c r="C205" i="1"/>
  <c r="B205" i="1"/>
  <c r="C204" i="1"/>
  <c r="B204" i="1"/>
  <c r="C203" i="1"/>
  <c r="B203" i="1"/>
  <c r="C202" i="1"/>
  <c r="B202" i="1"/>
  <c r="C201" i="1"/>
  <c r="B201" i="1"/>
  <c r="C200" i="1"/>
  <c r="B200" i="1"/>
  <c r="C199" i="1"/>
  <c r="B199" i="1"/>
  <c r="C198" i="1"/>
  <c r="B198" i="1"/>
  <c r="C197" i="1"/>
  <c r="B197" i="1"/>
  <c r="C196" i="1"/>
  <c r="B196" i="1"/>
  <c r="C195" i="1"/>
  <c r="B195" i="1"/>
  <c r="C194" i="1"/>
  <c r="B194" i="1"/>
  <c r="C193" i="1"/>
  <c r="B193" i="1"/>
  <c r="C192" i="1"/>
  <c r="B192" i="1"/>
  <c r="C191" i="1"/>
  <c r="B191" i="1"/>
  <c r="C190" i="1"/>
  <c r="B190" i="1"/>
  <c r="C189" i="1"/>
  <c r="B189" i="1"/>
  <c r="C188" i="1"/>
  <c r="B188" i="1"/>
  <c r="C187" i="1"/>
  <c r="B187" i="1"/>
  <c r="C186" i="1"/>
  <c r="B186" i="1"/>
  <c r="C185" i="1"/>
  <c r="B185" i="1"/>
  <c r="C184" i="1"/>
  <c r="B184" i="1"/>
  <c r="C183" i="1"/>
  <c r="B183" i="1"/>
  <c r="C182" i="1"/>
  <c r="B182" i="1"/>
  <c r="C181" i="1"/>
  <c r="B181" i="1"/>
  <c r="C180" i="1"/>
  <c r="B180" i="1"/>
  <c r="C179" i="1"/>
  <c r="B179" i="1"/>
  <c r="C178" i="1"/>
  <c r="B178" i="1"/>
  <c r="C177" i="1"/>
  <c r="B177" i="1"/>
  <c r="C176" i="1"/>
  <c r="B176" i="1"/>
  <c r="C175" i="1"/>
  <c r="B175" i="1"/>
  <c r="C174" i="1"/>
  <c r="B174" i="1"/>
  <c r="C173" i="1"/>
  <c r="B173" i="1"/>
  <c r="C172" i="1"/>
  <c r="B172" i="1"/>
  <c r="C171" i="1"/>
  <c r="B171" i="1"/>
  <c r="C170" i="1"/>
  <c r="B170" i="1"/>
  <c r="C169" i="1"/>
  <c r="B169" i="1"/>
  <c r="C168" i="1"/>
  <c r="B168" i="1"/>
  <c r="C167" i="1"/>
  <c r="B167" i="1"/>
  <c r="C166" i="1"/>
  <c r="B166" i="1"/>
  <c r="C165" i="1"/>
  <c r="B165" i="1"/>
  <c r="C164" i="1"/>
  <c r="B164" i="1"/>
  <c r="C163" i="1"/>
  <c r="B163" i="1"/>
  <c r="C162" i="1"/>
  <c r="B162" i="1"/>
  <c r="C161" i="1"/>
  <c r="B161" i="1"/>
  <c r="C160" i="1"/>
  <c r="B160" i="1"/>
  <c r="C159" i="1"/>
  <c r="B159" i="1"/>
  <c r="C158" i="1"/>
  <c r="B158" i="1"/>
  <c r="C157" i="1"/>
  <c r="B157" i="1"/>
  <c r="C156" i="1"/>
  <c r="B156" i="1"/>
  <c r="C155" i="1"/>
  <c r="B155" i="1"/>
  <c r="C154" i="1"/>
  <c r="B154" i="1"/>
  <c r="C153" i="1"/>
  <c r="B153" i="1"/>
  <c r="C152" i="1"/>
  <c r="B152" i="1"/>
  <c r="C151" i="1"/>
  <c r="B151" i="1"/>
  <c r="C150" i="1"/>
  <c r="B150" i="1"/>
  <c r="C149" i="1"/>
  <c r="B149" i="1"/>
  <c r="C148" i="1"/>
  <c r="B148" i="1"/>
  <c r="C147" i="1"/>
  <c r="B147" i="1"/>
  <c r="C146" i="1"/>
  <c r="B146" i="1"/>
  <c r="C145" i="1"/>
  <c r="B145" i="1"/>
  <c r="C144" i="1"/>
  <c r="B144" i="1"/>
  <c r="C143" i="1"/>
  <c r="B143" i="1"/>
  <c r="C142" i="1"/>
  <c r="B142" i="1"/>
  <c r="C141" i="1"/>
  <c r="B141" i="1"/>
  <c r="C140" i="1"/>
  <c r="B140" i="1"/>
  <c r="C139" i="1"/>
  <c r="B139" i="1"/>
  <c r="C138" i="1"/>
  <c r="B138" i="1"/>
  <c r="C137" i="1"/>
  <c r="B137" i="1"/>
  <c r="C136" i="1"/>
  <c r="B136" i="1"/>
  <c r="C135" i="1"/>
  <c r="B135" i="1"/>
  <c r="C134" i="1"/>
  <c r="B134" i="1"/>
  <c r="C133" i="1"/>
  <c r="B133" i="1"/>
  <c r="C132" i="1"/>
  <c r="B132" i="1"/>
  <c r="C131" i="1"/>
  <c r="B131" i="1"/>
  <c r="C130" i="1"/>
  <c r="B130" i="1"/>
  <c r="C129" i="1"/>
  <c r="B129" i="1"/>
  <c r="C128" i="1"/>
  <c r="B128" i="1"/>
  <c r="C127" i="1"/>
  <c r="B127" i="1"/>
  <c r="C126" i="1"/>
  <c r="B126" i="1"/>
  <c r="C125" i="1"/>
  <c r="B125" i="1"/>
  <c r="C124" i="1"/>
  <c r="B124" i="1"/>
  <c r="C123" i="1"/>
  <c r="B123" i="1"/>
  <c r="C122" i="1"/>
  <c r="B122" i="1"/>
  <c r="C121" i="1"/>
  <c r="B121" i="1"/>
  <c r="C120" i="1"/>
  <c r="B120" i="1"/>
  <c r="C119" i="1"/>
  <c r="B119" i="1"/>
  <c r="C118" i="1"/>
  <c r="B118" i="1"/>
  <c r="C117" i="1"/>
  <c r="B117" i="1"/>
  <c r="C116" i="1"/>
  <c r="B116" i="1"/>
  <c r="C115" i="1"/>
  <c r="B115" i="1"/>
  <c r="C114" i="1"/>
  <c r="B114" i="1"/>
  <c r="C113" i="1"/>
  <c r="B113" i="1"/>
  <c r="C112" i="1"/>
  <c r="B112" i="1"/>
  <c r="C111" i="1"/>
  <c r="B111" i="1"/>
  <c r="C110" i="1"/>
  <c r="B110" i="1"/>
  <c r="C109" i="1"/>
  <c r="B109" i="1"/>
  <c r="C108" i="1"/>
  <c r="B108" i="1"/>
  <c r="C107" i="1"/>
  <c r="B107" i="1"/>
  <c r="C106" i="1"/>
  <c r="B106" i="1"/>
  <c r="C105" i="1"/>
  <c r="B105" i="1"/>
  <c r="C104" i="1"/>
  <c r="B104" i="1"/>
  <c r="C103" i="1"/>
  <c r="B103" i="1"/>
  <c r="C102" i="1"/>
  <c r="B102" i="1"/>
  <c r="C101" i="1"/>
  <c r="B101" i="1"/>
  <c r="C100" i="1"/>
  <c r="B100" i="1"/>
  <c r="C99" i="1"/>
  <c r="B99" i="1"/>
  <c r="C98" i="1"/>
  <c r="B98" i="1"/>
  <c r="C97" i="1"/>
  <c r="B97" i="1"/>
  <c r="C96" i="1"/>
  <c r="B96" i="1"/>
  <c r="C95" i="1"/>
  <c r="B95" i="1"/>
  <c r="C94" i="1"/>
  <c r="B94" i="1"/>
  <c r="C93" i="1"/>
  <c r="B93" i="1"/>
  <c r="C92" i="1"/>
  <c r="B92" i="1"/>
  <c r="C91" i="1"/>
  <c r="B91" i="1"/>
  <c r="C90" i="1"/>
  <c r="B90" i="1"/>
  <c r="C89" i="1"/>
  <c r="B89" i="1"/>
  <c r="C88" i="1"/>
  <c r="B88" i="1"/>
  <c r="C87" i="1"/>
  <c r="B87" i="1"/>
  <c r="C86" i="1"/>
  <c r="B86" i="1"/>
  <c r="C85" i="1"/>
  <c r="B85" i="1"/>
  <c r="C84" i="1"/>
  <c r="B84" i="1"/>
  <c r="C83" i="1"/>
  <c r="B83" i="1"/>
  <c r="C82" i="1"/>
  <c r="B82" i="1"/>
  <c r="C81" i="1"/>
  <c r="B81" i="1"/>
  <c r="C80" i="1"/>
  <c r="B80" i="1"/>
  <c r="C79" i="1"/>
  <c r="B79" i="1"/>
  <c r="C78" i="1"/>
  <c r="B78" i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/>
  <c r="C70" i="1"/>
  <c r="B70" i="1"/>
  <c r="C69" i="1"/>
  <c r="B69" i="1"/>
  <c r="C68" i="1"/>
  <c r="B68" i="1"/>
  <c r="C67" i="1"/>
  <c r="B67" i="1"/>
  <c r="C66" i="1"/>
  <c r="B66" i="1"/>
  <c r="C65" i="1"/>
  <c r="B65" i="1"/>
  <c r="C64" i="1"/>
  <c r="B64" i="1"/>
  <c r="C63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C54" i="1"/>
  <c r="B54" i="1"/>
  <c r="C53" i="1"/>
  <c r="B53" i="1"/>
  <c r="C52" i="1"/>
  <c r="B52" i="1"/>
  <c r="C51" i="1"/>
  <c r="B51" i="1"/>
  <c r="C50" i="1"/>
  <c r="B50" i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C9" i="1"/>
  <c r="B9" i="1"/>
  <c r="C8" i="1"/>
  <c r="B8" i="1"/>
  <c r="C7" i="1"/>
  <c r="B7" i="1"/>
  <c r="C6" i="1"/>
  <c r="B6" i="1"/>
  <c r="C5" i="1"/>
  <c r="B5" i="1"/>
  <c r="C4" i="1"/>
  <c r="B4" i="1"/>
  <c r="C3" i="1"/>
  <c r="B3" i="1"/>
  <c r="C2" i="1"/>
  <c r="B2" i="1"/>
  <c r="E300" i="7"/>
  <c r="E303" i="7"/>
  <c r="E299" i="7"/>
  <c r="C304" i="7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  <c r="D69" i="15"/>
  <c r="D829" i="15"/>
  <c r="E829" i="15"/>
  <c r="D731" i="15"/>
  <c r="E731" i="15"/>
  <c r="D683" i="15"/>
  <c r="E683" i="15"/>
  <c r="E581" i="15"/>
  <c r="D581" i="15"/>
  <c r="E497" i="15"/>
  <c r="D497" i="15"/>
  <c r="D431" i="15"/>
  <c r="E431" i="15"/>
  <c r="D309" i="15"/>
  <c r="E309" i="15"/>
  <c r="G51" i="12"/>
  <c r="D51" i="12"/>
  <c r="C51" i="12"/>
  <c r="G583" i="11"/>
  <c r="D583" i="11"/>
  <c r="E733" i="11"/>
  <c r="D733" i="11"/>
  <c r="G733" i="11"/>
  <c r="I733" i="11"/>
  <c r="J685" i="11"/>
  <c r="K685" i="11"/>
  <c r="I685" i="11"/>
  <c r="D685" i="11"/>
  <c r="G685" i="11"/>
  <c r="I499" i="11"/>
  <c r="J70" i="11"/>
  <c r="J830" i="11"/>
  <c r="G830" i="11"/>
  <c r="E830" i="11"/>
  <c r="G1205" i="11"/>
  <c r="D1205" i="11"/>
  <c r="I151" i="11"/>
  <c r="H151" i="11"/>
  <c r="G151" i="11"/>
  <c r="D151" i="11"/>
  <c r="D1163" i="10"/>
  <c r="G1163" i="10"/>
  <c r="E467" i="8"/>
  <c r="E365" i="8"/>
  <c r="E311" i="8"/>
  <c r="E259" i="8"/>
  <c r="E53" i="8"/>
  <c r="E1223" i="1"/>
  <c r="F1223" i="1"/>
  <c r="G1223" i="1"/>
  <c r="D1223" i="1"/>
  <c r="E1096" i="1"/>
  <c r="F1096" i="1"/>
  <c r="G1096" i="1"/>
  <c r="D1096" i="1"/>
  <c r="E839" i="1"/>
  <c r="F839" i="1"/>
  <c r="G839" i="1"/>
  <c r="D839" i="1"/>
  <c r="E741" i="1"/>
  <c r="F741" i="1"/>
  <c r="G741" i="1"/>
  <c r="D741" i="1"/>
  <c r="E692" i="1"/>
  <c r="F692" i="1"/>
  <c r="G692" i="1"/>
  <c r="D692" i="1"/>
  <c r="E589" i="1"/>
  <c r="F589" i="1"/>
  <c r="G589" i="1"/>
  <c r="D589" i="1"/>
  <c r="D505" i="1"/>
  <c r="F505" i="1"/>
  <c r="G505" i="1"/>
  <c r="E437" i="1"/>
  <c r="F437" i="1"/>
  <c r="G437" i="1"/>
  <c r="D437" i="1"/>
  <c r="E313" i="1"/>
  <c r="F313" i="1"/>
  <c r="G313" i="1"/>
  <c r="D313" i="1"/>
  <c r="D148" i="1"/>
  <c r="E148" i="1"/>
  <c r="G148" i="1"/>
  <c r="F148" i="1"/>
  <c r="F69" i="1"/>
  <c r="D69" i="1"/>
  <c r="D1225" i="1"/>
  <c r="Z159" i="25"/>
  <c r="Z149" i="25"/>
  <c r="Z148" i="25"/>
  <c r="Z114" i="25"/>
  <c r="Z157" i="25"/>
  <c r="Z156" i="25"/>
  <c r="X143" i="25"/>
  <c r="W143" i="25"/>
  <c r="Z143" i="25"/>
  <c r="E294" i="11"/>
  <c r="E288" i="11"/>
  <c r="Z131" i="25"/>
  <c r="E282" i="11"/>
  <c r="Z118" i="25"/>
  <c r="X116" i="25"/>
  <c r="W113" i="25"/>
  <c r="Z113" i="25"/>
  <c r="Z112" i="25"/>
  <c r="W109" i="25"/>
  <c r="Z109" i="25"/>
  <c r="Z108" i="25"/>
  <c r="Z96" i="25"/>
  <c r="Z87" i="25"/>
  <c r="Z84" i="25"/>
  <c r="E205" i="11"/>
  <c r="X50" i="25"/>
  <c r="E202" i="11"/>
  <c r="Z25" i="25"/>
  <c r="E256" i="11"/>
  <c r="X95" i="25"/>
  <c r="Z95" i="25"/>
  <c r="E247" i="11"/>
  <c r="E245" i="11"/>
  <c r="E222" i="11"/>
  <c r="Z62" i="25"/>
  <c r="W58" i="25"/>
  <c r="Z57" i="25"/>
  <c r="W53" i="25"/>
  <c r="Z53" i="25"/>
  <c r="Z22" i="25"/>
  <c r="Z144" i="25"/>
  <c r="E281" i="11"/>
  <c r="E275" i="11"/>
  <c r="X117" i="25"/>
  <c r="W117" i="25"/>
  <c r="Z117" i="25"/>
  <c r="X107" i="25"/>
  <c r="W107" i="25"/>
  <c r="Z107" i="25"/>
  <c r="Z100" i="25"/>
  <c r="Z89" i="25"/>
  <c r="E233" i="11"/>
  <c r="X76" i="25"/>
  <c r="E228" i="11"/>
  <c r="Z69" i="25"/>
  <c r="Z64" i="25"/>
  <c r="Z54" i="25"/>
  <c r="W50" i="25"/>
  <c r="Z50" i="25"/>
  <c r="Z49" i="25"/>
  <c r="Z37" i="25"/>
  <c r="E184" i="11"/>
  <c r="Z146" i="25"/>
  <c r="E280" i="11"/>
  <c r="E279" i="11"/>
  <c r="Z110" i="25"/>
  <c r="Z93" i="25"/>
  <c r="Z68" i="25"/>
  <c r="X58" i="25"/>
  <c r="E210" i="11"/>
  <c r="E189" i="11"/>
  <c r="W35" i="25"/>
  <c r="X35" i="25"/>
  <c r="Z35" i="25"/>
  <c r="Z34" i="25"/>
  <c r="E171" i="11"/>
  <c r="W4" i="25"/>
  <c r="E155" i="11"/>
  <c r="AE147" i="25"/>
  <c r="K299" i="11"/>
  <c r="W67" i="25"/>
  <c r="Z67" i="25"/>
  <c r="X46" i="25"/>
  <c r="Z43" i="25"/>
  <c r="Z27" i="25"/>
  <c r="E164" i="11"/>
  <c r="W10" i="25"/>
  <c r="Z10" i="25"/>
  <c r="X8" i="25"/>
  <c r="AE79" i="25"/>
  <c r="K231" i="11"/>
  <c r="L68" i="26"/>
  <c r="D69" i="11"/>
  <c r="E165" i="11"/>
  <c r="E8" i="11"/>
  <c r="E65" i="11"/>
  <c r="D62" i="11"/>
  <c r="L61" i="26"/>
  <c r="F62" i="11"/>
  <c r="F127" i="25"/>
  <c r="O127" i="25"/>
  <c r="F279" i="11"/>
  <c r="F107" i="25"/>
  <c r="O107" i="25"/>
  <c r="F259" i="11"/>
  <c r="Z66" i="25"/>
  <c r="X60" i="25"/>
  <c r="W60" i="25"/>
  <c r="E188" i="11"/>
  <c r="Z12" i="25"/>
  <c r="X4" i="25"/>
  <c r="E156" i="11"/>
  <c r="AE104" i="25"/>
  <c r="K256" i="11"/>
  <c r="AE58" i="25"/>
  <c r="K210" i="11"/>
  <c r="O117" i="25"/>
  <c r="F269" i="11"/>
  <c r="F104" i="25"/>
  <c r="O104" i="25"/>
  <c r="F256" i="11"/>
  <c r="F86" i="25"/>
  <c r="O86" i="25"/>
  <c r="F238" i="11"/>
  <c r="F74" i="25"/>
  <c r="O74" i="25"/>
  <c r="F226" i="11"/>
  <c r="F44" i="25"/>
  <c r="O44" i="25"/>
  <c r="F196" i="11"/>
  <c r="F36" i="25"/>
  <c r="O36" i="25"/>
  <c r="F188" i="11"/>
  <c r="F17" i="25"/>
  <c r="O17" i="25"/>
  <c r="F169" i="11"/>
  <c r="F4" i="25"/>
  <c r="O4" i="25"/>
  <c r="F156" i="11"/>
  <c r="E158" i="11"/>
  <c r="X6" i="25"/>
  <c r="Z6" i="25"/>
  <c r="I39" i="26"/>
  <c r="G5" i="11"/>
  <c r="U37" i="26"/>
  <c r="I38" i="11"/>
  <c r="F106" i="25"/>
  <c r="O106" i="25"/>
  <c r="F258" i="11"/>
  <c r="I38" i="26"/>
  <c r="E39" i="11"/>
  <c r="I65" i="26"/>
  <c r="E66" i="11"/>
  <c r="U50" i="26"/>
  <c r="I51" i="11"/>
  <c r="I19" i="26"/>
  <c r="F2" i="25"/>
  <c r="O2" i="25"/>
  <c r="F154" i="11"/>
  <c r="F128" i="25"/>
  <c r="O128" i="25"/>
  <c r="F280" i="11"/>
  <c r="U4" i="26"/>
  <c r="I5" i="11"/>
  <c r="F138" i="25"/>
  <c r="O138" i="25"/>
  <c r="F290" i="11"/>
  <c r="F136" i="25"/>
  <c r="O136" i="25"/>
  <c r="F288" i="11"/>
  <c r="F109" i="25"/>
  <c r="O109" i="25"/>
  <c r="F261" i="11"/>
  <c r="F88" i="25"/>
  <c r="O88" i="25"/>
  <c r="F240" i="11"/>
  <c r="F67" i="25"/>
  <c r="O67" i="25"/>
  <c r="F219" i="11"/>
  <c r="F53" i="25"/>
  <c r="O53" i="25"/>
  <c r="F205" i="11"/>
  <c r="F37" i="25"/>
  <c r="O37" i="25"/>
  <c r="F189" i="11"/>
  <c r="F19" i="25"/>
  <c r="O19" i="25"/>
  <c r="F171" i="11"/>
  <c r="L24" i="26"/>
  <c r="F25" i="11"/>
  <c r="F3" i="26"/>
  <c r="D4" i="11"/>
  <c r="G30" i="11"/>
  <c r="G9" i="11"/>
  <c r="I33" i="26"/>
  <c r="F149" i="25"/>
  <c r="O149" i="25"/>
  <c r="F301" i="11"/>
  <c r="F143" i="25"/>
  <c r="O143" i="25"/>
  <c r="F295" i="11"/>
  <c r="F135" i="25"/>
  <c r="O135" i="25"/>
  <c r="F287" i="11"/>
  <c r="O134" i="25"/>
  <c r="F286" i="11"/>
  <c r="F79" i="25"/>
  <c r="O79" i="25"/>
  <c r="F231" i="11"/>
  <c r="F68" i="25"/>
  <c r="O68" i="25"/>
  <c r="F220" i="11"/>
  <c r="F47" i="25"/>
  <c r="O47" i="25"/>
  <c r="F199" i="11"/>
  <c r="F39" i="25"/>
  <c r="O39" i="25"/>
  <c r="F191" i="11"/>
  <c r="F32" i="25"/>
  <c r="O32" i="25"/>
  <c r="F184" i="11"/>
  <c r="O13" i="25"/>
  <c r="F165" i="11"/>
  <c r="O11" i="25"/>
  <c r="F163" i="11"/>
  <c r="F9" i="25"/>
  <c r="O9" i="25"/>
  <c r="F161" i="11"/>
  <c r="E160" i="11"/>
  <c r="I15" i="26"/>
  <c r="E16" i="11"/>
  <c r="E20" i="11"/>
  <c r="E34" i="11"/>
  <c r="I37" i="26"/>
  <c r="E38" i="11"/>
  <c r="I52" i="26"/>
  <c r="E53" i="11"/>
  <c r="G13" i="11"/>
  <c r="G55" i="11"/>
  <c r="O93" i="25"/>
  <c r="F245" i="11"/>
  <c r="F2" i="26"/>
  <c r="D3" i="11"/>
  <c r="G53" i="11"/>
  <c r="U45" i="26"/>
  <c r="I46" i="11"/>
  <c r="U32" i="26"/>
  <c r="I33" i="11"/>
  <c r="U24" i="26"/>
  <c r="I25" i="11"/>
  <c r="U5" i="26"/>
  <c r="I6" i="11"/>
  <c r="U9" i="26"/>
  <c r="I10" i="11"/>
  <c r="F137" i="25"/>
  <c r="O137" i="25"/>
  <c r="F289" i="11"/>
  <c r="F147" i="25"/>
  <c r="O147" i="25"/>
  <c r="F299" i="11"/>
  <c r="O141" i="25"/>
  <c r="F293" i="11"/>
  <c r="O130" i="25"/>
  <c r="F282" i="11"/>
  <c r="F41" i="25"/>
  <c r="O41" i="25"/>
  <c r="F193" i="11"/>
  <c r="F22" i="25"/>
  <c r="O22" i="25"/>
  <c r="F174" i="11"/>
  <c r="F10" i="25"/>
  <c r="O10" i="25"/>
  <c r="F162" i="11"/>
  <c r="F3" i="25"/>
  <c r="O3" i="25"/>
  <c r="F155" i="11"/>
  <c r="O52" i="25"/>
  <c r="F204" i="11"/>
  <c r="O50" i="25"/>
  <c r="F202" i="11"/>
  <c r="O35" i="25"/>
  <c r="F187" i="11"/>
  <c r="O31" i="25"/>
  <c r="F183" i="11"/>
  <c r="O29" i="25"/>
  <c r="F181" i="11"/>
  <c r="O21" i="25"/>
  <c r="F173" i="11"/>
  <c r="E40" i="11"/>
  <c r="Z8" i="25"/>
  <c r="L2" i="26"/>
  <c r="E173" i="11"/>
  <c r="Z21" i="25"/>
  <c r="Z142" i="25"/>
  <c r="L3" i="26"/>
  <c r="Z31" i="25"/>
  <c r="E183" i="11"/>
  <c r="Z32" i="25"/>
  <c r="Z127" i="25"/>
  <c r="Z4" i="25"/>
  <c r="Z3" i="25"/>
  <c r="Z76" i="25"/>
  <c r="R68" i="26"/>
  <c r="H69" i="11"/>
  <c r="F69" i="11"/>
  <c r="Z36" i="25"/>
  <c r="Z58" i="25"/>
  <c r="Z13" i="25"/>
  <c r="Z123" i="25"/>
  <c r="F4" i="11"/>
  <c r="F3" i="11"/>
  <c r="E3" i="11"/>
  <c r="R2" i="26"/>
  <c r="H3" i="11"/>
  <c r="E12" i="11"/>
  <c r="E18" i="11"/>
  <c r="E27" i="11"/>
  <c r="E29" i="11"/>
  <c r="E32" i="11"/>
  <c r="E36" i="11"/>
  <c r="E45" i="11"/>
  <c r="E52" i="11"/>
  <c r="R51" i="26"/>
  <c r="H52" i="11"/>
  <c r="R53" i="26"/>
  <c r="H54" i="11"/>
  <c r="E54" i="11"/>
  <c r="E62" i="11"/>
  <c r="R61" i="26"/>
  <c r="H62" i="11"/>
  <c r="E64" i="11"/>
  <c r="R63" i="26"/>
  <c r="H64" i="11"/>
  <c r="E60" i="11"/>
  <c r="R7" i="26"/>
  <c r="H8" i="11"/>
  <c r="F8" i="11"/>
  <c r="D6" i="11"/>
  <c r="L5" i="26"/>
  <c r="F6" i="11"/>
  <c r="D12" i="11"/>
  <c r="L11" i="26"/>
  <c r="F12" i="11"/>
  <c r="D14" i="11"/>
  <c r="L13" i="26"/>
  <c r="F14" i="11"/>
  <c r="D16" i="11"/>
  <c r="L15" i="26"/>
  <c r="D18" i="11"/>
  <c r="L17" i="26"/>
  <c r="F18" i="11"/>
  <c r="D20" i="11"/>
  <c r="L19" i="26"/>
  <c r="F20" i="11"/>
  <c r="D22" i="11"/>
  <c r="L21" i="26"/>
  <c r="F22" i="11"/>
  <c r="D27" i="11"/>
  <c r="L26" i="26"/>
  <c r="F27" i="11"/>
  <c r="D29" i="11"/>
  <c r="L28" i="26"/>
  <c r="F29" i="11"/>
  <c r="D31" i="11"/>
  <c r="L30" i="26"/>
  <c r="F31" i="11"/>
  <c r="D37" i="11"/>
  <c r="L36" i="26"/>
  <c r="F37" i="11"/>
  <c r="D41" i="11"/>
  <c r="L40" i="26"/>
  <c r="F41" i="11"/>
  <c r="D45" i="11"/>
  <c r="L44" i="26"/>
  <c r="F45" i="11"/>
  <c r="D49" i="11"/>
  <c r="L48" i="26"/>
  <c r="D53" i="11"/>
  <c r="L52" i="26"/>
  <c r="D57" i="11"/>
  <c r="L56" i="26"/>
  <c r="D59" i="11"/>
  <c r="L58" i="26"/>
  <c r="F59" i="11"/>
  <c r="D61" i="11"/>
  <c r="L60" i="26"/>
  <c r="F61" i="11"/>
  <c r="L64" i="26"/>
  <c r="D65" i="11"/>
  <c r="E4" i="11"/>
  <c r="R3" i="26"/>
  <c r="H4" i="11"/>
  <c r="E6" i="11"/>
  <c r="R5" i="26"/>
  <c r="H6" i="11"/>
  <c r="E21" i="11"/>
  <c r="E23" i="11"/>
  <c r="E25" i="11"/>
  <c r="R24" i="26"/>
  <c r="H25" i="11"/>
  <c r="E33" i="11"/>
  <c r="R40" i="26"/>
  <c r="H41" i="11"/>
  <c r="E41" i="11"/>
  <c r="E43" i="11"/>
  <c r="R42" i="26"/>
  <c r="H43" i="11"/>
  <c r="E50" i="11"/>
  <c r="R49" i="26"/>
  <c r="H50" i="11"/>
  <c r="E59" i="11"/>
  <c r="L47" i="26"/>
  <c r="L45" i="26"/>
  <c r="L39" i="26"/>
  <c r="L35" i="26"/>
  <c r="F36" i="11"/>
  <c r="L33" i="26"/>
  <c r="F34" i="11"/>
  <c r="L27" i="26"/>
  <c r="F28" i="11"/>
  <c r="L23" i="26"/>
  <c r="F24" i="11"/>
  <c r="L9" i="26"/>
  <c r="R33" i="26"/>
  <c r="H34" i="11"/>
  <c r="R19" i="26"/>
  <c r="H20" i="11"/>
  <c r="E13" i="11"/>
  <c r="E17" i="11"/>
  <c r="E19" i="11"/>
  <c r="E26" i="11"/>
  <c r="R25" i="26"/>
  <c r="H26" i="11"/>
  <c r="R27" i="26"/>
  <c r="H28" i="11"/>
  <c r="E28" i="11"/>
  <c r="L29" i="26"/>
  <c r="R29" i="26"/>
  <c r="H30" i="11"/>
  <c r="E30" i="11"/>
  <c r="E35" i="11"/>
  <c r="E37" i="11"/>
  <c r="R36" i="26"/>
  <c r="H37" i="11"/>
  <c r="R54" i="26"/>
  <c r="H55" i="11"/>
  <c r="E55" i="11"/>
  <c r="R62" i="26"/>
  <c r="H63" i="11"/>
  <c r="E63" i="11"/>
  <c r="E67" i="11"/>
  <c r="R66" i="26"/>
  <c r="H67" i="11"/>
  <c r="F68" i="11"/>
  <c r="R67" i="26"/>
  <c r="H68" i="11"/>
  <c r="D5" i="11"/>
  <c r="D7" i="11"/>
  <c r="D9" i="11"/>
  <c r="D11" i="11"/>
  <c r="D13" i="11"/>
  <c r="D15" i="11"/>
  <c r="D19" i="11"/>
  <c r="D21" i="11"/>
  <c r="D23" i="11"/>
  <c r="D30" i="11"/>
  <c r="D32" i="11"/>
  <c r="D38" i="11"/>
  <c r="D60" i="11"/>
  <c r="D66" i="11"/>
  <c r="D70" i="11"/>
  <c r="L4" i="26"/>
  <c r="F5" i="11"/>
  <c r="L6" i="26"/>
  <c r="F7" i="11"/>
  <c r="L8" i="26"/>
  <c r="L10" i="26"/>
  <c r="L12" i="26"/>
  <c r="F13" i="11"/>
  <c r="L14" i="26"/>
  <c r="L18" i="26"/>
  <c r="F19" i="11"/>
  <c r="L20" i="26"/>
  <c r="F21" i="11"/>
  <c r="L22" i="26"/>
  <c r="F23" i="11"/>
  <c r="F30" i="11"/>
  <c r="L31" i="26"/>
  <c r="F32" i="11"/>
  <c r="L37" i="26"/>
  <c r="L59" i="26"/>
  <c r="F60" i="11"/>
  <c r="E5" i="11"/>
  <c r="E7" i="11"/>
  <c r="R6" i="26"/>
  <c r="H7" i="11"/>
  <c r="E14" i="11"/>
  <c r="R13" i="26"/>
  <c r="H14" i="11"/>
  <c r="E22" i="11"/>
  <c r="R21" i="26"/>
  <c r="H22" i="11"/>
  <c r="E24" i="11"/>
  <c r="R23" i="26"/>
  <c r="H24" i="11"/>
  <c r="E31" i="11"/>
  <c r="R30" i="26"/>
  <c r="H31" i="11"/>
  <c r="R41" i="26"/>
  <c r="H42" i="11"/>
  <c r="E42" i="11"/>
  <c r="E44" i="11"/>
  <c r="R43" i="26"/>
  <c r="H44" i="11"/>
  <c r="E51" i="11"/>
  <c r="R50" i="26"/>
  <c r="H51" i="11"/>
  <c r="E56" i="11"/>
  <c r="R55" i="26"/>
  <c r="H56" i="11"/>
  <c r="R57" i="26"/>
  <c r="H58" i="11"/>
  <c r="E58" i="11"/>
  <c r="R60" i="26"/>
  <c r="H61" i="11"/>
  <c r="E61" i="11"/>
  <c r="L46" i="26"/>
  <c r="L38" i="26"/>
  <c r="L34" i="26"/>
  <c r="F35" i="11"/>
  <c r="L32" i="26"/>
  <c r="F33" i="11"/>
  <c r="L16" i="26"/>
  <c r="F17" i="11"/>
  <c r="L65" i="26"/>
  <c r="O70" i="25"/>
  <c r="F222" i="11"/>
  <c r="F823" i="11"/>
  <c r="AB90" i="24"/>
  <c r="H823" i="11"/>
  <c r="F815" i="11"/>
  <c r="AB82" i="24"/>
  <c r="H815" i="11"/>
  <c r="F807" i="11"/>
  <c r="AB74" i="24"/>
  <c r="H807" i="11"/>
  <c r="F799" i="11"/>
  <c r="AB66" i="24"/>
  <c r="H799" i="11"/>
  <c r="F791" i="11"/>
  <c r="AB58" i="24"/>
  <c r="H791" i="11"/>
  <c r="F783" i="11"/>
  <c r="AB50" i="24"/>
  <c r="H783" i="11"/>
  <c r="AB37" i="24"/>
  <c r="H770" i="11"/>
  <c r="F770" i="11"/>
  <c r="AB29" i="24"/>
  <c r="H762" i="11"/>
  <c r="F762" i="11"/>
  <c r="F754" i="11"/>
  <c r="AB21" i="24"/>
  <c r="H754" i="11"/>
  <c r="F746" i="11"/>
  <c r="AB13" i="24"/>
  <c r="H746" i="11"/>
  <c r="F738" i="11"/>
  <c r="AB5" i="24"/>
  <c r="H738" i="11"/>
  <c r="O101" i="25"/>
  <c r="F253" i="11"/>
  <c r="F785" i="11"/>
  <c r="AB52" i="24"/>
  <c r="H785" i="11"/>
  <c r="F777" i="11"/>
  <c r="AB44" i="24"/>
  <c r="H777" i="11"/>
  <c r="F772" i="11"/>
  <c r="AB39" i="24"/>
  <c r="H772" i="11"/>
  <c r="F764" i="11"/>
  <c r="AB31" i="24"/>
  <c r="H764" i="11"/>
  <c r="F756" i="11"/>
  <c r="AB23" i="24"/>
  <c r="H756" i="11"/>
  <c r="F748" i="11"/>
  <c r="AB15" i="24"/>
  <c r="H748" i="11"/>
  <c r="F740" i="11"/>
  <c r="AB7" i="24"/>
  <c r="H740" i="11"/>
  <c r="F827" i="11"/>
  <c r="AB94" i="24"/>
  <c r="H827" i="11"/>
  <c r="F819" i="11"/>
  <c r="AB86" i="24"/>
  <c r="H819" i="11"/>
  <c r="F811" i="11"/>
  <c r="AB78" i="24"/>
  <c r="H811" i="11"/>
  <c r="F803" i="11"/>
  <c r="AB70" i="24"/>
  <c r="H803" i="11"/>
  <c r="F795" i="11"/>
  <c r="AB62" i="24"/>
  <c r="H795" i="11"/>
  <c r="F787" i="11"/>
  <c r="AB54" i="24"/>
  <c r="H787" i="11"/>
  <c r="F779" i="11"/>
  <c r="AB46" i="24"/>
  <c r="H779" i="11"/>
  <c r="AB41" i="24"/>
  <c r="H774" i="11"/>
  <c r="F774" i="11"/>
  <c r="AB33" i="24"/>
  <c r="H766" i="11"/>
  <c r="F766" i="11"/>
  <c r="F758" i="11"/>
  <c r="AB25" i="24"/>
  <c r="H758" i="11"/>
  <c r="F750" i="11"/>
  <c r="AB17" i="24"/>
  <c r="H750" i="11"/>
  <c r="F742" i="11"/>
  <c r="AB9" i="24"/>
  <c r="H742" i="11"/>
  <c r="F789" i="11"/>
  <c r="AB56" i="24"/>
  <c r="H789" i="11"/>
  <c r="F781" i="11"/>
  <c r="AB48" i="24"/>
  <c r="H781" i="11"/>
  <c r="F776" i="11"/>
  <c r="AB43" i="24"/>
  <c r="H776" i="11"/>
  <c r="F768" i="11"/>
  <c r="AB35" i="24"/>
  <c r="H768" i="11"/>
  <c r="F752" i="11"/>
  <c r="AB19" i="24"/>
  <c r="H752" i="11"/>
  <c r="F744" i="11"/>
  <c r="AB11" i="24"/>
  <c r="H744" i="11"/>
  <c r="F736" i="11"/>
  <c r="AB3" i="24"/>
  <c r="H736" i="11"/>
  <c r="Y2" i="25"/>
  <c r="H154" i="11"/>
  <c r="W2" i="25"/>
  <c r="Z2" i="25"/>
  <c r="O116" i="25"/>
  <c r="F268" i="11"/>
  <c r="O94" i="25"/>
  <c r="F246" i="11"/>
  <c r="O69" i="25"/>
  <c r="F221" i="11"/>
  <c r="O156" i="25"/>
  <c r="F308" i="11"/>
  <c r="F66" i="25"/>
  <c r="O66" i="25"/>
  <c r="F218" i="11"/>
  <c r="K94" i="24"/>
  <c r="K90" i="24"/>
  <c r="K86" i="24"/>
  <c r="K82" i="24"/>
  <c r="D827" i="11"/>
  <c r="D823" i="11"/>
  <c r="D819" i="11"/>
  <c r="D815" i="11"/>
  <c r="D811" i="11"/>
  <c r="D807" i="11"/>
  <c r="D803" i="11"/>
  <c r="D799" i="11"/>
  <c r="D795" i="11"/>
  <c r="D791" i="11"/>
  <c r="D787" i="11"/>
  <c r="D783" i="11"/>
  <c r="D779" i="11"/>
  <c r="Q96" i="24"/>
  <c r="Q92" i="24"/>
  <c r="Q88" i="24"/>
  <c r="Q84" i="24"/>
  <c r="Q80" i="24"/>
  <c r="Q76" i="24"/>
  <c r="Q72" i="24"/>
  <c r="Q68" i="24"/>
  <c r="Q64" i="24"/>
  <c r="Q60" i="24"/>
  <c r="L137" i="25"/>
  <c r="E289" i="11"/>
  <c r="Q135" i="25"/>
  <c r="Q129" i="25"/>
  <c r="Y125" i="25"/>
  <c r="H277" i="11"/>
  <c r="Y121" i="25"/>
  <c r="H273" i="11"/>
  <c r="Q116" i="25"/>
  <c r="Y105" i="25"/>
  <c r="H257" i="11"/>
  <c r="Q101" i="25"/>
  <c r="Y99" i="25"/>
  <c r="H251" i="11"/>
  <c r="Y97" i="25"/>
  <c r="H249" i="11"/>
  <c r="Q81" i="25"/>
  <c r="Q70" i="25"/>
  <c r="L61" i="25"/>
  <c r="E213" i="11"/>
  <c r="Q61" i="25"/>
  <c r="Y32" i="25"/>
  <c r="H184" i="11"/>
  <c r="Y31" i="25"/>
  <c r="H183" i="11"/>
  <c r="F683" i="11"/>
  <c r="F679" i="11"/>
  <c r="F675" i="11"/>
  <c r="F671" i="11"/>
  <c r="F667" i="11"/>
  <c r="F663" i="11"/>
  <c r="F659" i="11"/>
  <c r="F655" i="11"/>
  <c r="F651" i="11"/>
  <c r="F647" i="11"/>
  <c r="F643" i="11"/>
  <c r="F639" i="11"/>
  <c r="F635" i="11"/>
  <c r="F631" i="11"/>
  <c r="F627" i="11"/>
  <c r="F623" i="11"/>
  <c r="F619" i="11"/>
  <c r="Q137" i="25"/>
  <c r="Q104" i="25"/>
  <c r="L78" i="25"/>
  <c r="E230" i="11"/>
  <c r="Y69" i="25"/>
  <c r="H221" i="11"/>
  <c r="Y13" i="25"/>
  <c r="H165" i="11"/>
  <c r="F618" i="11"/>
  <c r="F614" i="11"/>
  <c r="F610" i="11"/>
  <c r="F606" i="11"/>
  <c r="F602" i="11"/>
  <c r="F598" i="11"/>
  <c r="F594" i="11"/>
  <c r="F590" i="11"/>
  <c r="F586" i="11"/>
  <c r="Q136" i="25"/>
  <c r="Y131" i="25"/>
  <c r="H283" i="11"/>
  <c r="Q128" i="25"/>
  <c r="Y126" i="25"/>
  <c r="H278" i="11"/>
  <c r="Y124" i="25"/>
  <c r="H276" i="11"/>
  <c r="Y100" i="25"/>
  <c r="H252" i="11"/>
  <c r="Y98" i="25"/>
  <c r="H250" i="11"/>
  <c r="Y96" i="25"/>
  <c r="H248" i="11"/>
  <c r="Y76" i="25"/>
  <c r="H228" i="11"/>
  <c r="L60" i="25"/>
  <c r="Q141" i="25"/>
  <c r="Q139" i="25"/>
  <c r="Q138" i="25"/>
  <c r="Q132" i="25"/>
  <c r="L132" i="25"/>
  <c r="E284" i="11"/>
  <c r="Q130" i="25"/>
  <c r="Y123" i="25"/>
  <c r="H275" i="11"/>
  <c r="L79" i="25"/>
  <c r="E231" i="11"/>
  <c r="Q79" i="25"/>
  <c r="Q78" i="25"/>
  <c r="Y65" i="25"/>
  <c r="H217" i="11"/>
  <c r="Y12" i="25"/>
  <c r="H164" i="11"/>
  <c r="N91" i="38"/>
  <c r="H644" i="10"/>
  <c r="F644" i="10"/>
  <c r="N75" i="38"/>
  <c r="H628" i="10"/>
  <c r="F628" i="10"/>
  <c r="N59" i="38"/>
  <c r="H612" i="10"/>
  <c r="F612" i="10"/>
  <c r="N41" i="38"/>
  <c r="H594" i="10"/>
  <c r="F594" i="10"/>
  <c r="N25" i="38"/>
  <c r="H578" i="10"/>
  <c r="F578" i="10"/>
  <c r="N9" i="38"/>
  <c r="H562" i="10"/>
  <c r="F562" i="10"/>
  <c r="P43" i="40"/>
  <c r="H1086" i="10"/>
  <c r="E1086" i="10"/>
  <c r="P27" i="40"/>
  <c r="H1070" i="10"/>
  <c r="E1070" i="10"/>
  <c r="P11" i="40"/>
  <c r="H1054" i="10"/>
  <c r="E1054" i="10"/>
  <c r="Q47" i="25"/>
  <c r="Q46" i="25"/>
  <c r="Q45" i="25"/>
  <c r="Q44" i="25"/>
  <c r="Q41" i="25"/>
  <c r="Q39" i="25"/>
  <c r="Q29" i="25"/>
  <c r="Q19" i="25"/>
  <c r="U2" i="34"/>
  <c r="H147" i="10"/>
  <c r="U138" i="34"/>
  <c r="H283" i="10"/>
  <c r="U135" i="34"/>
  <c r="H280" i="10"/>
  <c r="U133" i="34"/>
  <c r="H278" i="10"/>
  <c r="U131" i="34"/>
  <c r="H276" i="10"/>
  <c r="U129" i="34"/>
  <c r="H274" i="10"/>
  <c r="U127" i="34"/>
  <c r="H272" i="10"/>
  <c r="U125" i="34"/>
  <c r="H270" i="10"/>
  <c r="U122" i="34"/>
  <c r="H267" i="10"/>
  <c r="U118" i="34"/>
  <c r="H263" i="10"/>
  <c r="U116" i="34"/>
  <c r="H261" i="10"/>
  <c r="U114" i="34"/>
  <c r="H259" i="10"/>
  <c r="U112" i="34"/>
  <c r="H257" i="10"/>
  <c r="U110" i="34"/>
  <c r="H255" i="10"/>
  <c r="U107" i="34"/>
  <c r="H252" i="10"/>
  <c r="U105" i="34"/>
  <c r="H250" i="10"/>
  <c r="U103" i="34"/>
  <c r="H248" i="10"/>
  <c r="U101" i="34"/>
  <c r="H246" i="10"/>
  <c r="U99" i="34"/>
  <c r="H244" i="10"/>
  <c r="U97" i="34"/>
  <c r="H242" i="10"/>
  <c r="U95" i="34"/>
  <c r="H240" i="10"/>
  <c r="U93" i="34"/>
  <c r="H238" i="10"/>
  <c r="U91" i="34"/>
  <c r="H236" i="10"/>
  <c r="U89" i="34"/>
  <c r="H234" i="10"/>
  <c r="U87" i="34"/>
  <c r="H232" i="10"/>
  <c r="U84" i="34"/>
  <c r="H229" i="10"/>
  <c r="U82" i="34"/>
  <c r="H227" i="10"/>
  <c r="U80" i="34"/>
  <c r="H225" i="10"/>
  <c r="U78" i="34"/>
  <c r="H223" i="10"/>
  <c r="U76" i="34"/>
  <c r="H221" i="10"/>
  <c r="U74" i="34"/>
  <c r="H219" i="10"/>
  <c r="U72" i="34"/>
  <c r="H217" i="10"/>
  <c r="U67" i="34"/>
  <c r="H212" i="10"/>
  <c r="U65" i="34"/>
  <c r="H210" i="10"/>
  <c r="U63" i="34"/>
  <c r="H208" i="10"/>
  <c r="U61" i="34"/>
  <c r="H206" i="10"/>
  <c r="U59" i="34"/>
  <c r="H204" i="10"/>
  <c r="U57" i="34"/>
  <c r="H202" i="10"/>
  <c r="U55" i="34"/>
  <c r="H200" i="10"/>
  <c r="U52" i="34"/>
  <c r="H197" i="10"/>
  <c r="U50" i="34"/>
  <c r="H195" i="10"/>
  <c r="U48" i="34"/>
  <c r="H193" i="10"/>
  <c r="U46" i="34"/>
  <c r="H191" i="10"/>
  <c r="U44" i="34"/>
  <c r="H189" i="10"/>
  <c r="U42" i="34"/>
  <c r="H187" i="10"/>
  <c r="U40" i="34"/>
  <c r="H185" i="10"/>
  <c r="U38" i="34"/>
  <c r="H183" i="10"/>
  <c r="U36" i="34"/>
  <c r="H181" i="10"/>
  <c r="U34" i="34"/>
  <c r="H179" i="10"/>
  <c r="U31" i="34"/>
  <c r="H176" i="10"/>
  <c r="U29" i="34"/>
  <c r="H174" i="10"/>
  <c r="U27" i="34"/>
  <c r="H172" i="10"/>
  <c r="U25" i="34"/>
  <c r="H170" i="10"/>
  <c r="U23" i="34"/>
  <c r="H168" i="10"/>
  <c r="U21" i="34"/>
  <c r="H166" i="10"/>
  <c r="U19" i="34"/>
  <c r="H164" i="10"/>
  <c r="U17" i="34"/>
  <c r="H162" i="10"/>
  <c r="U15" i="34"/>
  <c r="H160" i="10"/>
  <c r="U13" i="34"/>
  <c r="H158" i="10"/>
  <c r="U11" i="34"/>
  <c r="H156" i="10"/>
  <c r="U9" i="34"/>
  <c r="H154" i="10"/>
  <c r="U7" i="34"/>
  <c r="H152" i="10"/>
  <c r="U5" i="34"/>
  <c r="H150" i="10"/>
  <c r="U3" i="34"/>
  <c r="H148" i="10"/>
  <c r="D461" i="10"/>
  <c r="D446" i="10"/>
  <c r="D441" i="10"/>
  <c r="D433" i="10"/>
  <c r="D428" i="10"/>
  <c r="D423" i="10"/>
  <c r="D419" i="10"/>
  <c r="D409" i="10"/>
  <c r="F961" i="10"/>
  <c r="J157" i="37"/>
  <c r="H961" i="10"/>
  <c r="J155" i="37"/>
  <c r="H959" i="10"/>
  <c r="F959" i="10"/>
  <c r="F957" i="10"/>
  <c r="J153" i="37"/>
  <c r="H957" i="10"/>
  <c r="J151" i="37"/>
  <c r="H955" i="10"/>
  <c r="F955" i="10"/>
  <c r="F953" i="10"/>
  <c r="J149" i="37"/>
  <c r="H953" i="10"/>
  <c r="J147" i="37"/>
  <c r="H951" i="10"/>
  <c r="F951" i="10"/>
  <c r="F949" i="10"/>
  <c r="J145" i="37"/>
  <c r="H949" i="10"/>
  <c r="J143" i="37"/>
  <c r="H947" i="10"/>
  <c r="F947" i="10"/>
  <c r="F945" i="10"/>
  <c r="J141" i="37"/>
  <c r="H945" i="10"/>
  <c r="J139" i="37"/>
  <c r="H943" i="10"/>
  <c r="F943" i="10"/>
  <c r="F941" i="10"/>
  <c r="J137" i="37"/>
  <c r="H941" i="10"/>
  <c r="J135" i="37"/>
  <c r="H939" i="10"/>
  <c r="F939" i="10"/>
  <c r="F937" i="10"/>
  <c r="J133" i="37"/>
  <c r="H937" i="10"/>
  <c r="J131" i="37"/>
  <c r="H935" i="10"/>
  <c r="F935" i="10"/>
  <c r="F933" i="10"/>
  <c r="J129" i="37"/>
  <c r="H933" i="10"/>
  <c r="J127" i="37"/>
  <c r="H931" i="10"/>
  <c r="F931" i="10"/>
  <c r="F929" i="10"/>
  <c r="J125" i="37"/>
  <c r="H929" i="10"/>
  <c r="J123" i="37"/>
  <c r="H927" i="10"/>
  <c r="F927" i="10"/>
  <c r="F925" i="10"/>
  <c r="J121" i="37"/>
  <c r="H925" i="10"/>
  <c r="J119" i="37"/>
  <c r="H923" i="10"/>
  <c r="F923" i="10"/>
  <c r="F921" i="10"/>
  <c r="J117" i="37"/>
  <c r="H921" i="10"/>
  <c r="J115" i="37"/>
  <c r="H919" i="10"/>
  <c r="F919" i="10"/>
  <c r="F917" i="10"/>
  <c r="J113" i="37"/>
  <c r="H917" i="10"/>
  <c r="J111" i="37"/>
  <c r="H915" i="10"/>
  <c r="F915" i="10"/>
  <c r="F913" i="10"/>
  <c r="J109" i="37"/>
  <c r="H913" i="10"/>
  <c r="J107" i="37"/>
  <c r="H911" i="10"/>
  <c r="F911" i="10"/>
  <c r="F909" i="10"/>
  <c r="J105" i="37"/>
  <c r="H909" i="10"/>
  <c r="J103" i="37"/>
  <c r="H907" i="10"/>
  <c r="F907" i="10"/>
  <c r="F905" i="10"/>
  <c r="J101" i="37"/>
  <c r="H905" i="10"/>
  <c r="J99" i="37"/>
  <c r="H903" i="10"/>
  <c r="F903" i="10"/>
  <c r="F901" i="10"/>
  <c r="J97" i="37"/>
  <c r="H901" i="10"/>
  <c r="J95" i="37"/>
  <c r="H899" i="10"/>
  <c r="F899" i="10"/>
  <c r="F897" i="10"/>
  <c r="J93" i="37"/>
  <c r="H897" i="10"/>
  <c r="J91" i="37"/>
  <c r="H895" i="10"/>
  <c r="F895" i="10"/>
  <c r="F893" i="10"/>
  <c r="J89" i="37"/>
  <c r="H893" i="10"/>
  <c r="J87" i="37"/>
  <c r="H891" i="10"/>
  <c r="F891" i="10"/>
  <c r="F889" i="10"/>
  <c r="J85" i="37"/>
  <c r="H889" i="10"/>
  <c r="J83" i="37"/>
  <c r="H887" i="10"/>
  <c r="F887" i="10"/>
  <c r="F885" i="10"/>
  <c r="J81" i="37"/>
  <c r="H885" i="10"/>
  <c r="J79" i="37"/>
  <c r="H883" i="10"/>
  <c r="F883" i="10"/>
  <c r="F881" i="10"/>
  <c r="J77" i="37"/>
  <c r="H881" i="10"/>
  <c r="J75" i="37"/>
  <c r="H879" i="10"/>
  <c r="F879" i="10"/>
  <c r="F877" i="10"/>
  <c r="J73" i="37"/>
  <c r="H877" i="10"/>
  <c r="J71" i="37"/>
  <c r="H875" i="10"/>
  <c r="F875" i="10"/>
  <c r="F873" i="10"/>
  <c r="J69" i="37"/>
  <c r="H873" i="10"/>
  <c r="J67" i="37"/>
  <c r="H871" i="10"/>
  <c r="F871" i="10"/>
  <c r="F869" i="10"/>
  <c r="J65" i="37"/>
  <c r="H869" i="10"/>
  <c r="J63" i="37"/>
  <c r="H867" i="10"/>
  <c r="F867" i="10"/>
  <c r="F865" i="10"/>
  <c r="J61" i="37"/>
  <c r="H865" i="10"/>
  <c r="J59" i="37"/>
  <c r="H863" i="10"/>
  <c r="F863" i="10"/>
  <c r="F861" i="10"/>
  <c r="J57" i="37"/>
  <c r="H861" i="10"/>
  <c r="J55" i="37"/>
  <c r="H859" i="10"/>
  <c r="F859" i="10"/>
  <c r="F857" i="10"/>
  <c r="J53" i="37"/>
  <c r="H857" i="10"/>
  <c r="J51" i="37"/>
  <c r="H855" i="10"/>
  <c r="F855" i="10"/>
  <c r="F852" i="10"/>
  <c r="J48" i="37"/>
  <c r="H852" i="10"/>
  <c r="J46" i="37"/>
  <c r="H850" i="10"/>
  <c r="F850" i="10"/>
  <c r="F847" i="10"/>
  <c r="J43" i="37"/>
  <c r="H847" i="10"/>
  <c r="J41" i="37"/>
  <c r="H845" i="10"/>
  <c r="F845" i="10"/>
  <c r="F843" i="10"/>
  <c r="J39" i="37"/>
  <c r="H843" i="10"/>
  <c r="J37" i="37"/>
  <c r="H841" i="10"/>
  <c r="F841" i="10"/>
  <c r="F839" i="10"/>
  <c r="J35" i="37"/>
  <c r="H839" i="10"/>
  <c r="J33" i="37"/>
  <c r="H837" i="10"/>
  <c r="F837" i="10"/>
  <c r="F835" i="10"/>
  <c r="J31" i="37"/>
  <c r="H835" i="10"/>
  <c r="J29" i="37"/>
  <c r="H833" i="10"/>
  <c r="F833" i="10"/>
  <c r="F831" i="10"/>
  <c r="J27" i="37"/>
  <c r="H831" i="10"/>
  <c r="J25" i="37"/>
  <c r="H829" i="10"/>
  <c r="F829" i="10"/>
  <c r="F827" i="10"/>
  <c r="J23" i="37"/>
  <c r="H827" i="10"/>
  <c r="J21" i="37"/>
  <c r="H825" i="10"/>
  <c r="F825" i="10"/>
  <c r="F823" i="10"/>
  <c r="J19" i="37"/>
  <c r="H823" i="10"/>
  <c r="J17" i="37"/>
  <c r="H821" i="10"/>
  <c r="F821" i="10"/>
  <c r="F819" i="10"/>
  <c r="J15" i="37"/>
  <c r="H819" i="10"/>
  <c r="J13" i="37"/>
  <c r="H817" i="10"/>
  <c r="F817" i="10"/>
  <c r="F815" i="10"/>
  <c r="J11" i="37"/>
  <c r="H815" i="10"/>
  <c r="J9" i="37"/>
  <c r="H813" i="10"/>
  <c r="F813" i="10"/>
  <c r="F811" i="10"/>
  <c r="J7" i="37"/>
  <c r="H811" i="10"/>
  <c r="J5" i="37"/>
  <c r="H809" i="10"/>
  <c r="F809" i="10"/>
  <c r="F807" i="10"/>
  <c r="J3" i="37"/>
  <c r="H807" i="10"/>
  <c r="N95" i="38"/>
  <c r="H648" i="10"/>
  <c r="F648" i="10"/>
  <c r="N79" i="38"/>
  <c r="H632" i="10"/>
  <c r="F632" i="10"/>
  <c r="N63" i="38"/>
  <c r="H616" i="10"/>
  <c r="F616" i="10"/>
  <c r="N45" i="38"/>
  <c r="H598" i="10"/>
  <c r="F598" i="10"/>
  <c r="N29" i="38"/>
  <c r="H582" i="10"/>
  <c r="F582" i="10"/>
  <c r="N13" i="38"/>
  <c r="H566" i="10"/>
  <c r="F566" i="10"/>
  <c r="P39" i="40"/>
  <c r="H1082" i="10"/>
  <c r="E1082" i="10"/>
  <c r="P23" i="40"/>
  <c r="H1066" i="10"/>
  <c r="E1066" i="10"/>
  <c r="P7" i="40"/>
  <c r="H1050" i="10"/>
  <c r="E1050" i="10"/>
  <c r="D465" i="10"/>
  <c r="D454" i="10"/>
  <c r="D450" i="10"/>
  <c r="D431" i="10"/>
  <c r="F1042" i="10"/>
  <c r="J238" i="37"/>
  <c r="H1042" i="10"/>
  <c r="J236" i="37"/>
  <c r="H1040" i="10"/>
  <c r="F1040" i="10"/>
  <c r="F1038" i="10"/>
  <c r="J234" i="37"/>
  <c r="H1038" i="10"/>
  <c r="J232" i="37"/>
  <c r="H1036" i="10"/>
  <c r="F1036" i="10"/>
  <c r="F1034" i="10"/>
  <c r="J230" i="37"/>
  <c r="H1034" i="10"/>
  <c r="J228" i="37"/>
  <c r="H1032" i="10"/>
  <c r="F1032" i="10"/>
  <c r="F1030" i="10"/>
  <c r="J226" i="37"/>
  <c r="H1030" i="10"/>
  <c r="N99" i="38"/>
  <c r="H652" i="10"/>
  <c r="F652" i="10"/>
  <c r="N83" i="38"/>
  <c r="H636" i="10"/>
  <c r="F636" i="10"/>
  <c r="N67" i="38"/>
  <c r="H620" i="10"/>
  <c r="F620" i="10"/>
  <c r="N50" i="38"/>
  <c r="H603" i="10"/>
  <c r="F603" i="10"/>
  <c r="N33" i="38"/>
  <c r="H586" i="10"/>
  <c r="F586" i="10"/>
  <c r="N17" i="38"/>
  <c r="H570" i="10"/>
  <c r="F570" i="10"/>
  <c r="P35" i="40"/>
  <c r="H1078" i="10"/>
  <c r="E1078" i="10"/>
  <c r="P19" i="40"/>
  <c r="H1062" i="10"/>
  <c r="E1062" i="10"/>
  <c r="P3" i="40"/>
  <c r="H1046" i="10"/>
  <c r="E1046" i="10"/>
  <c r="D456" i="10"/>
  <c r="D421" i="10"/>
  <c r="D417" i="10"/>
  <c r="D411" i="10"/>
  <c r="N87" i="38"/>
  <c r="H640" i="10"/>
  <c r="F640" i="10"/>
  <c r="N71" i="38"/>
  <c r="H624" i="10"/>
  <c r="F624" i="10"/>
  <c r="N55" i="38"/>
  <c r="H608" i="10"/>
  <c r="F608" i="10"/>
  <c r="N37" i="38"/>
  <c r="H590" i="10"/>
  <c r="F590" i="10"/>
  <c r="N21" i="38"/>
  <c r="H574" i="10"/>
  <c r="F574" i="10"/>
  <c r="N4" i="38"/>
  <c r="H557" i="10"/>
  <c r="F557" i="10"/>
  <c r="P51" i="40"/>
  <c r="H1094" i="10"/>
  <c r="E1094" i="10"/>
  <c r="P47" i="40"/>
  <c r="H1090" i="10"/>
  <c r="E1090" i="10"/>
  <c r="P31" i="40"/>
  <c r="H1074" i="10"/>
  <c r="E1074" i="10"/>
  <c r="P15" i="40"/>
  <c r="H1058" i="10"/>
  <c r="E1058" i="10"/>
  <c r="F654" i="10"/>
  <c r="F650" i="10"/>
  <c r="F646" i="10"/>
  <c r="F642" i="10"/>
  <c r="F638" i="10"/>
  <c r="F634" i="10"/>
  <c r="F630" i="10"/>
  <c r="F626" i="10"/>
  <c r="F622" i="10"/>
  <c r="F618" i="10"/>
  <c r="F614" i="10"/>
  <c r="F610" i="10"/>
  <c r="F605" i="10"/>
  <c r="F600" i="10"/>
  <c r="F596" i="10"/>
  <c r="F592" i="10"/>
  <c r="F588" i="10"/>
  <c r="F584" i="10"/>
  <c r="F580" i="10"/>
  <c r="F576" i="10"/>
  <c r="F572" i="10"/>
  <c r="F568" i="10"/>
  <c r="F564" i="10"/>
  <c r="F559" i="10"/>
  <c r="G704" i="10"/>
  <c r="O5" i="10"/>
  <c r="Q660" i="10"/>
  <c r="R659" i="10"/>
  <c r="Y29" i="25"/>
  <c r="H181" i="11"/>
  <c r="W29" i="25"/>
  <c r="Z29" i="25"/>
  <c r="Y45" i="25"/>
  <c r="H197" i="11"/>
  <c r="W45" i="25"/>
  <c r="Z45" i="25"/>
  <c r="Y79" i="25"/>
  <c r="H231" i="11"/>
  <c r="W79" i="25"/>
  <c r="Z79" i="25"/>
  <c r="Y141" i="25"/>
  <c r="H293" i="11"/>
  <c r="W141" i="25"/>
  <c r="Z141" i="25"/>
  <c r="Y128" i="25"/>
  <c r="H280" i="11"/>
  <c r="W128" i="25"/>
  <c r="Z128" i="25"/>
  <c r="Y104" i="25"/>
  <c r="H256" i="11"/>
  <c r="W104" i="25"/>
  <c r="Z104" i="25"/>
  <c r="Y81" i="25"/>
  <c r="H233" i="11"/>
  <c r="W81" i="25"/>
  <c r="Z81" i="25"/>
  <c r="Y129" i="25"/>
  <c r="H281" i="11"/>
  <c r="W129" i="25"/>
  <c r="Z129" i="25"/>
  <c r="F797" i="11"/>
  <c r="AB64" i="24"/>
  <c r="H797" i="11"/>
  <c r="F813" i="11"/>
  <c r="AB80" i="24"/>
  <c r="H813" i="11"/>
  <c r="F829" i="11"/>
  <c r="AB96" i="24"/>
  <c r="H829" i="11"/>
  <c r="R46" i="26"/>
  <c r="H47" i="11"/>
  <c r="F47" i="11"/>
  <c r="F46" i="11"/>
  <c r="R45" i="26"/>
  <c r="H46" i="11"/>
  <c r="R20" i="26"/>
  <c r="H21" i="11"/>
  <c r="F57" i="11"/>
  <c r="R56" i="26"/>
  <c r="H57" i="11"/>
  <c r="F49" i="11"/>
  <c r="R48" i="26"/>
  <c r="H49" i="11"/>
  <c r="F16" i="11"/>
  <c r="R15" i="26"/>
  <c r="H16" i="11"/>
  <c r="R26" i="26"/>
  <c r="H27" i="11"/>
  <c r="R11" i="26"/>
  <c r="H12" i="11"/>
  <c r="Q661" i="10"/>
  <c r="R660" i="10"/>
  <c r="Y39" i="25"/>
  <c r="H191" i="11"/>
  <c r="W39" i="25"/>
  <c r="Z39" i="25"/>
  <c r="Y46" i="25"/>
  <c r="H198" i="11"/>
  <c r="W46" i="25"/>
  <c r="Z46" i="25"/>
  <c r="Y132" i="25"/>
  <c r="H284" i="11"/>
  <c r="W132" i="25"/>
  <c r="Z132" i="25"/>
  <c r="E212" i="11"/>
  <c r="Z60" i="25"/>
  <c r="Y60" i="25"/>
  <c r="H212" i="11"/>
  <c r="Y137" i="25"/>
  <c r="H289" i="11"/>
  <c r="W137" i="25"/>
  <c r="Z137" i="25"/>
  <c r="Y61" i="25"/>
  <c r="H213" i="11"/>
  <c r="W61" i="25"/>
  <c r="Z61" i="25"/>
  <c r="Y116" i="25"/>
  <c r="H268" i="11"/>
  <c r="W116" i="25"/>
  <c r="Z116" i="25"/>
  <c r="Y135" i="25"/>
  <c r="H287" i="11"/>
  <c r="W135" i="25"/>
  <c r="Z135" i="25"/>
  <c r="F801" i="11"/>
  <c r="AB68" i="24"/>
  <c r="H801" i="11"/>
  <c r="F817" i="11"/>
  <c r="AB84" i="24"/>
  <c r="H817" i="11"/>
  <c r="F9" i="11"/>
  <c r="R8" i="26"/>
  <c r="H9" i="11"/>
  <c r="R34" i="26"/>
  <c r="H35" i="11"/>
  <c r="R18" i="26"/>
  <c r="H19" i="11"/>
  <c r="R12" i="26"/>
  <c r="H13" i="11"/>
  <c r="R47" i="26"/>
  <c r="H48" i="11"/>
  <c r="F48" i="11"/>
  <c r="R44" i="26"/>
  <c r="H45" i="11"/>
  <c r="R31" i="26"/>
  <c r="H32" i="11"/>
  <c r="Q5" i="10"/>
  <c r="O6" i="10"/>
  <c r="Y41" i="25"/>
  <c r="H193" i="11"/>
  <c r="W41" i="25"/>
  <c r="Z41" i="25"/>
  <c r="Y47" i="25"/>
  <c r="H199" i="11"/>
  <c r="W47" i="25"/>
  <c r="Z47" i="25"/>
  <c r="Y138" i="25"/>
  <c r="H290" i="11"/>
  <c r="W138" i="25"/>
  <c r="Z138" i="25"/>
  <c r="Y136" i="25"/>
  <c r="H288" i="11"/>
  <c r="W136" i="25"/>
  <c r="Z136" i="25"/>
  <c r="F805" i="11"/>
  <c r="AB72" i="24"/>
  <c r="H805" i="11"/>
  <c r="F821" i="11"/>
  <c r="AB88" i="24"/>
  <c r="H821" i="11"/>
  <c r="R65" i="26"/>
  <c r="H66" i="11"/>
  <c r="F66" i="11"/>
  <c r="F10" i="11"/>
  <c r="R9" i="26"/>
  <c r="H10" i="11"/>
  <c r="R32" i="26"/>
  <c r="H33" i="11"/>
  <c r="R22" i="26"/>
  <c r="H23" i="11"/>
  <c r="R52" i="26"/>
  <c r="H53" i="11"/>
  <c r="F53" i="11"/>
  <c r="R59" i="26"/>
  <c r="H60" i="11"/>
  <c r="R35" i="26"/>
  <c r="H36" i="11"/>
  <c r="R28" i="26"/>
  <c r="H29" i="11"/>
  <c r="R17" i="26"/>
  <c r="H18" i="11"/>
  <c r="D466" i="10"/>
  <c r="Y19" i="25"/>
  <c r="H171" i="11"/>
  <c r="W19" i="25"/>
  <c r="Z19" i="25"/>
  <c r="Y44" i="25"/>
  <c r="H196" i="11"/>
  <c r="W44" i="25"/>
  <c r="Z44" i="25"/>
  <c r="Y78" i="25"/>
  <c r="H230" i="11"/>
  <c r="W78" i="25"/>
  <c r="Z78" i="25"/>
  <c r="Y130" i="25"/>
  <c r="H282" i="11"/>
  <c r="W130" i="25"/>
  <c r="Z130" i="25"/>
  <c r="Y139" i="25"/>
  <c r="H291" i="11"/>
  <c r="W139" i="25"/>
  <c r="Z139" i="25"/>
  <c r="Y70" i="25"/>
  <c r="H222" i="11"/>
  <c r="W70" i="25"/>
  <c r="Z70" i="25"/>
  <c r="Y101" i="25"/>
  <c r="H253" i="11"/>
  <c r="W101" i="25"/>
  <c r="Z101" i="25"/>
  <c r="F793" i="11"/>
  <c r="AB60" i="24"/>
  <c r="H793" i="11"/>
  <c r="F809" i="11"/>
  <c r="AB76" i="24"/>
  <c r="H809" i="11"/>
  <c r="F825" i="11"/>
  <c r="AB92" i="24"/>
  <c r="H825" i="11"/>
  <c r="R38" i="26"/>
  <c r="H39" i="11"/>
  <c r="F39" i="11"/>
  <c r="R4" i="26"/>
  <c r="H5" i="11"/>
  <c r="F38" i="11"/>
  <c r="R37" i="26"/>
  <c r="H38" i="11"/>
  <c r="F15" i="11"/>
  <c r="R14" i="26"/>
  <c r="H15" i="11"/>
  <c r="R10" i="26"/>
  <c r="H11" i="11"/>
  <c r="F11" i="11"/>
  <c r="R16" i="26"/>
  <c r="H17" i="11"/>
  <c r="R39" i="26"/>
  <c r="H40" i="11"/>
  <c r="F40" i="11"/>
  <c r="R58" i="26"/>
  <c r="H59" i="11"/>
  <c r="F65" i="11"/>
  <c r="R64" i="26"/>
  <c r="H65" i="11"/>
  <c r="E70" i="11"/>
  <c r="Q662" i="10"/>
  <c r="R661" i="10"/>
  <c r="O7" i="10"/>
  <c r="Q6" i="10"/>
  <c r="Q7" i="10"/>
  <c r="O8" i="10"/>
  <c r="R662" i="10"/>
  <c r="Q663" i="10"/>
  <c r="Q664" i="10"/>
  <c r="R663" i="10"/>
  <c r="Q8" i="10"/>
  <c r="O9" i="10"/>
  <c r="Q9" i="10"/>
  <c r="O10" i="10"/>
  <c r="Q665" i="10"/>
  <c r="R664" i="10"/>
  <c r="Q666" i="10"/>
  <c r="R665" i="10"/>
  <c r="Q10" i="10"/>
  <c r="O11" i="10"/>
  <c r="Q11" i="10"/>
  <c r="O12" i="10"/>
  <c r="R666" i="10"/>
  <c r="Q667" i="10"/>
  <c r="Q12" i="10"/>
  <c r="O13" i="10"/>
  <c r="Q668" i="10"/>
  <c r="R667" i="10"/>
  <c r="Q13" i="10"/>
  <c r="O14" i="10"/>
  <c r="Q669" i="10"/>
  <c r="R668" i="10"/>
  <c r="Q670" i="10"/>
  <c r="R669" i="10"/>
  <c r="O15" i="10"/>
  <c r="Q14" i="10"/>
  <c r="Q15" i="10"/>
  <c r="O16" i="10"/>
  <c r="R670" i="10"/>
  <c r="Q671" i="10"/>
  <c r="Q16" i="10"/>
  <c r="O17" i="10"/>
  <c r="Q672" i="10"/>
  <c r="R671" i="10"/>
  <c r="Q17" i="10"/>
  <c r="O18" i="10"/>
  <c r="Q673" i="10"/>
  <c r="R672" i="10"/>
  <c r="Q674" i="10"/>
  <c r="R673" i="10"/>
  <c r="Q18" i="10"/>
  <c r="O19" i="10"/>
  <c r="Q19" i="10"/>
  <c r="O20" i="10"/>
  <c r="R674" i="10"/>
  <c r="Q675" i="10"/>
  <c r="Q676" i="10"/>
  <c r="R675" i="10"/>
  <c r="Q20" i="10"/>
  <c r="O21" i="10"/>
  <c r="Q21" i="10"/>
  <c r="O22" i="10"/>
  <c r="Q677" i="10"/>
  <c r="R676" i="10"/>
  <c r="O23" i="10"/>
  <c r="Q22" i="10"/>
  <c r="Q678" i="10"/>
  <c r="R677" i="10"/>
  <c r="R678" i="10"/>
  <c r="Q679" i="10"/>
  <c r="Q23" i="10"/>
  <c r="O24" i="10"/>
  <c r="Q680" i="10"/>
  <c r="R679" i="10"/>
  <c r="Q24" i="10"/>
  <c r="O25" i="10"/>
  <c r="Q25" i="10"/>
  <c r="O26" i="10"/>
  <c r="Q681" i="10"/>
  <c r="R680" i="10"/>
  <c r="Q682" i="10"/>
  <c r="R681" i="10"/>
  <c r="Q26" i="10"/>
  <c r="O27" i="10"/>
  <c r="Q27" i="10"/>
  <c r="O28" i="10"/>
  <c r="R682" i="10"/>
  <c r="Q683" i="10"/>
  <c r="Q684" i="10"/>
  <c r="R683" i="10"/>
  <c r="Q28" i="10"/>
  <c r="O29" i="10"/>
  <c r="Q29" i="10"/>
  <c r="O30" i="10"/>
  <c r="Q685" i="10"/>
  <c r="R684" i="10"/>
  <c r="Q686" i="10"/>
  <c r="R685" i="10"/>
  <c r="O31" i="10"/>
  <c r="Q30" i="10"/>
  <c r="Q31" i="10"/>
  <c r="O32" i="10"/>
  <c r="R686" i="10"/>
  <c r="Q687" i="10"/>
  <c r="Q688" i="10"/>
  <c r="R687" i="10"/>
  <c r="Q32" i="10"/>
  <c r="O33" i="10"/>
  <c r="Q33" i="10"/>
  <c r="O34" i="10"/>
  <c r="Q689" i="10"/>
  <c r="R688" i="10"/>
  <c r="Q690" i="10"/>
  <c r="R689" i="10"/>
  <c r="Q34" i="10"/>
  <c r="O35" i="10"/>
  <c r="Q35" i="10"/>
  <c r="O36" i="10"/>
  <c r="R690" i="10"/>
  <c r="Q691" i="10"/>
  <c r="Q692" i="10"/>
  <c r="R691" i="10"/>
  <c r="Q36" i="10"/>
  <c r="O37" i="10"/>
  <c r="Q37" i="10"/>
  <c r="O38" i="10"/>
  <c r="Q693" i="10"/>
  <c r="R692" i="10"/>
  <c r="Q694" i="10"/>
  <c r="R693" i="10"/>
  <c r="O39" i="10"/>
  <c r="Q38" i="10"/>
  <c r="Q39" i="10"/>
  <c r="O40" i="10"/>
  <c r="R694" i="10"/>
  <c r="Q695" i="10"/>
  <c r="Q696" i="10"/>
  <c r="R695" i="10"/>
  <c r="Q40" i="10"/>
  <c r="O41" i="10"/>
  <c r="Q41" i="10"/>
  <c r="O42" i="10"/>
  <c r="Q697" i="10"/>
  <c r="R696" i="10"/>
  <c r="Q698" i="10"/>
  <c r="R697" i="10"/>
  <c r="Q42" i="10"/>
  <c r="O43" i="10"/>
  <c r="Q43" i="10"/>
  <c r="O44" i="10"/>
  <c r="R698" i="10"/>
  <c r="Q699" i="10"/>
  <c r="Q44" i="10"/>
  <c r="O45" i="10"/>
  <c r="Q700" i="10"/>
  <c r="R699" i="10"/>
  <c r="Q701" i="10"/>
  <c r="R700" i="10"/>
  <c r="Q45" i="10"/>
  <c r="O46" i="10"/>
  <c r="O47" i="10"/>
  <c r="Q46" i="10"/>
  <c r="Q702" i="10"/>
  <c r="R701" i="10"/>
  <c r="R702" i="10"/>
  <c r="Q703" i="10"/>
  <c r="R703" i="10"/>
  <c r="Q47" i="10"/>
  <c r="O48" i="10"/>
  <c r="Q48" i="10"/>
  <c r="O49" i="10"/>
  <c r="Q49" i="10"/>
  <c r="O50" i="10"/>
  <c r="Q50" i="10"/>
  <c r="O51" i="10"/>
  <c r="Q51" i="10"/>
  <c r="O52" i="10"/>
  <c r="Q52" i="10"/>
  <c r="O53" i="10"/>
  <c r="Q53" i="10"/>
  <c r="O54" i="10"/>
  <c r="O55" i="10"/>
  <c r="Q54" i="10"/>
  <c r="Q55" i="10"/>
  <c r="O56" i="10"/>
  <c r="Q56" i="10"/>
  <c r="O57" i="10"/>
  <c r="Q57" i="10"/>
  <c r="O58" i="10"/>
  <c r="Q58" i="10"/>
  <c r="O59" i="10"/>
  <c r="Q59" i="10"/>
  <c r="O60" i="10"/>
  <c r="Q60" i="10"/>
  <c r="O61" i="10"/>
  <c r="Q61" i="10"/>
  <c r="O62" i="10"/>
  <c r="O63" i="10"/>
  <c r="Q62" i="10"/>
  <c r="Q63" i="10"/>
  <c r="O64" i="10"/>
  <c r="Q64" i="10"/>
  <c r="O65" i="10"/>
  <c r="Q65" i="10"/>
  <c r="O66" i="10"/>
  <c r="Q66" i="10"/>
  <c r="O67" i="10"/>
  <c r="Q67" i="10"/>
  <c r="O68" i="10"/>
  <c r="Q68" i="10"/>
  <c r="O69" i="10"/>
  <c r="Q69" i="10"/>
  <c r="M2" i="35" a="1"/>
  <c r="M2" i="35"/>
  <c r="F286" i="10"/>
  <c r="M3" i="35" a="1"/>
  <c r="M3" i="35"/>
  <c r="F287" i="10"/>
  <c r="M4" i="35" a="1"/>
  <c r="M4" i="35"/>
  <c r="F288" i="10"/>
  <c r="M5" i="35" a="1"/>
  <c r="M5" i="35"/>
  <c r="F289" i="10"/>
  <c r="M6" i="35" a="1"/>
  <c r="M6" i="35"/>
  <c r="F290" i="10"/>
  <c r="M7" i="35" a="1"/>
  <c r="M7" i="35"/>
  <c r="F291" i="10"/>
  <c r="M8" i="35" a="1"/>
  <c r="M8" i="35"/>
  <c r="F292" i="10"/>
  <c r="M9" i="35" a="1"/>
  <c r="M9" i="35"/>
  <c r="F293" i="10"/>
  <c r="M10" i="35" a="1"/>
  <c r="M10" i="35"/>
  <c r="F294" i="10"/>
  <c r="M11" i="35" a="1"/>
  <c r="M11" i="35"/>
  <c r="F295" i="10"/>
  <c r="M12" i="35" a="1"/>
  <c r="M12" i="35"/>
  <c r="F296" i="10"/>
  <c r="M13" i="35" a="1"/>
  <c r="M13" i="35"/>
  <c r="F297" i="10"/>
  <c r="M14" i="35" a="1"/>
  <c r="M14" i="35"/>
  <c r="F298" i="10"/>
  <c r="M15" i="35" a="1"/>
  <c r="M15" i="35"/>
  <c r="F299" i="10"/>
  <c r="M16" i="35" a="1"/>
  <c r="M16" i="35"/>
  <c r="F300" i="10"/>
  <c r="M17" i="35" a="1"/>
  <c r="M17" i="35"/>
  <c r="F301" i="10"/>
  <c r="M18" i="35" a="1"/>
  <c r="M18" i="35"/>
  <c r="F302" i="10"/>
  <c r="M19" i="35" a="1"/>
  <c r="M19" i="35"/>
  <c r="F303" i="10"/>
  <c r="M20" i="35" a="1"/>
  <c r="M20" i="35"/>
  <c r="F304" i="10"/>
  <c r="M21" i="35" a="1"/>
  <c r="M21" i="35"/>
  <c r="F305" i="10"/>
  <c r="M22" i="35" a="1"/>
  <c r="M22" i="35"/>
  <c r="F306" i="10"/>
  <c r="M23" i="35" a="1"/>
  <c r="M23" i="35"/>
  <c r="F307" i="10"/>
  <c r="M24" i="35" a="1"/>
  <c r="M24" i="35"/>
  <c r="F308" i="10"/>
  <c r="M25" i="35" a="1"/>
  <c r="M25" i="35"/>
  <c r="F309" i="10"/>
  <c r="M26" i="35" a="1"/>
  <c r="M26" i="35"/>
  <c r="F310" i="10"/>
  <c r="M27" i="35" a="1"/>
  <c r="M27" i="35"/>
  <c r="F311" i="10"/>
  <c r="M28" i="35" a="1"/>
  <c r="M28" i="35"/>
  <c r="F312" i="10"/>
  <c r="M29" i="35" a="1"/>
  <c r="M29" i="35"/>
  <c r="F313" i="10"/>
  <c r="M30" i="35" a="1"/>
  <c r="M30" i="35"/>
  <c r="F314" i="10"/>
  <c r="M31" i="35" a="1"/>
  <c r="M31" i="35"/>
  <c r="F315" i="10"/>
  <c r="M32" i="35" a="1"/>
  <c r="M32" i="35"/>
  <c r="F316" i="10"/>
  <c r="M33" i="35" a="1"/>
  <c r="M33" i="35"/>
  <c r="F317" i="10"/>
  <c r="M34" i="35" a="1"/>
  <c r="M34" i="35"/>
  <c r="F318" i="10"/>
  <c r="M35" i="35" a="1"/>
  <c r="M35" i="35"/>
  <c r="F319" i="10"/>
  <c r="M36" i="35" a="1"/>
  <c r="M36" i="35"/>
  <c r="F320" i="10"/>
  <c r="M37" i="35" a="1"/>
  <c r="M37" i="35"/>
  <c r="F321" i="10"/>
  <c r="M38" i="35" a="1"/>
  <c r="M38" i="35"/>
  <c r="F322" i="10"/>
  <c r="M39" i="35" a="1"/>
  <c r="M39" i="35"/>
  <c r="F323" i="10"/>
  <c r="M40" i="35" a="1"/>
  <c r="M40" i="35"/>
  <c r="F324" i="10"/>
  <c r="M41" i="35" a="1"/>
  <c r="M41" i="35"/>
  <c r="F325" i="10"/>
  <c r="M42" i="35" a="1"/>
  <c r="M42" i="35"/>
  <c r="F326" i="10"/>
  <c r="M43" i="35" a="1"/>
  <c r="M43" i="35"/>
  <c r="F327" i="10"/>
  <c r="M44" i="35" a="1"/>
  <c r="M44" i="35"/>
  <c r="F328" i="10"/>
  <c r="M45" i="35" a="1"/>
  <c r="M45" i="35"/>
  <c r="F329" i="10"/>
  <c r="M46" i="35" a="1"/>
  <c r="M46" i="35"/>
  <c r="F330" i="10"/>
  <c r="M47" i="35" a="1"/>
  <c r="M47" i="35"/>
  <c r="F331" i="10"/>
  <c r="M48" i="35" a="1"/>
  <c r="M48" i="35"/>
  <c r="F332" i="10"/>
  <c r="M49" i="35" a="1"/>
  <c r="M49" i="35"/>
  <c r="F333" i="10"/>
  <c r="M50" i="35" a="1"/>
  <c r="M50" i="35"/>
  <c r="F334" i="10"/>
  <c r="M51" i="35" a="1"/>
  <c r="M51" i="35"/>
  <c r="F335" i="10"/>
  <c r="M52" i="35" a="1"/>
  <c r="M52" i="35"/>
  <c r="F336" i="10"/>
  <c r="M53" i="35" a="1"/>
  <c r="M53" i="35"/>
  <c r="F337" i="10"/>
  <c r="M54" i="35" a="1"/>
  <c r="M54" i="35"/>
  <c r="F338" i="10"/>
  <c r="M55" i="35" a="1"/>
  <c r="M55" i="35"/>
  <c r="F339" i="10"/>
  <c r="M56" i="35" a="1"/>
  <c r="M56" i="35"/>
  <c r="F340" i="10"/>
  <c r="M57" i="35" a="1"/>
  <c r="M57" i="35"/>
  <c r="F341" i="10"/>
  <c r="M58" i="35" a="1"/>
  <c r="M58" i="35"/>
  <c r="F342" i="10"/>
  <c r="M59" i="35" a="1"/>
  <c r="M59" i="35"/>
  <c r="F343" i="10"/>
  <c r="M60" i="35" a="1"/>
  <c r="M60" i="35"/>
  <c r="F344" i="10"/>
  <c r="M61" i="35" a="1"/>
  <c r="M61" i="35"/>
  <c r="F345" i="10"/>
  <c r="M62" i="35" a="1"/>
  <c r="M62" i="35"/>
  <c r="F346" i="10"/>
  <c r="M63" i="35" a="1"/>
  <c r="M63" i="35"/>
  <c r="F347" i="10"/>
  <c r="M64" i="35" a="1"/>
  <c r="M64" i="35"/>
  <c r="F348" i="10"/>
  <c r="M65" i="35" a="1"/>
  <c r="M65" i="35"/>
  <c r="F349" i="10"/>
  <c r="M66" i="35" a="1"/>
  <c r="M66" i="35"/>
  <c r="F350" i="10"/>
  <c r="M67" i="35" a="1"/>
  <c r="M67" i="35"/>
  <c r="F351" i="10"/>
  <c r="M68" i="35" a="1"/>
  <c r="M68" i="35"/>
  <c r="F352" i="10"/>
  <c r="M69" i="35" a="1"/>
  <c r="M69" i="35"/>
  <c r="F353" i="10"/>
  <c r="M70" i="35" a="1"/>
  <c r="M70" i="35"/>
  <c r="F354" i="10"/>
  <c r="M71" i="35" a="1"/>
  <c r="M71" i="35"/>
  <c r="F355" i="10"/>
  <c r="M72" i="35" a="1"/>
  <c r="M72" i="35"/>
  <c r="F356" i="10"/>
  <c r="M73" i="35" a="1"/>
  <c r="M73" i="35"/>
  <c r="F357" i="10"/>
  <c r="M74" i="35" a="1"/>
  <c r="M74" i="35"/>
  <c r="F358" i="10"/>
  <c r="M75" i="35" a="1"/>
  <c r="M75" i="35"/>
  <c r="F359" i="10"/>
  <c r="M76" i="35" a="1"/>
  <c r="M76" i="35"/>
  <c r="F360" i="10"/>
  <c r="M77" i="35" a="1"/>
  <c r="M77" i="35"/>
  <c r="F361" i="10"/>
  <c r="M78" i="35" a="1"/>
  <c r="M78" i="35"/>
  <c r="F362" i="10"/>
  <c r="M79" i="35" a="1"/>
  <c r="M79" i="35"/>
  <c r="F363" i="10"/>
  <c r="M80" i="35" a="1"/>
  <c r="M80" i="35"/>
  <c r="F364" i="10"/>
  <c r="M81" i="35" a="1"/>
  <c r="M81" i="35"/>
  <c r="F365" i="10"/>
  <c r="M82" i="35" a="1"/>
  <c r="M82" i="35"/>
  <c r="F366" i="10"/>
  <c r="M83" i="35" a="1"/>
  <c r="M83" i="35"/>
  <c r="F367" i="10"/>
  <c r="M84" i="35" a="1"/>
  <c r="M84" i="35"/>
  <c r="F368" i="10"/>
  <c r="M85" i="35" a="1"/>
  <c r="M85" i="35"/>
  <c r="F369" i="10"/>
  <c r="M86" i="35" a="1"/>
  <c r="M86" i="35"/>
  <c r="F370" i="10"/>
  <c r="M87" i="35" a="1"/>
  <c r="M87" i="35"/>
  <c r="F371" i="10"/>
  <c r="M88" i="35" a="1"/>
  <c r="M88" i="35"/>
  <c r="F372" i="10"/>
  <c r="M89" i="35" a="1"/>
  <c r="M89" i="35"/>
  <c r="F373" i="10"/>
  <c r="M90" i="35" a="1"/>
  <c r="M90" i="35"/>
  <c r="F374" i="10"/>
  <c r="M91" i="35" a="1"/>
  <c r="M91" i="35"/>
  <c r="F375" i="10"/>
  <c r="M92" i="35" a="1"/>
  <c r="M92" i="35"/>
  <c r="F376" i="10"/>
  <c r="M93" i="35" a="1"/>
  <c r="M93" i="35"/>
  <c r="F377" i="10"/>
  <c r="M94" i="35" a="1"/>
  <c r="M94" i="35"/>
  <c r="F378" i="10"/>
  <c r="M95" i="35" a="1"/>
  <c r="M95" i="35"/>
  <c r="F379" i="10"/>
  <c r="M96" i="35" a="1"/>
  <c r="M96" i="35"/>
  <c r="F380" i="10"/>
  <c r="M97" i="35" a="1"/>
  <c r="M97" i="35"/>
  <c r="F381" i="10"/>
  <c r="M98" i="35" a="1"/>
  <c r="M98" i="35"/>
  <c r="F382" i="10"/>
  <c r="M99" i="35" a="1"/>
  <c r="M99" i="35"/>
  <c r="F383" i="10"/>
  <c r="M100" i="35" a="1"/>
  <c r="M100" i="35"/>
  <c r="F384" i="10"/>
  <c r="M101" i="35" a="1"/>
  <c r="M101" i="35"/>
  <c r="F385" i="10"/>
  <c r="M102" i="35" a="1"/>
  <c r="M102" i="35"/>
  <c r="F386" i="10"/>
  <c r="M103" i="35" a="1"/>
  <c r="M103" i="35"/>
  <c r="F387" i="10"/>
  <c r="M104" i="35" a="1"/>
  <c r="M104" i="35"/>
  <c r="F388" i="10"/>
  <c r="M105" i="35" a="1"/>
  <c r="M105" i="35"/>
  <c r="F389" i="10"/>
  <c r="M106" i="35" a="1"/>
  <c r="M106" i="35"/>
  <c r="F390" i="10"/>
  <c r="M107" i="35" a="1"/>
  <c r="M107" i="35"/>
  <c r="F391" i="10"/>
  <c r="M108" i="35" a="1"/>
  <c r="M108" i="35"/>
  <c r="F392" i="10"/>
  <c r="M109" i="35" a="1"/>
  <c r="M109" i="35"/>
  <c r="F393" i="10"/>
  <c r="M110" i="35" a="1"/>
  <c r="M110" i="35"/>
  <c r="F394" i="10"/>
  <c r="M111" i="35" a="1"/>
  <c r="M111" i="35"/>
  <c r="F395" i="10"/>
  <c r="M112" i="35" a="1"/>
  <c r="M112" i="35"/>
  <c r="F396" i="10"/>
  <c r="M113" i="35" a="1"/>
  <c r="M113" i="35"/>
  <c r="F397" i="10"/>
  <c r="M114" i="35" a="1"/>
  <c r="M114" i="35"/>
  <c r="F398" i="10"/>
  <c r="M115" i="35" a="1"/>
  <c r="M115" i="35"/>
  <c r="F399" i="10"/>
  <c r="M116" i="35" a="1"/>
  <c r="M116" i="35"/>
  <c r="F400" i="10"/>
  <c r="M117" i="35" a="1"/>
  <c r="M117" i="35"/>
  <c r="F401" i="10"/>
  <c r="M118" i="35" a="1"/>
  <c r="M118" i="35"/>
  <c r="F402" i="10"/>
  <c r="M119" i="35" a="1"/>
  <c r="M119" i="35"/>
  <c r="F403" i="10"/>
  <c r="M120" i="35" a="1"/>
  <c r="M120" i="35"/>
  <c r="F404" i="10"/>
  <c r="M121" i="35" a="1"/>
  <c r="M121" i="35"/>
  <c r="F405" i="10"/>
</calcChain>
</file>

<file path=xl/comments1.xml><?xml version="1.0" encoding="utf-8"?>
<comments xmlns="http://schemas.openxmlformats.org/spreadsheetml/2006/main">
  <authors>
    <author>Claire Wang</author>
    <author>David</author>
  </authors>
  <commentList>
    <comment ref="I3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1907-1908</t>
        </r>
      </text>
    </comment>
    <comment ref="K470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Wealth Debt and Taxation (WDT) published 1907 with data from 1902</t>
        </r>
      </text>
    </comment>
    <comment ref="K658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1909 (all else from 1905)</t>
        </r>
      </text>
    </comment>
    <comment ref="D806" authorId="1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Does Table 3 of the 1905/06 report, p. 86 and p. 369 of PDF, have this info?
</t>
        </r>
      </text>
    </comment>
    <comment ref="F806" authorId="1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Formula used in the Texas report, e.g., p. 8 of the 1904-06 edition
</t>
        </r>
      </text>
    </comment>
    <comment ref="H806" authorId="1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Assumes average 20 school days/month
</t>
        </r>
      </text>
    </comment>
  </commentList>
</comments>
</file>

<file path=xl/comments10.xml><?xml version="1.0" encoding="utf-8"?>
<comments xmlns="http://schemas.openxmlformats.org/spreadsheetml/2006/main">
  <authors>
    <author>Claire Wang</author>
  </authors>
  <commentList>
    <comment ref="D2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1923-24</t>
        </r>
      </text>
    </comment>
    <comment ref="J80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Cut off in picture</t>
        </r>
      </text>
    </comment>
    <comment ref="L85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This is from the full state data, not the common school data</t>
        </r>
      </text>
    </comment>
    <comment ref="J151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Says 'see Reeves county'</t>
        </r>
      </text>
    </comment>
    <comment ref="L197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state totals, not common schools</t>
        </r>
      </text>
    </comment>
  </commentList>
</comments>
</file>

<file path=xl/comments2.xml><?xml version="1.0" encoding="utf-8"?>
<comments xmlns="http://schemas.openxmlformats.org/spreadsheetml/2006/main">
  <authors>
    <author>Claire Wang</author>
  </authors>
  <commentList>
    <comment ref="U2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1907-08</t>
        </r>
      </text>
    </comment>
  </commentList>
</comments>
</file>

<file path=xl/comments3.xml><?xml version="1.0" encoding="utf-8"?>
<comments xmlns="http://schemas.openxmlformats.org/spreadsheetml/2006/main">
  <authors>
    <author>David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Imputed from Alabama data using Epanechnikov kernel, bandwidth=1/6.</t>
        </r>
      </text>
    </comment>
  </commentList>
</comments>
</file>

<file path=xl/comments4.xml><?xml version="1.0" encoding="utf-8"?>
<comments xmlns="http://schemas.openxmlformats.org/spreadsheetml/2006/main">
  <authors>
    <author>Claire Wang</author>
  </authors>
  <commentList>
    <comment ref="Q78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Incomplete data</t>
        </r>
      </text>
    </comment>
  </commentList>
</comments>
</file>

<file path=xl/comments5.xml><?xml version="1.0" encoding="utf-8"?>
<comments xmlns="http://schemas.openxmlformats.org/spreadsheetml/2006/main">
  <authors>
    <author>Claire Wang</author>
  </authors>
  <commentList>
    <comment ref="N21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First digit really hard to read, might be wrong</t>
        </r>
      </text>
    </comment>
  </commentList>
</comments>
</file>

<file path=xl/comments6.xml><?xml version="1.0" encoding="utf-8"?>
<comments xmlns="http://schemas.openxmlformats.org/spreadsheetml/2006/main">
  <authors>
    <author>David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Does Table 3 of the 1905/06 report, p. 86 and p. 369 of PDF, have this info?
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Formula used in the Texas report, e.g., p. 8 of the 1904-06 edition
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Assumes average 20 school days/month
</t>
        </r>
      </text>
    </comment>
  </commentList>
</comments>
</file>

<file path=xl/comments7.xml><?xml version="1.0" encoding="utf-8"?>
<comments xmlns="http://schemas.openxmlformats.org/spreadsheetml/2006/main">
  <authors>
    <author>Claire Wang</author>
  </authors>
  <commentList>
    <comment ref="K313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1917-18</t>
        </r>
      </text>
    </comment>
    <comment ref="I507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 (others are from 1920-21)</t>
        </r>
      </text>
    </comment>
    <comment ref="I526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E551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H551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J551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E564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E566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H566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</commentList>
</comments>
</file>

<file path=xl/comments8.xml><?xml version="1.0" encoding="utf-8"?>
<comments xmlns="http://schemas.openxmlformats.org/spreadsheetml/2006/main">
  <authors>
    <author>Claire Wang</author>
  </authors>
  <commentList>
    <comment ref="J8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1921-22 (others from 1920-21</t>
        </r>
      </text>
    </comment>
    <comment ref="L8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 (others are from 1920-21)</t>
        </r>
      </text>
    </comment>
    <comment ref="L27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E52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K52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M52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E65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E67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  <comment ref="K67" authorId="0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1922-23</t>
        </r>
      </text>
    </comment>
  </commentList>
</comments>
</file>

<file path=xl/comments9.xml><?xml version="1.0" encoding="utf-8"?>
<comments xmlns="http://schemas.openxmlformats.org/spreadsheetml/2006/main">
  <authors>
    <author>David</author>
    <author>Claire Wang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David:</t>
        </r>
        <r>
          <rPr>
            <sz val="9"/>
            <color indexed="81"/>
            <rFont val="Tahoma"/>
            <family val="2"/>
          </rPr>
          <t xml:space="preserve">
Elementary + high school, right?</t>
        </r>
      </text>
    </comment>
    <comment ref="AJ39" authorId="1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1925</t>
        </r>
      </text>
    </comment>
    <comment ref="AJ42" authorId="1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1925</t>
        </r>
      </text>
    </comment>
    <comment ref="AJ43" authorId="1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1925</t>
        </r>
      </text>
    </comment>
    <comment ref="AJ44" authorId="1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1925</t>
        </r>
      </text>
    </comment>
    <comment ref="AJ45" authorId="1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From 1925</t>
        </r>
      </text>
    </comment>
    <comment ref="AI80" authorId="1" shapeId="0">
      <text>
        <r>
          <rPr>
            <b/>
            <sz val="9"/>
            <color indexed="81"/>
            <rFont val="Calibri"/>
            <family val="2"/>
          </rPr>
          <t>Claire Wang:</t>
        </r>
        <r>
          <rPr>
            <sz val="9"/>
            <color indexed="81"/>
            <rFont val="Calibri"/>
            <family val="2"/>
          </rPr>
          <t xml:space="preserve">
Grand total for colored elementary and high schools in the city</t>
        </r>
      </text>
    </comment>
  </commentList>
</comments>
</file>

<file path=xl/sharedStrings.xml><?xml version="1.0" encoding="utf-8"?>
<sst xmlns="http://schemas.openxmlformats.org/spreadsheetml/2006/main" count="39459" uniqueCount="2778">
  <si>
    <t>County</t>
  </si>
  <si>
    <t>Year</t>
  </si>
  <si>
    <t>State</t>
  </si>
  <si>
    <t>Notes</t>
  </si>
  <si>
    <t>Page</t>
  </si>
  <si>
    <t>Alabama</t>
  </si>
  <si>
    <t>Baldwin</t>
  </si>
  <si>
    <t>Barbour</t>
  </si>
  <si>
    <t>Bibb</t>
  </si>
  <si>
    <t>Blount</t>
  </si>
  <si>
    <t>Bullock</t>
  </si>
  <si>
    <t>Chambers</t>
  </si>
  <si>
    <t>Clarke</t>
  </si>
  <si>
    <t>Cleburne</t>
  </si>
  <si>
    <t>Coffee</t>
  </si>
  <si>
    <t>Colbert</t>
  </si>
  <si>
    <t>Conecuh</t>
  </si>
  <si>
    <t>Covington</t>
  </si>
  <si>
    <t>Crenshaw</t>
  </si>
  <si>
    <t>Cullman</t>
  </si>
  <si>
    <t>Dale</t>
  </si>
  <si>
    <t>Dallas</t>
  </si>
  <si>
    <t>Elmore</t>
  </si>
  <si>
    <t>Escambia</t>
  </si>
  <si>
    <t>Etowah</t>
  </si>
  <si>
    <t>Fayette</t>
  </si>
  <si>
    <t>Franklin</t>
  </si>
  <si>
    <t>Greene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</si>
  <si>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</si>
  <si>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</si>
  <si>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</si>
  <si>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</si>
  <si>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</si>
  <si>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</si>
  <si>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</si>
  <si>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</si>
  <si>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</si>
  <si>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</si>
  <si>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</si>
  <si>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</si>
  <si>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</si>
  <si>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</si>
  <si>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</si>
  <si>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Perry</t>
  </si>
  <si>
    <t>Monroe</t>
  </si>
  <si>
    <t>Montgomery</t>
  </si>
  <si>
    <t>Morgan</t>
  </si>
  <si>
    <t>Pickens</t>
  </si>
  <si>
    <t>Pike</t>
  </si>
  <si>
    <t>Randolph</t>
  </si>
  <si>
    <t>Shelby</t>
  </si>
  <si>
    <t>Sumter</t>
  </si>
  <si>
    <t>Talladega</t>
  </si>
  <si>
    <t>Tallapoosa</t>
  </si>
  <si>
    <t>Tuscaloosa</t>
  </si>
  <si>
    <t>Walker</t>
  </si>
  <si>
    <t>Washington</t>
  </si>
  <si>
    <t>Wilcox</t>
  </si>
  <si>
    <t>823/409</t>
  </si>
  <si>
    <t>10,712\16,077</t>
  </si>
  <si>
    <t>GOOD</t>
  </si>
  <si>
    <t>Arkansas</t>
  </si>
  <si>
    <t>Ashley</t>
  </si>
  <si>
    <t>Bradley</t>
  </si>
  <si>
    <t>Conway</t>
  </si>
  <si>
    <t>Cross</t>
  </si>
  <si>
    <t>Desha</t>
  </si>
  <si>
    <t>Drew</t>
  </si>
  <si>
    <t>Fulton</t>
  </si>
  <si>
    <t>Garland</t>
  </si>
  <si>
    <t>Johnson</t>
  </si>
  <si>
    <t>Lafayette</t>
  </si>
  <si>
    <t>Little River</t>
  </si>
  <si>
    <t>Mississippi</t>
  </si>
  <si>
    <t>Nevada</t>
  </si>
  <si>
    <t>Ouachita</t>
  </si>
  <si>
    <t>Phillips</t>
  </si>
  <si>
    <t>Pope</t>
  </si>
  <si>
    <t>Pulaski</t>
  </si>
  <si>
    <t>Saline</t>
  </si>
  <si>
    <t>Scott</t>
  </si>
  <si>
    <t>Sebastian</t>
  </si>
  <si>
    <t>Sevier</t>
  </si>
  <si>
    <t>Union</t>
  </si>
  <si>
    <t>White</t>
  </si>
  <si>
    <t>Woodruff</t>
  </si>
  <si>
    <t>Yell</t>
  </si>
  <si>
    <t>407/176/27</t>
  </si>
  <si>
    <t>4604/3088/9679</t>
  </si>
  <si>
    <t>Georgia</t>
  </si>
  <si>
    <t>Brooks</t>
  </si>
  <si>
    <t>Chatham</t>
  </si>
  <si>
    <t>Cherokee</t>
  </si>
  <si>
    <t>Cobb</t>
  </si>
  <si>
    <t>Colquitt</t>
  </si>
  <si>
    <t>Crisp</t>
  </si>
  <si>
    <t>Decatur</t>
  </si>
  <si>
    <t>Dougherty</t>
  </si>
  <si>
    <t>Emanuel</t>
  </si>
  <si>
    <t>Floyd</t>
  </si>
  <si>
    <t>Forsyth</t>
  </si>
  <si>
    <t>Glynn</t>
  </si>
  <si>
    <t>Grady</t>
  </si>
  <si>
    <t>Hall</t>
  </si>
  <si>
    <t>Hancock</t>
  </si>
  <si>
    <t>Laurens</t>
  </si>
  <si>
    <t>Mitchell</t>
  </si>
  <si>
    <t>Oconee</t>
  </si>
  <si>
    <t>Richmond</t>
  </si>
  <si>
    <t>Spalding</t>
  </si>
  <si>
    <t>Thomas</t>
  </si>
  <si>
    <t>Troup</t>
  </si>
  <si>
    <t>Ware</t>
  </si>
  <si>
    <t>Warren</t>
  </si>
  <si>
    <t>Wayne</t>
  </si>
  <si>
    <t>Webster</t>
  </si>
  <si>
    <t>Wilkes</t>
  </si>
  <si>
    <t>Worth</t>
  </si>
  <si>
    <t>411/354/3</t>
  </si>
  <si>
    <t>10637/2/14395</t>
  </si>
  <si>
    <t>Kentucky</t>
  </si>
  <si>
    <t>Anderson</t>
  </si>
  <si>
    <t>Ballard</t>
  </si>
  <si>
    <t>Bell</t>
  </si>
  <si>
    <t>Boyd</t>
  </si>
  <si>
    <t>Breathitt</t>
  </si>
  <si>
    <t>Bullitt</t>
  </si>
  <si>
    <t>Caldwell</t>
  </si>
  <si>
    <t>Carlisle</t>
  </si>
  <si>
    <t>Carter</t>
  </si>
  <si>
    <t>Cumberland</t>
  </si>
  <si>
    <t>Estill</t>
  </si>
  <si>
    <t>Harrison</t>
  </si>
  <si>
    <t>Henderson</t>
  </si>
  <si>
    <t>Hickman</t>
  </si>
  <si>
    <t>Hopkins</t>
  </si>
  <si>
    <t>Knott</t>
  </si>
  <si>
    <t>Knox</t>
  </si>
  <si>
    <t>Leslie</t>
  </si>
  <si>
    <t>Letcher</t>
  </si>
  <si>
    <t>McLean</t>
  </si>
  <si>
    <t>Magoffin</t>
  </si>
  <si>
    <t>Martin</t>
  </si>
  <si>
    <t>Mason</t>
  </si>
  <si>
    <t>Ohio</t>
  </si>
  <si>
    <t>Owsley</t>
  </si>
  <si>
    <t>Rowan</t>
  </si>
  <si>
    <t>Whitley</t>
  </si>
  <si>
    <t>Wolfe</t>
  </si>
  <si>
    <t>600/522</t>
  </si>
  <si>
    <t>9,295/15/14738</t>
  </si>
  <si>
    <t>Menifee</t>
  </si>
  <si>
    <t>Louisiana</t>
  </si>
  <si>
    <t>Assumption</t>
  </si>
  <si>
    <t>Avoyelles</t>
  </si>
  <si>
    <t>Caddo</t>
  </si>
  <si>
    <t>Catahoula</t>
  </si>
  <si>
    <t>Claiborne</t>
  </si>
  <si>
    <t>Iberia</t>
  </si>
  <si>
    <t>Iberville</t>
  </si>
  <si>
    <t>Lafourche</t>
  </si>
  <si>
    <t>La Salle</t>
  </si>
  <si>
    <t>Morehouse</t>
  </si>
  <si>
    <t>Natchitoches</t>
  </si>
  <si>
    <t>Rapides</t>
  </si>
  <si>
    <t>Richland</t>
  </si>
  <si>
    <t>Tensas</t>
  </si>
  <si>
    <t>Terrebonne</t>
  </si>
  <si>
    <t>West Carroll</t>
  </si>
  <si>
    <t>663/153</t>
  </si>
  <si>
    <t>9006/28/11776</t>
  </si>
  <si>
    <t>Arizona</t>
  </si>
  <si>
    <t>California</t>
  </si>
  <si>
    <t>Colorado</t>
  </si>
  <si>
    <t>Delaware</t>
  </si>
  <si>
    <t>District of Columbia</t>
  </si>
  <si>
    <t>Florida</t>
  </si>
  <si>
    <t>Idaho</t>
  </si>
  <si>
    <t>Illinois</t>
  </si>
  <si>
    <t>Indiana</t>
  </si>
  <si>
    <t>Indian Territory</t>
  </si>
  <si>
    <t>Iowa</t>
  </si>
  <si>
    <t>Kansas</t>
  </si>
  <si>
    <t>Maine</t>
  </si>
  <si>
    <t>Maryland</t>
  </si>
  <si>
    <t>Massachusetts</t>
  </si>
  <si>
    <t>Michigan</t>
  </si>
  <si>
    <t>Minnesota</t>
  </si>
  <si>
    <t>Missouri</t>
  </si>
  <si>
    <t>Montana</t>
  </si>
  <si>
    <t>Nebraska</t>
  </si>
  <si>
    <t>New Hampshire</t>
  </si>
  <si>
    <t>New Jersey</t>
  </si>
  <si>
    <t>New Mexico</t>
  </si>
  <si>
    <t>New York</t>
  </si>
  <si>
    <t>North Carolina</t>
  </si>
  <si>
    <t>North Dakota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</si>
  <si>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</si>
  <si>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</si>
  <si>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</si>
  <si>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</si>
  <si>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</si>
  <si>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</si>
  <si>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</si>
  <si>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</si>
  <si>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</si>
  <si>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</si>
  <si>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</si>
  <si>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West Virginia</t>
  </si>
  <si>
    <t>Wisconsin</t>
  </si>
  <si>
    <t>Wyoming</t>
  </si>
  <si>
    <t>Total</t>
  </si>
  <si>
    <t>Male -Deaths of Children under 1</t>
  </si>
  <si>
    <t>Female -Deaths of Children under 1</t>
  </si>
  <si>
    <t>URL</t>
  </si>
  <si>
    <t>Connecticut</t>
  </si>
  <si>
    <t>https://ia601505.us.archive.org/12/items/VitalAndSocialStatistics.InCompendiumOfTheEleventhCensus1890.Vol.I/%E2%80%9CVital%20and%20Social%20Statistics.%E2%80%9D%20In%20Compendium%20of%20the%20Eleventh%20Census,%201890.%20Vol.%20I.pdf#page=524</t>
  </si>
  <si>
    <t>Wage, 1899</t>
  </si>
  <si>
    <t>https://ia601507.us.archive.org/29/items/ManpowerInEconomicGrowthTableA-24/Table%20A-24%20Average%20Monthly%20Earnings%20with%20board,%201899-1948.jpg</t>
  </si>
  <si>
    <t>New England</t>
  </si>
  <si>
    <t>East South Central</t>
  </si>
  <si>
    <t>https://ia601505.us.archive.org/12/items/VitalAndSocialStatistics.InCompendiumOfTheEleventhCensus1890.Vol.I/%E2%80%9CVital%20and%20Social%20Statistics.%E2%80%9D%20In%20Compendium%20of%20the%20Eleventh%20Census,%201890.%20Vol.%20I.pdf#page=561</t>
  </si>
  <si>
    <t>https://ia601505.us.archive.org/12/items/VitalAndSocialStatistics.InCompendiumOfTheEleventhCensus1890.Vol.I/%E2%80%9CVital%20and%20Social%20Statistics.%E2%80%9D%20In%20Compendium%20of%20the%20Eleventh%20Census,%201890.%20Vol.%20I.pdf#page=563</t>
  </si>
  <si>
    <t>https://ia601505.us.archive.org/12/items/VitalAndSocialStatistics.InCompendiumOfTheEleventhCensus1890.Vol.I/%E2%80%9CVital%20and%20Social%20Statistics.%E2%80%9D%20In%20Compendium%20of%20the%20Eleventh%20Census,%201890.%20Vol.%20I.pdf#page=567</t>
  </si>
  <si>
    <t>https://ia601505.us.archive.org/12/items/VitalAndSocialStatistics.InCompendiumOfTheEleventhCensus1890.Vol.I/%E2%80%9CVital%20and%20Social%20Statistics.%E2%80%9D%20In%20Compendium%20of%20the%20Eleventh%20Census,%201890.%20Vol.%20I.pdf#page=573</t>
  </si>
  <si>
    <t>https://ia601505.us.archive.org/12/items/VitalAndSocialStatistics.InCompendiumOfTheEleventhCensus1890.Vol.I/%E2%80%9CVital%20and%20Social%20Statistics.%E2%80%9D%20In%20Compendium%20of%20the%20Eleventh%20Census,%201890.%20Vol.%20I.pdf#page=577</t>
  </si>
  <si>
    <t>https://ia601505.us.archive.org/12/items/VitalAndSocialStatistics.InCompendiumOfTheEleventhCensus1890.Vol.I/%E2%80%9CVital%20and%20Social%20Statistics.%E2%80%9D%20In%20Compendium%20of%20the%20Eleventh%20Census,%201890.%20Vol.%20I.pdf#page=579</t>
  </si>
  <si>
    <t>https://ia601505.us.archive.org/12/items/VitalAndSocialStatistics.InCompendiumOfTheEleventhCensus1890.Vol.I/%E2%80%9CVital%20and%20Social%20Statistics.%E2%80%9D%20In%20Compendium%20of%20the%20Eleventh%20Census,%201890.%20Vol.%20I.pdf#page=583</t>
  </si>
  <si>
    <t>https://ia601505.us.archive.org/12/items/VitalAndSocialStatistics.InCompendiumOfTheEleventhCensus1890.Vol.I/%E2%80%9CVital%20and%20Social%20Statistics.%E2%80%9D%20In%20Compendium%20of%20the%20Eleventh%20Census,%201890.%20Vol.%20I.pdf#page=585</t>
  </si>
  <si>
    <t>https://ia601505.us.archive.org/12/items/VitalAndSocialStatistics.InCompendiumOfTheEleventhCensus1890.Vol.I/%E2%80%9CVital%20and%20Social%20Statistics.%E2%80%9D%20In%20Compendium%20of%20the%20Eleventh%20Census,%201890.%20Vol.%20I.pdf#page=587</t>
  </si>
  <si>
    <t>https://ia601505.us.archive.org/12/items/VitalAndSocialStatistics.InCompendiumOfTheEleventhCensus1890.Vol.I/%E2%80%9CVital%20and%20Social%20Statistics.%E2%80%9D%20In%20Compendium%20of%20the%20Eleventh%20Census,%201890.%20Vol.%20I.pdf#page=589</t>
  </si>
  <si>
    <t>https://ia601505.us.archive.org/12/items/VitalAndSocialStatistics.InCompendiumOfTheEleventhCensus1890.Vol.I/%E2%80%9CVital%20and%20Social%20Statistics.%E2%80%9D%20In%20Compendium%20of%20the%20Eleventh%20Census,%201890.%20Vol.%20I.pdf#page=591</t>
  </si>
  <si>
    <t>https://ia601505.us.archive.org/12/items/VitalAndSocialStatistics.InCompendiumOfTheEleventhCensus1890.Vol.I/%E2%80%9CVital%20and%20Social%20Statistics.%E2%80%9D%20In%20Compendium%20of%20the%20Eleventh%20Census,%201890.%20Vol.%20I.pdf#page=613</t>
  </si>
  <si>
    <t>https://ia601505.us.archive.org/12/items/VitalAndSocialStatistics.InCompendiumOfTheEleventhCensus1890.Vol.I/%E2%80%9CVital%20and%20Social%20Statistics.%E2%80%9D%20In%20Compendium%20of%20the%20Eleventh%20Census,%201890.%20Vol.%20I.pdf#page=615</t>
  </si>
  <si>
    <t>https://ia601505.us.archive.org/12/items/VitalAndSocialStatistics.InCompendiumOfTheEleventhCensus1890.Vol.I/%E2%80%9CVital%20and%20Social%20Statistics.%E2%80%9D%20In%20Compendium%20of%20the%20Eleventh%20Census,%201890.%20Vol.%20I.pdf#page=617</t>
  </si>
  <si>
    <t>https://ia601505.us.archive.org/12/items/VitalAndSocialStatistics.InCompendiumOfTheEleventhCensus1890.Vol.I/%E2%80%9CVital%20and%20Social%20Statistics.%E2%80%9D%20In%20Compendium%20of%20the%20Eleventh%20Census,%201890.%20Vol.%20I.pdf#page=619</t>
  </si>
  <si>
    <t>https://ia601505.us.archive.org/12/items/VitalAndSocialStatistics.InCompendiumOfTheEleventhCensus1890.Vol.I/%E2%80%9CVital%20and%20Social%20Statistics.%E2%80%9D%20In%20Compendium%20of%20the%20Eleventh%20Census,%201890.%20Vol.%20I.pdf#page=621</t>
  </si>
  <si>
    <t>https://ia601505.us.archive.org/12/items/VitalAndSocialStatistics.InCompendiumOfTheEleventhCensus1890.Vol.I/%E2%80%9CVital%20and%20Social%20Statistics.%E2%80%9D%20In%20Compendium%20of%20the%20Eleventh%20Census,%201890.%20Vol.%20I.pdf#page=627</t>
  </si>
  <si>
    <t>https://ia601505.us.archive.org/12/items/VitalAndSocialStatistics.InCompendiumOfTheEleventhCensus1890.Vol.I/%E2%80%9CVital%20and%20Social%20Statistics.%E2%80%9D%20In%20Compendium%20of%20the%20Eleventh%20Census,%201890.%20Vol.%20I.pdf#page=639</t>
  </si>
  <si>
    <t>https://ia601505.us.archive.org/12/items/VitalAndSocialStatistics.InCompendiumOfTheEleventhCensus1890.Vol.I/%E2%80%9CVital%20and%20Social%20Statistics.%E2%80%9D%20In%20Compendium%20of%20the%20Eleventh%20Census,%201890.%20Vol.%20I.pdf#page=669</t>
  </si>
  <si>
    <t>https://ia601505.us.archive.org/12/items/VitalAndSocialStatistics.InCompendiumOfTheEleventhCensus1890.Vol.I/%E2%80%9CVital%20and%20Social%20Statistics.%E2%80%9D%20In%20Compendium%20of%20the%20Eleventh%20Census,%201890.%20Vol.%20I.pdf#page=675</t>
  </si>
  <si>
    <t>https://ia601505.us.archive.org/12/items/VitalAndSocialStatistics.InCompendiumOfTheEleventhCensus1890.Vol.I/%E2%80%9CVital%20and%20Social%20Statistics.%E2%80%9D%20In%20Compendium%20of%20the%20Eleventh%20Census,%201890.%20Vol.%20I.pdf#page=681</t>
  </si>
  <si>
    <t>https://ia601505.us.archive.org/12/items/VitalAndSocialStatistics.InCompendiumOfTheEleventhCensus1890.Vol.I/%E2%80%9CVital%20and%20Social%20Statistics.%E2%80%9D%20In%20Compendium%20of%20the%20Eleventh%20Census,%201890.%20Vol.%20I.pdf#page=685</t>
  </si>
  <si>
    <t>https://ia601505.us.archive.org/12/items/VitalAndSocialStatistics.InCompendiumOfTheEleventhCensus1890.Vol.I/%E2%80%9CVital%20and%20Social%20Statistics.%E2%80%9D%20In%20Compendium%20of%20the%20Eleventh%20Census,%201890.%20Vol.%20I.pdf#page=687</t>
  </si>
  <si>
    <t>https://ia601505.us.archive.org/12/items/VitalAndSocialStatistics.InCompendiumOfTheEleventhCensus1890.Vol.I/%E2%80%9CVital%20and%20Social%20Statistics.%E2%80%9D%20In%20Compendium%20of%20the%20Eleventh%20Census,%201890.%20Vol.%20I.pdf#page=689</t>
  </si>
  <si>
    <t>https://ia601505.us.archive.org/12/items/VitalAndSocialStatistics.InCompendiumOfTheEleventhCensus1890.Vol.I/%E2%80%9CVital%20and%20Social%20Statistics.%E2%80%9D%20In%20Compendium%20of%20the%20Eleventh%20Census,%201890.%20Vol.%20I.pdf#page=691</t>
  </si>
  <si>
    <t>https://ia601505.us.archive.org/12/items/VitalAndSocialStatistics.InCompendiumOfTheEleventhCensus1890.Vol.I/%E2%80%9CVital%20and%20Social%20Statistics.%E2%80%9D%20In%20Compendium%20of%20the%20Eleventh%20Census,%201890.%20Vol.%20I.pdf#page=695</t>
  </si>
  <si>
    <t>https://ia601505.us.archive.org/12/items/VitalAndSocialStatistics.InCompendiumOfTheEleventhCensus1890.Vol.I/%E2%80%9CVital%20and%20Social%20Statistics.%E2%80%9D%20In%20Compendium%20of%20the%20Eleventh%20Census,%201890.%20Vol.%20I.pdf#page=697</t>
  </si>
  <si>
    <t>https://ia601505.us.archive.org/12/items/VitalAndSocialStatistics.InCompendiumOfTheEleventhCensus1890.Vol.I/%E2%80%9CVital%20and%20Social%20Statistics.%E2%80%9D%20In%20Compendium%20of%20the%20Eleventh%20Census,%201890.%20Vol.%20I.pdf#page=699</t>
  </si>
  <si>
    <t>https://ia800207.us.archive.org/31/items/cu31924024569315/cu31924024569315.pdf#page=22</t>
  </si>
  <si>
    <t>https://ia800207.us.archive.org/31/items/cu31924024569315/cu31924024569315.pdf#page=24</t>
  </si>
  <si>
    <t>Health Officers</t>
  </si>
  <si>
    <t>lawrence</t>
  </si>
  <si>
    <t>Trigg</t>
  </si>
  <si>
    <t>ConCordia</t>
  </si>
  <si>
    <t>Pointe Coupee</t>
  </si>
  <si>
    <t>Bolivar</t>
  </si>
  <si>
    <t>Coahoma</t>
  </si>
  <si>
    <t>Forrest</t>
  </si>
  <si>
    <t>Sharkey</t>
  </si>
  <si>
    <t>Leflore</t>
  </si>
  <si>
    <t>Hinds</t>
  </si>
  <si>
    <t>Holmes</t>
  </si>
  <si>
    <t>Tishomingo</t>
  </si>
  <si>
    <t>Sunflower</t>
  </si>
  <si>
    <t>Humphreys</t>
  </si>
  <si>
    <t>Yazoo</t>
  </si>
  <si>
    <t>Adams</t>
  </si>
  <si>
    <t>Copiah</t>
  </si>
  <si>
    <t>lincoln</t>
  </si>
  <si>
    <t>Guilford</t>
  </si>
  <si>
    <t>Robeson</t>
  </si>
  <si>
    <t>Durham</t>
  </si>
  <si>
    <t>New Hanover</t>
  </si>
  <si>
    <t>Sampson</t>
  </si>
  <si>
    <t>Nash</t>
  </si>
  <si>
    <t>Wilson</t>
  </si>
  <si>
    <t>Davidson</t>
  </si>
  <si>
    <t>Northampton</t>
  </si>
  <si>
    <t>Lenoir</t>
  </si>
  <si>
    <t>Pitt</t>
  </si>
  <si>
    <t>Wake</t>
  </si>
  <si>
    <t>Granville</t>
  </si>
  <si>
    <t>Surry</t>
  </si>
  <si>
    <t>Cabarrus</t>
  </si>
  <si>
    <t>Halifax</t>
  </si>
  <si>
    <t>Vance</t>
  </si>
  <si>
    <t>Buncombe</t>
  </si>
  <si>
    <t>Craven</t>
  </si>
  <si>
    <t>Columbus</t>
  </si>
  <si>
    <t>bertie</t>
  </si>
  <si>
    <t>Bladen</t>
  </si>
  <si>
    <t>Mecklenburg</t>
  </si>
  <si>
    <t>Beaufort</t>
  </si>
  <si>
    <t>Rutherford</t>
  </si>
  <si>
    <t>Johnston</t>
  </si>
  <si>
    <t>Moore</t>
  </si>
  <si>
    <t>Gaston</t>
  </si>
  <si>
    <t>Greenwood</t>
  </si>
  <si>
    <t>Orangeburg</t>
  </si>
  <si>
    <t>Darlington</t>
  </si>
  <si>
    <t>Charleston</t>
  </si>
  <si>
    <t>Newberry</t>
  </si>
  <si>
    <t>Greenville</t>
  </si>
  <si>
    <t>Aiken</t>
  </si>
  <si>
    <t>Dillon</t>
  </si>
  <si>
    <t>Spartanburg</t>
  </si>
  <si>
    <t>Georgetown</t>
  </si>
  <si>
    <t>Horry</t>
  </si>
  <si>
    <t>Berkeley</t>
  </si>
  <si>
    <t>Dorchester</t>
  </si>
  <si>
    <t>Gibson</t>
  </si>
  <si>
    <t>montgomery</t>
  </si>
  <si>
    <t>Roane</t>
  </si>
  <si>
    <t>Williamson</t>
  </si>
  <si>
    <t>Obion</t>
  </si>
  <si>
    <t>Weakley</t>
  </si>
  <si>
    <t>Dyer</t>
  </si>
  <si>
    <t>Hamilton</t>
  </si>
  <si>
    <t>Lake</t>
  </si>
  <si>
    <t>Sullivan</t>
  </si>
  <si>
    <t>Orleans numbers are extreme, and not included in total</t>
  </si>
  <si>
    <t>Norfolk</t>
  </si>
  <si>
    <t>Augusta</t>
  </si>
  <si>
    <t>Wise</t>
  </si>
  <si>
    <t>Henrico</t>
  </si>
  <si>
    <t>Brunswick</t>
  </si>
  <si>
    <t>Southampton</t>
  </si>
  <si>
    <t>Rockbridge</t>
  </si>
  <si>
    <t>Good Except for Orleans</t>
  </si>
  <si>
    <t>Issaquena</t>
  </si>
  <si>
    <t>Pearl River</t>
  </si>
  <si>
    <t>620/365</t>
  </si>
  <si>
    <t>7656/958/10208</t>
  </si>
  <si>
    <t>Edgecombe</t>
  </si>
  <si>
    <t>21176/20255/7612</t>
  </si>
  <si>
    <t>614/606/1099</t>
  </si>
  <si>
    <t>Error of 10 in both, could be attributed to an additional value for Buncombe, that no other county has. Looks like it is included in the total</t>
  </si>
  <si>
    <t>Fairfield</t>
  </si>
  <si>
    <t>373/237/14/11</t>
  </si>
  <si>
    <t>6033/25/10913</t>
  </si>
  <si>
    <t xml:space="preserve">  </t>
  </si>
  <si>
    <t>657/575</t>
  </si>
  <si>
    <t>``</t>
  </si>
  <si>
    <t>8684/14654/1277</t>
  </si>
  <si>
    <t>off by 2</t>
  </si>
  <si>
    <t>700/451</t>
  </si>
  <si>
    <t>39,181/93/54116</t>
  </si>
  <si>
    <t>Off by 1,3, fine</t>
  </si>
  <si>
    <t>Albemarle</t>
  </si>
  <si>
    <t>Greensville</t>
  </si>
  <si>
    <t>Isle of Wight</t>
  </si>
  <si>
    <t>Nansemond</t>
  </si>
  <si>
    <t>Princess Anne</t>
  </si>
  <si>
    <t>1272/213/1941</t>
  </si>
  <si>
    <t>Good</t>
  </si>
  <si>
    <t>11995/11930/8001</t>
  </si>
  <si>
    <t>School Term Length</t>
  </si>
  <si>
    <t>Average Monthly Salaries</t>
  </si>
  <si>
    <t>Pupil-Teacher Ratio</t>
  </si>
  <si>
    <t>School Expenditure</t>
  </si>
  <si>
    <t>Table 3</t>
  </si>
  <si>
    <t>Could calculate pg 109</t>
  </si>
  <si>
    <t>worryingly low</t>
  </si>
  <si>
    <t>Report Year</t>
  </si>
  <si>
    <t>School Year ending</t>
  </si>
  <si>
    <t>Perm. Common School funds</t>
  </si>
  <si>
    <t>Acceptable</t>
  </si>
  <si>
    <t>79 off, close enough last years values now removed</t>
  </si>
  <si>
    <t>Good (deleted repeated 1912 data)</t>
  </si>
  <si>
    <t>`</t>
  </si>
  <si>
    <t>Number Teachers</t>
  </si>
  <si>
    <t>Number of teachers</t>
  </si>
  <si>
    <t>School Expenditure-1903</t>
  </si>
  <si>
    <t>Schoolhouses</t>
  </si>
  <si>
    <t>Value of School Plant and Equipment</t>
  </si>
  <si>
    <t>DeKalb</t>
  </si>
  <si>
    <t>Students</t>
  </si>
  <si>
    <t>https://babel.hathitrust.org/cgi/pt?id=uc1.l0053372421;view=1up;seq=464</t>
  </si>
  <si>
    <t>https://babel.hathitrust.org/cgi/pt?id=uc1.l0053372421;view=1up;seq=467</t>
  </si>
  <si>
    <t>https://babel.hathitrust.org/cgi/pt?id=uc1.l0053372421;view=1up;seq=471</t>
  </si>
  <si>
    <t xml:space="preserve"> </t>
  </si>
  <si>
    <t>Daviess</t>
  </si>
  <si>
    <t/>
  </si>
  <si>
    <t>Accomack</t>
  </si>
  <si>
    <t>https://archive.org/download/biennialsurveyof00unit/biennialsurveyof00unit.pdf#page=588</t>
  </si>
  <si>
    <t>https://archive.org/download/biennialsurveyof00unit/biennialsurveyof00unit.pdf#page=592</t>
  </si>
  <si>
    <t>https://archive.org/download/biennialsurveyof00unit/biennialsurveyof00unit.pdf#page=590</t>
  </si>
  <si>
    <t>https://archive.org/download/biennialsurveyof00unit/biennialsurveyof00unit.pdf#page=610</t>
  </si>
  <si>
    <t>https://archive.org/download/biennialsurveyof00unit/biennialsurveyof00unit.pdf#page=611</t>
  </si>
  <si>
    <t>Attend Page</t>
  </si>
  <si>
    <t>Teach Page</t>
  </si>
  <si>
    <t>Term Page</t>
  </si>
  <si>
    <t>Expend Page</t>
  </si>
  <si>
    <t>Salary Page</t>
  </si>
  <si>
    <t>Expenditure Page</t>
  </si>
  <si>
    <t>https://babel.hathitrust.org/cgi/pt?id=uc1.l0053372421;view=1up;seq=463</t>
  </si>
  <si>
    <t>https://babel.hathitrust.org/cgi/pt?id=uc1.l0053372421;view=1up;seq=466</t>
  </si>
  <si>
    <t>https://hdl.handle.net/2027/coo.31924000857650?urlappend=%3Bseq=292</t>
  </si>
  <si>
    <t>https://hdl.handle.net/2027/mdp.39015076524217?urlappend=%3Bseq=650</t>
  </si>
  <si>
    <t>https://hdl.handle.net/2027/mdp.39015076524217?urlappend=%3Bseq=617</t>
  </si>
  <si>
    <t>https://hdl.handle.net/2027/mdp.39015076524217?urlappend=%3Bseq=615</t>
  </si>
  <si>
    <t>https://hdl.handle.net/2027/mdp.39015076524217?urlappend=%3Bseq=281</t>
  </si>
  <si>
    <t>https://hdl.handle.net/2027/mdp.39015076524217?urlappend=%3Bseq=616</t>
  </si>
  <si>
    <t>https://hdl.handle.net/2027/mdp.39015076524217?urlappend=%3Bseq=618</t>
  </si>
  <si>
    <t>https://archive.org/download/biennialreportof19241926nort/biennialreportof19241926nort.pdf#page=190</t>
  </si>
  <si>
    <t>https://archive.org/download/biennialreportof19241926nort/biennialreportof19241926nort.pdf#page=216</t>
  </si>
  <si>
    <t>https://archive.org/download/biennialreportof19241926nort/biennialreportof19241926nort.pdf#page=108</t>
  </si>
  <si>
    <t>https://archive.org/download/biennialreportof19241926nort/biennialreportof19241926nort.pdf#page=235</t>
  </si>
  <si>
    <t>https://archive.org/download/biennialreportof19241926nort/biennialreportof19241926nort.pdf#page=217</t>
  </si>
  <si>
    <t>https://archive.org/download/biennialreportof19241926nort/biennialreportof19241926nort.pdf#page=236</t>
  </si>
  <si>
    <t>https://archive.org/download/biennialreportof19241926nort/biennialreportof19241926nort.pdf#page=109</t>
  </si>
  <si>
    <t>https://archive.org/download/biennialreportof19241926nort/biennialreportof19241926nort.pdf#page=192</t>
  </si>
  <si>
    <t>https://archive.org/download/biennialreportof19241926nort/biennialreportof19241926nort.pdf#page=237</t>
  </si>
  <si>
    <t>https://archive.org/download/biennialreportof19241926nort/biennialreportof19241926nort.pdf#page=218</t>
  </si>
  <si>
    <t>https://archive.org/download/biennialreportof19241926nort/biennialreportof19241926nort.pdf#page=110</t>
  </si>
  <si>
    <t>https://archive.org/download/biennialreportof19241926nort/biennialreportof19241926nort.pdf#page=219</t>
  </si>
  <si>
    <t>https://archive.org/download/biennialreportof19241926nort/biennialreportof19241926nort.pdf#page=111</t>
  </si>
  <si>
    <t>https://archive.org/download/biennialreportof19241926nort/biennialreportof19241926nort.pdf#page=238</t>
  </si>
  <si>
    <t>https://archive.org/download/biennialreportof19241926nort/biennialreportof19241926nort.pdf#page=194</t>
  </si>
  <si>
    <t>https://archive.org/download/biennialreportof19241926nort/biennialreportof19241926nort.pdf#page=239</t>
  </si>
  <si>
    <t>https://archive.org/download/biennialreportof19241926nort/biennialreportof19241926nort.pdf#page=112</t>
  </si>
  <si>
    <t>https://archive.org/download/biennialreportof19241926nort/biennialreportof19241926nort.pdf#page=220</t>
  </si>
  <si>
    <t>https://archive.org/download/biennialreportof19241926nort/biennialreportof19241926nort.pdf#page=113</t>
  </si>
  <si>
    <t>https://archive.org/download/biennialreportof19241926nort/biennialreportof19241926nort.pdf#page=240</t>
  </si>
  <si>
    <t>https://archive.org/download/biennialreportof19241926nort/biennialreportof19241926nort.pdf#page=221</t>
  </si>
  <si>
    <t>https://archive.org/download/biennialreportof19241926nort/biennialreportof19241926nort.pdf#page=196</t>
  </si>
  <si>
    <t>https://archive.org/download/biennialreportof19241926nort/biennialreportof19241926nort.pdf#page=241</t>
  </si>
  <si>
    <t>https://archive.org/download/biennialreportof19241926nort/biennialreportof19241926nort.pdf#page=114</t>
  </si>
  <si>
    <t>https://archive.org/download/biennialreportof19241926nort/biennialreportof19241926nort.pdf#page=222</t>
  </si>
  <si>
    <t>https://archive.org/download/biennialreportof19241926nort/biennialreportof19241926nort.pdf#page=198</t>
  </si>
  <si>
    <t>https://archive.org/download/biennialreportof19241926nort/biennialreportof19241926nort.pdf#page=242</t>
  </si>
  <si>
    <t>https://archive.org/download/biennialreportof19241926nort/biennialreportof19241926nort.pdf#page=223</t>
  </si>
  <si>
    <t>https://archive.org/download/biennialreportof19241926nort/biennialreportof19241926nort.pdf#page=115</t>
  </si>
  <si>
    <t>https://archive.org/download/biennialreportof19241926nort/biennialreportof19241926nort.pdf#page=243</t>
  </si>
  <si>
    <t>https://archive.org/download/biennialreportof19241926nort/biennialreportof19241926nort.pdf#page=224</t>
  </si>
  <si>
    <t>https://archive.org/download/biennialreportof19241926nort/biennialreportof19241926nort.pdf#page=116</t>
  </si>
  <si>
    <t>https://archive.org/download/biennialreportof19241926nort/biennialreportof19241926nort.pdf#page=200</t>
  </si>
  <si>
    <t>https://archive.org/download/biennialreportof19241926nort/biennialreportof19241926nort.pdf#page=244</t>
  </si>
  <si>
    <t>https://archive.org/download/biennialreportof19241926nort/biennialreportof19241926nort.pdf#page=225</t>
  </si>
  <si>
    <t>https://archive.org/download/biennialreportof19241926nort/biennialreportof19241926nort.pdf#page=117</t>
  </si>
  <si>
    <t>https://archive.org/download/biennialreportof19241926nort/biennialreportof19241926nort.pdf#page=245</t>
  </si>
  <si>
    <t>https://archive.org/download/biennialreportof19241926nort/biennialreportof19241926nort.pdf#page=226</t>
  </si>
  <si>
    <t>https://archive.org/download/biennialreportof19241926nort/biennialreportof19241926nort.pdf#page=202</t>
  </si>
  <si>
    <t>https://archive.org/download/biennialreportof19241926nort/biennialreportof19241926nort.pdf#page=118</t>
  </si>
  <si>
    <t>https://archive.org/download/biennialreportof19241926nort/biennialreportof19241926nort.pdf#page=246</t>
  </si>
  <si>
    <t>https://archive.org/download/biennialreportof19241926nort/biennialreportof19241926nort.pdf#page=227</t>
  </si>
  <si>
    <t>https://archive.org/download/biennialreportof19241926nort/biennialreportof19241926nort.pdf#page=119</t>
  </si>
  <si>
    <t>https://hdl.handle.net/2027/mdp.39015076594376;view=1up;seq=119</t>
  </si>
  <si>
    <t>https://hdl.handle.net/2027/mdp.39015076594376;view=1up;seq=127</t>
  </si>
  <si>
    <t>https://hdl.handle.net/2027/mdp.39015076594376;view=1up;seq=124</t>
  </si>
  <si>
    <t>https://hdl.handle.net/2027/mdp.39015076594376;view=1up;seq=117</t>
  </si>
  <si>
    <t>https://hdl.handle.net/2027/mdp.39015076594376;view=1up;seq=128</t>
  </si>
  <si>
    <t>https://hdl.handle.net/2027/mdp.39015076594376;view=1up;seq=115</t>
  </si>
  <si>
    <t>https://hdl.handle.net/2027/mdp.39015076594376;view=1up;seq=130</t>
  </si>
  <si>
    <t>https://hdl.handle.net/2027/mdp.39015076594376;view=1up;seq=120</t>
  </si>
  <si>
    <t>https://hdl.handle.net/2027/mdp.39015076594376;view=1up;seq=118</t>
  </si>
  <si>
    <t>https://hdl.handle.net/2027/mdp.39015076594376;view=1up;seq=116</t>
  </si>
  <si>
    <t>https://hdl.handle.net/2027/coo.31924000857650?urlappend=%3Bseq=321</t>
  </si>
  <si>
    <t>https://hdl.handle.net/2027/coo.31924000857650?urlappend=%3Bseq=341</t>
  </si>
  <si>
    <t>https://hdl.handle.net/2027/coo.31924000857650?urlappend=%3Bseq=293</t>
  </si>
  <si>
    <t>https://hdl.handle.net/2027/coo.31924000857650?urlappend=%3Bseq=371</t>
  </si>
  <si>
    <t>https://hdl.handle.net/2027/coo.31924000857650?urlappend=%3Bseq=345</t>
  </si>
  <si>
    <t>https://hdl.handle.net/2027/coo.31924000857650?urlappend=%3Bseq=347</t>
  </si>
  <si>
    <t>https://hdl.handle.net/2027/uc1.b2981990?urlappend=%3Bseq=71</t>
  </si>
  <si>
    <t>https://hdl.handle.net/2027/uc1.b2981990?urlappend=%3Bseq=73</t>
  </si>
  <si>
    <t>https://hdl.handle.net/2027/uc1.b2981990?urlappend=%3Bseq=28</t>
  </si>
  <si>
    <t>https://hdl.handle.net/2027/uc1.b2981990?urlappend=%3Bseq=65</t>
  </si>
  <si>
    <t>https://archive.org/download/SOPIK1905/1905.pdf#page=373</t>
  </si>
  <si>
    <t>http://hdl.handle.net/2027/mdp.39015049037735?urlappend=%3Bseq=120</t>
  </si>
  <si>
    <t>http://hdl.handle.net/2027/mdp.39015049037735?urlappend=%3Bseq=162</t>
  </si>
  <si>
    <t>http://hdl.handle.net/2027/mdp.39015049037735?urlappend=%3Bseq=163</t>
  </si>
  <si>
    <t>http://hdl.handle.net/2027/mdp.39015049037735?urlappend=%3Bseq=121</t>
  </si>
  <si>
    <t>http://hdl.handle.net/2027/mdp.39015049037735?urlappend=%3Bseq=164</t>
  </si>
  <si>
    <t>http://hdl.handle.net/2027/mdp.39015049037735?urlappend=%3Bseq=122</t>
  </si>
  <si>
    <t>http://hdl.handle.net/2027/mdp.39015049037735?urlappend=%3Bseq=138</t>
  </si>
  <si>
    <t>http://hdl.handle.net/2027/mdp.39015049037735?urlappend=%3Bseq=123</t>
  </si>
  <si>
    <t>http://hdl.handle.net/2027/mdp.39015049037735?urlappend=%3Bseq=165</t>
  </si>
  <si>
    <t>http://hdl.handle.net/2027/mdp.39015076515900?urlappend=%3Bseq=211</t>
  </si>
  <si>
    <t>http://hdl.handle.net/2027/mdp.39015076515900?urlappend=%3Bseq=217</t>
  </si>
  <si>
    <t>http://hdl.handle.net/2027/mdp.39015076515900?urlappend=%3Bseq=208</t>
  </si>
  <si>
    <t>http://hdl.handle.net/2027/mdp.39015076515900?urlappend=%3Bseq=230</t>
  </si>
  <si>
    <t>http://hdl.handle.net/2027/mdp.39015076515900?urlappend=%3Bseq=224</t>
  </si>
  <si>
    <t>http://hdl.handle.net/2027/mdp.39015076515900?urlappend=%3Bseq=231</t>
  </si>
  <si>
    <t>http://hdl.handle.net/2027/mdp.39015076515900?urlappend=%3Bseq=212</t>
  </si>
  <si>
    <t>http://hdl.handle.net/2027/mdp.39015076515900?urlappend=%3Bseq=209</t>
  </si>
  <si>
    <t>http://hdl.handle.net/2027/mdp.39015076515900?urlappend=%3Bseq=225</t>
  </si>
  <si>
    <t>http://hdl.handle.net/2027/mdp.39015076515900?urlappend=%3Bseq=232</t>
  </si>
  <si>
    <t>http://hdl.handle.net/2027/mdp.39015076515900?urlappend=%3Bseq=213</t>
  </si>
  <si>
    <t>http://hdl.handle.net/2027/mdp.39015076515900?urlappend=%3Bseq=218</t>
  </si>
  <si>
    <t>http://hdl.handle.net/2027/mdp.39015076515900?urlappend=%3Bseq=210</t>
  </si>
  <si>
    <t>http://hdl.handle.net/2027/mdp.39015076515900?urlappend=%3Bseq=226</t>
  </si>
  <si>
    <t>http://hdl.handle.net/2027/uc1.b2986586?urlappend=%3Bseq=313</t>
  </si>
  <si>
    <t>http://hdl.handle.net/2027/uc1.b2986586?urlappend=%3Bseq=307</t>
  </si>
  <si>
    <t>http://hdl.handle.net/2027/uc1.b2986586?urlappend=%3Bseq=287</t>
  </si>
  <si>
    <t>http://hdl.handle.net/2027/uc1.b2986586?urlappend=%3Bseq=308</t>
  </si>
  <si>
    <t>http://hdl.handle.net/2027/uc1.b2986586?urlappend=%3Bseq=309</t>
  </si>
  <si>
    <t>http://hdl.handle.net/2027/uc1.b2986586?urlappend=%3Bseq=288</t>
  </si>
  <si>
    <t>http://hdl.handle.net/2027/uc1.b2986586?urlappend=%3Bseq=310</t>
  </si>
  <si>
    <t>https://archive.org/download/SOPIK1905/1905.pdf#page=380</t>
  </si>
  <si>
    <t>https://archive.org/download/SOPIK1905/1905.pdf#page=</t>
  </si>
  <si>
    <t>https://archive.org/download/SOPIK1905/1905.pdf#page=370</t>
  </si>
  <si>
    <t>https://archive.org/download/SOPIK1905/1905.pdf#page=332</t>
  </si>
  <si>
    <t>https://archive.org/download/SOPIK1905/1905.pdf#page=324</t>
  </si>
  <si>
    <t>https://archive.org/download/SOPIK1905/1905.pdf#page=333</t>
  </si>
  <si>
    <t>https://archive.org/download/SOPIK1905/1905.pdf#page=371</t>
  </si>
  <si>
    <t>https://archive.org/download/SOPIK1905/1905.pdf#page=334</t>
  </si>
  <si>
    <t>http://hdl.handle.net/2027/coo.31924069517021?urlappend=%3Bseq=251</t>
  </si>
  <si>
    <t>http://hdl.handle.net/2027/coo.31924069517021?urlappend=%3Bseq=253</t>
  </si>
  <si>
    <t>http://hdl.handle.net/2027/coo.31924069517021?urlappend=%3Bseq=245</t>
  </si>
  <si>
    <t>http://hdl.handle.net/2027/coo.31924069517021?urlappend=%3Bseq=265</t>
  </si>
  <si>
    <t>http://hdl.handle.net/2027/coo.31924069517021?urlappend=%3Bseq=266</t>
  </si>
  <si>
    <t>http://hdl.handle.net/2027/coo.31924069517021?urlappend=%3Bseq=247</t>
  </si>
  <si>
    <t>http://hdl.handle.net/2027/coo.31924069517021?urlappend=%3Bseq=192</t>
  </si>
  <si>
    <t>http://hdl.handle.net/2027/njp.32101076518784?urlappend=%3Bseq=133</t>
  </si>
  <si>
    <t>http://hdl.handle.net/2027/njp.32101076518784?urlappend=%3Bseq=141</t>
  </si>
  <si>
    <t>http://hdl.handle.net/2027/njp.32101076518784?urlappend=%3Bseq=137</t>
  </si>
  <si>
    <t>http://hdl.handle.net/2027/njp.32101076518784?urlappend=%3Bseq=129</t>
  </si>
  <si>
    <t>http://hdl.handle.net/2027/nc01.ark:/13960/t9183d98b?urlappend=%3Bseq=127</t>
  </si>
  <si>
    <t>http://hdl.handle.net/2027/nc01.ark:/13960/t9183d98b?urlappend=%3Bseq=173</t>
  </si>
  <si>
    <t>http://hdl.handle.net/2027/nc01.ark:/13960/t9183d98b?urlappend=%3Bseq=142</t>
  </si>
  <si>
    <t>http://hdl.handle.net/2027/nc01.ark:/13960/t9183d98b?urlappend=%3Bseq=205</t>
  </si>
  <si>
    <t>http://hdl.handle.net/2027/nc01.ark:/13960/t9183d98b?urlappend=%3Bseq=155</t>
  </si>
  <si>
    <t>http://hdl.handle.net/2027/nc01.ark:/13960/t9183d98b?urlappend=%3Bseq=134</t>
  </si>
  <si>
    <t>http://hdl.handle.net/2027/uc1.b2980735?urlappend=%3Bseq=242</t>
  </si>
  <si>
    <t>http://hdl.handle.net/2027/chi.098298752?urlappend=%3Bseq=73</t>
  </si>
  <si>
    <t>http://hdl.handle.net/2027/chi.098298752?urlappend=%3Bseq=83</t>
  </si>
  <si>
    <t>http://hdl.handle.net/2027/chi.098298752?urlappend=%3Bseq=89</t>
  </si>
  <si>
    <t>http://hdl.handle.net/2027/chi.098298752?urlappend=%3Bseq=71</t>
  </si>
  <si>
    <t>http://hdl.handle.net/2027/chi.098298752?urlappend=%3Bseq=100</t>
  </si>
  <si>
    <t>http://hdl.handle.net/2027/chi.098298752?urlappend=%3Bseq=85</t>
  </si>
  <si>
    <t>http://hdl.handle.net/2027/chi.098298752?urlappend=%3Bseq=87</t>
  </si>
  <si>
    <t>http://hdl.handle.net/2027/uc1.b3014083?urlappend=%3Bseq=105</t>
  </si>
  <si>
    <t>http://hdl.handle.net/2027/uc1.b3014083?urlappend=%3Bseq=126</t>
  </si>
  <si>
    <t>http://hdl.handle.net/2027/uc1.b3014083?urlappend=%3Bseq=68</t>
  </si>
  <si>
    <t>http://hdl.handle.net/2027/uc1.b3014083?urlappend=%3Bseq=212</t>
  </si>
  <si>
    <t>http://hdl.handle.net/2027/uc1.b3014083?urlappend=%3Bseq=153</t>
  </si>
  <si>
    <t>http://hdl.handle.net/2027/uc1.b3014083?urlappend=%3Bseq=174</t>
  </si>
  <si>
    <t>http://hdl.handle.net/2027/uc1.b2981977?urlappend=%3Bseq=234</t>
  </si>
  <si>
    <t>http://hdl.handle.net/2027/uc1.b2981977?urlappend=%3Bseq=112</t>
  </si>
  <si>
    <t>http://hdl.handle.net/2027/uc1.b2981977?urlappend=%3Bseq=237</t>
  </si>
  <si>
    <t>http://hdl.handle.net/2027/uc1.b2981977?urlappend=%3Bseq=233</t>
  </si>
  <si>
    <t>http://hdl.handle.net/2027/uc1.b2981977?urlappend=%3Bseq=238</t>
  </si>
  <si>
    <t>http://hdl.handle.net/2027/uc1.b2981977?urlappend=%3Bseq=120</t>
  </si>
  <si>
    <t>http://hdl.handle.net/2027/uc1.b2981977?urlappend=%3Bseq=127</t>
  </si>
  <si>
    <t>http://hdl.handle.net/2027/uc1.b2981977?urlappend=%3Bseq=128</t>
  </si>
  <si>
    <t>Average Annual Salary</t>
  </si>
  <si>
    <t>http://hdl.handle.net/2027/uiug.30112058522902?urlappend=%3Bseq=180</t>
  </si>
  <si>
    <t>http://hdl.handle.net/2027/uiug.30112058522902?urlappend=%3Bseq=176</t>
  </si>
  <si>
    <t>http://hdl.handle.net/2027/uiug.30112058522902?urlappend=%3Bseq=172</t>
  </si>
  <si>
    <t>http://hdl.handle.net/2027/uiug.30112058522902?urlappend=%3Bseq=173</t>
  </si>
  <si>
    <t>http://hdl.handle.net/2027/uiug.30112058522902?urlappend=%3Bseq=181</t>
  </si>
  <si>
    <t>https://archive.org/compress/pic10_201706/formats=JPEG&amp;file=/pic10_201706.zip</t>
  </si>
  <si>
    <t>https://archive.org/compress/MSedreport/formats=JPEG&amp;file=/MSedreport.zip</t>
  </si>
  <si>
    <t>https://archive.org/compress/LApic6/formats=JPEG&amp;file=/LApic6.zip</t>
  </si>
  <si>
    <t>http://hdl.handle.net/2027/uiug.30112058522902?urlappend=%3Bseq=182</t>
  </si>
  <si>
    <t>http://hdl.handle.net/2027/uiug.30112058522902?urlappend=%3Bseq=183</t>
  </si>
  <si>
    <t>http://hdl.handle.net/2027/uiug.30112058522902?urlappend=%3Bseq=184</t>
  </si>
  <si>
    <t>http://hdl.handle.net/2027/uiug.30112058522902?urlappend=%3Bseq=181181</t>
  </si>
  <si>
    <t>http://hdl.handle.net/2027/uiug.30112058522902?urlappend=%3Bseq=181177</t>
  </si>
  <si>
    <t>http://hdl.handle.net/2027/uiug.30112058522902?urlappend=%3Bseq=181173</t>
  </si>
  <si>
    <t>http://hdl.handle.net/2027/uiug.30112058522902?urlappend=%3Bseq=181174</t>
  </si>
  <si>
    <t>http://hdl.handle.net/2027/uiug.30112058522902?urlappend=%3Bseq=181182</t>
  </si>
  <si>
    <t>http://hdl.handle.net/2027/uiug.30112058522902?urlappend=%3Bseq=181178</t>
  </si>
  <si>
    <t>http://hdl.handle.net/2027/uiug.30112058522902?urlappend=%3Bseq=181175</t>
  </si>
  <si>
    <t>http://hdl.handle.net/2027/uiug.30112058522902?urlappend=%3Bseq=181183</t>
  </si>
  <si>
    <t>http://hdl.handle.net/2027/uiug.30112058522902?urlappend=%3Bseq=181179</t>
  </si>
  <si>
    <t>https://archive.org/download/GADeptofEd1925/GA.pdf</t>
  </si>
  <si>
    <t>Calhoun/Benton</t>
  </si>
  <si>
    <t>Morgan/Cotaco</t>
  </si>
  <si>
    <t>Lamar/Sanford</t>
  </si>
  <si>
    <t>Winston/Hancock</t>
  </si>
  <si>
    <t>Bartow/Cass</t>
  </si>
  <si>
    <t>St Mary</t>
  </si>
  <si>
    <t>St Martin</t>
  </si>
  <si>
    <t>East Carroll/Carroll</t>
  </si>
  <si>
    <t>St Landry</t>
  </si>
  <si>
    <t>Arlington/Alexandria</t>
  </si>
  <si>
    <t>Population</t>
  </si>
  <si>
    <t>Included with Norfolk</t>
  </si>
  <si>
    <t>Included with Accomack</t>
  </si>
  <si>
    <t>Included with Nansemond</t>
  </si>
  <si>
    <t>Included with Brunswick</t>
  </si>
  <si>
    <t>Included under Knox.</t>
  </si>
  <si>
    <t>Education, County</t>
  </si>
  <si>
    <t>Education, School District</t>
  </si>
  <si>
    <t>Alabama;Autauga</t>
  </si>
  <si>
    <t>Alabama;Baldwin</t>
  </si>
  <si>
    <t>Alabama;Barbour</t>
  </si>
  <si>
    <t>Alabama;Bibb</t>
  </si>
  <si>
    <t>Alabama;Blount</t>
  </si>
  <si>
    <t>Alabama;Bullock</t>
  </si>
  <si>
    <t>Alabama;Butler</t>
  </si>
  <si>
    <t>Alabama;Calhoun/Benton</t>
  </si>
  <si>
    <t>Alabama;Chambers</t>
  </si>
  <si>
    <t>Alabama;Cherokee</t>
  </si>
  <si>
    <t>Alabama;Chilton/Baker</t>
  </si>
  <si>
    <t>Alabama;Choctaw</t>
  </si>
  <si>
    <t>Alabama;Clarke</t>
  </si>
  <si>
    <t>Alabama;Clay</t>
  </si>
  <si>
    <t>Alabama;Cleburne</t>
  </si>
  <si>
    <t>Alabama;Coffee</t>
  </si>
  <si>
    <t>Alabama;Colbert</t>
  </si>
  <si>
    <t>Alabama;Conecuh</t>
  </si>
  <si>
    <t>Alabama;Coosa</t>
  </si>
  <si>
    <t>Alabama;Covington</t>
  </si>
  <si>
    <t>Alabama;Crenshaw</t>
  </si>
  <si>
    <t>Alabama;Cullman</t>
  </si>
  <si>
    <t>Alabama;Dale</t>
  </si>
  <si>
    <t>Alabama;Dallas</t>
  </si>
  <si>
    <t>Alabama;DeKalb</t>
  </si>
  <si>
    <t>Alabama;Elmore</t>
  </si>
  <si>
    <t>Alabama;Escambia</t>
  </si>
  <si>
    <t>Alabama;Etowah</t>
  </si>
  <si>
    <t>Alabama;Fayette</t>
  </si>
  <si>
    <t>Alabama;Franklin</t>
  </si>
  <si>
    <t>Alabama;Geneva</t>
  </si>
  <si>
    <t>Alabama;Greene</t>
  </si>
  <si>
    <t>Alabama;Hale</t>
  </si>
  <si>
    <t>Alabama;Henry</t>
  </si>
  <si>
    <t>Alabama;Houston</t>
  </si>
  <si>
    <t>Alabama;Jackson</t>
  </si>
  <si>
    <t>Alabama;Jefferson</t>
  </si>
  <si>
    <t>Alabama;Lamar/Sanford</t>
  </si>
  <si>
    <t>Alabama;Lauderdale</t>
  </si>
  <si>
    <t>Alabama;Lawrence</t>
  </si>
  <si>
    <t>Alabama;Lee</t>
  </si>
  <si>
    <t>Alabama;Limestone</t>
  </si>
  <si>
    <t>Alabama;Lowndes</t>
  </si>
  <si>
    <t>Alabama;Macon</t>
  </si>
  <si>
    <t>Alabama;Madison</t>
  </si>
  <si>
    <t>Alabama;Marengo</t>
  </si>
  <si>
    <t>Alabama;Marion</t>
  </si>
  <si>
    <t>Alabama;Marshall</t>
  </si>
  <si>
    <t>Alabama;Mobile</t>
  </si>
  <si>
    <t>Alabama;Monroe</t>
  </si>
  <si>
    <t>Alabama;Montgomery</t>
  </si>
  <si>
    <t>Alabama;Perry</t>
  </si>
  <si>
    <t>Alabama;Pickens</t>
  </si>
  <si>
    <t>Alabama;Pike</t>
  </si>
  <si>
    <t>Alabama;Randolph</t>
  </si>
  <si>
    <t>Alabama;Russell</t>
  </si>
  <si>
    <t>Alabama;Shelby</t>
  </si>
  <si>
    <t>Alabama;Sumter</t>
  </si>
  <si>
    <t>Alabama;Talladega</t>
  </si>
  <si>
    <t>Alabama;Tallapoosa</t>
  </si>
  <si>
    <t>Alabama;Tuscaloosa</t>
  </si>
  <si>
    <t>Alabama;Walker</t>
  </si>
  <si>
    <t>Alabama;Washington</t>
  </si>
  <si>
    <t>Alabama;Wilcox</t>
  </si>
  <si>
    <t>;MY TOTAL</t>
  </si>
  <si>
    <t>;REPORTED TOTAL</t>
  </si>
  <si>
    <t>Arkansas;Arkansas</t>
  </si>
  <si>
    <t>Arkansas;Ashley</t>
  </si>
  <si>
    <t>Arkansas;Baxter</t>
  </si>
  <si>
    <t>Arkansas;Benton</t>
  </si>
  <si>
    <t>Arkansas;Boone</t>
  </si>
  <si>
    <t>Arkansas;Bradley</t>
  </si>
  <si>
    <t>Arkansas;Calhoun</t>
  </si>
  <si>
    <t>Arkansas;Carroll</t>
  </si>
  <si>
    <t>Arkansas;Chicot</t>
  </si>
  <si>
    <t>Arkansas;Clark</t>
  </si>
  <si>
    <t>Arkansas;Clay</t>
  </si>
  <si>
    <t>Arkansas;Cleburne</t>
  </si>
  <si>
    <t>Arkansas;Columbia</t>
  </si>
  <si>
    <t>Arkansas;Conway</t>
  </si>
  <si>
    <t>Arkansas;Craighead</t>
  </si>
  <si>
    <t>Arkansas;Crawford</t>
  </si>
  <si>
    <t>Arkansas;Crittenden</t>
  </si>
  <si>
    <t>Arkansas;Cross</t>
  </si>
  <si>
    <t>Arkansas;Dallas</t>
  </si>
  <si>
    <t>Arkansas;Desha</t>
  </si>
  <si>
    <t>Arkansas;Drew</t>
  </si>
  <si>
    <t>Arkansas;Franklin</t>
  </si>
  <si>
    <t>Arkansas;Fulton</t>
  </si>
  <si>
    <t>Arkansas;Garland</t>
  </si>
  <si>
    <t>Arkansas;Grant</t>
  </si>
  <si>
    <t>Arkansas;Greene</t>
  </si>
  <si>
    <t>Arkansas;Hempstead</t>
  </si>
  <si>
    <t>Arkansas;Hot Spring</t>
  </si>
  <si>
    <t>Arkansas;Howard</t>
  </si>
  <si>
    <t>Arkansas;Independence</t>
  </si>
  <si>
    <t>Arkansas;Izard</t>
  </si>
  <si>
    <t>Arkansas;Jackson</t>
  </si>
  <si>
    <t>Arkansas;Jefferson</t>
  </si>
  <si>
    <t>Arkansas;Johnson</t>
  </si>
  <si>
    <t>Arkansas;Lafayette</t>
  </si>
  <si>
    <t>Arkansas;Lawrence</t>
  </si>
  <si>
    <t>Arkansas;Lee</t>
  </si>
  <si>
    <t>Arkansas;Lincoln</t>
  </si>
  <si>
    <t>Arkansas;Little River</t>
  </si>
  <si>
    <t>Arkansas;Logan</t>
  </si>
  <si>
    <t>Arkansas;Lonoke</t>
  </si>
  <si>
    <t>Arkansas;Madison</t>
  </si>
  <si>
    <t>Arkansas;Marion</t>
  </si>
  <si>
    <t>Arkansas;Miller</t>
  </si>
  <si>
    <t>Arkansas;Mississippi</t>
  </si>
  <si>
    <t>Arkansas;Monroe</t>
  </si>
  <si>
    <t>Arkansas;Nevada</t>
  </si>
  <si>
    <t>Arkansas;Newton</t>
  </si>
  <si>
    <t>Arkansas;Ouachita</t>
  </si>
  <si>
    <t>Arkansas;Perry</t>
  </si>
  <si>
    <t>Arkansas;Phillips</t>
  </si>
  <si>
    <t>Arkansas;Pike</t>
  </si>
  <si>
    <t>Arkansas;Poinsett</t>
  </si>
  <si>
    <t>Arkansas;Polk</t>
  </si>
  <si>
    <t>Arkansas;Pope</t>
  </si>
  <si>
    <t>Arkansas;Prairie</t>
  </si>
  <si>
    <t>Arkansas;Pulaski</t>
  </si>
  <si>
    <t>Arkansas;Randolph</t>
  </si>
  <si>
    <t>Arkansas;Saline</t>
  </si>
  <si>
    <t>Arkansas;Scott</t>
  </si>
  <si>
    <t>Arkansas;Searcy</t>
  </si>
  <si>
    <t>Arkansas;Sebastian</t>
  </si>
  <si>
    <t>Arkansas;Sevier</t>
  </si>
  <si>
    <t>Arkansas;Sharp</t>
  </si>
  <si>
    <t>Arkansas;Stone</t>
  </si>
  <si>
    <t>Arkansas;Union</t>
  </si>
  <si>
    <t>Arkansas;Van Buren</t>
  </si>
  <si>
    <t>Arkansas;Washington</t>
  </si>
  <si>
    <t>Arkansas;White</t>
  </si>
  <si>
    <t>Arkansas;Woodruff</t>
  </si>
  <si>
    <t>Arkansas;Yell</t>
  </si>
  <si>
    <t>Georgia;Appling</t>
  </si>
  <si>
    <t>Georgia;Atkinson</t>
  </si>
  <si>
    <t>Georgia;Bacon</t>
  </si>
  <si>
    <t>Georgia;Baker</t>
  </si>
  <si>
    <t>Georgia;Baldwin</t>
  </si>
  <si>
    <t>Georgia;Banks</t>
  </si>
  <si>
    <t>Georgia;Barrow</t>
  </si>
  <si>
    <t>Georgia;Ben Hill</t>
  </si>
  <si>
    <t>Georgia;Berrien</t>
  </si>
  <si>
    <t>Georgia;Bibb</t>
  </si>
  <si>
    <t>Georgia;Bleckley</t>
  </si>
  <si>
    <t>Georgia;Brantley</t>
  </si>
  <si>
    <t>Georgia;Brooks</t>
  </si>
  <si>
    <t>Georgia;Bryan</t>
  </si>
  <si>
    <t>Georgia;Bulloch</t>
  </si>
  <si>
    <t>Georgia;Burke</t>
  </si>
  <si>
    <t>Georgia;Butts</t>
  </si>
  <si>
    <t>Georgia;Calhoun</t>
  </si>
  <si>
    <t>Georgia;Camden</t>
  </si>
  <si>
    <t>Georgia;Campbell</t>
  </si>
  <si>
    <t>Georgia;Candler</t>
  </si>
  <si>
    <t>Georgia;Carroll</t>
  </si>
  <si>
    <t>Georgia;Catoosa</t>
  </si>
  <si>
    <t>Georgia;Charlton</t>
  </si>
  <si>
    <t>Georgia;Chatham</t>
  </si>
  <si>
    <t>Georgia;Chattahoochee</t>
  </si>
  <si>
    <t>Georgia;Chattooga</t>
  </si>
  <si>
    <t>Georgia;Cherokee</t>
  </si>
  <si>
    <t>Georgia;Clarke</t>
  </si>
  <si>
    <t>Georgia;Clay</t>
  </si>
  <si>
    <t>Georgia;Clayton</t>
  </si>
  <si>
    <t>Georgia;Clinch</t>
  </si>
  <si>
    <t>Georgia;Cobb</t>
  </si>
  <si>
    <t>Georgia;Coffee</t>
  </si>
  <si>
    <t>Georgia;Colquitt</t>
  </si>
  <si>
    <t>Georgia;Columbia</t>
  </si>
  <si>
    <t>Georgia;Cook</t>
  </si>
  <si>
    <t>Georgia;Coweta</t>
  </si>
  <si>
    <t>Georgia;Crawford</t>
  </si>
  <si>
    <t>Georgia;Crisp</t>
  </si>
  <si>
    <t>Georgia;Dade</t>
  </si>
  <si>
    <t>Georgia;Dawson</t>
  </si>
  <si>
    <t>Georgia;Decatur</t>
  </si>
  <si>
    <t>Georgia;DeKalb</t>
  </si>
  <si>
    <t>Georgia;Dodge</t>
  </si>
  <si>
    <t>Georgia;Dooly</t>
  </si>
  <si>
    <t>Georgia;Dougherty</t>
  </si>
  <si>
    <t>Georgia;Douglas</t>
  </si>
  <si>
    <t>Georgia;Early</t>
  </si>
  <si>
    <t>Georgia;Echols</t>
  </si>
  <si>
    <t>Georgia;Effingham</t>
  </si>
  <si>
    <t>Georgia;Elbert</t>
  </si>
  <si>
    <t>Georgia;Emanuel</t>
  </si>
  <si>
    <t>Georgia;Evans</t>
  </si>
  <si>
    <t>Georgia;Fannin</t>
  </si>
  <si>
    <t>Georgia;Fayette</t>
  </si>
  <si>
    <t>Georgia;Floyd</t>
  </si>
  <si>
    <t>Georgia;Forsyth</t>
  </si>
  <si>
    <t>Georgia;Franklin</t>
  </si>
  <si>
    <t>Georgia;Fulton</t>
  </si>
  <si>
    <t>Georgia;Gilmer</t>
  </si>
  <si>
    <t>Georgia;Glascock</t>
  </si>
  <si>
    <t>Georgia;Glynn</t>
  </si>
  <si>
    <t>Georgia;Gordon</t>
  </si>
  <si>
    <t>Georgia;Grady</t>
  </si>
  <si>
    <t>Georgia;Greene</t>
  </si>
  <si>
    <t>Georgia;Gwinnett</t>
  </si>
  <si>
    <t>Georgia;Habersham</t>
  </si>
  <si>
    <t>Georgia;Hall</t>
  </si>
  <si>
    <t>Georgia;Hancock</t>
  </si>
  <si>
    <t>Georgia;Haralson</t>
  </si>
  <si>
    <t>Georgia;Harris</t>
  </si>
  <si>
    <t>Georgia;Hart</t>
  </si>
  <si>
    <t>Georgia;Heard</t>
  </si>
  <si>
    <t>Georgia;Henry</t>
  </si>
  <si>
    <t>Georgia;Houston</t>
  </si>
  <si>
    <t>Georgia;Irwin</t>
  </si>
  <si>
    <t>Georgia;Jackson</t>
  </si>
  <si>
    <t>Georgia;Jasper</t>
  </si>
  <si>
    <t>Georgia;Jeff Davis</t>
  </si>
  <si>
    <t>Georgia;Jefferson</t>
  </si>
  <si>
    <t>Georgia;Jenkins</t>
  </si>
  <si>
    <t>Georgia;Johnson</t>
  </si>
  <si>
    <t>Georgia;Jones</t>
  </si>
  <si>
    <t>Georgia;Lamar</t>
  </si>
  <si>
    <t>Georgia;Lanier</t>
  </si>
  <si>
    <t>Georgia;Laurens</t>
  </si>
  <si>
    <t>Georgia;Lee</t>
  </si>
  <si>
    <t>Georgia;Liberty</t>
  </si>
  <si>
    <t>Georgia;Lincoln</t>
  </si>
  <si>
    <t>Georgia;Long</t>
  </si>
  <si>
    <t>Georgia;Lowndes</t>
  </si>
  <si>
    <t>Georgia;Lumpkin</t>
  </si>
  <si>
    <t>Georgia;McDuffie</t>
  </si>
  <si>
    <t>Georgia;McIntosh</t>
  </si>
  <si>
    <t>Georgia;Macon</t>
  </si>
  <si>
    <t>Georgia;Madison</t>
  </si>
  <si>
    <t>Georgia;Marion</t>
  </si>
  <si>
    <t>Georgia;Meriwether</t>
  </si>
  <si>
    <t>Georgia;Miller</t>
  </si>
  <si>
    <t>Georgia;Milton</t>
  </si>
  <si>
    <t>Georgia;Mitchell</t>
  </si>
  <si>
    <t>Georgia;Monroe</t>
  </si>
  <si>
    <t>Georgia;Montgomery</t>
  </si>
  <si>
    <t>Georgia;Morgan</t>
  </si>
  <si>
    <t>Georgia;Murray</t>
  </si>
  <si>
    <t>Georgia;Muscogee</t>
  </si>
  <si>
    <t>Georgia;Newton</t>
  </si>
  <si>
    <t>Georgia;Oconee</t>
  </si>
  <si>
    <t>Georgia;Oglethorpe</t>
  </si>
  <si>
    <t>Georgia;Paulding</t>
  </si>
  <si>
    <t>Georgia;Peach</t>
  </si>
  <si>
    <t>Georgia;Pickens</t>
  </si>
  <si>
    <t>Georgia;Pierce</t>
  </si>
  <si>
    <t>Georgia;Pike</t>
  </si>
  <si>
    <t>Georgia;Polk</t>
  </si>
  <si>
    <t>Georgia;Pulaski</t>
  </si>
  <si>
    <t>Georgia;Putnam</t>
  </si>
  <si>
    <t>Georgia;Quitman</t>
  </si>
  <si>
    <t>Georgia;Rabun</t>
  </si>
  <si>
    <t>Georgia;Randolph</t>
  </si>
  <si>
    <t>Georgia;Richmond</t>
  </si>
  <si>
    <t>Georgia;Rockdale</t>
  </si>
  <si>
    <t>Georgia;Schley</t>
  </si>
  <si>
    <t>Georgia;Screven</t>
  </si>
  <si>
    <t>Georgia;Seminole</t>
  </si>
  <si>
    <t>Georgia;Spalding</t>
  </si>
  <si>
    <t>Georgia;Stephens</t>
  </si>
  <si>
    <t>Georgia;Stewart</t>
  </si>
  <si>
    <t>Georgia;Sumter</t>
  </si>
  <si>
    <t>Georgia;Talbot</t>
  </si>
  <si>
    <t>Georgia;Taliaferro</t>
  </si>
  <si>
    <t>Georgia;Tattnall</t>
  </si>
  <si>
    <t>Georgia;Taylor</t>
  </si>
  <si>
    <t>Georgia;Telfair</t>
  </si>
  <si>
    <t>Georgia;Terrell</t>
  </si>
  <si>
    <t>Georgia;Thomas</t>
  </si>
  <si>
    <t>Georgia;Tift</t>
  </si>
  <si>
    <t>Georgia;Toombs</t>
  </si>
  <si>
    <t>Georgia;Towns</t>
  </si>
  <si>
    <t>Georgia;Treutlen</t>
  </si>
  <si>
    <t>Georgia;Troup</t>
  </si>
  <si>
    <t>Georgia;Turner</t>
  </si>
  <si>
    <t>Georgia;Twiggs</t>
  </si>
  <si>
    <t>Georgia;Union</t>
  </si>
  <si>
    <t>Georgia;Upson</t>
  </si>
  <si>
    <t>Georgia;Walker</t>
  </si>
  <si>
    <t>Georgia;Walton</t>
  </si>
  <si>
    <t>Georgia;Ware</t>
  </si>
  <si>
    <t>Georgia;Warren</t>
  </si>
  <si>
    <t>Georgia;Washington</t>
  </si>
  <si>
    <t>Georgia;Wayne</t>
  </si>
  <si>
    <t>Georgia;Webster</t>
  </si>
  <si>
    <t>Georgia;Wheeler</t>
  </si>
  <si>
    <t>Georgia;White</t>
  </si>
  <si>
    <t>Georgia;Whitfield</t>
  </si>
  <si>
    <t>Georgia;Wilcox</t>
  </si>
  <si>
    <t>Georgia;Wilkes</t>
  </si>
  <si>
    <t>Georgia;Wilkinson</t>
  </si>
  <si>
    <t>Georgia;Worth</t>
  </si>
  <si>
    <t>Kentucky;Adair</t>
  </si>
  <si>
    <t>Kentucky;Allen</t>
  </si>
  <si>
    <t>Kentucky;Anderson</t>
  </si>
  <si>
    <t>Kentucky;Ballard</t>
  </si>
  <si>
    <t>Kentucky;Barren</t>
  </si>
  <si>
    <t>Kentucky;Bath</t>
  </si>
  <si>
    <t>Kentucky;Bell</t>
  </si>
  <si>
    <t>Kentucky;Boone</t>
  </si>
  <si>
    <t>Kentucky;Bourbon</t>
  </si>
  <si>
    <t>Kentucky;Boyd</t>
  </si>
  <si>
    <t>Kentucky;Boyle</t>
  </si>
  <si>
    <t>Kentucky;Bracken</t>
  </si>
  <si>
    <t>Kentucky;Breathitt</t>
  </si>
  <si>
    <t>Kentucky;Breckinridge</t>
  </si>
  <si>
    <t>Kentucky;Bullitt</t>
  </si>
  <si>
    <t>Kentucky;Butler</t>
  </si>
  <si>
    <t>Kentucky;Caldwell</t>
  </si>
  <si>
    <t>Kentucky;Calloway</t>
  </si>
  <si>
    <t>Kentucky;Campbell</t>
  </si>
  <si>
    <t>Kentucky;Carlisle</t>
  </si>
  <si>
    <t>Kentucky;Carroll</t>
  </si>
  <si>
    <t>Kentucky;Carter</t>
  </si>
  <si>
    <t>Kentucky;Casey</t>
  </si>
  <si>
    <t>Kentucky;Christian</t>
  </si>
  <si>
    <t>Kentucky;Clark</t>
  </si>
  <si>
    <t>Kentucky;Clay</t>
  </si>
  <si>
    <t>Kentucky;Clinton</t>
  </si>
  <si>
    <t>Kentucky;Crittenden</t>
  </si>
  <si>
    <t>Kentucky;Cumberland</t>
  </si>
  <si>
    <t>Kentucky;Edmonson</t>
  </si>
  <si>
    <t>Kentucky;Elliott</t>
  </si>
  <si>
    <t>Kentucky;Estill</t>
  </si>
  <si>
    <t>Kentucky;Fayette</t>
  </si>
  <si>
    <t>Kentucky;Fleming</t>
  </si>
  <si>
    <t>Kentucky;Floyd</t>
  </si>
  <si>
    <t>Kentucky;Franklin</t>
  </si>
  <si>
    <t>Kentucky;Fulton</t>
  </si>
  <si>
    <t>Kentucky;Gallatin</t>
  </si>
  <si>
    <t>Kentucky;Garrard</t>
  </si>
  <si>
    <t>Kentucky;Grant</t>
  </si>
  <si>
    <t>Kentucky;Graves</t>
  </si>
  <si>
    <t>Kentucky;Grayson</t>
  </si>
  <si>
    <t>Kentucky;Green</t>
  </si>
  <si>
    <t>Kentucky;Greenup</t>
  </si>
  <si>
    <t>Kentucky;Hancock</t>
  </si>
  <si>
    <t>Kentucky;Hardin</t>
  </si>
  <si>
    <t>Kentucky;Harlan</t>
  </si>
  <si>
    <t>Kentucky;Harrison</t>
  </si>
  <si>
    <t>Kentucky;Hart</t>
  </si>
  <si>
    <t>Kentucky;Henderson</t>
  </si>
  <si>
    <t>Kentucky;Henry</t>
  </si>
  <si>
    <t>Kentucky;Hickman</t>
  </si>
  <si>
    <t>Kentucky;Hopkins</t>
  </si>
  <si>
    <t>Kentucky;Jackson</t>
  </si>
  <si>
    <t>Kentucky;Jefferson</t>
  </si>
  <si>
    <t>Kentucky;Jessamine</t>
  </si>
  <si>
    <t>Kentucky;Johnson</t>
  </si>
  <si>
    <t>Kentucky;Kenton</t>
  </si>
  <si>
    <t>Kentucky;Knott</t>
  </si>
  <si>
    <t>Kentucky;Knox</t>
  </si>
  <si>
    <t>Kentucky;Larue</t>
  </si>
  <si>
    <t>Kentucky;Laurel</t>
  </si>
  <si>
    <t>Kentucky;Lawrence</t>
  </si>
  <si>
    <t>Kentucky;Lee</t>
  </si>
  <si>
    <t>Kentucky;Leslie</t>
  </si>
  <si>
    <t>Kentucky;Letcher</t>
  </si>
  <si>
    <t>Kentucky;Lewis</t>
  </si>
  <si>
    <t>Kentucky;Lincoln</t>
  </si>
  <si>
    <t>Kentucky;Livingston</t>
  </si>
  <si>
    <t>Kentucky;Logan</t>
  </si>
  <si>
    <t>Kentucky;Lyon</t>
  </si>
  <si>
    <t>Kentucky;McCracken</t>
  </si>
  <si>
    <t>Kentucky;McCreary</t>
  </si>
  <si>
    <t>Kentucky;McLean</t>
  </si>
  <si>
    <t>Kentucky;Madison</t>
  </si>
  <si>
    <t>Kentucky;Magoffin</t>
  </si>
  <si>
    <t>Kentucky;Marion</t>
  </si>
  <si>
    <t>Kentucky;Marshall</t>
  </si>
  <si>
    <t>Kentucky;Martin</t>
  </si>
  <si>
    <t>Kentucky;Mason</t>
  </si>
  <si>
    <t>Kentucky;Meade</t>
  </si>
  <si>
    <t>Kentucky;Menifee</t>
  </si>
  <si>
    <t>Kentucky;Mercer</t>
  </si>
  <si>
    <t>Kentucky;MetCalfe</t>
  </si>
  <si>
    <t>Kentucky;Monroe</t>
  </si>
  <si>
    <t>Kentucky;Montgomery</t>
  </si>
  <si>
    <t>Kentucky;Morgan</t>
  </si>
  <si>
    <t>Kentucky;Muhlenberg</t>
  </si>
  <si>
    <t>Kentucky;Nelson</t>
  </si>
  <si>
    <t>Kentucky;Nicholas</t>
  </si>
  <si>
    <t>Kentucky;Ohio</t>
  </si>
  <si>
    <t>Kentucky;Oldham</t>
  </si>
  <si>
    <t>Kentucky;Owen</t>
  </si>
  <si>
    <t>Kentucky;Owsley</t>
  </si>
  <si>
    <t>Kentucky;Pendleton</t>
  </si>
  <si>
    <t>Kentucky;Perry</t>
  </si>
  <si>
    <t>Kentucky;Pike</t>
  </si>
  <si>
    <t>Kentucky;Powell</t>
  </si>
  <si>
    <t>Kentucky;Pulaski</t>
  </si>
  <si>
    <t>Kentucky;Robertson</t>
  </si>
  <si>
    <t>Kentucky;Rockcastle</t>
  </si>
  <si>
    <t>Kentucky;Rowan</t>
  </si>
  <si>
    <t>Kentucky;Russell</t>
  </si>
  <si>
    <t>Kentucky;Scott</t>
  </si>
  <si>
    <t>Kentucky;Shelby</t>
  </si>
  <si>
    <t>Kentucky;Simpson</t>
  </si>
  <si>
    <t>Kentucky;Spencer</t>
  </si>
  <si>
    <t>Kentucky;Taylor</t>
  </si>
  <si>
    <t>Kentucky;Todd</t>
  </si>
  <si>
    <t>Kentucky;Trimble</t>
  </si>
  <si>
    <t>Kentucky;Union</t>
  </si>
  <si>
    <t>Kentucky;Warren</t>
  </si>
  <si>
    <t>Kentucky;Washington</t>
  </si>
  <si>
    <t>Kentucky;Wayne</t>
  </si>
  <si>
    <t>Kentucky;Webster</t>
  </si>
  <si>
    <t>Kentucky;Whitley</t>
  </si>
  <si>
    <t>Kentucky;Wolfe</t>
  </si>
  <si>
    <t>Kentucky;Woodford</t>
  </si>
  <si>
    <t>Louisiana;Acadia</t>
  </si>
  <si>
    <t>Louisiana;Allen</t>
  </si>
  <si>
    <t>Louisiana;Ascension</t>
  </si>
  <si>
    <t>Louisiana;Assumption</t>
  </si>
  <si>
    <t>Louisiana;Avoyelles</t>
  </si>
  <si>
    <t>Louisiana;Beauregard</t>
  </si>
  <si>
    <t>Louisiana;Bienville</t>
  </si>
  <si>
    <t>Louisiana;Bossier</t>
  </si>
  <si>
    <t>Louisiana;Caddo</t>
  </si>
  <si>
    <t>Louisiana;Calcasieu</t>
  </si>
  <si>
    <t>Louisiana;Caldwell</t>
  </si>
  <si>
    <t>Louisiana;Cameron</t>
  </si>
  <si>
    <t>Louisiana;Catahoula</t>
  </si>
  <si>
    <t>Louisiana;Claiborne</t>
  </si>
  <si>
    <t>Louisiana;Concordia</t>
  </si>
  <si>
    <t>Louisiana;East Baton Rouge</t>
  </si>
  <si>
    <t>Louisiana;East Feliciana</t>
  </si>
  <si>
    <t>Louisiana;Evangeline</t>
  </si>
  <si>
    <t>Louisiana;Franklin</t>
  </si>
  <si>
    <t>Louisiana;Grant</t>
  </si>
  <si>
    <t>Louisiana;Iberia</t>
  </si>
  <si>
    <t>Louisiana;Iberville</t>
  </si>
  <si>
    <t>Louisiana;Jackson</t>
  </si>
  <si>
    <t>Louisiana;Jefferson</t>
  </si>
  <si>
    <t>Louisiana;Jefferson Davis</t>
  </si>
  <si>
    <t>Louisiana;Lafayette</t>
  </si>
  <si>
    <t>Louisiana;Lafourche</t>
  </si>
  <si>
    <t>Louisiana;La Salle</t>
  </si>
  <si>
    <t>Louisiana;Lincoln</t>
  </si>
  <si>
    <t>Louisiana;Livingston</t>
  </si>
  <si>
    <t>Louisiana;Madison</t>
  </si>
  <si>
    <t>Louisiana;Morehouse</t>
  </si>
  <si>
    <t>Louisiana;Natchitoches</t>
  </si>
  <si>
    <t>Louisiana;Orleans</t>
  </si>
  <si>
    <t>Louisiana;Ouachita</t>
  </si>
  <si>
    <t>Louisiana;Plaquemines</t>
  </si>
  <si>
    <t>Louisiana;Rapides</t>
  </si>
  <si>
    <t>Louisiana;Richland</t>
  </si>
  <si>
    <t>Louisiana;Sabine</t>
  </si>
  <si>
    <t>Louisiana;Tangipahoa</t>
  </si>
  <si>
    <t>Louisiana;Tensas</t>
  </si>
  <si>
    <t>Louisiana;Terrebonne</t>
  </si>
  <si>
    <t>Louisiana;Union</t>
  </si>
  <si>
    <t>Louisiana;Vernon</t>
  </si>
  <si>
    <t>Louisiana;Washington</t>
  </si>
  <si>
    <t>Louisiana;Webster</t>
  </si>
  <si>
    <t>Louisiana;West Baton Rouge</t>
  </si>
  <si>
    <t>Louisiana;West Carroll</t>
  </si>
  <si>
    <t>Louisiana;West Feliciana</t>
  </si>
  <si>
    <t>Louisiana;Winn</t>
  </si>
  <si>
    <t>Mississippi;Adams</t>
  </si>
  <si>
    <t>Mississippi;Alcorn</t>
  </si>
  <si>
    <t>Mississippi;Amite</t>
  </si>
  <si>
    <t>Mississippi;Attala</t>
  </si>
  <si>
    <t>Mississippi;Benton</t>
  </si>
  <si>
    <t>Mississippi;Bolivar</t>
  </si>
  <si>
    <t>Mississippi;Calhoun</t>
  </si>
  <si>
    <t>Mississippi;Carroll</t>
  </si>
  <si>
    <t>Mississippi;Chickasaw</t>
  </si>
  <si>
    <t>Mississippi;Choctaw</t>
  </si>
  <si>
    <t>Mississippi;Claiborne</t>
  </si>
  <si>
    <t>Mississippi;Clarke</t>
  </si>
  <si>
    <t>Mississippi;Clay</t>
  </si>
  <si>
    <t>Mississippi;Coahoma</t>
  </si>
  <si>
    <t>Mississippi;Copiah</t>
  </si>
  <si>
    <t>Mississippi;Covington</t>
  </si>
  <si>
    <t>Mississippi;Forrest</t>
  </si>
  <si>
    <t>Mississippi;Franklin</t>
  </si>
  <si>
    <t>Mississippi;George</t>
  </si>
  <si>
    <t>Mississippi;Greene</t>
  </si>
  <si>
    <t>Mississippi;Grenada</t>
  </si>
  <si>
    <t>Mississippi;Hancock</t>
  </si>
  <si>
    <t>Mississippi;Harrison</t>
  </si>
  <si>
    <t>Mississippi;Hinds</t>
  </si>
  <si>
    <t>Mississippi;Holmes</t>
  </si>
  <si>
    <t>Mississippi;Humphreys</t>
  </si>
  <si>
    <t>Mississippi;Issaquena</t>
  </si>
  <si>
    <t>Mississippi;Itawamba</t>
  </si>
  <si>
    <t>Mississippi;Jackson</t>
  </si>
  <si>
    <t>Mississippi;Jasper</t>
  </si>
  <si>
    <t>Mississippi;Jefferson</t>
  </si>
  <si>
    <t>Mississippi;Jefferson Davis</t>
  </si>
  <si>
    <t>Mississippi;Jones</t>
  </si>
  <si>
    <t>Mississippi;Kemper</t>
  </si>
  <si>
    <t>Mississippi;Lafayette</t>
  </si>
  <si>
    <t>Mississippi;Lamar</t>
  </si>
  <si>
    <t>Mississippi;Lauderdale</t>
  </si>
  <si>
    <t>Mississippi;Lawrence</t>
  </si>
  <si>
    <t>Mississippi;Leake</t>
  </si>
  <si>
    <t>Mississippi;Lee</t>
  </si>
  <si>
    <t>Mississippi;Leflore</t>
  </si>
  <si>
    <t>Mississippi;Lincoln</t>
  </si>
  <si>
    <t>Mississippi;Lowndes</t>
  </si>
  <si>
    <t>Mississippi;Madison</t>
  </si>
  <si>
    <t>Mississippi;Marion</t>
  </si>
  <si>
    <t>Mississippi;Marshall</t>
  </si>
  <si>
    <t>Mississippi;Monroe</t>
  </si>
  <si>
    <t>Mississippi;Montgomery</t>
  </si>
  <si>
    <t>Mississippi;Neshoba</t>
  </si>
  <si>
    <t>Mississippi;Newton</t>
  </si>
  <si>
    <t>Mississippi;Noxubee</t>
  </si>
  <si>
    <t>Mississippi;Oktibbeha</t>
  </si>
  <si>
    <t>Mississippi;Panola</t>
  </si>
  <si>
    <t>Mississippi;Pearl River</t>
  </si>
  <si>
    <t>Mississippi;Perry</t>
  </si>
  <si>
    <t>Mississippi;Pike</t>
  </si>
  <si>
    <t>Mississippi;Pontotoc</t>
  </si>
  <si>
    <t>Mississippi;Prentiss</t>
  </si>
  <si>
    <t>Mississippi;Quitman</t>
  </si>
  <si>
    <t>Mississippi;Rankin</t>
  </si>
  <si>
    <t>Mississippi;Scott</t>
  </si>
  <si>
    <t>Mississippi;Sharkey</t>
  </si>
  <si>
    <t>Mississippi;Simpson</t>
  </si>
  <si>
    <t>Mississippi;Smith</t>
  </si>
  <si>
    <t>Mississippi;Stone</t>
  </si>
  <si>
    <t>Mississippi;Sunflower</t>
  </si>
  <si>
    <t>Mississippi;Tallahatchie</t>
  </si>
  <si>
    <t>Mississippi;Tate</t>
  </si>
  <si>
    <t>Mississippi;Tippah</t>
  </si>
  <si>
    <t>Mississippi;Tishomingo</t>
  </si>
  <si>
    <t>Mississippi;Tunica</t>
  </si>
  <si>
    <t>Mississippi;Union</t>
  </si>
  <si>
    <t>Mississippi;Walthall</t>
  </si>
  <si>
    <t>Mississippi;Warren</t>
  </si>
  <si>
    <t>Mississippi;Washington</t>
  </si>
  <si>
    <t>Mississippi;Wayne</t>
  </si>
  <si>
    <t>Mississippi;Webster</t>
  </si>
  <si>
    <t>Mississippi;Wilkinson</t>
  </si>
  <si>
    <t>Mississippi;Winston</t>
  </si>
  <si>
    <t>Mississippi;Yalobusha</t>
  </si>
  <si>
    <t>Mississippi;Yazoo</t>
  </si>
  <si>
    <t>North Carolina;Alamance</t>
  </si>
  <si>
    <t>North Carolina;Alexander</t>
  </si>
  <si>
    <t>North Carolina;Alleghany</t>
  </si>
  <si>
    <t>North Carolina;Anson</t>
  </si>
  <si>
    <t>North Carolina;Ashe</t>
  </si>
  <si>
    <t>North Carolina;Avery</t>
  </si>
  <si>
    <t>North Carolina;Beaufort</t>
  </si>
  <si>
    <t>North Carolina;Bertie</t>
  </si>
  <si>
    <t>North Carolina;Bladen</t>
  </si>
  <si>
    <t>North Carolina;Brunswick</t>
  </si>
  <si>
    <t>North Carolina;Buncombe</t>
  </si>
  <si>
    <t>North Carolina;Burke</t>
  </si>
  <si>
    <t>North Carolina;Cabarrus</t>
  </si>
  <si>
    <t>North Carolina;Caldwell</t>
  </si>
  <si>
    <t>North Carolina;Camden</t>
  </si>
  <si>
    <t>North Carolina;Carteret</t>
  </si>
  <si>
    <t>North Carolina;Caswell</t>
  </si>
  <si>
    <t>North Carolina;Catawba</t>
  </si>
  <si>
    <t>North Carolina;Chatham</t>
  </si>
  <si>
    <t>North Carolina;Cherokee</t>
  </si>
  <si>
    <t>North Carolina;Chowan</t>
  </si>
  <si>
    <t>North Carolina;Clay</t>
  </si>
  <si>
    <t>North Carolina;Cleveland</t>
  </si>
  <si>
    <t>North Carolina;Columbus</t>
  </si>
  <si>
    <t>North Carolina;Craven</t>
  </si>
  <si>
    <t>North Carolina;Cumberland</t>
  </si>
  <si>
    <t>North Carolina;Currituck</t>
  </si>
  <si>
    <t>North Carolina;Dare</t>
  </si>
  <si>
    <t>North Carolina;Davidson</t>
  </si>
  <si>
    <t>North Carolina;Davie</t>
  </si>
  <si>
    <t>North Carolina;Duplin</t>
  </si>
  <si>
    <t>North Carolina;Durham</t>
  </si>
  <si>
    <t>North Carolina;Edgecombe</t>
  </si>
  <si>
    <t>North Carolina;Forsyth</t>
  </si>
  <si>
    <t>North Carolina;Franklin</t>
  </si>
  <si>
    <t>North Carolina;Gaston</t>
  </si>
  <si>
    <t>North Carolina;Gates</t>
  </si>
  <si>
    <t>North Carolina;Graham</t>
  </si>
  <si>
    <t>North Carolina;Granville</t>
  </si>
  <si>
    <t>North Carolina;Greene</t>
  </si>
  <si>
    <t>North Carolina;Guilford</t>
  </si>
  <si>
    <t>North Carolina;Halifax</t>
  </si>
  <si>
    <t>North Carolina;Harnett</t>
  </si>
  <si>
    <t>North Carolina;Haywood</t>
  </si>
  <si>
    <t>North Carolina;Henderson</t>
  </si>
  <si>
    <t>North Carolina;Hertford</t>
  </si>
  <si>
    <t>North Carolina;Hoke</t>
  </si>
  <si>
    <t>North Carolina;Hyde</t>
  </si>
  <si>
    <t>North Carolina;Iredell</t>
  </si>
  <si>
    <t>North Carolina;Jackson</t>
  </si>
  <si>
    <t>North Carolina;Johnston</t>
  </si>
  <si>
    <t>North Carolina;Jones</t>
  </si>
  <si>
    <t>North Carolina;Lee</t>
  </si>
  <si>
    <t>North Carolina;Lenoir</t>
  </si>
  <si>
    <t>North Carolina;Lincoln</t>
  </si>
  <si>
    <t>North Carolina;McDowell</t>
  </si>
  <si>
    <t>North Carolina;Macon</t>
  </si>
  <si>
    <t>North Carolina;Madison</t>
  </si>
  <si>
    <t>North Carolina;Martin</t>
  </si>
  <si>
    <t>North Carolina;Mecklenburg</t>
  </si>
  <si>
    <t>North Carolina;Mitchell</t>
  </si>
  <si>
    <t>North Carolina;Montgomery</t>
  </si>
  <si>
    <t>North Carolina;Moore</t>
  </si>
  <si>
    <t>North Carolina;Nash</t>
  </si>
  <si>
    <t>North Carolina;New Hanover</t>
  </si>
  <si>
    <t>North Carolina;Northampton</t>
  </si>
  <si>
    <t>North Carolina;Orange</t>
  </si>
  <si>
    <t>North Carolina;Pamlico</t>
  </si>
  <si>
    <t>North Carolina;Pasquotank</t>
  </si>
  <si>
    <t>North Carolina;Pender</t>
  </si>
  <si>
    <t>North Carolina;Perquimans</t>
  </si>
  <si>
    <t>North Carolina;Person</t>
  </si>
  <si>
    <t>North Carolina;Pitt</t>
  </si>
  <si>
    <t>North Carolina;Polk</t>
  </si>
  <si>
    <t>North Carolina;Randolph</t>
  </si>
  <si>
    <t>North Carolina;Richmond</t>
  </si>
  <si>
    <t>North Carolina;Robeson</t>
  </si>
  <si>
    <t>North Carolina;Rockingham</t>
  </si>
  <si>
    <t>North Carolina;Rowan</t>
  </si>
  <si>
    <t>North Carolina;Sampson</t>
  </si>
  <si>
    <t>North Carolina;Scotland</t>
  </si>
  <si>
    <t>North Carolina;Stanly</t>
  </si>
  <si>
    <t>North Carolina;Stokes</t>
  </si>
  <si>
    <t>North Carolina;Surry</t>
  </si>
  <si>
    <t>North Carolina;Swain</t>
  </si>
  <si>
    <t>North Carolina;Transylvania</t>
  </si>
  <si>
    <t>North Carolina;Tyrrell</t>
  </si>
  <si>
    <t>North Carolina;Union</t>
  </si>
  <si>
    <t>North Carolina;Vance</t>
  </si>
  <si>
    <t>North Carolina;Wake</t>
  </si>
  <si>
    <t>North Carolina;Warren</t>
  </si>
  <si>
    <t>North Carolina;Washington</t>
  </si>
  <si>
    <t>North Carolina;Wayne</t>
  </si>
  <si>
    <t>North Carolina;Wilkes</t>
  </si>
  <si>
    <t>North Carolina;Wilson</t>
  </si>
  <si>
    <t>North Carolina;Yadkin</t>
  </si>
  <si>
    <t>North Carolina;Yancey</t>
  </si>
  <si>
    <t>South Carolina;Abbeville</t>
  </si>
  <si>
    <t>South Carolina;Aiken</t>
  </si>
  <si>
    <t>South Carolina;Allendale</t>
  </si>
  <si>
    <t>South Carolina;Anderson</t>
  </si>
  <si>
    <t>South Carolina;Bamberg</t>
  </si>
  <si>
    <t>South Carolina;Barnwell</t>
  </si>
  <si>
    <t>South Carolina;Beaufort</t>
  </si>
  <si>
    <t>South Carolina;Berkeley</t>
  </si>
  <si>
    <t>South Carolina;Calhoun</t>
  </si>
  <si>
    <t>South Carolina;Charleston</t>
  </si>
  <si>
    <t>South Carolina;Cherokee</t>
  </si>
  <si>
    <t>South Carolina;Chester</t>
  </si>
  <si>
    <t>South Carolina;Clarendon</t>
  </si>
  <si>
    <t>South Carolina;Colleton</t>
  </si>
  <si>
    <t>South Carolina;Darlington</t>
  </si>
  <si>
    <t>South Carolina;Dillon</t>
  </si>
  <si>
    <t>South Carolina;Dorchester</t>
  </si>
  <si>
    <t>South Carolina;Edgefield</t>
  </si>
  <si>
    <t>South Carolina;Fairfield</t>
  </si>
  <si>
    <t>South Carolina;Florence</t>
  </si>
  <si>
    <t>South Carolina;Georgetown</t>
  </si>
  <si>
    <t>South Carolina;Greenville</t>
  </si>
  <si>
    <t>South Carolina;Hampton</t>
  </si>
  <si>
    <t>South Carolina;Horry</t>
  </si>
  <si>
    <t>South Carolina;Jasper</t>
  </si>
  <si>
    <t>South Carolina;Kershaw</t>
  </si>
  <si>
    <t>South Carolina;Lancaster</t>
  </si>
  <si>
    <t>South Carolina;Laurens</t>
  </si>
  <si>
    <t>South Carolina;Lee</t>
  </si>
  <si>
    <t>South Carolina;Lexington</t>
  </si>
  <si>
    <t>South Carolina;McCormick</t>
  </si>
  <si>
    <t>South Carolina;Marion</t>
  </si>
  <si>
    <t>South Carolina;Marlboro</t>
  </si>
  <si>
    <t>South Carolina;Newberry</t>
  </si>
  <si>
    <t>South Carolina;Oconee</t>
  </si>
  <si>
    <t>South Carolina;Orangeburg</t>
  </si>
  <si>
    <t>South Carolina;Pickens</t>
  </si>
  <si>
    <t>South Carolina;Richland</t>
  </si>
  <si>
    <t>South Carolina;Saluda</t>
  </si>
  <si>
    <t>South Carolina;Spartanburg</t>
  </si>
  <si>
    <t>South Carolina;Sumter</t>
  </si>
  <si>
    <t>South Carolina;Union</t>
  </si>
  <si>
    <t>South Carolina;Williamsburg</t>
  </si>
  <si>
    <t>South Carolina;York</t>
  </si>
  <si>
    <t>;My Total</t>
  </si>
  <si>
    <t>;Reported Total</t>
  </si>
  <si>
    <t>Tennessee;Anderson</t>
  </si>
  <si>
    <t>Tennessee;Bedford</t>
  </si>
  <si>
    <t>Tennessee;Benton</t>
  </si>
  <si>
    <t>Tennessee;Blount</t>
  </si>
  <si>
    <t>Tennessee;Bradley</t>
  </si>
  <si>
    <t>Tennessee;Campbell</t>
  </si>
  <si>
    <t>Tennessee;Cannon</t>
  </si>
  <si>
    <t>Tennessee;Carroll</t>
  </si>
  <si>
    <t>Tennessee;Carter</t>
  </si>
  <si>
    <t>Tennessee;Cheatham</t>
  </si>
  <si>
    <t>Tennessee;Chester</t>
  </si>
  <si>
    <t>Tennessee;Claiborne</t>
  </si>
  <si>
    <t>Tennessee;Clay</t>
  </si>
  <si>
    <t>Tennessee;Cocke</t>
  </si>
  <si>
    <t>Tennessee;Coffee</t>
  </si>
  <si>
    <t>Tennessee;Crockett</t>
  </si>
  <si>
    <t>Tennessee;Cumberland</t>
  </si>
  <si>
    <t>Tennessee;Davidson</t>
  </si>
  <si>
    <t>Tennessee;Decatur</t>
  </si>
  <si>
    <t>Tennessee;Dickson</t>
  </si>
  <si>
    <t>Tennessee;Dyer</t>
  </si>
  <si>
    <t>Tennessee;Fayette</t>
  </si>
  <si>
    <t>Tennessee;Fentress</t>
  </si>
  <si>
    <t>Tennessee;Franklin</t>
  </si>
  <si>
    <t>Tennessee;Gibson</t>
  </si>
  <si>
    <t>Tennessee;Giles</t>
  </si>
  <si>
    <t>Tennessee;Greene</t>
  </si>
  <si>
    <t>Tennessee;Grundy</t>
  </si>
  <si>
    <t>Tennessee;Hamblen</t>
  </si>
  <si>
    <t>Tennessee;Hamilton</t>
  </si>
  <si>
    <t>Tennessee;Hancock</t>
  </si>
  <si>
    <t>Tennessee;Hardeman</t>
  </si>
  <si>
    <t>Tennessee;Hardin</t>
  </si>
  <si>
    <t>Tennessee;Hawkins</t>
  </si>
  <si>
    <t>Tennessee;Haywood</t>
  </si>
  <si>
    <t>Tennessee;Henderson</t>
  </si>
  <si>
    <t>Tennessee;Henry</t>
  </si>
  <si>
    <t>Tennessee;Hickman</t>
  </si>
  <si>
    <t>Tennessee;Houston</t>
  </si>
  <si>
    <t>Tennessee;Humphreys</t>
  </si>
  <si>
    <t>Tennessee;Jackson</t>
  </si>
  <si>
    <t>Tennessee;James</t>
  </si>
  <si>
    <t>Tennessee;Jefferson</t>
  </si>
  <si>
    <t>Tennessee;Johnson</t>
  </si>
  <si>
    <t>Tennessee;Knox</t>
  </si>
  <si>
    <t>Tennessee;Lake</t>
  </si>
  <si>
    <t>Tennessee;Lauderdale</t>
  </si>
  <si>
    <t>Tennessee;Lawrence</t>
  </si>
  <si>
    <t>Tennessee;Lewis</t>
  </si>
  <si>
    <t>Tennessee;Lincoln</t>
  </si>
  <si>
    <t>Tennessee;Loudon</t>
  </si>
  <si>
    <t>Tennessee;McMinn</t>
  </si>
  <si>
    <t>Tennessee;McNairy</t>
  </si>
  <si>
    <t>Tennessee;Macon</t>
  </si>
  <si>
    <t>Tennessee;Madison</t>
  </si>
  <si>
    <t>Tennessee;Marion</t>
  </si>
  <si>
    <t>Tennessee;Marshall</t>
  </si>
  <si>
    <t>Tennessee;Maury</t>
  </si>
  <si>
    <t>Tennessee;Meigs</t>
  </si>
  <si>
    <t>Tennessee;Monroe</t>
  </si>
  <si>
    <t>Tennessee;Montgomery</t>
  </si>
  <si>
    <t>Tennessee;Moore</t>
  </si>
  <si>
    <t>Tennessee;Morgan</t>
  </si>
  <si>
    <t>Tennessee;Obion</t>
  </si>
  <si>
    <t>Tennessee;Overton</t>
  </si>
  <si>
    <t>Tennessee;Perry</t>
  </si>
  <si>
    <t>Tennessee;Pickett</t>
  </si>
  <si>
    <t>Tennessee;Polk</t>
  </si>
  <si>
    <t>Tennessee;Putnam</t>
  </si>
  <si>
    <t>Tennessee;Rhea</t>
  </si>
  <si>
    <t>Tennessee;Roane</t>
  </si>
  <si>
    <t>Tennessee;Robertson</t>
  </si>
  <si>
    <t>Tennessee;Rutherford</t>
  </si>
  <si>
    <t>Tennessee;Scott</t>
  </si>
  <si>
    <t>Tennessee;Sevier</t>
  </si>
  <si>
    <t>Tennessee;Shelby</t>
  </si>
  <si>
    <t>Tennessee;Smith</t>
  </si>
  <si>
    <t>Tennessee;Stewart</t>
  </si>
  <si>
    <t>Tennessee;Sullivan</t>
  </si>
  <si>
    <t>Tennessee;Sumner</t>
  </si>
  <si>
    <t>Tennessee;Tipton</t>
  </si>
  <si>
    <t>Tennessee;Trousdale</t>
  </si>
  <si>
    <t>Tennessee;Unicoi</t>
  </si>
  <si>
    <t>Tennessee;Union</t>
  </si>
  <si>
    <t>Tennessee;Van Buren</t>
  </si>
  <si>
    <t>Tennessee;Warren</t>
  </si>
  <si>
    <t>Tennessee;Washington</t>
  </si>
  <si>
    <t>Tennessee;Wayne</t>
  </si>
  <si>
    <t>Tennessee;Weakley</t>
  </si>
  <si>
    <t>Tennessee;White</t>
  </si>
  <si>
    <t>Tennessee;Williamson</t>
  </si>
  <si>
    <t>Tennessee;Wilson</t>
  </si>
  <si>
    <t>;</t>
  </si>
  <si>
    <t>Texas;Anderson</t>
  </si>
  <si>
    <t>Texas;Andrews</t>
  </si>
  <si>
    <t>Texas;Angelina</t>
  </si>
  <si>
    <t>Texas;Aransas</t>
  </si>
  <si>
    <t>Texas;Archer</t>
  </si>
  <si>
    <t>Texas;Armstrong</t>
  </si>
  <si>
    <t>Texas;Atascosa</t>
  </si>
  <si>
    <t>Texas;Austin</t>
  </si>
  <si>
    <t>Texas;Bailey</t>
  </si>
  <si>
    <t>Texas;Bandera</t>
  </si>
  <si>
    <t>Texas;Bastrop</t>
  </si>
  <si>
    <t>Texas;Baylor</t>
  </si>
  <si>
    <t>Texas;Bee</t>
  </si>
  <si>
    <t>Texas;Bell</t>
  </si>
  <si>
    <t>Texas;Bexar</t>
  </si>
  <si>
    <t>Texas;Blanco</t>
  </si>
  <si>
    <t>Texas;Borden</t>
  </si>
  <si>
    <t>Texas;Bosque</t>
  </si>
  <si>
    <t>Texas;Bowie</t>
  </si>
  <si>
    <t>Texas;Brazoria</t>
  </si>
  <si>
    <t>Texas;Brazos</t>
  </si>
  <si>
    <t>Texas;Brewster</t>
  </si>
  <si>
    <t>Texas;Briscoe</t>
  </si>
  <si>
    <t>Texas;Brooks</t>
  </si>
  <si>
    <t>Texas;Brown</t>
  </si>
  <si>
    <t>Texas;Burleson</t>
  </si>
  <si>
    <t>Texas;Burnet</t>
  </si>
  <si>
    <t>Texas;Caldwell</t>
  </si>
  <si>
    <t>Texas;Calhoun</t>
  </si>
  <si>
    <t>Texas;Callahan</t>
  </si>
  <si>
    <t>Texas;Cameron</t>
  </si>
  <si>
    <t>Texas;Camp</t>
  </si>
  <si>
    <t>Texas;Carson</t>
  </si>
  <si>
    <t>Texas;Castro</t>
  </si>
  <si>
    <t>Texas;Chambers</t>
  </si>
  <si>
    <t>Texas;Cherokee</t>
  </si>
  <si>
    <t>Texas;Childress</t>
  </si>
  <si>
    <t>Texas;Clay</t>
  </si>
  <si>
    <t>Texas;Coke</t>
  </si>
  <si>
    <t>Texas;Coleman</t>
  </si>
  <si>
    <t>Texas;Collin</t>
  </si>
  <si>
    <t>Texas;Collingsworth</t>
  </si>
  <si>
    <t>Texas;Colorado</t>
  </si>
  <si>
    <t>Texas;Comal</t>
  </si>
  <si>
    <t>Texas;Comanche</t>
  </si>
  <si>
    <t>Texas;Concho</t>
  </si>
  <si>
    <t>Texas;Cooke</t>
  </si>
  <si>
    <t>Texas;Coryell</t>
  </si>
  <si>
    <t>Texas;Cottle</t>
  </si>
  <si>
    <t>Texas;Crane</t>
  </si>
  <si>
    <t>Texas;Crockett</t>
  </si>
  <si>
    <t>Texas;Crosby</t>
  </si>
  <si>
    <t>Texas;Culberson</t>
  </si>
  <si>
    <t>Texas;Dallam</t>
  </si>
  <si>
    <t>Texas;Dallas</t>
  </si>
  <si>
    <t>Texas;Dawson</t>
  </si>
  <si>
    <t>Texas;Deaf Smith</t>
  </si>
  <si>
    <t>Texas;Delta</t>
  </si>
  <si>
    <t>Texas;Denton</t>
  </si>
  <si>
    <t>Texas;DeWitt</t>
  </si>
  <si>
    <t>Texas;Dickens</t>
  </si>
  <si>
    <t>Texas;Dimmit</t>
  </si>
  <si>
    <t>Texas;Donley</t>
  </si>
  <si>
    <t>Texas;Duval</t>
  </si>
  <si>
    <t>Texas;Eastland</t>
  </si>
  <si>
    <t>Texas;Ector</t>
  </si>
  <si>
    <t>Texas;Edwards</t>
  </si>
  <si>
    <t>Texas;El Paso</t>
  </si>
  <si>
    <t>Texas;Ellis</t>
  </si>
  <si>
    <t>Texas;Erath</t>
  </si>
  <si>
    <t>Texas;Falls</t>
  </si>
  <si>
    <t>Texas;Fannin</t>
  </si>
  <si>
    <t>Texas;Fayette</t>
  </si>
  <si>
    <t>Texas;Fisher</t>
  </si>
  <si>
    <t>Texas;Floyd</t>
  </si>
  <si>
    <t>Texas;Foard</t>
  </si>
  <si>
    <t>Texas;Fort Bend</t>
  </si>
  <si>
    <t>Texas;Franklin</t>
  </si>
  <si>
    <t>Texas;Frio</t>
  </si>
  <si>
    <t>Texas;Gaines</t>
  </si>
  <si>
    <t>Texas;Galveston</t>
  </si>
  <si>
    <t>Texas;Garza</t>
  </si>
  <si>
    <t>Texas;Gillespie</t>
  </si>
  <si>
    <t>Texas;Glasscock</t>
  </si>
  <si>
    <t>Texas;Goliad</t>
  </si>
  <si>
    <t>Texas;Gonzales</t>
  </si>
  <si>
    <t>Texas;Gray</t>
  </si>
  <si>
    <t>Texas;Grayson</t>
  </si>
  <si>
    <t>Texas;Gregg</t>
  </si>
  <si>
    <t>Texas;Grimes</t>
  </si>
  <si>
    <t>Texas;Hale</t>
  </si>
  <si>
    <t>Texas;Hall</t>
  </si>
  <si>
    <t>Texas;Hamilton</t>
  </si>
  <si>
    <t>Texas;Hansford</t>
  </si>
  <si>
    <t>Texas;Hardeman</t>
  </si>
  <si>
    <t>Texas;Hardin</t>
  </si>
  <si>
    <t>Texas;Harris</t>
  </si>
  <si>
    <t>Texas;Harrison</t>
  </si>
  <si>
    <t>Texas;Hartley</t>
  </si>
  <si>
    <t>Texas;Haskell</t>
  </si>
  <si>
    <t>Texas;Hays</t>
  </si>
  <si>
    <t>Texas;Hemphill</t>
  </si>
  <si>
    <t>Texas;Henderson</t>
  </si>
  <si>
    <t>Texas;Hidalgo</t>
  </si>
  <si>
    <t>Texas;Hill</t>
  </si>
  <si>
    <t>Texas;Hockley</t>
  </si>
  <si>
    <t>Texas;Hood</t>
  </si>
  <si>
    <t>Texas;Hopkins</t>
  </si>
  <si>
    <t>Texas;Houston</t>
  </si>
  <si>
    <t>Texas;Howard</t>
  </si>
  <si>
    <t>Texas;Hudspeth</t>
  </si>
  <si>
    <t>Texas;Hunt</t>
  </si>
  <si>
    <t>Texas;Hutchinson</t>
  </si>
  <si>
    <t>Texas;Irion</t>
  </si>
  <si>
    <t>Texas;Jack</t>
  </si>
  <si>
    <t>Texas;Jackson</t>
  </si>
  <si>
    <t>Texas;Jasper</t>
  </si>
  <si>
    <t>Texas;Jeff Davis</t>
  </si>
  <si>
    <t>Texas;Jefferson</t>
  </si>
  <si>
    <t>Texas;Jim Hogg</t>
  </si>
  <si>
    <t>Texas;Jim Wells</t>
  </si>
  <si>
    <t>Texas;Johnson</t>
  </si>
  <si>
    <t>Texas;Jones</t>
  </si>
  <si>
    <t>Texas;Karnes</t>
  </si>
  <si>
    <t>Texas;Kaufman</t>
  </si>
  <si>
    <t>Texas;Kendall</t>
  </si>
  <si>
    <t>Texas;Kenedy</t>
  </si>
  <si>
    <t>Texas;Kent</t>
  </si>
  <si>
    <t>Texas;Kerr</t>
  </si>
  <si>
    <t>Texas;Kimble</t>
  </si>
  <si>
    <t>Texas;King</t>
  </si>
  <si>
    <t>Texas;Kinney</t>
  </si>
  <si>
    <t>Texas;Kleberg</t>
  </si>
  <si>
    <t>Texas;Knox</t>
  </si>
  <si>
    <t>Texas;Lamar</t>
  </si>
  <si>
    <t>Texas;Lamb</t>
  </si>
  <si>
    <t>Texas;Lampasas</t>
  </si>
  <si>
    <t>Texas;La Salle</t>
  </si>
  <si>
    <t>Texas;Lavaca</t>
  </si>
  <si>
    <t>Texas;Lee</t>
  </si>
  <si>
    <t>Texas;Leon</t>
  </si>
  <si>
    <t>Texas;Liberty</t>
  </si>
  <si>
    <t>Texas;Limestone</t>
  </si>
  <si>
    <t>Texas;Lipscomb</t>
  </si>
  <si>
    <t>Texas;Live Oak</t>
  </si>
  <si>
    <t>Texas;Llano</t>
  </si>
  <si>
    <t>Texas;Loving</t>
  </si>
  <si>
    <t>Texas;Lubbock</t>
  </si>
  <si>
    <t>Texas;Lynn</t>
  </si>
  <si>
    <t>Texas;McCulloch</t>
  </si>
  <si>
    <t>Texas;McLennan</t>
  </si>
  <si>
    <t>Texas;McMullen</t>
  </si>
  <si>
    <t>Texas;Madison</t>
  </si>
  <si>
    <t>Texas;Marion</t>
  </si>
  <si>
    <t>Texas;Martin</t>
  </si>
  <si>
    <t>Texas;Mason</t>
  </si>
  <si>
    <t>Texas;Matagorda</t>
  </si>
  <si>
    <t>Texas;Maverick</t>
  </si>
  <si>
    <t>Texas;Medina</t>
  </si>
  <si>
    <t>Texas;Menard</t>
  </si>
  <si>
    <t>Texas;Midland</t>
  </si>
  <si>
    <t>Texas;Milam</t>
  </si>
  <si>
    <t>Texas;Mills</t>
  </si>
  <si>
    <t>Texas;Mitchell</t>
  </si>
  <si>
    <t>Texas;Montague</t>
  </si>
  <si>
    <t>Texas;Montgomery</t>
  </si>
  <si>
    <t>Texas;Moore</t>
  </si>
  <si>
    <t>Texas;Morris</t>
  </si>
  <si>
    <t>Texas;Motley</t>
  </si>
  <si>
    <t>Texas;Nacogdoches</t>
  </si>
  <si>
    <t>Texas;Navarro</t>
  </si>
  <si>
    <t>Texas;Newton</t>
  </si>
  <si>
    <t>Texas;Nolan</t>
  </si>
  <si>
    <t>Texas;Nueces</t>
  </si>
  <si>
    <t>Texas;Ochiltree</t>
  </si>
  <si>
    <t>Texas;Oldham</t>
  </si>
  <si>
    <t>Texas;Orange</t>
  </si>
  <si>
    <t>Texas;Palo Pinto</t>
  </si>
  <si>
    <t>Texas;Panola</t>
  </si>
  <si>
    <t>Texas;Parker</t>
  </si>
  <si>
    <t>Texas;Parmer</t>
  </si>
  <si>
    <t>Texas;Pecos</t>
  </si>
  <si>
    <t>Texas;Polk</t>
  </si>
  <si>
    <t>Texas;Potter</t>
  </si>
  <si>
    <t>Texas;Presidio</t>
  </si>
  <si>
    <t>Texas;Rains</t>
  </si>
  <si>
    <t>Texas;Randall</t>
  </si>
  <si>
    <t>Texas;Reagan</t>
  </si>
  <si>
    <t>Texas;Real</t>
  </si>
  <si>
    <t>Texas;Red River</t>
  </si>
  <si>
    <t>Texas;Reeves</t>
  </si>
  <si>
    <t>Texas;Refugio</t>
  </si>
  <si>
    <t>Texas;Roberts</t>
  </si>
  <si>
    <t>Texas;Robertson</t>
  </si>
  <si>
    <t>Texas;Rockwall</t>
  </si>
  <si>
    <t>Texas;Runnels</t>
  </si>
  <si>
    <t>Texas;Rusk</t>
  </si>
  <si>
    <t>Texas;Sabine</t>
  </si>
  <si>
    <t>Texas;San Augustine</t>
  </si>
  <si>
    <t>Texas;San Jacinto</t>
  </si>
  <si>
    <t>Texas;San Patricio</t>
  </si>
  <si>
    <t>Texas;San Saba</t>
  </si>
  <si>
    <t>Texas;Schleicher</t>
  </si>
  <si>
    <t>Texas;Scurry</t>
  </si>
  <si>
    <t>Texas;Shackelford</t>
  </si>
  <si>
    <t>Texas;Shelby</t>
  </si>
  <si>
    <t>Texas;Sherman</t>
  </si>
  <si>
    <t>Texas;Smith</t>
  </si>
  <si>
    <t>Texas;Somervell</t>
  </si>
  <si>
    <t>Texas;Starr</t>
  </si>
  <si>
    <t>Texas;Sterling</t>
  </si>
  <si>
    <t>Texas;Stonewall</t>
  </si>
  <si>
    <t>Texas;Sutton</t>
  </si>
  <si>
    <t>Texas;Swisher</t>
  </si>
  <si>
    <t>Texas;Tarrant</t>
  </si>
  <si>
    <t>Texas;Taylor</t>
  </si>
  <si>
    <t>Texas;Terrell</t>
  </si>
  <si>
    <t>Texas;Terry</t>
  </si>
  <si>
    <t>Texas;Throckmorton</t>
  </si>
  <si>
    <t>Texas;Titus</t>
  </si>
  <si>
    <t>Texas;Tom Green</t>
  </si>
  <si>
    <t>Texas;Travis</t>
  </si>
  <si>
    <t>Texas;Trinity</t>
  </si>
  <si>
    <t>Texas;Tyler</t>
  </si>
  <si>
    <t>Texas;Upshur</t>
  </si>
  <si>
    <t>Texas;Upton</t>
  </si>
  <si>
    <t>Texas;Uvalde</t>
  </si>
  <si>
    <t>Texas;Van Zandt</t>
  </si>
  <si>
    <t>Texas;Victoria</t>
  </si>
  <si>
    <t>Texas;Walker</t>
  </si>
  <si>
    <t>Texas;Waller</t>
  </si>
  <si>
    <t>Texas;Ward</t>
  </si>
  <si>
    <t>Texas;Washington</t>
  </si>
  <si>
    <t>Texas;Webb</t>
  </si>
  <si>
    <t>Texas;Wharton</t>
  </si>
  <si>
    <t>Texas;Wheeler</t>
  </si>
  <si>
    <t>Texas;Wichita</t>
  </si>
  <si>
    <t>Texas;Wilbarger</t>
  </si>
  <si>
    <t>Texas;Willacy</t>
  </si>
  <si>
    <t>Texas;Williamson</t>
  </si>
  <si>
    <t>Texas;Wilson</t>
  </si>
  <si>
    <t>Texas;Winkler</t>
  </si>
  <si>
    <t>Texas;Wise</t>
  </si>
  <si>
    <t>Texas;Wood</t>
  </si>
  <si>
    <t>Texas;Yoakum</t>
  </si>
  <si>
    <t>Texas;Young</t>
  </si>
  <si>
    <t>Texas;Zapata</t>
  </si>
  <si>
    <t>Texas;Zavalla</t>
  </si>
  <si>
    <t>Virginia;Albemarle</t>
  </si>
  <si>
    <t>Virginia;Alleghany</t>
  </si>
  <si>
    <t>Virginia;Amelia</t>
  </si>
  <si>
    <t>Virginia;Amherst</t>
  </si>
  <si>
    <t>Virginia;Appomattox</t>
  </si>
  <si>
    <t>Virginia;Augusta</t>
  </si>
  <si>
    <t>Virginia;Bath</t>
  </si>
  <si>
    <t>Virginia;Bedford</t>
  </si>
  <si>
    <t>Virginia;Bland</t>
  </si>
  <si>
    <t>Virginia;Botetourt</t>
  </si>
  <si>
    <t>Virginia;Brunswick</t>
  </si>
  <si>
    <t>Virginia;Buchanan</t>
  </si>
  <si>
    <t>Virginia;Buckingham</t>
  </si>
  <si>
    <t>Virginia;Campbell</t>
  </si>
  <si>
    <t>Virginia;Caroline</t>
  </si>
  <si>
    <t>Virginia;Carroll</t>
  </si>
  <si>
    <t>Virginia;Charles City</t>
  </si>
  <si>
    <t>Virginia;Charlotte</t>
  </si>
  <si>
    <t>Virginia;Chesterfield</t>
  </si>
  <si>
    <t>Virginia;Clarke</t>
  </si>
  <si>
    <t>Virginia;Craig</t>
  </si>
  <si>
    <t>Virginia;Culpeper</t>
  </si>
  <si>
    <t>Virginia;Cumberland</t>
  </si>
  <si>
    <t>Virginia;Dickenson</t>
  </si>
  <si>
    <t>Virginia;Dinwiddie</t>
  </si>
  <si>
    <t>Virginia;Elizabeth City</t>
  </si>
  <si>
    <t>Virginia;Essex</t>
  </si>
  <si>
    <t>Virginia;Fairfax</t>
  </si>
  <si>
    <t>Virginia;Fauquier</t>
  </si>
  <si>
    <t>Virginia;Floyd</t>
  </si>
  <si>
    <t>Virginia;Fluvanna</t>
  </si>
  <si>
    <t>Virginia;Franklin</t>
  </si>
  <si>
    <t>Virginia;Frederick</t>
  </si>
  <si>
    <t>Virginia;Giles</t>
  </si>
  <si>
    <t>Virginia;Gloucester</t>
  </si>
  <si>
    <t>Virginia;Goochland</t>
  </si>
  <si>
    <t>Virginia;Grayson</t>
  </si>
  <si>
    <t>Virginia;Greene</t>
  </si>
  <si>
    <t>Virginia;Greensville</t>
  </si>
  <si>
    <t>Virginia;Halifax</t>
  </si>
  <si>
    <t>Virginia;Hanover</t>
  </si>
  <si>
    <t>Virginia;Henrico</t>
  </si>
  <si>
    <t>Virginia;Henry</t>
  </si>
  <si>
    <t>Virginia;Highland</t>
  </si>
  <si>
    <t>Virginia;Isle of Wight</t>
  </si>
  <si>
    <t>Virginia;James City</t>
  </si>
  <si>
    <t>Virginia;King and Queen</t>
  </si>
  <si>
    <t>Virginia;King George</t>
  </si>
  <si>
    <t>Virginia;King William</t>
  </si>
  <si>
    <t>Virginia;Lancaster</t>
  </si>
  <si>
    <t>Virginia;Lee</t>
  </si>
  <si>
    <t>Virginia;Loudoun</t>
  </si>
  <si>
    <t>Virginia;Louisa</t>
  </si>
  <si>
    <t>Virginia;Lunenburg</t>
  </si>
  <si>
    <t>Virginia;Madison</t>
  </si>
  <si>
    <t>Virginia;Mathews</t>
  </si>
  <si>
    <t>Virginia;Middlesex</t>
  </si>
  <si>
    <t>Virginia;Montgomery</t>
  </si>
  <si>
    <t>Virginia;Nansemond</t>
  </si>
  <si>
    <t>Virginia;Nelson</t>
  </si>
  <si>
    <t>Virginia;New Kent</t>
  </si>
  <si>
    <t>Virginia;Norfolk</t>
  </si>
  <si>
    <t>Virginia;Northampton</t>
  </si>
  <si>
    <t>Virginia;Northumberland</t>
  </si>
  <si>
    <t>Virginia;Nottoway</t>
  </si>
  <si>
    <t>Virginia;Orange</t>
  </si>
  <si>
    <t>Virginia;Page</t>
  </si>
  <si>
    <t>Virginia;Patrick</t>
  </si>
  <si>
    <t>Virginia;Pittsylvania</t>
  </si>
  <si>
    <t>Virginia;Powhatan</t>
  </si>
  <si>
    <t>Virginia;Prince Edward</t>
  </si>
  <si>
    <t>Virginia;Prince George</t>
  </si>
  <si>
    <t>Virginia;Princess Anne</t>
  </si>
  <si>
    <t>Virginia;Prince William</t>
  </si>
  <si>
    <t>Virginia;Pulaski</t>
  </si>
  <si>
    <t>Virginia;Rappahannock</t>
  </si>
  <si>
    <t>Virginia;Richmond</t>
  </si>
  <si>
    <t>Virginia;Roanoke</t>
  </si>
  <si>
    <t>Virginia;Rockbridge</t>
  </si>
  <si>
    <t>Virginia;Rockingham</t>
  </si>
  <si>
    <t>Virginia;Russell</t>
  </si>
  <si>
    <t>Virginia;Scott</t>
  </si>
  <si>
    <t>Virginia;Shenandoah</t>
  </si>
  <si>
    <t>Virginia;Smyth</t>
  </si>
  <si>
    <t>Virginia;Southampton</t>
  </si>
  <si>
    <t>Virginia;Spotsylvania</t>
  </si>
  <si>
    <t>Virginia;Stafford</t>
  </si>
  <si>
    <t>Virginia;Surry</t>
  </si>
  <si>
    <t>Virginia;Sussex</t>
  </si>
  <si>
    <t>Virginia;Tazewell</t>
  </si>
  <si>
    <t>Virginia;Warren</t>
  </si>
  <si>
    <t>Virginia;Warwick</t>
  </si>
  <si>
    <t>Virginia;Washington</t>
  </si>
  <si>
    <t>Virginia;Westmoreland</t>
  </si>
  <si>
    <t>Virginia;Wise</t>
  </si>
  <si>
    <t>Virginia;Wythe</t>
  </si>
  <si>
    <t>Virginia;York</t>
  </si>
  <si>
    <t>Arkansas;Montgomery</t>
  </si>
  <si>
    <t>;Echols</t>
  </si>
  <si>
    <t>North Carolina;MY TOTAL</t>
  </si>
  <si>
    <t>North Carolina;REPORTED TOTAL</t>
  </si>
  <si>
    <t>South Carolina;WilliamsBurg</t>
  </si>
  <si>
    <t>South Carolina;My Total</t>
  </si>
  <si>
    <t>South Carolina;Reported Total</t>
  </si>
  <si>
    <t>Texas;My Total</t>
  </si>
  <si>
    <t>Texas;Reported Total</t>
  </si>
  <si>
    <t>Virginia;bedford</t>
  </si>
  <si>
    <t>Virginia;Bristol</t>
  </si>
  <si>
    <t>Virginia;Charlottesville</t>
  </si>
  <si>
    <t>Virginia;Clifton Forge</t>
  </si>
  <si>
    <t>Virginia;Danville</t>
  </si>
  <si>
    <t>Virginia;Fredericksburg</t>
  </si>
  <si>
    <t>Virginia;Hampton</t>
  </si>
  <si>
    <t>Virginia;Harrisonburg</t>
  </si>
  <si>
    <t>Virginia;Hopewell</t>
  </si>
  <si>
    <t>Virginia;Lynchburg</t>
  </si>
  <si>
    <t>Virginia;Martinsville</t>
  </si>
  <si>
    <t>Virginia;Newport News</t>
  </si>
  <si>
    <t>Virginia;Norfolk City</t>
  </si>
  <si>
    <t>Virginia;Petersburg</t>
  </si>
  <si>
    <t>Virginia;Portsmouth</t>
  </si>
  <si>
    <t>Virginia;Radford</t>
  </si>
  <si>
    <t>Virginia;Richmond City</t>
  </si>
  <si>
    <t>Virginia;Roanoke City</t>
  </si>
  <si>
    <t>Virginia;South Norfolk</t>
  </si>
  <si>
    <t>Virginia;Staunton</t>
  </si>
  <si>
    <t>Virginia;Suffolk</t>
  </si>
  <si>
    <t>Virginia;Williamsburg City</t>
  </si>
  <si>
    <t>Virginia;Winchester</t>
  </si>
  <si>
    <t>Alabama;St Clair</t>
  </si>
  <si>
    <t>Arkansas;Faulkner</t>
  </si>
  <si>
    <t>Arkansas;St Francis</t>
  </si>
  <si>
    <t>Kentucky;Daviess</t>
  </si>
  <si>
    <t>Kentucky;Metcalfe</t>
  </si>
  <si>
    <t>Louisiana;Pointe Coupee</t>
  </si>
  <si>
    <t>Louisiana;Red River</t>
  </si>
  <si>
    <t>Louisiana;Vermilion</t>
  </si>
  <si>
    <t>Mississippi;DeSoto</t>
  </si>
  <si>
    <t>North Carolina;Onslow</t>
  </si>
  <si>
    <t>North Carolina;Rutherford</t>
  </si>
  <si>
    <t>North Carolina;Watauga</t>
  </si>
  <si>
    <t>South Carolina;Chesterfield</t>
  </si>
  <si>
    <t>South Carolina;Greenwood</t>
  </si>
  <si>
    <t>Tennessee;Bledsoe</t>
  </si>
  <si>
    <t>Tennessee;DeKalb</t>
  </si>
  <si>
    <t>Tennessee;Grainger</t>
  </si>
  <si>
    <t>Tennessee;Sequatchie</t>
  </si>
  <si>
    <t>Texas;Freestone</t>
  </si>
  <si>
    <t>Texas;Guadalupe</t>
  </si>
  <si>
    <t>Texas;Val Verde</t>
  </si>
  <si>
    <t>Virginia;Accomack</t>
  </si>
  <si>
    <t>Virginia;Alexandria City</t>
  </si>
  <si>
    <t>Virginia;Isle Of Wight</t>
  </si>
  <si>
    <t>Virginia;King And Queen</t>
  </si>
  <si>
    <t>Virginia;Manchester</t>
  </si>
  <si>
    <t>Virginia;Mecklenburg</t>
  </si>
  <si>
    <t>Louisiana;City Lake Charles</t>
  </si>
  <si>
    <t>Louisiana;City Monroe</t>
  </si>
  <si>
    <t>Mississippi;</t>
  </si>
  <si>
    <t>Alabama;Morgan/Cotaco</t>
  </si>
  <si>
    <t>Alabama;Winston/Hancock</t>
  </si>
  <si>
    <t>Arkansas;Cleveland/Dorsey</t>
  </si>
  <si>
    <t>Georgia;Bartow/Cass</t>
  </si>
  <si>
    <t>Georgia;Dekalb</t>
  </si>
  <si>
    <t>Louisiana;East Carroll/Carroll</t>
  </si>
  <si>
    <t>Louisiana;St Bernard</t>
  </si>
  <si>
    <t>Louisiana;St Charles</t>
  </si>
  <si>
    <t>Louisiana;St Helena</t>
  </si>
  <si>
    <t>Louisiana;St James</t>
  </si>
  <si>
    <t>Louisiana;St John the Baptist</t>
  </si>
  <si>
    <t>Louisiana;St Landry</t>
  </si>
  <si>
    <t>Louisiana;St Martin</t>
  </si>
  <si>
    <t>Louisiana;St Mary</t>
  </si>
  <si>
    <t>Louisiana;St Tammany</t>
  </si>
  <si>
    <t>Texas;Cass/Davis</t>
  </si>
  <si>
    <t>Texas;Cochran</t>
  </si>
  <si>
    <t>Texas;Stephens/Buchanan</t>
  </si>
  <si>
    <t>Virginia;Arlington/Alexandria</t>
  </si>
  <si>
    <t>Virginia;Buena Vista</t>
  </si>
  <si>
    <t>Kentucky;Trigg</t>
  </si>
  <si>
    <t>Source</t>
  </si>
  <si>
    <t>Rate</t>
  </si>
  <si>
    <t>Chris' calcualted total</t>
  </si>
  <si>
    <t>Published Totals</t>
  </si>
  <si>
    <t>https://ia601501.us.archive.org/3/items/KofoidAndTucker1921/Kofoid%20and%20Tucker%201921.pdf#page=35</t>
  </si>
  <si>
    <t>Alaska</t>
  </si>
  <si>
    <t>Link</t>
  </si>
  <si>
    <t>Difference btwn published percent infected and my calculation</t>
  </si>
  <si>
    <t>Chris' calculated percent infected</t>
  </si>
  <si>
    <t>Number of Men Examined</t>
  </si>
  <si>
    <t>Positive</t>
  </si>
  <si>
    <t>Percent Infected</t>
  </si>
  <si>
    <t>State of birth</t>
  </si>
  <si>
    <t>https://ia601503.us.archive.org/29/items/Abbott1900/Abbott%201900.pdf#page=14</t>
  </si>
  <si>
    <t>Fraction of a dollar</t>
  </si>
  <si>
    <t>State or territory</t>
  </si>
  <si>
    <t>https://ia601503.us.archive.org/29/items/Abbott1900/Abbott%201900.pdf#page=90</t>
  </si>
  <si>
    <t>Number of inhabitants to each physician, 1898</t>
  </si>
  <si>
    <t>https://ia601502.us.archive.org/26/items/Bowen1928/Bowen%201928.pdf</t>
  </si>
  <si>
    <t>Camp Wheeler</t>
  </si>
  <si>
    <t>Camp Wadsworth</t>
  </si>
  <si>
    <t>Camp Sheridan</t>
  </si>
  <si>
    <t>Camp Shelby</t>
  </si>
  <si>
    <t>Camp Sevier</t>
  </si>
  <si>
    <t>Camp McClellan</t>
  </si>
  <si>
    <t>Camp MacArthur</t>
  </si>
  <si>
    <t>Camp Logan</t>
  </si>
  <si>
    <t>Camp Kearny</t>
  </si>
  <si>
    <t>Camp Hancock</t>
  </si>
  <si>
    <t>Camp Greene</t>
  </si>
  <si>
    <t>Camp Fremont</t>
  </si>
  <si>
    <t>Camp Doniphan</t>
  </si>
  <si>
    <t>Camp Cody</t>
  </si>
  <si>
    <t>Camp Bowie</t>
  </si>
  <si>
    <t>Camp Beuregard</t>
  </si>
  <si>
    <t>Camp Upton</t>
  </si>
  <si>
    <t>Camp Travis</t>
  </si>
  <si>
    <t>Camp Zachary Taylor</t>
  </si>
  <si>
    <t>Camp Sherman</t>
  </si>
  <si>
    <t>Camp Pike</t>
  </si>
  <si>
    <t>Camp Meade</t>
  </si>
  <si>
    <t>Camp Lewis</t>
  </si>
  <si>
    <t>Camp Lee</t>
  </si>
  <si>
    <t>Camp Jackson</t>
  </si>
  <si>
    <t>Camp Grant</t>
  </si>
  <si>
    <t>Camp Gordon</t>
  </si>
  <si>
    <t>Camp Funston</t>
  </si>
  <si>
    <t>Camp Dodge</t>
  </si>
  <si>
    <t>Camp Dix</t>
  </si>
  <si>
    <t>Camp Devens</t>
  </si>
  <si>
    <t>Camp Custer</t>
  </si>
  <si>
    <t>Note</t>
  </si>
  <si>
    <t>Camp</t>
  </si>
  <si>
    <t>State not specified</t>
  </si>
  <si>
    <t>Ratio per 1,000 men</t>
  </si>
  <si>
    <t>Number of Men</t>
  </si>
  <si>
    <t>States</t>
  </si>
  <si>
    <t>Highest number of soldiers recorded 1918-1920</t>
  </si>
  <si>
    <t>Bowen 1928 p. 159; A different value could be used depending on how you interpret Bowen 1928 or the appendix of Bleakley 2007</t>
  </si>
  <si>
    <t>Bowen 1928 p. 164; A different value could be used depending on how you interpret Bowen 1928 or the appendix of Bleakley 2007</t>
  </si>
  <si>
    <t>Especially unsure here; Bowen 1928 p. 175; A different value could be used depending on how you interpret Bowen 1928 or the appendix of Bleakley 2007</t>
  </si>
  <si>
    <t xml:space="preserve">https://www.jstor.org/stable/4576752?seq=5 </t>
  </si>
  <si>
    <t>https://www.jstor.org/stable/4576752?seq=5</t>
  </si>
  <si>
    <t xml:space="preserve">https://www.jstor.org/stable/4576752?seq=4 </t>
  </si>
  <si>
    <t>https://www.jstor.org/stable/4576752?seq=4</t>
  </si>
  <si>
    <t>California;Calaveras</t>
  </si>
  <si>
    <t>California;Glenn</t>
  </si>
  <si>
    <t>California;Plumas</t>
  </si>
  <si>
    <t>California;Shasta</t>
  </si>
  <si>
    <t>Florida;Alachua</t>
  </si>
  <si>
    <t>Florida;Baker</t>
  </si>
  <si>
    <t>Florida;Bay</t>
  </si>
  <si>
    <t>Florida;Calhoun</t>
  </si>
  <si>
    <t>Florida;Citrus</t>
  </si>
  <si>
    <t>Florida;Columbia</t>
  </si>
  <si>
    <t>Florida;DeSoto</t>
  </si>
  <si>
    <t>Florida;Duval</t>
  </si>
  <si>
    <t>Florida;Escambia</t>
  </si>
  <si>
    <t>Florida;Franklin</t>
  </si>
  <si>
    <t>Florida;Gadsden</t>
  </si>
  <si>
    <t>Florida;Hamilton</t>
  </si>
  <si>
    <t>Florida;Hillsborough</t>
  </si>
  <si>
    <t>Florida;Holmes</t>
  </si>
  <si>
    <t>Florida;Jackson</t>
  </si>
  <si>
    <t>Florida;Jefferson</t>
  </si>
  <si>
    <t>Florida;Lafayette</t>
  </si>
  <si>
    <t>Florida;Lake</t>
  </si>
  <si>
    <t>Florida;Leon</t>
  </si>
  <si>
    <t>Florida;Levy</t>
  </si>
  <si>
    <t>Florida;Liberty</t>
  </si>
  <si>
    <t>Florida;Madison</t>
  </si>
  <si>
    <t>Florida;Manatee</t>
  </si>
  <si>
    <t>Florida;Marion</t>
  </si>
  <si>
    <t>Florida;Nassau</t>
  </si>
  <si>
    <t>Florida;Okaloosa</t>
  </si>
  <si>
    <t>Florida;Okeechobee</t>
  </si>
  <si>
    <t>Florida;Polk</t>
  </si>
  <si>
    <t>Florida;Putnam</t>
  </si>
  <si>
    <t>Florida;Sumter</t>
  </si>
  <si>
    <t>Florida;Taylor</t>
  </si>
  <si>
    <t>Florida;Wakulla</t>
  </si>
  <si>
    <t>Florida;Walton</t>
  </si>
  <si>
    <t>Florida;Washington</t>
  </si>
  <si>
    <t>Illinois;Alexander</t>
  </si>
  <si>
    <t>Illinois;Gallatin</t>
  </si>
  <si>
    <t>Illinois;Hardin</t>
  </si>
  <si>
    <t>Illinois;Jackson</t>
  </si>
  <si>
    <t>Illinois;Johnson</t>
  </si>
  <si>
    <t>Illinois;Pulaski</t>
  </si>
  <si>
    <t>Illinois;Union</t>
  </si>
  <si>
    <t>Illinois;Wabash</t>
  </si>
  <si>
    <t>Illinois;Williamson</t>
  </si>
  <si>
    <t>Louisiana;DeSoto</t>
  </si>
  <si>
    <t>Missouri;Butler</t>
  </si>
  <si>
    <t>Missouri;Carter</t>
  </si>
  <si>
    <t>Missouri;Dunklin</t>
  </si>
  <si>
    <t>Missouri;Mississippi</t>
  </si>
  <si>
    <t>Missouri;Ozark</t>
  </si>
  <si>
    <t>Missouri;Pemiscot</t>
  </si>
  <si>
    <t>Missouri;Ripley</t>
  </si>
  <si>
    <t>Missouri;Scott</t>
  </si>
  <si>
    <t>Missouri;Stoddard</t>
  </si>
  <si>
    <t>Missouri;Wayne</t>
  </si>
  <si>
    <t>Oklahoma;Adair</t>
  </si>
  <si>
    <t>Oklahoma;Bryan</t>
  </si>
  <si>
    <t>Oklahoma;Cherokee</t>
  </si>
  <si>
    <t>Oklahoma;Choctaw</t>
  </si>
  <si>
    <t>Oklahoma;Creek</t>
  </si>
  <si>
    <t>Oklahoma;Garvin</t>
  </si>
  <si>
    <t>Oklahoma;Latimer</t>
  </si>
  <si>
    <t>Oklahoma;McCurtain</t>
  </si>
  <si>
    <t>Oklahoma;McIntosh</t>
  </si>
  <si>
    <t>Oklahoma;Muskogee</t>
  </si>
  <si>
    <t>Oklahoma;Nowata</t>
  </si>
  <si>
    <t>Oklahoma;Okfuskee</t>
  </si>
  <si>
    <t>Oklahoma;Okmulgee</t>
  </si>
  <si>
    <t>Oklahoma;Pontotoc</t>
  </si>
  <si>
    <t>Oklahoma;Pottawatomie</t>
  </si>
  <si>
    <t>Oklahoma;Pushmataha</t>
  </si>
  <si>
    <t>Oklahoma;Rogers</t>
  </si>
  <si>
    <t>Oklahoma;Sequoyah</t>
  </si>
  <si>
    <t>Tennessee;Dekalb</t>
  </si>
  <si>
    <t>Florida;Palm Beach</t>
  </si>
  <si>
    <t>Florida;Santa Rosa</t>
  </si>
  <si>
    <t>Florida;St Lucie</t>
  </si>
  <si>
    <t>Florida;Bradford/New RIver</t>
  </si>
  <si>
    <t>Florida;Hernando/Benton</t>
  </si>
  <si>
    <t>Florida;Orange/Mesquito</t>
  </si>
  <si>
    <t>Florida;Suwannee</t>
  </si>
  <si>
    <t>Missouri;New Madrid</t>
  </si>
  <si>
    <t>Oklahoma;Johnston</t>
  </si>
  <si>
    <t>Oklahoma;Le Flore</t>
  </si>
  <si>
    <t>Value URL</t>
  </si>
  <si>
    <t>Teachers URL</t>
  </si>
  <si>
    <t>Students URL</t>
  </si>
  <si>
    <t>Average monthly Salaries URL</t>
  </si>
  <si>
    <t>School Expenditure URL</t>
  </si>
  <si>
    <t>School Houses URL</t>
  </si>
  <si>
    <t>Average Salaries URL</t>
  </si>
  <si>
    <t>School Term Length URL</t>
  </si>
  <si>
    <t>Average Attendance</t>
  </si>
  <si>
    <t>Attendance URL</t>
  </si>
  <si>
    <t>1926 - Students and Attendance, 1920 - Others</t>
  </si>
  <si>
    <t>Attendance</t>
  </si>
  <si>
    <t>Pictures URL</t>
  </si>
  <si>
    <t>Dummy row so SSIS recognizes numeric columns</t>
  </si>
  <si>
    <t>Louisiana;Desoto</t>
  </si>
  <si>
    <t>Desoto</t>
  </si>
  <si>
    <t>Mississippi;Desoto</t>
  </si>
  <si>
    <t>http://hdl.handle.net/2027/uc1.b3014083?urlappend=%3Bseq=85</t>
  </si>
  <si>
    <t>Texas;Dewitt</t>
  </si>
  <si>
    <t>https://babel.hathitrust.org/cgi/pt?id=uc1.b3014083;view=1up;seq=91</t>
  </si>
  <si>
    <t>Number of teacher-days</t>
  </si>
  <si>
    <t>Total teacher pay</t>
  </si>
  <si>
    <t>https://hdl.handle.net/2027/uc1.b3014088?urlappend=%3Bseq=175</t>
  </si>
  <si>
    <t>https://hdl.handle.net/2027/uc1.b3014088?urlappend=%3Bseq=176</t>
  </si>
  <si>
    <t>https://hdl.handle.net/2027/uc1.b3014088?urlappend=%3Bseq=173</t>
  </si>
  <si>
    <t>https://hdl.handle.net/2027/uc1.b3014088?urlappend=%3Bseq=174</t>
  </si>
  <si>
    <t>Lynchings</t>
  </si>
  <si>
    <t>"0" classrooms in original, but 8 achieves match on state total and schools/capita</t>
  </si>
  <si>
    <t>Rosenwald classrooms</t>
  </si>
  <si>
    <t>Population computed from 1930 IPUMS data</t>
  </si>
  <si>
    <t>https://hdl.handle.net/2027/mdp.39015070977213?urlappend=%3Bseq=168</t>
  </si>
  <si>
    <t>https://hdl.handle.net/2027/mdp.39015070977213?urlappend=%3Bseq=169</t>
  </si>
  <si>
    <t>https://hdl.handle.net/2027/mdp.39015070977213?urlappend=%3Bseq=188</t>
  </si>
  <si>
    <t>https://hdl.handle.net/2027/mdp.39015070977213?urlappend=%3Bseq=248</t>
  </si>
  <si>
    <t>https://hdl.handle.net/2027/mdp.39015070977213?urlappend=%3Bseq=309</t>
  </si>
  <si>
    <t>https://hdl.handle.net/2027/mdp.39015070977213?urlappend=%3Bseq=310</t>
  </si>
  <si>
    <t>https://hdl.handle.net/2027/mdp.39015070977213?urlappend=%3Bseq=322</t>
  </si>
  <si>
    <t>https://hdl.handle.net/2027/mdp.39015070977213?urlappend=%3Bseq=393</t>
  </si>
  <si>
    <t>https://hdl.handle.net/2027/mdp.39015070977213?urlappend=%3Bseq=478</t>
  </si>
  <si>
    <t>https://hdl.handle.net/2027/mdp.39015070977213?urlappend=%3Bseq=555</t>
  </si>
  <si>
    <t>https://hdl.handle.net/2027/mdp.39015070977213?urlappend=%3Bseq=573</t>
  </si>
  <si>
    <t>https://hdl.handle.net/2027/mdp.39015070977213?urlappend=%3Bseq=608</t>
  </si>
  <si>
    <t>https://ia601504.us.archive.org/9/items/LoveAndDavenport19201/Love and Davenport 1920 (1).pdf#page=49</t>
  </si>
  <si>
    <t>Birth rate</t>
  </si>
  <si>
    <t>Female population</t>
  </si>
  <si>
    <t>URL deaths</t>
  </si>
  <si>
    <t>URL birth rate</t>
  </si>
  <si>
    <t>URL female population</t>
  </si>
  <si>
    <t>https://ia801507.us.archive.org/23/items/1890statisticalcompendium/1890statisticalcompendium.pdf#page=94</t>
  </si>
  <si>
    <t>Pneumonia</t>
  </si>
  <si>
    <t>Diarrheal diseases</t>
  </si>
  <si>
    <t>Malarial fever</t>
  </si>
  <si>
    <t>Enteric fever</t>
  </si>
  <si>
    <t>Diptheria and croup</t>
  </si>
  <si>
    <t>Whooping cough</t>
  </si>
  <si>
    <t>Measles</t>
  </si>
  <si>
    <t>Scarlet fever</t>
  </si>
  <si>
    <t>All</t>
  </si>
  <si>
    <t>School Term Length, 1925-26</t>
  </si>
  <si>
    <t>Average annual salaries of teachers, supervisors, and principals, 1925-26</t>
  </si>
  <si>
    <t>Salaries page</t>
  </si>
  <si>
    <t>https://archive.org/download/biennialsurveyof00unit/biennialsurveyof00unit.pdf#page=593</t>
  </si>
  <si>
    <t>https://hdl.handle.net/2027/umn.31951p010920023?urlappend=%3Bseq=1076</t>
  </si>
  <si>
    <t>https://hdl.handle.net/2027/umn.31951p010920023?urlappend=%3Bseq=1078</t>
  </si>
  <si>
    <t>https://hdl.handle.net/2027/umn.31951p010920023?urlappend=%3Bseq=1080</t>
  </si>
  <si>
    <t>https://hdl.handle.net/2027/umn.31951p010920023?urlappend=%3Bseq=-1</t>
  </si>
  <si>
    <t>https://hdl.handle.net/2027/umn.31951p010920023?urlappend=%3Bseq=1086</t>
  </si>
  <si>
    <t>https://hdl.handle.net/2027/umn.31951p010920023?urlappend=%3Bseq=1102</t>
  </si>
  <si>
    <t>https://hdl.handle.net/2027/umn.31951p010920023?urlappend=%3Bseq=1104</t>
  </si>
  <si>
    <t>https://hdl.handle.net/2027/umn.31951p010920023?urlappend=%3Bseq=1112</t>
  </si>
  <si>
    <t>https://hdl.handle.net/2027/umn.31951p010920023?urlappend=%3Bseq=1114</t>
  </si>
  <si>
    <t>https://hdl.handle.net/2027/umn.31951p010920023?urlappend=%3Bseq=1126</t>
  </si>
  <si>
    <t>https://hdl.handle.net/2027/umn.31951p010920023?urlappend=%3Bseq=1128</t>
  </si>
  <si>
    <t>https://hdl.handle.net/2027/umn.31951p010920023?urlappend=%3Bseq=1136</t>
  </si>
  <si>
    <t>https://hdl.handle.net/2027/umn.31951p010920023?urlappend=%3Bseq=1138</t>
  </si>
  <si>
    <t>https://hdl.handle.net/2027/umn.31951p010920023?urlappend=%3Bseq=1140</t>
  </si>
  <si>
    <t>https://hdl.handle.net/2027/umn.31951p010920023?urlappend=%3Bseq=1142</t>
  </si>
  <si>
    <t>https://hdl.handle.net/2027/umn.31951p010920023?urlappend=%3Bseq=1144</t>
  </si>
  <si>
    <t>https://hdl.handle.net/2027/umn.31951p010920023?urlappend=%3Bseq=1146</t>
  </si>
  <si>
    <t>https://hdl.handle.net/2027/umn.31951p010920023?urlappend=%3Bseq=1148</t>
  </si>
  <si>
    <t>https://hdl.handle.net/2027/umn.31951p010920023?urlappend=%3Bseq=1150</t>
  </si>
  <si>
    <t>https://hdl.handle.net/2027/umn.31951p010920023?urlappend=%3Bseq=1152</t>
  </si>
  <si>
    <t>White School Term Length</t>
  </si>
  <si>
    <t>Colored School Term Length</t>
  </si>
  <si>
    <t>Total Teacher Pay</t>
  </si>
  <si>
    <t>Total Teacher Pay White</t>
  </si>
  <si>
    <t>Value of White School Plant and Equipment</t>
  </si>
  <si>
    <t>Value of Colored School Plant and Equipment</t>
  </si>
  <si>
    <t>Elementary school term length</t>
  </si>
  <si>
    <t>High school term length</t>
  </si>
  <si>
    <t>Value of White School Building</t>
  </si>
  <si>
    <t>Value of White School Equipment</t>
  </si>
  <si>
    <t>Value of Colored School Building</t>
  </si>
  <si>
    <t>Value of Colored School Equipment</t>
  </si>
  <si>
    <t>Average Annual Salary White</t>
  </si>
  <si>
    <t>Average Annual Salary Black</t>
  </si>
  <si>
    <t>Number of white teachers</t>
  </si>
  <si>
    <t>Number of black teachers</t>
  </si>
  <si>
    <t>Average Attendance White</t>
  </si>
  <si>
    <t>Average Attendance Black</t>
  </si>
  <si>
    <t>Average Monthly Salary Male Grammar White</t>
  </si>
  <si>
    <t>Average Monthly Salary Female Grammar White</t>
  </si>
  <si>
    <t>Average Monthly Salary Male High White</t>
  </si>
  <si>
    <t>Average Monthly Salary Female High White</t>
  </si>
  <si>
    <t>Number of Male Grammar School Teachers White</t>
  </si>
  <si>
    <t>Number of Female Grammar School Teachers White</t>
  </si>
  <si>
    <t>Number of Male High School Teachers White</t>
  </si>
  <si>
    <t>Number of Female High School Teachers White</t>
  </si>
  <si>
    <t>Total Teacher Pay Black</t>
  </si>
  <si>
    <t>Number of Black Teachers</t>
  </si>
  <si>
    <t>Average Monthly Salary White</t>
  </si>
  <si>
    <t>Average Monthly Salary Black</t>
  </si>
  <si>
    <t>County Elementary School Term Length</t>
  </si>
  <si>
    <t>City Elementary School Term Length</t>
  </si>
  <si>
    <t>County High School Term Length</t>
  </si>
  <si>
    <t>City High School Term Length</t>
  </si>
  <si>
    <t>Value of School Plant and Equipment City Elementary</t>
  </si>
  <si>
    <t>Value of School Plant and Equipment County Elementary</t>
  </si>
  <si>
    <t>County Elementary School Expenditure</t>
  </si>
  <si>
    <t>City Elementary and High School Expenditure</t>
  </si>
  <si>
    <t>County Elementary Average Attendance</t>
  </si>
  <si>
    <t>Acadia</t>
  </si>
  <si>
    <t>Allen</t>
  </si>
  <si>
    <t>Ascension</t>
  </si>
  <si>
    <t>East Baton Rouge</t>
  </si>
  <si>
    <t>West Baton Rouge</t>
  </si>
  <si>
    <t>Beauregard</t>
  </si>
  <si>
    <t>Bienville</t>
  </si>
  <si>
    <t>Bossier</t>
  </si>
  <si>
    <t>Calcasieu</t>
  </si>
  <si>
    <t>Cameron</t>
  </si>
  <si>
    <t>Concordia</t>
  </si>
  <si>
    <t>Evangeline</t>
  </si>
  <si>
    <t>East Feliciana</t>
  </si>
  <si>
    <t>West Feliciana</t>
  </si>
  <si>
    <t>Grant</t>
  </si>
  <si>
    <t>Jefferson Davis</t>
  </si>
  <si>
    <t>Lincoln</t>
  </si>
  <si>
    <t>Livingston</t>
  </si>
  <si>
    <t>Orleans</t>
  </si>
  <si>
    <t>Plaquemines</t>
  </si>
  <si>
    <t>Red River</t>
  </si>
  <si>
    <t>Sabine</t>
  </si>
  <si>
    <t>St Bernard</t>
  </si>
  <si>
    <t>St Charles</t>
  </si>
  <si>
    <t>St Helena</t>
  </si>
  <si>
    <t>St James</t>
  </si>
  <si>
    <t>St John the Baptist</t>
  </si>
  <si>
    <t>St Tammany</t>
  </si>
  <si>
    <t>Tangipahoa</t>
  </si>
  <si>
    <t>Vermilion</t>
  </si>
  <si>
    <t>Vernon</t>
  </si>
  <si>
    <t>Winn</t>
  </si>
  <si>
    <t>City Lake Charles</t>
  </si>
  <si>
    <t>City Monroe</t>
  </si>
  <si>
    <t>Number of teachers white</t>
  </si>
  <si>
    <t>Total Salaries Colored</t>
  </si>
  <si>
    <t>Number of teachers black</t>
  </si>
  <si>
    <t>White Aggregate Attendance</t>
  </si>
  <si>
    <t>Black Aggregate Attendance</t>
  </si>
  <si>
    <t>White Students</t>
  </si>
  <si>
    <t>Black Students</t>
  </si>
  <si>
    <t>White School Expenditure</t>
  </si>
  <si>
    <t>Black School Expenditure</t>
  </si>
  <si>
    <t>City High and Elementary Total Teacher Salaries</t>
  </si>
  <si>
    <t>All High Schools (City and County) Enrollment</t>
  </si>
  <si>
    <t>County White High Average Attendance</t>
  </si>
  <si>
    <t>County Black High Average Attendance</t>
  </si>
  <si>
    <t>City White High Average Attendance</t>
  </si>
  <si>
    <t>County High School Expenditure</t>
  </si>
  <si>
    <t>County High School Total Teacher Salaries</t>
  </si>
  <si>
    <t>Students 1926</t>
  </si>
  <si>
    <t>City Elementary Average Attendance</t>
  </si>
  <si>
    <t>City Black High Average Attendance</t>
  </si>
  <si>
    <t xml:space="preserve">Elementary </t>
  </si>
  <si>
    <t>County Elementary Total Teacher Salaries</t>
  </si>
  <si>
    <t>Common School Expenditure</t>
  </si>
  <si>
    <t>Public School Expenditure</t>
  </si>
  <si>
    <t>-</t>
  </si>
  <si>
    <t>Value of Public School Equipment</t>
  </si>
  <si>
    <t>Value of Common School Equipment</t>
  </si>
  <si>
    <t>Value of Public School Plant</t>
  </si>
  <si>
    <t>Value of Common School Plant</t>
  </si>
  <si>
    <t># Elementary Students</t>
  </si>
  <si>
    <t># High School Students</t>
  </si>
  <si>
    <t>Number of Elementary School Teachers</t>
  </si>
  <si>
    <t>Number of High School Teachers</t>
  </si>
  <si>
    <t>Total Salaries White (1924)</t>
  </si>
  <si>
    <t>School Term Length White</t>
  </si>
  <si>
    <t>School Term Length Black</t>
  </si>
  <si>
    <t>Furniture and Apparatus</t>
  </si>
  <si>
    <t>Fuel and Incidentals</t>
  </si>
  <si>
    <t>Grounds, Buildings, Repairs, Rent</t>
  </si>
  <si>
    <t>Andrews</t>
  </si>
  <si>
    <t>Angelina</t>
  </si>
  <si>
    <t>Aransas</t>
  </si>
  <si>
    <t>Archer</t>
  </si>
  <si>
    <t>Armstrong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</si>
  <si>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</si>
  <si>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</si>
  <si>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</si>
  <si>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</si>
  <si>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</si>
  <si>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</si>
  <si>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</si>
  <si>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</si>
  <si>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</si>
  <si>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</si>
  <si>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</si>
  <si>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</si>
  <si>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</si>
  <si>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</si>
  <si>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</si>
  <si>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</si>
  <si>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Brown</t>
  </si>
  <si>
    <t>Burleson</t>
  </si>
  <si>
    <t>Burnet</t>
  </si>
  <si>
    <t>Calhoun</t>
  </si>
  <si>
    <t>Callahan</t>
  </si>
  <si>
    <t>Carson</t>
  </si>
  <si>
    <t>Cass/Davis</t>
  </si>
  <si>
    <t>Castro</t>
  </si>
  <si>
    <t>Childress</t>
  </si>
  <si>
    <t>Clay</t>
  </si>
  <si>
    <t>Cochran</t>
  </si>
  <si>
    <t>Coke</t>
  </si>
  <si>
    <t>Coleman</t>
  </si>
  <si>
    <t>Collin</t>
  </si>
  <si>
    <t>Collingsworth</t>
  </si>
  <si>
    <t>Comal</t>
  </si>
  <si>
    <t>Comanche</t>
  </si>
  <si>
    <t>Concho</t>
  </si>
  <si>
    <t>Cooke</t>
  </si>
  <si>
    <t>Coryell</t>
  </si>
  <si>
    <t>Cottle</t>
  </si>
  <si>
    <t>Crockett</t>
  </si>
  <si>
    <t>Crosby</t>
  </si>
  <si>
    <t>Culberson</t>
  </si>
  <si>
    <t>Dallam</t>
  </si>
  <si>
    <t>Dawson</t>
  </si>
  <si>
    <t>Deaf Smith</t>
  </si>
  <si>
    <t>Delta</t>
  </si>
  <si>
    <t>Denton</t>
  </si>
  <si>
    <t>DeWitt</t>
  </si>
  <si>
    <t>Dickens</t>
  </si>
  <si>
    <t>Dimmit</t>
  </si>
  <si>
    <t>Donley</t>
  </si>
  <si>
    <t>Duval</t>
  </si>
  <si>
    <t>Eastland</t>
  </si>
  <si>
    <t>Ector</t>
  </si>
  <si>
    <t>Edwards</t>
  </si>
  <si>
    <t>Ellis</t>
  </si>
  <si>
    <t>El Paso</t>
  </si>
  <si>
    <t>Erath</t>
  </si>
  <si>
    <t>Falls</t>
  </si>
  <si>
    <t>Fannin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</si>
  <si>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</si>
  <si>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</si>
  <si>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</si>
  <si>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</si>
  <si>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</si>
  <si>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</si>
  <si>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</si>
  <si>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</si>
  <si>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</si>
  <si>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</si>
  <si>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</si>
  <si>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</si>
  <si>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Gray</t>
  </si>
  <si>
    <t>Grayson</t>
  </si>
  <si>
    <t>Gregg</t>
  </si>
  <si>
    <t>Grimes</t>
  </si>
  <si>
    <t>Guadalupe</t>
  </si>
  <si>
    <t>Hale</t>
  </si>
  <si>
    <t>Hansford</t>
  </si>
  <si>
    <t>Hardeman</t>
  </si>
  <si>
    <t>Hardin</t>
  </si>
  <si>
    <t>Harris</t>
  </si>
  <si>
    <t>Hartley</t>
  </si>
  <si>
    <t>Haskell</t>
  </si>
  <si>
    <t>Hays</t>
  </si>
  <si>
    <t>Hemphill</t>
  </si>
  <si>
    <t>Hidalgo</t>
  </si>
  <si>
    <t>Hill</t>
  </si>
  <si>
    <t>Hockley</t>
  </si>
  <si>
    <t>Hood</t>
  </si>
  <si>
    <t>Howard</t>
  </si>
  <si>
    <t>Hudspeth</t>
  </si>
  <si>
    <t>Hunt</t>
  </si>
  <si>
    <t>Hutchinson</t>
  </si>
  <si>
    <t>Irion</t>
  </si>
  <si>
    <t>Jack</t>
  </si>
  <si>
    <t>Jasper</t>
  </si>
  <si>
    <t>Jeff Davis</t>
  </si>
  <si>
    <t>Jim Hogg</t>
  </si>
  <si>
    <t>Jim Wells</t>
  </si>
  <si>
    <t>Jones</t>
  </si>
  <si>
    <t>Karnes</t>
  </si>
  <si>
    <t>Kaufman</t>
  </si>
  <si>
    <t>Kendall</t>
  </si>
  <si>
    <t>Kenedy</t>
  </si>
  <si>
    <t>Kent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</si>
  <si>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</si>
  <si>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</si>
  <si>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</si>
  <si>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</si>
  <si>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</si>
  <si>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</si>
  <si>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</si>
  <si>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</si>
  <si>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Leon</t>
  </si>
  <si>
    <t>Liberty</t>
  </si>
  <si>
    <t>Lipscomb</t>
  </si>
  <si>
    <t>Live Oak</t>
  </si>
  <si>
    <t>Llano</t>
  </si>
  <si>
    <t>Loving</t>
  </si>
  <si>
    <t>Lubbock</t>
  </si>
  <si>
    <t>Lynn</t>
  </si>
  <si>
    <t>Matagorda</t>
  </si>
  <si>
    <t>Maverick</t>
  </si>
  <si>
    <t>McCulloch</t>
  </si>
  <si>
    <t>McLennan</t>
  </si>
  <si>
    <t>McMullen</t>
  </si>
  <si>
    <t>Medina</t>
  </si>
  <si>
    <t>Menard</t>
  </si>
  <si>
    <t>Midland</t>
  </si>
  <si>
    <t>Milam</t>
  </si>
  <si>
    <t>Mills</t>
  </si>
  <si>
    <t>Montague</t>
  </si>
  <si>
    <t>Morris</t>
  </si>
  <si>
    <t>Motley</t>
  </si>
  <si>
    <t>Nacogdoches</t>
  </si>
  <si>
    <t>Navarro</t>
  </si>
  <si>
    <t>Newton</t>
  </si>
  <si>
    <t>Nolan</t>
  </si>
  <si>
    <t>Nueces</t>
  </si>
  <si>
    <t>Ochiltree</t>
  </si>
  <si>
    <t>Oldham</t>
  </si>
  <si>
    <t>Orange</t>
  </si>
  <si>
    <t>Palo Pinto</t>
  </si>
  <si>
    <t>Panola</t>
  </si>
  <si>
    <t>Parker</t>
  </si>
  <si>
    <t>Parmer</t>
  </si>
  <si>
    <t>Pecos</t>
  </si>
  <si>
    <t>Polk</t>
  </si>
  <si>
    <t>Potter</t>
  </si>
  <si>
    <t>Presidio</t>
  </si>
  <si>
    <t>Rains</t>
  </si>
  <si>
    <t>Randall</t>
  </si>
  <si>
    <t>Reagan</t>
  </si>
  <si>
    <t>Real</t>
  </si>
  <si>
    <t>Reeves</t>
  </si>
  <si>
    <t>Refugio</t>
  </si>
  <si>
    <t>Roberts</t>
  </si>
  <si>
    <t>Robertson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</si>
  <si>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</si>
  <si>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</si>
  <si>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</si>
  <si>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</si>
  <si>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</si>
  <si>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</si>
  <si>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</si>
  <si>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</si>
  <si>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</si>
  <si>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</si>
  <si>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Sherman</t>
  </si>
  <si>
    <t>Smith</t>
  </si>
  <si>
    <t>Somervell</t>
  </si>
  <si>
    <t>Starr</t>
  </si>
  <si>
    <t>Stephens/Buchanan</t>
  </si>
  <si>
    <t>Sterling</t>
  </si>
  <si>
    <t>Stonewall</t>
  </si>
  <si>
    <t>Sutton</t>
  </si>
  <si>
    <t>Swisher</t>
  </si>
  <si>
    <t>Tarrant</t>
  </si>
  <si>
    <t>Taylor</t>
  </si>
  <si>
    <t>Terrell</t>
  </si>
  <si>
    <t>Terry</t>
  </si>
  <si>
    <t>Throckmorton</t>
  </si>
  <si>
    <t>Titus</t>
  </si>
  <si>
    <t>Tom Green</t>
  </si>
  <si>
    <t>Travis</t>
  </si>
  <si>
    <t>Trinity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</si>
  <si>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</si>
  <si>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</si>
  <si>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</si>
  <si>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</si>
  <si>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</si>
  <si>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</si>
  <si>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</si>
  <si>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</si>
  <si>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Ward</t>
  </si>
  <si>
    <t>Webb</t>
  </si>
  <si>
    <t>Wharton</t>
  </si>
  <si>
    <t>Wheeler</t>
  </si>
  <si>
    <t>Wichita</t>
  </si>
  <si>
    <t>Wilbarger</t>
  </si>
  <si>
    <t>Willacy</t>
  </si>
  <si>
    <t>Winkler</t>
  </si>
  <si>
    <t>Wood</t>
  </si>
  <si>
    <t>Yoakum</t>
  </si>
  <si>
    <t>Young</t>
  </si>
  <si>
    <t>Zapata</t>
  </si>
  <si>
    <t>Zavalla</t>
  </si>
  <si>
    <t>Average Annual Salary for Entire State</t>
  </si>
  <si>
    <t>Average Annual Salary for Common Schools</t>
  </si>
  <si>
    <t>Number of City Teachers</t>
  </si>
  <si>
    <t>Number of County Elementary Teachers</t>
  </si>
  <si>
    <t>Number of County High School Teachers</t>
  </si>
  <si>
    <t>Value of School Plant and Equipment City High</t>
  </si>
  <si>
    <t>Value of School Plant and Equipment County High (1927)</t>
  </si>
  <si>
    <t>Average Monthly Salaries (alternate)</t>
  </si>
  <si>
    <t>School Term Length in months</t>
  </si>
  <si>
    <t>Average attendance white</t>
  </si>
  <si>
    <t>Average attendance black</t>
  </si>
  <si>
    <t>Black School Term Length</t>
  </si>
  <si>
    <t>Average Monthly Salaries White</t>
  </si>
  <si>
    <t>Average Monthly Salaries Black</t>
  </si>
  <si>
    <t>Average Monthly Salaries Male Grade 1</t>
  </si>
  <si>
    <t>Average Monthly Salaries Female Grade 1</t>
  </si>
  <si>
    <t>Average Monthly Salaries Male Grade 2</t>
  </si>
  <si>
    <t>Average Monthly Salaries Female Grade 2</t>
  </si>
  <si>
    <t>Average Monthly Salaries Male Grade 3</t>
  </si>
  <si>
    <t>Average Monthly Salaries Female Grade 3</t>
  </si>
  <si>
    <t>Number of Teachers Male Grade 1</t>
  </si>
  <si>
    <t>Number of Teachers Female Grade 1</t>
  </si>
  <si>
    <t>Number of Teachers Male Grade 2</t>
  </si>
  <si>
    <t>Number of Teachers Female Grade 2</t>
  </si>
  <si>
    <t>Number of Teachers Male Grade 3</t>
  </si>
  <si>
    <t>Number of Teachers Female Grade 3</t>
  </si>
  <si>
    <t>Average Monthly Salaries White Grade 1</t>
  </si>
  <si>
    <t>Average Monthly Salaries Black Grade 1</t>
  </si>
  <si>
    <t>Average Monthly Salaries White Grade 2</t>
  </si>
  <si>
    <t>Average Monthly Salaries Black Grade 2</t>
  </si>
  <si>
    <t>Average Monthly Salaries White Grade 3</t>
  </si>
  <si>
    <t>Average Monthly Salaries Black Grade 3</t>
  </si>
  <si>
    <t>Number of Teachers White Grade 1</t>
  </si>
  <si>
    <t>Number of Teachers Black Grade 1</t>
  </si>
  <si>
    <t>Number of Teachers White Grade 2</t>
  </si>
  <si>
    <t>Number of Teachers Black Grade 2</t>
  </si>
  <si>
    <t>Number of Teachers White Grade 3</t>
  </si>
  <si>
    <t>Number of Teachers Black Grade 3</t>
  </si>
  <si>
    <t>Students for Common Schools</t>
  </si>
  <si>
    <t>Total Number of Teachers</t>
  </si>
  <si>
    <t>Number of teachers for Common Schools</t>
  </si>
  <si>
    <t>Total Number of Students (1922-24)</t>
  </si>
  <si>
    <t>https://babel.hathitrust.org/cgi/pt?id=uc1.b2986586;view=1up;seq=318</t>
  </si>
  <si>
    <t>Value of City Schoolhouses</t>
  </si>
  <si>
    <t>Value of Other Property</t>
  </si>
  <si>
    <t>Value of County Schoolhouses Belonging to County Board of Education</t>
  </si>
  <si>
    <t>Value of County Schoolhouses Not Belonging to County Board of Education</t>
  </si>
  <si>
    <t>Adair</t>
  </si>
  <si>
    <t>Barren</t>
  </si>
  <si>
    <t>Bath</t>
  </si>
  <si>
    <t>Boone</t>
  </si>
  <si>
    <t>Bourbon</t>
  </si>
  <si>
    <t>Boyle</t>
  </si>
  <si>
    <t>Bracken</t>
  </si>
  <si>
    <t>Breckinridge</t>
  </si>
  <si>
    <t>Butler</t>
  </si>
  <si>
    <t>Calloway</t>
  </si>
  <si>
    <t>Campbell</t>
  </si>
  <si>
    <t>Carroll</t>
  </si>
  <si>
    <t>Casey</t>
  </si>
  <si>
    <t>Christian</t>
  </si>
  <si>
    <t>Clark</t>
  </si>
  <si>
    <t>Clinton</t>
  </si>
  <si>
    <t>Crittenden</t>
  </si>
  <si>
    <t>Edmonson</t>
  </si>
  <si>
    <t>Elliott</t>
  </si>
  <si>
    <t>Fleming</t>
  </si>
  <si>
    <t>Gallatin</t>
  </si>
  <si>
    <t>Garrard</t>
  </si>
  <si>
    <t>Graves</t>
  </si>
  <si>
    <t>Green</t>
  </si>
  <si>
    <t>Greenup</t>
  </si>
  <si>
    <t>Harlan</t>
  </si>
  <si>
    <t>Hart</t>
  </si>
  <si>
    <t>Henry</t>
  </si>
  <si>
    <t>Jessamine</t>
  </si>
  <si>
    <t>Kenton</t>
  </si>
  <si>
    <t>Larue</t>
  </si>
  <si>
    <t>Laurel</t>
  </si>
  <si>
    <t>Lewis</t>
  </si>
  <si>
    <t>Logan</t>
  </si>
  <si>
    <t>Lyon</t>
  </si>
  <si>
    <t>McCracken</t>
  </si>
  <si>
    <t>McCreary</t>
  </si>
  <si>
    <t>Meade</t>
  </si>
  <si>
    <t>Mercer</t>
  </si>
  <si>
    <t>Metcalfe</t>
  </si>
  <si>
    <t>Muhlenberg</t>
  </si>
  <si>
    <t>Nelson</t>
  </si>
  <si>
    <t>Nicholas</t>
  </si>
  <si>
    <t>Owen</t>
  </si>
  <si>
    <t>Pendleton</t>
  </si>
  <si>
    <t>Powell</t>
  </si>
  <si>
    <t>Rockcastle</t>
  </si>
  <si>
    <t>Russell</t>
  </si>
  <si>
    <t>Simpson</t>
  </si>
  <si>
    <t>Spencer</t>
  </si>
  <si>
    <t>Todd</t>
  </si>
  <si>
    <t>Trimble</t>
  </si>
  <si>
    <t>Woodford</t>
  </si>
  <si>
    <t>Average Monthly Salaries White Male</t>
  </si>
  <si>
    <t>Average Monthly Salaries White Female</t>
  </si>
  <si>
    <t>Average Monthly Salaries Black Male</t>
  </si>
  <si>
    <t>Average Monthly Salaries Black Female</t>
  </si>
  <si>
    <t>Number of teachers white male</t>
  </si>
  <si>
    <t>Number of teachers white female</t>
  </si>
  <si>
    <t>Number of teachers black male</t>
  </si>
  <si>
    <t>Number of teachers black female</t>
  </si>
  <si>
    <t>White Total Salaries</t>
  </si>
  <si>
    <t>Black Total Salaries</t>
  </si>
  <si>
    <t>Number of White Teachers</t>
  </si>
  <si>
    <t>Total salaries white</t>
  </si>
  <si>
    <t>Total salaries black</t>
  </si>
  <si>
    <t>Average attendance white town/country</t>
  </si>
  <si>
    <t>Average attendance black town/country</t>
  </si>
  <si>
    <t>Average attendance city and town</t>
  </si>
  <si>
    <t>Abbeville</t>
  </si>
  <si>
    <t>Bamberg</t>
  </si>
  <si>
    <t>Barnwell</t>
  </si>
  <si>
    <t>Batesburg</t>
  </si>
  <si>
    <t>Belton</t>
  </si>
  <si>
    <t>Bennettsville</t>
  </si>
  <si>
    <t>Bishopville</t>
  </si>
  <si>
    <t>Blackville</t>
  </si>
  <si>
    <t>Branchville</t>
  </si>
  <si>
    <t>Camden</t>
  </si>
  <si>
    <t>Cheraw</t>
  </si>
  <si>
    <t>Chester</t>
  </si>
  <si>
    <t>Columbia</t>
  </si>
  <si>
    <t>Denmark</t>
  </si>
  <si>
    <t>Due West</t>
  </si>
  <si>
    <t>Easley</t>
  </si>
  <si>
    <t>Florence</t>
  </si>
  <si>
    <t>Fort Mill</t>
  </si>
  <si>
    <t>Gaffney</t>
  </si>
  <si>
    <t>Fountain Inn</t>
  </si>
  <si>
    <t>Georges</t>
  </si>
  <si>
    <t>Graniteville</t>
  </si>
  <si>
    <t>Honea Path</t>
  </si>
  <si>
    <t>Hampton</t>
  </si>
  <si>
    <t>Kershaw</t>
  </si>
  <si>
    <t>Kingstree</t>
  </si>
  <si>
    <t>Lancaster</t>
  </si>
  <si>
    <t>Langley</t>
  </si>
  <si>
    <t>Lexington</t>
  </si>
  <si>
    <t>Manning</t>
  </si>
  <si>
    <t>Mayesville</t>
  </si>
  <si>
    <t>Mullins</t>
  </si>
  <si>
    <t>Ninety-Six</t>
  </si>
  <si>
    <t>North Augusta</t>
  </si>
  <si>
    <t>Piedmont</t>
  </si>
  <si>
    <t>Ridge Spring</t>
  </si>
  <si>
    <t>Rock Hill</t>
  </si>
  <si>
    <t>Salley</t>
  </si>
  <si>
    <t>Seneca</t>
  </si>
  <si>
    <t>Simpsonville</t>
  </si>
  <si>
    <t>St. Matthews</t>
  </si>
  <si>
    <t>Timmonsville</t>
  </si>
  <si>
    <t>Walterboro</t>
  </si>
  <si>
    <t>Williamston</t>
  </si>
  <si>
    <t>Williston</t>
  </si>
  <si>
    <t>Winnsboro</t>
  </si>
  <si>
    <t>Walhalla</t>
  </si>
  <si>
    <t>Yorkville</t>
  </si>
  <si>
    <t>Value of city and town school plant and equipment</t>
  </si>
  <si>
    <t>9 Number of teachers white female</t>
  </si>
  <si>
    <t>8 Number of teachers white male</t>
  </si>
  <si>
    <t>11 Number of teachers black male</t>
  </si>
  <si>
    <t>12 Number of teachers black female</t>
  </si>
  <si>
    <t>17 Average Monthly Salaries White Male</t>
  </si>
  <si>
    <t>18 Average Monthly Salaries White Female</t>
  </si>
  <si>
    <t>19 Average Monthly Salaries Black Male</t>
  </si>
  <si>
    <t>20 Average Monthly Salaries Black Female</t>
  </si>
  <si>
    <t>Number of Students (1921-22)</t>
  </si>
  <si>
    <t>Aid granted independent school districts</t>
  </si>
  <si>
    <t>Total aid granted to different counties</t>
  </si>
  <si>
    <t>Value of School Plant and Equip incl. colleges</t>
  </si>
  <si>
    <t>Value of college buildings and sites</t>
  </si>
  <si>
    <t>Number of teachers (from addition)</t>
  </si>
  <si>
    <t>Number of teachers (1922)</t>
  </si>
  <si>
    <t>Value of School Plant and Equipment 1922</t>
  </si>
  <si>
    <t>School Term Length 1922</t>
  </si>
  <si>
    <t>Value of Common School Plant and Equipment</t>
  </si>
  <si>
    <t>Value of Independent School Plant and Equipment</t>
  </si>
  <si>
    <t>Black schoolhouses</t>
  </si>
  <si>
    <t>White schoolhouses</t>
  </si>
  <si>
    <t>York</t>
  </si>
  <si>
    <t>Marlboro</t>
  </si>
  <si>
    <t>Chesterfield</t>
  </si>
  <si>
    <t>Edgefield</t>
  </si>
  <si>
    <t>Williamsburg</t>
  </si>
  <si>
    <t>Clarendon</t>
  </si>
  <si>
    <t>Saluda</t>
  </si>
  <si>
    <t>Colleton</t>
  </si>
  <si>
    <t>http://hdl.handle.net/2027/mdp.39015049037735?urlappend=%3Bseq=139</t>
  </si>
  <si>
    <t>http://hdl.handle.net/2027/mdp.39015049037735?urlappend=%3Bseq=140</t>
  </si>
  <si>
    <t>http://hdl.handle.net/2027/mdp.39015049037735?urlappend=%3Bseq=141</t>
  </si>
  <si>
    <t>https://babel.hathitrust.org/cgi/pt?id=mdp.39015049037743;view=1up;seq=164</t>
  </si>
  <si>
    <t>https://babel.hathitrust.org/cgi/pt?id=mdp.39015049037743;view=1up;seq=165</t>
  </si>
  <si>
    <t>https://babel.hathitrust.org/cgi/pt?id=mdp.39015049037743;view=1up;seq=166</t>
  </si>
  <si>
    <t>https://babel.hathitrust.org/cgi/pt?id=mdp.39015049037743;view=1up;seq=167</t>
  </si>
  <si>
    <t>https://babel.hathitrust.org/cgi/pt?id=mdp.39015049037735;view=1up;seq=146</t>
  </si>
  <si>
    <t>https://babel.hathitrust.org/cgi/pt?id=mdp.39015076515900;view=1up;seq=220</t>
  </si>
  <si>
    <t>https://babel.hathitrust.org/cgi/pt?id=mdp.39015076515900;view=1up;seq=223</t>
  </si>
  <si>
    <t>https://babel.hathitrust.org/cgi/pt?id=uc1.b2986586;view=1up;seq=306</t>
  </si>
  <si>
    <t>https://archive.org/download/SOPIK1905/1905.pdf#page=382</t>
  </si>
  <si>
    <t>https://archive.org/download/SOPIK1905/1905.pdf#page=340</t>
  </si>
  <si>
    <t>https://babel.hathitrust.org/cgi/pt?id=coo.31924069517021;view=1up;seq=256</t>
  </si>
  <si>
    <t>https://babel.hathitrust.org/cgi/pt?id=njp.32101076518784;view=1up;seq=144</t>
  </si>
  <si>
    <t>https://babel.hathitrust.org/cgi/pt?id=nc01.ark:/13960/t9183d98b;view=1up;seq=252</t>
  </si>
  <si>
    <t>https://babel.hathitrust.org/cgi/pt?id=uc1.b2980735;view=1up;seq=243</t>
  </si>
  <si>
    <t>https://babel.hathitrust.org/cgi/pt?id=uc1.b2980735;view=1up;seq=246</t>
  </si>
  <si>
    <t>https://babel.hathitrust.org/cgi/pt?id=uiug.30112109609377;view=1up;seq=183</t>
  </si>
  <si>
    <t>https://babel.hathitrust.org/cgi/pt?id=uc1.b3014083;view=1up;seq=211</t>
  </si>
  <si>
    <t>https://babel.hathitrust.org/cgi/pt?id=uc1.b3014083;view=1up;seq=217</t>
  </si>
  <si>
    <t>Health or Sanitation, County</t>
  </si>
  <si>
    <t>Health or Sanitation, Other Civil Divisions</t>
  </si>
  <si>
    <t>https://ia601505.us.archive.org/29/items/tx192426/1924-26.pdf</t>
  </si>
  <si>
    <t>https://ia601500.us.archive.org/33/items/tx192224/1922-24%2c%20selected%20pages%20%28pp.%20192-93%20clipped%29.pdf</t>
  </si>
  <si>
    <t>https://babel.hathitrust.org/cgi/pt?id=mdp.39015076523755;view=1up;seq=68</t>
  </si>
  <si>
    <t>https://babel.hathitrust.org/cgi/pt?id=mdp.39015076523755;view=1up;seq=69</t>
  </si>
  <si>
    <t>https://babel.hathitrust.org/cgi/pt?id=mdp.39015076523755;view=1up;seq=52</t>
  </si>
  <si>
    <t>https://babel.hathitrust.org/cgi/pt?id=mdp.39015076524217;view=1up;seq=651</t>
  </si>
  <si>
    <t>https://babel.hathitrust.org/cgi/pt?id=mdp.39015076524217;view=1up;seq=168</t>
  </si>
  <si>
    <t>https://babel.hathitrust.org/cgi/pt?id=njp.32101060099841;view=1up;seq=242</t>
  </si>
  <si>
    <t>https://babel.hathitrust.org/cgi/pt?id=njp.32101060099841;view=1up;seq=224</t>
  </si>
  <si>
    <t>https://babel.hathitrust.org/cgi/pt?id=njp.32101060099841;view=1up;seq=275</t>
  </si>
  <si>
    <t>https://babel.hathitrust.org/cgi/pt?id=njp.32101060099841;view=1up;seq=276</t>
  </si>
  <si>
    <t>https://babel.hathitrust.org/cgi/pt?id=njp.32101060099841;view=1up;seq=180</t>
  </si>
  <si>
    <t>https://ia601407.us.archive.org/6/items/biennialreportof19241926nort/biennialreportof19241926nort.pdf#page=216</t>
  </si>
  <si>
    <t>https://ia601407.us.archive.org/6/items/biennialreportof19241926nort/biennialreportof19241926nort.pdf#page=108</t>
  </si>
  <si>
    <t>https://babel.hathitrust.org/cgi/pt?id=mdp.39015076594376;view=1up;seq=121</t>
  </si>
  <si>
    <t>https://babel.hathitrust.org/cgi/pt?id=uiug.30112058522902;view=1up;seq=175</t>
  </si>
  <si>
    <t>https://babel.hathitrust.org/cgi/pt?id=uc1.b2981990;view=1up;seq=136</t>
  </si>
  <si>
    <t>https://ia601502.us.archive.org/19/items/LA192425/LApics.pdf</t>
  </si>
  <si>
    <t>https://ia601502.us.archive.org/19/items/LA192425/LApics.pdf#page=9</t>
  </si>
  <si>
    <t>https://ia601502.us.archive.org/19/items/LA192425/LApics.pdf#page=13</t>
  </si>
  <si>
    <t>https://ia601502.us.archive.org/19/items/LA192425/LApics.pdf#page=4</t>
  </si>
  <si>
    <t>https://ia601502.us.archive.org/19/items/LA192425/LApics.pdf#page=6</t>
  </si>
  <si>
    <t>https://ia601502.us.archive.org/19/items/LA192425/LApics.pdf#page=11</t>
  </si>
  <si>
    <t>https://ia601502.us.archive.org/19/items/LA192425/LApics.pdf#page=17</t>
  </si>
  <si>
    <t>https://babel.hathitrust.org/cgi/pt?id=uiug.30112051004916;view=1up;seq=90</t>
  </si>
  <si>
    <t>https://babel.hathitrust.org/cgi/pt?id=uiug.30112051004916;view=1up;seq=96</t>
  </si>
  <si>
    <t>https://babel.hathitrust.org/cgi/pt?id=uiug.30112051004916;view=1up;seq=219</t>
  </si>
  <si>
    <t>https://ia601507.us.archive.org/24/items/MSpics/MSpics.pdf</t>
  </si>
  <si>
    <t>https://ia601507.us.archive.org/24/items/MSpics/MSpics.pdf#page=5</t>
  </si>
  <si>
    <t>http://hdl.handle.net/2027/coo.31924069517021?urlappend=%3Bseq=284</t>
  </si>
  <si>
    <t>https://babel.hathitrust.org/cgi/pt?id=nc01.ark:/13960/t9183d98b;view=1up;seq=112</t>
  </si>
  <si>
    <t>Value of school houses and grounds (rural 1918)</t>
  </si>
  <si>
    <t>Value of furniture and apparatus (rural 1918)</t>
  </si>
  <si>
    <t>https://babel.hathitrust.org/cgi/pt?id=njp.32101060099833;view=1up;seq=584</t>
  </si>
  <si>
    <t>https://babel.hathitrust.org/cgi/pt?id=uc1.c3198065;view=1up;seq=1135</t>
  </si>
  <si>
    <t>https://babel.hathitrust.org/cgi/pt?id=uc1.c3198065;view=1up;seq=1136</t>
  </si>
  <si>
    <t>School value from WDT 1902</t>
  </si>
  <si>
    <t>School value from WDT 1902 (outlays)</t>
  </si>
  <si>
    <t>Cross-check school value with WDT 1902</t>
  </si>
  <si>
    <t>MAX</t>
  </si>
  <si>
    <t>MIN</t>
  </si>
  <si>
    <t>MEAN</t>
  </si>
  <si>
    <t>MEDIAN</t>
  </si>
  <si>
    <t>https://archive.org/download/SOPIK1905/1905.pdf#page=330</t>
  </si>
  <si>
    <t>Number of schools running more than 5 months</t>
  </si>
  <si>
    <t>Number of schools running 5 months</t>
  </si>
  <si>
    <t>Number of schools running 4 months</t>
  </si>
  <si>
    <t>Number of Districts in County (1905)</t>
  </si>
  <si>
    <t>Number of Districts in Which Schools Were Taught for More than Six Months (1905)</t>
  </si>
  <si>
    <t>Bandwidth for school term imputation</t>
  </si>
  <si>
    <t>Fraction of schools running &gt;=6 months</t>
  </si>
  <si>
    <t>&gt;= 6 Months URL</t>
  </si>
  <si>
    <t>1926 - Students and Attendance, 1920 - Others, 1935 - Value of School Plant</t>
  </si>
  <si>
    <t>https://ia601502.us.archive.org/10/items/MS-school-property-value-1935-7/1936%20%26%201937%2c%20selected%20pages.pdf</t>
  </si>
  <si>
    <t>https://hdl.handle.net/2027/mdp.39015070977213?urlappend=%3Bseq=587</t>
  </si>
  <si>
    <t>treated as having no health officers:</t>
  </si>
  <si>
    <t>White Attendance URL</t>
  </si>
  <si>
    <t>Black Attendance URL</t>
  </si>
  <si>
    <t>White Teachers URL</t>
  </si>
  <si>
    <t>Black Teachers URL</t>
  </si>
  <si>
    <t>White School Term Length URL</t>
  </si>
  <si>
    <t>Black School Term Length URL</t>
  </si>
  <si>
    <t>White Students URL</t>
  </si>
  <si>
    <t>Black Students URL</t>
  </si>
  <si>
    <t>White Average Salaries URL</t>
  </si>
  <si>
    <t>Black Average Salaries URL</t>
  </si>
  <si>
    <t>White School Expenditure URL</t>
  </si>
  <si>
    <t>Black School Expenditure URL</t>
  </si>
  <si>
    <t>White School Houses URL</t>
  </si>
  <si>
    <t>Black School Houses URL</t>
  </si>
  <si>
    <t>White Value URL</t>
  </si>
  <si>
    <t>Black Value URL</t>
  </si>
  <si>
    <t>https://ia800604.us.archive.org/18/items/GADeptofEd1925/GA.pdf#page=9</t>
  </si>
  <si>
    <t>https://ia800604.us.archive.org/18/items/GADeptofEd1925/GA.pdf#page=32</t>
  </si>
  <si>
    <t>https://ia800604.us.archive.org/18/items/GADeptofEd1925/GA.pdf#page=13</t>
  </si>
  <si>
    <t>https://ia800604.us.archive.org/18/items/GADeptofEd1925/GA.pdf#page=36</t>
  </si>
  <si>
    <t>https://ia800604.us.archive.org/18/items/GADeptofEd1925/GA.pdf#page=26</t>
  </si>
  <si>
    <t>https://ia800604.us.archive.org/18/items/GADeptofEd1925/GA.pdf#page=44</t>
  </si>
  <si>
    <t>https://ia800604.us.archive.org/18/items/GADeptofEd1925/GA.pdf#page=21</t>
  </si>
  <si>
    <t>https://ia800604.us.archive.org/18/items/GADeptofEd1925/GA.pdf#page=49</t>
  </si>
  <si>
    <t>https://ia800604.us.archive.org/18/items/GADeptofEd1925/GA.pdf#page=14</t>
  </si>
  <si>
    <t>https://ia800604.us.archive.org/18/items/GADeptofEd1925/GA.pdf#page=37</t>
  </si>
  <si>
    <t>https://ia800604.us.archive.org/18/items/GADeptofEd1925/GA.pdf#page=28</t>
  </si>
  <si>
    <t>https://ia800604.us.archive.org/18/items/GADeptofEd1925/GA.pdf#page=22</t>
  </si>
  <si>
    <t>https://ia800604.us.archive.org/18/items/GADeptofEd1925/GA.pdf#page=50</t>
  </si>
  <si>
    <t>https://ia800604.us.archive.org/18/items/GADeptofEd1925/GA.pdf#page=45</t>
  </si>
  <si>
    <t>https://ia800604.us.archive.org/18/items/GADeptofEd1925/GA.pdf#page=10</t>
  </si>
  <si>
    <t>https://ia800604.us.archive.org/18/items/GADeptofEd1925/GA.pdf#page=33</t>
  </si>
  <si>
    <t>https://ia800604.us.archive.org/18/items/GADeptofEd1925/GA.pdf#page=15</t>
  </si>
  <si>
    <t>https://ia800604.us.archive.org/18/items/GADeptofEd1925/GA.pdf#page=38</t>
  </si>
  <si>
    <t>https://ia800604.us.archive.org/18/items/GADeptofEd1925/GA.pdf#page=29</t>
  </si>
  <si>
    <t>https://ia800604.us.archive.org/18/items/GADeptofEd1925/GA.pdf#page=23</t>
  </si>
  <si>
    <t>https://ia800604.us.archive.org/18/items/GADeptofEd1925/GA.pdf#page=51</t>
  </si>
  <si>
    <t>https://ia800604.us.archive.org/18/items/GADeptofEd1925/GA.pdf#page=46</t>
  </si>
  <si>
    <t>https://ia800604.us.archive.org/18/items/GADeptofEd1925/GA.pdf#page=11</t>
  </si>
  <si>
    <t>https://ia800604.us.archive.org/18/items/GADeptofEd1925/GA.pdf#page=34</t>
  </si>
  <si>
    <t>https://ia800604.us.archive.org/18/items/GADeptofEd1925/GA.pdf#page=16</t>
  </si>
  <si>
    <t>https://ia800604.us.archive.org/18/items/GADeptofEd1925/GA.pdf#page=30</t>
  </si>
  <si>
    <t>https://ia800604.us.archive.org/18/items/GADeptofEd1925/GA.pdf#page=24</t>
  </si>
  <si>
    <t>https://ia800604.us.archive.org/18/items/GADeptofEd1925/GA.pdf#page=52</t>
  </si>
  <si>
    <t>https://ia800604.us.archive.org/18/items/GADeptofEd1925/GA.pdf#page=41</t>
  </si>
  <si>
    <t>https://ia800604.us.archive.org/18/items/GADeptofEd1925/GA.pdf#page=47</t>
  </si>
  <si>
    <t>https://ia800604.us.archive.org/18/items/GADeptofEd1925/GA.pdf#page=17</t>
  </si>
  <si>
    <t>https://ia800604.us.archive.org/18/items/GADeptofEd1925/GA.pdf#page=25</t>
  </si>
  <si>
    <t>https://ia800604.us.archive.org/18/items/GADeptofEd1925/GA.pdf#page=54</t>
  </si>
  <si>
    <t>https://ia800604.us.archive.org/18/items/GADeptofEd1925/GA.pdf#page=12</t>
  </si>
  <si>
    <t>https://ia800604.us.archive.org/18/items/GADeptofEd1925/GA.pdf#page=43</t>
  </si>
  <si>
    <t>https://ia800604.us.archive.org/18/items/GADeptofEd1925/GA.pdf#page=31</t>
  </si>
  <si>
    <t>https://ia800604.us.archive.org/18/items/GADeptofEd1925/GA.pdf#page=35</t>
  </si>
  <si>
    <t>https://ia800604.us.archive.org/18/items/GADeptofEd1925/GA.pdf#page=48</t>
  </si>
  <si>
    <t>https://ia800604.us.archive.org/18/items/GADeptofEd1925/GA.pdf#page=19</t>
  </si>
  <si>
    <t>https://ia601501.us.archive.org/22/items/192425/1924-25.pdf#page=3</t>
  </si>
  <si>
    <t>https://ia601501.us.archive.org/22/items/192425/1924-25.pdf#page=6</t>
  </si>
  <si>
    <t>https://ia601501.us.archive.org/22/items/192425/1924-25.pdf#page=7</t>
  </si>
  <si>
    <t>https://ia601501.us.archive.org/22/items/192425/1924-25.pdf#page=8</t>
  </si>
  <si>
    <t>https://ia601501.us.archive.org/22/items/192425/1924-25.pdf#page=9</t>
  </si>
  <si>
    <t>https://ia601501.us.archive.org/22/items/192425/1924-25.pdf#page=11</t>
  </si>
  <si>
    <t>https://ia601501.us.archive.org/22/items/192425/1924-25.pdf#page=13</t>
  </si>
  <si>
    <t>https://ia601501.us.archive.org/22/items/192425/1924-25.pdf#page=15</t>
  </si>
  <si>
    <t>https://ia601501.us.archive.org/22/items/192425/1924-25.pdf#page=16</t>
  </si>
  <si>
    <t>https://ia601501.us.archive.org/22/items/192425/1924-25.pdf#page=17</t>
  </si>
  <si>
    <t>https://ia601501.us.archive.org/22/items/192425/1924-25.pdf#page=21</t>
  </si>
  <si>
    <t>https://ia601501.us.archive.org/22/items/192425/1924-25.pdf#page=22</t>
  </si>
  <si>
    <t>https://ia601501.us.archive.org/22/items/192425/1924-25.pdf#page=23</t>
  </si>
  <si>
    <t>https://ia601501.us.archive.org/22/items/192425/1924-25.pdf#page=24</t>
  </si>
  <si>
    <t>https://ia601501.us.archive.org/22/items/192425/1924-25.pdf#page=25</t>
  </si>
  <si>
    <t>https://ia601501.us.archive.org/22/items/192425/1924-25.pdf#page=28</t>
  </si>
  <si>
    <t>https://ia601501.us.archive.org/22/items/192425/1924-25.pdf#page=29</t>
  </si>
  <si>
    <t>https://ia601501.us.archive.org/22/items/192425/1924-25.pdf#page=30</t>
  </si>
  <si>
    <t>https://ia601501.us.archive.org/22/items/192425/1924-25.pdf#page=31</t>
  </si>
  <si>
    <t>https://ia601501.us.archive.org/22/items/192425/1924-25.pdf#page=32</t>
  </si>
  <si>
    <t>https://ia601501.us.archive.org/22/items/192425/1924-25.pdf#page=34</t>
  </si>
  <si>
    <t>https://ia601501.us.archive.org/22/items/192425/1924-25.pdf#page=35</t>
  </si>
  <si>
    <t>https://ia601501.us.archive.org/22/items/192425/1924-25.pdf#page=36</t>
  </si>
  <si>
    <t>https://ia601501.us.archive.org/22/items/192425/1924-25.pdf#page=37</t>
  </si>
  <si>
    <t>https://ia601501.us.archive.org/22/items/192425/1924-25.pdf#page=38</t>
  </si>
  <si>
    <t>https://ia601501.us.archive.org/22/items/192425/1924-25.pdf#page=40</t>
  </si>
  <si>
    <t>https://ia601501.us.archive.org/22/items/192425/1924-25.pdf#page=41</t>
  </si>
  <si>
    <t>https://ia601501.us.archive.org/22/items/192425/1924-25.pdf#page=42</t>
  </si>
  <si>
    <t>https://ia601501.us.archive.org/22/items/192425/1924-25.pdf#page=43</t>
  </si>
  <si>
    <t>https://ia601501.us.archive.org/22/items/192425/1924-25.pdf#page=5</t>
  </si>
  <si>
    <t>https://babel.hathitrust.org/cgi/pt?id=mdp.39015076547101;view=1up;seq=83</t>
  </si>
  <si>
    <t>https://babel.hathitrust.org/cgi/pt?id=mdp.39015076547101;view=1up;seq=103</t>
  </si>
  <si>
    <t>https://babel.hathitrust.org/cgi/pt?id=mdp.39015076547101;view=1up;seq=123</t>
  </si>
  <si>
    <t>https://babel.hathitrust.org/cgi/pt?id=mdp.39015076547101;view=1up;seq=139</t>
  </si>
  <si>
    <t>https://babel.hathitrust.org/cgi/pt?id=mdp.39015076547101;view=1up;seq=159</t>
  </si>
  <si>
    <t>https://babel.hathitrust.org/cgi/pt?id=mdp.39015076547101;view=1up;seq=179</t>
  </si>
  <si>
    <t>County Elementary School Term Length URL</t>
  </si>
  <si>
    <t>City Elementary School Term Length URL</t>
  </si>
  <si>
    <t>County High School Term Length URL</t>
  </si>
  <si>
    <t>City High School Term Length URL</t>
  </si>
  <si>
    <t>https://ia800604.us.archive.org/18/items/GADeptofEd1925/GA.pdf#page=9; https://ia800604.us.archive.org/18/items/GADeptofEd1925/GA.pdf#page=32</t>
  </si>
  <si>
    <t>https://ia800604.us.archive.org/18/items/GADeptofEd1925/GA.pdf#page=13; https://ia800604.us.archive.org/18/items/GADeptofEd1925/GA.pdf#page=36</t>
  </si>
  <si>
    <t>https://ia800604.us.archive.org/18/items/GADeptofEd1925/GA.pdf#page=13; https://ia800604.us.archive.org/18/items/GADeptofEd1925/GA.pdf#page=32</t>
  </si>
  <si>
    <t>https://ia800604.us.archive.org/18/items/GADeptofEd1925/GA.pdf#page=26; https://ia800604.us.archive.org/18/items/GADeptofEd1925/GA.pdf#page=44</t>
  </si>
  <si>
    <t>https://ia800604.us.archive.org/18/items/GADeptofEd1925/GA.pdf#page=21; https://ia800604.us.archive.org/18/items/GADeptofEd1925/GA.pdf#page=44</t>
  </si>
  <si>
    <t>https://ia800604.us.archive.org/18/items/GADeptofEd1925/GA.pdf#page=26; https://ia800604.us.archive.org/18/items/GADeptofEd1925/GA.pdf#page=32</t>
  </si>
  <si>
    <t>https://ia800604.us.archive.org/18/items/GADeptofEd1925/GA.pdf#page=26; https://ia800604.us.archive.org/18/items/GADeptofEd1925/GA.pdf#page=49</t>
  </si>
  <si>
    <t>https://ia800604.us.archive.org/18/items/GADeptofEd1925/GA.pdf#page=14; https://ia800604.us.archive.org/18/items/GADeptofEd1925/GA.pdf#page=36</t>
  </si>
  <si>
    <t>https://ia800604.us.archive.org/18/items/GADeptofEd1925/GA.pdf#page=14; https://ia800604.us.archive.org/18/items/GADeptofEd1925/GA.pdf#page=32</t>
  </si>
  <si>
    <t>https://ia800604.us.archive.org/18/items/GADeptofEd1925/GA.pdf#page=14; https://ia800604.us.archive.org/18/items/GADeptofEd1925/GA.pdf#page=37</t>
  </si>
  <si>
    <t>https://ia800604.us.archive.org/18/items/GADeptofEd1925/GA.pdf#page=28; https://ia800604.us.archive.org/18/items/GADeptofEd1925/GA.pdf#page=44</t>
  </si>
  <si>
    <t>https://ia800604.us.archive.org/18/items/GADeptofEd1925/GA.pdf#page=22; https://ia800604.us.archive.org/18/items/GADeptofEd1925/GA.pdf#page=44</t>
  </si>
  <si>
    <t>https://ia800604.us.archive.org/18/items/GADeptofEd1925/GA.pdf#page=28; https://ia800604.us.archive.org/18/items/GADeptofEd1925/GA.pdf#page=32</t>
  </si>
  <si>
    <t>https://ia800604.us.archive.org/18/items/GADeptofEd1925/GA.pdf#page=28; https://ia800604.us.archive.org/18/items/GADeptofEd1925/GA.pdf#page=50</t>
  </si>
  <si>
    <t>https://ia800604.us.archive.org/18/items/GADeptofEd1925/GA.pdf#page=28; https://ia800604.us.archive.org/18/items/GADeptofEd1925/GA.pdf#page=45</t>
  </si>
  <si>
    <t>https://ia800604.us.archive.org/18/items/GADeptofEd1925/GA.pdf#page=22; https://ia800604.us.archive.org/18/items/GADeptofEd1925/GA.pdf#page=45</t>
  </si>
  <si>
    <t>https://ia800604.us.archive.org/18/items/GADeptofEd1925/GA.pdf#page=10; https://ia800604.us.archive.org/18/items/GADeptofEd1925/GA.pdf#page=32</t>
  </si>
  <si>
    <t>https://ia800604.us.archive.org/18/items/GADeptofEd1925/GA.pdf#page=10; https://ia800604.us.archive.org/18/items/GADeptofEd1925/GA.pdf#page=33</t>
  </si>
  <si>
    <t>https://ia800604.us.archive.org/18/items/GADeptofEd1925/GA.pdf#page=15; https://ia800604.us.archive.org/18/items/GADeptofEd1925/GA.pdf#page=37</t>
  </si>
  <si>
    <t>https://ia800604.us.archive.org/18/items/GADeptofEd1925/GA.pdf#page=15; https://ia800604.us.archive.org/18/items/GADeptofEd1925/GA.pdf#page=32</t>
  </si>
  <si>
    <t>https://ia800604.us.archive.org/18/items/GADeptofEd1925/GA.pdf#page=15; https://ia800604.us.archive.org/18/items/GADeptofEd1925/GA.pdf#page=38</t>
  </si>
  <si>
    <t>https://ia800604.us.archive.org/18/items/GADeptofEd1925/GA.pdf#page=29; https://ia800604.us.archive.org/18/items/GADeptofEd1925/GA.pdf#page=45</t>
  </si>
  <si>
    <t>https://ia800604.us.archive.org/18/items/GADeptofEd1925/GA.pdf#page=23; https://ia800604.us.archive.org/18/items/GADeptofEd1925/GA.pdf#page=45</t>
  </si>
  <si>
    <t>https://ia800604.us.archive.org/18/items/GADeptofEd1925/GA.pdf#page=29; https://ia800604.us.archive.org/18/items/GADeptofEd1925/GA.pdf#page=32</t>
  </si>
  <si>
    <t>https://ia800604.us.archive.org/18/items/GADeptofEd1925/GA.pdf#page=29; https://ia800604.us.archive.org/18/items/GADeptofEd1925/GA.pdf#page=51</t>
  </si>
  <si>
    <t>https://ia800604.us.archive.org/18/items/GADeptofEd1925/GA.pdf#page=29; https://ia800604.us.archive.org/18/items/GADeptofEd1925/GA.pdf#page=46</t>
  </si>
  <si>
    <t>https://ia800604.us.archive.org/18/items/GADeptofEd1925/GA.pdf#page=23; https://ia800604.us.archive.org/18/items/GADeptofEd1925/GA.pdf#page=46</t>
  </si>
  <si>
    <t>https://ia800604.us.archive.org/18/items/GADeptofEd1925/GA.pdf#page=11; https://ia800604.us.archive.org/18/items/GADeptofEd1925/GA.pdf#page=33</t>
  </si>
  <si>
    <t>https://ia800604.us.archive.org/18/items/GADeptofEd1925/GA.pdf#page=11; https://ia800604.us.archive.org/18/items/GADeptofEd1925/GA.pdf#page=32</t>
  </si>
  <si>
    <t>https://ia800604.us.archive.org/18/items/GADeptofEd1925/GA.pdf#page=11; https://ia800604.us.archive.org/18/items/GADeptofEd1925/GA.pdf#page=34</t>
  </si>
  <si>
    <t>https://ia800604.us.archive.org/18/items/GADeptofEd1925/GA.pdf#page=16; https://ia800604.us.archive.org/18/items/GADeptofEd1925/GA.pdf#page=38</t>
  </si>
  <si>
    <t>https://ia800604.us.archive.org/18/items/GADeptofEd1925/GA.pdf#page=16; https://ia800604.us.archive.org/18/items/GADeptofEd1925/GA.pdf#page=32</t>
  </si>
  <si>
    <t>https://ia800604.us.archive.org/18/items/GADeptofEd1925/GA.pdf#page=30; https://ia800604.us.archive.org/18/items/GADeptofEd1925/GA.pdf#page=46</t>
  </si>
  <si>
    <t>https://ia800604.us.archive.org/18/items/GADeptofEd1925/GA.pdf#page=24; https://ia800604.us.archive.org/18/items/GADeptofEd1925/GA.pdf#page=46</t>
  </si>
  <si>
    <t>https://ia800604.us.archive.org/18/items/GADeptofEd1925/GA.pdf#page=30; https://ia800604.us.archive.org/18/items/GADeptofEd1925/GA.pdf#page=32</t>
  </si>
  <si>
    <t>https://ia800604.us.archive.org/18/items/GADeptofEd1925/GA.pdf#page=30; https://ia800604.us.archive.org/18/items/GADeptofEd1925/GA.pdf#page=52</t>
  </si>
  <si>
    <t>https://ia800604.us.archive.org/18/items/GADeptofEd1925/GA.pdf#page=16; https://ia800604.us.archive.org/18/items/GADeptofEd1925/GA.pdf#page=41</t>
  </si>
  <si>
    <t>https://ia800604.us.archive.org/18/items/GADeptofEd1925/GA.pdf#page=30; https://ia800604.us.archive.org/18/items/GADeptofEd1925/GA.pdf#page=47</t>
  </si>
  <si>
    <t>https://ia800604.us.archive.org/18/items/GADeptofEd1925/GA.pdf#page=24; https://ia800604.us.archive.org/18/items/GADeptofEd1925/GA.pdf#page=47</t>
  </si>
  <si>
    <t>https://ia800604.us.archive.org/18/items/GADeptofEd1925/GA.pdf#page=17; https://ia800604.us.archive.org/18/items/GADeptofEd1925/GA.pdf#page=41</t>
  </si>
  <si>
    <t>https://ia800604.us.archive.org/18/items/GADeptofEd1925/GA.pdf#page=17; https://ia800604.us.archive.org/18/items/GADeptofEd1925/GA.pdf#page=32</t>
  </si>
  <si>
    <t>https://ia800604.us.archive.org/18/items/GADeptofEd1925/GA.pdf#page=25; https://ia800604.us.archive.org/18/items/GADeptofEd1925/GA.pdf#page=47</t>
  </si>
  <si>
    <t>https://ia800604.us.archive.org/18/items/GADeptofEd1925/GA.pdf#page=30; https://ia800604.us.archive.org/18/items/GADeptofEd1925/GA.pdf#page=54</t>
  </si>
  <si>
    <t>https://ia800604.us.archive.org/18/items/GADeptofEd1925/GA.pdf#page=12; https://ia800604.us.archive.org/18/items/GADeptofEd1925/GA.pdf#page=34</t>
  </si>
  <si>
    <t>https://ia800604.us.archive.org/18/items/GADeptofEd1925/GA.pdf#page=12; https://ia800604.us.archive.org/18/items/GADeptofEd1925/GA.pdf#page=32</t>
  </si>
  <si>
    <t>https://ia800604.us.archive.org/18/items/GADeptofEd1925/GA.pdf#page=17; https://ia800604.us.archive.org/18/items/GADeptofEd1925/GA.pdf#page=43</t>
  </si>
  <si>
    <t>https://ia800604.us.archive.org/18/items/GADeptofEd1925/GA.pdf#page=31; https://ia800604.us.archive.org/18/items/GADeptofEd1925/GA.pdf#page=47</t>
  </si>
  <si>
    <t>https://ia800604.us.archive.org/18/items/GADeptofEd1925/GA.pdf#page=31; https://ia800604.us.archive.org/18/items/GADeptofEd1925/GA.pdf#page=32</t>
  </si>
  <si>
    <t>https://ia800604.us.archive.org/18/items/GADeptofEd1925/GA.pdf#page=31; https://ia800604.us.archive.org/18/items/GADeptofEd1925/GA.pdf#page=54</t>
  </si>
  <si>
    <t>https://ia800604.us.archive.org/18/items/GADeptofEd1925/GA.pdf#page=12; https://ia800604.us.archive.org/18/items/GADeptofEd1925/GA.pdf#page=35</t>
  </si>
  <si>
    <t>https://ia800604.us.archive.org/18/items/GADeptofEd1925/GA.pdf#page=31; https://ia800604.us.archive.org/18/items/GADeptofEd1925/GA.pdf#page=48</t>
  </si>
  <si>
    <t>https://ia800604.us.archive.org/18/items/GADeptofEd1925/GA.pdf#page=25; https://ia800604.us.archive.org/18/items/GADeptofEd1925/GA.pdf#page=48</t>
  </si>
  <si>
    <t>https://ia800604.us.archive.org/18/items/GADeptofEd1925/GA.pdf#page=19; https://ia800604.us.archive.org/18/items/GADeptofEd1925/GA.pdf#page=43</t>
  </si>
  <si>
    <t>https://ia800604.us.archive.org/18/items/GADeptofEd1925/GA.pdf#page=19; https://ia800604.us.archive.org/18/items/GADeptofEd1925/GA.pdf#page=32</t>
  </si>
  <si>
    <t>Elementary Students URL</t>
  </si>
  <si>
    <t>High School Students URL</t>
  </si>
  <si>
    <t>https://babel.hathitrust.org/cgi/pt?id=njp.32101060099841;view=1up;seq=150</t>
  </si>
  <si>
    <t>https://babel.hathitrust.org/cgi/pt?id=njp.32101060099841;view=1up;seq=274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</si>
</sst>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_-;\-* #,##0.00_-;_-* &quot;-&quot;??_-;_-@_-"/>
    <numFmt numFmtId="165" formatCode="#,##0.0"/>
    <numFmt numFmtId="166" formatCode="0.0000"/>
    <numFmt numFmtId="167" formatCode="0.0"/>
    <numFmt numFmtId="168" formatCode="_-* #,##0_-;\-* #,##0_-;_-* &quot;-&quot;??_-;_-@_-"/>
  </numFmts>
  <fonts count="3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rgb="FF000000"/>
      <name val="Calibri"/>
      <family val="2"/>
      <scheme val="minor"/>
    </font>
    <font>
      <sz val="6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1"/>
      <color rgb="FF0000FF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color rgb="FF000000"/>
      <name val="Calibri"/>
      <family val="2"/>
    </font>
    <font>
      <sz val="11"/>
      <color rgb="FFFF0000"/>
      <name val="Calibri"/>
      <family val="2"/>
    </font>
    <font>
      <i/>
      <sz val="11"/>
      <color rgb="FFFF0000"/>
      <name val="Calibri"/>
      <family val="2"/>
    </font>
    <font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u/>
      <sz val="11"/>
      <color rgb="FF0000FF"/>
      <name val="Calibri"/>
      <family val="2"/>
    </font>
    <font>
      <b/>
      <i/>
      <sz val="11"/>
      <name val="Calibri"/>
      <family val="2"/>
    </font>
    <font>
      <i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u/>
      <sz val="11"/>
      <color theme="11"/>
      <name val="Calibri"/>
      <family val="2"/>
      <scheme val="minor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4" tint="0.39997558519241921"/>
      <name val="Calibri"/>
      <scheme val="minor"/>
    </font>
    <font>
      <sz val="11"/>
      <color theme="7"/>
      <name val="Calibri"/>
      <scheme val="minor"/>
    </font>
    <font>
      <sz val="11"/>
      <color theme="5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212">
    <xf numFmtId="0" fontId="0" fillId="0" borderId="0"/>
    <xf numFmtId="0" fontId="3" fillId="0" borderId="0" applyNumberFormat="0" applyFill="0" applyBorder="0" applyAlignment="0" applyProtection="0"/>
    <xf numFmtId="0" fontId="8" fillId="0" borderId="0"/>
    <xf numFmtId="164" fontId="2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167">
    <xf numFmtId="0" fontId="0" fillId="0" borderId="0" xfId="0"/>
    <xf numFmtId="0" fontId="1" fillId="0" borderId="0" xfId="0" applyFont="1"/>
    <xf numFmtId="3" fontId="0" fillId="0" borderId="0" xfId="0" applyNumberFormat="1"/>
    <xf numFmtId="3" fontId="2" fillId="0" borderId="0" xfId="0" applyNumberFormat="1" applyFont="1"/>
    <xf numFmtId="0" fontId="3" fillId="0" borderId="0" xfId="1"/>
    <xf numFmtId="3" fontId="3" fillId="0" borderId="0" xfId="1" applyNumberFormat="1"/>
    <xf numFmtId="0" fontId="4" fillId="0" borderId="0" xfId="0" applyFont="1"/>
    <xf numFmtId="0" fontId="0" fillId="0" borderId="0" xfId="0" applyFill="1"/>
    <xf numFmtId="0" fontId="5" fillId="0" borderId="0" xfId="0" applyFont="1"/>
    <xf numFmtId="165" fontId="0" fillId="0" borderId="0" xfId="0" applyNumberFormat="1"/>
    <xf numFmtId="0" fontId="2" fillId="0" borderId="0" xfId="0" applyFont="1"/>
    <xf numFmtId="3" fontId="1" fillId="0" borderId="0" xfId="0" applyNumberFormat="1" applyFont="1"/>
    <xf numFmtId="4" fontId="0" fillId="0" borderId="0" xfId="0" applyNumberFormat="1"/>
    <xf numFmtId="0" fontId="0" fillId="0" borderId="0" xfId="0" applyFont="1"/>
    <xf numFmtId="0" fontId="0" fillId="0" borderId="0" xfId="0"/>
    <xf numFmtId="0" fontId="6" fillId="0" borderId="0" xfId="0" applyFont="1"/>
    <xf numFmtId="0" fontId="0" fillId="0" borderId="0" xfId="0"/>
    <xf numFmtId="0" fontId="0" fillId="0" borderId="0" xfId="0"/>
    <xf numFmtId="166" fontId="6" fillId="0" borderId="0" xfId="0" applyNumberFormat="1" applyFont="1"/>
    <xf numFmtId="166" fontId="7" fillId="0" borderId="0" xfId="0" applyNumberFormat="1" applyFont="1"/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3" fontId="0" fillId="0" borderId="0" xfId="0" applyNumberFormat="1" applyAlignment="1">
      <alignment wrapText="1"/>
    </xf>
    <xf numFmtId="0" fontId="0" fillId="0" borderId="0" xfId="0" applyBorder="1"/>
    <xf numFmtId="3" fontId="0" fillId="0" borderId="0" xfId="0" applyNumberFormat="1" applyBorder="1"/>
    <xf numFmtId="3" fontId="0" fillId="0" borderId="0" xfId="0" applyNumberFormat="1" applyFill="1" applyBorder="1"/>
    <xf numFmtId="1" fontId="0" fillId="0" borderId="0" xfId="0" applyNumberFormat="1"/>
    <xf numFmtId="0" fontId="0" fillId="0" borderId="0" xfId="0"/>
    <xf numFmtId="2" fontId="0" fillId="0" borderId="0" xfId="0" applyNumberFormat="1"/>
    <xf numFmtId="3" fontId="0" fillId="0" borderId="0" xfId="0" applyNumberFormat="1" applyFill="1"/>
    <xf numFmtId="0" fontId="0" fillId="0" borderId="0" xfId="0" applyFill="1" applyBorder="1"/>
    <xf numFmtId="0" fontId="0" fillId="2" borderId="0" xfId="0" applyFill="1"/>
    <xf numFmtId="3" fontId="0" fillId="3" borderId="0" xfId="0" applyNumberFormat="1" applyFill="1"/>
    <xf numFmtId="0" fontId="0" fillId="3" borderId="0" xfId="0" applyFill="1"/>
    <xf numFmtId="0" fontId="2" fillId="0" borderId="0" xfId="0" applyFont="1" applyAlignment="1">
      <alignment wrapText="1"/>
    </xf>
    <xf numFmtId="0" fontId="0" fillId="4" borderId="0" xfId="0" applyFill="1"/>
    <xf numFmtId="0" fontId="1" fillId="0" borderId="0" xfId="0" applyFont="1" applyFill="1"/>
    <xf numFmtId="0" fontId="2" fillId="0" borderId="0" xfId="0" applyFont="1" applyFill="1"/>
    <xf numFmtId="3" fontId="2" fillId="0" borderId="0" xfId="0" applyNumberFormat="1" applyFont="1" applyFill="1"/>
    <xf numFmtId="3" fontId="2" fillId="0" borderId="0" xfId="0" applyNumberFormat="1" applyFont="1" applyAlignment="1">
      <alignment wrapText="1"/>
    </xf>
    <xf numFmtId="3" fontId="0" fillId="4" borderId="0" xfId="0" applyNumberFormat="1" applyFill="1"/>
    <xf numFmtId="0" fontId="0" fillId="0" borderId="0" xfId="0" applyNumberFormat="1"/>
    <xf numFmtId="0" fontId="8" fillId="0" borderId="0" xfId="2" applyFont="1" applyAlignment="1"/>
    <xf numFmtId="0" fontId="9" fillId="0" borderId="0" xfId="2" applyFont="1" applyAlignment="1"/>
    <xf numFmtId="0" fontId="10" fillId="0" borderId="0" xfId="2" applyFont="1" applyAlignment="1">
      <alignment horizontal="right"/>
    </xf>
    <xf numFmtId="0" fontId="10" fillId="0" borderId="0" xfId="2" applyFont="1" applyAlignment="1"/>
    <xf numFmtId="2" fontId="12" fillId="0" borderId="0" xfId="2" applyNumberFormat="1" applyFont="1"/>
    <xf numFmtId="167" fontId="12" fillId="0" borderId="0" xfId="2" applyNumberFormat="1" applyFont="1"/>
    <xf numFmtId="0" fontId="13" fillId="0" borderId="0" xfId="2" applyFont="1"/>
    <xf numFmtId="1" fontId="8" fillId="0" borderId="0" xfId="2" applyNumberFormat="1" applyFont="1"/>
    <xf numFmtId="1" fontId="10" fillId="0" borderId="0" xfId="2" applyNumberFormat="1" applyFont="1"/>
    <xf numFmtId="0" fontId="8" fillId="0" borderId="0" xfId="2" applyFont="1"/>
    <xf numFmtId="0" fontId="12" fillId="0" borderId="0" xfId="2" applyFont="1"/>
    <xf numFmtId="0" fontId="14" fillId="0" borderId="0" xfId="2" applyFont="1"/>
    <xf numFmtId="1" fontId="12" fillId="0" borderId="0" xfId="2" applyNumberFormat="1" applyFont="1"/>
    <xf numFmtId="0" fontId="12" fillId="0" borderId="1" xfId="2" applyFont="1" applyBorder="1"/>
    <xf numFmtId="1" fontId="12" fillId="0" borderId="1" xfId="2" applyNumberFormat="1" applyFont="1" applyBorder="1"/>
    <xf numFmtId="1" fontId="13" fillId="0" borderId="0" xfId="2" applyNumberFormat="1" applyFont="1"/>
    <xf numFmtId="3" fontId="13" fillId="0" borderId="0" xfId="2" applyNumberFormat="1" applyFont="1"/>
    <xf numFmtId="0" fontId="15" fillId="0" borderId="0" xfId="2" applyFont="1" applyAlignment="1"/>
    <xf numFmtId="2" fontId="8" fillId="0" borderId="0" xfId="2" applyNumberFormat="1" applyFont="1" applyAlignment="1">
      <alignment horizontal="right"/>
    </xf>
    <xf numFmtId="167" fontId="8" fillId="0" borderId="0" xfId="2" applyNumberFormat="1" applyFont="1" applyAlignment="1">
      <alignment horizontal="right"/>
    </xf>
    <xf numFmtId="3" fontId="8" fillId="0" borderId="0" xfId="2" applyNumberFormat="1" applyFont="1" applyAlignment="1"/>
    <xf numFmtId="1" fontId="8" fillId="0" borderId="0" xfId="2" applyNumberFormat="1" applyFont="1" applyAlignment="1">
      <alignment horizontal="right"/>
    </xf>
    <xf numFmtId="2" fontId="8" fillId="0" borderId="0" xfId="2" applyNumberFormat="1" applyFont="1" applyAlignment="1"/>
    <xf numFmtId="167" fontId="8" fillId="0" borderId="0" xfId="2" applyNumberFormat="1" applyFont="1" applyAlignment="1"/>
    <xf numFmtId="0" fontId="16" fillId="0" borderId="0" xfId="2" applyFont="1"/>
    <xf numFmtId="0" fontId="11" fillId="0" borderId="0" xfId="2" applyFont="1" applyAlignment="1"/>
    <xf numFmtId="0" fontId="17" fillId="0" borderId="0" xfId="2" applyFont="1"/>
    <xf numFmtId="1" fontId="16" fillId="0" borderId="0" xfId="2" applyNumberFormat="1" applyFont="1"/>
    <xf numFmtId="0" fontId="8" fillId="5" borderId="0" xfId="2" applyFont="1" applyFill="1" applyAlignment="1">
      <alignment horizontal="left"/>
    </xf>
    <xf numFmtId="0" fontId="18" fillId="0" borderId="0" xfId="2" applyFont="1" applyAlignment="1"/>
    <xf numFmtId="0" fontId="19" fillId="0" borderId="0" xfId="2" applyFont="1"/>
    <xf numFmtId="0" fontId="19" fillId="0" borderId="0" xfId="2" applyFont="1" applyAlignment="1"/>
    <xf numFmtId="0" fontId="20" fillId="0" borderId="0" xfId="2" applyFont="1"/>
    <xf numFmtId="0" fontId="11" fillId="0" borderId="0" xfId="2" applyFont="1"/>
    <xf numFmtId="1" fontId="10" fillId="0" borderId="1" xfId="2" applyNumberFormat="1" applyFont="1" applyBorder="1"/>
    <xf numFmtId="1" fontId="10" fillId="0" borderId="0" xfId="2" applyNumberFormat="1" applyFont="1" applyAlignment="1"/>
    <xf numFmtId="3" fontId="8" fillId="0" borderId="0" xfId="2" applyNumberFormat="1" applyFont="1"/>
    <xf numFmtId="1" fontId="11" fillId="0" borderId="0" xfId="2" applyNumberFormat="1" applyFont="1" applyAlignment="1"/>
    <xf numFmtId="0" fontId="0" fillId="0" borderId="0" xfId="0" applyAlignment="1"/>
    <xf numFmtId="0" fontId="0" fillId="0" borderId="0" xfId="0" applyNumberFormat="1" applyAlignment="1">
      <alignment wrapText="1"/>
    </xf>
    <xf numFmtId="0" fontId="0" fillId="0" borderId="0" xfId="0" applyNumberFormat="1" applyFill="1"/>
    <xf numFmtId="4" fontId="0" fillId="0" borderId="0" xfId="0" applyNumberFormat="1" applyFill="1" applyAlignment="1">
      <alignment wrapText="1"/>
    </xf>
    <xf numFmtId="0" fontId="0" fillId="0" borderId="0" xfId="0" applyFill="1" applyAlignment="1">
      <alignment wrapText="1"/>
    </xf>
    <xf numFmtId="0" fontId="2" fillId="0" borderId="0" xfId="0" applyNumberFormat="1" applyFont="1"/>
    <xf numFmtId="0" fontId="3" fillId="0" borderId="0" xfId="1" applyNumberFormat="1"/>
    <xf numFmtId="0" fontId="0" fillId="0" borderId="0" xfId="0" applyNumberFormat="1" applyBorder="1"/>
    <xf numFmtId="167" fontId="0" fillId="0" borderId="0" xfId="0" applyNumberFormat="1"/>
    <xf numFmtId="2" fontId="0" fillId="0" borderId="0" xfId="0" applyNumberFormat="1" applyFill="1"/>
    <xf numFmtId="168" fontId="0" fillId="0" borderId="0" xfId="3" applyNumberFormat="1" applyFont="1"/>
    <xf numFmtId="3" fontId="2" fillId="6" borderId="0" xfId="0" applyNumberFormat="1" applyFont="1" applyFill="1" applyAlignment="1">
      <alignment wrapText="1"/>
    </xf>
    <xf numFmtId="0" fontId="0" fillId="6" borderId="0" xfId="0" applyFill="1" applyAlignment="1">
      <alignment wrapText="1"/>
    </xf>
    <xf numFmtId="3" fontId="0" fillId="6" borderId="0" xfId="0" applyNumberFormat="1" applyFill="1" applyAlignment="1">
      <alignment wrapText="1"/>
    </xf>
    <xf numFmtId="4" fontId="0" fillId="6" borderId="0" xfId="0" applyNumberFormat="1" applyFill="1" applyAlignment="1">
      <alignment wrapText="1"/>
    </xf>
    <xf numFmtId="4" fontId="24" fillId="0" borderId="0" xfId="0" applyNumberFormat="1" applyFont="1" applyAlignment="1">
      <alignment wrapText="1"/>
    </xf>
    <xf numFmtId="0" fontId="0" fillId="0" borderId="0" xfId="0" applyAlignment="1">
      <alignment horizontal="right"/>
    </xf>
    <xf numFmtId="1" fontId="0" fillId="0" borderId="0" xfId="0" applyNumberFormat="1" applyFill="1"/>
    <xf numFmtId="0" fontId="0" fillId="6" borderId="0" xfId="0" applyFill="1"/>
    <xf numFmtId="3" fontId="0" fillId="6" borderId="0" xfId="0" applyNumberFormat="1" applyFill="1"/>
    <xf numFmtId="2" fontId="0" fillId="6" borderId="0" xfId="0" applyNumberFormat="1" applyFill="1"/>
    <xf numFmtId="0" fontId="0" fillId="6" borderId="0" xfId="0" applyNumberFormat="1" applyFill="1"/>
    <xf numFmtId="0" fontId="1" fillId="6" borderId="0" xfId="0" applyFont="1" applyFill="1"/>
    <xf numFmtId="3" fontId="2" fillId="6" borderId="0" xfId="0" applyNumberFormat="1" applyFont="1" applyFill="1"/>
    <xf numFmtId="0" fontId="2" fillId="6" borderId="0" xfId="0" applyFont="1" applyFill="1"/>
    <xf numFmtId="4" fontId="0" fillId="6" borderId="0" xfId="0" applyNumberFormat="1" applyFill="1"/>
    <xf numFmtId="4" fontId="0" fillId="0" borderId="0" xfId="0" applyNumberFormat="1" applyFill="1"/>
    <xf numFmtId="0" fontId="24" fillId="0" borderId="0" xfId="0" applyFont="1"/>
    <xf numFmtId="3" fontId="24" fillId="0" borderId="0" xfId="0" applyNumberFormat="1" applyFont="1"/>
    <xf numFmtId="3" fontId="2" fillId="0" borderId="0" xfId="0" applyNumberFormat="1" applyFont="1" applyFill="1" applyAlignment="1">
      <alignment wrapText="1"/>
    </xf>
    <xf numFmtId="3" fontId="24" fillId="0" borderId="0" xfId="0" applyNumberFormat="1" applyFont="1" applyFill="1"/>
    <xf numFmtId="1" fontId="24" fillId="0" borderId="0" xfId="0" applyNumberFormat="1" applyFont="1"/>
    <xf numFmtId="2" fontId="24" fillId="0" borderId="0" xfId="0" applyNumberFormat="1" applyFont="1"/>
    <xf numFmtId="168" fontId="0" fillId="0" borderId="0" xfId="3" applyNumberFormat="1" applyFont="1" applyFill="1" applyAlignment="1">
      <alignment wrapText="1"/>
    </xf>
    <xf numFmtId="168" fontId="0" fillId="0" borderId="0" xfId="3" applyNumberFormat="1" applyFont="1" applyFill="1"/>
    <xf numFmtId="167" fontId="0" fillId="0" borderId="0" xfId="0" applyNumberFormat="1" applyFill="1"/>
    <xf numFmtId="0" fontId="8" fillId="0" borderId="0" xfId="0" applyFont="1"/>
    <xf numFmtId="0" fontId="28" fillId="0" borderId="0" xfId="0" applyFont="1"/>
    <xf numFmtId="3" fontId="8" fillId="0" borderId="0" xfId="0" applyNumberFormat="1" applyFont="1"/>
    <xf numFmtId="4" fontId="8" fillId="0" borderId="0" xfId="0" applyNumberFormat="1" applyFont="1"/>
    <xf numFmtId="2" fontId="8" fillId="0" borderId="0" xfId="0" applyNumberFormat="1" applyFont="1"/>
    <xf numFmtId="167" fontId="8" fillId="0" borderId="0" xfId="0" applyNumberFormat="1" applyFont="1"/>
    <xf numFmtId="2" fontId="28" fillId="0" borderId="0" xfId="0" applyNumberFormat="1" applyFont="1"/>
    <xf numFmtId="4" fontId="0" fillId="7" borderId="0" xfId="0" applyNumberFormat="1" applyFill="1" applyAlignment="1">
      <alignment wrapText="1"/>
    </xf>
    <xf numFmtId="0" fontId="0" fillId="7" borderId="0" xfId="0" applyFill="1" applyAlignment="1">
      <alignment wrapText="1"/>
    </xf>
    <xf numFmtId="0" fontId="2" fillId="6" borderId="0" xfId="0" applyFont="1" applyFill="1" applyAlignment="1">
      <alignment wrapText="1"/>
    </xf>
    <xf numFmtId="167" fontId="0" fillId="2" borderId="0" xfId="0" applyNumberFormat="1" applyFill="1"/>
    <xf numFmtId="0" fontId="0" fillId="2" borderId="0" xfId="0" applyNumberFormat="1" applyFill="1"/>
    <xf numFmtId="3" fontId="8" fillId="4" borderId="0" xfId="0" applyNumberFormat="1" applyFont="1" applyFill="1"/>
    <xf numFmtId="1" fontId="0" fillId="4" borderId="0" xfId="0" applyNumberFormat="1" applyFill="1"/>
    <xf numFmtId="0" fontId="0" fillId="6" borderId="0" xfId="0" applyFill="1" applyBorder="1"/>
    <xf numFmtId="0" fontId="24" fillId="8" borderId="0" xfId="0" applyFont="1" applyFill="1" applyAlignment="1">
      <alignment wrapText="1"/>
    </xf>
    <xf numFmtId="4" fontId="24" fillId="0" borderId="0" xfId="0" applyNumberFormat="1" applyFont="1"/>
    <xf numFmtId="164" fontId="0" fillId="0" borderId="0" xfId="3" applyFont="1"/>
    <xf numFmtId="0" fontId="24" fillId="0" borderId="0" xfId="0" applyFont="1" applyAlignment="1">
      <alignment wrapText="1"/>
    </xf>
    <xf numFmtId="4" fontId="24" fillId="8" borderId="0" xfId="0" applyNumberFormat="1" applyFont="1" applyFill="1" applyAlignment="1">
      <alignment wrapText="1"/>
    </xf>
    <xf numFmtId="3" fontId="24" fillId="8" borderId="0" xfId="0" applyNumberFormat="1" applyFont="1" applyFill="1" applyAlignment="1">
      <alignment wrapText="1"/>
    </xf>
    <xf numFmtId="0" fontId="2" fillId="8" borderId="0" xfId="0" applyFont="1" applyFill="1" applyAlignment="1">
      <alignment wrapText="1"/>
    </xf>
    <xf numFmtId="0" fontId="24" fillId="0" borderId="0" xfId="0" applyFont="1" applyFill="1" applyAlignment="1">
      <alignment wrapText="1"/>
    </xf>
    <xf numFmtId="2" fontId="0" fillId="0" borderId="0" xfId="0" quotePrefix="1" applyNumberFormat="1"/>
    <xf numFmtId="4" fontId="28" fillId="0" borderId="0" xfId="0" applyNumberFormat="1" applyFont="1"/>
    <xf numFmtId="4" fontId="8" fillId="0" borderId="0" xfId="0" applyNumberFormat="1" applyFont="1" applyFill="1"/>
    <xf numFmtId="1" fontId="8" fillId="0" borderId="0" xfId="0" applyNumberFormat="1" applyFont="1"/>
    <xf numFmtId="3" fontId="0" fillId="0" borderId="0" xfId="0" applyNumberFormat="1" applyFill="1" applyAlignment="1">
      <alignment wrapText="1"/>
    </xf>
    <xf numFmtId="0" fontId="28" fillId="0" borderId="0" xfId="0" applyFont="1" applyFill="1"/>
    <xf numFmtId="4" fontId="0" fillId="4" borderId="0" xfId="0" applyNumberFormat="1" applyFill="1"/>
    <xf numFmtId="0" fontId="2" fillId="9" borderId="0" xfId="0" applyFont="1" applyFill="1" applyAlignment="1">
      <alignment wrapText="1"/>
    </xf>
    <xf numFmtId="0" fontId="0" fillId="10" borderId="0" xfId="0" applyFill="1" applyAlignment="1">
      <alignment wrapText="1"/>
    </xf>
    <xf numFmtId="167" fontId="24" fillId="0" borderId="0" xfId="0" applyNumberFormat="1" applyFont="1"/>
    <xf numFmtId="0" fontId="29" fillId="0" borderId="0" xfId="0" applyFont="1"/>
    <xf numFmtId="0" fontId="30" fillId="0" borderId="0" xfId="0" applyFont="1" applyAlignment="1">
      <alignment wrapText="1"/>
    </xf>
    <xf numFmtId="0" fontId="0" fillId="7" borderId="0" xfId="0" applyFill="1"/>
    <xf numFmtId="0" fontId="30" fillId="0" borderId="0" xfId="0" applyFont="1"/>
    <xf numFmtId="0" fontId="30" fillId="0" borderId="0" xfId="0" applyFont="1" applyFill="1"/>
    <xf numFmtId="0" fontId="31" fillId="0" borderId="0" xfId="0" applyFont="1" applyAlignment="1">
      <alignment wrapText="1"/>
    </xf>
    <xf numFmtId="0" fontId="31" fillId="0" borderId="0" xfId="0" applyFont="1"/>
    <xf numFmtId="0" fontId="0" fillId="11" borderId="0" xfId="0" applyFill="1" applyAlignment="1">
      <alignment wrapText="1"/>
    </xf>
    <xf numFmtId="0" fontId="0" fillId="11" borderId="0" xfId="0" applyFill="1"/>
    <xf numFmtId="0" fontId="32" fillId="0" borderId="0" xfId="0" applyFont="1"/>
    <xf numFmtId="1" fontId="32" fillId="0" borderId="0" xfId="0" applyNumberFormat="1" applyFont="1" applyFill="1"/>
    <xf numFmtId="0" fontId="32" fillId="0" borderId="0" xfId="0" applyFont="1" applyFill="1"/>
    <xf numFmtId="167" fontId="32" fillId="0" borderId="0" xfId="0" applyNumberFormat="1" applyFont="1" applyFill="1"/>
    <xf numFmtId="3" fontId="32" fillId="0" borderId="0" xfId="0" applyNumberFormat="1" applyFont="1"/>
    <xf numFmtId="0" fontId="32" fillId="0" borderId="0" xfId="0" applyNumberFormat="1" applyFont="1"/>
    <xf numFmtId="0" fontId="32" fillId="11" borderId="0" xfId="0" applyFont="1" applyFill="1"/>
    <xf numFmtId="0" fontId="5" fillId="0" borderId="0" xfId="0" applyFont="1" applyAlignment="1">
      <alignment wrapText="1"/>
    </xf>
    <xf numFmtId="0" fontId="29" fillId="0" borderId="0" xfId="0" applyFont="1" applyAlignment="1"/>
  </cellXfs>
  <cellStyles count="212">
    <cellStyle name="Comma" xfId="3" builtinId="3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306</xdr:row>
      <xdr:rowOff>68066</xdr:rowOff>
    </xdr:from>
    <xdr:to>
      <xdr:col>5</xdr:col>
      <xdr:colOff>2266950</xdr:colOff>
      <xdr:row>314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8361066"/>
          <a:ext cx="5705475" cy="149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a601501.us.archive.org/3/items/KofoidAndTucker1921/Kofoid%20and%20Tucker%201921.pdf" TargetMode="External"/><Relationship Id="rId2" Type="http://schemas.openxmlformats.org/officeDocument/2006/relationships/hyperlink" Target="https://ia601501.us.archive.org/3/items/KofoidAndTucker1921/Kofoid%20and%20Tucker%201921.pdf" TargetMode="External"/><Relationship Id="rId1" Type="http://schemas.openxmlformats.org/officeDocument/2006/relationships/hyperlink" Target="https://ia601501.us.archive.org/3/items/KofoidAndTucker1921/Kofoid%20and%20Tucker%201921.pdf" TargetMode="External"/><Relationship Id="rId4" Type="http://schemas.openxmlformats.org/officeDocument/2006/relationships/hyperlink" Target="https://ia601501.us.archive.org/3/items/KofoidAndTucker1921/Kofoid%20and%20Tucker%201921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https://archive.org/download/SOPIK1905/1905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hyperlink" Target="http://hdl.handle.net/2027/uc1.b2980735?urlappend=%3Bseq=242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hdl.handle.net/2027/coo.31924000857650?urlappend=%3Bseq=" TargetMode="External"/><Relationship Id="rId21" Type="http://schemas.openxmlformats.org/officeDocument/2006/relationships/hyperlink" Target="https://hdl.handle.net/2027/coo.31924000857650?urlappend=%3Bseq=" TargetMode="External"/><Relationship Id="rId42" Type="http://schemas.openxmlformats.org/officeDocument/2006/relationships/hyperlink" Target="https://hdl.handle.net/2027/coo.31924000857650?urlappend=%3Bseq=" TargetMode="External"/><Relationship Id="rId47" Type="http://schemas.openxmlformats.org/officeDocument/2006/relationships/hyperlink" Target="https://hdl.handle.net/2027/coo.31924000857650?urlappend=%3Bseq=" TargetMode="External"/><Relationship Id="rId63" Type="http://schemas.openxmlformats.org/officeDocument/2006/relationships/hyperlink" Target="https://hdl.handle.net/2027/coo.31924000857650?urlappend=%3Bseq=" TargetMode="External"/><Relationship Id="rId68" Type="http://schemas.openxmlformats.org/officeDocument/2006/relationships/hyperlink" Target="https://hdl.handle.net/2027/coo.31924000857650?urlappend=%3Bseq=" TargetMode="External"/><Relationship Id="rId84" Type="http://schemas.openxmlformats.org/officeDocument/2006/relationships/hyperlink" Target="https://hdl.handle.net/2027/coo.31924000857650?urlappend=%3Bseq=" TargetMode="External"/><Relationship Id="rId89" Type="http://schemas.openxmlformats.org/officeDocument/2006/relationships/hyperlink" Target="https://hdl.handle.net/2027/coo.31924000857650?urlappend=%3Bseq=" TargetMode="External"/><Relationship Id="rId112" Type="http://schemas.openxmlformats.org/officeDocument/2006/relationships/hyperlink" Target="https://hdl.handle.net/2027/coo.31924000857650?urlappend=%3Bseq=" TargetMode="External"/><Relationship Id="rId133" Type="http://schemas.openxmlformats.org/officeDocument/2006/relationships/hyperlink" Target="https://hdl.handle.net/2027/coo.31924000857650?urlappend=%3Bseq=" TargetMode="External"/><Relationship Id="rId138" Type="http://schemas.openxmlformats.org/officeDocument/2006/relationships/hyperlink" Target="https://hdl.handle.net/2027/coo.31924000857650?urlappend=%3Bseq=" TargetMode="External"/><Relationship Id="rId154" Type="http://schemas.openxmlformats.org/officeDocument/2006/relationships/hyperlink" Target="https://hdl.handle.net/2027/coo.31924000857650?urlappend=%3Bseq=" TargetMode="External"/><Relationship Id="rId159" Type="http://schemas.openxmlformats.org/officeDocument/2006/relationships/hyperlink" Target="https://hdl.handle.net/2027/coo.31924000857650?urlappend=%3Bseq=" TargetMode="External"/><Relationship Id="rId175" Type="http://schemas.openxmlformats.org/officeDocument/2006/relationships/hyperlink" Target="https://hdl.handle.net/2027/coo.31924000857650?urlappend=%3Bseq=" TargetMode="External"/><Relationship Id="rId170" Type="http://schemas.openxmlformats.org/officeDocument/2006/relationships/hyperlink" Target="https://hdl.handle.net/2027/coo.31924000857650?urlappend=%3Bseq=" TargetMode="External"/><Relationship Id="rId191" Type="http://schemas.openxmlformats.org/officeDocument/2006/relationships/hyperlink" Target="https://ia601407.us.archive.org/6/items/biennialreportof19241926nort/biennialreportof19241926nort.pdf" TargetMode="External"/><Relationship Id="rId16" Type="http://schemas.openxmlformats.org/officeDocument/2006/relationships/hyperlink" Target="https://hdl.handle.net/2027/coo.31924000857650?urlappend=%3Bseq=" TargetMode="External"/><Relationship Id="rId107" Type="http://schemas.openxmlformats.org/officeDocument/2006/relationships/hyperlink" Target="https://hdl.handle.net/2027/coo.31924000857650?urlappend=%3Bseq=" TargetMode="External"/><Relationship Id="rId11" Type="http://schemas.openxmlformats.org/officeDocument/2006/relationships/hyperlink" Target="https://hdl.handle.net/2027/coo.31924000857650?urlappend=%3Bseq=" TargetMode="External"/><Relationship Id="rId32" Type="http://schemas.openxmlformats.org/officeDocument/2006/relationships/hyperlink" Target="https://hdl.handle.net/2027/coo.31924000857650?urlappend=%3Bseq=" TargetMode="External"/><Relationship Id="rId37" Type="http://schemas.openxmlformats.org/officeDocument/2006/relationships/hyperlink" Target="https://hdl.handle.net/2027/coo.31924000857650?urlappend=%3Bseq=" TargetMode="External"/><Relationship Id="rId53" Type="http://schemas.openxmlformats.org/officeDocument/2006/relationships/hyperlink" Target="https://hdl.handle.net/2027/coo.31924000857650?urlappend=%3Bseq=" TargetMode="External"/><Relationship Id="rId58" Type="http://schemas.openxmlformats.org/officeDocument/2006/relationships/hyperlink" Target="https://hdl.handle.net/2027/coo.31924000857650?urlappend=%3Bseq=" TargetMode="External"/><Relationship Id="rId74" Type="http://schemas.openxmlformats.org/officeDocument/2006/relationships/hyperlink" Target="https://hdl.handle.net/2027/coo.31924000857650?urlappend=%3Bseq=" TargetMode="External"/><Relationship Id="rId79" Type="http://schemas.openxmlformats.org/officeDocument/2006/relationships/hyperlink" Target="https://hdl.handle.net/2027/coo.31924000857650?urlappend=%3Bseq=" TargetMode="External"/><Relationship Id="rId102" Type="http://schemas.openxmlformats.org/officeDocument/2006/relationships/hyperlink" Target="https://hdl.handle.net/2027/coo.31924000857650?urlappend=%3Bseq=" TargetMode="External"/><Relationship Id="rId123" Type="http://schemas.openxmlformats.org/officeDocument/2006/relationships/hyperlink" Target="https://hdl.handle.net/2027/coo.31924000857650?urlappend=%3Bseq=" TargetMode="External"/><Relationship Id="rId128" Type="http://schemas.openxmlformats.org/officeDocument/2006/relationships/hyperlink" Target="https://hdl.handle.net/2027/coo.31924000857650?urlappend=%3Bseq=" TargetMode="External"/><Relationship Id="rId144" Type="http://schemas.openxmlformats.org/officeDocument/2006/relationships/hyperlink" Target="https://hdl.handle.net/2027/coo.31924000857650?urlappend=%3Bseq=" TargetMode="External"/><Relationship Id="rId149" Type="http://schemas.openxmlformats.org/officeDocument/2006/relationships/hyperlink" Target="https://hdl.handle.net/2027/coo.31924000857650?urlappend=%3Bseq=" TargetMode="External"/><Relationship Id="rId5" Type="http://schemas.openxmlformats.org/officeDocument/2006/relationships/hyperlink" Target="https://hdl.handle.net/2027/coo.31924000857650?urlappend=%3Bseq=" TargetMode="External"/><Relationship Id="rId90" Type="http://schemas.openxmlformats.org/officeDocument/2006/relationships/hyperlink" Target="https://hdl.handle.net/2027/coo.31924000857650?urlappend=%3Bseq=" TargetMode="External"/><Relationship Id="rId95" Type="http://schemas.openxmlformats.org/officeDocument/2006/relationships/hyperlink" Target="https://hdl.handle.net/2027/coo.31924000857650?urlappend=%3Bseq=" TargetMode="External"/><Relationship Id="rId160" Type="http://schemas.openxmlformats.org/officeDocument/2006/relationships/hyperlink" Target="https://hdl.handle.net/2027/coo.31924000857650?urlappend=%3Bseq=" TargetMode="External"/><Relationship Id="rId165" Type="http://schemas.openxmlformats.org/officeDocument/2006/relationships/hyperlink" Target="https://hdl.handle.net/2027/coo.31924000857650?urlappend=%3Bseq=" TargetMode="External"/><Relationship Id="rId181" Type="http://schemas.openxmlformats.org/officeDocument/2006/relationships/hyperlink" Target="https://hdl.handle.net/2027/coo.31924000857650?urlappend=%3Bseq=" TargetMode="External"/><Relationship Id="rId186" Type="http://schemas.openxmlformats.org/officeDocument/2006/relationships/hyperlink" Target="https://hdl.handle.net/2027/coo.31924000857650?urlappend=%3Bseq=" TargetMode="External"/><Relationship Id="rId22" Type="http://schemas.openxmlformats.org/officeDocument/2006/relationships/hyperlink" Target="https://hdl.handle.net/2027/coo.31924000857650?urlappend=%3Bseq=" TargetMode="External"/><Relationship Id="rId27" Type="http://schemas.openxmlformats.org/officeDocument/2006/relationships/hyperlink" Target="https://hdl.handle.net/2027/coo.31924000857650?urlappend=%3Bseq=" TargetMode="External"/><Relationship Id="rId43" Type="http://schemas.openxmlformats.org/officeDocument/2006/relationships/hyperlink" Target="https://hdl.handle.net/2027/coo.31924000857650?urlappend=%3Bseq=" TargetMode="External"/><Relationship Id="rId48" Type="http://schemas.openxmlformats.org/officeDocument/2006/relationships/hyperlink" Target="https://hdl.handle.net/2027/coo.31924000857650?urlappend=%3Bseq=" TargetMode="External"/><Relationship Id="rId64" Type="http://schemas.openxmlformats.org/officeDocument/2006/relationships/hyperlink" Target="https://hdl.handle.net/2027/coo.31924000857650?urlappend=%3Bseq=" TargetMode="External"/><Relationship Id="rId69" Type="http://schemas.openxmlformats.org/officeDocument/2006/relationships/hyperlink" Target="https://hdl.handle.net/2027/coo.31924000857650?urlappend=%3Bseq=" TargetMode="External"/><Relationship Id="rId113" Type="http://schemas.openxmlformats.org/officeDocument/2006/relationships/hyperlink" Target="https://hdl.handle.net/2027/coo.31924000857650?urlappend=%3Bseq=" TargetMode="External"/><Relationship Id="rId118" Type="http://schemas.openxmlformats.org/officeDocument/2006/relationships/hyperlink" Target="https://hdl.handle.net/2027/coo.31924000857650?urlappend=%3Bseq=" TargetMode="External"/><Relationship Id="rId134" Type="http://schemas.openxmlformats.org/officeDocument/2006/relationships/hyperlink" Target="https://hdl.handle.net/2027/coo.31924000857650?urlappend=%3Bseq=" TargetMode="External"/><Relationship Id="rId139" Type="http://schemas.openxmlformats.org/officeDocument/2006/relationships/hyperlink" Target="https://hdl.handle.net/2027/coo.31924000857650?urlappend=%3Bseq=" TargetMode="External"/><Relationship Id="rId80" Type="http://schemas.openxmlformats.org/officeDocument/2006/relationships/hyperlink" Target="https://hdl.handle.net/2027/coo.31924000857650?urlappend=%3Bseq=" TargetMode="External"/><Relationship Id="rId85" Type="http://schemas.openxmlformats.org/officeDocument/2006/relationships/hyperlink" Target="https://hdl.handle.net/2027/coo.31924000857650?urlappend=%3Bseq=" TargetMode="External"/><Relationship Id="rId150" Type="http://schemas.openxmlformats.org/officeDocument/2006/relationships/hyperlink" Target="https://hdl.handle.net/2027/coo.31924000857650?urlappend=%3Bseq=" TargetMode="External"/><Relationship Id="rId155" Type="http://schemas.openxmlformats.org/officeDocument/2006/relationships/hyperlink" Target="https://hdl.handle.net/2027/coo.31924000857650?urlappend=%3Bseq=" TargetMode="External"/><Relationship Id="rId171" Type="http://schemas.openxmlformats.org/officeDocument/2006/relationships/hyperlink" Target="https://hdl.handle.net/2027/coo.31924000857650?urlappend=%3Bseq=" TargetMode="External"/><Relationship Id="rId176" Type="http://schemas.openxmlformats.org/officeDocument/2006/relationships/hyperlink" Target="https://hdl.handle.net/2027/coo.31924000857650?urlappend=%3Bseq=" TargetMode="External"/><Relationship Id="rId192" Type="http://schemas.openxmlformats.org/officeDocument/2006/relationships/hyperlink" Target="https://ia601507.us.archive.org/24/items/MSpics/MSpics.pdf" TargetMode="External"/><Relationship Id="rId12" Type="http://schemas.openxmlformats.org/officeDocument/2006/relationships/hyperlink" Target="https://hdl.handle.net/2027/coo.31924000857650?urlappend=%3Bseq=" TargetMode="External"/><Relationship Id="rId17" Type="http://schemas.openxmlformats.org/officeDocument/2006/relationships/hyperlink" Target="https://hdl.handle.net/2027/coo.31924000857650?urlappend=%3Bseq=" TargetMode="External"/><Relationship Id="rId33" Type="http://schemas.openxmlformats.org/officeDocument/2006/relationships/hyperlink" Target="https://hdl.handle.net/2027/coo.31924000857650?urlappend=%3Bseq=" TargetMode="External"/><Relationship Id="rId38" Type="http://schemas.openxmlformats.org/officeDocument/2006/relationships/hyperlink" Target="https://hdl.handle.net/2027/coo.31924000857650?urlappend=%3Bseq=" TargetMode="External"/><Relationship Id="rId59" Type="http://schemas.openxmlformats.org/officeDocument/2006/relationships/hyperlink" Target="https://hdl.handle.net/2027/coo.31924000857650?urlappend=%3Bseq=" TargetMode="External"/><Relationship Id="rId103" Type="http://schemas.openxmlformats.org/officeDocument/2006/relationships/hyperlink" Target="https://hdl.handle.net/2027/coo.31924000857650?urlappend=%3Bseq=" TargetMode="External"/><Relationship Id="rId108" Type="http://schemas.openxmlformats.org/officeDocument/2006/relationships/hyperlink" Target="https://hdl.handle.net/2027/coo.31924000857650?urlappend=%3Bseq=" TargetMode="External"/><Relationship Id="rId124" Type="http://schemas.openxmlformats.org/officeDocument/2006/relationships/hyperlink" Target="https://hdl.handle.net/2027/coo.31924000857650?urlappend=%3Bseq=" TargetMode="External"/><Relationship Id="rId129" Type="http://schemas.openxmlformats.org/officeDocument/2006/relationships/hyperlink" Target="https://hdl.handle.net/2027/coo.31924000857650?urlappend=%3Bseq=" TargetMode="External"/><Relationship Id="rId54" Type="http://schemas.openxmlformats.org/officeDocument/2006/relationships/hyperlink" Target="https://hdl.handle.net/2027/coo.31924000857650?urlappend=%3Bseq=" TargetMode="External"/><Relationship Id="rId70" Type="http://schemas.openxmlformats.org/officeDocument/2006/relationships/hyperlink" Target="https://hdl.handle.net/2027/coo.31924000857650?urlappend=%3Bseq=" TargetMode="External"/><Relationship Id="rId75" Type="http://schemas.openxmlformats.org/officeDocument/2006/relationships/hyperlink" Target="https://hdl.handle.net/2027/coo.31924000857650?urlappend=%3Bseq=" TargetMode="External"/><Relationship Id="rId91" Type="http://schemas.openxmlformats.org/officeDocument/2006/relationships/hyperlink" Target="https://hdl.handle.net/2027/coo.31924000857650?urlappend=%3Bseq=" TargetMode="External"/><Relationship Id="rId96" Type="http://schemas.openxmlformats.org/officeDocument/2006/relationships/hyperlink" Target="https://hdl.handle.net/2027/coo.31924000857650?urlappend=%3Bseq=" TargetMode="External"/><Relationship Id="rId140" Type="http://schemas.openxmlformats.org/officeDocument/2006/relationships/hyperlink" Target="https://hdl.handle.net/2027/coo.31924000857650?urlappend=%3Bseq=" TargetMode="External"/><Relationship Id="rId145" Type="http://schemas.openxmlformats.org/officeDocument/2006/relationships/hyperlink" Target="https://hdl.handle.net/2027/coo.31924000857650?urlappend=%3Bseq=" TargetMode="External"/><Relationship Id="rId161" Type="http://schemas.openxmlformats.org/officeDocument/2006/relationships/hyperlink" Target="https://hdl.handle.net/2027/coo.31924000857650?urlappend=%3Bseq=" TargetMode="External"/><Relationship Id="rId166" Type="http://schemas.openxmlformats.org/officeDocument/2006/relationships/hyperlink" Target="https://hdl.handle.net/2027/coo.31924000857650?urlappend=%3Bseq=" TargetMode="External"/><Relationship Id="rId182" Type="http://schemas.openxmlformats.org/officeDocument/2006/relationships/hyperlink" Target="https://hdl.handle.net/2027/coo.31924000857650?urlappend=%3Bseq=" TargetMode="External"/><Relationship Id="rId187" Type="http://schemas.openxmlformats.org/officeDocument/2006/relationships/hyperlink" Target="https://hdl.handle.net/2027/coo.31924000857650?urlappend=%3Bseq=" TargetMode="External"/><Relationship Id="rId1" Type="http://schemas.openxmlformats.org/officeDocument/2006/relationships/hyperlink" Target="https://hdl.handle.net/2027/coo.31924000857650?urlappend=%3Bseq=" TargetMode="External"/><Relationship Id="rId6" Type="http://schemas.openxmlformats.org/officeDocument/2006/relationships/hyperlink" Target="https://hdl.handle.net/2027/coo.31924000857650?urlappend=%3Bseq=" TargetMode="External"/><Relationship Id="rId23" Type="http://schemas.openxmlformats.org/officeDocument/2006/relationships/hyperlink" Target="https://hdl.handle.net/2027/coo.31924000857650?urlappend=%3Bseq=" TargetMode="External"/><Relationship Id="rId28" Type="http://schemas.openxmlformats.org/officeDocument/2006/relationships/hyperlink" Target="https://hdl.handle.net/2027/coo.31924000857650?urlappend=%3Bseq=" TargetMode="External"/><Relationship Id="rId49" Type="http://schemas.openxmlformats.org/officeDocument/2006/relationships/hyperlink" Target="https://hdl.handle.net/2027/coo.31924000857650?urlappend=%3Bseq=" TargetMode="External"/><Relationship Id="rId114" Type="http://schemas.openxmlformats.org/officeDocument/2006/relationships/hyperlink" Target="https://hdl.handle.net/2027/coo.31924000857650?urlappend=%3Bseq=" TargetMode="External"/><Relationship Id="rId119" Type="http://schemas.openxmlformats.org/officeDocument/2006/relationships/hyperlink" Target="https://hdl.handle.net/2027/coo.31924000857650?urlappend=%3Bseq=" TargetMode="External"/><Relationship Id="rId44" Type="http://schemas.openxmlformats.org/officeDocument/2006/relationships/hyperlink" Target="https://hdl.handle.net/2027/coo.31924000857650?urlappend=%3Bseq=" TargetMode="External"/><Relationship Id="rId60" Type="http://schemas.openxmlformats.org/officeDocument/2006/relationships/hyperlink" Target="https://hdl.handle.net/2027/coo.31924000857650?urlappend=%3Bseq=" TargetMode="External"/><Relationship Id="rId65" Type="http://schemas.openxmlformats.org/officeDocument/2006/relationships/hyperlink" Target="https://hdl.handle.net/2027/coo.31924000857650?urlappend=%3Bseq=" TargetMode="External"/><Relationship Id="rId81" Type="http://schemas.openxmlformats.org/officeDocument/2006/relationships/hyperlink" Target="https://hdl.handle.net/2027/coo.31924000857650?urlappend=%3Bseq=" TargetMode="External"/><Relationship Id="rId86" Type="http://schemas.openxmlformats.org/officeDocument/2006/relationships/hyperlink" Target="https://hdl.handle.net/2027/coo.31924000857650?urlappend=%3Bseq=" TargetMode="External"/><Relationship Id="rId130" Type="http://schemas.openxmlformats.org/officeDocument/2006/relationships/hyperlink" Target="https://hdl.handle.net/2027/coo.31924000857650?urlappend=%3Bseq=" TargetMode="External"/><Relationship Id="rId135" Type="http://schemas.openxmlformats.org/officeDocument/2006/relationships/hyperlink" Target="https://hdl.handle.net/2027/coo.31924000857650?urlappend=%3Bseq=" TargetMode="External"/><Relationship Id="rId151" Type="http://schemas.openxmlformats.org/officeDocument/2006/relationships/hyperlink" Target="https://hdl.handle.net/2027/coo.31924000857650?urlappend=%3Bseq=" TargetMode="External"/><Relationship Id="rId156" Type="http://schemas.openxmlformats.org/officeDocument/2006/relationships/hyperlink" Target="https://hdl.handle.net/2027/coo.31924000857650?urlappend=%3Bseq=" TargetMode="External"/><Relationship Id="rId177" Type="http://schemas.openxmlformats.org/officeDocument/2006/relationships/hyperlink" Target="https://hdl.handle.net/2027/coo.31924000857650?urlappend=%3Bseq=" TargetMode="External"/><Relationship Id="rId172" Type="http://schemas.openxmlformats.org/officeDocument/2006/relationships/hyperlink" Target="https://hdl.handle.net/2027/coo.31924000857650?urlappend=%3Bseq=" TargetMode="External"/><Relationship Id="rId193" Type="http://schemas.openxmlformats.org/officeDocument/2006/relationships/vmlDrawing" Target="../drawings/vmlDrawing7.vml"/><Relationship Id="rId13" Type="http://schemas.openxmlformats.org/officeDocument/2006/relationships/hyperlink" Target="https://hdl.handle.net/2027/coo.31924000857650?urlappend=%3Bseq=" TargetMode="External"/><Relationship Id="rId18" Type="http://schemas.openxmlformats.org/officeDocument/2006/relationships/hyperlink" Target="https://hdl.handle.net/2027/coo.31924000857650?urlappend=%3Bseq=" TargetMode="External"/><Relationship Id="rId39" Type="http://schemas.openxmlformats.org/officeDocument/2006/relationships/hyperlink" Target="https://hdl.handle.net/2027/coo.31924000857650?urlappend=%3Bseq=" TargetMode="External"/><Relationship Id="rId109" Type="http://schemas.openxmlformats.org/officeDocument/2006/relationships/hyperlink" Target="https://hdl.handle.net/2027/coo.31924000857650?urlappend=%3Bseq=" TargetMode="External"/><Relationship Id="rId34" Type="http://schemas.openxmlformats.org/officeDocument/2006/relationships/hyperlink" Target="https://hdl.handle.net/2027/coo.31924000857650?urlappend=%3Bseq=" TargetMode="External"/><Relationship Id="rId50" Type="http://schemas.openxmlformats.org/officeDocument/2006/relationships/hyperlink" Target="https://hdl.handle.net/2027/coo.31924000857650?urlappend=%3Bseq=" TargetMode="External"/><Relationship Id="rId55" Type="http://schemas.openxmlformats.org/officeDocument/2006/relationships/hyperlink" Target="https://hdl.handle.net/2027/coo.31924000857650?urlappend=%3Bseq=" TargetMode="External"/><Relationship Id="rId76" Type="http://schemas.openxmlformats.org/officeDocument/2006/relationships/hyperlink" Target="https://hdl.handle.net/2027/coo.31924000857650?urlappend=%3Bseq=" TargetMode="External"/><Relationship Id="rId97" Type="http://schemas.openxmlformats.org/officeDocument/2006/relationships/hyperlink" Target="https://hdl.handle.net/2027/coo.31924000857650?urlappend=%3Bseq=" TargetMode="External"/><Relationship Id="rId104" Type="http://schemas.openxmlformats.org/officeDocument/2006/relationships/hyperlink" Target="https://hdl.handle.net/2027/coo.31924000857650?urlappend=%3Bseq=" TargetMode="External"/><Relationship Id="rId120" Type="http://schemas.openxmlformats.org/officeDocument/2006/relationships/hyperlink" Target="https://hdl.handle.net/2027/coo.31924000857650?urlappend=%3Bseq=" TargetMode="External"/><Relationship Id="rId125" Type="http://schemas.openxmlformats.org/officeDocument/2006/relationships/hyperlink" Target="https://hdl.handle.net/2027/coo.31924000857650?urlappend=%3Bseq=" TargetMode="External"/><Relationship Id="rId141" Type="http://schemas.openxmlformats.org/officeDocument/2006/relationships/hyperlink" Target="https://hdl.handle.net/2027/coo.31924000857650?urlappend=%3Bseq=" TargetMode="External"/><Relationship Id="rId146" Type="http://schemas.openxmlformats.org/officeDocument/2006/relationships/hyperlink" Target="https://hdl.handle.net/2027/coo.31924000857650?urlappend=%3Bseq=" TargetMode="External"/><Relationship Id="rId167" Type="http://schemas.openxmlformats.org/officeDocument/2006/relationships/hyperlink" Target="https://hdl.handle.net/2027/coo.31924000857650?urlappend=%3Bseq=" TargetMode="External"/><Relationship Id="rId188" Type="http://schemas.openxmlformats.org/officeDocument/2006/relationships/hyperlink" Target="https://hdl.handle.net/2027/coo.31924000857650?urlappend=%3Bseq=" TargetMode="External"/><Relationship Id="rId7" Type="http://schemas.openxmlformats.org/officeDocument/2006/relationships/hyperlink" Target="https://hdl.handle.net/2027/coo.31924000857650?urlappend=%3Bseq=" TargetMode="External"/><Relationship Id="rId71" Type="http://schemas.openxmlformats.org/officeDocument/2006/relationships/hyperlink" Target="https://hdl.handle.net/2027/coo.31924000857650?urlappend=%3Bseq=" TargetMode="External"/><Relationship Id="rId92" Type="http://schemas.openxmlformats.org/officeDocument/2006/relationships/hyperlink" Target="https://hdl.handle.net/2027/coo.31924000857650?urlappend=%3Bseq=" TargetMode="External"/><Relationship Id="rId162" Type="http://schemas.openxmlformats.org/officeDocument/2006/relationships/hyperlink" Target="https://hdl.handle.net/2027/coo.31924000857650?urlappend=%3Bseq=" TargetMode="External"/><Relationship Id="rId183" Type="http://schemas.openxmlformats.org/officeDocument/2006/relationships/hyperlink" Target="https://hdl.handle.net/2027/coo.31924000857650?urlappend=%3Bseq=" TargetMode="External"/><Relationship Id="rId2" Type="http://schemas.openxmlformats.org/officeDocument/2006/relationships/hyperlink" Target="https://hdl.handle.net/2027/coo.31924000857650?urlappend=%3Bseq=" TargetMode="External"/><Relationship Id="rId29" Type="http://schemas.openxmlformats.org/officeDocument/2006/relationships/hyperlink" Target="https://hdl.handle.net/2027/coo.31924000857650?urlappend=%3Bseq=" TargetMode="External"/><Relationship Id="rId24" Type="http://schemas.openxmlformats.org/officeDocument/2006/relationships/hyperlink" Target="https://hdl.handle.net/2027/coo.31924000857650?urlappend=%3Bseq=" TargetMode="External"/><Relationship Id="rId40" Type="http://schemas.openxmlformats.org/officeDocument/2006/relationships/hyperlink" Target="https://hdl.handle.net/2027/coo.31924000857650?urlappend=%3Bseq=" TargetMode="External"/><Relationship Id="rId45" Type="http://schemas.openxmlformats.org/officeDocument/2006/relationships/hyperlink" Target="https://hdl.handle.net/2027/coo.31924000857650?urlappend=%3Bseq=" TargetMode="External"/><Relationship Id="rId66" Type="http://schemas.openxmlformats.org/officeDocument/2006/relationships/hyperlink" Target="https://hdl.handle.net/2027/coo.31924000857650?urlappend=%3Bseq=" TargetMode="External"/><Relationship Id="rId87" Type="http://schemas.openxmlformats.org/officeDocument/2006/relationships/hyperlink" Target="https://hdl.handle.net/2027/coo.31924000857650?urlappend=%3Bseq=" TargetMode="External"/><Relationship Id="rId110" Type="http://schemas.openxmlformats.org/officeDocument/2006/relationships/hyperlink" Target="https://hdl.handle.net/2027/coo.31924000857650?urlappend=%3Bseq=" TargetMode="External"/><Relationship Id="rId115" Type="http://schemas.openxmlformats.org/officeDocument/2006/relationships/hyperlink" Target="https://hdl.handle.net/2027/coo.31924000857650?urlappend=%3Bseq=" TargetMode="External"/><Relationship Id="rId131" Type="http://schemas.openxmlformats.org/officeDocument/2006/relationships/hyperlink" Target="https://hdl.handle.net/2027/coo.31924000857650?urlappend=%3Bseq=" TargetMode="External"/><Relationship Id="rId136" Type="http://schemas.openxmlformats.org/officeDocument/2006/relationships/hyperlink" Target="https://hdl.handle.net/2027/coo.31924000857650?urlappend=%3Bseq=" TargetMode="External"/><Relationship Id="rId157" Type="http://schemas.openxmlformats.org/officeDocument/2006/relationships/hyperlink" Target="https://hdl.handle.net/2027/coo.31924000857650?urlappend=%3Bseq=" TargetMode="External"/><Relationship Id="rId178" Type="http://schemas.openxmlformats.org/officeDocument/2006/relationships/hyperlink" Target="https://hdl.handle.net/2027/coo.31924000857650?urlappend=%3Bseq=" TargetMode="External"/><Relationship Id="rId61" Type="http://schemas.openxmlformats.org/officeDocument/2006/relationships/hyperlink" Target="https://hdl.handle.net/2027/coo.31924000857650?urlappend=%3Bseq=" TargetMode="External"/><Relationship Id="rId82" Type="http://schemas.openxmlformats.org/officeDocument/2006/relationships/hyperlink" Target="https://hdl.handle.net/2027/coo.31924000857650?urlappend=%3Bseq=" TargetMode="External"/><Relationship Id="rId152" Type="http://schemas.openxmlformats.org/officeDocument/2006/relationships/hyperlink" Target="https://hdl.handle.net/2027/coo.31924000857650?urlappend=%3Bseq=" TargetMode="External"/><Relationship Id="rId173" Type="http://schemas.openxmlformats.org/officeDocument/2006/relationships/hyperlink" Target="https://hdl.handle.net/2027/coo.31924000857650?urlappend=%3Bseq=" TargetMode="External"/><Relationship Id="rId194" Type="http://schemas.openxmlformats.org/officeDocument/2006/relationships/comments" Target="../comments7.xml"/><Relationship Id="rId19" Type="http://schemas.openxmlformats.org/officeDocument/2006/relationships/hyperlink" Target="https://hdl.handle.net/2027/coo.31924000857650?urlappend=%3Bseq=" TargetMode="External"/><Relationship Id="rId14" Type="http://schemas.openxmlformats.org/officeDocument/2006/relationships/hyperlink" Target="https://hdl.handle.net/2027/coo.31924000857650?urlappend=%3Bseq=" TargetMode="External"/><Relationship Id="rId30" Type="http://schemas.openxmlformats.org/officeDocument/2006/relationships/hyperlink" Target="https://hdl.handle.net/2027/coo.31924000857650?urlappend=%3Bseq=" TargetMode="External"/><Relationship Id="rId35" Type="http://schemas.openxmlformats.org/officeDocument/2006/relationships/hyperlink" Target="https://hdl.handle.net/2027/coo.31924000857650?urlappend=%3Bseq=" TargetMode="External"/><Relationship Id="rId56" Type="http://schemas.openxmlformats.org/officeDocument/2006/relationships/hyperlink" Target="https://hdl.handle.net/2027/coo.31924000857650?urlappend=%3Bseq=" TargetMode="External"/><Relationship Id="rId77" Type="http://schemas.openxmlformats.org/officeDocument/2006/relationships/hyperlink" Target="https://hdl.handle.net/2027/coo.31924000857650?urlappend=%3Bseq=" TargetMode="External"/><Relationship Id="rId100" Type="http://schemas.openxmlformats.org/officeDocument/2006/relationships/hyperlink" Target="https://hdl.handle.net/2027/coo.31924000857650?urlappend=%3Bseq=" TargetMode="External"/><Relationship Id="rId105" Type="http://schemas.openxmlformats.org/officeDocument/2006/relationships/hyperlink" Target="https://hdl.handle.net/2027/coo.31924000857650?urlappend=%3Bseq=" TargetMode="External"/><Relationship Id="rId126" Type="http://schemas.openxmlformats.org/officeDocument/2006/relationships/hyperlink" Target="https://hdl.handle.net/2027/coo.31924000857650?urlappend=%3Bseq=" TargetMode="External"/><Relationship Id="rId147" Type="http://schemas.openxmlformats.org/officeDocument/2006/relationships/hyperlink" Target="https://hdl.handle.net/2027/coo.31924000857650?urlappend=%3Bseq=" TargetMode="External"/><Relationship Id="rId168" Type="http://schemas.openxmlformats.org/officeDocument/2006/relationships/hyperlink" Target="https://hdl.handle.net/2027/coo.31924000857650?urlappend=%3Bseq=" TargetMode="External"/><Relationship Id="rId8" Type="http://schemas.openxmlformats.org/officeDocument/2006/relationships/hyperlink" Target="https://hdl.handle.net/2027/coo.31924000857650?urlappend=%3Bseq=" TargetMode="External"/><Relationship Id="rId51" Type="http://schemas.openxmlformats.org/officeDocument/2006/relationships/hyperlink" Target="https://hdl.handle.net/2027/coo.31924000857650?urlappend=%3Bseq=" TargetMode="External"/><Relationship Id="rId72" Type="http://schemas.openxmlformats.org/officeDocument/2006/relationships/hyperlink" Target="https://hdl.handle.net/2027/coo.31924000857650?urlappend=%3Bseq=" TargetMode="External"/><Relationship Id="rId93" Type="http://schemas.openxmlformats.org/officeDocument/2006/relationships/hyperlink" Target="https://hdl.handle.net/2027/coo.31924000857650?urlappend=%3Bseq=" TargetMode="External"/><Relationship Id="rId98" Type="http://schemas.openxmlformats.org/officeDocument/2006/relationships/hyperlink" Target="https://hdl.handle.net/2027/coo.31924000857650?urlappend=%3Bseq=" TargetMode="External"/><Relationship Id="rId121" Type="http://schemas.openxmlformats.org/officeDocument/2006/relationships/hyperlink" Target="https://hdl.handle.net/2027/coo.31924000857650?urlappend=%3Bseq=" TargetMode="External"/><Relationship Id="rId142" Type="http://schemas.openxmlformats.org/officeDocument/2006/relationships/hyperlink" Target="https://hdl.handle.net/2027/coo.31924000857650?urlappend=%3Bseq=" TargetMode="External"/><Relationship Id="rId163" Type="http://schemas.openxmlformats.org/officeDocument/2006/relationships/hyperlink" Target="https://hdl.handle.net/2027/coo.31924000857650?urlappend=%3Bseq=" TargetMode="External"/><Relationship Id="rId184" Type="http://schemas.openxmlformats.org/officeDocument/2006/relationships/hyperlink" Target="https://hdl.handle.net/2027/coo.31924000857650?urlappend=%3Bseq=" TargetMode="External"/><Relationship Id="rId189" Type="http://schemas.openxmlformats.org/officeDocument/2006/relationships/hyperlink" Target="https://hdl.handle.net/2027/coo.31924000857650?urlappend=%3Bseq=" TargetMode="External"/><Relationship Id="rId3" Type="http://schemas.openxmlformats.org/officeDocument/2006/relationships/hyperlink" Target="https://hdl.handle.net/2027/coo.31924000857650?urlappend=%3Bseq=" TargetMode="External"/><Relationship Id="rId25" Type="http://schemas.openxmlformats.org/officeDocument/2006/relationships/hyperlink" Target="https://hdl.handle.net/2027/coo.31924000857650?urlappend=%3Bseq=" TargetMode="External"/><Relationship Id="rId46" Type="http://schemas.openxmlformats.org/officeDocument/2006/relationships/hyperlink" Target="https://hdl.handle.net/2027/coo.31924000857650?urlappend=%3Bseq=" TargetMode="External"/><Relationship Id="rId67" Type="http://schemas.openxmlformats.org/officeDocument/2006/relationships/hyperlink" Target="https://hdl.handle.net/2027/coo.31924000857650?urlappend=%3Bseq=" TargetMode="External"/><Relationship Id="rId116" Type="http://schemas.openxmlformats.org/officeDocument/2006/relationships/hyperlink" Target="https://hdl.handle.net/2027/coo.31924000857650?urlappend=%3Bseq=" TargetMode="External"/><Relationship Id="rId137" Type="http://schemas.openxmlformats.org/officeDocument/2006/relationships/hyperlink" Target="https://hdl.handle.net/2027/coo.31924000857650?urlappend=%3Bseq=" TargetMode="External"/><Relationship Id="rId158" Type="http://schemas.openxmlformats.org/officeDocument/2006/relationships/hyperlink" Target="https://hdl.handle.net/2027/coo.31924000857650?urlappend=%3Bseq=" TargetMode="External"/><Relationship Id="rId20" Type="http://schemas.openxmlformats.org/officeDocument/2006/relationships/hyperlink" Target="https://hdl.handle.net/2027/coo.31924000857650?urlappend=%3Bseq=" TargetMode="External"/><Relationship Id="rId41" Type="http://schemas.openxmlformats.org/officeDocument/2006/relationships/hyperlink" Target="https://hdl.handle.net/2027/coo.31924000857650?urlappend=%3Bseq=" TargetMode="External"/><Relationship Id="rId62" Type="http://schemas.openxmlformats.org/officeDocument/2006/relationships/hyperlink" Target="https://hdl.handle.net/2027/coo.31924000857650?urlappend=%3Bseq=" TargetMode="External"/><Relationship Id="rId83" Type="http://schemas.openxmlformats.org/officeDocument/2006/relationships/hyperlink" Target="https://hdl.handle.net/2027/coo.31924000857650?urlappend=%3Bseq=" TargetMode="External"/><Relationship Id="rId88" Type="http://schemas.openxmlformats.org/officeDocument/2006/relationships/hyperlink" Target="https://hdl.handle.net/2027/coo.31924000857650?urlappend=%3Bseq=" TargetMode="External"/><Relationship Id="rId111" Type="http://schemas.openxmlformats.org/officeDocument/2006/relationships/hyperlink" Target="https://hdl.handle.net/2027/coo.31924000857650?urlappend=%3Bseq=" TargetMode="External"/><Relationship Id="rId132" Type="http://schemas.openxmlformats.org/officeDocument/2006/relationships/hyperlink" Target="https://hdl.handle.net/2027/coo.31924000857650?urlappend=%3Bseq=" TargetMode="External"/><Relationship Id="rId153" Type="http://schemas.openxmlformats.org/officeDocument/2006/relationships/hyperlink" Target="https://hdl.handle.net/2027/coo.31924000857650?urlappend=%3Bseq=" TargetMode="External"/><Relationship Id="rId174" Type="http://schemas.openxmlformats.org/officeDocument/2006/relationships/hyperlink" Target="https://hdl.handle.net/2027/coo.31924000857650?urlappend=%3Bseq=" TargetMode="External"/><Relationship Id="rId179" Type="http://schemas.openxmlformats.org/officeDocument/2006/relationships/hyperlink" Target="https://hdl.handle.net/2027/coo.31924000857650?urlappend=%3Bseq=" TargetMode="External"/><Relationship Id="rId190" Type="http://schemas.openxmlformats.org/officeDocument/2006/relationships/hyperlink" Target="https://hdl.handle.net/2027/coo.31924000857650?urlappend=%3Bseq=" TargetMode="External"/><Relationship Id="rId15" Type="http://schemas.openxmlformats.org/officeDocument/2006/relationships/hyperlink" Target="https://hdl.handle.net/2027/coo.31924000857650?urlappend=%3Bseq=" TargetMode="External"/><Relationship Id="rId36" Type="http://schemas.openxmlformats.org/officeDocument/2006/relationships/hyperlink" Target="https://hdl.handle.net/2027/coo.31924000857650?urlappend=%3Bseq=" TargetMode="External"/><Relationship Id="rId57" Type="http://schemas.openxmlformats.org/officeDocument/2006/relationships/hyperlink" Target="https://hdl.handle.net/2027/coo.31924000857650?urlappend=%3Bseq=" TargetMode="External"/><Relationship Id="rId106" Type="http://schemas.openxmlformats.org/officeDocument/2006/relationships/hyperlink" Target="https://hdl.handle.net/2027/coo.31924000857650?urlappend=%3Bseq=" TargetMode="External"/><Relationship Id="rId127" Type="http://schemas.openxmlformats.org/officeDocument/2006/relationships/hyperlink" Target="https://hdl.handle.net/2027/coo.31924000857650?urlappend=%3Bseq=" TargetMode="External"/><Relationship Id="rId10" Type="http://schemas.openxmlformats.org/officeDocument/2006/relationships/hyperlink" Target="https://hdl.handle.net/2027/coo.31924000857650?urlappend=%3Bseq=" TargetMode="External"/><Relationship Id="rId31" Type="http://schemas.openxmlformats.org/officeDocument/2006/relationships/hyperlink" Target="https://hdl.handle.net/2027/coo.31924000857650?urlappend=%3Bseq=" TargetMode="External"/><Relationship Id="rId52" Type="http://schemas.openxmlformats.org/officeDocument/2006/relationships/hyperlink" Target="https://hdl.handle.net/2027/coo.31924000857650?urlappend=%3Bseq=" TargetMode="External"/><Relationship Id="rId73" Type="http://schemas.openxmlformats.org/officeDocument/2006/relationships/hyperlink" Target="https://hdl.handle.net/2027/coo.31924000857650?urlappend=%3Bseq=" TargetMode="External"/><Relationship Id="rId78" Type="http://schemas.openxmlformats.org/officeDocument/2006/relationships/hyperlink" Target="https://hdl.handle.net/2027/coo.31924000857650?urlappend=%3Bseq=" TargetMode="External"/><Relationship Id="rId94" Type="http://schemas.openxmlformats.org/officeDocument/2006/relationships/hyperlink" Target="https://hdl.handle.net/2027/coo.31924000857650?urlappend=%3Bseq=" TargetMode="External"/><Relationship Id="rId99" Type="http://schemas.openxmlformats.org/officeDocument/2006/relationships/hyperlink" Target="https://hdl.handle.net/2027/coo.31924000857650?urlappend=%3Bseq=" TargetMode="External"/><Relationship Id="rId101" Type="http://schemas.openxmlformats.org/officeDocument/2006/relationships/hyperlink" Target="https://hdl.handle.net/2027/coo.31924000857650?urlappend=%3Bseq=" TargetMode="External"/><Relationship Id="rId122" Type="http://schemas.openxmlformats.org/officeDocument/2006/relationships/hyperlink" Target="https://hdl.handle.net/2027/coo.31924000857650?urlappend=%3Bseq=" TargetMode="External"/><Relationship Id="rId143" Type="http://schemas.openxmlformats.org/officeDocument/2006/relationships/hyperlink" Target="https://hdl.handle.net/2027/coo.31924000857650?urlappend=%3Bseq=" TargetMode="External"/><Relationship Id="rId148" Type="http://schemas.openxmlformats.org/officeDocument/2006/relationships/hyperlink" Target="https://hdl.handle.net/2027/coo.31924000857650?urlappend=%3Bseq=" TargetMode="External"/><Relationship Id="rId164" Type="http://schemas.openxmlformats.org/officeDocument/2006/relationships/hyperlink" Target="https://hdl.handle.net/2027/coo.31924000857650?urlappend=%3Bseq=" TargetMode="External"/><Relationship Id="rId169" Type="http://schemas.openxmlformats.org/officeDocument/2006/relationships/hyperlink" Target="https://hdl.handle.net/2027/coo.31924000857650?urlappend=%3Bseq=" TargetMode="External"/><Relationship Id="rId185" Type="http://schemas.openxmlformats.org/officeDocument/2006/relationships/hyperlink" Target="https://hdl.handle.net/2027/coo.31924000857650?urlappend=%3Bseq=" TargetMode="External"/><Relationship Id="rId4" Type="http://schemas.openxmlformats.org/officeDocument/2006/relationships/hyperlink" Target="https://hdl.handle.net/2027/coo.31924000857650?urlappend=%3Bseq=" TargetMode="External"/><Relationship Id="rId9" Type="http://schemas.openxmlformats.org/officeDocument/2006/relationships/hyperlink" Target="https://hdl.handle.net/2027/coo.31924000857650?urlappend=%3Bseq=" TargetMode="External"/><Relationship Id="rId180" Type="http://schemas.openxmlformats.org/officeDocument/2006/relationships/hyperlink" Target="https://hdl.handle.net/2027/coo.31924000857650?urlappend=%3Bseq=" TargetMode="External"/><Relationship Id="rId26" Type="http://schemas.openxmlformats.org/officeDocument/2006/relationships/hyperlink" Target="https://hdl.handle.net/2027/coo.31924000857650?urlappend=%3Bseq=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archive.org/compress/MSedreport/formats=JPEG&amp;file=/MSedreport.zip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hdl.handle.net/2027/uc1.b3014088?urlappend=%3Bseq=173" TargetMode="External"/><Relationship Id="rId671" Type="http://schemas.openxmlformats.org/officeDocument/2006/relationships/hyperlink" Target="http://hdl.handle.net/2027/uiug.30112058522902?urlappend=%3Bseq=181174" TargetMode="External"/><Relationship Id="rId769" Type="http://schemas.openxmlformats.org/officeDocument/2006/relationships/hyperlink" Target="https://hdl.handle.net/2027/uc1.b3014088?urlappend=%3Bseq=175" TargetMode="External"/><Relationship Id="rId976" Type="http://schemas.openxmlformats.org/officeDocument/2006/relationships/hyperlink" Target="http://hdl.handle.net/2027/uiug.30112058522902?urlappend=%3Bseq=181183" TargetMode="External"/><Relationship Id="rId21" Type="http://schemas.openxmlformats.org/officeDocument/2006/relationships/hyperlink" Target="https://hdl.handle.net/2027/uc1.b3014088?urlappend=%3Bseq=173" TargetMode="External"/><Relationship Id="rId324" Type="http://schemas.openxmlformats.org/officeDocument/2006/relationships/hyperlink" Target="http://hdl.handle.net/2027/uiug.30112058522902?urlappend=%3Bseq=181" TargetMode="External"/><Relationship Id="rId531" Type="http://schemas.openxmlformats.org/officeDocument/2006/relationships/hyperlink" Target="http://hdl.handle.net/2027/uiug.30112058522902?urlappend=%3Bseq=181174" TargetMode="External"/><Relationship Id="rId629" Type="http://schemas.openxmlformats.org/officeDocument/2006/relationships/hyperlink" Target="https://hdl.handle.net/2027/uc1.b3014088?urlappend=%3Bseq=174" TargetMode="External"/><Relationship Id="rId170" Type="http://schemas.openxmlformats.org/officeDocument/2006/relationships/hyperlink" Target="http://hdl.handle.net/2027/uiug.30112058522902?urlappend=%3Bseq=176" TargetMode="External"/><Relationship Id="rId836" Type="http://schemas.openxmlformats.org/officeDocument/2006/relationships/hyperlink" Target="http://hdl.handle.net/2027/uiug.30112058522902?urlappend=%3Bseq=181183" TargetMode="External"/><Relationship Id="rId268" Type="http://schemas.openxmlformats.org/officeDocument/2006/relationships/hyperlink" Target="http://hdl.handle.net/2027/uiug.30112058522902?urlappend=%3Bseq=181" TargetMode="External"/><Relationship Id="rId475" Type="http://schemas.openxmlformats.org/officeDocument/2006/relationships/hyperlink" Target="http://hdl.handle.net/2027/uiug.30112058522902?urlappend=%3Bseq=181174" TargetMode="External"/><Relationship Id="rId682" Type="http://schemas.openxmlformats.org/officeDocument/2006/relationships/hyperlink" Target="http://hdl.handle.net/2027/uiug.30112058522902?urlappend=%3Bseq=181178" TargetMode="External"/><Relationship Id="rId903" Type="http://schemas.openxmlformats.org/officeDocument/2006/relationships/hyperlink" Target="http://hdl.handle.net/2027/uiug.30112058522902?urlappend=%3Bseq=181175" TargetMode="External"/><Relationship Id="rId32" Type="http://schemas.openxmlformats.org/officeDocument/2006/relationships/hyperlink" Target="http://hdl.handle.net/2027/uiug.30112058522902?urlappend=%3Bseq=180" TargetMode="External"/><Relationship Id="rId128" Type="http://schemas.openxmlformats.org/officeDocument/2006/relationships/hyperlink" Target="http://hdl.handle.net/2027/uiug.30112058522902?urlappend=%3Bseq=180" TargetMode="External"/><Relationship Id="rId335" Type="http://schemas.openxmlformats.org/officeDocument/2006/relationships/hyperlink" Target="http://hdl.handle.net/2027/uiug.30112058522902?urlappend=%3Bseq=181173" TargetMode="External"/><Relationship Id="rId542" Type="http://schemas.openxmlformats.org/officeDocument/2006/relationships/hyperlink" Target="http://hdl.handle.net/2027/uiug.30112058522902?urlappend=%3Bseq=181177" TargetMode="External"/><Relationship Id="rId987" Type="http://schemas.openxmlformats.org/officeDocument/2006/relationships/hyperlink" Target="http://hdl.handle.net/2027/uiug.30112058522902?urlappend=%3Bseq=181175" TargetMode="External"/><Relationship Id="rId181" Type="http://schemas.openxmlformats.org/officeDocument/2006/relationships/hyperlink" Target="https://hdl.handle.net/2027/uc1.b3014088?urlappend=%3Bseq=173" TargetMode="External"/><Relationship Id="rId402" Type="http://schemas.openxmlformats.org/officeDocument/2006/relationships/hyperlink" Target="http://hdl.handle.net/2027/uiug.30112058522902?urlappend=%3Bseq=181177" TargetMode="External"/><Relationship Id="rId847" Type="http://schemas.openxmlformats.org/officeDocument/2006/relationships/hyperlink" Target="http://hdl.handle.net/2027/uiug.30112058522902?urlappend=%3Bseq=181175" TargetMode="External"/><Relationship Id="rId279" Type="http://schemas.openxmlformats.org/officeDocument/2006/relationships/hyperlink" Target="http://hdl.handle.net/2027/uiug.30112058522902?urlappend=%3Bseq=173" TargetMode="External"/><Relationship Id="rId486" Type="http://schemas.openxmlformats.org/officeDocument/2006/relationships/hyperlink" Target="http://hdl.handle.net/2027/uiug.30112058522902?urlappend=%3Bseq=181177" TargetMode="External"/><Relationship Id="rId693" Type="http://schemas.openxmlformats.org/officeDocument/2006/relationships/hyperlink" Target="https://hdl.handle.net/2027/uc1.b3014088?urlappend=%3Bseq=175" TargetMode="External"/><Relationship Id="rId707" Type="http://schemas.openxmlformats.org/officeDocument/2006/relationships/hyperlink" Target="http://hdl.handle.net/2027/uiug.30112058522902?urlappend=%3Bseq=181175" TargetMode="External"/><Relationship Id="rId914" Type="http://schemas.openxmlformats.org/officeDocument/2006/relationships/hyperlink" Target="http://hdl.handle.net/2027/uiug.30112058522902?urlappend=%3Bseq=181178" TargetMode="External"/><Relationship Id="rId43" Type="http://schemas.openxmlformats.org/officeDocument/2006/relationships/hyperlink" Target="http://hdl.handle.net/2027/uiug.30112058522902?urlappend=%3Bseq=172" TargetMode="External"/><Relationship Id="rId139" Type="http://schemas.openxmlformats.org/officeDocument/2006/relationships/hyperlink" Target="http://hdl.handle.net/2027/uiug.30112058522902?urlappend=%3Bseq=173" TargetMode="External"/><Relationship Id="rId346" Type="http://schemas.openxmlformats.org/officeDocument/2006/relationships/hyperlink" Target="http://hdl.handle.net/2027/uiug.30112058522902?urlappend=%3Bseq=181177" TargetMode="External"/><Relationship Id="rId553" Type="http://schemas.openxmlformats.org/officeDocument/2006/relationships/hyperlink" Target="https://hdl.handle.net/2027/uc1.b3014088?urlappend=%3Bseq=174" TargetMode="External"/><Relationship Id="rId760" Type="http://schemas.openxmlformats.org/officeDocument/2006/relationships/hyperlink" Target="http://hdl.handle.net/2027/uiug.30112058522902?urlappend=%3Bseq=181182" TargetMode="External"/><Relationship Id="rId998" Type="http://schemas.openxmlformats.org/officeDocument/2006/relationships/hyperlink" Target="http://hdl.handle.net/2027/uiug.30112058522902?urlappend=%3Bseq=181179" TargetMode="External"/><Relationship Id="rId192" Type="http://schemas.openxmlformats.org/officeDocument/2006/relationships/hyperlink" Target="http://hdl.handle.net/2027/uiug.30112058522902?urlappend=%3Bseq=181" TargetMode="External"/><Relationship Id="rId206" Type="http://schemas.openxmlformats.org/officeDocument/2006/relationships/hyperlink" Target="http://hdl.handle.net/2027/uiug.30112058522902?urlappend=%3Bseq=176" TargetMode="External"/><Relationship Id="rId413" Type="http://schemas.openxmlformats.org/officeDocument/2006/relationships/hyperlink" Target="https://hdl.handle.net/2027/uc1.b3014088?urlappend=%3Bseq=174" TargetMode="External"/><Relationship Id="rId858" Type="http://schemas.openxmlformats.org/officeDocument/2006/relationships/hyperlink" Target="http://hdl.handle.net/2027/uiug.30112058522902?urlappend=%3Bseq=181178" TargetMode="External"/><Relationship Id="rId497" Type="http://schemas.openxmlformats.org/officeDocument/2006/relationships/hyperlink" Target="https://hdl.handle.net/2027/uc1.b3014088?urlappend=%3Bseq=174" TargetMode="External"/><Relationship Id="rId620" Type="http://schemas.openxmlformats.org/officeDocument/2006/relationships/hyperlink" Target="http://hdl.handle.net/2027/uiug.30112058522902?urlappend=%3Bseq=181182" TargetMode="External"/><Relationship Id="rId718" Type="http://schemas.openxmlformats.org/officeDocument/2006/relationships/hyperlink" Target="http://hdl.handle.net/2027/uiug.30112058522902?urlappend=%3Bseq=181178" TargetMode="External"/><Relationship Id="rId925" Type="http://schemas.openxmlformats.org/officeDocument/2006/relationships/hyperlink" Target="https://hdl.handle.net/2027/uc1.b3014088?urlappend=%3Bseq=175" TargetMode="External"/><Relationship Id="rId357" Type="http://schemas.openxmlformats.org/officeDocument/2006/relationships/hyperlink" Target="https://hdl.handle.net/2027/uc1.b3014088?urlappend=%3Bseq=174" TargetMode="External"/><Relationship Id="rId54" Type="http://schemas.openxmlformats.org/officeDocument/2006/relationships/hyperlink" Target="http://hdl.handle.net/2027/uiug.30112058522902?urlappend=%3Bseq=176" TargetMode="External"/><Relationship Id="rId217" Type="http://schemas.openxmlformats.org/officeDocument/2006/relationships/hyperlink" Target="https://hdl.handle.net/2027/uc1.b3014088?urlappend=%3Bseq=173" TargetMode="External"/><Relationship Id="rId564" Type="http://schemas.openxmlformats.org/officeDocument/2006/relationships/hyperlink" Target="http://hdl.handle.net/2027/uiug.30112058522902?urlappend=%3Bseq=181182" TargetMode="External"/><Relationship Id="rId771" Type="http://schemas.openxmlformats.org/officeDocument/2006/relationships/hyperlink" Target="http://hdl.handle.net/2027/uiug.30112058522902?urlappend=%3Bseq=181175" TargetMode="External"/><Relationship Id="rId869" Type="http://schemas.openxmlformats.org/officeDocument/2006/relationships/hyperlink" Target="https://hdl.handle.net/2027/uc1.b3014088?urlappend=%3Bseq=175" TargetMode="External"/><Relationship Id="rId424" Type="http://schemas.openxmlformats.org/officeDocument/2006/relationships/hyperlink" Target="http://hdl.handle.net/2027/uiug.30112058522902?urlappend=%3Bseq=181181" TargetMode="External"/><Relationship Id="rId631" Type="http://schemas.openxmlformats.org/officeDocument/2006/relationships/hyperlink" Target="http://hdl.handle.net/2027/uiug.30112058522902?urlappend=%3Bseq=181174" TargetMode="External"/><Relationship Id="rId729" Type="http://schemas.openxmlformats.org/officeDocument/2006/relationships/hyperlink" Target="https://hdl.handle.net/2027/uc1.b3014088?urlappend=%3Bseq=175" TargetMode="External"/><Relationship Id="rId270" Type="http://schemas.openxmlformats.org/officeDocument/2006/relationships/hyperlink" Target="http://hdl.handle.net/2027/uiug.30112058522902?urlappend=%3Bseq=176" TargetMode="External"/><Relationship Id="rId936" Type="http://schemas.openxmlformats.org/officeDocument/2006/relationships/hyperlink" Target="http://hdl.handle.net/2027/uiug.30112058522902?urlappend=%3Bseq=181183" TargetMode="External"/><Relationship Id="rId65" Type="http://schemas.openxmlformats.org/officeDocument/2006/relationships/hyperlink" Target="https://hdl.handle.net/2027/uc1.b3014088?urlappend=%3Bseq=173" TargetMode="External"/><Relationship Id="rId130" Type="http://schemas.openxmlformats.org/officeDocument/2006/relationships/hyperlink" Target="http://hdl.handle.net/2027/uiug.30112058522902?urlappend=%3Bseq=176" TargetMode="External"/><Relationship Id="rId368" Type="http://schemas.openxmlformats.org/officeDocument/2006/relationships/hyperlink" Target="http://hdl.handle.net/2027/uiug.30112058522902?urlappend=%3Bseq=181181" TargetMode="External"/><Relationship Id="rId575" Type="http://schemas.openxmlformats.org/officeDocument/2006/relationships/hyperlink" Target="http://hdl.handle.net/2027/uiug.30112058522902?urlappend=%3Bseq=181174" TargetMode="External"/><Relationship Id="rId782" Type="http://schemas.openxmlformats.org/officeDocument/2006/relationships/hyperlink" Target="http://hdl.handle.net/2027/uiug.30112058522902?urlappend=%3Bseq=181178" TargetMode="External"/><Relationship Id="rId228" Type="http://schemas.openxmlformats.org/officeDocument/2006/relationships/hyperlink" Target="http://hdl.handle.net/2027/uiug.30112058522902?urlappend=%3Bseq=181" TargetMode="External"/><Relationship Id="rId435" Type="http://schemas.openxmlformats.org/officeDocument/2006/relationships/hyperlink" Target="http://hdl.handle.net/2027/uiug.30112058522902?urlappend=%3Bseq=181174" TargetMode="External"/><Relationship Id="rId642" Type="http://schemas.openxmlformats.org/officeDocument/2006/relationships/hyperlink" Target="http://hdl.handle.net/2027/uiug.30112058522902?urlappend=%3Bseq=181177" TargetMode="External"/><Relationship Id="rId281" Type="http://schemas.openxmlformats.org/officeDocument/2006/relationships/hyperlink" Target="https://hdl.handle.net/2027/uc1.b3014088?urlappend=%3Bseq=173" TargetMode="External"/><Relationship Id="rId502" Type="http://schemas.openxmlformats.org/officeDocument/2006/relationships/hyperlink" Target="http://hdl.handle.net/2027/uiug.30112058522902?urlappend=%3Bseq=181177" TargetMode="External"/><Relationship Id="rId947" Type="http://schemas.openxmlformats.org/officeDocument/2006/relationships/hyperlink" Target="http://hdl.handle.net/2027/uiug.30112058522902?urlappend=%3Bseq=181175" TargetMode="External"/><Relationship Id="rId76" Type="http://schemas.openxmlformats.org/officeDocument/2006/relationships/hyperlink" Target="http://hdl.handle.net/2027/uiug.30112058522902?urlappend=%3Bseq=180" TargetMode="External"/><Relationship Id="rId141" Type="http://schemas.openxmlformats.org/officeDocument/2006/relationships/hyperlink" Target="https://hdl.handle.net/2027/uc1.b3014088?urlappend=%3Bseq=173" TargetMode="External"/><Relationship Id="rId379" Type="http://schemas.openxmlformats.org/officeDocument/2006/relationships/hyperlink" Target="http://hdl.handle.net/2027/uiug.30112058522902?urlappend=%3Bseq=181174" TargetMode="External"/><Relationship Id="rId586" Type="http://schemas.openxmlformats.org/officeDocument/2006/relationships/hyperlink" Target="http://hdl.handle.net/2027/uiug.30112058522902?urlappend=%3Bseq=181177" TargetMode="External"/><Relationship Id="rId793" Type="http://schemas.openxmlformats.org/officeDocument/2006/relationships/hyperlink" Target="https://hdl.handle.net/2027/uc1.b3014088?urlappend=%3Bseq=175" TargetMode="External"/><Relationship Id="rId807" Type="http://schemas.openxmlformats.org/officeDocument/2006/relationships/hyperlink" Target="http://hdl.handle.net/2027/uiug.30112058522902?urlappend=%3Bseq=181175" TargetMode="External"/><Relationship Id="rId7" Type="http://schemas.openxmlformats.org/officeDocument/2006/relationships/hyperlink" Target="http://hdl.handle.net/2027/uiug.30112058522902?urlappend=%3Bseq=172" TargetMode="External"/><Relationship Id="rId239" Type="http://schemas.openxmlformats.org/officeDocument/2006/relationships/hyperlink" Target="http://hdl.handle.net/2027/uiug.30112058522902?urlappend=%3Bseq=173" TargetMode="External"/><Relationship Id="rId446" Type="http://schemas.openxmlformats.org/officeDocument/2006/relationships/hyperlink" Target="http://hdl.handle.net/2027/uiug.30112058522902?urlappend=%3Bseq=181177" TargetMode="External"/><Relationship Id="rId653" Type="http://schemas.openxmlformats.org/officeDocument/2006/relationships/hyperlink" Target="https://hdl.handle.net/2027/uc1.b3014088?urlappend=%3Bseq=175" TargetMode="External"/><Relationship Id="rId292" Type="http://schemas.openxmlformats.org/officeDocument/2006/relationships/hyperlink" Target="http://hdl.handle.net/2027/uiug.30112058522902?urlappend=%3Bseq=183" TargetMode="External"/><Relationship Id="rId306" Type="http://schemas.openxmlformats.org/officeDocument/2006/relationships/hyperlink" Target="http://hdl.handle.net/2027/uiug.30112058522902?urlappend=%3Bseq=176" TargetMode="External"/><Relationship Id="rId860" Type="http://schemas.openxmlformats.org/officeDocument/2006/relationships/hyperlink" Target="http://hdl.handle.net/2027/uiug.30112058522902?urlappend=%3Bseq=181183" TargetMode="External"/><Relationship Id="rId958" Type="http://schemas.openxmlformats.org/officeDocument/2006/relationships/hyperlink" Target="http://hdl.handle.net/2027/uiug.30112058522902?urlappend=%3Bseq=181178" TargetMode="External"/><Relationship Id="rId87" Type="http://schemas.openxmlformats.org/officeDocument/2006/relationships/hyperlink" Target="http://hdl.handle.net/2027/uiug.30112058522902?urlappend=%3Bseq=173" TargetMode="External"/><Relationship Id="rId513" Type="http://schemas.openxmlformats.org/officeDocument/2006/relationships/hyperlink" Target="https://hdl.handle.net/2027/uc1.b3014088?urlappend=%3Bseq=174" TargetMode="External"/><Relationship Id="rId597" Type="http://schemas.openxmlformats.org/officeDocument/2006/relationships/hyperlink" Target="https://hdl.handle.net/2027/uc1.b3014088?urlappend=%3Bseq=174" TargetMode="External"/><Relationship Id="rId720" Type="http://schemas.openxmlformats.org/officeDocument/2006/relationships/hyperlink" Target="http://hdl.handle.net/2027/uiug.30112058522902?urlappend=%3Bseq=181182" TargetMode="External"/><Relationship Id="rId818" Type="http://schemas.openxmlformats.org/officeDocument/2006/relationships/hyperlink" Target="http://hdl.handle.net/2027/uiug.30112058522902?urlappend=%3Bseq=181178" TargetMode="External"/><Relationship Id="rId152" Type="http://schemas.openxmlformats.org/officeDocument/2006/relationships/hyperlink" Target="http://hdl.handle.net/2027/uiug.30112058522902?urlappend=%3Bseq=180" TargetMode="External"/><Relationship Id="rId457" Type="http://schemas.openxmlformats.org/officeDocument/2006/relationships/hyperlink" Target="https://hdl.handle.net/2027/uc1.b3014088?urlappend=%3Bseq=174" TargetMode="External"/><Relationship Id="rId1003" Type="http://schemas.openxmlformats.org/officeDocument/2006/relationships/hyperlink" Target="http://hdl.handle.net/2027/uiug.30112058522902?urlappend=%3Bseq=181175" TargetMode="External"/><Relationship Id="rId664" Type="http://schemas.openxmlformats.org/officeDocument/2006/relationships/hyperlink" Target="http://hdl.handle.net/2027/uiug.30112058522902?urlappend=%3Bseq=181182" TargetMode="External"/><Relationship Id="rId871" Type="http://schemas.openxmlformats.org/officeDocument/2006/relationships/hyperlink" Target="http://hdl.handle.net/2027/uiug.30112058522902?urlappend=%3Bseq=181175" TargetMode="External"/><Relationship Id="rId969" Type="http://schemas.openxmlformats.org/officeDocument/2006/relationships/hyperlink" Target="https://hdl.handle.net/2027/uc1.b3014088?urlappend=%3Bseq=176" TargetMode="External"/><Relationship Id="rId14" Type="http://schemas.openxmlformats.org/officeDocument/2006/relationships/hyperlink" Target="http://hdl.handle.net/2027/uiug.30112058522902?urlappend=%3Bseq=176" TargetMode="External"/><Relationship Id="rId317" Type="http://schemas.openxmlformats.org/officeDocument/2006/relationships/hyperlink" Target="https://hdl.handle.net/2027/uc1.b3014088?urlappend=%3Bseq=173" TargetMode="External"/><Relationship Id="rId524" Type="http://schemas.openxmlformats.org/officeDocument/2006/relationships/hyperlink" Target="http://hdl.handle.net/2027/uiug.30112058522902?urlappend=%3Bseq=181182" TargetMode="External"/><Relationship Id="rId731" Type="http://schemas.openxmlformats.org/officeDocument/2006/relationships/hyperlink" Target="http://hdl.handle.net/2027/uiug.30112058522902?urlappend=%3Bseq=181175" TargetMode="External"/><Relationship Id="rId98" Type="http://schemas.openxmlformats.org/officeDocument/2006/relationships/hyperlink" Target="http://hdl.handle.net/2027/uiug.30112058522902?urlappend=%3Bseq=176" TargetMode="External"/><Relationship Id="rId163" Type="http://schemas.openxmlformats.org/officeDocument/2006/relationships/hyperlink" Target="http://hdl.handle.net/2027/uiug.30112058522902?urlappend=%3Bseq=173" TargetMode="External"/><Relationship Id="rId370" Type="http://schemas.openxmlformats.org/officeDocument/2006/relationships/hyperlink" Target="http://hdl.handle.net/2027/uiug.30112058522902?urlappend=%3Bseq=181177" TargetMode="External"/><Relationship Id="rId829" Type="http://schemas.openxmlformats.org/officeDocument/2006/relationships/hyperlink" Target="https://hdl.handle.net/2027/uc1.b3014088?urlappend=%3Bseq=175" TargetMode="External"/><Relationship Id="rId1014" Type="http://schemas.openxmlformats.org/officeDocument/2006/relationships/comments" Target="../comments10.xml"/><Relationship Id="rId230" Type="http://schemas.openxmlformats.org/officeDocument/2006/relationships/hyperlink" Target="http://hdl.handle.net/2027/uiug.30112058522902?urlappend=%3Bseq=176" TargetMode="External"/><Relationship Id="rId468" Type="http://schemas.openxmlformats.org/officeDocument/2006/relationships/hyperlink" Target="http://hdl.handle.net/2027/uiug.30112058522902?urlappend=%3Bseq=181181" TargetMode="External"/><Relationship Id="rId675" Type="http://schemas.openxmlformats.org/officeDocument/2006/relationships/hyperlink" Target="http://hdl.handle.net/2027/uiug.30112058522902?urlappend=%3Bseq=181174" TargetMode="External"/><Relationship Id="rId882" Type="http://schemas.openxmlformats.org/officeDocument/2006/relationships/hyperlink" Target="http://hdl.handle.net/2027/uiug.30112058522902?urlappend=%3Bseq=181178" TargetMode="External"/><Relationship Id="rId25" Type="http://schemas.openxmlformats.org/officeDocument/2006/relationships/hyperlink" Target="https://hdl.handle.net/2027/uc1.b3014088?urlappend=%3Bseq=173" TargetMode="External"/><Relationship Id="rId328" Type="http://schemas.openxmlformats.org/officeDocument/2006/relationships/hyperlink" Target="http://hdl.handle.net/2027/uiug.30112058522902?urlappend=%3Bseq=181181" TargetMode="External"/><Relationship Id="rId535" Type="http://schemas.openxmlformats.org/officeDocument/2006/relationships/hyperlink" Target="http://hdl.handle.net/2027/uiug.30112058522902?urlappend=%3Bseq=181174" TargetMode="External"/><Relationship Id="rId742" Type="http://schemas.openxmlformats.org/officeDocument/2006/relationships/hyperlink" Target="http://hdl.handle.net/2027/uiug.30112058522902?urlappend=%3Bseq=181178" TargetMode="External"/><Relationship Id="rId174" Type="http://schemas.openxmlformats.org/officeDocument/2006/relationships/hyperlink" Target="http://hdl.handle.net/2027/uiug.30112058522902?urlappend=%3Bseq=176" TargetMode="External"/><Relationship Id="rId381" Type="http://schemas.openxmlformats.org/officeDocument/2006/relationships/hyperlink" Target="https://hdl.handle.net/2027/uc1.b3014088?urlappend=%3Bseq=174" TargetMode="External"/><Relationship Id="rId602" Type="http://schemas.openxmlformats.org/officeDocument/2006/relationships/hyperlink" Target="http://hdl.handle.net/2027/uiug.30112058522902?urlappend=%3Bseq=181177" TargetMode="External"/><Relationship Id="rId241" Type="http://schemas.openxmlformats.org/officeDocument/2006/relationships/hyperlink" Target="https://hdl.handle.net/2027/uc1.b3014088?urlappend=%3Bseq=173" TargetMode="External"/><Relationship Id="rId479" Type="http://schemas.openxmlformats.org/officeDocument/2006/relationships/hyperlink" Target="http://hdl.handle.net/2027/uiug.30112058522902?urlappend=%3Bseq=181174" TargetMode="External"/><Relationship Id="rId686" Type="http://schemas.openxmlformats.org/officeDocument/2006/relationships/hyperlink" Target="http://hdl.handle.net/2027/uiug.30112058522902?urlappend=%3Bseq=181178" TargetMode="External"/><Relationship Id="rId893" Type="http://schemas.openxmlformats.org/officeDocument/2006/relationships/hyperlink" Target="https://hdl.handle.net/2027/uc1.b3014088?urlappend=%3Bseq=175" TargetMode="External"/><Relationship Id="rId907" Type="http://schemas.openxmlformats.org/officeDocument/2006/relationships/hyperlink" Target="http://hdl.handle.net/2027/uiug.30112058522902?urlappend=%3Bseq=181175" TargetMode="External"/><Relationship Id="rId36" Type="http://schemas.openxmlformats.org/officeDocument/2006/relationships/hyperlink" Target="http://hdl.handle.net/2027/uiug.30112058522902?urlappend=%3Bseq=180" TargetMode="External"/><Relationship Id="rId339" Type="http://schemas.openxmlformats.org/officeDocument/2006/relationships/hyperlink" Target="http://hdl.handle.net/2027/uiug.30112058522902?urlappend=%3Bseq=181173" TargetMode="External"/><Relationship Id="rId546" Type="http://schemas.openxmlformats.org/officeDocument/2006/relationships/hyperlink" Target="http://hdl.handle.net/2027/uiug.30112058522902?urlappend=%3Bseq=181177" TargetMode="External"/><Relationship Id="rId753" Type="http://schemas.openxmlformats.org/officeDocument/2006/relationships/hyperlink" Target="https://hdl.handle.net/2027/uc1.b3014088?urlappend=%3Bseq=175" TargetMode="External"/><Relationship Id="rId101" Type="http://schemas.openxmlformats.org/officeDocument/2006/relationships/hyperlink" Target="https://hdl.handle.net/2027/uc1.b3014088?urlappend=%3Bseq=173" TargetMode="External"/><Relationship Id="rId185" Type="http://schemas.openxmlformats.org/officeDocument/2006/relationships/hyperlink" Target="https://hdl.handle.net/2027/uc1.b3014088?urlappend=%3Bseq=173" TargetMode="External"/><Relationship Id="rId406" Type="http://schemas.openxmlformats.org/officeDocument/2006/relationships/hyperlink" Target="http://hdl.handle.net/2027/uiug.30112058522902?urlappend=%3Bseq=181177" TargetMode="External"/><Relationship Id="rId960" Type="http://schemas.openxmlformats.org/officeDocument/2006/relationships/hyperlink" Target="http://hdl.handle.net/2027/uiug.30112058522902?urlappend=%3Bseq=181183" TargetMode="External"/><Relationship Id="rId392" Type="http://schemas.openxmlformats.org/officeDocument/2006/relationships/hyperlink" Target="http://hdl.handle.net/2027/uiug.30112058522902?urlappend=%3Bseq=181181" TargetMode="External"/><Relationship Id="rId613" Type="http://schemas.openxmlformats.org/officeDocument/2006/relationships/hyperlink" Target="https://hdl.handle.net/2027/uc1.b3014088?urlappend=%3Bseq=174" TargetMode="External"/><Relationship Id="rId697" Type="http://schemas.openxmlformats.org/officeDocument/2006/relationships/hyperlink" Target="https://hdl.handle.net/2027/uc1.b3014088?urlappend=%3Bseq=175" TargetMode="External"/><Relationship Id="rId820" Type="http://schemas.openxmlformats.org/officeDocument/2006/relationships/hyperlink" Target="http://hdl.handle.net/2027/uiug.30112058522902?urlappend=%3Bseq=181183" TargetMode="External"/><Relationship Id="rId918" Type="http://schemas.openxmlformats.org/officeDocument/2006/relationships/hyperlink" Target="http://hdl.handle.net/2027/uiug.30112058522902?urlappend=%3Bseq=181178" TargetMode="External"/><Relationship Id="rId252" Type="http://schemas.openxmlformats.org/officeDocument/2006/relationships/hyperlink" Target="http://hdl.handle.net/2027/uiug.30112058522902?urlappend=%3Bseq=181" TargetMode="External"/><Relationship Id="rId47" Type="http://schemas.openxmlformats.org/officeDocument/2006/relationships/hyperlink" Target="http://hdl.handle.net/2027/uiug.30112058522902?urlappend=%3Bseq=172" TargetMode="External"/><Relationship Id="rId112" Type="http://schemas.openxmlformats.org/officeDocument/2006/relationships/hyperlink" Target="http://hdl.handle.net/2027/uiug.30112058522902?urlappend=%3Bseq=180" TargetMode="External"/><Relationship Id="rId557" Type="http://schemas.openxmlformats.org/officeDocument/2006/relationships/hyperlink" Target="https://hdl.handle.net/2027/uc1.b3014088?urlappend=%3Bseq=174" TargetMode="External"/><Relationship Id="rId764" Type="http://schemas.openxmlformats.org/officeDocument/2006/relationships/hyperlink" Target="http://hdl.handle.net/2027/uiug.30112058522902?urlappend=%3Bseq=181182" TargetMode="External"/><Relationship Id="rId971" Type="http://schemas.openxmlformats.org/officeDocument/2006/relationships/hyperlink" Target="http://hdl.handle.net/2027/uiug.30112058522902?urlappend=%3Bseq=181175" TargetMode="External"/><Relationship Id="rId196" Type="http://schemas.openxmlformats.org/officeDocument/2006/relationships/hyperlink" Target="http://hdl.handle.net/2027/uiug.30112058522902?urlappend=%3Bseq=181" TargetMode="External"/><Relationship Id="rId417" Type="http://schemas.openxmlformats.org/officeDocument/2006/relationships/hyperlink" Target="https://hdl.handle.net/2027/uc1.b3014088?urlappend=%3Bseq=174" TargetMode="External"/><Relationship Id="rId624" Type="http://schemas.openxmlformats.org/officeDocument/2006/relationships/hyperlink" Target="http://hdl.handle.net/2027/uiug.30112058522902?urlappend=%3Bseq=181182" TargetMode="External"/><Relationship Id="rId831" Type="http://schemas.openxmlformats.org/officeDocument/2006/relationships/hyperlink" Target="http://hdl.handle.net/2027/uiug.30112058522902?urlappend=%3Bseq=181175" TargetMode="External"/><Relationship Id="rId263" Type="http://schemas.openxmlformats.org/officeDocument/2006/relationships/hyperlink" Target="http://hdl.handle.net/2027/uiug.30112058522902?urlappend=%3Bseq=173" TargetMode="External"/><Relationship Id="rId470" Type="http://schemas.openxmlformats.org/officeDocument/2006/relationships/hyperlink" Target="http://hdl.handle.net/2027/uiug.30112058522902?urlappend=%3Bseq=181177" TargetMode="External"/><Relationship Id="rId929" Type="http://schemas.openxmlformats.org/officeDocument/2006/relationships/hyperlink" Target="https://hdl.handle.net/2027/uc1.b3014088?urlappend=%3Bseq=175" TargetMode="External"/><Relationship Id="rId58" Type="http://schemas.openxmlformats.org/officeDocument/2006/relationships/hyperlink" Target="http://hdl.handle.net/2027/uiug.30112058522902?urlappend=%3Bseq=176" TargetMode="External"/><Relationship Id="rId123" Type="http://schemas.openxmlformats.org/officeDocument/2006/relationships/hyperlink" Target="http://hdl.handle.net/2027/uiug.30112058522902?urlappend=%3Bseq=173" TargetMode="External"/><Relationship Id="rId330" Type="http://schemas.openxmlformats.org/officeDocument/2006/relationships/hyperlink" Target="http://hdl.handle.net/2027/uiug.30112058522902?urlappend=%3Bseq=181177" TargetMode="External"/><Relationship Id="rId568" Type="http://schemas.openxmlformats.org/officeDocument/2006/relationships/hyperlink" Target="http://hdl.handle.net/2027/uiug.30112058522902?urlappend=%3Bseq=181182" TargetMode="External"/><Relationship Id="rId775" Type="http://schemas.openxmlformats.org/officeDocument/2006/relationships/hyperlink" Target="http://hdl.handle.net/2027/uiug.30112058522902?urlappend=%3Bseq=181175" TargetMode="External"/><Relationship Id="rId982" Type="http://schemas.openxmlformats.org/officeDocument/2006/relationships/hyperlink" Target="http://hdl.handle.net/2027/uiug.30112058522902?urlappend=%3Bseq=181179" TargetMode="External"/><Relationship Id="rId428" Type="http://schemas.openxmlformats.org/officeDocument/2006/relationships/hyperlink" Target="http://hdl.handle.net/2027/uiug.30112058522902?urlappend=%3Bseq=181181" TargetMode="External"/><Relationship Id="rId635" Type="http://schemas.openxmlformats.org/officeDocument/2006/relationships/hyperlink" Target="http://hdl.handle.net/2027/uiug.30112058522902?urlappend=%3Bseq=181174" TargetMode="External"/><Relationship Id="rId842" Type="http://schemas.openxmlformats.org/officeDocument/2006/relationships/hyperlink" Target="http://hdl.handle.net/2027/uiug.30112058522902?urlappend=%3Bseq=181178" TargetMode="External"/><Relationship Id="rId274" Type="http://schemas.openxmlformats.org/officeDocument/2006/relationships/hyperlink" Target="http://hdl.handle.net/2027/uiug.30112058522902?urlappend=%3Bseq=176" TargetMode="External"/><Relationship Id="rId481" Type="http://schemas.openxmlformats.org/officeDocument/2006/relationships/hyperlink" Target="https://hdl.handle.net/2027/uc1.b3014088?urlappend=%3Bseq=174" TargetMode="External"/><Relationship Id="rId702" Type="http://schemas.openxmlformats.org/officeDocument/2006/relationships/hyperlink" Target="http://hdl.handle.net/2027/uiug.30112058522902?urlappend=%3Bseq=181178" TargetMode="External"/><Relationship Id="rId69" Type="http://schemas.openxmlformats.org/officeDocument/2006/relationships/hyperlink" Target="https://hdl.handle.net/2027/uc1.b3014088?urlappend=%3Bseq=173" TargetMode="External"/><Relationship Id="rId134" Type="http://schemas.openxmlformats.org/officeDocument/2006/relationships/hyperlink" Target="http://hdl.handle.net/2027/uiug.30112058522902?urlappend=%3Bseq=176" TargetMode="External"/><Relationship Id="rId579" Type="http://schemas.openxmlformats.org/officeDocument/2006/relationships/hyperlink" Target="http://hdl.handle.net/2027/uiug.30112058522902?urlappend=%3Bseq=181174" TargetMode="External"/><Relationship Id="rId786" Type="http://schemas.openxmlformats.org/officeDocument/2006/relationships/hyperlink" Target="http://hdl.handle.net/2027/uiug.30112058522902?urlappend=%3Bseq=181178" TargetMode="External"/><Relationship Id="rId993" Type="http://schemas.openxmlformats.org/officeDocument/2006/relationships/hyperlink" Target="https://hdl.handle.net/2027/uc1.b3014088?urlappend=%3Bseq=176" TargetMode="External"/><Relationship Id="rId341" Type="http://schemas.openxmlformats.org/officeDocument/2006/relationships/hyperlink" Target="https://hdl.handle.net/2027/uc1.b3014088?urlappend=%3Bseq=174" TargetMode="External"/><Relationship Id="rId439" Type="http://schemas.openxmlformats.org/officeDocument/2006/relationships/hyperlink" Target="http://hdl.handle.net/2027/uiug.30112058522902?urlappend=%3Bseq=181174" TargetMode="External"/><Relationship Id="rId646" Type="http://schemas.openxmlformats.org/officeDocument/2006/relationships/hyperlink" Target="http://hdl.handle.net/2027/uiug.30112058522902?urlappend=%3Bseq=181178" TargetMode="External"/><Relationship Id="rId201" Type="http://schemas.openxmlformats.org/officeDocument/2006/relationships/hyperlink" Target="https://hdl.handle.net/2027/uc1.b3014088?urlappend=%3Bseq=173" TargetMode="External"/><Relationship Id="rId243" Type="http://schemas.openxmlformats.org/officeDocument/2006/relationships/hyperlink" Target="http://hdl.handle.net/2027/uiug.30112058522902?urlappend=%3Bseq=173" TargetMode="External"/><Relationship Id="rId285" Type="http://schemas.openxmlformats.org/officeDocument/2006/relationships/hyperlink" Target="https://hdl.handle.net/2027/uc1.b3014088?urlappend=%3Bseq=173" TargetMode="External"/><Relationship Id="rId450" Type="http://schemas.openxmlformats.org/officeDocument/2006/relationships/hyperlink" Target="http://hdl.handle.net/2027/uiug.30112058522902?urlappend=%3Bseq=181177" TargetMode="External"/><Relationship Id="rId506" Type="http://schemas.openxmlformats.org/officeDocument/2006/relationships/hyperlink" Target="http://hdl.handle.net/2027/uiug.30112058522902?urlappend=%3Bseq=181177" TargetMode="External"/><Relationship Id="rId688" Type="http://schemas.openxmlformats.org/officeDocument/2006/relationships/hyperlink" Target="http://hdl.handle.net/2027/uiug.30112058522902?urlappend=%3Bseq=181182" TargetMode="External"/><Relationship Id="rId853" Type="http://schemas.openxmlformats.org/officeDocument/2006/relationships/hyperlink" Target="https://hdl.handle.net/2027/uc1.b3014088?urlappend=%3Bseq=175" TargetMode="External"/><Relationship Id="rId895" Type="http://schemas.openxmlformats.org/officeDocument/2006/relationships/hyperlink" Target="http://hdl.handle.net/2027/uiug.30112058522902?urlappend=%3Bseq=181175" TargetMode="External"/><Relationship Id="rId909" Type="http://schemas.openxmlformats.org/officeDocument/2006/relationships/hyperlink" Target="https://hdl.handle.net/2027/uc1.b3014088?urlappend=%3Bseq=175" TargetMode="External"/><Relationship Id="rId38" Type="http://schemas.openxmlformats.org/officeDocument/2006/relationships/hyperlink" Target="http://hdl.handle.net/2027/uiug.30112058522902?urlappend=%3Bseq=176" TargetMode="External"/><Relationship Id="rId103" Type="http://schemas.openxmlformats.org/officeDocument/2006/relationships/hyperlink" Target="http://hdl.handle.net/2027/uiug.30112058522902?urlappend=%3Bseq=173" TargetMode="External"/><Relationship Id="rId310" Type="http://schemas.openxmlformats.org/officeDocument/2006/relationships/hyperlink" Target="http://hdl.handle.net/2027/uiug.30112058522902?urlappend=%3Bseq=176" TargetMode="External"/><Relationship Id="rId492" Type="http://schemas.openxmlformats.org/officeDocument/2006/relationships/hyperlink" Target="http://hdl.handle.net/2027/uiug.30112058522902?urlappend=%3Bseq=181182" TargetMode="External"/><Relationship Id="rId548" Type="http://schemas.openxmlformats.org/officeDocument/2006/relationships/hyperlink" Target="http://hdl.handle.net/2027/uiug.30112058522902?urlappend=%3Bseq=181182" TargetMode="External"/><Relationship Id="rId713" Type="http://schemas.openxmlformats.org/officeDocument/2006/relationships/hyperlink" Target="https://hdl.handle.net/2027/uc1.b3014088?urlappend=%3Bseq=175" TargetMode="External"/><Relationship Id="rId755" Type="http://schemas.openxmlformats.org/officeDocument/2006/relationships/hyperlink" Target="http://hdl.handle.net/2027/uiug.30112058522902?urlappend=%3Bseq=181175" TargetMode="External"/><Relationship Id="rId797" Type="http://schemas.openxmlformats.org/officeDocument/2006/relationships/hyperlink" Target="https://hdl.handle.net/2027/uc1.b3014088?urlappend=%3Bseq=175" TargetMode="External"/><Relationship Id="rId920" Type="http://schemas.openxmlformats.org/officeDocument/2006/relationships/hyperlink" Target="http://hdl.handle.net/2027/uiug.30112058522902?urlappend=%3Bseq=181183" TargetMode="External"/><Relationship Id="rId962" Type="http://schemas.openxmlformats.org/officeDocument/2006/relationships/hyperlink" Target="http://hdl.handle.net/2027/uiug.30112058522902?urlappend=%3Bseq=181178" TargetMode="External"/><Relationship Id="rId91" Type="http://schemas.openxmlformats.org/officeDocument/2006/relationships/hyperlink" Target="http://hdl.handle.net/2027/uiug.30112058522902?urlappend=%3Bseq=173" TargetMode="External"/><Relationship Id="rId145" Type="http://schemas.openxmlformats.org/officeDocument/2006/relationships/hyperlink" Target="https://hdl.handle.net/2027/uc1.b3014088?urlappend=%3Bseq=173" TargetMode="External"/><Relationship Id="rId187" Type="http://schemas.openxmlformats.org/officeDocument/2006/relationships/hyperlink" Target="http://hdl.handle.net/2027/uiug.30112058522902?urlappend=%3Bseq=173" TargetMode="External"/><Relationship Id="rId352" Type="http://schemas.openxmlformats.org/officeDocument/2006/relationships/hyperlink" Target="http://hdl.handle.net/2027/uiug.30112058522902?urlappend=%3Bseq=181181" TargetMode="External"/><Relationship Id="rId394" Type="http://schemas.openxmlformats.org/officeDocument/2006/relationships/hyperlink" Target="http://hdl.handle.net/2027/uiug.30112058522902?urlappend=%3Bseq=181177" TargetMode="External"/><Relationship Id="rId408" Type="http://schemas.openxmlformats.org/officeDocument/2006/relationships/hyperlink" Target="http://hdl.handle.net/2027/uiug.30112058522902?urlappend=%3Bseq=181181" TargetMode="External"/><Relationship Id="rId615" Type="http://schemas.openxmlformats.org/officeDocument/2006/relationships/hyperlink" Target="http://hdl.handle.net/2027/uiug.30112058522902?urlappend=%3Bseq=181174" TargetMode="External"/><Relationship Id="rId822" Type="http://schemas.openxmlformats.org/officeDocument/2006/relationships/hyperlink" Target="http://hdl.handle.net/2027/uiug.30112058522902?urlappend=%3Bseq=181178" TargetMode="External"/><Relationship Id="rId212" Type="http://schemas.openxmlformats.org/officeDocument/2006/relationships/hyperlink" Target="http://hdl.handle.net/2027/uiug.30112058522902?urlappend=%3Bseq=181" TargetMode="External"/><Relationship Id="rId254" Type="http://schemas.openxmlformats.org/officeDocument/2006/relationships/hyperlink" Target="http://hdl.handle.net/2027/uiug.30112058522902?urlappend=%3Bseq=176" TargetMode="External"/><Relationship Id="rId657" Type="http://schemas.openxmlformats.org/officeDocument/2006/relationships/hyperlink" Target="https://hdl.handle.net/2027/uc1.b3014088?urlappend=%3Bseq=175" TargetMode="External"/><Relationship Id="rId699" Type="http://schemas.openxmlformats.org/officeDocument/2006/relationships/hyperlink" Target="http://hdl.handle.net/2027/uiug.30112058522902?urlappend=%3Bseq=181175" TargetMode="External"/><Relationship Id="rId864" Type="http://schemas.openxmlformats.org/officeDocument/2006/relationships/hyperlink" Target="http://hdl.handle.net/2027/uiug.30112058522902?urlappend=%3Bseq=181183" TargetMode="External"/><Relationship Id="rId49" Type="http://schemas.openxmlformats.org/officeDocument/2006/relationships/hyperlink" Target="https://hdl.handle.net/2027/uc1.b3014088?urlappend=%3Bseq=173" TargetMode="External"/><Relationship Id="rId114" Type="http://schemas.openxmlformats.org/officeDocument/2006/relationships/hyperlink" Target="http://hdl.handle.net/2027/uiug.30112058522902?urlappend=%3Bseq=176" TargetMode="External"/><Relationship Id="rId296" Type="http://schemas.openxmlformats.org/officeDocument/2006/relationships/hyperlink" Target="http://hdl.handle.net/2027/uiug.30112058522902?urlappend=%3Bseq=184" TargetMode="External"/><Relationship Id="rId461" Type="http://schemas.openxmlformats.org/officeDocument/2006/relationships/hyperlink" Target="https://hdl.handle.net/2027/uc1.b3014088?urlappend=%3Bseq=174" TargetMode="External"/><Relationship Id="rId517" Type="http://schemas.openxmlformats.org/officeDocument/2006/relationships/hyperlink" Target="https://hdl.handle.net/2027/uc1.b3014088?urlappend=%3Bseq=174" TargetMode="External"/><Relationship Id="rId559" Type="http://schemas.openxmlformats.org/officeDocument/2006/relationships/hyperlink" Target="http://hdl.handle.net/2027/uiug.30112058522902?urlappend=%3Bseq=181174" TargetMode="External"/><Relationship Id="rId724" Type="http://schemas.openxmlformats.org/officeDocument/2006/relationships/hyperlink" Target="http://hdl.handle.net/2027/uiug.30112058522902?urlappend=%3Bseq=181182" TargetMode="External"/><Relationship Id="rId766" Type="http://schemas.openxmlformats.org/officeDocument/2006/relationships/hyperlink" Target="http://hdl.handle.net/2027/uiug.30112058522902?urlappend=%3Bseq=181178" TargetMode="External"/><Relationship Id="rId931" Type="http://schemas.openxmlformats.org/officeDocument/2006/relationships/hyperlink" Target="http://hdl.handle.net/2027/uiug.30112058522902?urlappend=%3Bseq=181175" TargetMode="External"/><Relationship Id="rId60" Type="http://schemas.openxmlformats.org/officeDocument/2006/relationships/hyperlink" Target="http://hdl.handle.net/2027/uiug.30112058522902?urlappend=%3Bseq=180" TargetMode="External"/><Relationship Id="rId156" Type="http://schemas.openxmlformats.org/officeDocument/2006/relationships/hyperlink" Target="http://hdl.handle.net/2027/uiug.30112058522902?urlappend=%3Bseq=180" TargetMode="External"/><Relationship Id="rId198" Type="http://schemas.openxmlformats.org/officeDocument/2006/relationships/hyperlink" Target="http://hdl.handle.net/2027/uiug.30112058522902?urlappend=%3Bseq=176" TargetMode="External"/><Relationship Id="rId321" Type="http://schemas.openxmlformats.org/officeDocument/2006/relationships/hyperlink" Target="https://hdl.handle.net/2027/uc1.b3014088?urlappend=%3Bseq=173" TargetMode="External"/><Relationship Id="rId363" Type="http://schemas.openxmlformats.org/officeDocument/2006/relationships/hyperlink" Target="http://hdl.handle.net/2027/uiug.30112058522902?urlappend=%3Bseq=181173" TargetMode="External"/><Relationship Id="rId419" Type="http://schemas.openxmlformats.org/officeDocument/2006/relationships/hyperlink" Target="http://hdl.handle.net/2027/uiug.30112058522902?urlappend=%3Bseq=181174" TargetMode="External"/><Relationship Id="rId570" Type="http://schemas.openxmlformats.org/officeDocument/2006/relationships/hyperlink" Target="http://hdl.handle.net/2027/uiug.30112058522902?urlappend=%3Bseq=181177" TargetMode="External"/><Relationship Id="rId626" Type="http://schemas.openxmlformats.org/officeDocument/2006/relationships/hyperlink" Target="http://hdl.handle.net/2027/uiug.30112058522902?urlappend=%3Bseq=181177" TargetMode="External"/><Relationship Id="rId973" Type="http://schemas.openxmlformats.org/officeDocument/2006/relationships/hyperlink" Target="https://hdl.handle.net/2027/uc1.b3014088?urlappend=%3Bseq=176" TargetMode="External"/><Relationship Id="rId1007" Type="http://schemas.openxmlformats.org/officeDocument/2006/relationships/hyperlink" Target="http://hdl.handle.net/2027/uiug.30112058522902?urlappend=%3Bseq=181175" TargetMode="External"/><Relationship Id="rId223" Type="http://schemas.openxmlformats.org/officeDocument/2006/relationships/hyperlink" Target="http://hdl.handle.net/2027/uiug.30112058522902?urlappend=%3Bseq=173" TargetMode="External"/><Relationship Id="rId430" Type="http://schemas.openxmlformats.org/officeDocument/2006/relationships/hyperlink" Target="http://hdl.handle.net/2027/uiug.30112058522902?urlappend=%3Bseq=181177" TargetMode="External"/><Relationship Id="rId668" Type="http://schemas.openxmlformats.org/officeDocument/2006/relationships/hyperlink" Target="http://hdl.handle.net/2027/uiug.30112058522902?urlappend=%3Bseq=181182" TargetMode="External"/><Relationship Id="rId833" Type="http://schemas.openxmlformats.org/officeDocument/2006/relationships/hyperlink" Target="https://hdl.handle.net/2027/uc1.b3014088?urlappend=%3Bseq=175" TargetMode="External"/><Relationship Id="rId875" Type="http://schemas.openxmlformats.org/officeDocument/2006/relationships/hyperlink" Target="http://hdl.handle.net/2027/uiug.30112058522902?urlappend=%3Bseq=181175" TargetMode="External"/><Relationship Id="rId18" Type="http://schemas.openxmlformats.org/officeDocument/2006/relationships/hyperlink" Target="http://hdl.handle.net/2027/uiug.30112058522902?urlappend=%3Bseq=176" TargetMode="External"/><Relationship Id="rId265" Type="http://schemas.openxmlformats.org/officeDocument/2006/relationships/hyperlink" Target="https://hdl.handle.net/2027/uc1.b3014088?urlappend=%3Bseq=173" TargetMode="External"/><Relationship Id="rId472" Type="http://schemas.openxmlformats.org/officeDocument/2006/relationships/hyperlink" Target="http://hdl.handle.net/2027/uiug.30112058522902?urlappend=%3Bseq=181181" TargetMode="External"/><Relationship Id="rId528" Type="http://schemas.openxmlformats.org/officeDocument/2006/relationships/hyperlink" Target="http://hdl.handle.net/2027/uiug.30112058522902?urlappend=%3Bseq=181182" TargetMode="External"/><Relationship Id="rId735" Type="http://schemas.openxmlformats.org/officeDocument/2006/relationships/hyperlink" Target="http://hdl.handle.net/2027/uiug.30112058522902?urlappend=%3Bseq=181175" TargetMode="External"/><Relationship Id="rId900" Type="http://schemas.openxmlformats.org/officeDocument/2006/relationships/hyperlink" Target="http://hdl.handle.net/2027/uiug.30112058522902?urlappend=%3Bseq=181183" TargetMode="External"/><Relationship Id="rId942" Type="http://schemas.openxmlformats.org/officeDocument/2006/relationships/hyperlink" Target="http://hdl.handle.net/2027/uiug.30112058522902?urlappend=%3Bseq=181178" TargetMode="External"/><Relationship Id="rId125" Type="http://schemas.openxmlformats.org/officeDocument/2006/relationships/hyperlink" Target="https://hdl.handle.net/2027/uc1.b3014088?urlappend=%3Bseq=173" TargetMode="External"/><Relationship Id="rId167" Type="http://schemas.openxmlformats.org/officeDocument/2006/relationships/hyperlink" Target="http://hdl.handle.net/2027/uiug.30112058522902?urlappend=%3Bseq=173" TargetMode="External"/><Relationship Id="rId332" Type="http://schemas.openxmlformats.org/officeDocument/2006/relationships/hyperlink" Target="http://hdl.handle.net/2027/uiug.30112058522902?urlappend=%3Bseq=181181" TargetMode="External"/><Relationship Id="rId374" Type="http://schemas.openxmlformats.org/officeDocument/2006/relationships/hyperlink" Target="http://hdl.handle.net/2027/uiug.30112058522902?urlappend=%3Bseq=181177" TargetMode="External"/><Relationship Id="rId581" Type="http://schemas.openxmlformats.org/officeDocument/2006/relationships/hyperlink" Target="https://hdl.handle.net/2027/uc1.b3014088?urlappend=%3Bseq=174" TargetMode="External"/><Relationship Id="rId777" Type="http://schemas.openxmlformats.org/officeDocument/2006/relationships/hyperlink" Target="https://hdl.handle.net/2027/uc1.b3014088?urlappend=%3Bseq=175" TargetMode="External"/><Relationship Id="rId984" Type="http://schemas.openxmlformats.org/officeDocument/2006/relationships/hyperlink" Target="http://hdl.handle.net/2027/uiug.30112058522902?urlappend=%3Bseq=181183" TargetMode="External"/><Relationship Id="rId71" Type="http://schemas.openxmlformats.org/officeDocument/2006/relationships/hyperlink" Target="http://hdl.handle.net/2027/uiug.30112058522902?urlappend=%3Bseq=172" TargetMode="External"/><Relationship Id="rId234" Type="http://schemas.openxmlformats.org/officeDocument/2006/relationships/hyperlink" Target="http://hdl.handle.net/2027/uiug.30112058522902?urlappend=%3Bseq=176" TargetMode="External"/><Relationship Id="rId637" Type="http://schemas.openxmlformats.org/officeDocument/2006/relationships/hyperlink" Target="https://hdl.handle.net/2027/uc1.b3014088?urlappend=%3Bseq=174" TargetMode="External"/><Relationship Id="rId679" Type="http://schemas.openxmlformats.org/officeDocument/2006/relationships/hyperlink" Target="http://hdl.handle.net/2027/uiug.30112058522902?urlappend=%3Bseq=181174" TargetMode="External"/><Relationship Id="rId802" Type="http://schemas.openxmlformats.org/officeDocument/2006/relationships/hyperlink" Target="http://hdl.handle.net/2027/uiug.30112058522902?urlappend=%3Bseq=181178" TargetMode="External"/><Relationship Id="rId844" Type="http://schemas.openxmlformats.org/officeDocument/2006/relationships/hyperlink" Target="http://hdl.handle.net/2027/uiug.30112058522902?urlappend=%3Bseq=181183" TargetMode="External"/><Relationship Id="rId886" Type="http://schemas.openxmlformats.org/officeDocument/2006/relationships/hyperlink" Target="http://hdl.handle.net/2027/uiug.30112058522902?urlappend=%3Bseq=181178" TargetMode="External"/><Relationship Id="rId2" Type="http://schemas.openxmlformats.org/officeDocument/2006/relationships/hyperlink" Target="http://hdl.handle.net/2027/uiug.30112058522902?urlappend=%3Bseq=176" TargetMode="External"/><Relationship Id="rId29" Type="http://schemas.openxmlformats.org/officeDocument/2006/relationships/hyperlink" Target="https://hdl.handle.net/2027/uc1.b3014088?urlappend=%3Bseq=173" TargetMode="External"/><Relationship Id="rId276" Type="http://schemas.openxmlformats.org/officeDocument/2006/relationships/hyperlink" Target="http://hdl.handle.net/2027/uiug.30112058522902?urlappend=%3Bseq=181" TargetMode="External"/><Relationship Id="rId441" Type="http://schemas.openxmlformats.org/officeDocument/2006/relationships/hyperlink" Target="https://hdl.handle.net/2027/uc1.b3014088?urlappend=%3Bseq=174" TargetMode="External"/><Relationship Id="rId483" Type="http://schemas.openxmlformats.org/officeDocument/2006/relationships/hyperlink" Target="http://hdl.handle.net/2027/uiug.30112058522902?urlappend=%3Bseq=181174" TargetMode="External"/><Relationship Id="rId539" Type="http://schemas.openxmlformats.org/officeDocument/2006/relationships/hyperlink" Target="http://hdl.handle.net/2027/uiug.30112058522902?urlappend=%3Bseq=181174" TargetMode="External"/><Relationship Id="rId690" Type="http://schemas.openxmlformats.org/officeDocument/2006/relationships/hyperlink" Target="http://hdl.handle.net/2027/uiug.30112058522902?urlappend=%3Bseq=181178" TargetMode="External"/><Relationship Id="rId704" Type="http://schemas.openxmlformats.org/officeDocument/2006/relationships/hyperlink" Target="http://hdl.handle.net/2027/uiug.30112058522902?urlappend=%3Bseq=181182" TargetMode="External"/><Relationship Id="rId746" Type="http://schemas.openxmlformats.org/officeDocument/2006/relationships/hyperlink" Target="http://hdl.handle.net/2027/uiug.30112058522902?urlappend=%3Bseq=181178" TargetMode="External"/><Relationship Id="rId911" Type="http://schemas.openxmlformats.org/officeDocument/2006/relationships/hyperlink" Target="http://hdl.handle.net/2027/uiug.30112058522902?urlappend=%3Bseq=181175" TargetMode="External"/><Relationship Id="rId40" Type="http://schemas.openxmlformats.org/officeDocument/2006/relationships/hyperlink" Target="http://hdl.handle.net/2027/uiug.30112058522902?urlappend=%3Bseq=180" TargetMode="External"/><Relationship Id="rId136" Type="http://schemas.openxmlformats.org/officeDocument/2006/relationships/hyperlink" Target="http://hdl.handle.net/2027/uiug.30112058522902?urlappend=%3Bseq=180" TargetMode="External"/><Relationship Id="rId178" Type="http://schemas.openxmlformats.org/officeDocument/2006/relationships/hyperlink" Target="http://hdl.handle.net/2027/uiug.30112058522902?urlappend=%3Bseq=176" TargetMode="External"/><Relationship Id="rId301" Type="http://schemas.openxmlformats.org/officeDocument/2006/relationships/hyperlink" Target="https://hdl.handle.net/2027/uc1.b3014088?urlappend=%3Bseq=173" TargetMode="External"/><Relationship Id="rId343" Type="http://schemas.openxmlformats.org/officeDocument/2006/relationships/hyperlink" Target="http://hdl.handle.net/2027/uiug.30112058522902?urlappend=%3Bseq=181173" TargetMode="External"/><Relationship Id="rId550" Type="http://schemas.openxmlformats.org/officeDocument/2006/relationships/hyperlink" Target="http://hdl.handle.net/2027/uiug.30112058522902?urlappend=%3Bseq=181177" TargetMode="External"/><Relationship Id="rId788" Type="http://schemas.openxmlformats.org/officeDocument/2006/relationships/hyperlink" Target="http://hdl.handle.net/2027/uiug.30112058522902?urlappend=%3Bseq=181182" TargetMode="External"/><Relationship Id="rId953" Type="http://schemas.openxmlformats.org/officeDocument/2006/relationships/hyperlink" Target="https://hdl.handle.net/2027/uc1.b3014088?urlappend=%3Bseq=175" TargetMode="External"/><Relationship Id="rId995" Type="http://schemas.openxmlformats.org/officeDocument/2006/relationships/hyperlink" Target="http://hdl.handle.net/2027/uiug.30112058522902?urlappend=%3Bseq=181175" TargetMode="External"/><Relationship Id="rId82" Type="http://schemas.openxmlformats.org/officeDocument/2006/relationships/hyperlink" Target="http://hdl.handle.net/2027/uiug.30112058522902?urlappend=%3Bseq=176" TargetMode="External"/><Relationship Id="rId203" Type="http://schemas.openxmlformats.org/officeDocument/2006/relationships/hyperlink" Target="http://hdl.handle.net/2027/uiug.30112058522902?urlappend=%3Bseq=173" TargetMode="External"/><Relationship Id="rId385" Type="http://schemas.openxmlformats.org/officeDocument/2006/relationships/hyperlink" Target="https://hdl.handle.net/2027/uc1.b3014088?urlappend=%3Bseq=174" TargetMode="External"/><Relationship Id="rId592" Type="http://schemas.openxmlformats.org/officeDocument/2006/relationships/hyperlink" Target="http://hdl.handle.net/2027/uiug.30112058522902?urlappend=%3Bseq=181182" TargetMode="External"/><Relationship Id="rId606" Type="http://schemas.openxmlformats.org/officeDocument/2006/relationships/hyperlink" Target="http://hdl.handle.net/2027/uiug.30112058522902?urlappend=%3Bseq=181177" TargetMode="External"/><Relationship Id="rId648" Type="http://schemas.openxmlformats.org/officeDocument/2006/relationships/hyperlink" Target="http://hdl.handle.net/2027/uiug.30112058522902?urlappend=%3Bseq=181182" TargetMode="External"/><Relationship Id="rId813" Type="http://schemas.openxmlformats.org/officeDocument/2006/relationships/hyperlink" Target="https://hdl.handle.net/2027/uc1.b3014088?urlappend=%3Bseq=175" TargetMode="External"/><Relationship Id="rId855" Type="http://schemas.openxmlformats.org/officeDocument/2006/relationships/hyperlink" Target="http://hdl.handle.net/2027/uiug.30112058522902?urlappend=%3Bseq=181175" TargetMode="External"/><Relationship Id="rId245" Type="http://schemas.openxmlformats.org/officeDocument/2006/relationships/hyperlink" Target="https://hdl.handle.net/2027/uc1.b3014088?urlappend=%3Bseq=173" TargetMode="External"/><Relationship Id="rId287" Type="http://schemas.openxmlformats.org/officeDocument/2006/relationships/hyperlink" Target="http://hdl.handle.net/2027/uiug.30112058522902?urlappend=%3Bseq=173" TargetMode="External"/><Relationship Id="rId410" Type="http://schemas.openxmlformats.org/officeDocument/2006/relationships/hyperlink" Target="http://hdl.handle.net/2027/uiug.30112058522902?urlappend=%3Bseq=181177" TargetMode="External"/><Relationship Id="rId452" Type="http://schemas.openxmlformats.org/officeDocument/2006/relationships/hyperlink" Target="http://hdl.handle.net/2027/uiug.30112058522902?urlappend=%3Bseq=181181" TargetMode="External"/><Relationship Id="rId494" Type="http://schemas.openxmlformats.org/officeDocument/2006/relationships/hyperlink" Target="http://hdl.handle.net/2027/uiug.30112058522902?urlappend=%3Bseq=181177" TargetMode="External"/><Relationship Id="rId508" Type="http://schemas.openxmlformats.org/officeDocument/2006/relationships/hyperlink" Target="http://hdl.handle.net/2027/uiug.30112058522902?urlappend=%3Bseq=181182" TargetMode="External"/><Relationship Id="rId715" Type="http://schemas.openxmlformats.org/officeDocument/2006/relationships/hyperlink" Target="http://hdl.handle.net/2027/uiug.30112058522902?urlappend=%3Bseq=181175" TargetMode="External"/><Relationship Id="rId897" Type="http://schemas.openxmlformats.org/officeDocument/2006/relationships/hyperlink" Target="https://hdl.handle.net/2027/uc1.b3014088?urlappend=%3Bseq=175" TargetMode="External"/><Relationship Id="rId922" Type="http://schemas.openxmlformats.org/officeDocument/2006/relationships/hyperlink" Target="http://hdl.handle.net/2027/uiug.30112058522902?urlappend=%3Bseq=181178" TargetMode="External"/><Relationship Id="rId105" Type="http://schemas.openxmlformats.org/officeDocument/2006/relationships/hyperlink" Target="https://hdl.handle.net/2027/uc1.b3014088?urlappend=%3Bseq=173" TargetMode="External"/><Relationship Id="rId147" Type="http://schemas.openxmlformats.org/officeDocument/2006/relationships/hyperlink" Target="http://hdl.handle.net/2027/uiug.30112058522902?urlappend=%3Bseq=173" TargetMode="External"/><Relationship Id="rId312" Type="http://schemas.openxmlformats.org/officeDocument/2006/relationships/hyperlink" Target="http://hdl.handle.net/2027/uiug.30112058522902?urlappend=%3Bseq=181" TargetMode="External"/><Relationship Id="rId354" Type="http://schemas.openxmlformats.org/officeDocument/2006/relationships/hyperlink" Target="http://hdl.handle.net/2027/uiug.30112058522902?urlappend=%3Bseq=181177" TargetMode="External"/><Relationship Id="rId757" Type="http://schemas.openxmlformats.org/officeDocument/2006/relationships/hyperlink" Target="https://hdl.handle.net/2027/uc1.b3014088?urlappend=%3Bseq=175" TargetMode="External"/><Relationship Id="rId799" Type="http://schemas.openxmlformats.org/officeDocument/2006/relationships/hyperlink" Target="http://hdl.handle.net/2027/uiug.30112058522902?urlappend=%3Bseq=181175" TargetMode="External"/><Relationship Id="rId964" Type="http://schemas.openxmlformats.org/officeDocument/2006/relationships/hyperlink" Target="http://hdl.handle.net/2027/uiug.30112058522902?urlappend=%3Bseq=181183" TargetMode="External"/><Relationship Id="rId51" Type="http://schemas.openxmlformats.org/officeDocument/2006/relationships/hyperlink" Target="http://hdl.handle.net/2027/uiug.30112058522902?urlappend=%3Bseq=172" TargetMode="External"/><Relationship Id="rId93" Type="http://schemas.openxmlformats.org/officeDocument/2006/relationships/hyperlink" Target="https://hdl.handle.net/2027/uc1.b3014088?urlappend=%3Bseq=173" TargetMode="External"/><Relationship Id="rId189" Type="http://schemas.openxmlformats.org/officeDocument/2006/relationships/hyperlink" Target="https://hdl.handle.net/2027/uc1.b3014088?urlappend=%3Bseq=173" TargetMode="External"/><Relationship Id="rId396" Type="http://schemas.openxmlformats.org/officeDocument/2006/relationships/hyperlink" Target="http://hdl.handle.net/2027/uiug.30112058522902?urlappend=%3Bseq=181181" TargetMode="External"/><Relationship Id="rId561" Type="http://schemas.openxmlformats.org/officeDocument/2006/relationships/hyperlink" Target="https://hdl.handle.net/2027/uc1.b3014088?urlappend=%3Bseq=174" TargetMode="External"/><Relationship Id="rId617" Type="http://schemas.openxmlformats.org/officeDocument/2006/relationships/hyperlink" Target="https://hdl.handle.net/2027/uc1.b3014088?urlappend=%3Bseq=174" TargetMode="External"/><Relationship Id="rId659" Type="http://schemas.openxmlformats.org/officeDocument/2006/relationships/hyperlink" Target="http://hdl.handle.net/2027/uiug.30112058522902?urlappend=%3Bseq=181174" TargetMode="External"/><Relationship Id="rId824" Type="http://schemas.openxmlformats.org/officeDocument/2006/relationships/hyperlink" Target="http://hdl.handle.net/2027/uiug.30112058522902?urlappend=%3Bseq=181183" TargetMode="External"/><Relationship Id="rId866" Type="http://schemas.openxmlformats.org/officeDocument/2006/relationships/hyperlink" Target="http://hdl.handle.net/2027/uiug.30112058522902?urlappend=%3Bseq=181178" TargetMode="External"/><Relationship Id="rId214" Type="http://schemas.openxmlformats.org/officeDocument/2006/relationships/hyperlink" Target="http://hdl.handle.net/2027/uiug.30112058522902?urlappend=%3Bseq=176" TargetMode="External"/><Relationship Id="rId256" Type="http://schemas.openxmlformats.org/officeDocument/2006/relationships/hyperlink" Target="http://hdl.handle.net/2027/uiug.30112058522902?urlappend=%3Bseq=181" TargetMode="External"/><Relationship Id="rId298" Type="http://schemas.openxmlformats.org/officeDocument/2006/relationships/hyperlink" Target="http://hdl.handle.net/2027/uiug.30112058522902?urlappend=%3Bseq=176" TargetMode="External"/><Relationship Id="rId421" Type="http://schemas.openxmlformats.org/officeDocument/2006/relationships/hyperlink" Target="https://hdl.handle.net/2027/uc1.b3014088?urlappend=%3Bseq=174" TargetMode="External"/><Relationship Id="rId463" Type="http://schemas.openxmlformats.org/officeDocument/2006/relationships/hyperlink" Target="http://hdl.handle.net/2027/uiug.30112058522902?urlappend=%3Bseq=181174" TargetMode="External"/><Relationship Id="rId519" Type="http://schemas.openxmlformats.org/officeDocument/2006/relationships/hyperlink" Target="http://hdl.handle.net/2027/uiug.30112058522902?urlappend=%3Bseq=181174" TargetMode="External"/><Relationship Id="rId670" Type="http://schemas.openxmlformats.org/officeDocument/2006/relationships/hyperlink" Target="http://hdl.handle.net/2027/uiug.30112058522902?urlappend=%3Bseq=181178" TargetMode="External"/><Relationship Id="rId116" Type="http://schemas.openxmlformats.org/officeDocument/2006/relationships/hyperlink" Target="http://hdl.handle.net/2027/uiug.30112058522902?urlappend=%3Bseq=180" TargetMode="External"/><Relationship Id="rId158" Type="http://schemas.openxmlformats.org/officeDocument/2006/relationships/hyperlink" Target="http://hdl.handle.net/2027/uiug.30112058522902?urlappend=%3Bseq=176" TargetMode="External"/><Relationship Id="rId323" Type="http://schemas.openxmlformats.org/officeDocument/2006/relationships/hyperlink" Target="http://hdl.handle.net/2027/uiug.30112058522902?urlappend=%3Bseq=173" TargetMode="External"/><Relationship Id="rId530" Type="http://schemas.openxmlformats.org/officeDocument/2006/relationships/hyperlink" Target="http://hdl.handle.net/2027/uiug.30112058522902?urlappend=%3Bseq=181177" TargetMode="External"/><Relationship Id="rId726" Type="http://schemas.openxmlformats.org/officeDocument/2006/relationships/hyperlink" Target="http://hdl.handle.net/2027/uiug.30112058522902?urlappend=%3Bseq=181178" TargetMode="External"/><Relationship Id="rId768" Type="http://schemas.openxmlformats.org/officeDocument/2006/relationships/hyperlink" Target="http://hdl.handle.net/2027/uiug.30112058522902?urlappend=%3Bseq=181182" TargetMode="External"/><Relationship Id="rId933" Type="http://schemas.openxmlformats.org/officeDocument/2006/relationships/hyperlink" Target="https://hdl.handle.net/2027/uc1.b3014088?urlappend=%3Bseq=175" TargetMode="External"/><Relationship Id="rId975" Type="http://schemas.openxmlformats.org/officeDocument/2006/relationships/hyperlink" Target="http://hdl.handle.net/2027/uiug.30112058522902?urlappend=%3Bseq=181175" TargetMode="External"/><Relationship Id="rId1009" Type="http://schemas.openxmlformats.org/officeDocument/2006/relationships/hyperlink" Target="https://hdl.handle.net/2027/uc1.b3014088?urlappend=%3Bseq=176" TargetMode="External"/><Relationship Id="rId20" Type="http://schemas.openxmlformats.org/officeDocument/2006/relationships/hyperlink" Target="http://hdl.handle.net/2027/uiug.30112058522902?urlappend=%3Bseq=180" TargetMode="External"/><Relationship Id="rId62" Type="http://schemas.openxmlformats.org/officeDocument/2006/relationships/hyperlink" Target="http://hdl.handle.net/2027/uiug.30112058522902?urlappend=%3Bseq=176" TargetMode="External"/><Relationship Id="rId365" Type="http://schemas.openxmlformats.org/officeDocument/2006/relationships/hyperlink" Target="https://hdl.handle.net/2027/uc1.b3014088?urlappend=%3Bseq=174" TargetMode="External"/><Relationship Id="rId572" Type="http://schemas.openxmlformats.org/officeDocument/2006/relationships/hyperlink" Target="http://hdl.handle.net/2027/uiug.30112058522902?urlappend=%3Bseq=181182" TargetMode="External"/><Relationship Id="rId628" Type="http://schemas.openxmlformats.org/officeDocument/2006/relationships/hyperlink" Target="http://hdl.handle.net/2027/uiug.30112058522902?urlappend=%3Bseq=181182" TargetMode="External"/><Relationship Id="rId835" Type="http://schemas.openxmlformats.org/officeDocument/2006/relationships/hyperlink" Target="http://hdl.handle.net/2027/uiug.30112058522902?urlappend=%3Bseq=181175" TargetMode="External"/><Relationship Id="rId225" Type="http://schemas.openxmlformats.org/officeDocument/2006/relationships/hyperlink" Target="https://hdl.handle.net/2027/uc1.b3014088?urlappend=%3Bseq=173" TargetMode="External"/><Relationship Id="rId267" Type="http://schemas.openxmlformats.org/officeDocument/2006/relationships/hyperlink" Target="http://hdl.handle.net/2027/uiug.30112058522902?urlappend=%3Bseq=173" TargetMode="External"/><Relationship Id="rId432" Type="http://schemas.openxmlformats.org/officeDocument/2006/relationships/hyperlink" Target="http://hdl.handle.net/2027/uiug.30112058522902?urlappend=%3Bseq=181181" TargetMode="External"/><Relationship Id="rId474" Type="http://schemas.openxmlformats.org/officeDocument/2006/relationships/hyperlink" Target="http://hdl.handle.net/2027/uiug.30112058522902?urlappend=%3Bseq=181177" TargetMode="External"/><Relationship Id="rId877" Type="http://schemas.openxmlformats.org/officeDocument/2006/relationships/hyperlink" Target="https://hdl.handle.net/2027/uc1.b3014088?urlappend=%3Bseq=175" TargetMode="External"/><Relationship Id="rId127" Type="http://schemas.openxmlformats.org/officeDocument/2006/relationships/hyperlink" Target="http://hdl.handle.net/2027/uiug.30112058522902?urlappend=%3Bseq=173" TargetMode="External"/><Relationship Id="rId681" Type="http://schemas.openxmlformats.org/officeDocument/2006/relationships/hyperlink" Target="https://hdl.handle.net/2027/uc1.b3014088?urlappend=%3Bseq=175" TargetMode="External"/><Relationship Id="rId737" Type="http://schemas.openxmlformats.org/officeDocument/2006/relationships/hyperlink" Target="https://hdl.handle.net/2027/uc1.b3014088?urlappend=%3Bseq=175" TargetMode="External"/><Relationship Id="rId779" Type="http://schemas.openxmlformats.org/officeDocument/2006/relationships/hyperlink" Target="http://hdl.handle.net/2027/uiug.30112058522902?urlappend=%3Bseq=181175" TargetMode="External"/><Relationship Id="rId902" Type="http://schemas.openxmlformats.org/officeDocument/2006/relationships/hyperlink" Target="http://hdl.handle.net/2027/uiug.30112058522902?urlappend=%3Bseq=181178" TargetMode="External"/><Relationship Id="rId944" Type="http://schemas.openxmlformats.org/officeDocument/2006/relationships/hyperlink" Target="http://hdl.handle.net/2027/uiug.30112058522902?urlappend=%3Bseq=181183" TargetMode="External"/><Relationship Id="rId986" Type="http://schemas.openxmlformats.org/officeDocument/2006/relationships/hyperlink" Target="http://hdl.handle.net/2027/uiug.30112058522902?urlappend=%3Bseq=181179" TargetMode="External"/><Relationship Id="rId31" Type="http://schemas.openxmlformats.org/officeDocument/2006/relationships/hyperlink" Target="http://hdl.handle.net/2027/uiug.30112058522902?urlappend=%3Bseq=172" TargetMode="External"/><Relationship Id="rId73" Type="http://schemas.openxmlformats.org/officeDocument/2006/relationships/hyperlink" Target="https://hdl.handle.net/2027/uc1.b3014088?urlappend=%3Bseq=173" TargetMode="External"/><Relationship Id="rId169" Type="http://schemas.openxmlformats.org/officeDocument/2006/relationships/hyperlink" Target="https://hdl.handle.net/2027/uc1.b3014088?urlappend=%3Bseq=173" TargetMode="External"/><Relationship Id="rId334" Type="http://schemas.openxmlformats.org/officeDocument/2006/relationships/hyperlink" Target="http://hdl.handle.net/2027/uiug.30112058522902?urlappend=%3Bseq=181177" TargetMode="External"/><Relationship Id="rId376" Type="http://schemas.openxmlformats.org/officeDocument/2006/relationships/hyperlink" Target="http://hdl.handle.net/2027/uiug.30112058522902?urlappend=%3Bseq=181181" TargetMode="External"/><Relationship Id="rId541" Type="http://schemas.openxmlformats.org/officeDocument/2006/relationships/hyperlink" Target="https://hdl.handle.net/2027/uc1.b3014088?urlappend=%3Bseq=174" TargetMode="External"/><Relationship Id="rId583" Type="http://schemas.openxmlformats.org/officeDocument/2006/relationships/hyperlink" Target="http://hdl.handle.net/2027/uiug.30112058522902?urlappend=%3Bseq=181174" TargetMode="External"/><Relationship Id="rId639" Type="http://schemas.openxmlformats.org/officeDocument/2006/relationships/hyperlink" Target="http://hdl.handle.net/2027/uiug.30112058522902?urlappend=%3Bseq=181174" TargetMode="External"/><Relationship Id="rId790" Type="http://schemas.openxmlformats.org/officeDocument/2006/relationships/hyperlink" Target="http://hdl.handle.net/2027/uiug.30112058522902?urlappend=%3Bseq=181178" TargetMode="External"/><Relationship Id="rId804" Type="http://schemas.openxmlformats.org/officeDocument/2006/relationships/hyperlink" Target="http://hdl.handle.net/2027/uiug.30112058522902?urlappend=%3Bseq=181183" TargetMode="External"/><Relationship Id="rId4" Type="http://schemas.openxmlformats.org/officeDocument/2006/relationships/hyperlink" Target="http://hdl.handle.net/2027/uiug.30112058522902?urlappend=%3Bseq=180" TargetMode="External"/><Relationship Id="rId180" Type="http://schemas.openxmlformats.org/officeDocument/2006/relationships/hyperlink" Target="http://hdl.handle.net/2027/uiug.30112058522902?urlappend=%3Bseq=181" TargetMode="External"/><Relationship Id="rId236" Type="http://schemas.openxmlformats.org/officeDocument/2006/relationships/hyperlink" Target="http://hdl.handle.net/2027/uiug.30112058522902?urlappend=%3Bseq=181" TargetMode="External"/><Relationship Id="rId278" Type="http://schemas.openxmlformats.org/officeDocument/2006/relationships/hyperlink" Target="http://hdl.handle.net/2027/uiug.30112058522902?urlappend=%3Bseq=176" TargetMode="External"/><Relationship Id="rId401" Type="http://schemas.openxmlformats.org/officeDocument/2006/relationships/hyperlink" Target="https://hdl.handle.net/2027/uc1.b3014088?urlappend=%3Bseq=174" TargetMode="External"/><Relationship Id="rId443" Type="http://schemas.openxmlformats.org/officeDocument/2006/relationships/hyperlink" Target="http://hdl.handle.net/2027/uiug.30112058522902?urlappend=%3Bseq=181174" TargetMode="External"/><Relationship Id="rId650" Type="http://schemas.openxmlformats.org/officeDocument/2006/relationships/hyperlink" Target="http://hdl.handle.net/2027/uiug.30112058522902?urlappend=%3Bseq=181178" TargetMode="External"/><Relationship Id="rId846" Type="http://schemas.openxmlformats.org/officeDocument/2006/relationships/hyperlink" Target="http://hdl.handle.net/2027/uiug.30112058522902?urlappend=%3Bseq=181178" TargetMode="External"/><Relationship Id="rId888" Type="http://schemas.openxmlformats.org/officeDocument/2006/relationships/hyperlink" Target="http://hdl.handle.net/2027/uiug.30112058522902?urlappend=%3Bseq=181183" TargetMode="External"/><Relationship Id="rId303" Type="http://schemas.openxmlformats.org/officeDocument/2006/relationships/hyperlink" Target="http://hdl.handle.net/2027/uiug.30112058522902?urlappend=%3Bseq=173" TargetMode="External"/><Relationship Id="rId485" Type="http://schemas.openxmlformats.org/officeDocument/2006/relationships/hyperlink" Target="https://hdl.handle.net/2027/uc1.b3014088?urlappend=%3Bseq=174" TargetMode="External"/><Relationship Id="rId692" Type="http://schemas.openxmlformats.org/officeDocument/2006/relationships/hyperlink" Target="http://hdl.handle.net/2027/uiug.30112058522902?urlappend=%3Bseq=181182" TargetMode="External"/><Relationship Id="rId706" Type="http://schemas.openxmlformats.org/officeDocument/2006/relationships/hyperlink" Target="http://hdl.handle.net/2027/uiug.30112058522902?urlappend=%3Bseq=181178" TargetMode="External"/><Relationship Id="rId748" Type="http://schemas.openxmlformats.org/officeDocument/2006/relationships/hyperlink" Target="http://hdl.handle.net/2027/uiug.30112058522902?urlappend=%3Bseq=181182" TargetMode="External"/><Relationship Id="rId913" Type="http://schemas.openxmlformats.org/officeDocument/2006/relationships/hyperlink" Target="https://hdl.handle.net/2027/uc1.b3014088?urlappend=%3Bseq=175" TargetMode="External"/><Relationship Id="rId955" Type="http://schemas.openxmlformats.org/officeDocument/2006/relationships/hyperlink" Target="http://hdl.handle.net/2027/uiug.30112058522902?urlappend=%3Bseq=181175" TargetMode="External"/><Relationship Id="rId42" Type="http://schemas.openxmlformats.org/officeDocument/2006/relationships/hyperlink" Target="http://hdl.handle.net/2027/uiug.30112058522902?urlappend=%3Bseq=176" TargetMode="External"/><Relationship Id="rId84" Type="http://schemas.openxmlformats.org/officeDocument/2006/relationships/hyperlink" Target="http://hdl.handle.net/2027/uiug.30112058522902?urlappend=%3Bseq=180" TargetMode="External"/><Relationship Id="rId138" Type="http://schemas.openxmlformats.org/officeDocument/2006/relationships/hyperlink" Target="http://hdl.handle.net/2027/uiug.30112058522902?urlappend=%3Bseq=176" TargetMode="External"/><Relationship Id="rId345" Type="http://schemas.openxmlformats.org/officeDocument/2006/relationships/hyperlink" Target="https://hdl.handle.net/2027/uc1.b3014088?urlappend=%3Bseq=174" TargetMode="External"/><Relationship Id="rId387" Type="http://schemas.openxmlformats.org/officeDocument/2006/relationships/hyperlink" Target="http://hdl.handle.net/2027/uiug.30112058522902?urlappend=%3Bseq=181174" TargetMode="External"/><Relationship Id="rId510" Type="http://schemas.openxmlformats.org/officeDocument/2006/relationships/hyperlink" Target="http://hdl.handle.net/2027/uiug.30112058522902?urlappend=%3Bseq=181177" TargetMode="External"/><Relationship Id="rId552" Type="http://schemas.openxmlformats.org/officeDocument/2006/relationships/hyperlink" Target="http://hdl.handle.net/2027/uiug.30112058522902?urlappend=%3Bseq=181182" TargetMode="External"/><Relationship Id="rId594" Type="http://schemas.openxmlformats.org/officeDocument/2006/relationships/hyperlink" Target="http://hdl.handle.net/2027/uiug.30112058522902?urlappend=%3Bseq=181177" TargetMode="External"/><Relationship Id="rId608" Type="http://schemas.openxmlformats.org/officeDocument/2006/relationships/hyperlink" Target="http://hdl.handle.net/2027/uiug.30112058522902?urlappend=%3Bseq=181182" TargetMode="External"/><Relationship Id="rId815" Type="http://schemas.openxmlformats.org/officeDocument/2006/relationships/hyperlink" Target="http://hdl.handle.net/2027/uiug.30112058522902?urlappend=%3Bseq=181175" TargetMode="External"/><Relationship Id="rId997" Type="http://schemas.openxmlformats.org/officeDocument/2006/relationships/hyperlink" Target="https://hdl.handle.net/2027/uc1.b3014088?urlappend=%3Bseq=176" TargetMode="External"/><Relationship Id="rId191" Type="http://schemas.openxmlformats.org/officeDocument/2006/relationships/hyperlink" Target="http://hdl.handle.net/2027/uiug.30112058522902?urlappend=%3Bseq=173" TargetMode="External"/><Relationship Id="rId205" Type="http://schemas.openxmlformats.org/officeDocument/2006/relationships/hyperlink" Target="https://hdl.handle.net/2027/uc1.b3014088?urlappend=%3Bseq=173" TargetMode="External"/><Relationship Id="rId247" Type="http://schemas.openxmlformats.org/officeDocument/2006/relationships/hyperlink" Target="http://hdl.handle.net/2027/uiug.30112058522902?urlappend=%3Bseq=173" TargetMode="External"/><Relationship Id="rId412" Type="http://schemas.openxmlformats.org/officeDocument/2006/relationships/hyperlink" Target="http://hdl.handle.net/2027/uiug.30112058522902?urlappend=%3Bseq=181181" TargetMode="External"/><Relationship Id="rId857" Type="http://schemas.openxmlformats.org/officeDocument/2006/relationships/hyperlink" Target="https://hdl.handle.net/2027/uc1.b3014088?urlappend=%3Bseq=175" TargetMode="External"/><Relationship Id="rId899" Type="http://schemas.openxmlformats.org/officeDocument/2006/relationships/hyperlink" Target="http://hdl.handle.net/2027/uiug.30112058522902?urlappend=%3Bseq=181175" TargetMode="External"/><Relationship Id="rId1000" Type="http://schemas.openxmlformats.org/officeDocument/2006/relationships/hyperlink" Target="http://hdl.handle.net/2027/uiug.30112058522902?urlappend=%3Bseq=181183" TargetMode="External"/><Relationship Id="rId107" Type="http://schemas.openxmlformats.org/officeDocument/2006/relationships/hyperlink" Target="http://hdl.handle.net/2027/uiug.30112058522902?urlappend=%3Bseq=173" TargetMode="External"/><Relationship Id="rId289" Type="http://schemas.openxmlformats.org/officeDocument/2006/relationships/hyperlink" Target="https://hdl.handle.net/2027/uc1.b3014088?urlappend=%3Bseq=173" TargetMode="External"/><Relationship Id="rId454" Type="http://schemas.openxmlformats.org/officeDocument/2006/relationships/hyperlink" Target="http://hdl.handle.net/2027/uiug.30112058522902?urlappend=%3Bseq=181177" TargetMode="External"/><Relationship Id="rId496" Type="http://schemas.openxmlformats.org/officeDocument/2006/relationships/hyperlink" Target="http://hdl.handle.net/2027/uiug.30112058522902?urlappend=%3Bseq=181182" TargetMode="External"/><Relationship Id="rId661" Type="http://schemas.openxmlformats.org/officeDocument/2006/relationships/hyperlink" Target="https://hdl.handle.net/2027/uc1.b3014088?urlappend=%3Bseq=175" TargetMode="External"/><Relationship Id="rId717" Type="http://schemas.openxmlformats.org/officeDocument/2006/relationships/hyperlink" Target="https://hdl.handle.net/2027/uc1.b3014088?urlappend=%3Bseq=175" TargetMode="External"/><Relationship Id="rId759" Type="http://schemas.openxmlformats.org/officeDocument/2006/relationships/hyperlink" Target="http://hdl.handle.net/2027/uiug.30112058522902?urlappend=%3Bseq=181175" TargetMode="External"/><Relationship Id="rId924" Type="http://schemas.openxmlformats.org/officeDocument/2006/relationships/hyperlink" Target="http://hdl.handle.net/2027/uiug.30112058522902?urlappend=%3Bseq=181183" TargetMode="External"/><Relationship Id="rId966" Type="http://schemas.openxmlformats.org/officeDocument/2006/relationships/hyperlink" Target="http://hdl.handle.net/2027/uiug.30112058522902?urlappend=%3Bseq=181179" TargetMode="External"/><Relationship Id="rId11" Type="http://schemas.openxmlformats.org/officeDocument/2006/relationships/hyperlink" Target="http://hdl.handle.net/2027/uiug.30112058522902?urlappend=%3Bseq=172" TargetMode="External"/><Relationship Id="rId53" Type="http://schemas.openxmlformats.org/officeDocument/2006/relationships/hyperlink" Target="https://hdl.handle.net/2027/uc1.b3014088?urlappend=%3Bseq=173" TargetMode="External"/><Relationship Id="rId149" Type="http://schemas.openxmlformats.org/officeDocument/2006/relationships/hyperlink" Target="https://hdl.handle.net/2027/uc1.b3014088?urlappend=%3Bseq=173" TargetMode="External"/><Relationship Id="rId314" Type="http://schemas.openxmlformats.org/officeDocument/2006/relationships/hyperlink" Target="http://hdl.handle.net/2027/uiug.30112058522902?urlappend=%3Bseq=176" TargetMode="External"/><Relationship Id="rId356" Type="http://schemas.openxmlformats.org/officeDocument/2006/relationships/hyperlink" Target="http://hdl.handle.net/2027/uiug.30112058522902?urlappend=%3Bseq=181181" TargetMode="External"/><Relationship Id="rId398" Type="http://schemas.openxmlformats.org/officeDocument/2006/relationships/hyperlink" Target="http://hdl.handle.net/2027/uiug.30112058522902?urlappend=%3Bseq=181177" TargetMode="External"/><Relationship Id="rId521" Type="http://schemas.openxmlformats.org/officeDocument/2006/relationships/hyperlink" Target="https://hdl.handle.net/2027/uc1.b3014088?urlappend=%3Bseq=174" TargetMode="External"/><Relationship Id="rId563" Type="http://schemas.openxmlformats.org/officeDocument/2006/relationships/hyperlink" Target="http://hdl.handle.net/2027/uiug.30112058522902?urlappend=%3Bseq=181174" TargetMode="External"/><Relationship Id="rId619" Type="http://schemas.openxmlformats.org/officeDocument/2006/relationships/hyperlink" Target="http://hdl.handle.net/2027/uiug.30112058522902?urlappend=%3Bseq=181174" TargetMode="External"/><Relationship Id="rId770" Type="http://schemas.openxmlformats.org/officeDocument/2006/relationships/hyperlink" Target="http://hdl.handle.net/2027/uiug.30112058522902?urlappend=%3Bseq=181178" TargetMode="External"/><Relationship Id="rId95" Type="http://schemas.openxmlformats.org/officeDocument/2006/relationships/hyperlink" Target="http://hdl.handle.net/2027/uiug.30112058522902?urlappend=%3Bseq=173" TargetMode="External"/><Relationship Id="rId160" Type="http://schemas.openxmlformats.org/officeDocument/2006/relationships/hyperlink" Target="http://hdl.handle.net/2027/uiug.30112058522902?urlappend=%3Bseq=180" TargetMode="External"/><Relationship Id="rId216" Type="http://schemas.openxmlformats.org/officeDocument/2006/relationships/hyperlink" Target="http://hdl.handle.net/2027/uiug.30112058522902?urlappend=%3Bseq=181" TargetMode="External"/><Relationship Id="rId423" Type="http://schemas.openxmlformats.org/officeDocument/2006/relationships/hyperlink" Target="http://hdl.handle.net/2027/uiug.30112058522902?urlappend=%3Bseq=181174" TargetMode="External"/><Relationship Id="rId826" Type="http://schemas.openxmlformats.org/officeDocument/2006/relationships/hyperlink" Target="http://hdl.handle.net/2027/uiug.30112058522902?urlappend=%3Bseq=181178" TargetMode="External"/><Relationship Id="rId868" Type="http://schemas.openxmlformats.org/officeDocument/2006/relationships/hyperlink" Target="http://hdl.handle.net/2027/uiug.30112058522902?urlappend=%3Bseq=181183" TargetMode="External"/><Relationship Id="rId1011" Type="http://schemas.openxmlformats.org/officeDocument/2006/relationships/hyperlink" Target="http://hdl.handle.net/2027/uiug.30112058522902?urlappend=%3Bseq=181175" TargetMode="External"/><Relationship Id="rId258" Type="http://schemas.openxmlformats.org/officeDocument/2006/relationships/hyperlink" Target="http://hdl.handle.net/2027/uiug.30112058522902?urlappend=%3Bseq=176" TargetMode="External"/><Relationship Id="rId465" Type="http://schemas.openxmlformats.org/officeDocument/2006/relationships/hyperlink" Target="https://hdl.handle.net/2027/uc1.b3014088?urlappend=%3Bseq=174" TargetMode="External"/><Relationship Id="rId630" Type="http://schemas.openxmlformats.org/officeDocument/2006/relationships/hyperlink" Target="http://hdl.handle.net/2027/uiug.30112058522902?urlappend=%3Bseq=181177" TargetMode="External"/><Relationship Id="rId672" Type="http://schemas.openxmlformats.org/officeDocument/2006/relationships/hyperlink" Target="http://hdl.handle.net/2027/uiug.30112058522902?urlappend=%3Bseq=181182" TargetMode="External"/><Relationship Id="rId728" Type="http://schemas.openxmlformats.org/officeDocument/2006/relationships/hyperlink" Target="http://hdl.handle.net/2027/uiug.30112058522902?urlappend=%3Bseq=181182" TargetMode="External"/><Relationship Id="rId935" Type="http://schemas.openxmlformats.org/officeDocument/2006/relationships/hyperlink" Target="http://hdl.handle.net/2027/uiug.30112058522902?urlappend=%3Bseq=181175" TargetMode="External"/><Relationship Id="rId22" Type="http://schemas.openxmlformats.org/officeDocument/2006/relationships/hyperlink" Target="http://hdl.handle.net/2027/uiug.30112058522902?urlappend=%3Bseq=176" TargetMode="External"/><Relationship Id="rId64" Type="http://schemas.openxmlformats.org/officeDocument/2006/relationships/hyperlink" Target="http://hdl.handle.net/2027/uiug.30112058522902?urlappend=%3Bseq=180" TargetMode="External"/><Relationship Id="rId118" Type="http://schemas.openxmlformats.org/officeDocument/2006/relationships/hyperlink" Target="http://hdl.handle.net/2027/uiug.30112058522902?urlappend=%3Bseq=176" TargetMode="External"/><Relationship Id="rId325" Type="http://schemas.openxmlformats.org/officeDocument/2006/relationships/hyperlink" Target="https://hdl.handle.net/2027/uc1.b3014088?urlappend=%3Bseq=174" TargetMode="External"/><Relationship Id="rId367" Type="http://schemas.openxmlformats.org/officeDocument/2006/relationships/hyperlink" Target="http://hdl.handle.net/2027/uiug.30112058522902?urlappend=%3Bseq=181173" TargetMode="External"/><Relationship Id="rId532" Type="http://schemas.openxmlformats.org/officeDocument/2006/relationships/hyperlink" Target="http://hdl.handle.net/2027/uiug.30112058522902?urlappend=%3Bseq=181182" TargetMode="External"/><Relationship Id="rId574" Type="http://schemas.openxmlformats.org/officeDocument/2006/relationships/hyperlink" Target="http://hdl.handle.net/2027/uiug.30112058522902?urlappend=%3Bseq=181177" TargetMode="External"/><Relationship Id="rId977" Type="http://schemas.openxmlformats.org/officeDocument/2006/relationships/hyperlink" Target="https://hdl.handle.net/2027/uc1.b3014088?urlappend=%3Bseq=176" TargetMode="External"/><Relationship Id="rId171" Type="http://schemas.openxmlformats.org/officeDocument/2006/relationships/hyperlink" Target="http://hdl.handle.net/2027/uiug.30112058522902?urlappend=%3Bseq=173" TargetMode="External"/><Relationship Id="rId227" Type="http://schemas.openxmlformats.org/officeDocument/2006/relationships/hyperlink" Target="http://hdl.handle.net/2027/uiug.30112058522902?urlappend=%3Bseq=173" TargetMode="External"/><Relationship Id="rId781" Type="http://schemas.openxmlformats.org/officeDocument/2006/relationships/hyperlink" Target="https://hdl.handle.net/2027/uc1.b3014088?urlappend=%3Bseq=175" TargetMode="External"/><Relationship Id="rId837" Type="http://schemas.openxmlformats.org/officeDocument/2006/relationships/hyperlink" Target="https://hdl.handle.net/2027/uc1.b3014088?urlappend=%3Bseq=175" TargetMode="External"/><Relationship Id="rId879" Type="http://schemas.openxmlformats.org/officeDocument/2006/relationships/hyperlink" Target="http://hdl.handle.net/2027/uiug.30112058522902?urlappend=%3Bseq=181175" TargetMode="External"/><Relationship Id="rId269" Type="http://schemas.openxmlformats.org/officeDocument/2006/relationships/hyperlink" Target="https://hdl.handle.net/2027/uc1.b3014088?urlappend=%3Bseq=173" TargetMode="External"/><Relationship Id="rId434" Type="http://schemas.openxmlformats.org/officeDocument/2006/relationships/hyperlink" Target="http://hdl.handle.net/2027/uiug.30112058522902?urlappend=%3Bseq=181177" TargetMode="External"/><Relationship Id="rId476" Type="http://schemas.openxmlformats.org/officeDocument/2006/relationships/hyperlink" Target="http://hdl.handle.net/2027/uiug.30112058522902?urlappend=%3Bseq=181182" TargetMode="External"/><Relationship Id="rId641" Type="http://schemas.openxmlformats.org/officeDocument/2006/relationships/hyperlink" Target="https://hdl.handle.net/2027/uc1.b3014088?urlappend=%3Bseq=174" TargetMode="External"/><Relationship Id="rId683" Type="http://schemas.openxmlformats.org/officeDocument/2006/relationships/hyperlink" Target="http://hdl.handle.net/2027/uiug.30112058522902?urlappend=%3Bseq=181174" TargetMode="External"/><Relationship Id="rId739" Type="http://schemas.openxmlformats.org/officeDocument/2006/relationships/hyperlink" Target="http://hdl.handle.net/2027/uiug.30112058522902?urlappend=%3Bseq=181175" TargetMode="External"/><Relationship Id="rId890" Type="http://schemas.openxmlformats.org/officeDocument/2006/relationships/hyperlink" Target="http://hdl.handle.net/2027/uiug.30112058522902?urlappend=%3Bseq=181178" TargetMode="External"/><Relationship Id="rId904" Type="http://schemas.openxmlformats.org/officeDocument/2006/relationships/hyperlink" Target="http://hdl.handle.net/2027/uiug.30112058522902?urlappend=%3Bseq=181183" TargetMode="External"/><Relationship Id="rId33" Type="http://schemas.openxmlformats.org/officeDocument/2006/relationships/hyperlink" Target="https://hdl.handle.net/2027/uc1.b3014088?urlappend=%3Bseq=173" TargetMode="External"/><Relationship Id="rId129" Type="http://schemas.openxmlformats.org/officeDocument/2006/relationships/hyperlink" Target="https://hdl.handle.net/2027/uc1.b3014088?urlappend=%3Bseq=173" TargetMode="External"/><Relationship Id="rId280" Type="http://schemas.openxmlformats.org/officeDocument/2006/relationships/hyperlink" Target="http://hdl.handle.net/2027/uiug.30112058522902?urlappend=%3Bseq=181" TargetMode="External"/><Relationship Id="rId336" Type="http://schemas.openxmlformats.org/officeDocument/2006/relationships/hyperlink" Target="http://hdl.handle.net/2027/uiug.30112058522902?urlappend=%3Bseq=181181" TargetMode="External"/><Relationship Id="rId501" Type="http://schemas.openxmlformats.org/officeDocument/2006/relationships/hyperlink" Target="https://hdl.handle.net/2027/uc1.b3014088?urlappend=%3Bseq=174" TargetMode="External"/><Relationship Id="rId543" Type="http://schemas.openxmlformats.org/officeDocument/2006/relationships/hyperlink" Target="http://hdl.handle.net/2027/uiug.30112058522902?urlappend=%3Bseq=181174" TargetMode="External"/><Relationship Id="rId946" Type="http://schemas.openxmlformats.org/officeDocument/2006/relationships/hyperlink" Target="http://hdl.handle.net/2027/uiug.30112058522902?urlappend=%3Bseq=181178" TargetMode="External"/><Relationship Id="rId988" Type="http://schemas.openxmlformats.org/officeDocument/2006/relationships/hyperlink" Target="http://hdl.handle.net/2027/uiug.30112058522902?urlappend=%3Bseq=181183" TargetMode="External"/><Relationship Id="rId75" Type="http://schemas.openxmlformats.org/officeDocument/2006/relationships/hyperlink" Target="http://hdl.handle.net/2027/uiug.30112058522902?urlappend=%3Bseq=173" TargetMode="External"/><Relationship Id="rId140" Type="http://schemas.openxmlformats.org/officeDocument/2006/relationships/hyperlink" Target="http://hdl.handle.net/2027/uiug.30112058522902?urlappend=%3Bseq=180" TargetMode="External"/><Relationship Id="rId182" Type="http://schemas.openxmlformats.org/officeDocument/2006/relationships/hyperlink" Target="http://hdl.handle.net/2027/uiug.30112058522902?urlappend=%3Bseq=176" TargetMode="External"/><Relationship Id="rId378" Type="http://schemas.openxmlformats.org/officeDocument/2006/relationships/hyperlink" Target="http://hdl.handle.net/2027/uiug.30112058522902?urlappend=%3Bseq=181177" TargetMode="External"/><Relationship Id="rId403" Type="http://schemas.openxmlformats.org/officeDocument/2006/relationships/hyperlink" Target="http://hdl.handle.net/2027/uiug.30112058522902?urlappend=%3Bseq=181174" TargetMode="External"/><Relationship Id="rId585" Type="http://schemas.openxmlformats.org/officeDocument/2006/relationships/hyperlink" Target="https://hdl.handle.net/2027/uc1.b3014088?urlappend=%3Bseq=174" TargetMode="External"/><Relationship Id="rId750" Type="http://schemas.openxmlformats.org/officeDocument/2006/relationships/hyperlink" Target="http://hdl.handle.net/2027/uiug.30112058522902?urlappend=%3Bseq=181178" TargetMode="External"/><Relationship Id="rId792" Type="http://schemas.openxmlformats.org/officeDocument/2006/relationships/hyperlink" Target="http://hdl.handle.net/2027/uiug.30112058522902?urlappend=%3Bseq=181183" TargetMode="External"/><Relationship Id="rId806" Type="http://schemas.openxmlformats.org/officeDocument/2006/relationships/hyperlink" Target="http://hdl.handle.net/2027/uiug.30112058522902?urlappend=%3Bseq=181178" TargetMode="External"/><Relationship Id="rId848" Type="http://schemas.openxmlformats.org/officeDocument/2006/relationships/hyperlink" Target="http://hdl.handle.net/2027/uiug.30112058522902?urlappend=%3Bseq=181183" TargetMode="External"/><Relationship Id="rId6" Type="http://schemas.openxmlformats.org/officeDocument/2006/relationships/hyperlink" Target="http://hdl.handle.net/2027/uiug.30112058522902?urlappend=%3Bseq=176" TargetMode="External"/><Relationship Id="rId238" Type="http://schemas.openxmlformats.org/officeDocument/2006/relationships/hyperlink" Target="http://hdl.handle.net/2027/uiug.30112058522902?urlappend=%3Bseq=176" TargetMode="External"/><Relationship Id="rId445" Type="http://schemas.openxmlformats.org/officeDocument/2006/relationships/hyperlink" Target="https://hdl.handle.net/2027/uc1.b3014088?urlappend=%3Bseq=174" TargetMode="External"/><Relationship Id="rId487" Type="http://schemas.openxmlformats.org/officeDocument/2006/relationships/hyperlink" Target="http://hdl.handle.net/2027/uiug.30112058522902?urlappend=%3Bseq=181174" TargetMode="External"/><Relationship Id="rId610" Type="http://schemas.openxmlformats.org/officeDocument/2006/relationships/hyperlink" Target="http://hdl.handle.net/2027/uiug.30112058522902?urlappend=%3Bseq=181177" TargetMode="External"/><Relationship Id="rId652" Type="http://schemas.openxmlformats.org/officeDocument/2006/relationships/hyperlink" Target="http://hdl.handle.net/2027/uiug.30112058522902?urlappend=%3Bseq=181182" TargetMode="External"/><Relationship Id="rId694" Type="http://schemas.openxmlformats.org/officeDocument/2006/relationships/hyperlink" Target="http://hdl.handle.net/2027/uiug.30112058522902?urlappend=%3Bseq=181178" TargetMode="External"/><Relationship Id="rId708" Type="http://schemas.openxmlformats.org/officeDocument/2006/relationships/hyperlink" Target="http://hdl.handle.net/2027/uiug.30112058522902?urlappend=%3Bseq=181182" TargetMode="External"/><Relationship Id="rId915" Type="http://schemas.openxmlformats.org/officeDocument/2006/relationships/hyperlink" Target="http://hdl.handle.net/2027/uiug.30112058522902?urlappend=%3Bseq=181175" TargetMode="External"/><Relationship Id="rId291" Type="http://schemas.openxmlformats.org/officeDocument/2006/relationships/hyperlink" Target="http://hdl.handle.net/2027/uiug.30112058522902?urlappend=%3Bseq=173" TargetMode="External"/><Relationship Id="rId305" Type="http://schemas.openxmlformats.org/officeDocument/2006/relationships/hyperlink" Target="https://hdl.handle.net/2027/uc1.b3014088?urlappend=%3Bseq=173" TargetMode="External"/><Relationship Id="rId347" Type="http://schemas.openxmlformats.org/officeDocument/2006/relationships/hyperlink" Target="http://hdl.handle.net/2027/uiug.30112058522902?urlappend=%3Bseq=181173" TargetMode="External"/><Relationship Id="rId512" Type="http://schemas.openxmlformats.org/officeDocument/2006/relationships/hyperlink" Target="http://hdl.handle.net/2027/uiug.30112058522902?urlappend=%3Bseq=181182" TargetMode="External"/><Relationship Id="rId957" Type="http://schemas.openxmlformats.org/officeDocument/2006/relationships/hyperlink" Target="https://hdl.handle.net/2027/uc1.b3014088?urlappend=%3Bseq=175" TargetMode="External"/><Relationship Id="rId999" Type="http://schemas.openxmlformats.org/officeDocument/2006/relationships/hyperlink" Target="http://hdl.handle.net/2027/uiug.30112058522902?urlappend=%3Bseq=181175" TargetMode="External"/><Relationship Id="rId44" Type="http://schemas.openxmlformats.org/officeDocument/2006/relationships/hyperlink" Target="http://hdl.handle.net/2027/uiug.30112058522902?urlappend=%3Bseq=180" TargetMode="External"/><Relationship Id="rId86" Type="http://schemas.openxmlformats.org/officeDocument/2006/relationships/hyperlink" Target="http://hdl.handle.net/2027/uiug.30112058522902?urlappend=%3Bseq=176" TargetMode="External"/><Relationship Id="rId151" Type="http://schemas.openxmlformats.org/officeDocument/2006/relationships/hyperlink" Target="http://hdl.handle.net/2027/uiug.30112058522902?urlappend=%3Bseq=173" TargetMode="External"/><Relationship Id="rId389" Type="http://schemas.openxmlformats.org/officeDocument/2006/relationships/hyperlink" Target="https://hdl.handle.net/2027/uc1.b3014088?urlappend=%3Bseq=174" TargetMode="External"/><Relationship Id="rId554" Type="http://schemas.openxmlformats.org/officeDocument/2006/relationships/hyperlink" Target="http://hdl.handle.net/2027/uiug.30112058522902?urlappend=%3Bseq=181177" TargetMode="External"/><Relationship Id="rId596" Type="http://schemas.openxmlformats.org/officeDocument/2006/relationships/hyperlink" Target="http://hdl.handle.net/2027/uiug.30112058522902?urlappend=%3Bseq=181182" TargetMode="External"/><Relationship Id="rId761" Type="http://schemas.openxmlformats.org/officeDocument/2006/relationships/hyperlink" Target="https://hdl.handle.net/2027/uc1.b3014088?urlappend=%3Bseq=175" TargetMode="External"/><Relationship Id="rId817" Type="http://schemas.openxmlformats.org/officeDocument/2006/relationships/hyperlink" Target="https://hdl.handle.net/2027/uc1.b3014088?urlappend=%3Bseq=175" TargetMode="External"/><Relationship Id="rId859" Type="http://schemas.openxmlformats.org/officeDocument/2006/relationships/hyperlink" Target="http://hdl.handle.net/2027/uiug.30112058522902?urlappend=%3Bseq=181175" TargetMode="External"/><Relationship Id="rId1002" Type="http://schemas.openxmlformats.org/officeDocument/2006/relationships/hyperlink" Target="http://hdl.handle.net/2027/uiug.30112058522902?urlappend=%3Bseq=181179" TargetMode="External"/><Relationship Id="rId193" Type="http://schemas.openxmlformats.org/officeDocument/2006/relationships/hyperlink" Target="https://hdl.handle.net/2027/uc1.b3014088?urlappend=%3Bseq=173" TargetMode="External"/><Relationship Id="rId207" Type="http://schemas.openxmlformats.org/officeDocument/2006/relationships/hyperlink" Target="http://hdl.handle.net/2027/uiug.30112058522902?urlappend=%3Bseq=173" TargetMode="External"/><Relationship Id="rId249" Type="http://schemas.openxmlformats.org/officeDocument/2006/relationships/hyperlink" Target="https://hdl.handle.net/2027/uc1.b3014088?urlappend=%3Bseq=173" TargetMode="External"/><Relationship Id="rId414" Type="http://schemas.openxmlformats.org/officeDocument/2006/relationships/hyperlink" Target="http://hdl.handle.net/2027/uiug.30112058522902?urlappend=%3Bseq=181177" TargetMode="External"/><Relationship Id="rId456" Type="http://schemas.openxmlformats.org/officeDocument/2006/relationships/hyperlink" Target="http://hdl.handle.net/2027/uiug.30112058522902?urlappend=%3Bseq=181181" TargetMode="External"/><Relationship Id="rId498" Type="http://schemas.openxmlformats.org/officeDocument/2006/relationships/hyperlink" Target="http://hdl.handle.net/2027/uiug.30112058522902?urlappend=%3Bseq=181177" TargetMode="External"/><Relationship Id="rId621" Type="http://schemas.openxmlformats.org/officeDocument/2006/relationships/hyperlink" Target="https://hdl.handle.net/2027/uc1.b3014088?urlappend=%3Bseq=174" TargetMode="External"/><Relationship Id="rId663" Type="http://schemas.openxmlformats.org/officeDocument/2006/relationships/hyperlink" Target="http://hdl.handle.net/2027/uiug.30112058522902?urlappend=%3Bseq=181174" TargetMode="External"/><Relationship Id="rId870" Type="http://schemas.openxmlformats.org/officeDocument/2006/relationships/hyperlink" Target="http://hdl.handle.net/2027/uiug.30112058522902?urlappend=%3Bseq=181178" TargetMode="External"/><Relationship Id="rId13" Type="http://schemas.openxmlformats.org/officeDocument/2006/relationships/hyperlink" Target="https://hdl.handle.net/2027/uc1.b3014088?urlappend=%3Bseq=173" TargetMode="External"/><Relationship Id="rId109" Type="http://schemas.openxmlformats.org/officeDocument/2006/relationships/hyperlink" Target="https://hdl.handle.net/2027/uc1.b3014088?urlappend=%3Bseq=173" TargetMode="External"/><Relationship Id="rId260" Type="http://schemas.openxmlformats.org/officeDocument/2006/relationships/hyperlink" Target="http://hdl.handle.net/2027/uiug.30112058522902?urlappend=%3Bseq=181" TargetMode="External"/><Relationship Id="rId316" Type="http://schemas.openxmlformats.org/officeDocument/2006/relationships/hyperlink" Target="http://hdl.handle.net/2027/uiug.30112058522902?urlappend=%3Bseq=181" TargetMode="External"/><Relationship Id="rId523" Type="http://schemas.openxmlformats.org/officeDocument/2006/relationships/hyperlink" Target="http://hdl.handle.net/2027/uiug.30112058522902?urlappend=%3Bseq=181174" TargetMode="External"/><Relationship Id="rId719" Type="http://schemas.openxmlformats.org/officeDocument/2006/relationships/hyperlink" Target="http://hdl.handle.net/2027/uiug.30112058522902?urlappend=%3Bseq=181175" TargetMode="External"/><Relationship Id="rId926" Type="http://schemas.openxmlformats.org/officeDocument/2006/relationships/hyperlink" Target="http://hdl.handle.net/2027/uiug.30112058522902?urlappend=%3Bseq=181178" TargetMode="External"/><Relationship Id="rId968" Type="http://schemas.openxmlformats.org/officeDocument/2006/relationships/hyperlink" Target="http://hdl.handle.net/2027/uiug.30112058522902?urlappend=%3Bseq=181183" TargetMode="External"/><Relationship Id="rId55" Type="http://schemas.openxmlformats.org/officeDocument/2006/relationships/hyperlink" Target="http://hdl.handle.net/2027/uiug.30112058522902?urlappend=%3Bseq=172" TargetMode="External"/><Relationship Id="rId97" Type="http://schemas.openxmlformats.org/officeDocument/2006/relationships/hyperlink" Target="https://hdl.handle.net/2027/uc1.b3014088?urlappend=%3Bseq=173" TargetMode="External"/><Relationship Id="rId120" Type="http://schemas.openxmlformats.org/officeDocument/2006/relationships/hyperlink" Target="http://hdl.handle.net/2027/uiug.30112058522902?urlappend=%3Bseq=180" TargetMode="External"/><Relationship Id="rId358" Type="http://schemas.openxmlformats.org/officeDocument/2006/relationships/hyperlink" Target="http://hdl.handle.net/2027/uiug.30112058522902?urlappend=%3Bseq=181177" TargetMode="External"/><Relationship Id="rId565" Type="http://schemas.openxmlformats.org/officeDocument/2006/relationships/hyperlink" Target="https://hdl.handle.net/2027/uc1.b3014088?urlappend=%3Bseq=174" TargetMode="External"/><Relationship Id="rId730" Type="http://schemas.openxmlformats.org/officeDocument/2006/relationships/hyperlink" Target="http://hdl.handle.net/2027/uiug.30112058522902?urlappend=%3Bseq=181178" TargetMode="External"/><Relationship Id="rId772" Type="http://schemas.openxmlformats.org/officeDocument/2006/relationships/hyperlink" Target="http://hdl.handle.net/2027/uiug.30112058522902?urlappend=%3Bseq=181182" TargetMode="External"/><Relationship Id="rId828" Type="http://schemas.openxmlformats.org/officeDocument/2006/relationships/hyperlink" Target="http://hdl.handle.net/2027/uiug.30112058522902?urlappend=%3Bseq=181183" TargetMode="External"/><Relationship Id="rId1013" Type="http://schemas.openxmlformats.org/officeDocument/2006/relationships/vmlDrawing" Target="../drawings/vmlDrawing10.vml"/><Relationship Id="rId162" Type="http://schemas.openxmlformats.org/officeDocument/2006/relationships/hyperlink" Target="http://hdl.handle.net/2027/uiug.30112058522902?urlappend=%3Bseq=176" TargetMode="External"/><Relationship Id="rId218" Type="http://schemas.openxmlformats.org/officeDocument/2006/relationships/hyperlink" Target="http://hdl.handle.net/2027/uiug.30112058522902?urlappend=%3Bseq=176" TargetMode="External"/><Relationship Id="rId425" Type="http://schemas.openxmlformats.org/officeDocument/2006/relationships/hyperlink" Target="https://hdl.handle.net/2027/uc1.b3014088?urlappend=%3Bseq=174" TargetMode="External"/><Relationship Id="rId467" Type="http://schemas.openxmlformats.org/officeDocument/2006/relationships/hyperlink" Target="http://hdl.handle.net/2027/uiug.30112058522902?urlappend=%3Bseq=181174" TargetMode="External"/><Relationship Id="rId632" Type="http://schemas.openxmlformats.org/officeDocument/2006/relationships/hyperlink" Target="http://hdl.handle.net/2027/uiug.30112058522902?urlappend=%3Bseq=181182" TargetMode="External"/><Relationship Id="rId271" Type="http://schemas.openxmlformats.org/officeDocument/2006/relationships/hyperlink" Target="http://hdl.handle.net/2027/uiug.30112058522902?urlappend=%3Bseq=173" TargetMode="External"/><Relationship Id="rId674" Type="http://schemas.openxmlformats.org/officeDocument/2006/relationships/hyperlink" Target="http://hdl.handle.net/2027/uiug.30112058522902?urlappend=%3Bseq=181178" TargetMode="External"/><Relationship Id="rId881" Type="http://schemas.openxmlformats.org/officeDocument/2006/relationships/hyperlink" Target="https://hdl.handle.net/2027/uc1.b3014088?urlappend=%3Bseq=175" TargetMode="External"/><Relationship Id="rId937" Type="http://schemas.openxmlformats.org/officeDocument/2006/relationships/hyperlink" Target="https://hdl.handle.net/2027/uc1.b3014088?urlappend=%3Bseq=175" TargetMode="External"/><Relationship Id="rId979" Type="http://schemas.openxmlformats.org/officeDocument/2006/relationships/hyperlink" Target="http://hdl.handle.net/2027/uiug.30112058522902?urlappend=%3Bseq=181175" TargetMode="External"/><Relationship Id="rId24" Type="http://schemas.openxmlformats.org/officeDocument/2006/relationships/hyperlink" Target="http://hdl.handle.net/2027/uiug.30112058522902?urlappend=%3Bseq=180" TargetMode="External"/><Relationship Id="rId66" Type="http://schemas.openxmlformats.org/officeDocument/2006/relationships/hyperlink" Target="http://hdl.handle.net/2027/uiug.30112058522902?urlappend=%3Bseq=176" TargetMode="External"/><Relationship Id="rId131" Type="http://schemas.openxmlformats.org/officeDocument/2006/relationships/hyperlink" Target="http://hdl.handle.net/2027/uiug.30112058522902?urlappend=%3Bseq=173" TargetMode="External"/><Relationship Id="rId327" Type="http://schemas.openxmlformats.org/officeDocument/2006/relationships/hyperlink" Target="http://hdl.handle.net/2027/uiug.30112058522902?urlappend=%3Bseq=181173" TargetMode="External"/><Relationship Id="rId369" Type="http://schemas.openxmlformats.org/officeDocument/2006/relationships/hyperlink" Target="https://hdl.handle.net/2027/uc1.b3014088?urlappend=%3Bseq=174" TargetMode="External"/><Relationship Id="rId534" Type="http://schemas.openxmlformats.org/officeDocument/2006/relationships/hyperlink" Target="http://hdl.handle.net/2027/uiug.30112058522902?urlappend=%3Bseq=181177" TargetMode="External"/><Relationship Id="rId576" Type="http://schemas.openxmlformats.org/officeDocument/2006/relationships/hyperlink" Target="http://hdl.handle.net/2027/uiug.30112058522902?urlappend=%3Bseq=181182" TargetMode="External"/><Relationship Id="rId741" Type="http://schemas.openxmlformats.org/officeDocument/2006/relationships/hyperlink" Target="https://hdl.handle.net/2027/uc1.b3014088?urlappend=%3Bseq=175" TargetMode="External"/><Relationship Id="rId783" Type="http://schemas.openxmlformats.org/officeDocument/2006/relationships/hyperlink" Target="http://hdl.handle.net/2027/uiug.30112058522902?urlappend=%3Bseq=181175" TargetMode="External"/><Relationship Id="rId839" Type="http://schemas.openxmlformats.org/officeDocument/2006/relationships/hyperlink" Target="http://hdl.handle.net/2027/uiug.30112058522902?urlappend=%3Bseq=181175" TargetMode="External"/><Relationship Id="rId990" Type="http://schemas.openxmlformats.org/officeDocument/2006/relationships/hyperlink" Target="http://hdl.handle.net/2027/uiug.30112058522902?urlappend=%3Bseq=181179" TargetMode="External"/><Relationship Id="rId173" Type="http://schemas.openxmlformats.org/officeDocument/2006/relationships/hyperlink" Target="https://hdl.handle.net/2027/uc1.b3014088?urlappend=%3Bseq=173" TargetMode="External"/><Relationship Id="rId229" Type="http://schemas.openxmlformats.org/officeDocument/2006/relationships/hyperlink" Target="https://hdl.handle.net/2027/uc1.b3014088?urlappend=%3Bseq=173" TargetMode="External"/><Relationship Id="rId380" Type="http://schemas.openxmlformats.org/officeDocument/2006/relationships/hyperlink" Target="http://hdl.handle.net/2027/uiug.30112058522902?urlappend=%3Bseq=181181" TargetMode="External"/><Relationship Id="rId436" Type="http://schemas.openxmlformats.org/officeDocument/2006/relationships/hyperlink" Target="http://hdl.handle.net/2027/uiug.30112058522902?urlappend=%3Bseq=181181" TargetMode="External"/><Relationship Id="rId601" Type="http://schemas.openxmlformats.org/officeDocument/2006/relationships/hyperlink" Target="https://hdl.handle.net/2027/uc1.b3014088?urlappend=%3Bseq=174" TargetMode="External"/><Relationship Id="rId643" Type="http://schemas.openxmlformats.org/officeDocument/2006/relationships/hyperlink" Target="http://hdl.handle.net/2027/uiug.30112058522902?urlappend=%3Bseq=181174" TargetMode="External"/><Relationship Id="rId240" Type="http://schemas.openxmlformats.org/officeDocument/2006/relationships/hyperlink" Target="http://hdl.handle.net/2027/uiug.30112058522902?urlappend=%3Bseq=181" TargetMode="External"/><Relationship Id="rId478" Type="http://schemas.openxmlformats.org/officeDocument/2006/relationships/hyperlink" Target="http://hdl.handle.net/2027/uiug.30112058522902?urlappend=%3Bseq=181177" TargetMode="External"/><Relationship Id="rId685" Type="http://schemas.openxmlformats.org/officeDocument/2006/relationships/hyperlink" Target="https://hdl.handle.net/2027/uc1.b3014088?urlappend=%3Bseq=175" TargetMode="External"/><Relationship Id="rId850" Type="http://schemas.openxmlformats.org/officeDocument/2006/relationships/hyperlink" Target="http://hdl.handle.net/2027/uiug.30112058522902?urlappend=%3Bseq=181178" TargetMode="External"/><Relationship Id="rId892" Type="http://schemas.openxmlformats.org/officeDocument/2006/relationships/hyperlink" Target="http://hdl.handle.net/2027/uiug.30112058522902?urlappend=%3Bseq=181183" TargetMode="External"/><Relationship Id="rId906" Type="http://schemas.openxmlformats.org/officeDocument/2006/relationships/hyperlink" Target="http://hdl.handle.net/2027/uiug.30112058522902?urlappend=%3Bseq=181178" TargetMode="External"/><Relationship Id="rId948" Type="http://schemas.openxmlformats.org/officeDocument/2006/relationships/hyperlink" Target="http://hdl.handle.net/2027/uiug.30112058522902?urlappend=%3Bseq=181183" TargetMode="External"/><Relationship Id="rId35" Type="http://schemas.openxmlformats.org/officeDocument/2006/relationships/hyperlink" Target="http://hdl.handle.net/2027/uiug.30112058522902?urlappend=%3Bseq=172" TargetMode="External"/><Relationship Id="rId77" Type="http://schemas.openxmlformats.org/officeDocument/2006/relationships/hyperlink" Target="https://hdl.handle.net/2027/uc1.b3014088?urlappend=%3Bseq=173" TargetMode="External"/><Relationship Id="rId100" Type="http://schemas.openxmlformats.org/officeDocument/2006/relationships/hyperlink" Target="http://hdl.handle.net/2027/uiug.30112058522902?urlappend=%3Bseq=180" TargetMode="External"/><Relationship Id="rId282" Type="http://schemas.openxmlformats.org/officeDocument/2006/relationships/hyperlink" Target="http://hdl.handle.net/2027/uiug.30112058522902?urlappend=%3Bseq=176" TargetMode="External"/><Relationship Id="rId338" Type="http://schemas.openxmlformats.org/officeDocument/2006/relationships/hyperlink" Target="http://hdl.handle.net/2027/uiug.30112058522902?urlappend=%3Bseq=181177" TargetMode="External"/><Relationship Id="rId503" Type="http://schemas.openxmlformats.org/officeDocument/2006/relationships/hyperlink" Target="http://hdl.handle.net/2027/uiug.30112058522902?urlappend=%3Bseq=181174" TargetMode="External"/><Relationship Id="rId545" Type="http://schemas.openxmlformats.org/officeDocument/2006/relationships/hyperlink" Target="https://hdl.handle.net/2027/uc1.b3014088?urlappend=%3Bseq=174" TargetMode="External"/><Relationship Id="rId587" Type="http://schemas.openxmlformats.org/officeDocument/2006/relationships/hyperlink" Target="http://hdl.handle.net/2027/uiug.30112058522902?urlappend=%3Bseq=181174" TargetMode="External"/><Relationship Id="rId710" Type="http://schemas.openxmlformats.org/officeDocument/2006/relationships/hyperlink" Target="http://hdl.handle.net/2027/uiug.30112058522902?urlappend=%3Bseq=181178" TargetMode="External"/><Relationship Id="rId752" Type="http://schemas.openxmlformats.org/officeDocument/2006/relationships/hyperlink" Target="http://hdl.handle.net/2027/uiug.30112058522902?urlappend=%3Bseq=181182" TargetMode="External"/><Relationship Id="rId808" Type="http://schemas.openxmlformats.org/officeDocument/2006/relationships/hyperlink" Target="http://hdl.handle.net/2027/uiug.30112058522902?urlappend=%3Bseq=181183" TargetMode="External"/><Relationship Id="rId8" Type="http://schemas.openxmlformats.org/officeDocument/2006/relationships/hyperlink" Target="http://hdl.handle.net/2027/uiug.30112058522902?urlappend=%3Bseq=180" TargetMode="External"/><Relationship Id="rId142" Type="http://schemas.openxmlformats.org/officeDocument/2006/relationships/hyperlink" Target="http://hdl.handle.net/2027/uiug.30112058522902?urlappend=%3Bseq=176" TargetMode="External"/><Relationship Id="rId184" Type="http://schemas.openxmlformats.org/officeDocument/2006/relationships/hyperlink" Target="http://hdl.handle.net/2027/uiug.30112058522902?urlappend=%3Bseq=181" TargetMode="External"/><Relationship Id="rId391" Type="http://schemas.openxmlformats.org/officeDocument/2006/relationships/hyperlink" Target="http://hdl.handle.net/2027/uiug.30112058522902?urlappend=%3Bseq=181174" TargetMode="External"/><Relationship Id="rId405" Type="http://schemas.openxmlformats.org/officeDocument/2006/relationships/hyperlink" Target="https://hdl.handle.net/2027/uc1.b3014088?urlappend=%3Bseq=174" TargetMode="External"/><Relationship Id="rId447" Type="http://schemas.openxmlformats.org/officeDocument/2006/relationships/hyperlink" Target="http://hdl.handle.net/2027/uiug.30112058522902?urlappend=%3Bseq=181174" TargetMode="External"/><Relationship Id="rId612" Type="http://schemas.openxmlformats.org/officeDocument/2006/relationships/hyperlink" Target="http://hdl.handle.net/2027/uiug.30112058522902?urlappend=%3Bseq=181182" TargetMode="External"/><Relationship Id="rId794" Type="http://schemas.openxmlformats.org/officeDocument/2006/relationships/hyperlink" Target="http://hdl.handle.net/2027/uiug.30112058522902?urlappend=%3Bseq=181178" TargetMode="External"/><Relationship Id="rId251" Type="http://schemas.openxmlformats.org/officeDocument/2006/relationships/hyperlink" Target="http://hdl.handle.net/2027/uiug.30112058522902?urlappend=%3Bseq=173" TargetMode="External"/><Relationship Id="rId489" Type="http://schemas.openxmlformats.org/officeDocument/2006/relationships/hyperlink" Target="https://hdl.handle.net/2027/uc1.b3014088?urlappend=%3Bseq=174" TargetMode="External"/><Relationship Id="rId654" Type="http://schemas.openxmlformats.org/officeDocument/2006/relationships/hyperlink" Target="http://hdl.handle.net/2027/uiug.30112058522902?urlappend=%3Bseq=181178" TargetMode="External"/><Relationship Id="rId696" Type="http://schemas.openxmlformats.org/officeDocument/2006/relationships/hyperlink" Target="http://hdl.handle.net/2027/uiug.30112058522902?urlappend=%3Bseq=181182" TargetMode="External"/><Relationship Id="rId861" Type="http://schemas.openxmlformats.org/officeDocument/2006/relationships/hyperlink" Target="https://hdl.handle.net/2027/uc1.b3014088?urlappend=%3Bseq=175" TargetMode="External"/><Relationship Id="rId917" Type="http://schemas.openxmlformats.org/officeDocument/2006/relationships/hyperlink" Target="https://hdl.handle.net/2027/uc1.b3014088?urlappend=%3Bseq=175" TargetMode="External"/><Relationship Id="rId959" Type="http://schemas.openxmlformats.org/officeDocument/2006/relationships/hyperlink" Target="http://hdl.handle.net/2027/uiug.30112058522902?urlappend=%3Bseq=181175" TargetMode="External"/><Relationship Id="rId46" Type="http://schemas.openxmlformats.org/officeDocument/2006/relationships/hyperlink" Target="http://hdl.handle.net/2027/uiug.30112058522902?urlappend=%3Bseq=176" TargetMode="External"/><Relationship Id="rId293" Type="http://schemas.openxmlformats.org/officeDocument/2006/relationships/hyperlink" Target="https://hdl.handle.net/2027/uc1.b3014088?urlappend=%3Bseq=173" TargetMode="External"/><Relationship Id="rId307" Type="http://schemas.openxmlformats.org/officeDocument/2006/relationships/hyperlink" Target="http://hdl.handle.net/2027/uiug.30112058522902?urlappend=%3Bseq=173" TargetMode="External"/><Relationship Id="rId349" Type="http://schemas.openxmlformats.org/officeDocument/2006/relationships/hyperlink" Target="https://hdl.handle.net/2027/uc1.b3014088?urlappend=%3Bseq=174" TargetMode="External"/><Relationship Id="rId514" Type="http://schemas.openxmlformats.org/officeDocument/2006/relationships/hyperlink" Target="http://hdl.handle.net/2027/uiug.30112058522902?urlappend=%3Bseq=181177" TargetMode="External"/><Relationship Id="rId556" Type="http://schemas.openxmlformats.org/officeDocument/2006/relationships/hyperlink" Target="http://hdl.handle.net/2027/uiug.30112058522902?urlappend=%3Bseq=181182" TargetMode="External"/><Relationship Id="rId721" Type="http://schemas.openxmlformats.org/officeDocument/2006/relationships/hyperlink" Target="https://hdl.handle.net/2027/uc1.b3014088?urlappend=%3Bseq=175" TargetMode="External"/><Relationship Id="rId763" Type="http://schemas.openxmlformats.org/officeDocument/2006/relationships/hyperlink" Target="http://hdl.handle.net/2027/uiug.30112058522902?urlappend=%3Bseq=181175" TargetMode="External"/><Relationship Id="rId88" Type="http://schemas.openxmlformats.org/officeDocument/2006/relationships/hyperlink" Target="http://hdl.handle.net/2027/uiug.30112058522902?urlappend=%3Bseq=180" TargetMode="External"/><Relationship Id="rId111" Type="http://schemas.openxmlformats.org/officeDocument/2006/relationships/hyperlink" Target="http://hdl.handle.net/2027/uiug.30112058522902?urlappend=%3Bseq=173" TargetMode="External"/><Relationship Id="rId153" Type="http://schemas.openxmlformats.org/officeDocument/2006/relationships/hyperlink" Target="https://hdl.handle.net/2027/uc1.b3014088?urlappend=%3Bseq=173" TargetMode="External"/><Relationship Id="rId195" Type="http://schemas.openxmlformats.org/officeDocument/2006/relationships/hyperlink" Target="http://hdl.handle.net/2027/uiug.30112058522902?urlappend=%3Bseq=173" TargetMode="External"/><Relationship Id="rId209" Type="http://schemas.openxmlformats.org/officeDocument/2006/relationships/hyperlink" Target="https://hdl.handle.net/2027/uc1.b3014088?urlappend=%3Bseq=173" TargetMode="External"/><Relationship Id="rId360" Type="http://schemas.openxmlformats.org/officeDocument/2006/relationships/hyperlink" Target="http://hdl.handle.net/2027/uiug.30112058522902?urlappend=%3Bseq=181181" TargetMode="External"/><Relationship Id="rId416" Type="http://schemas.openxmlformats.org/officeDocument/2006/relationships/hyperlink" Target="http://hdl.handle.net/2027/uiug.30112058522902?urlappend=%3Bseq=181181" TargetMode="External"/><Relationship Id="rId598" Type="http://schemas.openxmlformats.org/officeDocument/2006/relationships/hyperlink" Target="http://hdl.handle.net/2027/uiug.30112058522902?urlappend=%3Bseq=181177" TargetMode="External"/><Relationship Id="rId819" Type="http://schemas.openxmlformats.org/officeDocument/2006/relationships/hyperlink" Target="http://hdl.handle.net/2027/uiug.30112058522902?urlappend=%3Bseq=181175" TargetMode="External"/><Relationship Id="rId970" Type="http://schemas.openxmlformats.org/officeDocument/2006/relationships/hyperlink" Target="http://hdl.handle.net/2027/uiug.30112058522902?urlappend=%3Bseq=181179" TargetMode="External"/><Relationship Id="rId1004" Type="http://schemas.openxmlformats.org/officeDocument/2006/relationships/hyperlink" Target="http://hdl.handle.net/2027/uiug.30112058522902?urlappend=%3Bseq=181183" TargetMode="External"/><Relationship Id="rId220" Type="http://schemas.openxmlformats.org/officeDocument/2006/relationships/hyperlink" Target="http://hdl.handle.net/2027/uiug.30112058522902?urlappend=%3Bseq=181" TargetMode="External"/><Relationship Id="rId458" Type="http://schemas.openxmlformats.org/officeDocument/2006/relationships/hyperlink" Target="http://hdl.handle.net/2027/uiug.30112058522902?urlappend=%3Bseq=181177" TargetMode="External"/><Relationship Id="rId623" Type="http://schemas.openxmlformats.org/officeDocument/2006/relationships/hyperlink" Target="http://hdl.handle.net/2027/uiug.30112058522902?urlappend=%3Bseq=181174" TargetMode="External"/><Relationship Id="rId665" Type="http://schemas.openxmlformats.org/officeDocument/2006/relationships/hyperlink" Target="https://hdl.handle.net/2027/uc1.b3014088?urlappend=%3Bseq=175" TargetMode="External"/><Relationship Id="rId830" Type="http://schemas.openxmlformats.org/officeDocument/2006/relationships/hyperlink" Target="http://hdl.handle.net/2027/uiug.30112058522902?urlappend=%3Bseq=181178" TargetMode="External"/><Relationship Id="rId872" Type="http://schemas.openxmlformats.org/officeDocument/2006/relationships/hyperlink" Target="http://hdl.handle.net/2027/uiug.30112058522902?urlappend=%3Bseq=181183" TargetMode="External"/><Relationship Id="rId928" Type="http://schemas.openxmlformats.org/officeDocument/2006/relationships/hyperlink" Target="http://hdl.handle.net/2027/uiug.30112058522902?urlappend=%3Bseq=181183" TargetMode="External"/><Relationship Id="rId15" Type="http://schemas.openxmlformats.org/officeDocument/2006/relationships/hyperlink" Target="http://hdl.handle.net/2027/uiug.30112058522902?urlappend=%3Bseq=172" TargetMode="External"/><Relationship Id="rId57" Type="http://schemas.openxmlformats.org/officeDocument/2006/relationships/hyperlink" Target="https://hdl.handle.net/2027/uc1.b3014088?urlappend=%3Bseq=173" TargetMode="External"/><Relationship Id="rId262" Type="http://schemas.openxmlformats.org/officeDocument/2006/relationships/hyperlink" Target="http://hdl.handle.net/2027/uiug.30112058522902?urlappend=%3Bseq=176" TargetMode="External"/><Relationship Id="rId318" Type="http://schemas.openxmlformats.org/officeDocument/2006/relationships/hyperlink" Target="http://hdl.handle.net/2027/uiug.30112058522902?urlappend=%3Bseq=176" TargetMode="External"/><Relationship Id="rId525" Type="http://schemas.openxmlformats.org/officeDocument/2006/relationships/hyperlink" Target="https://hdl.handle.net/2027/uc1.b3014088?urlappend=%3Bseq=174" TargetMode="External"/><Relationship Id="rId567" Type="http://schemas.openxmlformats.org/officeDocument/2006/relationships/hyperlink" Target="http://hdl.handle.net/2027/uiug.30112058522902?urlappend=%3Bseq=181174" TargetMode="External"/><Relationship Id="rId732" Type="http://schemas.openxmlformats.org/officeDocument/2006/relationships/hyperlink" Target="http://hdl.handle.net/2027/uiug.30112058522902?urlappend=%3Bseq=181182" TargetMode="External"/><Relationship Id="rId99" Type="http://schemas.openxmlformats.org/officeDocument/2006/relationships/hyperlink" Target="http://hdl.handle.net/2027/uiug.30112058522902?urlappend=%3Bseq=173" TargetMode="External"/><Relationship Id="rId122" Type="http://schemas.openxmlformats.org/officeDocument/2006/relationships/hyperlink" Target="http://hdl.handle.net/2027/uiug.30112058522902?urlappend=%3Bseq=176" TargetMode="External"/><Relationship Id="rId164" Type="http://schemas.openxmlformats.org/officeDocument/2006/relationships/hyperlink" Target="http://hdl.handle.net/2027/uiug.30112058522902?urlappend=%3Bseq=181" TargetMode="External"/><Relationship Id="rId371" Type="http://schemas.openxmlformats.org/officeDocument/2006/relationships/hyperlink" Target="http://hdl.handle.net/2027/uiug.30112058522902?urlappend=%3Bseq=181173" TargetMode="External"/><Relationship Id="rId774" Type="http://schemas.openxmlformats.org/officeDocument/2006/relationships/hyperlink" Target="http://hdl.handle.net/2027/uiug.30112058522902?urlappend=%3Bseq=181178" TargetMode="External"/><Relationship Id="rId981" Type="http://schemas.openxmlformats.org/officeDocument/2006/relationships/hyperlink" Target="https://hdl.handle.net/2027/uc1.b3014088?urlappend=%3Bseq=176" TargetMode="External"/><Relationship Id="rId427" Type="http://schemas.openxmlformats.org/officeDocument/2006/relationships/hyperlink" Target="http://hdl.handle.net/2027/uiug.30112058522902?urlappend=%3Bseq=181174" TargetMode="External"/><Relationship Id="rId469" Type="http://schemas.openxmlformats.org/officeDocument/2006/relationships/hyperlink" Target="https://hdl.handle.net/2027/uc1.b3014088?urlappend=%3Bseq=174" TargetMode="External"/><Relationship Id="rId634" Type="http://schemas.openxmlformats.org/officeDocument/2006/relationships/hyperlink" Target="http://hdl.handle.net/2027/uiug.30112058522902?urlappend=%3Bseq=181177" TargetMode="External"/><Relationship Id="rId676" Type="http://schemas.openxmlformats.org/officeDocument/2006/relationships/hyperlink" Target="http://hdl.handle.net/2027/uiug.30112058522902?urlappend=%3Bseq=181182" TargetMode="External"/><Relationship Id="rId841" Type="http://schemas.openxmlformats.org/officeDocument/2006/relationships/hyperlink" Target="https://hdl.handle.net/2027/uc1.b3014088?urlappend=%3Bseq=175" TargetMode="External"/><Relationship Id="rId883" Type="http://schemas.openxmlformats.org/officeDocument/2006/relationships/hyperlink" Target="http://hdl.handle.net/2027/uiug.30112058522902?urlappend=%3Bseq=181175" TargetMode="External"/><Relationship Id="rId26" Type="http://schemas.openxmlformats.org/officeDocument/2006/relationships/hyperlink" Target="http://hdl.handle.net/2027/uiug.30112058522902?urlappend=%3Bseq=176" TargetMode="External"/><Relationship Id="rId231" Type="http://schemas.openxmlformats.org/officeDocument/2006/relationships/hyperlink" Target="http://hdl.handle.net/2027/uiug.30112058522902?urlappend=%3Bseq=173" TargetMode="External"/><Relationship Id="rId273" Type="http://schemas.openxmlformats.org/officeDocument/2006/relationships/hyperlink" Target="https://hdl.handle.net/2027/uc1.b3014088?urlappend=%3Bseq=173" TargetMode="External"/><Relationship Id="rId329" Type="http://schemas.openxmlformats.org/officeDocument/2006/relationships/hyperlink" Target="https://hdl.handle.net/2027/uc1.b3014088?urlappend=%3Bseq=174" TargetMode="External"/><Relationship Id="rId480" Type="http://schemas.openxmlformats.org/officeDocument/2006/relationships/hyperlink" Target="http://hdl.handle.net/2027/uiug.30112058522902?urlappend=%3Bseq=181182" TargetMode="External"/><Relationship Id="rId536" Type="http://schemas.openxmlformats.org/officeDocument/2006/relationships/hyperlink" Target="http://hdl.handle.net/2027/uiug.30112058522902?urlappend=%3Bseq=181182" TargetMode="External"/><Relationship Id="rId701" Type="http://schemas.openxmlformats.org/officeDocument/2006/relationships/hyperlink" Target="https://hdl.handle.net/2027/uc1.b3014088?urlappend=%3Bseq=175" TargetMode="External"/><Relationship Id="rId939" Type="http://schemas.openxmlformats.org/officeDocument/2006/relationships/hyperlink" Target="http://hdl.handle.net/2027/uiug.30112058522902?urlappend=%3Bseq=181175" TargetMode="External"/><Relationship Id="rId68" Type="http://schemas.openxmlformats.org/officeDocument/2006/relationships/hyperlink" Target="http://hdl.handle.net/2027/uiug.30112058522902?urlappend=%3Bseq=180" TargetMode="External"/><Relationship Id="rId133" Type="http://schemas.openxmlformats.org/officeDocument/2006/relationships/hyperlink" Target="https://hdl.handle.net/2027/uc1.b3014088?urlappend=%3Bseq=173" TargetMode="External"/><Relationship Id="rId175" Type="http://schemas.openxmlformats.org/officeDocument/2006/relationships/hyperlink" Target="http://hdl.handle.net/2027/uiug.30112058522902?urlappend=%3Bseq=173" TargetMode="External"/><Relationship Id="rId340" Type="http://schemas.openxmlformats.org/officeDocument/2006/relationships/hyperlink" Target="http://hdl.handle.net/2027/uiug.30112058522902?urlappend=%3Bseq=181181" TargetMode="External"/><Relationship Id="rId578" Type="http://schemas.openxmlformats.org/officeDocument/2006/relationships/hyperlink" Target="http://hdl.handle.net/2027/uiug.30112058522902?urlappend=%3Bseq=181177" TargetMode="External"/><Relationship Id="rId743" Type="http://schemas.openxmlformats.org/officeDocument/2006/relationships/hyperlink" Target="http://hdl.handle.net/2027/uiug.30112058522902?urlappend=%3Bseq=181175" TargetMode="External"/><Relationship Id="rId785" Type="http://schemas.openxmlformats.org/officeDocument/2006/relationships/hyperlink" Target="https://hdl.handle.net/2027/uc1.b3014088?urlappend=%3Bseq=175" TargetMode="External"/><Relationship Id="rId950" Type="http://schemas.openxmlformats.org/officeDocument/2006/relationships/hyperlink" Target="http://hdl.handle.net/2027/uiug.30112058522902?urlappend=%3Bseq=181178" TargetMode="External"/><Relationship Id="rId992" Type="http://schemas.openxmlformats.org/officeDocument/2006/relationships/hyperlink" Target="http://hdl.handle.net/2027/uiug.30112058522902?urlappend=%3Bseq=181183" TargetMode="External"/><Relationship Id="rId200" Type="http://schemas.openxmlformats.org/officeDocument/2006/relationships/hyperlink" Target="http://hdl.handle.net/2027/uiug.30112058522902?urlappend=%3Bseq=181" TargetMode="External"/><Relationship Id="rId382" Type="http://schemas.openxmlformats.org/officeDocument/2006/relationships/hyperlink" Target="http://hdl.handle.net/2027/uiug.30112058522902?urlappend=%3Bseq=181177" TargetMode="External"/><Relationship Id="rId438" Type="http://schemas.openxmlformats.org/officeDocument/2006/relationships/hyperlink" Target="http://hdl.handle.net/2027/uiug.30112058522902?urlappend=%3Bseq=181177" TargetMode="External"/><Relationship Id="rId603" Type="http://schemas.openxmlformats.org/officeDocument/2006/relationships/hyperlink" Target="http://hdl.handle.net/2027/uiug.30112058522902?urlappend=%3Bseq=181174" TargetMode="External"/><Relationship Id="rId645" Type="http://schemas.openxmlformats.org/officeDocument/2006/relationships/hyperlink" Target="https://hdl.handle.net/2027/uc1.b3014088?urlappend=%3Bseq=175" TargetMode="External"/><Relationship Id="rId687" Type="http://schemas.openxmlformats.org/officeDocument/2006/relationships/hyperlink" Target="http://hdl.handle.net/2027/uiug.30112058522902?urlappend=%3Bseq=181175" TargetMode="External"/><Relationship Id="rId810" Type="http://schemas.openxmlformats.org/officeDocument/2006/relationships/hyperlink" Target="http://hdl.handle.net/2027/uiug.30112058522902?urlappend=%3Bseq=181178" TargetMode="External"/><Relationship Id="rId852" Type="http://schemas.openxmlformats.org/officeDocument/2006/relationships/hyperlink" Target="http://hdl.handle.net/2027/uiug.30112058522902?urlappend=%3Bseq=181183" TargetMode="External"/><Relationship Id="rId908" Type="http://schemas.openxmlformats.org/officeDocument/2006/relationships/hyperlink" Target="http://hdl.handle.net/2027/uiug.30112058522902?urlappend=%3Bseq=181183" TargetMode="External"/><Relationship Id="rId242" Type="http://schemas.openxmlformats.org/officeDocument/2006/relationships/hyperlink" Target="http://hdl.handle.net/2027/uiug.30112058522902?urlappend=%3Bseq=176" TargetMode="External"/><Relationship Id="rId284" Type="http://schemas.openxmlformats.org/officeDocument/2006/relationships/hyperlink" Target="http://hdl.handle.net/2027/uiug.30112058522902?urlappend=%3Bseq=181" TargetMode="External"/><Relationship Id="rId491" Type="http://schemas.openxmlformats.org/officeDocument/2006/relationships/hyperlink" Target="http://hdl.handle.net/2027/uiug.30112058522902?urlappend=%3Bseq=181174" TargetMode="External"/><Relationship Id="rId505" Type="http://schemas.openxmlformats.org/officeDocument/2006/relationships/hyperlink" Target="https://hdl.handle.net/2027/uc1.b3014088?urlappend=%3Bseq=174" TargetMode="External"/><Relationship Id="rId712" Type="http://schemas.openxmlformats.org/officeDocument/2006/relationships/hyperlink" Target="http://hdl.handle.net/2027/uiug.30112058522902?urlappend=%3Bseq=181182" TargetMode="External"/><Relationship Id="rId894" Type="http://schemas.openxmlformats.org/officeDocument/2006/relationships/hyperlink" Target="http://hdl.handle.net/2027/uiug.30112058522902?urlappend=%3Bseq=181178" TargetMode="External"/><Relationship Id="rId37" Type="http://schemas.openxmlformats.org/officeDocument/2006/relationships/hyperlink" Target="https://hdl.handle.net/2027/uc1.b3014088?urlappend=%3Bseq=173" TargetMode="External"/><Relationship Id="rId79" Type="http://schemas.openxmlformats.org/officeDocument/2006/relationships/hyperlink" Target="http://hdl.handle.net/2027/uiug.30112058522902?urlappend=%3Bseq=173" TargetMode="External"/><Relationship Id="rId102" Type="http://schemas.openxmlformats.org/officeDocument/2006/relationships/hyperlink" Target="http://hdl.handle.net/2027/uiug.30112058522902?urlappend=%3Bseq=176" TargetMode="External"/><Relationship Id="rId144" Type="http://schemas.openxmlformats.org/officeDocument/2006/relationships/hyperlink" Target="http://hdl.handle.net/2027/uiug.30112058522902?urlappend=%3Bseq=180" TargetMode="External"/><Relationship Id="rId547" Type="http://schemas.openxmlformats.org/officeDocument/2006/relationships/hyperlink" Target="http://hdl.handle.net/2027/uiug.30112058522902?urlappend=%3Bseq=181174" TargetMode="External"/><Relationship Id="rId589" Type="http://schemas.openxmlformats.org/officeDocument/2006/relationships/hyperlink" Target="https://hdl.handle.net/2027/uc1.b3014088?urlappend=%3Bseq=174" TargetMode="External"/><Relationship Id="rId754" Type="http://schemas.openxmlformats.org/officeDocument/2006/relationships/hyperlink" Target="http://hdl.handle.net/2027/uiug.30112058522902?urlappend=%3Bseq=181178" TargetMode="External"/><Relationship Id="rId796" Type="http://schemas.openxmlformats.org/officeDocument/2006/relationships/hyperlink" Target="http://hdl.handle.net/2027/uiug.30112058522902?urlappend=%3Bseq=181183" TargetMode="External"/><Relationship Id="rId961" Type="http://schemas.openxmlformats.org/officeDocument/2006/relationships/hyperlink" Target="https://hdl.handle.net/2027/uc1.b3014088?urlappend=%3Bseq=175" TargetMode="External"/><Relationship Id="rId90" Type="http://schemas.openxmlformats.org/officeDocument/2006/relationships/hyperlink" Target="http://hdl.handle.net/2027/uiug.30112058522902?urlappend=%3Bseq=176" TargetMode="External"/><Relationship Id="rId186" Type="http://schemas.openxmlformats.org/officeDocument/2006/relationships/hyperlink" Target="http://hdl.handle.net/2027/uiug.30112058522902?urlappend=%3Bseq=176" TargetMode="External"/><Relationship Id="rId351" Type="http://schemas.openxmlformats.org/officeDocument/2006/relationships/hyperlink" Target="http://hdl.handle.net/2027/uiug.30112058522902?urlappend=%3Bseq=181173" TargetMode="External"/><Relationship Id="rId393" Type="http://schemas.openxmlformats.org/officeDocument/2006/relationships/hyperlink" Target="https://hdl.handle.net/2027/uc1.b3014088?urlappend=%3Bseq=174" TargetMode="External"/><Relationship Id="rId407" Type="http://schemas.openxmlformats.org/officeDocument/2006/relationships/hyperlink" Target="http://hdl.handle.net/2027/uiug.30112058522902?urlappend=%3Bseq=181174" TargetMode="External"/><Relationship Id="rId449" Type="http://schemas.openxmlformats.org/officeDocument/2006/relationships/hyperlink" Target="https://hdl.handle.net/2027/uc1.b3014088?urlappend=%3Bseq=174" TargetMode="External"/><Relationship Id="rId614" Type="http://schemas.openxmlformats.org/officeDocument/2006/relationships/hyperlink" Target="http://hdl.handle.net/2027/uiug.30112058522902?urlappend=%3Bseq=181177" TargetMode="External"/><Relationship Id="rId656" Type="http://schemas.openxmlformats.org/officeDocument/2006/relationships/hyperlink" Target="http://hdl.handle.net/2027/uiug.30112058522902?urlappend=%3Bseq=181182" TargetMode="External"/><Relationship Id="rId821" Type="http://schemas.openxmlformats.org/officeDocument/2006/relationships/hyperlink" Target="https://hdl.handle.net/2027/uc1.b3014088?urlappend=%3Bseq=175" TargetMode="External"/><Relationship Id="rId863" Type="http://schemas.openxmlformats.org/officeDocument/2006/relationships/hyperlink" Target="http://hdl.handle.net/2027/uiug.30112058522902?urlappend=%3Bseq=181175" TargetMode="External"/><Relationship Id="rId211" Type="http://schemas.openxmlformats.org/officeDocument/2006/relationships/hyperlink" Target="http://hdl.handle.net/2027/uiug.30112058522902?urlappend=%3Bseq=173" TargetMode="External"/><Relationship Id="rId253" Type="http://schemas.openxmlformats.org/officeDocument/2006/relationships/hyperlink" Target="https://hdl.handle.net/2027/uc1.b3014088?urlappend=%3Bseq=173" TargetMode="External"/><Relationship Id="rId295" Type="http://schemas.openxmlformats.org/officeDocument/2006/relationships/hyperlink" Target="http://hdl.handle.net/2027/uiug.30112058522902?urlappend=%3Bseq=173" TargetMode="External"/><Relationship Id="rId309" Type="http://schemas.openxmlformats.org/officeDocument/2006/relationships/hyperlink" Target="https://hdl.handle.net/2027/uc1.b3014088?urlappend=%3Bseq=173" TargetMode="External"/><Relationship Id="rId460" Type="http://schemas.openxmlformats.org/officeDocument/2006/relationships/hyperlink" Target="http://hdl.handle.net/2027/uiug.30112058522902?urlappend=%3Bseq=181181" TargetMode="External"/><Relationship Id="rId516" Type="http://schemas.openxmlformats.org/officeDocument/2006/relationships/hyperlink" Target="http://hdl.handle.net/2027/uiug.30112058522902?urlappend=%3Bseq=181182" TargetMode="External"/><Relationship Id="rId698" Type="http://schemas.openxmlformats.org/officeDocument/2006/relationships/hyperlink" Target="http://hdl.handle.net/2027/uiug.30112058522902?urlappend=%3Bseq=181178" TargetMode="External"/><Relationship Id="rId919" Type="http://schemas.openxmlformats.org/officeDocument/2006/relationships/hyperlink" Target="http://hdl.handle.net/2027/uiug.30112058522902?urlappend=%3Bseq=181175" TargetMode="External"/><Relationship Id="rId48" Type="http://schemas.openxmlformats.org/officeDocument/2006/relationships/hyperlink" Target="http://hdl.handle.net/2027/uiug.30112058522902?urlappend=%3Bseq=180" TargetMode="External"/><Relationship Id="rId113" Type="http://schemas.openxmlformats.org/officeDocument/2006/relationships/hyperlink" Target="https://hdl.handle.net/2027/uc1.b3014088?urlappend=%3Bseq=173" TargetMode="External"/><Relationship Id="rId320" Type="http://schemas.openxmlformats.org/officeDocument/2006/relationships/hyperlink" Target="http://hdl.handle.net/2027/uiug.30112058522902?urlappend=%3Bseq=181" TargetMode="External"/><Relationship Id="rId558" Type="http://schemas.openxmlformats.org/officeDocument/2006/relationships/hyperlink" Target="http://hdl.handle.net/2027/uiug.30112058522902?urlappend=%3Bseq=181177" TargetMode="External"/><Relationship Id="rId723" Type="http://schemas.openxmlformats.org/officeDocument/2006/relationships/hyperlink" Target="http://hdl.handle.net/2027/uiug.30112058522902?urlappend=%3Bseq=181175" TargetMode="External"/><Relationship Id="rId765" Type="http://schemas.openxmlformats.org/officeDocument/2006/relationships/hyperlink" Target="https://hdl.handle.net/2027/uc1.b3014088?urlappend=%3Bseq=175" TargetMode="External"/><Relationship Id="rId930" Type="http://schemas.openxmlformats.org/officeDocument/2006/relationships/hyperlink" Target="http://hdl.handle.net/2027/uiug.30112058522902?urlappend=%3Bseq=181178" TargetMode="External"/><Relationship Id="rId972" Type="http://schemas.openxmlformats.org/officeDocument/2006/relationships/hyperlink" Target="http://hdl.handle.net/2027/uiug.30112058522902?urlappend=%3Bseq=181183" TargetMode="External"/><Relationship Id="rId1006" Type="http://schemas.openxmlformats.org/officeDocument/2006/relationships/hyperlink" Target="http://hdl.handle.net/2027/uiug.30112058522902?urlappend=%3Bseq=181179" TargetMode="External"/><Relationship Id="rId155" Type="http://schemas.openxmlformats.org/officeDocument/2006/relationships/hyperlink" Target="http://hdl.handle.net/2027/uiug.30112058522902?urlappend=%3Bseq=173" TargetMode="External"/><Relationship Id="rId197" Type="http://schemas.openxmlformats.org/officeDocument/2006/relationships/hyperlink" Target="https://hdl.handle.net/2027/uc1.b3014088?urlappend=%3Bseq=173" TargetMode="External"/><Relationship Id="rId362" Type="http://schemas.openxmlformats.org/officeDocument/2006/relationships/hyperlink" Target="http://hdl.handle.net/2027/uiug.30112058522902?urlappend=%3Bseq=181177" TargetMode="External"/><Relationship Id="rId418" Type="http://schemas.openxmlformats.org/officeDocument/2006/relationships/hyperlink" Target="http://hdl.handle.net/2027/uiug.30112058522902?urlappend=%3Bseq=181177" TargetMode="External"/><Relationship Id="rId625" Type="http://schemas.openxmlformats.org/officeDocument/2006/relationships/hyperlink" Target="https://hdl.handle.net/2027/uc1.b3014088?urlappend=%3Bseq=174" TargetMode="External"/><Relationship Id="rId832" Type="http://schemas.openxmlformats.org/officeDocument/2006/relationships/hyperlink" Target="http://hdl.handle.net/2027/uiug.30112058522902?urlappend=%3Bseq=181183" TargetMode="External"/><Relationship Id="rId222" Type="http://schemas.openxmlformats.org/officeDocument/2006/relationships/hyperlink" Target="http://hdl.handle.net/2027/uiug.30112058522902?urlappend=%3Bseq=176" TargetMode="External"/><Relationship Id="rId264" Type="http://schemas.openxmlformats.org/officeDocument/2006/relationships/hyperlink" Target="http://hdl.handle.net/2027/uiug.30112058522902?urlappend=%3Bseq=181" TargetMode="External"/><Relationship Id="rId471" Type="http://schemas.openxmlformats.org/officeDocument/2006/relationships/hyperlink" Target="http://hdl.handle.net/2027/uiug.30112058522902?urlappend=%3Bseq=181174" TargetMode="External"/><Relationship Id="rId667" Type="http://schemas.openxmlformats.org/officeDocument/2006/relationships/hyperlink" Target="http://hdl.handle.net/2027/uiug.30112058522902?urlappend=%3Bseq=181174" TargetMode="External"/><Relationship Id="rId874" Type="http://schemas.openxmlformats.org/officeDocument/2006/relationships/hyperlink" Target="http://hdl.handle.net/2027/uiug.30112058522902?urlappend=%3Bseq=181178" TargetMode="External"/><Relationship Id="rId17" Type="http://schemas.openxmlformats.org/officeDocument/2006/relationships/hyperlink" Target="https://hdl.handle.net/2027/uc1.b3014088?urlappend=%3Bseq=173" TargetMode="External"/><Relationship Id="rId59" Type="http://schemas.openxmlformats.org/officeDocument/2006/relationships/hyperlink" Target="http://hdl.handle.net/2027/uiug.30112058522902?urlappend=%3Bseq=172" TargetMode="External"/><Relationship Id="rId124" Type="http://schemas.openxmlformats.org/officeDocument/2006/relationships/hyperlink" Target="http://hdl.handle.net/2027/uiug.30112058522902?urlappend=%3Bseq=180" TargetMode="External"/><Relationship Id="rId527" Type="http://schemas.openxmlformats.org/officeDocument/2006/relationships/hyperlink" Target="http://hdl.handle.net/2027/uiug.30112058522902?urlappend=%3Bseq=181174" TargetMode="External"/><Relationship Id="rId569" Type="http://schemas.openxmlformats.org/officeDocument/2006/relationships/hyperlink" Target="https://hdl.handle.net/2027/uc1.b3014088?urlappend=%3Bseq=174" TargetMode="External"/><Relationship Id="rId734" Type="http://schemas.openxmlformats.org/officeDocument/2006/relationships/hyperlink" Target="http://hdl.handle.net/2027/uiug.30112058522902?urlappend=%3Bseq=181178" TargetMode="External"/><Relationship Id="rId776" Type="http://schemas.openxmlformats.org/officeDocument/2006/relationships/hyperlink" Target="http://hdl.handle.net/2027/uiug.30112058522902?urlappend=%3Bseq=181182" TargetMode="External"/><Relationship Id="rId941" Type="http://schemas.openxmlformats.org/officeDocument/2006/relationships/hyperlink" Target="https://hdl.handle.net/2027/uc1.b3014088?urlappend=%3Bseq=175" TargetMode="External"/><Relationship Id="rId983" Type="http://schemas.openxmlformats.org/officeDocument/2006/relationships/hyperlink" Target="http://hdl.handle.net/2027/uiug.30112058522902?urlappend=%3Bseq=181175" TargetMode="External"/><Relationship Id="rId70" Type="http://schemas.openxmlformats.org/officeDocument/2006/relationships/hyperlink" Target="http://hdl.handle.net/2027/uiug.30112058522902?urlappend=%3Bseq=176" TargetMode="External"/><Relationship Id="rId166" Type="http://schemas.openxmlformats.org/officeDocument/2006/relationships/hyperlink" Target="http://hdl.handle.net/2027/uiug.30112058522902?urlappend=%3Bseq=176" TargetMode="External"/><Relationship Id="rId331" Type="http://schemas.openxmlformats.org/officeDocument/2006/relationships/hyperlink" Target="http://hdl.handle.net/2027/uiug.30112058522902?urlappend=%3Bseq=181173" TargetMode="External"/><Relationship Id="rId373" Type="http://schemas.openxmlformats.org/officeDocument/2006/relationships/hyperlink" Target="https://hdl.handle.net/2027/uc1.b3014088?urlappend=%3Bseq=174" TargetMode="External"/><Relationship Id="rId429" Type="http://schemas.openxmlformats.org/officeDocument/2006/relationships/hyperlink" Target="https://hdl.handle.net/2027/uc1.b3014088?urlappend=%3Bseq=174" TargetMode="External"/><Relationship Id="rId580" Type="http://schemas.openxmlformats.org/officeDocument/2006/relationships/hyperlink" Target="http://hdl.handle.net/2027/uiug.30112058522902?urlappend=%3Bseq=181182" TargetMode="External"/><Relationship Id="rId636" Type="http://schemas.openxmlformats.org/officeDocument/2006/relationships/hyperlink" Target="http://hdl.handle.net/2027/uiug.30112058522902?urlappend=%3Bseq=181182" TargetMode="External"/><Relationship Id="rId801" Type="http://schemas.openxmlformats.org/officeDocument/2006/relationships/hyperlink" Target="https://hdl.handle.net/2027/uc1.b3014088?urlappend=%3Bseq=175" TargetMode="External"/><Relationship Id="rId1" Type="http://schemas.openxmlformats.org/officeDocument/2006/relationships/hyperlink" Target="https://hdl.handle.net/2027/uc1.b3014088?urlappend=%3Bseq=173" TargetMode="External"/><Relationship Id="rId233" Type="http://schemas.openxmlformats.org/officeDocument/2006/relationships/hyperlink" Target="https://hdl.handle.net/2027/uc1.b3014088?urlappend=%3Bseq=173" TargetMode="External"/><Relationship Id="rId440" Type="http://schemas.openxmlformats.org/officeDocument/2006/relationships/hyperlink" Target="http://hdl.handle.net/2027/uiug.30112058522902?urlappend=%3Bseq=181181" TargetMode="External"/><Relationship Id="rId678" Type="http://schemas.openxmlformats.org/officeDocument/2006/relationships/hyperlink" Target="http://hdl.handle.net/2027/uiug.30112058522902?urlappend=%3Bseq=181178" TargetMode="External"/><Relationship Id="rId843" Type="http://schemas.openxmlformats.org/officeDocument/2006/relationships/hyperlink" Target="http://hdl.handle.net/2027/uiug.30112058522902?urlappend=%3Bseq=181175" TargetMode="External"/><Relationship Id="rId885" Type="http://schemas.openxmlformats.org/officeDocument/2006/relationships/hyperlink" Target="https://hdl.handle.net/2027/uc1.b3014088?urlappend=%3Bseq=175" TargetMode="External"/><Relationship Id="rId28" Type="http://schemas.openxmlformats.org/officeDocument/2006/relationships/hyperlink" Target="http://hdl.handle.net/2027/uiug.30112058522902?urlappend=%3Bseq=180" TargetMode="External"/><Relationship Id="rId275" Type="http://schemas.openxmlformats.org/officeDocument/2006/relationships/hyperlink" Target="http://hdl.handle.net/2027/uiug.30112058522902?urlappend=%3Bseq=173" TargetMode="External"/><Relationship Id="rId300" Type="http://schemas.openxmlformats.org/officeDocument/2006/relationships/hyperlink" Target="http://hdl.handle.net/2027/uiug.30112058522902?urlappend=%3Bseq=181" TargetMode="External"/><Relationship Id="rId482" Type="http://schemas.openxmlformats.org/officeDocument/2006/relationships/hyperlink" Target="http://hdl.handle.net/2027/uiug.30112058522902?urlappend=%3Bseq=181177" TargetMode="External"/><Relationship Id="rId538" Type="http://schemas.openxmlformats.org/officeDocument/2006/relationships/hyperlink" Target="http://hdl.handle.net/2027/uiug.30112058522902?urlappend=%3Bseq=181177" TargetMode="External"/><Relationship Id="rId703" Type="http://schemas.openxmlformats.org/officeDocument/2006/relationships/hyperlink" Target="http://hdl.handle.net/2027/uiug.30112058522902?urlappend=%3Bseq=181175" TargetMode="External"/><Relationship Id="rId745" Type="http://schemas.openxmlformats.org/officeDocument/2006/relationships/hyperlink" Target="https://hdl.handle.net/2027/uc1.b3014088?urlappend=%3Bseq=175" TargetMode="External"/><Relationship Id="rId910" Type="http://schemas.openxmlformats.org/officeDocument/2006/relationships/hyperlink" Target="http://hdl.handle.net/2027/uiug.30112058522902?urlappend=%3Bseq=181178" TargetMode="External"/><Relationship Id="rId952" Type="http://schemas.openxmlformats.org/officeDocument/2006/relationships/hyperlink" Target="http://hdl.handle.net/2027/uiug.30112058522902?urlappend=%3Bseq=181183" TargetMode="External"/><Relationship Id="rId81" Type="http://schemas.openxmlformats.org/officeDocument/2006/relationships/hyperlink" Target="https://hdl.handle.net/2027/uc1.b3014088?urlappend=%3Bseq=173" TargetMode="External"/><Relationship Id="rId135" Type="http://schemas.openxmlformats.org/officeDocument/2006/relationships/hyperlink" Target="http://hdl.handle.net/2027/uiug.30112058522902?urlappend=%3Bseq=173" TargetMode="External"/><Relationship Id="rId177" Type="http://schemas.openxmlformats.org/officeDocument/2006/relationships/hyperlink" Target="https://hdl.handle.net/2027/uc1.b3014088?urlappend=%3Bseq=173" TargetMode="External"/><Relationship Id="rId342" Type="http://schemas.openxmlformats.org/officeDocument/2006/relationships/hyperlink" Target="http://hdl.handle.net/2027/uiug.30112058522902?urlappend=%3Bseq=181177" TargetMode="External"/><Relationship Id="rId384" Type="http://schemas.openxmlformats.org/officeDocument/2006/relationships/hyperlink" Target="http://hdl.handle.net/2027/uiug.30112058522902?urlappend=%3Bseq=181181" TargetMode="External"/><Relationship Id="rId591" Type="http://schemas.openxmlformats.org/officeDocument/2006/relationships/hyperlink" Target="http://hdl.handle.net/2027/uiug.30112058522902?urlappend=%3Bseq=181174" TargetMode="External"/><Relationship Id="rId605" Type="http://schemas.openxmlformats.org/officeDocument/2006/relationships/hyperlink" Target="https://hdl.handle.net/2027/uc1.b3014088?urlappend=%3Bseq=174" TargetMode="External"/><Relationship Id="rId787" Type="http://schemas.openxmlformats.org/officeDocument/2006/relationships/hyperlink" Target="http://hdl.handle.net/2027/uiug.30112058522902?urlappend=%3Bseq=181175" TargetMode="External"/><Relationship Id="rId812" Type="http://schemas.openxmlformats.org/officeDocument/2006/relationships/hyperlink" Target="http://hdl.handle.net/2027/uiug.30112058522902?urlappend=%3Bseq=181183" TargetMode="External"/><Relationship Id="rId994" Type="http://schemas.openxmlformats.org/officeDocument/2006/relationships/hyperlink" Target="http://hdl.handle.net/2027/uiug.30112058522902?urlappend=%3Bseq=181179" TargetMode="External"/><Relationship Id="rId202" Type="http://schemas.openxmlformats.org/officeDocument/2006/relationships/hyperlink" Target="http://hdl.handle.net/2027/uiug.30112058522902?urlappend=%3Bseq=176" TargetMode="External"/><Relationship Id="rId244" Type="http://schemas.openxmlformats.org/officeDocument/2006/relationships/hyperlink" Target="http://hdl.handle.net/2027/uiug.30112058522902?urlappend=%3Bseq=181" TargetMode="External"/><Relationship Id="rId647" Type="http://schemas.openxmlformats.org/officeDocument/2006/relationships/hyperlink" Target="http://hdl.handle.net/2027/uiug.30112058522902?urlappend=%3Bseq=181174" TargetMode="External"/><Relationship Id="rId689" Type="http://schemas.openxmlformats.org/officeDocument/2006/relationships/hyperlink" Target="https://hdl.handle.net/2027/uc1.b3014088?urlappend=%3Bseq=175" TargetMode="External"/><Relationship Id="rId854" Type="http://schemas.openxmlformats.org/officeDocument/2006/relationships/hyperlink" Target="http://hdl.handle.net/2027/uiug.30112058522902?urlappend=%3Bseq=181178" TargetMode="External"/><Relationship Id="rId896" Type="http://schemas.openxmlformats.org/officeDocument/2006/relationships/hyperlink" Target="http://hdl.handle.net/2027/uiug.30112058522902?urlappend=%3Bseq=181183" TargetMode="External"/><Relationship Id="rId39" Type="http://schemas.openxmlformats.org/officeDocument/2006/relationships/hyperlink" Target="http://hdl.handle.net/2027/uiug.30112058522902?urlappend=%3Bseq=172" TargetMode="External"/><Relationship Id="rId286" Type="http://schemas.openxmlformats.org/officeDocument/2006/relationships/hyperlink" Target="http://hdl.handle.net/2027/uiug.30112058522902?urlappend=%3Bseq=176" TargetMode="External"/><Relationship Id="rId451" Type="http://schemas.openxmlformats.org/officeDocument/2006/relationships/hyperlink" Target="http://hdl.handle.net/2027/uiug.30112058522902?urlappend=%3Bseq=181174" TargetMode="External"/><Relationship Id="rId493" Type="http://schemas.openxmlformats.org/officeDocument/2006/relationships/hyperlink" Target="https://hdl.handle.net/2027/uc1.b3014088?urlappend=%3Bseq=174" TargetMode="External"/><Relationship Id="rId507" Type="http://schemas.openxmlformats.org/officeDocument/2006/relationships/hyperlink" Target="http://hdl.handle.net/2027/uiug.30112058522902?urlappend=%3Bseq=181174" TargetMode="External"/><Relationship Id="rId549" Type="http://schemas.openxmlformats.org/officeDocument/2006/relationships/hyperlink" Target="https://hdl.handle.net/2027/uc1.b3014088?urlappend=%3Bseq=174" TargetMode="External"/><Relationship Id="rId714" Type="http://schemas.openxmlformats.org/officeDocument/2006/relationships/hyperlink" Target="http://hdl.handle.net/2027/uiug.30112058522902?urlappend=%3Bseq=181178" TargetMode="External"/><Relationship Id="rId756" Type="http://schemas.openxmlformats.org/officeDocument/2006/relationships/hyperlink" Target="http://hdl.handle.net/2027/uiug.30112058522902?urlappend=%3Bseq=181182" TargetMode="External"/><Relationship Id="rId921" Type="http://schemas.openxmlformats.org/officeDocument/2006/relationships/hyperlink" Target="https://hdl.handle.net/2027/uc1.b3014088?urlappend=%3Bseq=175" TargetMode="External"/><Relationship Id="rId50" Type="http://schemas.openxmlformats.org/officeDocument/2006/relationships/hyperlink" Target="http://hdl.handle.net/2027/uiug.30112058522902?urlappend=%3Bseq=176" TargetMode="External"/><Relationship Id="rId104" Type="http://schemas.openxmlformats.org/officeDocument/2006/relationships/hyperlink" Target="http://hdl.handle.net/2027/uiug.30112058522902?urlappend=%3Bseq=180" TargetMode="External"/><Relationship Id="rId146" Type="http://schemas.openxmlformats.org/officeDocument/2006/relationships/hyperlink" Target="http://hdl.handle.net/2027/uiug.30112058522902?urlappend=%3Bseq=176" TargetMode="External"/><Relationship Id="rId188" Type="http://schemas.openxmlformats.org/officeDocument/2006/relationships/hyperlink" Target="http://hdl.handle.net/2027/uiug.30112058522902?urlappend=%3Bseq=181" TargetMode="External"/><Relationship Id="rId311" Type="http://schemas.openxmlformats.org/officeDocument/2006/relationships/hyperlink" Target="http://hdl.handle.net/2027/uiug.30112058522902?urlappend=%3Bseq=173" TargetMode="External"/><Relationship Id="rId353" Type="http://schemas.openxmlformats.org/officeDocument/2006/relationships/hyperlink" Target="https://hdl.handle.net/2027/uc1.b3014088?urlappend=%3Bseq=174" TargetMode="External"/><Relationship Id="rId395" Type="http://schemas.openxmlformats.org/officeDocument/2006/relationships/hyperlink" Target="http://hdl.handle.net/2027/uiug.30112058522902?urlappend=%3Bseq=181174" TargetMode="External"/><Relationship Id="rId409" Type="http://schemas.openxmlformats.org/officeDocument/2006/relationships/hyperlink" Target="https://hdl.handle.net/2027/uc1.b3014088?urlappend=%3Bseq=174" TargetMode="External"/><Relationship Id="rId560" Type="http://schemas.openxmlformats.org/officeDocument/2006/relationships/hyperlink" Target="http://hdl.handle.net/2027/uiug.30112058522902?urlappend=%3Bseq=181182" TargetMode="External"/><Relationship Id="rId798" Type="http://schemas.openxmlformats.org/officeDocument/2006/relationships/hyperlink" Target="http://hdl.handle.net/2027/uiug.30112058522902?urlappend=%3Bseq=181178" TargetMode="External"/><Relationship Id="rId963" Type="http://schemas.openxmlformats.org/officeDocument/2006/relationships/hyperlink" Target="http://hdl.handle.net/2027/uiug.30112058522902?urlappend=%3Bseq=181175" TargetMode="External"/><Relationship Id="rId92" Type="http://schemas.openxmlformats.org/officeDocument/2006/relationships/hyperlink" Target="http://hdl.handle.net/2027/uiug.30112058522902?urlappend=%3Bseq=180" TargetMode="External"/><Relationship Id="rId213" Type="http://schemas.openxmlformats.org/officeDocument/2006/relationships/hyperlink" Target="https://hdl.handle.net/2027/uc1.b3014088?urlappend=%3Bseq=173" TargetMode="External"/><Relationship Id="rId420" Type="http://schemas.openxmlformats.org/officeDocument/2006/relationships/hyperlink" Target="http://hdl.handle.net/2027/uiug.30112058522902?urlappend=%3Bseq=181181" TargetMode="External"/><Relationship Id="rId616" Type="http://schemas.openxmlformats.org/officeDocument/2006/relationships/hyperlink" Target="http://hdl.handle.net/2027/uiug.30112058522902?urlappend=%3Bseq=181182" TargetMode="External"/><Relationship Id="rId658" Type="http://schemas.openxmlformats.org/officeDocument/2006/relationships/hyperlink" Target="http://hdl.handle.net/2027/uiug.30112058522902?urlappend=%3Bseq=181178" TargetMode="External"/><Relationship Id="rId823" Type="http://schemas.openxmlformats.org/officeDocument/2006/relationships/hyperlink" Target="http://hdl.handle.net/2027/uiug.30112058522902?urlappend=%3Bseq=181175" TargetMode="External"/><Relationship Id="rId865" Type="http://schemas.openxmlformats.org/officeDocument/2006/relationships/hyperlink" Target="https://hdl.handle.net/2027/uc1.b3014088?urlappend=%3Bseq=175" TargetMode="External"/><Relationship Id="rId255" Type="http://schemas.openxmlformats.org/officeDocument/2006/relationships/hyperlink" Target="http://hdl.handle.net/2027/uiug.30112058522902?urlappend=%3Bseq=173" TargetMode="External"/><Relationship Id="rId297" Type="http://schemas.openxmlformats.org/officeDocument/2006/relationships/hyperlink" Target="https://hdl.handle.net/2027/uc1.b3014088?urlappend=%3Bseq=173" TargetMode="External"/><Relationship Id="rId462" Type="http://schemas.openxmlformats.org/officeDocument/2006/relationships/hyperlink" Target="http://hdl.handle.net/2027/uiug.30112058522902?urlappend=%3Bseq=181177" TargetMode="External"/><Relationship Id="rId518" Type="http://schemas.openxmlformats.org/officeDocument/2006/relationships/hyperlink" Target="http://hdl.handle.net/2027/uiug.30112058522902?urlappend=%3Bseq=181177" TargetMode="External"/><Relationship Id="rId725" Type="http://schemas.openxmlformats.org/officeDocument/2006/relationships/hyperlink" Target="https://hdl.handle.net/2027/uc1.b3014088?urlappend=%3Bseq=175" TargetMode="External"/><Relationship Id="rId932" Type="http://schemas.openxmlformats.org/officeDocument/2006/relationships/hyperlink" Target="http://hdl.handle.net/2027/uiug.30112058522902?urlappend=%3Bseq=181183" TargetMode="External"/><Relationship Id="rId115" Type="http://schemas.openxmlformats.org/officeDocument/2006/relationships/hyperlink" Target="http://hdl.handle.net/2027/uiug.30112058522902?urlappend=%3Bseq=173" TargetMode="External"/><Relationship Id="rId157" Type="http://schemas.openxmlformats.org/officeDocument/2006/relationships/hyperlink" Target="https://hdl.handle.net/2027/uc1.b3014088?urlappend=%3Bseq=173" TargetMode="External"/><Relationship Id="rId322" Type="http://schemas.openxmlformats.org/officeDocument/2006/relationships/hyperlink" Target="http://hdl.handle.net/2027/uiug.30112058522902?urlappend=%3Bseq=176" TargetMode="External"/><Relationship Id="rId364" Type="http://schemas.openxmlformats.org/officeDocument/2006/relationships/hyperlink" Target="http://hdl.handle.net/2027/uiug.30112058522902?urlappend=%3Bseq=181181" TargetMode="External"/><Relationship Id="rId767" Type="http://schemas.openxmlformats.org/officeDocument/2006/relationships/hyperlink" Target="http://hdl.handle.net/2027/uiug.30112058522902?urlappend=%3Bseq=181175" TargetMode="External"/><Relationship Id="rId974" Type="http://schemas.openxmlformats.org/officeDocument/2006/relationships/hyperlink" Target="http://hdl.handle.net/2027/uiug.30112058522902?urlappend=%3Bseq=181179" TargetMode="External"/><Relationship Id="rId1008" Type="http://schemas.openxmlformats.org/officeDocument/2006/relationships/hyperlink" Target="http://hdl.handle.net/2027/uiug.30112058522902?urlappend=%3Bseq=181183" TargetMode="External"/><Relationship Id="rId61" Type="http://schemas.openxmlformats.org/officeDocument/2006/relationships/hyperlink" Target="https://hdl.handle.net/2027/uc1.b3014088?urlappend=%3Bseq=173" TargetMode="External"/><Relationship Id="rId199" Type="http://schemas.openxmlformats.org/officeDocument/2006/relationships/hyperlink" Target="http://hdl.handle.net/2027/uiug.30112058522902?urlappend=%3Bseq=173" TargetMode="External"/><Relationship Id="rId571" Type="http://schemas.openxmlformats.org/officeDocument/2006/relationships/hyperlink" Target="http://hdl.handle.net/2027/uiug.30112058522902?urlappend=%3Bseq=181174" TargetMode="External"/><Relationship Id="rId627" Type="http://schemas.openxmlformats.org/officeDocument/2006/relationships/hyperlink" Target="http://hdl.handle.net/2027/uiug.30112058522902?urlappend=%3Bseq=181174" TargetMode="External"/><Relationship Id="rId669" Type="http://schemas.openxmlformats.org/officeDocument/2006/relationships/hyperlink" Target="https://hdl.handle.net/2027/uc1.b3014088?urlappend=%3Bseq=175" TargetMode="External"/><Relationship Id="rId834" Type="http://schemas.openxmlformats.org/officeDocument/2006/relationships/hyperlink" Target="http://hdl.handle.net/2027/uiug.30112058522902?urlappend=%3Bseq=181178" TargetMode="External"/><Relationship Id="rId876" Type="http://schemas.openxmlformats.org/officeDocument/2006/relationships/hyperlink" Target="http://hdl.handle.net/2027/uiug.30112058522902?urlappend=%3Bseq=181183" TargetMode="External"/><Relationship Id="rId19" Type="http://schemas.openxmlformats.org/officeDocument/2006/relationships/hyperlink" Target="http://hdl.handle.net/2027/uiug.30112058522902?urlappend=%3Bseq=172" TargetMode="External"/><Relationship Id="rId224" Type="http://schemas.openxmlformats.org/officeDocument/2006/relationships/hyperlink" Target="http://hdl.handle.net/2027/uiug.30112058522902?urlappend=%3Bseq=181" TargetMode="External"/><Relationship Id="rId266" Type="http://schemas.openxmlformats.org/officeDocument/2006/relationships/hyperlink" Target="http://hdl.handle.net/2027/uiug.30112058522902?urlappend=%3Bseq=176" TargetMode="External"/><Relationship Id="rId431" Type="http://schemas.openxmlformats.org/officeDocument/2006/relationships/hyperlink" Target="http://hdl.handle.net/2027/uiug.30112058522902?urlappend=%3Bseq=181174" TargetMode="External"/><Relationship Id="rId473" Type="http://schemas.openxmlformats.org/officeDocument/2006/relationships/hyperlink" Target="https://hdl.handle.net/2027/uc1.b3014088?urlappend=%3Bseq=174" TargetMode="External"/><Relationship Id="rId529" Type="http://schemas.openxmlformats.org/officeDocument/2006/relationships/hyperlink" Target="https://hdl.handle.net/2027/uc1.b3014088?urlappend=%3Bseq=174" TargetMode="External"/><Relationship Id="rId680" Type="http://schemas.openxmlformats.org/officeDocument/2006/relationships/hyperlink" Target="http://hdl.handle.net/2027/uiug.30112058522902?urlappend=%3Bseq=181182" TargetMode="External"/><Relationship Id="rId736" Type="http://schemas.openxmlformats.org/officeDocument/2006/relationships/hyperlink" Target="http://hdl.handle.net/2027/uiug.30112058522902?urlappend=%3Bseq=181182" TargetMode="External"/><Relationship Id="rId901" Type="http://schemas.openxmlformats.org/officeDocument/2006/relationships/hyperlink" Target="https://hdl.handle.net/2027/uc1.b3014088?urlappend=%3Bseq=175" TargetMode="External"/><Relationship Id="rId30" Type="http://schemas.openxmlformats.org/officeDocument/2006/relationships/hyperlink" Target="http://hdl.handle.net/2027/uiug.30112058522902?urlappend=%3Bseq=176" TargetMode="External"/><Relationship Id="rId126" Type="http://schemas.openxmlformats.org/officeDocument/2006/relationships/hyperlink" Target="http://hdl.handle.net/2027/uiug.30112058522902?urlappend=%3Bseq=176" TargetMode="External"/><Relationship Id="rId168" Type="http://schemas.openxmlformats.org/officeDocument/2006/relationships/hyperlink" Target="http://hdl.handle.net/2027/uiug.30112058522902?urlappend=%3Bseq=181" TargetMode="External"/><Relationship Id="rId333" Type="http://schemas.openxmlformats.org/officeDocument/2006/relationships/hyperlink" Target="https://hdl.handle.net/2027/uc1.b3014088?urlappend=%3Bseq=174" TargetMode="External"/><Relationship Id="rId540" Type="http://schemas.openxmlformats.org/officeDocument/2006/relationships/hyperlink" Target="http://hdl.handle.net/2027/uiug.30112058522902?urlappend=%3Bseq=181182" TargetMode="External"/><Relationship Id="rId778" Type="http://schemas.openxmlformats.org/officeDocument/2006/relationships/hyperlink" Target="http://hdl.handle.net/2027/uiug.30112058522902?urlappend=%3Bseq=181178" TargetMode="External"/><Relationship Id="rId943" Type="http://schemas.openxmlformats.org/officeDocument/2006/relationships/hyperlink" Target="http://hdl.handle.net/2027/uiug.30112058522902?urlappend=%3Bseq=181175" TargetMode="External"/><Relationship Id="rId985" Type="http://schemas.openxmlformats.org/officeDocument/2006/relationships/hyperlink" Target="https://hdl.handle.net/2027/uc1.b3014088?urlappend=%3Bseq=176" TargetMode="External"/><Relationship Id="rId72" Type="http://schemas.openxmlformats.org/officeDocument/2006/relationships/hyperlink" Target="http://hdl.handle.net/2027/uiug.30112058522902?urlappend=%3Bseq=180" TargetMode="External"/><Relationship Id="rId375" Type="http://schemas.openxmlformats.org/officeDocument/2006/relationships/hyperlink" Target="http://hdl.handle.net/2027/uiug.30112058522902?urlappend=%3Bseq=181173" TargetMode="External"/><Relationship Id="rId582" Type="http://schemas.openxmlformats.org/officeDocument/2006/relationships/hyperlink" Target="http://hdl.handle.net/2027/uiug.30112058522902?urlappend=%3Bseq=181177" TargetMode="External"/><Relationship Id="rId638" Type="http://schemas.openxmlformats.org/officeDocument/2006/relationships/hyperlink" Target="http://hdl.handle.net/2027/uiug.30112058522902?urlappend=%3Bseq=181177" TargetMode="External"/><Relationship Id="rId803" Type="http://schemas.openxmlformats.org/officeDocument/2006/relationships/hyperlink" Target="http://hdl.handle.net/2027/uiug.30112058522902?urlappend=%3Bseq=181175" TargetMode="External"/><Relationship Id="rId845" Type="http://schemas.openxmlformats.org/officeDocument/2006/relationships/hyperlink" Target="https://hdl.handle.net/2027/uc1.b3014088?urlappend=%3Bseq=175" TargetMode="External"/><Relationship Id="rId3" Type="http://schemas.openxmlformats.org/officeDocument/2006/relationships/hyperlink" Target="http://hdl.handle.net/2027/uiug.30112058522902?urlappend=%3Bseq=172" TargetMode="External"/><Relationship Id="rId235" Type="http://schemas.openxmlformats.org/officeDocument/2006/relationships/hyperlink" Target="http://hdl.handle.net/2027/uiug.30112058522902?urlappend=%3Bseq=173" TargetMode="External"/><Relationship Id="rId277" Type="http://schemas.openxmlformats.org/officeDocument/2006/relationships/hyperlink" Target="https://hdl.handle.net/2027/uc1.b3014088?urlappend=%3Bseq=173" TargetMode="External"/><Relationship Id="rId400" Type="http://schemas.openxmlformats.org/officeDocument/2006/relationships/hyperlink" Target="http://hdl.handle.net/2027/uiug.30112058522902?urlappend=%3Bseq=181181" TargetMode="External"/><Relationship Id="rId442" Type="http://schemas.openxmlformats.org/officeDocument/2006/relationships/hyperlink" Target="http://hdl.handle.net/2027/uiug.30112058522902?urlappend=%3Bseq=181177" TargetMode="External"/><Relationship Id="rId484" Type="http://schemas.openxmlformats.org/officeDocument/2006/relationships/hyperlink" Target="http://hdl.handle.net/2027/uiug.30112058522902?urlappend=%3Bseq=181182" TargetMode="External"/><Relationship Id="rId705" Type="http://schemas.openxmlformats.org/officeDocument/2006/relationships/hyperlink" Target="https://hdl.handle.net/2027/uc1.b3014088?urlappend=%3Bseq=175" TargetMode="External"/><Relationship Id="rId887" Type="http://schemas.openxmlformats.org/officeDocument/2006/relationships/hyperlink" Target="http://hdl.handle.net/2027/uiug.30112058522902?urlappend=%3Bseq=181175" TargetMode="External"/><Relationship Id="rId137" Type="http://schemas.openxmlformats.org/officeDocument/2006/relationships/hyperlink" Target="https://hdl.handle.net/2027/uc1.b3014088?urlappend=%3Bseq=173" TargetMode="External"/><Relationship Id="rId302" Type="http://schemas.openxmlformats.org/officeDocument/2006/relationships/hyperlink" Target="http://hdl.handle.net/2027/uiug.30112058522902?urlappend=%3Bseq=176" TargetMode="External"/><Relationship Id="rId344" Type="http://schemas.openxmlformats.org/officeDocument/2006/relationships/hyperlink" Target="http://hdl.handle.net/2027/uiug.30112058522902?urlappend=%3Bseq=181181" TargetMode="External"/><Relationship Id="rId691" Type="http://schemas.openxmlformats.org/officeDocument/2006/relationships/hyperlink" Target="http://hdl.handle.net/2027/uiug.30112058522902?urlappend=%3Bseq=181175" TargetMode="External"/><Relationship Id="rId747" Type="http://schemas.openxmlformats.org/officeDocument/2006/relationships/hyperlink" Target="http://hdl.handle.net/2027/uiug.30112058522902?urlappend=%3Bseq=181175" TargetMode="External"/><Relationship Id="rId789" Type="http://schemas.openxmlformats.org/officeDocument/2006/relationships/hyperlink" Target="https://hdl.handle.net/2027/uc1.b3014088?urlappend=%3Bseq=175" TargetMode="External"/><Relationship Id="rId912" Type="http://schemas.openxmlformats.org/officeDocument/2006/relationships/hyperlink" Target="http://hdl.handle.net/2027/uiug.30112058522902?urlappend=%3Bseq=181183" TargetMode="External"/><Relationship Id="rId954" Type="http://schemas.openxmlformats.org/officeDocument/2006/relationships/hyperlink" Target="http://hdl.handle.net/2027/uiug.30112058522902?urlappend=%3Bseq=181178" TargetMode="External"/><Relationship Id="rId996" Type="http://schemas.openxmlformats.org/officeDocument/2006/relationships/hyperlink" Target="http://hdl.handle.net/2027/uiug.30112058522902?urlappend=%3Bseq=181183" TargetMode="External"/><Relationship Id="rId41" Type="http://schemas.openxmlformats.org/officeDocument/2006/relationships/hyperlink" Target="https://hdl.handle.net/2027/uc1.b3014088?urlappend=%3Bseq=173" TargetMode="External"/><Relationship Id="rId83" Type="http://schemas.openxmlformats.org/officeDocument/2006/relationships/hyperlink" Target="http://hdl.handle.net/2027/uiug.30112058522902?urlappend=%3Bseq=173" TargetMode="External"/><Relationship Id="rId179" Type="http://schemas.openxmlformats.org/officeDocument/2006/relationships/hyperlink" Target="http://hdl.handle.net/2027/uiug.30112058522902?urlappend=%3Bseq=173" TargetMode="External"/><Relationship Id="rId386" Type="http://schemas.openxmlformats.org/officeDocument/2006/relationships/hyperlink" Target="http://hdl.handle.net/2027/uiug.30112058522902?urlappend=%3Bseq=181177" TargetMode="External"/><Relationship Id="rId551" Type="http://schemas.openxmlformats.org/officeDocument/2006/relationships/hyperlink" Target="http://hdl.handle.net/2027/uiug.30112058522902?urlappend=%3Bseq=181174" TargetMode="External"/><Relationship Id="rId593" Type="http://schemas.openxmlformats.org/officeDocument/2006/relationships/hyperlink" Target="https://hdl.handle.net/2027/uc1.b3014088?urlappend=%3Bseq=174" TargetMode="External"/><Relationship Id="rId607" Type="http://schemas.openxmlformats.org/officeDocument/2006/relationships/hyperlink" Target="http://hdl.handle.net/2027/uiug.30112058522902?urlappend=%3Bseq=181174" TargetMode="External"/><Relationship Id="rId649" Type="http://schemas.openxmlformats.org/officeDocument/2006/relationships/hyperlink" Target="https://hdl.handle.net/2027/uc1.b3014088?urlappend=%3Bseq=175" TargetMode="External"/><Relationship Id="rId814" Type="http://schemas.openxmlformats.org/officeDocument/2006/relationships/hyperlink" Target="http://hdl.handle.net/2027/uiug.30112058522902?urlappend=%3Bseq=181178" TargetMode="External"/><Relationship Id="rId856" Type="http://schemas.openxmlformats.org/officeDocument/2006/relationships/hyperlink" Target="http://hdl.handle.net/2027/uiug.30112058522902?urlappend=%3Bseq=181183" TargetMode="External"/><Relationship Id="rId190" Type="http://schemas.openxmlformats.org/officeDocument/2006/relationships/hyperlink" Target="http://hdl.handle.net/2027/uiug.30112058522902?urlappend=%3Bseq=176" TargetMode="External"/><Relationship Id="rId204" Type="http://schemas.openxmlformats.org/officeDocument/2006/relationships/hyperlink" Target="http://hdl.handle.net/2027/uiug.30112058522902?urlappend=%3Bseq=181" TargetMode="External"/><Relationship Id="rId246" Type="http://schemas.openxmlformats.org/officeDocument/2006/relationships/hyperlink" Target="http://hdl.handle.net/2027/uiug.30112058522902?urlappend=%3Bseq=176" TargetMode="External"/><Relationship Id="rId288" Type="http://schemas.openxmlformats.org/officeDocument/2006/relationships/hyperlink" Target="http://hdl.handle.net/2027/uiug.30112058522902?urlappend=%3Bseq=182" TargetMode="External"/><Relationship Id="rId411" Type="http://schemas.openxmlformats.org/officeDocument/2006/relationships/hyperlink" Target="http://hdl.handle.net/2027/uiug.30112058522902?urlappend=%3Bseq=181174" TargetMode="External"/><Relationship Id="rId453" Type="http://schemas.openxmlformats.org/officeDocument/2006/relationships/hyperlink" Target="https://hdl.handle.net/2027/uc1.b3014088?urlappend=%3Bseq=174" TargetMode="External"/><Relationship Id="rId509" Type="http://schemas.openxmlformats.org/officeDocument/2006/relationships/hyperlink" Target="https://hdl.handle.net/2027/uc1.b3014088?urlappend=%3Bseq=174" TargetMode="External"/><Relationship Id="rId660" Type="http://schemas.openxmlformats.org/officeDocument/2006/relationships/hyperlink" Target="http://hdl.handle.net/2027/uiug.30112058522902?urlappend=%3Bseq=181182" TargetMode="External"/><Relationship Id="rId898" Type="http://schemas.openxmlformats.org/officeDocument/2006/relationships/hyperlink" Target="http://hdl.handle.net/2027/uiug.30112058522902?urlappend=%3Bseq=181178" TargetMode="External"/><Relationship Id="rId106" Type="http://schemas.openxmlformats.org/officeDocument/2006/relationships/hyperlink" Target="http://hdl.handle.net/2027/uiug.30112058522902?urlappend=%3Bseq=176" TargetMode="External"/><Relationship Id="rId313" Type="http://schemas.openxmlformats.org/officeDocument/2006/relationships/hyperlink" Target="https://hdl.handle.net/2027/uc1.b3014088?urlappend=%3Bseq=173" TargetMode="External"/><Relationship Id="rId495" Type="http://schemas.openxmlformats.org/officeDocument/2006/relationships/hyperlink" Target="http://hdl.handle.net/2027/uiug.30112058522902?urlappend=%3Bseq=181174" TargetMode="External"/><Relationship Id="rId716" Type="http://schemas.openxmlformats.org/officeDocument/2006/relationships/hyperlink" Target="http://hdl.handle.net/2027/uiug.30112058522902?urlappend=%3Bseq=181182" TargetMode="External"/><Relationship Id="rId758" Type="http://schemas.openxmlformats.org/officeDocument/2006/relationships/hyperlink" Target="http://hdl.handle.net/2027/uiug.30112058522902?urlappend=%3Bseq=181178" TargetMode="External"/><Relationship Id="rId923" Type="http://schemas.openxmlformats.org/officeDocument/2006/relationships/hyperlink" Target="http://hdl.handle.net/2027/uiug.30112058522902?urlappend=%3Bseq=181175" TargetMode="External"/><Relationship Id="rId965" Type="http://schemas.openxmlformats.org/officeDocument/2006/relationships/hyperlink" Target="https://hdl.handle.net/2027/uc1.b3014088?urlappend=%3Bseq=176" TargetMode="External"/><Relationship Id="rId10" Type="http://schemas.openxmlformats.org/officeDocument/2006/relationships/hyperlink" Target="http://hdl.handle.net/2027/uiug.30112058522902?urlappend=%3Bseq=176" TargetMode="External"/><Relationship Id="rId52" Type="http://schemas.openxmlformats.org/officeDocument/2006/relationships/hyperlink" Target="http://hdl.handle.net/2027/uiug.30112058522902?urlappend=%3Bseq=180" TargetMode="External"/><Relationship Id="rId94" Type="http://schemas.openxmlformats.org/officeDocument/2006/relationships/hyperlink" Target="http://hdl.handle.net/2027/uiug.30112058522902?urlappend=%3Bseq=176" TargetMode="External"/><Relationship Id="rId148" Type="http://schemas.openxmlformats.org/officeDocument/2006/relationships/hyperlink" Target="http://hdl.handle.net/2027/uiug.30112058522902?urlappend=%3Bseq=180" TargetMode="External"/><Relationship Id="rId355" Type="http://schemas.openxmlformats.org/officeDocument/2006/relationships/hyperlink" Target="http://hdl.handle.net/2027/uiug.30112058522902?urlappend=%3Bseq=181173" TargetMode="External"/><Relationship Id="rId397" Type="http://schemas.openxmlformats.org/officeDocument/2006/relationships/hyperlink" Target="https://hdl.handle.net/2027/uc1.b3014088?urlappend=%3Bseq=174" TargetMode="External"/><Relationship Id="rId520" Type="http://schemas.openxmlformats.org/officeDocument/2006/relationships/hyperlink" Target="http://hdl.handle.net/2027/uiug.30112058522902?urlappend=%3Bseq=181182" TargetMode="External"/><Relationship Id="rId562" Type="http://schemas.openxmlformats.org/officeDocument/2006/relationships/hyperlink" Target="http://hdl.handle.net/2027/uiug.30112058522902?urlappend=%3Bseq=181177" TargetMode="External"/><Relationship Id="rId618" Type="http://schemas.openxmlformats.org/officeDocument/2006/relationships/hyperlink" Target="http://hdl.handle.net/2027/uiug.30112058522902?urlappend=%3Bseq=181177" TargetMode="External"/><Relationship Id="rId825" Type="http://schemas.openxmlformats.org/officeDocument/2006/relationships/hyperlink" Target="https://hdl.handle.net/2027/uc1.b3014088?urlappend=%3Bseq=175" TargetMode="External"/><Relationship Id="rId215" Type="http://schemas.openxmlformats.org/officeDocument/2006/relationships/hyperlink" Target="http://hdl.handle.net/2027/uiug.30112058522902?urlappend=%3Bseq=173" TargetMode="External"/><Relationship Id="rId257" Type="http://schemas.openxmlformats.org/officeDocument/2006/relationships/hyperlink" Target="https://hdl.handle.net/2027/uc1.b3014088?urlappend=%3Bseq=173" TargetMode="External"/><Relationship Id="rId422" Type="http://schemas.openxmlformats.org/officeDocument/2006/relationships/hyperlink" Target="http://hdl.handle.net/2027/uiug.30112058522902?urlappend=%3Bseq=181177" TargetMode="External"/><Relationship Id="rId464" Type="http://schemas.openxmlformats.org/officeDocument/2006/relationships/hyperlink" Target="http://hdl.handle.net/2027/uiug.30112058522902?urlappend=%3Bseq=181181" TargetMode="External"/><Relationship Id="rId867" Type="http://schemas.openxmlformats.org/officeDocument/2006/relationships/hyperlink" Target="http://hdl.handle.net/2027/uiug.30112058522902?urlappend=%3Bseq=181175" TargetMode="External"/><Relationship Id="rId1010" Type="http://schemas.openxmlformats.org/officeDocument/2006/relationships/hyperlink" Target="http://hdl.handle.net/2027/uiug.30112058522902?urlappend=%3Bseq=181179" TargetMode="External"/><Relationship Id="rId299" Type="http://schemas.openxmlformats.org/officeDocument/2006/relationships/hyperlink" Target="http://hdl.handle.net/2027/uiug.30112058522902?urlappend=%3Bseq=173" TargetMode="External"/><Relationship Id="rId727" Type="http://schemas.openxmlformats.org/officeDocument/2006/relationships/hyperlink" Target="http://hdl.handle.net/2027/uiug.30112058522902?urlappend=%3Bseq=181175" TargetMode="External"/><Relationship Id="rId934" Type="http://schemas.openxmlformats.org/officeDocument/2006/relationships/hyperlink" Target="http://hdl.handle.net/2027/uiug.30112058522902?urlappend=%3Bseq=181178" TargetMode="External"/><Relationship Id="rId63" Type="http://schemas.openxmlformats.org/officeDocument/2006/relationships/hyperlink" Target="http://hdl.handle.net/2027/uiug.30112058522902?urlappend=%3Bseq=172" TargetMode="External"/><Relationship Id="rId159" Type="http://schemas.openxmlformats.org/officeDocument/2006/relationships/hyperlink" Target="http://hdl.handle.net/2027/uiug.30112058522902?urlappend=%3Bseq=173" TargetMode="External"/><Relationship Id="rId366" Type="http://schemas.openxmlformats.org/officeDocument/2006/relationships/hyperlink" Target="http://hdl.handle.net/2027/uiug.30112058522902?urlappend=%3Bseq=181177" TargetMode="External"/><Relationship Id="rId573" Type="http://schemas.openxmlformats.org/officeDocument/2006/relationships/hyperlink" Target="https://hdl.handle.net/2027/uc1.b3014088?urlappend=%3Bseq=174" TargetMode="External"/><Relationship Id="rId780" Type="http://schemas.openxmlformats.org/officeDocument/2006/relationships/hyperlink" Target="http://hdl.handle.net/2027/uiug.30112058522902?urlappend=%3Bseq=181182" TargetMode="External"/><Relationship Id="rId226" Type="http://schemas.openxmlformats.org/officeDocument/2006/relationships/hyperlink" Target="http://hdl.handle.net/2027/uiug.30112058522902?urlappend=%3Bseq=176" TargetMode="External"/><Relationship Id="rId433" Type="http://schemas.openxmlformats.org/officeDocument/2006/relationships/hyperlink" Target="https://hdl.handle.net/2027/uc1.b3014088?urlappend=%3Bseq=174" TargetMode="External"/><Relationship Id="rId878" Type="http://schemas.openxmlformats.org/officeDocument/2006/relationships/hyperlink" Target="http://hdl.handle.net/2027/uiug.30112058522902?urlappend=%3Bseq=181178" TargetMode="External"/><Relationship Id="rId640" Type="http://schemas.openxmlformats.org/officeDocument/2006/relationships/hyperlink" Target="http://hdl.handle.net/2027/uiug.30112058522902?urlappend=%3Bseq=181182" TargetMode="External"/><Relationship Id="rId738" Type="http://schemas.openxmlformats.org/officeDocument/2006/relationships/hyperlink" Target="http://hdl.handle.net/2027/uiug.30112058522902?urlappend=%3Bseq=181178" TargetMode="External"/><Relationship Id="rId945" Type="http://schemas.openxmlformats.org/officeDocument/2006/relationships/hyperlink" Target="https://hdl.handle.net/2027/uc1.b3014088?urlappend=%3Bseq=175" TargetMode="External"/><Relationship Id="rId74" Type="http://schemas.openxmlformats.org/officeDocument/2006/relationships/hyperlink" Target="http://hdl.handle.net/2027/uiug.30112058522902?urlappend=%3Bseq=176" TargetMode="External"/><Relationship Id="rId377" Type="http://schemas.openxmlformats.org/officeDocument/2006/relationships/hyperlink" Target="https://hdl.handle.net/2027/uc1.b3014088?urlappend=%3Bseq=174" TargetMode="External"/><Relationship Id="rId500" Type="http://schemas.openxmlformats.org/officeDocument/2006/relationships/hyperlink" Target="http://hdl.handle.net/2027/uiug.30112058522902?urlappend=%3Bseq=181182" TargetMode="External"/><Relationship Id="rId584" Type="http://schemas.openxmlformats.org/officeDocument/2006/relationships/hyperlink" Target="http://hdl.handle.net/2027/uiug.30112058522902?urlappend=%3Bseq=181182" TargetMode="External"/><Relationship Id="rId805" Type="http://schemas.openxmlformats.org/officeDocument/2006/relationships/hyperlink" Target="https://hdl.handle.net/2027/uc1.b3014088?urlappend=%3Bseq=175" TargetMode="External"/><Relationship Id="rId5" Type="http://schemas.openxmlformats.org/officeDocument/2006/relationships/hyperlink" Target="https://hdl.handle.net/2027/uc1.b3014088?urlappend=%3Bseq=173" TargetMode="External"/><Relationship Id="rId237" Type="http://schemas.openxmlformats.org/officeDocument/2006/relationships/hyperlink" Target="https://hdl.handle.net/2027/uc1.b3014088?urlappend=%3Bseq=173" TargetMode="External"/><Relationship Id="rId791" Type="http://schemas.openxmlformats.org/officeDocument/2006/relationships/hyperlink" Target="http://hdl.handle.net/2027/uiug.30112058522902?urlappend=%3Bseq=181175" TargetMode="External"/><Relationship Id="rId889" Type="http://schemas.openxmlformats.org/officeDocument/2006/relationships/hyperlink" Target="https://hdl.handle.net/2027/uc1.b3014088?urlappend=%3Bseq=175" TargetMode="External"/><Relationship Id="rId444" Type="http://schemas.openxmlformats.org/officeDocument/2006/relationships/hyperlink" Target="http://hdl.handle.net/2027/uiug.30112058522902?urlappend=%3Bseq=181181" TargetMode="External"/><Relationship Id="rId651" Type="http://schemas.openxmlformats.org/officeDocument/2006/relationships/hyperlink" Target="http://hdl.handle.net/2027/uiug.30112058522902?urlappend=%3Bseq=181174" TargetMode="External"/><Relationship Id="rId749" Type="http://schemas.openxmlformats.org/officeDocument/2006/relationships/hyperlink" Target="https://hdl.handle.net/2027/uc1.b3014088?urlappend=%3Bseq=175" TargetMode="External"/><Relationship Id="rId290" Type="http://schemas.openxmlformats.org/officeDocument/2006/relationships/hyperlink" Target="http://hdl.handle.net/2027/uiug.30112058522902?urlappend=%3Bseq=176" TargetMode="External"/><Relationship Id="rId304" Type="http://schemas.openxmlformats.org/officeDocument/2006/relationships/hyperlink" Target="http://hdl.handle.net/2027/uiug.30112058522902?urlappend=%3Bseq=181" TargetMode="External"/><Relationship Id="rId388" Type="http://schemas.openxmlformats.org/officeDocument/2006/relationships/hyperlink" Target="http://hdl.handle.net/2027/uiug.30112058522902?urlappend=%3Bseq=181181" TargetMode="External"/><Relationship Id="rId511" Type="http://schemas.openxmlformats.org/officeDocument/2006/relationships/hyperlink" Target="http://hdl.handle.net/2027/uiug.30112058522902?urlappend=%3Bseq=181174" TargetMode="External"/><Relationship Id="rId609" Type="http://schemas.openxmlformats.org/officeDocument/2006/relationships/hyperlink" Target="https://hdl.handle.net/2027/uc1.b3014088?urlappend=%3Bseq=174" TargetMode="External"/><Relationship Id="rId956" Type="http://schemas.openxmlformats.org/officeDocument/2006/relationships/hyperlink" Target="http://hdl.handle.net/2027/uiug.30112058522902?urlappend=%3Bseq=181183" TargetMode="External"/><Relationship Id="rId85" Type="http://schemas.openxmlformats.org/officeDocument/2006/relationships/hyperlink" Target="https://hdl.handle.net/2027/uc1.b3014088?urlappend=%3Bseq=173" TargetMode="External"/><Relationship Id="rId150" Type="http://schemas.openxmlformats.org/officeDocument/2006/relationships/hyperlink" Target="http://hdl.handle.net/2027/uiug.30112058522902?urlappend=%3Bseq=176" TargetMode="External"/><Relationship Id="rId595" Type="http://schemas.openxmlformats.org/officeDocument/2006/relationships/hyperlink" Target="http://hdl.handle.net/2027/uiug.30112058522902?urlappend=%3Bseq=181174" TargetMode="External"/><Relationship Id="rId816" Type="http://schemas.openxmlformats.org/officeDocument/2006/relationships/hyperlink" Target="http://hdl.handle.net/2027/uiug.30112058522902?urlappend=%3Bseq=181183" TargetMode="External"/><Relationship Id="rId1001" Type="http://schemas.openxmlformats.org/officeDocument/2006/relationships/hyperlink" Target="https://hdl.handle.net/2027/uc1.b3014088?urlappend=%3Bseq=176" TargetMode="External"/><Relationship Id="rId248" Type="http://schemas.openxmlformats.org/officeDocument/2006/relationships/hyperlink" Target="http://hdl.handle.net/2027/uiug.30112058522902?urlappend=%3Bseq=181" TargetMode="External"/><Relationship Id="rId455" Type="http://schemas.openxmlformats.org/officeDocument/2006/relationships/hyperlink" Target="http://hdl.handle.net/2027/uiug.30112058522902?urlappend=%3Bseq=181174" TargetMode="External"/><Relationship Id="rId662" Type="http://schemas.openxmlformats.org/officeDocument/2006/relationships/hyperlink" Target="http://hdl.handle.net/2027/uiug.30112058522902?urlappend=%3Bseq=181178" TargetMode="External"/><Relationship Id="rId12" Type="http://schemas.openxmlformats.org/officeDocument/2006/relationships/hyperlink" Target="http://hdl.handle.net/2027/uiug.30112058522902?urlappend=%3Bseq=180" TargetMode="External"/><Relationship Id="rId108" Type="http://schemas.openxmlformats.org/officeDocument/2006/relationships/hyperlink" Target="http://hdl.handle.net/2027/uiug.30112058522902?urlappend=%3Bseq=180" TargetMode="External"/><Relationship Id="rId315" Type="http://schemas.openxmlformats.org/officeDocument/2006/relationships/hyperlink" Target="http://hdl.handle.net/2027/uiug.30112058522902?urlappend=%3Bseq=173" TargetMode="External"/><Relationship Id="rId522" Type="http://schemas.openxmlformats.org/officeDocument/2006/relationships/hyperlink" Target="http://hdl.handle.net/2027/uiug.30112058522902?urlappend=%3Bseq=181177" TargetMode="External"/><Relationship Id="rId967" Type="http://schemas.openxmlformats.org/officeDocument/2006/relationships/hyperlink" Target="http://hdl.handle.net/2027/uiug.30112058522902?urlappend=%3Bseq=181175" TargetMode="External"/><Relationship Id="rId96" Type="http://schemas.openxmlformats.org/officeDocument/2006/relationships/hyperlink" Target="http://hdl.handle.net/2027/uiug.30112058522902?urlappend=%3Bseq=180" TargetMode="External"/><Relationship Id="rId161" Type="http://schemas.openxmlformats.org/officeDocument/2006/relationships/hyperlink" Target="https://hdl.handle.net/2027/uc1.b3014088?urlappend=%3Bseq=173" TargetMode="External"/><Relationship Id="rId399" Type="http://schemas.openxmlformats.org/officeDocument/2006/relationships/hyperlink" Target="http://hdl.handle.net/2027/uiug.30112058522902?urlappend=%3Bseq=181174" TargetMode="External"/><Relationship Id="rId827" Type="http://schemas.openxmlformats.org/officeDocument/2006/relationships/hyperlink" Target="http://hdl.handle.net/2027/uiug.30112058522902?urlappend=%3Bseq=181175" TargetMode="External"/><Relationship Id="rId1012" Type="http://schemas.openxmlformats.org/officeDocument/2006/relationships/hyperlink" Target="http://hdl.handle.net/2027/uiug.30112058522902?urlappend=%3Bseq=181183" TargetMode="External"/><Relationship Id="rId259" Type="http://schemas.openxmlformats.org/officeDocument/2006/relationships/hyperlink" Target="http://hdl.handle.net/2027/uiug.30112058522902?urlappend=%3Bseq=173" TargetMode="External"/><Relationship Id="rId466" Type="http://schemas.openxmlformats.org/officeDocument/2006/relationships/hyperlink" Target="http://hdl.handle.net/2027/uiug.30112058522902?urlappend=%3Bseq=181177" TargetMode="External"/><Relationship Id="rId673" Type="http://schemas.openxmlformats.org/officeDocument/2006/relationships/hyperlink" Target="https://hdl.handle.net/2027/uc1.b3014088?urlappend=%3Bseq=175" TargetMode="External"/><Relationship Id="rId880" Type="http://schemas.openxmlformats.org/officeDocument/2006/relationships/hyperlink" Target="http://hdl.handle.net/2027/uiug.30112058522902?urlappend=%3Bseq=181183" TargetMode="External"/><Relationship Id="rId23" Type="http://schemas.openxmlformats.org/officeDocument/2006/relationships/hyperlink" Target="http://hdl.handle.net/2027/uiug.30112058522902?urlappend=%3Bseq=172" TargetMode="External"/><Relationship Id="rId119" Type="http://schemas.openxmlformats.org/officeDocument/2006/relationships/hyperlink" Target="http://hdl.handle.net/2027/uiug.30112058522902?urlappend=%3Bseq=173" TargetMode="External"/><Relationship Id="rId326" Type="http://schemas.openxmlformats.org/officeDocument/2006/relationships/hyperlink" Target="http://hdl.handle.net/2027/uiug.30112058522902?urlappend=%3Bseq=181177" TargetMode="External"/><Relationship Id="rId533" Type="http://schemas.openxmlformats.org/officeDocument/2006/relationships/hyperlink" Target="https://hdl.handle.net/2027/uc1.b3014088?urlappend=%3Bseq=174" TargetMode="External"/><Relationship Id="rId978" Type="http://schemas.openxmlformats.org/officeDocument/2006/relationships/hyperlink" Target="http://hdl.handle.net/2027/uiug.30112058522902?urlappend=%3Bseq=181179" TargetMode="External"/><Relationship Id="rId740" Type="http://schemas.openxmlformats.org/officeDocument/2006/relationships/hyperlink" Target="http://hdl.handle.net/2027/uiug.30112058522902?urlappend=%3Bseq=181182" TargetMode="External"/><Relationship Id="rId838" Type="http://schemas.openxmlformats.org/officeDocument/2006/relationships/hyperlink" Target="http://hdl.handle.net/2027/uiug.30112058522902?urlappend=%3Bseq=181178" TargetMode="External"/><Relationship Id="rId172" Type="http://schemas.openxmlformats.org/officeDocument/2006/relationships/hyperlink" Target="http://hdl.handle.net/2027/uiug.30112058522902?urlappend=%3Bseq=181" TargetMode="External"/><Relationship Id="rId477" Type="http://schemas.openxmlformats.org/officeDocument/2006/relationships/hyperlink" Target="https://hdl.handle.net/2027/uc1.b3014088?urlappend=%3Bseq=174" TargetMode="External"/><Relationship Id="rId600" Type="http://schemas.openxmlformats.org/officeDocument/2006/relationships/hyperlink" Target="http://hdl.handle.net/2027/uiug.30112058522902?urlappend=%3Bseq=181182" TargetMode="External"/><Relationship Id="rId684" Type="http://schemas.openxmlformats.org/officeDocument/2006/relationships/hyperlink" Target="http://hdl.handle.net/2027/uiug.30112058522902?urlappend=%3Bseq=181182" TargetMode="External"/><Relationship Id="rId337" Type="http://schemas.openxmlformats.org/officeDocument/2006/relationships/hyperlink" Target="https://hdl.handle.net/2027/uc1.b3014088?urlappend=%3Bseq=174" TargetMode="External"/><Relationship Id="rId891" Type="http://schemas.openxmlformats.org/officeDocument/2006/relationships/hyperlink" Target="http://hdl.handle.net/2027/uiug.30112058522902?urlappend=%3Bseq=181175" TargetMode="External"/><Relationship Id="rId905" Type="http://schemas.openxmlformats.org/officeDocument/2006/relationships/hyperlink" Target="https://hdl.handle.net/2027/uc1.b3014088?urlappend=%3Bseq=175" TargetMode="External"/><Relationship Id="rId989" Type="http://schemas.openxmlformats.org/officeDocument/2006/relationships/hyperlink" Target="https://hdl.handle.net/2027/uc1.b3014088?urlappend=%3Bseq=176" TargetMode="External"/><Relationship Id="rId34" Type="http://schemas.openxmlformats.org/officeDocument/2006/relationships/hyperlink" Target="http://hdl.handle.net/2027/uiug.30112058522902?urlappend=%3Bseq=176" TargetMode="External"/><Relationship Id="rId544" Type="http://schemas.openxmlformats.org/officeDocument/2006/relationships/hyperlink" Target="http://hdl.handle.net/2027/uiug.30112058522902?urlappend=%3Bseq=181182" TargetMode="External"/><Relationship Id="rId751" Type="http://schemas.openxmlformats.org/officeDocument/2006/relationships/hyperlink" Target="http://hdl.handle.net/2027/uiug.30112058522902?urlappend=%3Bseq=181175" TargetMode="External"/><Relationship Id="rId849" Type="http://schemas.openxmlformats.org/officeDocument/2006/relationships/hyperlink" Target="https://hdl.handle.net/2027/uc1.b3014088?urlappend=%3Bseq=175" TargetMode="External"/><Relationship Id="rId183" Type="http://schemas.openxmlformats.org/officeDocument/2006/relationships/hyperlink" Target="http://hdl.handle.net/2027/uiug.30112058522902?urlappend=%3Bseq=173" TargetMode="External"/><Relationship Id="rId390" Type="http://schemas.openxmlformats.org/officeDocument/2006/relationships/hyperlink" Target="http://hdl.handle.net/2027/uiug.30112058522902?urlappend=%3Bseq=181177" TargetMode="External"/><Relationship Id="rId404" Type="http://schemas.openxmlformats.org/officeDocument/2006/relationships/hyperlink" Target="http://hdl.handle.net/2027/uiug.30112058522902?urlappend=%3Bseq=181181" TargetMode="External"/><Relationship Id="rId611" Type="http://schemas.openxmlformats.org/officeDocument/2006/relationships/hyperlink" Target="http://hdl.handle.net/2027/uiug.30112058522902?urlappend=%3Bseq=181174" TargetMode="External"/><Relationship Id="rId250" Type="http://schemas.openxmlformats.org/officeDocument/2006/relationships/hyperlink" Target="http://hdl.handle.net/2027/uiug.30112058522902?urlappend=%3Bseq=176" TargetMode="External"/><Relationship Id="rId488" Type="http://schemas.openxmlformats.org/officeDocument/2006/relationships/hyperlink" Target="http://hdl.handle.net/2027/uiug.30112058522902?urlappend=%3Bseq=181182" TargetMode="External"/><Relationship Id="rId695" Type="http://schemas.openxmlformats.org/officeDocument/2006/relationships/hyperlink" Target="http://hdl.handle.net/2027/uiug.30112058522902?urlappend=%3Bseq=181175" TargetMode="External"/><Relationship Id="rId709" Type="http://schemas.openxmlformats.org/officeDocument/2006/relationships/hyperlink" Target="https://hdl.handle.net/2027/uc1.b3014088?urlappend=%3Bseq=175" TargetMode="External"/><Relationship Id="rId916" Type="http://schemas.openxmlformats.org/officeDocument/2006/relationships/hyperlink" Target="http://hdl.handle.net/2027/uiug.30112058522902?urlappend=%3Bseq=181183" TargetMode="External"/><Relationship Id="rId45" Type="http://schemas.openxmlformats.org/officeDocument/2006/relationships/hyperlink" Target="https://hdl.handle.net/2027/uc1.b3014088?urlappend=%3Bseq=173" TargetMode="External"/><Relationship Id="rId110" Type="http://schemas.openxmlformats.org/officeDocument/2006/relationships/hyperlink" Target="http://hdl.handle.net/2027/uiug.30112058522902?urlappend=%3Bseq=176" TargetMode="External"/><Relationship Id="rId348" Type="http://schemas.openxmlformats.org/officeDocument/2006/relationships/hyperlink" Target="http://hdl.handle.net/2027/uiug.30112058522902?urlappend=%3Bseq=181181" TargetMode="External"/><Relationship Id="rId555" Type="http://schemas.openxmlformats.org/officeDocument/2006/relationships/hyperlink" Target="http://hdl.handle.net/2027/uiug.30112058522902?urlappend=%3Bseq=181174" TargetMode="External"/><Relationship Id="rId762" Type="http://schemas.openxmlformats.org/officeDocument/2006/relationships/hyperlink" Target="http://hdl.handle.net/2027/uiug.30112058522902?urlappend=%3Bseq=181178" TargetMode="External"/><Relationship Id="rId194" Type="http://schemas.openxmlformats.org/officeDocument/2006/relationships/hyperlink" Target="http://hdl.handle.net/2027/uiug.30112058522902?urlappend=%3Bseq=176" TargetMode="External"/><Relationship Id="rId208" Type="http://schemas.openxmlformats.org/officeDocument/2006/relationships/hyperlink" Target="http://hdl.handle.net/2027/uiug.30112058522902?urlappend=%3Bseq=181" TargetMode="External"/><Relationship Id="rId415" Type="http://schemas.openxmlformats.org/officeDocument/2006/relationships/hyperlink" Target="http://hdl.handle.net/2027/uiug.30112058522902?urlappend=%3Bseq=181174" TargetMode="External"/><Relationship Id="rId622" Type="http://schemas.openxmlformats.org/officeDocument/2006/relationships/hyperlink" Target="http://hdl.handle.net/2027/uiug.30112058522902?urlappend=%3Bseq=181177" TargetMode="External"/><Relationship Id="rId261" Type="http://schemas.openxmlformats.org/officeDocument/2006/relationships/hyperlink" Target="https://hdl.handle.net/2027/uc1.b3014088?urlappend=%3Bseq=173" TargetMode="External"/><Relationship Id="rId499" Type="http://schemas.openxmlformats.org/officeDocument/2006/relationships/hyperlink" Target="http://hdl.handle.net/2027/uiug.30112058522902?urlappend=%3Bseq=181174" TargetMode="External"/><Relationship Id="rId927" Type="http://schemas.openxmlformats.org/officeDocument/2006/relationships/hyperlink" Target="http://hdl.handle.net/2027/uiug.30112058522902?urlappend=%3Bseq=181175" TargetMode="External"/><Relationship Id="rId56" Type="http://schemas.openxmlformats.org/officeDocument/2006/relationships/hyperlink" Target="http://hdl.handle.net/2027/uiug.30112058522902?urlappend=%3Bseq=180" TargetMode="External"/><Relationship Id="rId359" Type="http://schemas.openxmlformats.org/officeDocument/2006/relationships/hyperlink" Target="http://hdl.handle.net/2027/uiug.30112058522902?urlappend=%3Bseq=181173" TargetMode="External"/><Relationship Id="rId566" Type="http://schemas.openxmlformats.org/officeDocument/2006/relationships/hyperlink" Target="http://hdl.handle.net/2027/uiug.30112058522902?urlappend=%3Bseq=181177" TargetMode="External"/><Relationship Id="rId773" Type="http://schemas.openxmlformats.org/officeDocument/2006/relationships/hyperlink" Target="https://hdl.handle.net/2027/uc1.b3014088?urlappend=%3Bseq=175" TargetMode="External"/><Relationship Id="rId121" Type="http://schemas.openxmlformats.org/officeDocument/2006/relationships/hyperlink" Target="https://hdl.handle.net/2027/uc1.b3014088?urlappend=%3Bseq=173" TargetMode="External"/><Relationship Id="rId219" Type="http://schemas.openxmlformats.org/officeDocument/2006/relationships/hyperlink" Target="http://hdl.handle.net/2027/uiug.30112058522902?urlappend=%3Bseq=173" TargetMode="External"/><Relationship Id="rId426" Type="http://schemas.openxmlformats.org/officeDocument/2006/relationships/hyperlink" Target="http://hdl.handle.net/2027/uiug.30112058522902?urlappend=%3Bseq=181177" TargetMode="External"/><Relationship Id="rId633" Type="http://schemas.openxmlformats.org/officeDocument/2006/relationships/hyperlink" Target="https://hdl.handle.net/2027/uc1.b3014088?urlappend=%3Bseq=174" TargetMode="External"/><Relationship Id="rId980" Type="http://schemas.openxmlformats.org/officeDocument/2006/relationships/hyperlink" Target="http://hdl.handle.net/2027/uiug.30112058522902?urlappend=%3Bseq=181183" TargetMode="External"/><Relationship Id="rId840" Type="http://schemas.openxmlformats.org/officeDocument/2006/relationships/hyperlink" Target="http://hdl.handle.net/2027/uiug.30112058522902?urlappend=%3Bseq=181183" TargetMode="External"/><Relationship Id="rId938" Type="http://schemas.openxmlformats.org/officeDocument/2006/relationships/hyperlink" Target="http://hdl.handle.net/2027/uiug.30112058522902?urlappend=%3Bseq=181178" TargetMode="External"/><Relationship Id="rId67" Type="http://schemas.openxmlformats.org/officeDocument/2006/relationships/hyperlink" Target="http://hdl.handle.net/2027/uiug.30112058522902?urlappend=%3Bseq=172" TargetMode="External"/><Relationship Id="rId272" Type="http://schemas.openxmlformats.org/officeDocument/2006/relationships/hyperlink" Target="http://hdl.handle.net/2027/uiug.30112058522902?urlappend=%3Bseq=181" TargetMode="External"/><Relationship Id="rId577" Type="http://schemas.openxmlformats.org/officeDocument/2006/relationships/hyperlink" Target="https://hdl.handle.net/2027/uc1.b3014088?urlappend=%3Bseq=174" TargetMode="External"/><Relationship Id="rId700" Type="http://schemas.openxmlformats.org/officeDocument/2006/relationships/hyperlink" Target="http://hdl.handle.net/2027/uiug.30112058522902?urlappend=%3Bseq=181182" TargetMode="External"/><Relationship Id="rId132" Type="http://schemas.openxmlformats.org/officeDocument/2006/relationships/hyperlink" Target="http://hdl.handle.net/2027/uiug.30112058522902?urlappend=%3Bseq=180" TargetMode="External"/><Relationship Id="rId784" Type="http://schemas.openxmlformats.org/officeDocument/2006/relationships/hyperlink" Target="http://hdl.handle.net/2027/uiug.30112058522902?urlappend=%3Bseq=181182" TargetMode="External"/><Relationship Id="rId991" Type="http://schemas.openxmlformats.org/officeDocument/2006/relationships/hyperlink" Target="http://hdl.handle.net/2027/uiug.30112058522902?urlappend=%3Bseq=181175" TargetMode="External"/><Relationship Id="rId437" Type="http://schemas.openxmlformats.org/officeDocument/2006/relationships/hyperlink" Target="https://hdl.handle.net/2027/uc1.b3014088?urlappend=%3Bseq=174" TargetMode="External"/><Relationship Id="rId644" Type="http://schemas.openxmlformats.org/officeDocument/2006/relationships/hyperlink" Target="http://hdl.handle.net/2027/uiug.30112058522902?urlappend=%3Bseq=181182" TargetMode="External"/><Relationship Id="rId851" Type="http://schemas.openxmlformats.org/officeDocument/2006/relationships/hyperlink" Target="http://hdl.handle.net/2027/uiug.30112058522902?urlappend=%3Bseq=181175" TargetMode="External"/><Relationship Id="rId283" Type="http://schemas.openxmlformats.org/officeDocument/2006/relationships/hyperlink" Target="http://hdl.handle.net/2027/uiug.30112058522902?urlappend=%3Bseq=173" TargetMode="External"/><Relationship Id="rId490" Type="http://schemas.openxmlformats.org/officeDocument/2006/relationships/hyperlink" Target="http://hdl.handle.net/2027/uiug.30112058522902?urlappend=%3Bseq=181177" TargetMode="External"/><Relationship Id="rId504" Type="http://schemas.openxmlformats.org/officeDocument/2006/relationships/hyperlink" Target="http://hdl.handle.net/2027/uiug.30112058522902?urlappend=%3Bseq=181182" TargetMode="External"/><Relationship Id="rId711" Type="http://schemas.openxmlformats.org/officeDocument/2006/relationships/hyperlink" Target="http://hdl.handle.net/2027/uiug.30112058522902?urlappend=%3Bseq=181175" TargetMode="External"/><Relationship Id="rId949" Type="http://schemas.openxmlformats.org/officeDocument/2006/relationships/hyperlink" Target="https://hdl.handle.net/2027/uc1.b3014088?urlappend=%3Bseq=175" TargetMode="External"/><Relationship Id="rId78" Type="http://schemas.openxmlformats.org/officeDocument/2006/relationships/hyperlink" Target="http://hdl.handle.net/2027/uiug.30112058522902?urlappend=%3Bseq=176" TargetMode="External"/><Relationship Id="rId143" Type="http://schemas.openxmlformats.org/officeDocument/2006/relationships/hyperlink" Target="http://hdl.handle.net/2027/uiug.30112058522902?urlappend=%3Bseq=173" TargetMode="External"/><Relationship Id="rId350" Type="http://schemas.openxmlformats.org/officeDocument/2006/relationships/hyperlink" Target="http://hdl.handle.net/2027/uiug.30112058522902?urlappend=%3Bseq=181177" TargetMode="External"/><Relationship Id="rId588" Type="http://schemas.openxmlformats.org/officeDocument/2006/relationships/hyperlink" Target="http://hdl.handle.net/2027/uiug.30112058522902?urlappend=%3Bseq=181182" TargetMode="External"/><Relationship Id="rId795" Type="http://schemas.openxmlformats.org/officeDocument/2006/relationships/hyperlink" Target="http://hdl.handle.net/2027/uiug.30112058522902?urlappend=%3Bseq=181175" TargetMode="External"/><Relationship Id="rId809" Type="http://schemas.openxmlformats.org/officeDocument/2006/relationships/hyperlink" Target="https://hdl.handle.net/2027/uc1.b3014088?urlappend=%3Bseq=175" TargetMode="External"/><Relationship Id="rId9" Type="http://schemas.openxmlformats.org/officeDocument/2006/relationships/hyperlink" Target="https://hdl.handle.net/2027/uc1.b3014088?urlappend=%3Bseq=173" TargetMode="External"/><Relationship Id="rId210" Type="http://schemas.openxmlformats.org/officeDocument/2006/relationships/hyperlink" Target="http://hdl.handle.net/2027/uiug.30112058522902?urlappend=%3Bseq=176" TargetMode="External"/><Relationship Id="rId448" Type="http://schemas.openxmlformats.org/officeDocument/2006/relationships/hyperlink" Target="http://hdl.handle.net/2027/uiug.30112058522902?urlappend=%3Bseq=181181" TargetMode="External"/><Relationship Id="rId655" Type="http://schemas.openxmlformats.org/officeDocument/2006/relationships/hyperlink" Target="http://hdl.handle.net/2027/uiug.30112058522902?urlappend=%3Bseq=181174" TargetMode="External"/><Relationship Id="rId862" Type="http://schemas.openxmlformats.org/officeDocument/2006/relationships/hyperlink" Target="http://hdl.handle.net/2027/uiug.30112058522902?urlappend=%3Bseq=181178" TargetMode="External"/><Relationship Id="rId294" Type="http://schemas.openxmlformats.org/officeDocument/2006/relationships/hyperlink" Target="http://hdl.handle.net/2027/uiug.30112058522902?urlappend=%3Bseq=176" TargetMode="External"/><Relationship Id="rId308" Type="http://schemas.openxmlformats.org/officeDocument/2006/relationships/hyperlink" Target="http://hdl.handle.net/2027/uiug.30112058522902?urlappend=%3Bseq=181" TargetMode="External"/><Relationship Id="rId515" Type="http://schemas.openxmlformats.org/officeDocument/2006/relationships/hyperlink" Target="http://hdl.handle.net/2027/uiug.30112058522902?urlappend=%3Bseq=181174" TargetMode="External"/><Relationship Id="rId722" Type="http://schemas.openxmlformats.org/officeDocument/2006/relationships/hyperlink" Target="http://hdl.handle.net/2027/uiug.30112058522902?urlappend=%3Bseq=181178" TargetMode="External"/><Relationship Id="rId89" Type="http://schemas.openxmlformats.org/officeDocument/2006/relationships/hyperlink" Target="https://hdl.handle.net/2027/uc1.b3014088?urlappend=%3Bseq=173" TargetMode="External"/><Relationship Id="rId154" Type="http://schemas.openxmlformats.org/officeDocument/2006/relationships/hyperlink" Target="http://hdl.handle.net/2027/uiug.30112058522902?urlappend=%3Bseq=176" TargetMode="External"/><Relationship Id="rId361" Type="http://schemas.openxmlformats.org/officeDocument/2006/relationships/hyperlink" Target="https://hdl.handle.net/2027/uc1.b3014088?urlappend=%3Bseq=174" TargetMode="External"/><Relationship Id="rId599" Type="http://schemas.openxmlformats.org/officeDocument/2006/relationships/hyperlink" Target="http://hdl.handle.net/2027/uiug.30112058522902?urlappend=%3Bseq=181174" TargetMode="External"/><Relationship Id="rId1005" Type="http://schemas.openxmlformats.org/officeDocument/2006/relationships/hyperlink" Target="https://hdl.handle.net/2027/uc1.b3014088?urlappend=%3Bseq=176" TargetMode="External"/><Relationship Id="rId459" Type="http://schemas.openxmlformats.org/officeDocument/2006/relationships/hyperlink" Target="http://hdl.handle.net/2027/uiug.30112058522902?urlappend=%3Bseq=181174" TargetMode="External"/><Relationship Id="rId666" Type="http://schemas.openxmlformats.org/officeDocument/2006/relationships/hyperlink" Target="http://hdl.handle.net/2027/uiug.30112058522902?urlappend=%3Bseq=181178" TargetMode="External"/><Relationship Id="rId873" Type="http://schemas.openxmlformats.org/officeDocument/2006/relationships/hyperlink" Target="https://hdl.handle.net/2027/uc1.b3014088?urlappend=%3Bseq=175" TargetMode="External"/><Relationship Id="rId16" Type="http://schemas.openxmlformats.org/officeDocument/2006/relationships/hyperlink" Target="http://hdl.handle.net/2027/uiug.30112058522902?urlappend=%3Bseq=180" TargetMode="External"/><Relationship Id="rId221" Type="http://schemas.openxmlformats.org/officeDocument/2006/relationships/hyperlink" Target="https://hdl.handle.net/2027/uc1.b3014088?urlappend=%3Bseq=173" TargetMode="External"/><Relationship Id="rId319" Type="http://schemas.openxmlformats.org/officeDocument/2006/relationships/hyperlink" Target="http://hdl.handle.net/2027/uiug.30112058522902?urlappend=%3Bseq=173" TargetMode="External"/><Relationship Id="rId526" Type="http://schemas.openxmlformats.org/officeDocument/2006/relationships/hyperlink" Target="http://hdl.handle.net/2027/uiug.30112058522902?urlappend=%3Bseq=181177" TargetMode="External"/><Relationship Id="rId733" Type="http://schemas.openxmlformats.org/officeDocument/2006/relationships/hyperlink" Target="https://hdl.handle.net/2027/uc1.b3014088?urlappend=%3Bseq=175" TargetMode="External"/><Relationship Id="rId940" Type="http://schemas.openxmlformats.org/officeDocument/2006/relationships/hyperlink" Target="http://hdl.handle.net/2027/uiug.30112058522902?urlappend=%3Bseq=181183" TargetMode="External"/><Relationship Id="rId165" Type="http://schemas.openxmlformats.org/officeDocument/2006/relationships/hyperlink" Target="https://hdl.handle.net/2027/uc1.b3014088?urlappend=%3Bseq=173" TargetMode="External"/><Relationship Id="rId372" Type="http://schemas.openxmlformats.org/officeDocument/2006/relationships/hyperlink" Target="http://hdl.handle.net/2027/uiug.30112058522902?urlappend=%3Bseq=181181" TargetMode="External"/><Relationship Id="rId677" Type="http://schemas.openxmlformats.org/officeDocument/2006/relationships/hyperlink" Target="https://hdl.handle.net/2027/uc1.b3014088?urlappend=%3Bseq=175" TargetMode="External"/><Relationship Id="rId800" Type="http://schemas.openxmlformats.org/officeDocument/2006/relationships/hyperlink" Target="http://hdl.handle.net/2027/uiug.30112058522902?urlappend=%3Bseq=181183" TargetMode="External"/><Relationship Id="rId232" Type="http://schemas.openxmlformats.org/officeDocument/2006/relationships/hyperlink" Target="http://hdl.handle.net/2027/uiug.30112058522902?urlappend=%3Bseq=181" TargetMode="External"/><Relationship Id="rId884" Type="http://schemas.openxmlformats.org/officeDocument/2006/relationships/hyperlink" Target="http://hdl.handle.net/2027/uiug.30112058522902?urlappend=%3Bseq=181183" TargetMode="External"/><Relationship Id="rId27" Type="http://schemas.openxmlformats.org/officeDocument/2006/relationships/hyperlink" Target="http://hdl.handle.net/2027/uiug.30112058522902?urlappend=%3Bseq=172" TargetMode="External"/><Relationship Id="rId537" Type="http://schemas.openxmlformats.org/officeDocument/2006/relationships/hyperlink" Target="https://hdl.handle.net/2027/uc1.b3014088?urlappend=%3Bseq=174" TargetMode="External"/><Relationship Id="rId744" Type="http://schemas.openxmlformats.org/officeDocument/2006/relationships/hyperlink" Target="http://hdl.handle.net/2027/uiug.30112058522902?urlappend=%3Bseq=181182" TargetMode="External"/><Relationship Id="rId951" Type="http://schemas.openxmlformats.org/officeDocument/2006/relationships/hyperlink" Target="http://hdl.handle.net/2027/uiug.30112058522902?urlappend=%3Bseq=181175" TargetMode="External"/><Relationship Id="rId80" Type="http://schemas.openxmlformats.org/officeDocument/2006/relationships/hyperlink" Target="http://hdl.handle.net/2027/uiug.30112058522902?urlappend=%3Bseq=180" TargetMode="External"/><Relationship Id="rId176" Type="http://schemas.openxmlformats.org/officeDocument/2006/relationships/hyperlink" Target="http://hdl.handle.net/2027/uiug.30112058522902?urlappend=%3Bseq=181" TargetMode="External"/><Relationship Id="rId383" Type="http://schemas.openxmlformats.org/officeDocument/2006/relationships/hyperlink" Target="http://hdl.handle.net/2027/uiug.30112058522902?urlappend=%3Bseq=181174" TargetMode="External"/><Relationship Id="rId590" Type="http://schemas.openxmlformats.org/officeDocument/2006/relationships/hyperlink" Target="http://hdl.handle.net/2027/uiug.30112058522902?urlappend=%3Bseq=181177" TargetMode="External"/><Relationship Id="rId604" Type="http://schemas.openxmlformats.org/officeDocument/2006/relationships/hyperlink" Target="http://hdl.handle.net/2027/uiug.30112058522902?urlappend=%3Bseq=181182" TargetMode="External"/><Relationship Id="rId811" Type="http://schemas.openxmlformats.org/officeDocument/2006/relationships/hyperlink" Target="http://hdl.handle.net/2027/uiug.30112058522902?urlappend=%3Bseq=181175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hyperlink" Target="https://ia601507.us.archive.org/29/items/ManpowerInEconomicGrowthTableA-24/Table%20A-24%20Average%20Monthly%20Earnings%20with%20board,%201899-1948.jpg" TargetMode="External"/><Relationship Id="rId1" Type="http://schemas.openxmlformats.org/officeDocument/2006/relationships/hyperlink" Target="https://ia601507.us.archive.org/29/items/ManpowerInEconomicGrowthTableA-24/Table%20A-24%20Average%20Monthly%20Earnings%20with%20board,%201899-1948.jpg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https://ia601503.us.archive.org/29/items/Abbott1900/Abbott%201900.pdf" TargetMode="External"/><Relationship Id="rId13" Type="http://schemas.openxmlformats.org/officeDocument/2006/relationships/hyperlink" Target="https://ia601503.us.archive.org/29/items/Abbott1900/Abbott%201900.pdf" TargetMode="External"/><Relationship Id="rId18" Type="http://schemas.openxmlformats.org/officeDocument/2006/relationships/hyperlink" Target="https://ia601503.us.archive.org/29/items/Abbott1900/Abbott%201900.pdf" TargetMode="External"/><Relationship Id="rId26" Type="http://schemas.openxmlformats.org/officeDocument/2006/relationships/hyperlink" Target="https://ia601503.us.archive.org/29/items/Abbott1900/Abbott%201900.pdf" TargetMode="External"/><Relationship Id="rId39" Type="http://schemas.openxmlformats.org/officeDocument/2006/relationships/hyperlink" Target="https://ia601503.us.archive.org/29/items/Abbott1900/Abbott%201900.pdf" TargetMode="External"/><Relationship Id="rId3" Type="http://schemas.openxmlformats.org/officeDocument/2006/relationships/hyperlink" Target="https://ia601503.us.archive.org/29/items/Abbott1900/Abbott%201900.pdf" TargetMode="External"/><Relationship Id="rId21" Type="http://schemas.openxmlformats.org/officeDocument/2006/relationships/hyperlink" Target="https://ia601503.us.archive.org/29/items/Abbott1900/Abbott%201900.pdf" TargetMode="External"/><Relationship Id="rId34" Type="http://schemas.openxmlformats.org/officeDocument/2006/relationships/hyperlink" Target="https://ia601503.us.archive.org/29/items/Abbott1900/Abbott%201900.pdf" TargetMode="External"/><Relationship Id="rId42" Type="http://schemas.openxmlformats.org/officeDocument/2006/relationships/hyperlink" Target="https://ia601503.us.archive.org/29/items/Abbott1900/Abbott%201900.pdf" TargetMode="External"/><Relationship Id="rId47" Type="http://schemas.openxmlformats.org/officeDocument/2006/relationships/hyperlink" Target="https://ia601503.us.archive.org/29/items/Abbott1900/Abbott%201900.pdf" TargetMode="External"/><Relationship Id="rId7" Type="http://schemas.openxmlformats.org/officeDocument/2006/relationships/hyperlink" Target="https://ia601503.us.archive.org/29/items/Abbott1900/Abbott%201900.pdf" TargetMode="External"/><Relationship Id="rId12" Type="http://schemas.openxmlformats.org/officeDocument/2006/relationships/hyperlink" Target="https://ia601503.us.archive.org/29/items/Abbott1900/Abbott%201900.pdf" TargetMode="External"/><Relationship Id="rId17" Type="http://schemas.openxmlformats.org/officeDocument/2006/relationships/hyperlink" Target="https://ia601503.us.archive.org/29/items/Abbott1900/Abbott%201900.pdf" TargetMode="External"/><Relationship Id="rId25" Type="http://schemas.openxmlformats.org/officeDocument/2006/relationships/hyperlink" Target="https://ia601503.us.archive.org/29/items/Abbott1900/Abbott%201900.pdf" TargetMode="External"/><Relationship Id="rId33" Type="http://schemas.openxmlformats.org/officeDocument/2006/relationships/hyperlink" Target="https://ia601503.us.archive.org/29/items/Abbott1900/Abbott%201900.pdf" TargetMode="External"/><Relationship Id="rId38" Type="http://schemas.openxmlformats.org/officeDocument/2006/relationships/hyperlink" Target="https://ia601503.us.archive.org/29/items/Abbott1900/Abbott%201900.pdf" TargetMode="External"/><Relationship Id="rId46" Type="http://schemas.openxmlformats.org/officeDocument/2006/relationships/hyperlink" Target="https://ia601503.us.archive.org/29/items/Abbott1900/Abbott%201900.pdf" TargetMode="External"/><Relationship Id="rId2" Type="http://schemas.openxmlformats.org/officeDocument/2006/relationships/hyperlink" Target="https://ia601503.us.archive.org/29/items/Abbott1900/Abbott%201900.pdf" TargetMode="External"/><Relationship Id="rId16" Type="http://schemas.openxmlformats.org/officeDocument/2006/relationships/hyperlink" Target="https://ia601503.us.archive.org/29/items/Abbott1900/Abbott%201900.pdf" TargetMode="External"/><Relationship Id="rId20" Type="http://schemas.openxmlformats.org/officeDocument/2006/relationships/hyperlink" Target="https://ia601503.us.archive.org/29/items/Abbott1900/Abbott%201900.pdf" TargetMode="External"/><Relationship Id="rId29" Type="http://schemas.openxmlformats.org/officeDocument/2006/relationships/hyperlink" Target="https://ia601503.us.archive.org/29/items/Abbott1900/Abbott%201900.pdf" TargetMode="External"/><Relationship Id="rId41" Type="http://schemas.openxmlformats.org/officeDocument/2006/relationships/hyperlink" Target="https://ia601503.us.archive.org/29/items/Abbott1900/Abbott%201900.pdf" TargetMode="External"/><Relationship Id="rId1" Type="http://schemas.openxmlformats.org/officeDocument/2006/relationships/hyperlink" Target="https://ia601503.us.archive.org/29/items/Abbott1900/Abbott%201900.pdf" TargetMode="External"/><Relationship Id="rId6" Type="http://schemas.openxmlformats.org/officeDocument/2006/relationships/hyperlink" Target="https://ia601503.us.archive.org/29/items/Abbott1900/Abbott%201900.pdf" TargetMode="External"/><Relationship Id="rId11" Type="http://schemas.openxmlformats.org/officeDocument/2006/relationships/hyperlink" Target="https://ia601503.us.archive.org/29/items/Abbott1900/Abbott%201900.pdf" TargetMode="External"/><Relationship Id="rId24" Type="http://schemas.openxmlformats.org/officeDocument/2006/relationships/hyperlink" Target="https://ia601503.us.archive.org/29/items/Abbott1900/Abbott%201900.pdf" TargetMode="External"/><Relationship Id="rId32" Type="http://schemas.openxmlformats.org/officeDocument/2006/relationships/hyperlink" Target="https://ia601503.us.archive.org/29/items/Abbott1900/Abbott%201900.pdf" TargetMode="External"/><Relationship Id="rId37" Type="http://schemas.openxmlformats.org/officeDocument/2006/relationships/hyperlink" Target="https://ia601503.us.archive.org/29/items/Abbott1900/Abbott%201900.pdf" TargetMode="External"/><Relationship Id="rId40" Type="http://schemas.openxmlformats.org/officeDocument/2006/relationships/hyperlink" Target="https://ia601503.us.archive.org/29/items/Abbott1900/Abbott%201900.pdf" TargetMode="External"/><Relationship Id="rId45" Type="http://schemas.openxmlformats.org/officeDocument/2006/relationships/hyperlink" Target="https://ia601503.us.archive.org/29/items/Abbott1900/Abbott%201900.pdf" TargetMode="External"/><Relationship Id="rId5" Type="http://schemas.openxmlformats.org/officeDocument/2006/relationships/hyperlink" Target="https://ia601503.us.archive.org/29/items/Abbott1900/Abbott%201900.pdf" TargetMode="External"/><Relationship Id="rId15" Type="http://schemas.openxmlformats.org/officeDocument/2006/relationships/hyperlink" Target="https://ia601503.us.archive.org/29/items/Abbott1900/Abbott%201900.pdf" TargetMode="External"/><Relationship Id="rId23" Type="http://schemas.openxmlformats.org/officeDocument/2006/relationships/hyperlink" Target="https://ia601503.us.archive.org/29/items/Abbott1900/Abbott%201900.pdf" TargetMode="External"/><Relationship Id="rId28" Type="http://schemas.openxmlformats.org/officeDocument/2006/relationships/hyperlink" Target="https://ia601503.us.archive.org/29/items/Abbott1900/Abbott%201900.pdf" TargetMode="External"/><Relationship Id="rId36" Type="http://schemas.openxmlformats.org/officeDocument/2006/relationships/hyperlink" Target="https://ia601503.us.archive.org/29/items/Abbott1900/Abbott%201900.pdf" TargetMode="External"/><Relationship Id="rId10" Type="http://schemas.openxmlformats.org/officeDocument/2006/relationships/hyperlink" Target="https://ia601503.us.archive.org/29/items/Abbott1900/Abbott%201900.pdf" TargetMode="External"/><Relationship Id="rId19" Type="http://schemas.openxmlformats.org/officeDocument/2006/relationships/hyperlink" Target="https://ia601503.us.archive.org/29/items/Abbott1900/Abbott%201900.pdf" TargetMode="External"/><Relationship Id="rId31" Type="http://schemas.openxmlformats.org/officeDocument/2006/relationships/hyperlink" Target="https://ia601503.us.archive.org/29/items/Abbott1900/Abbott%201900.pdf" TargetMode="External"/><Relationship Id="rId44" Type="http://schemas.openxmlformats.org/officeDocument/2006/relationships/hyperlink" Target="https://ia601503.us.archive.org/29/items/Abbott1900/Abbott%201900.pdf" TargetMode="External"/><Relationship Id="rId4" Type="http://schemas.openxmlformats.org/officeDocument/2006/relationships/hyperlink" Target="https://ia601503.us.archive.org/29/items/Abbott1900/Abbott%201900.pdf" TargetMode="External"/><Relationship Id="rId9" Type="http://schemas.openxmlformats.org/officeDocument/2006/relationships/hyperlink" Target="https://ia601503.us.archive.org/29/items/Abbott1900/Abbott%201900.pdf" TargetMode="External"/><Relationship Id="rId14" Type="http://schemas.openxmlformats.org/officeDocument/2006/relationships/hyperlink" Target="https://ia601503.us.archive.org/29/items/Abbott1900/Abbott%201900.pdf" TargetMode="External"/><Relationship Id="rId22" Type="http://schemas.openxmlformats.org/officeDocument/2006/relationships/hyperlink" Target="https://ia601503.us.archive.org/29/items/Abbott1900/Abbott%201900.pdf" TargetMode="External"/><Relationship Id="rId27" Type="http://schemas.openxmlformats.org/officeDocument/2006/relationships/hyperlink" Target="https://ia601503.us.archive.org/29/items/Abbott1900/Abbott%201900.pdf" TargetMode="External"/><Relationship Id="rId30" Type="http://schemas.openxmlformats.org/officeDocument/2006/relationships/hyperlink" Target="https://ia601503.us.archive.org/29/items/Abbott1900/Abbott%201900.pdf" TargetMode="External"/><Relationship Id="rId35" Type="http://schemas.openxmlformats.org/officeDocument/2006/relationships/hyperlink" Target="https://ia601503.us.archive.org/29/items/Abbott1900/Abbott%201900.pdf" TargetMode="External"/><Relationship Id="rId43" Type="http://schemas.openxmlformats.org/officeDocument/2006/relationships/hyperlink" Target="https://ia601503.us.archive.org/29/items/Abbott1900/Abbott%201900.pdf" TargetMode="External"/><Relationship Id="rId48" Type="http://schemas.openxmlformats.org/officeDocument/2006/relationships/hyperlink" Target="https://ia601503.us.archive.org/29/items/Abbott1900/Abbott%201900.pdf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https://ia601503.us.archive.org/29/items/Abbott1900/Abbott%201900.pdf" TargetMode="External"/><Relationship Id="rId13" Type="http://schemas.openxmlformats.org/officeDocument/2006/relationships/hyperlink" Target="https://ia601503.us.archive.org/29/items/Abbott1900/Abbott%201900.pdf" TargetMode="External"/><Relationship Id="rId18" Type="http://schemas.openxmlformats.org/officeDocument/2006/relationships/hyperlink" Target="https://ia601503.us.archive.org/29/items/Abbott1900/Abbott%201900.pdf" TargetMode="External"/><Relationship Id="rId26" Type="http://schemas.openxmlformats.org/officeDocument/2006/relationships/hyperlink" Target="https://ia601503.us.archive.org/29/items/Abbott1900/Abbott%201900.pdf" TargetMode="External"/><Relationship Id="rId39" Type="http://schemas.openxmlformats.org/officeDocument/2006/relationships/hyperlink" Target="https://ia601503.us.archive.org/29/items/Abbott1900/Abbott%201900.pdf" TargetMode="External"/><Relationship Id="rId3" Type="http://schemas.openxmlformats.org/officeDocument/2006/relationships/hyperlink" Target="https://ia601503.us.archive.org/29/items/Abbott1900/Abbott%201900.pdf" TargetMode="External"/><Relationship Id="rId21" Type="http://schemas.openxmlformats.org/officeDocument/2006/relationships/hyperlink" Target="https://ia601503.us.archive.org/29/items/Abbott1900/Abbott%201900.pdf" TargetMode="External"/><Relationship Id="rId34" Type="http://schemas.openxmlformats.org/officeDocument/2006/relationships/hyperlink" Target="https://ia601503.us.archive.org/29/items/Abbott1900/Abbott%201900.pdf" TargetMode="External"/><Relationship Id="rId42" Type="http://schemas.openxmlformats.org/officeDocument/2006/relationships/hyperlink" Target="https://ia601503.us.archive.org/29/items/Abbott1900/Abbott%201900.pdf" TargetMode="External"/><Relationship Id="rId47" Type="http://schemas.openxmlformats.org/officeDocument/2006/relationships/hyperlink" Target="https://ia601503.us.archive.org/29/items/Abbott1900/Abbott%201900.pdf" TargetMode="External"/><Relationship Id="rId7" Type="http://schemas.openxmlformats.org/officeDocument/2006/relationships/hyperlink" Target="https://ia601503.us.archive.org/29/items/Abbott1900/Abbott%201900.pdf" TargetMode="External"/><Relationship Id="rId12" Type="http://schemas.openxmlformats.org/officeDocument/2006/relationships/hyperlink" Target="https://ia601503.us.archive.org/29/items/Abbott1900/Abbott%201900.pdf" TargetMode="External"/><Relationship Id="rId17" Type="http://schemas.openxmlformats.org/officeDocument/2006/relationships/hyperlink" Target="https://ia601503.us.archive.org/29/items/Abbott1900/Abbott%201900.pdf" TargetMode="External"/><Relationship Id="rId25" Type="http://schemas.openxmlformats.org/officeDocument/2006/relationships/hyperlink" Target="https://ia601503.us.archive.org/29/items/Abbott1900/Abbott%201900.pdf" TargetMode="External"/><Relationship Id="rId33" Type="http://schemas.openxmlformats.org/officeDocument/2006/relationships/hyperlink" Target="https://ia601503.us.archive.org/29/items/Abbott1900/Abbott%201900.pdf" TargetMode="External"/><Relationship Id="rId38" Type="http://schemas.openxmlformats.org/officeDocument/2006/relationships/hyperlink" Target="https://ia601503.us.archive.org/29/items/Abbott1900/Abbott%201900.pdf" TargetMode="External"/><Relationship Id="rId46" Type="http://schemas.openxmlformats.org/officeDocument/2006/relationships/hyperlink" Target="https://ia601503.us.archive.org/29/items/Abbott1900/Abbott%201900.pdf" TargetMode="External"/><Relationship Id="rId2" Type="http://schemas.openxmlformats.org/officeDocument/2006/relationships/hyperlink" Target="https://ia601503.us.archive.org/29/items/Abbott1900/Abbott%201900.pdf" TargetMode="External"/><Relationship Id="rId16" Type="http://schemas.openxmlformats.org/officeDocument/2006/relationships/hyperlink" Target="https://ia601503.us.archive.org/29/items/Abbott1900/Abbott%201900.pdf" TargetMode="External"/><Relationship Id="rId20" Type="http://schemas.openxmlformats.org/officeDocument/2006/relationships/hyperlink" Target="https://ia601503.us.archive.org/29/items/Abbott1900/Abbott%201900.pdf" TargetMode="External"/><Relationship Id="rId29" Type="http://schemas.openxmlformats.org/officeDocument/2006/relationships/hyperlink" Target="https://ia601503.us.archive.org/29/items/Abbott1900/Abbott%201900.pdf" TargetMode="External"/><Relationship Id="rId41" Type="http://schemas.openxmlformats.org/officeDocument/2006/relationships/hyperlink" Target="https://ia601503.us.archive.org/29/items/Abbott1900/Abbott%201900.pdf" TargetMode="External"/><Relationship Id="rId1" Type="http://schemas.openxmlformats.org/officeDocument/2006/relationships/hyperlink" Target="https://ia601503.us.archive.org/29/items/Abbott1900/Abbott%201900.pdf" TargetMode="External"/><Relationship Id="rId6" Type="http://schemas.openxmlformats.org/officeDocument/2006/relationships/hyperlink" Target="https://ia601503.us.archive.org/29/items/Abbott1900/Abbott%201900.pdf" TargetMode="External"/><Relationship Id="rId11" Type="http://schemas.openxmlformats.org/officeDocument/2006/relationships/hyperlink" Target="https://ia601503.us.archive.org/29/items/Abbott1900/Abbott%201900.pdf" TargetMode="External"/><Relationship Id="rId24" Type="http://schemas.openxmlformats.org/officeDocument/2006/relationships/hyperlink" Target="https://ia601503.us.archive.org/29/items/Abbott1900/Abbott%201900.pdf" TargetMode="External"/><Relationship Id="rId32" Type="http://schemas.openxmlformats.org/officeDocument/2006/relationships/hyperlink" Target="https://ia601503.us.archive.org/29/items/Abbott1900/Abbott%201900.pdf" TargetMode="External"/><Relationship Id="rId37" Type="http://schemas.openxmlformats.org/officeDocument/2006/relationships/hyperlink" Target="https://ia601503.us.archive.org/29/items/Abbott1900/Abbott%201900.pdf" TargetMode="External"/><Relationship Id="rId40" Type="http://schemas.openxmlformats.org/officeDocument/2006/relationships/hyperlink" Target="https://ia601503.us.archive.org/29/items/Abbott1900/Abbott%201900.pdf" TargetMode="External"/><Relationship Id="rId45" Type="http://schemas.openxmlformats.org/officeDocument/2006/relationships/hyperlink" Target="https://ia601503.us.archive.org/29/items/Abbott1900/Abbott%201900.pdf" TargetMode="External"/><Relationship Id="rId5" Type="http://schemas.openxmlformats.org/officeDocument/2006/relationships/hyperlink" Target="https://ia601503.us.archive.org/29/items/Abbott1900/Abbott%201900.pdf" TargetMode="External"/><Relationship Id="rId15" Type="http://schemas.openxmlformats.org/officeDocument/2006/relationships/hyperlink" Target="https://ia601503.us.archive.org/29/items/Abbott1900/Abbott%201900.pdf" TargetMode="External"/><Relationship Id="rId23" Type="http://schemas.openxmlformats.org/officeDocument/2006/relationships/hyperlink" Target="https://ia601503.us.archive.org/29/items/Abbott1900/Abbott%201900.pdf" TargetMode="External"/><Relationship Id="rId28" Type="http://schemas.openxmlformats.org/officeDocument/2006/relationships/hyperlink" Target="https://ia601503.us.archive.org/29/items/Abbott1900/Abbott%201900.pdf" TargetMode="External"/><Relationship Id="rId36" Type="http://schemas.openxmlformats.org/officeDocument/2006/relationships/hyperlink" Target="https://ia601503.us.archive.org/29/items/Abbott1900/Abbott%201900.pdf" TargetMode="External"/><Relationship Id="rId10" Type="http://schemas.openxmlformats.org/officeDocument/2006/relationships/hyperlink" Target="https://ia601503.us.archive.org/29/items/Abbott1900/Abbott%201900.pdf" TargetMode="External"/><Relationship Id="rId19" Type="http://schemas.openxmlformats.org/officeDocument/2006/relationships/hyperlink" Target="https://ia601503.us.archive.org/29/items/Abbott1900/Abbott%201900.pdf" TargetMode="External"/><Relationship Id="rId31" Type="http://schemas.openxmlformats.org/officeDocument/2006/relationships/hyperlink" Target="https://ia601503.us.archive.org/29/items/Abbott1900/Abbott%201900.pdf" TargetMode="External"/><Relationship Id="rId44" Type="http://schemas.openxmlformats.org/officeDocument/2006/relationships/hyperlink" Target="https://ia601503.us.archive.org/29/items/Abbott1900/Abbott%201900.pdf" TargetMode="External"/><Relationship Id="rId4" Type="http://schemas.openxmlformats.org/officeDocument/2006/relationships/hyperlink" Target="https://ia601503.us.archive.org/29/items/Abbott1900/Abbott%201900.pdf" TargetMode="External"/><Relationship Id="rId9" Type="http://schemas.openxmlformats.org/officeDocument/2006/relationships/hyperlink" Target="https://ia601503.us.archive.org/29/items/Abbott1900/Abbott%201900.pdf" TargetMode="External"/><Relationship Id="rId14" Type="http://schemas.openxmlformats.org/officeDocument/2006/relationships/hyperlink" Target="https://ia601503.us.archive.org/29/items/Abbott1900/Abbott%201900.pdf" TargetMode="External"/><Relationship Id="rId22" Type="http://schemas.openxmlformats.org/officeDocument/2006/relationships/hyperlink" Target="https://ia601503.us.archive.org/29/items/Abbott1900/Abbott%201900.pdf" TargetMode="External"/><Relationship Id="rId27" Type="http://schemas.openxmlformats.org/officeDocument/2006/relationships/hyperlink" Target="https://ia601503.us.archive.org/29/items/Abbott1900/Abbott%201900.pdf" TargetMode="External"/><Relationship Id="rId30" Type="http://schemas.openxmlformats.org/officeDocument/2006/relationships/hyperlink" Target="https://ia601503.us.archive.org/29/items/Abbott1900/Abbott%201900.pdf" TargetMode="External"/><Relationship Id="rId35" Type="http://schemas.openxmlformats.org/officeDocument/2006/relationships/hyperlink" Target="https://ia601503.us.archive.org/29/items/Abbott1900/Abbott%201900.pdf" TargetMode="External"/><Relationship Id="rId43" Type="http://schemas.openxmlformats.org/officeDocument/2006/relationships/hyperlink" Target="https://ia601503.us.archive.org/29/items/Abbott1900/Abbott%201900.pdf" TargetMode="External"/><Relationship Id="rId48" Type="http://schemas.openxmlformats.org/officeDocument/2006/relationships/hyperlink" Target="https://ia601503.us.archive.org/29/items/Abbott1900/Abbott%201900.pdf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ia601505.us.archive.org/12/items/VitalAndSocialStatistics.InCompendiumOfTheEleventhCensus1890.Vol.I/%E2%80%9CVital%20and%20Social%20Statistics.%E2%80%9D%20In%20Compendium%20of%20the%20Eleventh%20Census,%201890.%20Vol.%20I.pdf" TargetMode="External"/><Relationship Id="rId2" Type="http://schemas.openxmlformats.org/officeDocument/2006/relationships/hyperlink" Target="https://ia800207.us.archive.org/31/items/cu31924024569315/cu31924024569315.pdf" TargetMode="External"/><Relationship Id="rId1" Type="http://schemas.openxmlformats.org/officeDocument/2006/relationships/hyperlink" Target="https://ia800207.us.archive.org/31/items/cu31924024569315/cu31924024569315.pdf" TargetMode="External"/><Relationship Id="rId5" Type="http://schemas.openxmlformats.org/officeDocument/2006/relationships/hyperlink" Target="https://ia601505.us.archive.org/12/items/VitalAndSocialStatistics.InCompendiumOfTheEleventhCensus1890.Vol.I/%E2%80%9CVital%20and%20Social%20Statistics.%E2%80%9D%20In%20Compendium%20of%20the%20Eleventh%20Census,%201890.%20Vol.%20I.pdf" TargetMode="External"/><Relationship Id="rId4" Type="http://schemas.openxmlformats.org/officeDocument/2006/relationships/hyperlink" Target="https://ia601505.us.archive.org/12/items/VitalAndSocialStatistics.InCompendiumOfTheEleventhCensus1890.Vol.I/%E2%80%9CVital%20and%20Social%20Statistics.%E2%80%9D%20In%20Compendium%20of%20the%20Eleventh%20Census,%201890.%20Vol.%20I.pdf" TargetMode="External"/></Relationships>
</file>

<file path=xl/worksheets/_rels/sheet36.xml.rels><?xml version="1.0" encoding="UTF-8" standalone="yes"?>
<Relationships xmlns="http://schemas.openxmlformats.org/package/2006/relationships"><Relationship Id="rId26" Type="http://schemas.openxmlformats.org/officeDocument/2006/relationships/hyperlink" Target="https://babel.hathitrust.org/cgi/pt?id=uc1.l0053372421;view=1up;seq=464" TargetMode="External"/><Relationship Id="rId117" Type="http://schemas.openxmlformats.org/officeDocument/2006/relationships/hyperlink" Target="https://babel.hathitrust.org/cgi/pt?id=uc1.l0053372421;view=1up;seq=471" TargetMode="External"/><Relationship Id="rId21" Type="http://schemas.openxmlformats.org/officeDocument/2006/relationships/hyperlink" Target="https://babel.hathitrust.org/cgi/pt?id=uc1.l0053372421;view=1up;seq=464" TargetMode="External"/><Relationship Id="rId42" Type="http://schemas.openxmlformats.org/officeDocument/2006/relationships/hyperlink" Target="https://babel.hathitrust.org/cgi/pt?id=uc1.l0053372421;view=1up;seq=464" TargetMode="External"/><Relationship Id="rId47" Type="http://schemas.openxmlformats.org/officeDocument/2006/relationships/hyperlink" Target="https://babel.hathitrust.org/cgi/pt?id=uc1.l0053372421;view=1up;seq=464" TargetMode="External"/><Relationship Id="rId63" Type="http://schemas.openxmlformats.org/officeDocument/2006/relationships/hyperlink" Target="https://babel.hathitrust.org/cgi/pt?id=uc1.l0053372421;view=1up;seq=467" TargetMode="External"/><Relationship Id="rId68" Type="http://schemas.openxmlformats.org/officeDocument/2006/relationships/hyperlink" Target="https://babel.hathitrust.org/cgi/pt?id=uc1.l0053372421;view=1up;seq=467" TargetMode="External"/><Relationship Id="rId84" Type="http://schemas.openxmlformats.org/officeDocument/2006/relationships/hyperlink" Target="https://babel.hathitrust.org/cgi/pt?id=uc1.l0053372421;view=1up;seq=467" TargetMode="External"/><Relationship Id="rId89" Type="http://schemas.openxmlformats.org/officeDocument/2006/relationships/hyperlink" Target="https://babel.hathitrust.org/cgi/pt?id=uc1.l0053372421;view=1up;seq=467" TargetMode="External"/><Relationship Id="rId112" Type="http://schemas.openxmlformats.org/officeDocument/2006/relationships/hyperlink" Target="https://babel.hathitrust.org/cgi/pt?id=uc1.l0053372421;view=1up;seq=471" TargetMode="External"/><Relationship Id="rId133" Type="http://schemas.openxmlformats.org/officeDocument/2006/relationships/hyperlink" Target="https://babel.hathitrust.org/cgi/pt?id=uc1.l0053372421;view=1up;seq=471" TargetMode="External"/><Relationship Id="rId138" Type="http://schemas.openxmlformats.org/officeDocument/2006/relationships/hyperlink" Target="https://babel.hathitrust.org/cgi/pt?id=uc1.l0053372421;view=1up;seq=471" TargetMode="External"/><Relationship Id="rId16" Type="http://schemas.openxmlformats.org/officeDocument/2006/relationships/hyperlink" Target="https://babel.hathitrust.org/cgi/pt?id=uc1.l0053372421;view=1up;seq=464" TargetMode="External"/><Relationship Id="rId107" Type="http://schemas.openxmlformats.org/officeDocument/2006/relationships/hyperlink" Target="https://babel.hathitrust.org/cgi/pt?id=uc1.l0053372421;view=1up;seq=471" TargetMode="External"/><Relationship Id="rId11" Type="http://schemas.openxmlformats.org/officeDocument/2006/relationships/hyperlink" Target="https://babel.hathitrust.org/cgi/pt?id=uc1.l0053372421;view=1up;seq=464" TargetMode="External"/><Relationship Id="rId32" Type="http://schemas.openxmlformats.org/officeDocument/2006/relationships/hyperlink" Target="https://babel.hathitrust.org/cgi/pt?id=uc1.l0053372421;view=1up;seq=464" TargetMode="External"/><Relationship Id="rId37" Type="http://schemas.openxmlformats.org/officeDocument/2006/relationships/hyperlink" Target="https://babel.hathitrust.org/cgi/pt?id=uc1.l0053372421;view=1up;seq=464" TargetMode="External"/><Relationship Id="rId53" Type="http://schemas.openxmlformats.org/officeDocument/2006/relationships/hyperlink" Target="https://babel.hathitrust.org/cgi/pt?id=uc1.l0053372421;view=1up;seq=467" TargetMode="External"/><Relationship Id="rId58" Type="http://schemas.openxmlformats.org/officeDocument/2006/relationships/hyperlink" Target="https://babel.hathitrust.org/cgi/pt?id=uc1.l0053372421;view=1up;seq=467" TargetMode="External"/><Relationship Id="rId74" Type="http://schemas.openxmlformats.org/officeDocument/2006/relationships/hyperlink" Target="https://babel.hathitrust.org/cgi/pt?id=uc1.l0053372421;view=1up;seq=467" TargetMode="External"/><Relationship Id="rId79" Type="http://schemas.openxmlformats.org/officeDocument/2006/relationships/hyperlink" Target="https://babel.hathitrust.org/cgi/pt?id=uc1.l0053372421;view=1up;seq=467" TargetMode="External"/><Relationship Id="rId102" Type="http://schemas.openxmlformats.org/officeDocument/2006/relationships/hyperlink" Target="https://babel.hathitrust.org/cgi/pt?id=uc1.l0053372421;view=1up;seq=471" TargetMode="External"/><Relationship Id="rId123" Type="http://schemas.openxmlformats.org/officeDocument/2006/relationships/hyperlink" Target="https://babel.hathitrust.org/cgi/pt?id=uc1.l0053372421;view=1up;seq=471" TargetMode="External"/><Relationship Id="rId128" Type="http://schemas.openxmlformats.org/officeDocument/2006/relationships/hyperlink" Target="https://babel.hathitrust.org/cgi/pt?id=uc1.l0053372421;view=1up;seq=471" TargetMode="External"/><Relationship Id="rId144" Type="http://schemas.openxmlformats.org/officeDocument/2006/relationships/hyperlink" Target="https://babel.hathitrust.org/cgi/pt?id=uc1.l0053372421;view=1up;seq=471" TargetMode="External"/><Relationship Id="rId5" Type="http://schemas.openxmlformats.org/officeDocument/2006/relationships/hyperlink" Target="https://babel.hathitrust.org/cgi/pt?id=uc1.l0053372421;view=1up;seq=464" TargetMode="External"/><Relationship Id="rId90" Type="http://schemas.openxmlformats.org/officeDocument/2006/relationships/hyperlink" Target="https://babel.hathitrust.org/cgi/pt?id=uc1.l0053372421;view=1up;seq=467" TargetMode="External"/><Relationship Id="rId95" Type="http://schemas.openxmlformats.org/officeDocument/2006/relationships/hyperlink" Target="https://babel.hathitrust.org/cgi/pt?id=uc1.l0053372421;view=1up;seq=467" TargetMode="External"/><Relationship Id="rId22" Type="http://schemas.openxmlformats.org/officeDocument/2006/relationships/hyperlink" Target="https://babel.hathitrust.org/cgi/pt?id=uc1.l0053372421;view=1up;seq=464" TargetMode="External"/><Relationship Id="rId27" Type="http://schemas.openxmlformats.org/officeDocument/2006/relationships/hyperlink" Target="https://babel.hathitrust.org/cgi/pt?id=uc1.l0053372421;view=1up;seq=464" TargetMode="External"/><Relationship Id="rId43" Type="http://schemas.openxmlformats.org/officeDocument/2006/relationships/hyperlink" Target="https://babel.hathitrust.org/cgi/pt?id=uc1.l0053372421;view=1up;seq=464" TargetMode="External"/><Relationship Id="rId48" Type="http://schemas.openxmlformats.org/officeDocument/2006/relationships/hyperlink" Target="https://babel.hathitrust.org/cgi/pt?id=uc1.l0053372421;view=1up;seq=464" TargetMode="External"/><Relationship Id="rId64" Type="http://schemas.openxmlformats.org/officeDocument/2006/relationships/hyperlink" Target="https://babel.hathitrust.org/cgi/pt?id=uc1.l0053372421;view=1up;seq=467" TargetMode="External"/><Relationship Id="rId69" Type="http://schemas.openxmlformats.org/officeDocument/2006/relationships/hyperlink" Target="https://babel.hathitrust.org/cgi/pt?id=uc1.l0053372421;view=1up;seq=467" TargetMode="External"/><Relationship Id="rId113" Type="http://schemas.openxmlformats.org/officeDocument/2006/relationships/hyperlink" Target="https://babel.hathitrust.org/cgi/pt?id=uc1.l0053372421;view=1up;seq=471" TargetMode="External"/><Relationship Id="rId118" Type="http://schemas.openxmlformats.org/officeDocument/2006/relationships/hyperlink" Target="https://babel.hathitrust.org/cgi/pt?id=uc1.l0053372421;view=1up;seq=471" TargetMode="External"/><Relationship Id="rId134" Type="http://schemas.openxmlformats.org/officeDocument/2006/relationships/hyperlink" Target="https://babel.hathitrust.org/cgi/pt?id=uc1.l0053372421;view=1up;seq=471" TargetMode="External"/><Relationship Id="rId139" Type="http://schemas.openxmlformats.org/officeDocument/2006/relationships/hyperlink" Target="https://babel.hathitrust.org/cgi/pt?id=uc1.l0053372421;view=1up;seq=471" TargetMode="External"/><Relationship Id="rId80" Type="http://schemas.openxmlformats.org/officeDocument/2006/relationships/hyperlink" Target="https://babel.hathitrust.org/cgi/pt?id=uc1.l0053372421;view=1up;seq=467" TargetMode="External"/><Relationship Id="rId85" Type="http://schemas.openxmlformats.org/officeDocument/2006/relationships/hyperlink" Target="https://babel.hathitrust.org/cgi/pt?id=uc1.l0053372421;view=1up;seq=467" TargetMode="External"/><Relationship Id="rId3" Type="http://schemas.openxmlformats.org/officeDocument/2006/relationships/hyperlink" Target="https://babel.hathitrust.org/cgi/pt?id=uc1.l0053372421;view=1up;seq=471" TargetMode="External"/><Relationship Id="rId12" Type="http://schemas.openxmlformats.org/officeDocument/2006/relationships/hyperlink" Target="https://babel.hathitrust.org/cgi/pt?id=uc1.l0053372421;view=1up;seq=464" TargetMode="External"/><Relationship Id="rId17" Type="http://schemas.openxmlformats.org/officeDocument/2006/relationships/hyperlink" Target="https://babel.hathitrust.org/cgi/pt?id=uc1.l0053372421;view=1up;seq=464" TargetMode="External"/><Relationship Id="rId25" Type="http://schemas.openxmlformats.org/officeDocument/2006/relationships/hyperlink" Target="https://babel.hathitrust.org/cgi/pt?id=uc1.l0053372421;view=1up;seq=464" TargetMode="External"/><Relationship Id="rId33" Type="http://schemas.openxmlformats.org/officeDocument/2006/relationships/hyperlink" Target="https://babel.hathitrust.org/cgi/pt?id=uc1.l0053372421;view=1up;seq=464" TargetMode="External"/><Relationship Id="rId38" Type="http://schemas.openxmlformats.org/officeDocument/2006/relationships/hyperlink" Target="https://babel.hathitrust.org/cgi/pt?id=uc1.l0053372421;view=1up;seq=464" TargetMode="External"/><Relationship Id="rId46" Type="http://schemas.openxmlformats.org/officeDocument/2006/relationships/hyperlink" Target="https://babel.hathitrust.org/cgi/pt?id=uc1.l0053372421;view=1up;seq=464" TargetMode="External"/><Relationship Id="rId59" Type="http://schemas.openxmlformats.org/officeDocument/2006/relationships/hyperlink" Target="https://babel.hathitrust.org/cgi/pt?id=uc1.l0053372421;view=1up;seq=467" TargetMode="External"/><Relationship Id="rId67" Type="http://schemas.openxmlformats.org/officeDocument/2006/relationships/hyperlink" Target="https://babel.hathitrust.org/cgi/pt?id=uc1.l0053372421;view=1up;seq=467" TargetMode="External"/><Relationship Id="rId103" Type="http://schemas.openxmlformats.org/officeDocument/2006/relationships/hyperlink" Target="https://babel.hathitrust.org/cgi/pt?id=uc1.l0053372421;view=1up;seq=471" TargetMode="External"/><Relationship Id="rId108" Type="http://schemas.openxmlformats.org/officeDocument/2006/relationships/hyperlink" Target="https://babel.hathitrust.org/cgi/pt?id=uc1.l0053372421;view=1up;seq=471" TargetMode="External"/><Relationship Id="rId116" Type="http://schemas.openxmlformats.org/officeDocument/2006/relationships/hyperlink" Target="https://babel.hathitrust.org/cgi/pt?id=uc1.l0053372421;view=1up;seq=471" TargetMode="External"/><Relationship Id="rId124" Type="http://schemas.openxmlformats.org/officeDocument/2006/relationships/hyperlink" Target="https://babel.hathitrust.org/cgi/pt?id=uc1.l0053372421;view=1up;seq=471" TargetMode="External"/><Relationship Id="rId129" Type="http://schemas.openxmlformats.org/officeDocument/2006/relationships/hyperlink" Target="https://babel.hathitrust.org/cgi/pt?id=uc1.l0053372421;view=1up;seq=471" TargetMode="External"/><Relationship Id="rId137" Type="http://schemas.openxmlformats.org/officeDocument/2006/relationships/hyperlink" Target="https://babel.hathitrust.org/cgi/pt?id=uc1.l0053372421;view=1up;seq=471" TargetMode="External"/><Relationship Id="rId20" Type="http://schemas.openxmlformats.org/officeDocument/2006/relationships/hyperlink" Target="https://babel.hathitrust.org/cgi/pt?id=uc1.l0053372421;view=1up;seq=464" TargetMode="External"/><Relationship Id="rId41" Type="http://schemas.openxmlformats.org/officeDocument/2006/relationships/hyperlink" Target="https://babel.hathitrust.org/cgi/pt?id=uc1.l0053372421;view=1up;seq=464" TargetMode="External"/><Relationship Id="rId54" Type="http://schemas.openxmlformats.org/officeDocument/2006/relationships/hyperlink" Target="https://babel.hathitrust.org/cgi/pt?id=uc1.l0053372421;view=1up;seq=467" TargetMode="External"/><Relationship Id="rId62" Type="http://schemas.openxmlformats.org/officeDocument/2006/relationships/hyperlink" Target="https://babel.hathitrust.org/cgi/pt?id=uc1.l0053372421;view=1up;seq=467" TargetMode="External"/><Relationship Id="rId70" Type="http://schemas.openxmlformats.org/officeDocument/2006/relationships/hyperlink" Target="https://babel.hathitrust.org/cgi/pt?id=uc1.l0053372421;view=1up;seq=467" TargetMode="External"/><Relationship Id="rId75" Type="http://schemas.openxmlformats.org/officeDocument/2006/relationships/hyperlink" Target="https://babel.hathitrust.org/cgi/pt?id=uc1.l0053372421;view=1up;seq=467" TargetMode="External"/><Relationship Id="rId83" Type="http://schemas.openxmlformats.org/officeDocument/2006/relationships/hyperlink" Target="https://babel.hathitrust.org/cgi/pt?id=uc1.l0053372421;view=1up;seq=467" TargetMode="External"/><Relationship Id="rId88" Type="http://schemas.openxmlformats.org/officeDocument/2006/relationships/hyperlink" Target="https://babel.hathitrust.org/cgi/pt?id=uc1.l0053372421;view=1up;seq=467" TargetMode="External"/><Relationship Id="rId91" Type="http://schemas.openxmlformats.org/officeDocument/2006/relationships/hyperlink" Target="https://babel.hathitrust.org/cgi/pt?id=uc1.l0053372421;view=1up;seq=467" TargetMode="External"/><Relationship Id="rId96" Type="http://schemas.openxmlformats.org/officeDocument/2006/relationships/hyperlink" Target="https://babel.hathitrust.org/cgi/pt?id=uc1.l0053372421;view=1up;seq=467" TargetMode="External"/><Relationship Id="rId111" Type="http://schemas.openxmlformats.org/officeDocument/2006/relationships/hyperlink" Target="https://babel.hathitrust.org/cgi/pt?id=uc1.l0053372421;view=1up;seq=471" TargetMode="External"/><Relationship Id="rId132" Type="http://schemas.openxmlformats.org/officeDocument/2006/relationships/hyperlink" Target="https://babel.hathitrust.org/cgi/pt?id=uc1.l0053372421;view=1up;seq=471" TargetMode="External"/><Relationship Id="rId140" Type="http://schemas.openxmlformats.org/officeDocument/2006/relationships/hyperlink" Target="https://babel.hathitrust.org/cgi/pt?id=uc1.l0053372421;view=1up;seq=471" TargetMode="External"/><Relationship Id="rId145" Type="http://schemas.openxmlformats.org/officeDocument/2006/relationships/hyperlink" Target="https://babel.hathitrust.org/cgi/pt?id=uc1.l0053372421;view=1up;seq=471" TargetMode="External"/><Relationship Id="rId1" Type="http://schemas.openxmlformats.org/officeDocument/2006/relationships/hyperlink" Target="https://babel.hathitrust.org/cgi/pt?id=uc1.l0053372421;view=1up;seq=464" TargetMode="External"/><Relationship Id="rId6" Type="http://schemas.openxmlformats.org/officeDocument/2006/relationships/hyperlink" Target="https://babel.hathitrust.org/cgi/pt?id=uc1.l0053372421;view=1up;seq=464" TargetMode="External"/><Relationship Id="rId15" Type="http://schemas.openxmlformats.org/officeDocument/2006/relationships/hyperlink" Target="https://babel.hathitrust.org/cgi/pt?id=uc1.l0053372421;view=1up;seq=464" TargetMode="External"/><Relationship Id="rId23" Type="http://schemas.openxmlformats.org/officeDocument/2006/relationships/hyperlink" Target="https://babel.hathitrust.org/cgi/pt?id=uc1.l0053372421;view=1up;seq=464" TargetMode="External"/><Relationship Id="rId28" Type="http://schemas.openxmlformats.org/officeDocument/2006/relationships/hyperlink" Target="https://babel.hathitrust.org/cgi/pt?id=uc1.l0053372421;view=1up;seq=464" TargetMode="External"/><Relationship Id="rId36" Type="http://schemas.openxmlformats.org/officeDocument/2006/relationships/hyperlink" Target="https://babel.hathitrust.org/cgi/pt?id=uc1.l0053372421;view=1up;seq=464" TargetMode="External"/><Relationship Id="rId49" Type="http://schemas.openxmlformats.org/officeDocument/2006/relationships/hyperlink" Target="https://babel.hathitrust.org/cgi/pt?id=uc1.l0053372421;view=1up;seq=464" TargetMode="External"/><Relationship Id="rId57" Type="http://schemas.openxmlformats.org/officeDocument/2006/relationships/hyperlink" Target="https://babel.hathitrust.org/cgi/pt?id=uc1.l0053372421;view=1up;seq=467" TargetMode="External"/><Relationship Id="rId106" Type="http://schemas.openxmlformats.org/officeDocument/2006/relationships/hyperlink" Target="https://babel.hathitrust.org/cgi/pt?id=uc1.l0053372421;view=1up;seq=471" TargetMode="External"/><Relationship Id="rId114" Type="http://schemas.openxmlformats.org/officeDocument/2006/relationships/hyperlink" Target="https://babel.hathitrust.org/cgi/pt?id=uc1.l0053372421;view=1up;seq=471" TargetMode="External"/><Relationship Id="rId119" Type="http://schemas.openxmlformats.org/officeDocument/2006/relationships/hyperlink" Target="https://babel.hathitrust.org/cgi/pt?id=uc1.l0053372421;view=1up;seq=471" TargetMode="External"/><Relationship Id="rId127" Type="http://schemas.openxmlformats.org/officeDocument/2006/relationships/hyperlink" Target="https://babel.hathitrust.org/cgi/pt?id=uc1.l0053372421;view=1up;seq=471" TargetMode="External"/><Relationship Id="rId10" Type="http://schemas.openxmlformats.org/officeDocument/2006/relationships/hyperlink" Target="https://babel.hathitrust.org/cgi/pt?id=uc1.l0053372421;view=1up;seq=464" TargetMode="External"/><Relationship Id="rId31" Type="http://schemas.openxmlformats.org/officeDocument/2006/relationships/hyperlink" Target="https://babel.hathitrust.org/cgi/pt?id=uc1.l0053372421;view=1up;seq=464" TargetMode="External"/><Relationship Id="rId44" Type="http://schemas.openxmlformats.org/officeDocument/2006/relationships/hyperlink" Target="https://babel.hathitrust.org/cgi/pt?id=uc1.l0053372421;view=1up;seq=464" TargetMode="External"/><Relationship Id="rId52" Type="http://schemas.openxmlformats.org/officeDocument/2006/relationships/hyperlink" Target="https://babel.hathitrust.org/cgi/pt?id=uc1.l0053372421;view=1up;seq=467" TargetMode="External"/><Relationship Id="rId60" Type="http://schemas.openxmlformats.org/officeDocument/2006/relationships/hyperlink" Target="https://babel.hathitrust.org/cgi/pt?id=uc1.l0053372421;view=1up;seq=467" TargetMode="External"/><Relationship Id="rId65" Type="http://schemas.openxmlformats.org/officeDocument/2006/relationships/hyperlink" Target="https://babel.hathitrust.org/cgi/pt?id=uc1.l0053372421;view=1up;seq=467" TargetMode="External"/><Relationship Id="rId73" Type="http://schemas.openxmlformats.org/officeDocument/2006/relationships/hyperlink" Target="https://babel.hathitrust.org/cgi/pt?id=uc1.l0053372421;view=1up;seq=467" TargetMode="External"/><Relationship Id="rId78" Type="http://schemas.openxmlformats.org/officeDocument/2006/relationships/hyperlink" Target="https://babel.hathitrust.org/cgi/pt?id=uc1.l0053372421;view=1up;seq=467" TargetMode="External"/><Relationship Id="rId81" Type="http://schemas.openxmlformats.org/officeDocument/2006/relationships/hyperlink" Target="https://babel.hathitrust.org/cgi/pt?id=uc1.l0053372421;view=1up;seq=467" TargetMode="External"/><Relationship Id="rId86" Type="http://schemas.openxmlformats.org/officeDocument/2006/relationships/hyperlink" Target="https://babel.hathitrust.org/cgi/pt?id=uc1.l0053372421;view=1up;seq=467" TargetMode="External"/><Relationship Id="rId94" Type="http://schemas.openxmlformats.org/officeDocument/2006/relationships/hyperlink" Target="https://babel.hathitrust.org/cgi/pt?id=uc1.l0053372421;view=1up;seq=467" TargetMode="External"/><Relationship Id="rId99" Type="http://schemas.openxmlformats.org/officeDocument/2006/relationships/hyperlink" Target="https://babel.hathitrust.org/cgi/pt?id=uc1.l0053372421;view=1up;seq=467" TargetMode="External"/><Relationship Id="rId101" Type="http://schemas.openxmlformats.org/officeDocument/2006/relationships/hyperlink" Target="https://babel.hathitrust.org/cgi/pt?id=uc1.l0053372421;view=1up;seq=471" TargetMode="External"/><Relationship Id="rId122" Type="http://schemas.openxmlformats.org/officeDocument/2006/relationships/hyperlink" Target="https://babel.hathitrust.org/cgi/pt?id=uc1.l0053372421;view=1up;seq=471" TargetMode="External"/><Relationship Id="rId130" Type="http://schemas.openxmlformats.org/officeDocument/2006/relationships/hyperlink" Target="https://babel.hathitrust.org/cgi/pt?id=uc1.l0053372421;view=1up;seq=471" TargetMode="External"/><Relationship Id="rId135" Type="http://schemas.openxmlformats.org/officeDocument/2006/relationships/hyperlink" Target="https://babel.hathitrust.org/cgi/pt?id=uc1.l0053372421;view=1up;seq=471" TargetMode="External"/><Relationship Id="rId143" Type="http://schemas.openxmlformats.org/officeDocument/2006/relationships/hyperlink" Target="https://babel.hathitrust.org/cgi/pt?id=uc1.l0053372421;view=1up;seq=471" TargetMode="External"/><Relationship Id="rId4" Type="http://schemas.openxmlformats.org/officeDocument/2006/relationships/hyperlink" Target="https://babel.hathitrust.org/cgi/pt?id=uc1.l0053372421;view=1up;seq=464" TargetMode="External"/><Relationship Id="rId9" Type="http://schemas.openxmlformats.org/officeDocument/2006/relationships/hyperlink" Target="https://babel.hathitrust.org/cgi/pt?id=uc1.l0053372421;view=1up;seq=464" TargetMode="External"/><Relationship Id="rId13" Type="http://schemas.openxmlformats.org/officeDocument/2006/relationships/hyperlink" Target="https://babel.hathitrust.org/cgi/pt?id=uc1.l0053372421;view=1up;seq=464" TargetMode="External"/><Relationship Id="rId18" Type="http://schemas.openxmlformats.org/officeDocument/2006/relationships/hyperlink" Target="https://babel.hathitrust.org/cgi/pt?id=uc1.l0053372421;view=1up;seq=464" TargetMode="External"/><Relationship Id="rId39" Type="http://schemas.openxmlformats.org/officeDocument/2006/relationships/hyperlink" Target="https://babel.hathitrust.org/cgi/pt?id=uc1.l0053372421;view=1up;seq=464" TargetMode="External"/><Relationship Id="rId109" Type="http://schemas.openxmlformats.org/officeDocument/2006/relationships/hyperlink" Target="https://babel.hathitrust.org/cgi/pt?id=uc1.l0053372421;view=1up;seq=471" TargetMode="External"/><Relationship Id="rId34" Type="http://schemas.openxmlformats.org/officeDocument/2006/relationships/hyperlink" Target="https://babel.hathitrust.org/cgi/pt?id=uc1.l0053372421;view=1up;seq=464" TargetMode="External"/><Relationship Id="rId50" Type="http://schemas.openxmlformats.org/officeDocument/2006/relationships/hyperlink" Target="https://babel.hathitrust.org/cgi/pt?id=uc1.l0053372421;view=1up;seq=464" TargetMode="External"/><Relationship Id="rId55" Type="http://schemas.openxmlformats.org/officeDocument/2006/relationships/hyperlink" Target="https://babel.hathitrust.org/cgi/pt?id=uc1.l0053372421;view=1up;seq=467" TargetMode="External"/><Relationship Id="rId76" Type="http://schemas.openxmlformats.org/officeDocument/2006/relationships/hyperlink" Target="https://babel.hathitrust.org/cgi/pt?id=uc1.l0053372421;view=1up;seq=467" TargetMode="External"/><Relationship Id="rId97" Type="http://schemas.openxmlformats.org/officeDocument/2006/relationships/hyperlink" Target="https://babel.hathitrust.org/cgi/pt?id=uc1.l0053372421;view=1up;seq=467" TargetMode="External"/><Relationship Id="rId104" Type="http://schemas.openxmlformats.org/officeDocument/2006/relationships/hyperlink" Target="https://babel.hathitrust.org/cgi/pt?id=uc1.l0053372421;view=1up;seq=471" TargetMode="External"/><Relationship Id="rId120" Type="http://schemas.openxmlformats.org/officeDocument/2006/relationships/hyperlink" Target="https://babel.hathitrust.org/cgi/pt?id=uc1.l0053372421;view=1up;seq=471" TargetMode="External"/><Relationship Id="rId125" Type="http://schemas.openxmlformats.org/officeDocument/2006/relationships/hyperlink" Target="https://babel.hathitrust.org/cgi/pt?id=uc1.l0053372421;view=1up;seq=471" TargetMode="External"/><Relationship Id="rId141" Type="http://schemas.openxmlformats.org/officeDocument/2006/relationships/hyperlink" Target="https://babel.hathitrust.org/cgi/pt?id=uc1.l0053372421;view=1up;seq=471" TargetMode="External"/><Relationship Id="rId146" Type="http://schemas.openxmlformats.org/officeDocument/2006/relationships/hyperlink" Target="https://babel.hathitrust.org/cgi/pt?id=uc1.l0053372421;view=1up;seq=471" TargetMode="External"/><Relationship Id="rId7" Type="http://schemas.openxmlformats.org/officeDocument/2006/relationships/hyperlink" Target="https://babel.hathitrust.org/cgi/pt?id=uc1.l0053372421;view=1up;seq=464" TargetMode="External"/><Relationship Id="rId71" Type="http://schemas.openxmlformats.org/officeDocument/2006/relationships/hyperlink" Target="https://babel.hathitrust.org/cgi/pt?id=uc1.l0053372421;view=1up;seq=467" TargetMode="External"/><Relationship Id="rId92" Type="http://schemas.openxmlformats.org/officeDocument/2006/relationships/hyperlink" Target="https://babel.hathitrust.org/cgi/pt?id=uc1.l0053372421;view=1up;seq=467" TargetMode="External"/><Relationship Id="rId2" Type="http://schemas.openxmlformats.org/officeDocument/2006/relationships/hyperlink" Target="https://babel.hathitrust.org/cgi/pt?id=uc1.l0053372421;view=1up;seq=467" TargetMode="External"/><Relationship Id="rId29" Type="http://schemas.openxmlformats.org/officeDocument/2006/relationships/hyperlink" Target="https://babel.hathitrust.org/cgi/pt?id=uc1.l0053372421;view=1up;seq=464" TargetMode="External"/><Relationship Id="rId24" Type="http://schemas.openxmlformats.org/officeDocument/2006/relationships/hyperlink" Target="https://babel.hathitrust.org/cgi/pt?id=uc1.l0053372421;view=1up;seq=464" TargetMode="External"/><Relationship Id="rId40" Type="http://schemas.openxmlformats.org/officeDocument/2006/relationships/hyperlink" Target="https://babel.hathitrust.org/cgi/pt?id=uc1.l0053372421;view=1up;seq=464" TargetMode="External"/><Relationship Id="rId45" Type="http://schemas.openxmlformats.org/officeDocument/2006/relationships/hyperlink" Target="https://babel.hathitrust.org/cgi/pt?id=uc1.l0053372421;view=1up;seq=464" TargetMode="External"/><Relationship Id="rId66" Type="http://schemas.openxmlformats.org/officeDocument/2006/relationships/hyperlink" Target="https://babel.hathitrust.org/cgi/pt?id=uc1.l0053372421;view=1up;seq=467" TargetMode="External"/><Relationship Id="rId87" Type="http://schemas.openxmlformats.org/officeDocument/2006/relationships/hyperlink" Target="https://babel.hathitrust.org/cgi/pt?id=uc1.l0053372421;view=1up;seq=467" TargetMode="External"/><Relationship Id="rId110" Type="http://schemas.openxmlformats.org/officeDocument/2006/relationships/hyperlink" Target="https://babel.hathitrust.org/cgi/pt?id=uc1.l0053372421;view=1up;seq=471" TargetMode="External"/><Relationship Id="rId115" Type="http://schemas.openxmlformats.org/officeDocument/2006/relationships/hyperlink" Target="https://babel.hathitrust.org/cgi/pt?id=uc1.l0053372421;view=1up;seq=471" TargetMode="External"/><Relationship Id="rId131" Type="http://schemas.openxmlformats.org/officeDocument/2006/relationships/hyperlink" Target="https://babel.hathitrust.org/cgi/pt?id=uc1.l0053372421;view=1up;seq=471" TargetMode="External"/><Relationship Id="rId136" Type="http://schemas.openxmlformats.org/officeDocument/2006/relationships/hyperlink" Target="https://babel.hathitrust.org/cgi/pt?id=uc1.l0053372421;view=1up;seq=471" TargetMode="External"/><Relationship Id="rId61" Type="http://schemas.openxmlformats.org/officeDocument/2006/relationships/hyperlink" Target="https://babel.hathitrust.org/cgi/pt?id=uc1.l0053372421;view=1up;seq=467" TargetMode="External"/><Relationship Id="rId82" Type="http://schemas.openxmlformats.org/officeDocument/2006/relationships/hyperlink" Target="https://babel.hathitrust.org/cgi/pt?id=uc1.l0053372421;view=1up;seq=467" TargetMode="External"/><Relationship Id="rId19" Type="http://schemas.openxmlformats.org/officeDocument/2006/relationships/hyperlink" Target="https://babel.hathitrust.org/cgi/pt?id=uc1.l0053372421;view=1up;seq=464" TargetMode="External"/><Relationship Id="rId14" Type="http://schemas.openxmlformats.org/officeDocument/2006/relationships/hyperlink" Target="https://babel.hathitrust.org/cgi/pt?id=uc1.l0053372421;view=1up;seq=464" TargetMode="External"/><Relationship Id="rId30" Type="http://schemas.openxmlformats.org/officeDocument/2006/relationships/hyperlink" Target="https://babel.hathitrust.org/cgi/pt?id=uc1.l0053372421;view=1up;seq=464" TargetMode="External"/><Relationship Id="rId35" Type="http://schemas.openxmlformats.org/officeDocument/2006/relationships/hyperlink" Target="https://babel.hathitrust.org/cgi/pt?id=uc1.l0053372421;view=1up;seq=464" TargetMode="External"/><Relationship Id="rId56" Type="http://schemas.openxmlformats.org/officeDocument/2006/relationships/hyperlink" Target="https://babel.hathitrust.org/cgi/pt?id=uc1.l0053372421;view=1up;seq=467" TargetMode="External"/><Relationship Id="rId77" Type="http://schemas.openxmlformats.org/officeDocument/2006/relationships/hyperlink" Target="https://babel.hathitrust.org/cgi/pt?id=uc1.l0053372421;view=1up;seq=467" TargetMode="External"/><Relationship Id="rId100" Type="http://schemas.openxmlformats.org/officeDocument/2006/relationships/hyperlink" Target="https://babel.hathitrust.org/cgi/pt?id=uc1.l0053372421;view=1up;seq=471" TargetMode="External"/><Relationship Id="rId105" Type="http://schemas.openxmlformats.org/officeDocument/2006/relationships/hyperlink" Target="https://babel.hathitrust.org/cgi/pt?id=uc1.l0053372421;view=1up;seq=471" TargetMode="External"/><Relationship Id="rId126" Type="http://schemas.openxmlformats.org/officeDocument/2006/relationships/hyperlink" Target="https://babel.hathitrust.org/cgi/pt?id=uc1.l0053372421;view=1up;seq=471" TargetMode="External"/><Relationship Id="rId147" Type="http://schemas.openxmlformats.org/officeDocument/2006/relationships/hyperlink" Target="https://babel.hathitrust.org/cgi/pt?id=uc1.l0053372421;view=1up;seq=471" TargetMode="External"/><Relationship Id="rId8" Type="http://schemas.openxmlformats.org/officeDocument/2006/relationships/hyperlink" Target="https://babel.hathitrust.org/cgi/pt?id=uc1.l0053372421;view=1up;seq=464" TargetMode="External"/><Relationship Id="rId51" Type="http://schemas.openxmlformats.org/officeDocument/2006/relationships/hyperlink" Target="https://babel.hathitrust.org/cgi/pt?id=uc1.l0053372421;view=1up;seq=464" TargetMode="External"/><Relationship Id="rId72" Type="http://schemas.openxmlformats.org/officeDocument/2006/relationships/hyperlink" Target="https://babel.hathitrust.org/cgi/pt?id=uc1.l0053372421;view=1up;seq=467" TargetMode="External"/><Relationship Id="rId93" Type="http://schemas.openxmlformats.org/officeDocument/2006/relationships/hyperlink" Target="https://babel.hathitrust.org/cgi/pt?id=uc1.l0053372421;view=1up;seq=467" TargetMode="External"/><Relationship Id="rId98" Type="http://schemas.openxmlformats.org/officeDocument/2006/relationships/hyperlink" Target="https://babel.hathitrust.org/cgi/pt?id=uc1.l0053372421;view=1up;seq=467" TargetMode="External"/><Relationship Id="rId121" Type="http://schemas.openxmlformats.org/officeDocument/2006/relationships/hyperlink" Target="https://babel.hathitrust.org/cgi/pt?id=uc1.l0053372421;view=1up;seq=471" TargetMode="External"/><Relationship Id="rId142" Type="http://schemas.openxmlformats.org/officeDocument/2006/relationships/hyperlink" Target="https://babel.hathitrust.org/cgi/pt?id=uc1.l0053372421;view=1up;seq=471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ia601502.us.archive.org/26/items/Bowen1928/Bowen%201928.pdf" TargetMode="External"/><Relationship Id="rId13" Type="http://schemas.openxmlformats.org/officeDocument/2006/relationships/hyperlink" Target="https://ia601502.us.archive.org/26/items/Bowen1928/Bowen%201928.pdf" TargetMode="External"/><Relationship Id="rId18" Type="http://schemas.openxmlformats.org/officeDocument/2006/relationships/hyperlink" Target="https://ia601502.us.archive.org/26/items/Bowen1928/Bowen%201928.pdf" TargetMode="External"/><Relationship Id="rId26" Type="http://schemas.openxmlformats.org/officeDocument/2006/relationships/hyperlink" Target="https://ia601502.us.archive.org/26/items/Bowen1928/Bowen%201928.pdf" TargetMode="External"/><Relationship Id="rId3" Type="http://schemas.openxmlformats.org/officeDocument/2006/relationships/hyperlink" Target="https://ia601502.us.archive.org/26/items/Bowen1928/Bowen%201928.pdf" TargetMode="External"/><Relationship Id="rId21" Type="http://schemas.openxmlformats.org/officeDocument/2006/relationships/hyperlink" Target="https://ia601502.us.archive.org/26/items/Bowen1928/Bowen%201928.pdf" TargetMode="External"/><Relationship Id="rId7" Type="http://schemas.openxmlformats.org/officeDocument/2006/relationships/hyperlink" Target="https://ia601502.us.archive.org/26/items/Bowen1928/Bowen%201928.pdf" TargetMode="External"/><Relationship Id="rId12" Type="http://schemas.openxmlformats.org/officeDocument/2006/relationships/hyperlink" Target="https://ia601502.us.archive.org/26/items/Bowen1928/Bowen%201928.pdf" TargetMode="External"/><Relationship Id="rId17" Type="http://schemas.openxmlformats.org/officeDocument/2006/relationships/hyperlink" Target="https://ia601502.us.archive.org/26/items/Bowen1928/Bowen%201928.pdf" TargetMode="External"/><Relationship Id="rId25" Type="http://schemas.openxmlformats.org/officeDocument/2006/relationships/hyperlink" Target="https://ia601502.us.archive.org/26/items/Bowen1928/Bowen%201928.pdf" TargetMode="External"/><Relationship Id="rId2" Type="http://schemas.openxmlformats.org/officeDocument/2006/relationships/hyperlink" Target="https://ia601502.us.archive.org/26/items/Bowen1928/Bowen%201928.pdf" TargetMode="External"/><Relationship Id="rId16" Type="http://schemas.openxmlformats.org/officeDocument/2006/relationships/hyperlink" Target="https://ia601502.us.archive.org/26/items/Bowen1928/Bowen%201928.pdf" TargetMode="External"/><Relationship Id="rId20" Type="http://schemas.openxmlformats.org/officeDocument/2006/relationships/hyperlink" Target="https://ia601502.us.archive.org/26/items/Bowen1928/Bowen%201928.pdf" TargetMode="External"/><Relationship Id="rId29" Type="http://schemas.openxmlformats.org/officeDocument/2006/relationships/hyperlink" Target="https://ia601502.us.archive.org/26/items/Bowen1928/Bowen%201928.pdf" TargetMode="External"/><Relationship Id="rId1" Type="http://schemas.openxmlformats.org/officeDocument/2006/relationships/hyperlink" Target="https://ia601502.us.archive.org/26/items/Bowen1928/Bowen%201928.pdf" TargetMode="External"/><Relationship Id="rId6" Type="http://schemas.openxmlformats.org/officeDocument/2006/relationships/hyperlink" Target="https://ia601502.us.archive.org/26/items/Bowen1928/Bowen%201928.pdf" TargetMode="External"/><Relationship Id="rId11" Type="http://schemas.openxmlformats.org/officeDocument/2006/relationships/hyperlink" Target="https://ia601502.us.archive.org/26/items/Bowen1928/Bowen%201928.pdf" TargetMode="External"/><Relationship Id="rId24" Type="http://schemas.openxmlformats.org/officeDocument/2006/relationships/hyperlink" Target="https://ia601502.us.archive.org/26/items/Bowen1928/Bowen%201928.pdf" TargetMode="External"/><Relationship Id="rId32" Type="http://schemas.openxmlformats.org/officeDocument/2006/relationships/hyperlink" Target="https://ia601502.us.archive.org/26/items/Bowen1928/Bowen%201928.pdf" TargetMode="External"/><Relationship Id="rId5" Type="http://schemas.openxmlformats.org/officeDocument/2006/relationships/hyperlink" Target="https://ia601502.us.archive.org/26/items/Bowen1928/Bowen%201928.pdf" TargetMode="External"/><Relationship Id="rId15" Type="http://schemas.openxmlformats.org/officeDocument/2006/relationships/hyperlink" Target="https://ia601502.us.archive.org/26/items/Bowen1928/Bowen%201928.pdf" TargetMode="External"/><Relationship Id="rId23" Type="http://schemas.openxmlformats.org/officeDocument/2006/relationships/hyperlink" Target="https://ia601502.us.archive.org/26/items/Bowen1928/Bowen%201928.pdf" TargetMode="External"/><Relationship Id="rId28" Type="http://schemas.openxmlformats.org/officeDocument/2006/relationships/hyperlink" Target="https://ia601502.us.archive.org/26/items/Bowen1928/Bowen%201928.pdf" TargetMode="External"/><Relationship Id="rId10" Type="http://schemas.openxmlformats.org/officeDocument/2006/relationships/hyperlink" Target="https://ia601502.us.archive.org/26/items/Bowen1928/Bowen%201928.pdf" TargetMode="External"/><Relationship Id="rId19" Type="http://schemas.openxmlformats.org/officeDocument/2006/relationships/hyperlink" Target="https://ia601502.us.archive.org/26/items/Bowen1928/Bowen%201928.pdf" TargetMode="External"/><Relationship Id="rId31" Type="http://schemas.openxmlformats.org/officeDocument/2006/relationships/hyperlink" Target="https://ia601502.us.archive.org/26/items/Bowen1928/Bowen%201928.pdf" TargetMode="External"/><Relationship Id="rId4" Type="http://schemas.openxmlformats.org/officeDocument/2006/relationships/hyperlink" Target="https://ia601502.us.archive.org/26/items/Bowen1928/Bowen%201928.pdf" TargetMode="External"/><Relationship Id="rId9" Type="http://schemas.openxmlformats.org/officeDocument/2006/relationships/hyperlink" Target="https://ia601502.us.archive.org/26/items/Bowen1928/Bowen%201928.pdf" TargetMode="External"/><Relationship Id="rId14" Type="http://schemas.openxmlformats.org/officeDocument/2006/relationships/hyperlink" Target="https://ia601502.us.archive.org/26/items/Bowen1928/Bowen%201928.pdf" TargetMode="External"/><Relationship Id="rId22" Type="http://schemas.openxmlformats.org/officeDocument/2006/relationships/hyperlink" Target="https://ia601502.us.archive.org/26/items/Bowen1928/Bowen%201928.pdf" TargetMode="External"/><Relationship Id="rId27" Type="http://schemas.openxmlformats.org/officeDocument/2006/relationships/hyperlink" Target="https://ia601502.us.archive.org/26/items/Bowen1928/Bowen%201928.pdf" TargetMode="External"/><Relationship Id="rId30" Type="http://schemas.openxmlformats.org/officeDocument/2006/relationships/hyperlink" Target="https://ia601502.us.archive.org/26/items/Bowen1928/Bowen%201928.pdf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://hdl.handle.net/2027/mdp.39015049037735?urlappend=%3Bseq=140" TargetMode="External"/><Relationship Id="rId21" Type="http://schemas.openxmlformats.org/officeDocument/2006/relationships/hyperlink" Target="http://hdl.handle.net/2027/mdp.39015049037735?urlappend=%3Bseq=139" TargetMode="External"/><Relationship Id="rId42" Type="http://schemas.openxmlformats.org/officeDocument/2006/relationships/hyperlink" Target="http://hdl.handle.net/2027/mdp.39015049037735?urlappend=%3Bseq=140" TargetMode="External"/><Relationship Id="rId63" Type="http://schemas.openxmlformats.org/officeDocument/2006/relationships/hyperlink" Target="http://hdl.handle.net/2027/mdp.39015049037735?urlappend=%3Bseq=141" TargetMode="External"/><Relationship Id="rId84" Type="http://schemas.openxmlformats.org/officeDocument/2006/relationships/hyperlink" Target="http://hdl.handle.net/2027/mdp.39015049037735?urlappend=%3Bseq=139" TargetMode="External"/><Relationship Id="rId138" Type="http://schemas.openxmlformats.org/officeDocument/2006/relationships/hyperlink" Target="http://hdl.handle.net/2027/mdp.39015049037735?urlappend=%3Bseq=138" TargetMode="External"/><Relationship Id="rId159" Type="http://schemas.openxmlformats.org/officeDocument/2006/relationships/hyperlink" Target="http://hdl.handle.net/2027/mdp.39015049037735?urlappend=%3Bseq=139" TargetMode="External"/><Relationship Id="rId170" Type="http://schemas.openxmlformats.org/officeDocument/2006/relationships/hyperlink" Target="http://hdl.handle.net/2027/mdp.39015049037735?urlappend=%3Bseq=139" TargetMode="External"/><Relationship Id="rId191" Type="http://schemas.openxmlformats.org/officeDocument/2006/relationships/hyperlink" Target="http://hdl.handle.net/2027/mdp.39015049037735?urlappend=%3Bseq=141" TargetMode="External"/><Relationship Id="rId205" Type="http://schemas.openxmlformats.org/officeDocument/2006/relationships/hyperlink" Target="http://hdl.handle.net/2027/mdp.39015049037735?urlappend=%3Bseq=162" TargetMode="External"/><Relationship Id="rId107" Type="http://schemas.openxmlformats.org/officeDocument/2006/relationships/hyperlink" Target="http://hdl.handle.net/2027/mdp.39015049037735?urlappend=%3Bseq=139" TargetMode="External"/><Relationship Id="rId11" Type="http://schemas.openxmlformats.org/officeDocument/2006/relationships/hyperlink" Target="http://hdl.handle.net/2027/mdp.39015049037735?urlappend=%3Bseq=138" TargetMode="External"/><Relationship Id="rId32" Type="http://schemas.openxmlformats.org/officeDocument/2006/relationships/hyperlink" Target="http://hdl.handle.net/2027/mdp.39015049037735?urlappend=%3Bseq=139" TargetMode="External"/><Relationship Id="rId37" Type="http://schemas.openxmlformats.org/officeDocument/2006/relationships/hyperlink" Target="http://hdl.handle.net/2027/mdp.39015049037735?urlappend=%3Bseq=139" TargetMode="External"/><Relationship Id="rId53" Type="http://schemas.openxmlformats.org/officeDocument/2006/relationships/hyperlink" Target="http://hdl.handle.net/2027/mdp.39015049037735?urlappend=%3Bseq=140" TargetMode="External"/><Relationship Id="rId58" Type="http://schemas.openxmlformats.org/officeDocument/2006/relationships/hyperlink" Target="http://hdl.handle.net/2027/mdp.39015049037735?urlappend=%3Bseq=141" TargetMode="External"/><Relationship Id="rId74" Type="http://schemas.openxmlformats.org/officeDocument/2006/relationships/hyperlink" Target="http://hdl.handle.net/2027/mdp.39015049037735?urlappend=%3Bseq=138" TargetMode="External"/><Relationship Id="rId79" Type="http://schemas.openxmlformats.org/officeDocument/2006/relationships/hyperlink" Target="http://hdl.handle.net/2027/mdp.39015049037735?urlappend=%3Bseq=138" TargetMode="External"/><Relationship Id="rId102" Type="http://schemas.openxmlformats.org/officeDocument/2006/relationships/hyperlink" Target="http://hdl.handle.net/2027/mdp.39015049037735?urlappend=%3Bseq=139" TargetMode="External"/><Relationship Id="rId123" Type="http://schemas.openxmlformats.org/officeDocument/2006/relationships/hyperlink" Target="http://hdl.handle.net/2027/mdp.39015049037735?urlappend=%3Bseq=141" TargetMode="External"/><Relationship Id="rId128" Type="http://schemas.openxmlformats.org/officeDocument/2006/relationships/hyperlink" Target="http://hdl.handle.net/2027/mdp.39015049037735?urlappend=%3Bseq=141" TargetMode="External"/><Relationship Id="rId144" Type="http://schemas.openxmlformats.org/officeDocument/2006/relationships/hyperlink" Target="http://hdl.handle.net/2027/mdp.39015049037735?urlappend=%3Bseq=138" TargetMode="External"/><Relationship Id="rId149" Type="http://schemas.openxmlformats.org/officeDocument/2006/relationships/hyperlink" Target="http://hdl.handle.net/2027/mdp.39015049037735?urlappend=%3Bseq=139" TargetMode="External"/><Relationship Id="rId5" Type="http://schemas.openxmlformats.org/officeDocument/2006/relationships/hyperlink" Target="http://hdl.handle.net/2027/mdp.39015049037735?urlappend=%3Bseq=138" TargetMode="External"/><Relationship Id="rId90" Type="http://schemas.openxmlformats.org/officeDocument/2006/relationships/hyperlink" Target="http://hdl.handle.net/2027/mdp.39015049037735?urlappend=%3Bseq=139" TargetMode="External"/><Relationship Id="rId95" Type="http://schemas.openxmlformats.org/officeDocument/2006/relationships/hyperlink" Target="http://hdl.handle.net/2027/mdp.39015049037735?urlappend=%3Bseq=139" TargetMode="External"/><Relationship Id="rId160" Type="http://schemas.openxmlformats.org/officeDocument/2006/relationships/hyperlink" Target="http://hdl.handle.net/2027/mdp.39015049037735?urlappend=%3Bseq=139" TargetMode="External"/><Relationship Id="rId165" Type="http://schemas.openxmlformats.org/officeDocument/2006/relationships/hyperlink" Target="http://hdl.handle.net/2027/mdp.39015049037735?urlappend=%3Bseq=139" TargetMode="External"/><Relationship Id="rId181" Type="http://schemas.openxmlformats.org/officeDocument/2006/relationships/hyperlink" Target="http://hdl.handle.net/2027/mdp.39015049037735?urlappend=%3Bseq=140" TargetMode="External"/><Relationship Id="rId186" Type="http://schemas.openxmlformats.org/officeDocument/2006/relationships/hyperlink" Target="http://hdl.handle.net/2027/mdp.39015049037735?urlappend=%3Bseq=140" TargetMode="External"/><Relationship Id="rId211" Type="http://schemas.openxmlformats.org/officeDocument/2006/relationships/hyperlink" Target="https://archive.org/download/SOPIK1905/1905.pdf" TargetMode="External"/><Relationship Id="rId22" Type="http://schemas.openxmlformats.org/officeDocument/2006/relationships/hyperlink" Target="http://hdl.handle.net/2027/mdp.39015049037735?urlappend=%3Bseq=139" TargetMode="External"/><Relationship Id="rId27" Type="http://schemas.openxmlformats.org/officeDocument/2006/relationships/hyperlink" Target="http://hdl.handle.net/2027/mdp.39015049037735?urlappend=%3Bseq=139" TargetMode="External"/><Relationship Id="rId43" Type="http://schemas.openxmlformats.org/officeDocument/2006/relationships/hyperlink" Target="http://hdl.handle.net/2027/mdp.39015049037735?urlappend=%3Bseq=140" TargetMode="External"/><Relationship Id="rId48" Type="http://schemas.openxmlformats.org/officeDocument/2006/relationships/hyperlink" Target="http://hdl.handle.net/2027/mdp.39015049037735?urlappend=%3Bseq=140" TargetMode="External"/><Relationship Id="rId64" Type="http://schemas.openxmlformats.org/officeDocument/2006/relationships/hyperlink" Target="http://hdl.handle.net/2027/mdp.39015049037735?urlappend=%3Bseq=141" TargetMode="External"/><Relationship Id="rId69" Type="http://schemas.openxmlformats.org/officeDocument/2006/relationships/hyperlink" Target="http://hdl.handle.net/2027/mdp.39015049037735?urlappend=%3Bseq=138" TargetMode="External"/><Relationship Id="rId113" Type="http://schemas.openxmlformats.org/officeDocument/2006/relationships/hyperlink" Target="http://hdl.handle.net/2027/mdp.39015049037735?urlappend=%3Bseq=140" TargetMode="External"/><Relationship Id="rId118" Type="http://schemas.openxmlformats.org/officeDocument/2006/relationships/hyperlink" Target="http://hdl.handle.net/2027/mdp.39015049037735?urlappend=%3Bseq=140" TargetMode="External"/><Relationship Id="rId134" Type="http://schemas.openxmlformats.org/officeDocument/2006/relationships/hyperlink" Target="http://hdl.handle.net/2027/mdp.39015049037735?urlappend=%3Bseq=141" TargetMode="External"/><Relationship Id="rId139" Type="http://schemas.openxmlformats.org/officeDocument/2006/relationships/hyperlink" Target="http://hdl.handle.net/2027/mdp.39015049037735?urlappend=%3Bseq=138" TargetMode="External"/><Relationship Id="rId80" Type="http://schemas.openxmlformats.org/officeDocument/2006/relationships/hyperlink" Target="http://hdl.handle.net/2027/mdp.39015049037735?urlappend=%3Bseq=138" TargetMode="External"/><Relationship Id="rId85" Type="http://schemas.openxmlformats.org/officeDocument/2006/relationships/hyperlink" Target="http://hdl.handle.net/2027/mdp.39015049037735?urlappend=%3Bseq=139" TargetMode="External"/><Relationship Id="rId150" Type="http://schemas.openxmlformats.org/officeDocument/2006/relationships/hyperlink" Target="http://hdl.handle.net/2027/mdp.39015049037735?urlappend=%3Bseq=139" TargetMode="External"/><Relationship Id="rId155" Type="http://schemas.openxmlformats.org/officeDocument/2006/relationships/hyperlink" Target="http://hdl.handle.net/2027/mdp.39015049037735?urlappend=%3Bseq=139" TargetMode="External"/><Relationship Id="rId171" Type="http://schemas.openxmlformats.org/officeDocument/2006/relationships/hyperlink" Target="http://hdl.handle.net/2027/mdp.39015049037735?urlappend=%3Bseq=139" TargetMode="External"/><Relationship Id="rId176" Type="http://schemas.openxmlformats.org/officeDocument/2006/relationships/hyperlink" Target="http://hdl.handle.net/2027/mdp.39015049037735?urlappend=%3Bseq=140" TargetMode="External"/><Relationship Id="rId192" Type="http://schemas.openxmlformats.org/officeDocument/2006/relationships/hyperlink" Target="http://hdl.handle.net/2027/mdp.39015049037735?urlappend=%3Bseq=141" TargetMode="External"/><Relationship Id="rId197" Type="http://schemas.openxmlformats.org/officeDocument/2006/relationships/hyperlink" Target="http://hdl.handle.net/2027/mdp.39015049037735?urlappend=%3Bseq=141" TargetMode="External"/><Relationship Id="rId206" Type="http://schemas.openxmlformats.org/officeDocument/2006/relationships/hyperlink" Target="https://archive.org/download/SOPIK1905/1905.pdf" TargetMode="External"/><Relationship Id="rId201" Type="http://schemas.openxmlformats.org/officeDocument/2006/relationships/hyperlink" Target="http://hdl.handle.net/2027/mdp.39015049037735?urlappend=%3Bseq=141" TargetMode="External"/><Relationship Id="rId12" Type="http://schemas.openxmlformats.org/officeDocument/2006/relationships/hyperlink" Target="http://hdl.handle.net/2027/mdp.39015049037735?urlappend=%3Bseq=138" TargetMode="External"/><Relationship Id="rId17" Type="http://schemas.openxmlformats.org/officeDocument/2006/relationships/hyperlink" Target="http://hdl.handle.net/2027/mdp.39015049037735?urlappend=%3Bseq=139" TargetMode="External"/><Relationship Id="rId33" Type="http://schemas.openxmlformats.org/officeDocument/2006/relationships/hyperlink" Target="http://hdl.handle.net/2027/mdp.39015049037735?urlappend=%3Bseq=139" TargetMode="External"/><Relationship Id="rId38" Type="http://schemas.openxmlformats.org/officeDocument/2006/relationships/hyperlink" Target="http://hdl.handle.net/2027/mdp.39015049037735?urlappend=%3Bseq=139" TargetMode="External"/><Relationship Id="rId59" Type="http://schemas.openxmlformats.org/officeDocument/2006/relationships/hyperlink" Target="http://hdl.handle.net/2027/mdp.39015049037735?urlappend=%3Bseq=141" TargetMode="External"/><Relationship Id="rId103" Type="http://schemas.openxmlformats.org/officeDocument/2006/relationships/hyperlink" Target="http://hdl.handle.net/2027/mdp.39015049037735?urlappend=%3Bseq=139" TargetMode="External"/><Relationship Id="rId108" Type="http://schemas.openxmlformats.org/officeDocument/2006/relationships/hyperlink" Target="http://hdl.handle.net/2027/mdp.39015049037735?urlappend=%3Bseq=140" TargetMode="External"/><Relationship Id="rId124" Type="http://schemas.openxmlformats.org/officeDocument/2006/relationships/hyperlink" Target="http://hdl.handle.net/2027/mdp.39015049037735?urlappend=%3Bseq=141" TargetMode="External"/><Relationship Id="rId129" Type="http://schemas.openxmlformats.org/officeDocument/2006/relationships/hyperlink" Target="http://hdl.handle.net/2027/mdp.39015049037735?urlappend=%3Bseq=141" TargetMode="External"/><Relationship Id="rId54" Type="http://schemas.openxmlformats.org/officeDocument/2006/relationships/hyperlink" Target="http://hdl.handle.net/2027/mdp.39015049037735?urlappend=%3Bseq=140" TargetMode="External"/><Relationship Id="rId70" Type="http://schemas.openxmlformats.org/officeDocument/2006/relationships/hyperlink" Target="http://hdl.handle.net/2027/mdp.39015049037735?urlappend=%3Bseq=138" TargetMode="External"/><Relationship Id="rId75" Type="http://schemas.openxmlformats.org/officeDocument/2006/relationships/hyperlink" Target="http://hdl.handle.net/2027/mdp.39015049037735?urlappend=%3Bseq=138" TargetMode="External"/><Relationship Id="rId91" Type="http://schemas.openxmlformats.org/officeDocument/2006/relationships/hyperlink" Target="http://hdl.handle.net/2027/mdp.39015049037735?urlappend=%3Bseq=139" TargetMode="External"/><Relationship Id="rId96" Type="http://schemas.openxmlformats.org/officeDocument/2006/relationships/hyperlink" Target="http://hdl.handle.net/2027/mdp.39015049037735?urlappend=%3Bseq=139" TargetMode="External"/><Relationship Id="rId140" Type="http://schemas.openxmlformats.org/officeDocument/2006/relationships/hyperlink" Target="http://hdl.handle.net/2027/mdp.39015049037735?urlappend=%3Bseq=138" TargetMode="External"/><Relationship Id="rId145" Type="http://schemas.openxmlformats.org/officeDocument/2006/relationships/hyperlink" Target="http://hdl.handle.net/2027/mdp.39015049037735?urlappend=%3Bseq=138" TargetMode="External"/><Relationship Id="rId161" Type="http://schemas.openxmlformats.org/officeDocument/2006/relationships/hyperlink" Target="http://hdl.handle.net/2027/mdp.39015049037735?urlappend=%3Bseq=139" TargetMode="External"/><Relationship Id="rId166" Type="http://schemas.openxmlformats.org/officeDocument/2006/relationships/hyperlink" Target="http://hdl.handle.net/2027/mdp.39015049037735?urlappend=%3Bseq=139" TargetMode="External"/><Relationship Id="rId182" Type="http://schemas.openxmlformats.org/officeDocument/2006/relationships/hyperlink" Target="http://hdl.handle.net/2027/mdp.39015049037735?urlappend=%3Bseq=140" TargetMode="External"/><Relationship Id="rId187" Type="http://schemas.openxmlformats.org/officeDocument/2006/relationships/hyperlink" Target="http://hdl.handle.net/2027/mdp.39015049037735?urlappend=%3Bseq=140" TargetMode="External"/><Relationship Id="rId1" Type="http://schemas.openxmlformats.org/officeDocument/2006/relationships/hyperlink" Target="http://hdl.handle.net/2027/mdp.39015049037735?urlappend=%3Bseq=138" TargetMode="External"/><Relationship Id="rId6" Type="http://schemas.openxmlformats.org/officeDocument/2006/relationships/hyperlink" Target="http://hdl.handle.net/2027/mdp.39015049037735?urlappend=%3Bseq=138" TargetMode="External"/><Relationship Id="rId212" Type="http://schemas.openxmlformats.org/officeDocument/2006/relationships/hyperlink" Target="https://archive.org/download/SOPIK1905/1905.pdf" TargetMode="External"/><Relationship Id="rId23" Type="http://schemas.openxmlformats.org/officeDocument/2006/relationships/hyperlink" Target="http://hdl.handle.net/2027/mdp.39015049037735?urlappend=%3Bseq=139" TargetMode="External"/><Relationship Id="rId28" Type="http://schemas.openxmlformats.org/officeDocument/2006/relationships/hyperlink" Target="http://hdl.handle.net/2027/mdp.39015049037735?urlappend=%3Bseq=139" TargetMode="External"/><Relationship Id="rId49" Type="http://schemas.openxmlformats.org/officeDocument/2006/relationships/hyperlink" Target="http://hdl.handle.net/2027/mdp.39015049037735?urlappend=%3Bseq=140" TargetMode="External"/><Relationship Id="rId114" Type="http://schemas.openxmlformats.org/officeDocument/2006/relationships/hyperlink" Target="http://hdl.handle.net/2027/mdp.39015049037735?urlappend=%3Bseq=140" TargetMode="External"/><Relationship Id="rId119" Type="http://schemas.openxmlformats.org/officeDocument/2006/relationships/hyperlink" Target="http://hdl.handle.net/2027/mdp.39015049037735?urlappend=%3Bseq=140" TargetMode="External"/><Relationship Id="rId44" Type="http://schemas.openxmlformats.org/officeDocument/2006/relationships/hyperlink" Target="http://hdl.handle.net/2027/mdp.39015049037735?urlappend=%3Bseq=140" TargetMode="External"/><Relationship Id="rId60" Type="http://schemas.openxmlformats.org/officeDocument/2006/relationships/hyperlink" Target="http://hdl.handle.net/2027/mdp.39015049037735?urlappend=%3Bseq=141" TargetMode="External"/><Relationship Id="rId65" Type="http://schemas.openxmlformats.org/officeDocument/2006/relationships/hyperlink" Target="http://hdl.handle.net/2027/mdp.39015049037735?urlappend=%3Bseq=141" TargetMode="External"/><Relationship Id="rId81" Type="http://schemas.openxmlformats.org/officeDocument/2006/relationships/hyperlink" Target="http://hdl.handle.net/2027/mdp.39015049037735?urlappend=%3Bseq=139" TargetMode="External"/><Relationship Id="rId86" Type="http://schemas.openxmlformats.org/officeDocument/2006/relationships/hyperlink" Target="http://hdl.handle.net/2027/mdp.39015049037735?urlappend=%3Bseq=139" TargetMode="External"/><Relationship Id="rId130" Type="http://schemas.openxmlformats.org/officeDocument/2006/relationships/hyperlink" Target="http://hdl.handle.net/2027/mdp.39015049037735?urlappend=%3Bseq=141" TargetMode="External"/><Relationship Id="rId135" Type="http://schemas.openxmlformats.org/officeDocument/2006/relationships/hyperlink" Target="http://hdl.handle.net/2027/mdp.39015049037735?urlappend=%3Bseq=138" TargetMode="External"/><Relationship Id="rId151" Type="http://schemas.openxmlformats.org/officeDocument/2006/relationships/hyperlink" Target="http://hdl.handle.net/2027/mdp.39015049037735?urlappend=%3Bseq=139" TargetMode="External"/><Relationship Id="rId156" Type="http://schemas.openxmlformats.org/officeDocument/2006/relationships/hyperlink" Target="http://hdl.handle.net/2027/mdp.39015049037735?urlappend=%3Bseq=139" TargetMode="External"/><Relationship Id="rId177" Type="http://schemas.openxmlformats.org/officeDocument/2006/relationships/hyperlink" Target="http://hdl.handle.net/2027/mdp.39015049037735?urlappend=%3Bseq=140" TargetMode="External"/><Relationship Id="rId198" Type="http://schemas.openxmlformats.org/officeDocument/2006/relationships/hyperlink" Target="http://hdl.handle.net/2027/mdp.39015049037735?urlappend=%3Bseq=141" TargetMode="External"/><Relationship Id="rId172" Type="http://schemas.openxmlformats.org/officeDocument/2006/relationships/hyperlink" Target="http://hdl.handle.net/2027/mdp.39015049037735?urlappend=%3Bseq=139" TargetMode="External"/><Relationship Id="rId193" Type="http://schemas.openxmlformats.org/officeDocument/2006/relationships/hyperlink" Target="http://hdl.handle.net/2027/mdp.39015049037735?urlappend=%3Bseq=141" TargetMode="External"/><Relationship Id="rId202" Type="http://schemas.openxmlformats.org/officeDocument/2006/relationships/hyperlink" Target="https://babel.hathitrust.org/cgi/pt?id=mdp.39015049037743;view=1up;seq=165" TargetMode="External"/><Relationship Id="rId207" Type="http://schemas.openxmlformats.org/officeDocument/2006/relationships/hyperlink" Target="https://archive.org/download/SOPIK1905/1905.pdf" TargetMode="External"/><Relationship Id="rId13" Type="http://schemas.openxmlformats.org/officeDocument/2006/relationships/hyperlink" Target="http://hdl.handle.net/2027/mdp.39015049037735?urlappend=%3Bseq=138" TargetMode="External"/><Relationship Id="rId18" Type="http://schemas.openxmlformats.org/officeDocument/2006/relationships/hyperlink" Target="http://hdl.handle.net/2027/mdp.39015049037735?urlappend=%3Bseq=139" TargetMode="External"/><Relationship Id="rId39" Type="http://schemas.openxmlformats.org/officeDocument/2006/relationships/hyperlink" Target="http://hdl.handle.net/2027/mdp.39015049037735?urlappend=%3Bseq=139" TargetMode="External"/><Relationship Id="rId109" Type="http://schemas.openxmlformats.org/officeDocument/2006/relationships/hyperlink" Target="http://hdl.handle.net/2027/mdp.39015049037735?urlappend=%3Bseq=140" TargetMode="External"/><Relationship Id="rId34" Type="http://schemas.openxmlformats.org/officeDocument/2006/relationships/hyperlink" Target="http://hdl.handle.net/2027/mdp.39015049037735?urlappend=%3Bseq=139" TargetMode="External"/><Relationship Id="rId50" Type="http://schemas.openxmlformats.org/officeDocument/2006/relationships/hyperlink" Target="http://hdl.handle.net/2027/mdp.39015049037735?urlappend=%3Bseq=140" TargetMode="External"/><Relationship Id="rId55" Type="http://schemas.openxmlformats.org/officeDocument/2006/relationships/hyperlink" Target="http://hdl.handle.net/2027/mdp.39015049037735?urlappend=%3Bseq=141" TargetMode="External"/><Relationship Id="rId76" Type="http://schemas.openxmlformats.org/officeDocument/2006/relationships/hyperlink" Target="http://hdl.handle.net/2027/mdp.39015049037735?urlappend=%3Bseq=138" TargetMode="External"/><Relationship Id="rId97" Type="http://schemas.openxmlformats.org/officeDocument/2006/relationships/hyperlink" Target="http://hdl.handle.net/2027/mdp.39015049037735?urlappend=%3Bseq=139" TargetMode="External"/><Relationship Id="rId104" Type="http://schemas.openxmlformats.org/officeDocument/2006/relationships/hyperlink" Target="http://hdl.handle.net/2027/mdp.39015049037735?urlappend=%3Bseq=139" TargetMode="External"/><Relationship Id="rId120" Type="http://schemas.openxmlformats.org/officeDocument/2006/relationships/hyperlink" Target="http://hdl.handle.net/2027/mdp.39015049037735?urlappend=%3Bseq=140" TargetMode="External"/><Relationship Id="rId125" Type="http://schemas.openxmlformats.org/officeDocument/2006/relationships/hyperlink" Target="http://hdl.handle.net/2027/mdp.39015049037735?urlappend=%3Bseq=141" TargetMode="External"/><Relationship Id="rId141" Type="http://schemas.openxmlformats.org/officeDocument/2006/relationships/hyperlink" Target="http://hdl.handle.net/2027/mdp.39015049037735?urlappend=%3Bseq=138" TargetMode="External"/><Relationship Id="rId146" Type="http://schemas.openxmlformats.org/officeDocument/2006/relationships/hyperlink" Target="http://hdl.handle.net/2027/mdp.39015049037735?urlappend=%3Bseq=138" TargetMode="External"/><Relationship Id="rId167" Type="http://schemas.openxmlformats.org/officeDocument/2006/relationships/hyperlink" Target="http://hdl.handle.net/2027/mdp.39015049037735?urlappend=%3Bseq=139" TargetMode="External"/><Relationship Id="rId188" Type="http://schemas.openxmlformats.org/officeDocument/2006/relationships/hyperlink" Target="http://hdl.handle.net/2027/mdp.39015049037735?urlappend=%3Bseq=140" TargetMode="External"/><Relationship Id="rId7" Type="http://schemas.openxmlformats.org/officeDocument/2006/relationships/hyperlink" Target="http://hdl.handle.net/2027/mdp.39015049037735?urlappend=%3Bseq=138" TargetMode="External"/><Relationship Id="rId71" Type="http://schemas.openxmlformats.org/officeDocument/2006/relationships/hyperlink" Target="http://hdl.handle.net/2027/mdp.39015049037735?urlappend=%3Bseq=138" TargetMode="External"/><Relationship Id="rId92" Type="http://schemas.openxmlformats.org/officeDocument/2006/relationships/hyperlink" Target="http://hdl.handle.net/2027/mdp.39015049037735?urlappend=%3Bseq=139" TargetMode="External"/><Relationship Id="rId162" Type="http://schemas.openxmlformats.org/officeDocument/2006/relationships/hyperlink" Target="http://hdl.handle.net/2027/mdp.39015049037735?urlappend=%3Bseq=139" TargetMode="External"/><Relationship Id="rId183" Type="http://schemas.openxmlformats.org/officeDocument/2006/relationships/hyperlink" Target="http://hdl.handle.net/2027/mdp.39015049037735?urlappend=%3Bseq=140" TargetMode="External"/><Relationship Id="rId213" Type="http://schemas.openxmlformats.org/officeDocument/2006/relationships/vmlDrawing" Target="../drawings/vmlDrawing1.vml"/><Relationship Id="rId2" Type="http://schemas.openxmlformats.org/officeDocument/2006/relationships/hyperlink" Target="http://hdl.handle.net/2027/mdp.39015049037735?urlappend=%3Bseq=138" TargetMode="External"/><Relationship Id="rId29" Type="http://schemas.openxmlformats.org/officeDocument/2006/relationships/hyperlink" Target="http://hdl.handle.net/2027/mdp.39015049037735?urlappend=%3Bseq=139" TargetMode="External"/><Relationship Id="rId24" Type="http://schemas.openxmlformats.org/officeDocument/2006/relationships/hyperlink" Target="http://hdl.handle.net/2027/mdp.39015049037735?urlappend=%3Bseq=139" TargetMode="External"/><Relationship Id="rId40" Type="http://schemas.openxmlformats.org/officeDocument/2006/relationships/hyperlink" Target="http://hdl.handle.net/2027/mdp.39015049037735?urlappend=%3Bseq=139" TargetMode="External"/><Relationship Id="rId45" Type="http://schemas.openxmlformats.org/officeDocument/2006/relationships/hyperlink" Target="http://hdl.handle.net/2027/mdp.39015049037735?urlappend=%3Bseq=140" TargetMode="External"/><Relationship Id="rId66" Type="http://schemas.openxmlformats.org/officeDocument/2006/relationships/hyperlink" Target="http://hdl.handle.net/2027/mdp.39015049037735?urlappend=%3Bseq=141" TargetMode="External"/><Relationship Id="rId87" Type="http://schemas.openxmlformats.org/officeDocument/2006/relationships/hyperlink" Target="http://hdl.handle.net/2027/mdp.39015049037735?urlappend=%3Bseq=139" TargetMode="External"/><Relationship Id="rId110" Type="http://schemas.openxmlformats.org/officeDocument/2006/relationships/hyperlink" Target="http://hdl.handle.net/2027/mdp.39015049037735?urlappend=%3Bseq=140" TargetMode="External"/><Relationship Id="rId115" Type="http://schemas.openxmlformats.org/officeDocument/2006/relationships/hyperlink" Target="http://hdl.handle.net/2027/mdp.39015049037735?urlappend=%3Bseq=140" TargetMode="External"/><Relationship Id="rId131" Type="http://schemas.openxmlformats.org/officeDocument/2006/relationships/hyperlink" Target="http://hdl.handle.net/2027/mdp.39015049037735?urlappend=%3Bseq=141" TargetMode="External"/><Relationship Id="rId136" Type="http://schemas.openxmlformats.org/officeDocument/2006/relationships/hyperlink" Target="http://hdl.handle.net/2027/mdp.39015049037735?urlappend=%3Bseq=138" TargetMode="External"/><Relationship Id="rId157" Type="http://schemas.openxmlformats.org/officeDocument/2006/relationships/hyperlink" Target="http://hdl.handle.net/2027/mdp.39015049037735?urlappend=%3Bseq=139" TargetMode="External"/><Relationship Id="rId178" Type="http://schemas.openxmlformats.org/officeDocument/2006/relationships/hyperlink" Target="http://hdl.handle.net/2027/mdp.39015049037735?urlappend=%3Bseq=140" TargetMode="External"/><Relationship Id="rId61" Type="http://schemas.openxmlformats.org/officeDocument/2006/relationships/hyperlink" Target="http://hdl.handle.net/2027/mdp.39015049037735?urlappend=%3Bseq=141" TargetMode="External"/><Relationship Id="rId82" Type="http://schemas.openxmlformats.org/officeDocument/2006/relationships/hyperlink" Target="http://hdl.handle.net/2027/mdp.39015049037735?urlappend=%3Bseq=139" TargetMode="External"/><Relationship Id="rId152" Type="http://schemas.openxmlformats.org/officeDocument/2006/relationships/hyperlink" Target="http://hdl.handle.net/2027/mdp.39015049037735?urlappend=%3Bseq=139" TargetMode="External"/><Relationship Id="rId173" Type="http://schemas.openxmlformats.org/officeDocument/2006/relationships/hyperlink" Target="http://hdl.handle.net/2027/mdp.39015049037735?urlappend=%3Bseq=139" TargetMode="External"/><Relationship Id="rId194" Type="http://schemas.openxmlformats.org/officeDocument/2006/relationships/hyperlink" Target="http://hdl.handle.net/2027/mdp.39015049037735?urlappend=%3Bseq=141" TargetMode="External"/><Relationship Id="rId199" Type="http://schemas.openxmlformats.org/officeDocument/2006/relationships/hyperlink" Target="http://hdl.handle.net/2027/mdp.39015049037735?urlappend=%3Bseq=141" TargetMode="External"/><Relationship Id="rId203" Type="http://schemas.openxmlformats.org/officeDocument/2006/relationships/hyperlink" Target="https://babel.hathitrust.org/cgi/pt?id=mdp.39015049037743;view=1up;seq=166" TargetMode="External"/><Relationship Id="rId208" Type="http://schemas.openxmlformats.org/officeDocument/2006/relationships/hyperlink" Target="https://archive.org/download/SOPIK1905/1905.pdf" TargetMode="External"/><Relationship Id="rId19" Type="http://schemas.openxmlformats.org/officeDocument/2006/relationships/hyperlink" Target="http://hdl.handle.net/2027/mdp.39015049037735?urlappend=%3Bseq=139" TargetMode="External"/><Relationship Id="rId14" Type="http://schemas.openxmlformats.org/officeDocument/2006/relationships/hyperlink" Target="http://hdl.handle.net/2027/mdp.39015049037735?urlappend=%3Bseq=139" TargetMode="External"/><Relationship Id="rId30" Type="http://schemas.openxmlformats.org/officeDocument/2006/relationships/hyperlink" Target="http://hdl.handle.net/2027/mdp.39015049037735?urlappend=%3Bseq=139" TargetMode="External"/><Relationship Id="rId35" Type="http://schemas.openxmlformats.org/officeDocument/2006/relationships/hyperlink" Target="http://hdl.handle.net/2027/mdp.39015049037735?urlappend=%3Bseq=139" TargetMode="External"/><Relationship Id="rId56" Type="http://schemas.openxmlformats.org/officeDocument/2006/relationships/hyperlink" Target="http://hdl.handle.net/2027/mdp.39015049037735?urlappend=%3Bseq=141" TargetMode="External"/><Relationship Id="rId77" Type="http://schemas.openxmlformats.org/officeDocument/2006/relationships/hyperlink" Target="http://hdl.handle.net/2027/mdp.39015049037735?urlappend=%3Bseq=138" TargetMode="External"/><Relationship Id="rId100" Type="http://schemas.openxmlformats.org/officeDocument/2006/relationships/hyperlink" Target="http://hdl.handle.net/2027/mdp.39015049037735?urlappend=%3Bseq=139" TargetMode="External"/><Relationship Id="rId105" Type="http://schemas.openxmlformats.org/officeDocument/2006/relationships/hyperlink" Target="http://hdl.handle.net/2027/mdp.39015049037735?urlappend=%3Bseq=139" TargetMode="External"/><Relationship Id="rId126" Type="http://schemas.openxmlformats.org/officeDocument/2006/relationships/hyperlink" Target="http://hdl.handle.net/2027/mdp.39015049037735?urlappend=%3Bseq=141" TargetMode="External"/><Relationship Id="rId147" Type="http://schemas.openxmlformats.org/officeDocument/2006/relationships/hyperlink" Target="http://hdl.handle.net/2027/mdp.39015049037735?urlappend=%3Bseq=138" TargetMode="External"/><Relationship Id="rId168" Type="http://schemas.openxmlformats.org/officeDocument/2006/relationships/hyperlink" Target="http://hdl.handle.net/2027/mdp.39015049037735?urlappend=%3Bseq=139" TargetMode="External"/><Relationship Id="rId8" Type="http://schemas.openxmlformats.org/officeDocument/2006/relationships/hyperlink" Target="http://hdl.handle.net/2027/mdp.39015049037735?urlappend=%3Bseq=138" TargetMode="External"/><Relationship Id="rId51" Type="http://schemas.openxmlformats.org/officeDocument/2006/relationships/hyperlink" Target="http://hdl.handle.net/2027/mdp.39015049037735?urlappend=%3Bseq=140" TargetMode="External"/><Relationship Id="rId72" Type="http://schemas.openxmlformats.org/officeDocument/2006/relationships/hyperlink" Target="http://hdl.handle.net/2027/mdp.39015049037735?urlappend=%3Bseq=138" TargetMode="External"/><Relationship Id="rId93" Type="http://schemas.openxmlformats.org/officeDocument/2006/relationships/hyperlink" Target="http://hdl.handle.net/2027/mdp.39015049037735?urlappend=%3Bseq=139" TargetMode="External"/><Relationship Id="rId98" Type="http://schemas.openxmlformats.org/officeDocument/2006/relationships/hyperlink" Target="http://hdl.handle.net/2027/mdp.39015049037735?urlappend=%3Bseq=139" TargetMode="External"/><Relationship Id="rId121" Type="http://schemas.openxmlformats.org/officeDocument/2006/relationships/hyperlink" Target="http://hdl.handle.net/2027/mdp.39015049037735?urlappend=%3Bseq=140" TargetMode="External"/><Relationship Id="rId142" Type="http://schemas.openxmlformats.org/officeDocument/2006/relationships/hyperlink" Target="http://hdl.handle.net/2027/mdp.39015049037735?urlappend=%3Bseq=138" TargetMode="External"/><Relationship Id="rId163" Type="http://schemas.openxmlformats.org/officeDocument/2006/relationships/hyperlink" Target="http://hdl.handle.net/2027/mdp.39015049037735?urlappend=%3Bseq=139" TargetMode="External"/><Relationship Id="rId184" Type="http://schemas.openxmlformats.org/officeDocument/2006/relationships/hyperlink" Target="http://hdl.handle.net/2027/mdp.39015049037735?urlappend=%3Bseq=140" TargetMode="External"/><Relationship Id="rId189" Type="http://schemas.openxmlformats.org/officeDocument/2006/relationships/hyperlink" Target="http://hdl.handle.net/2027/mdp.39015049037735?urlappend=%3Bseq=141" TargetMode="External"/><Relationship Id="rId3" Type="http://schemas.openxmlformats.org/officeDocument/2006/relationships/hyperlink" Target="http://hdl.handle.net/2027/mdp.39015049037735?urlappend=%3Bseq=138" TargetMode="External"/><Relationship Id="rId214" Type="http://schemas.openxmlformats.org/officeDocument/2006/relationships/comments" Target="../comments1.xml"/><Relationship Id="rId25" Type="http://schemas.openxmlformats.org/officeDocument/2006/relationships/hyperlink" Target="http://hdl.handle.net/2027/mdp.39015049037735?urlappend=%3Bseq=139" TargetMode="External"/><Relationship Id="rId46" Type="http://schemas.openxmlformats.org/officeDocument/2006/relationships/hyperlink" Target="http://hdl.handle.net/2027/mdp.39015049037735?urlappend=%3Bseq=140" TargetMode="External"/><Relationship Id="rId67" Type="http://schemas.openxmlformats.org/officeDocument/2006/relationships/hyperlink" Target="http://hdl.handle.net/2027/mdp.39015049037735?urlappend=%3Bseq=141" TargetMode="External"/><Relationship Id="rId116" Type="http://schemas.openxmlformats.org/officeDocument/2006/relationships/hyperlink" Target="http://hdl.handle.net/2027/mdp.39015049037735?urlappend=%3Bseq=140" TargetMode="External"/><Relationship Id="rId137" Type="http://schemas.openxmlformats.org/officeDocument/2006/relationships/hyperlink" Target="http://hdl.handle.net/2027/mdp.39015049037735?urlappend=%3Bseq=138" TargetMode="External"/><Relationship Id="rId158" Type="http://schemas.openxmlformats.org/officeDocument/2006/relationships/hyperlink" Target="http://hdl.handle.net/2027/mdp.39015049037735?urlappend=%3Bseq=139" TargetMode="External"/><Relationship Id="rId20" Type="http://schemas.openxmlformats.org/officeDocument/2006/relationships/hyperlink" Target="http://hdl.handle.net/2027/mdp.39015049037735?urlappend=%3Bseq=139" TargetMode="External"/><Relationship Id="rId41" Type="http://schemas.openxmlformats.org/officeDocument/2006/relationships/hyperlink" Target="http://hdl.handle.net/2027/mdp.39015049037735?urlappend=%3Bseq=140" TargetMode="External"/><Relationship Id="rId62" Type="http://schemas.openxmlformats.org/officeDocument/2006/relationships/hyperlink" Target="http://hdl.handle.net/2027/mdp.39015049037735?urlappend=%3Bseq=141" TargetMode="External"/><Relationship Id="rId83" Type="http://schemas.openxmlformats.org/officeDocument/2006/relationships/hyperlink" Target="http://hdl.handle.net/2027/mdp.39015049037735?urlappend=%3Bseq=139" TargetMode="External"/><Relationship Id="rId88" Type="http://schemas.openxmlformats.org/officeDocument/2006/relationships/hyperlink" Target="http://hdl.handle.net/2027/mdp.39015049037735?urlappend=%3Bseq=139" TargetMode="External"/><Relationship Id="rId111" Type="http://schemas.openxmlformats.org/officeDocument/2006/relationships/hyperlink" Target="http://hdl.handle.net/2027/mdp.39015049037735?urlappend=%3Bseq=140" TargetMode="External"/><Relationship Id="rId132" Type="http://schemas.openxmlformats.org/officeDocument/2006/relationships/hyperlink" Target="http://hdl.handle.net/2027/mdp.39015049037735?urlappend=%3Bseq=141" TargetMode="External"/><Relationship Id="rId153" Type="http://schemas.openxmlformats.org/officeDocument/2006/relationships/hyperlink" Target="http://hdl.handle.net/2027/mdp.39015049037735?urlappend=%3Bseq=139" TargetMode="External"/><Relationship Id="rId174" Type="http://schemas.openxmlformats.org/officeDocument/2006/relationships/hyperlink" Target="http://hdl.handle.net/2027/mdp.39015049037735?urlappend=%3Bseq=139" TargetMode="External"/><Relationship Id="rId179" Type="http://schemas.openxmlformats.org/officeDocument/2006/relationships/hyperlink" Target="http://hdl.handle.net/2027/mdp.39015049037735?urlappend=%3Bseq=140" TargetMode="External"/><Relationship Id="rId195" Type="http://schemas.openxmlformats.org/officeDocument/2006/relationships/hyperlink" Target="http://hdl.handle.net/2027/mdp.39015049037735?urlappend=%3Bseq=141" TargetMode="External"/><Relationship Id="rId209" Type="http://schemas.openxmlformats.org/officeDocument/2006/relationships/hyperlink" Target="https://archive.org/download/SOPIK1905/1905.pdf" TargetMode="External"/><Relationship Id="rId190" Type="http://schemas.openxmlformats.org/officeDocument/2006/relationships/hyperlink" Target="http://hdl.handle.net/2027/mdp.39015049037735?urlappend=%3Bseq=141" TargetMode="External"/><Relationship Id="rId204" Type="http://schemas.openxmlformats.org/officeDocument/2006/relationships/hyperlink" Target="https://babel.hathitrust.org/cgi/pt?id=mdp.39015049037743;view=1up;seq=167" TargetMode="External"/><Relationship Id="rId15" Type="http://schemas.openxmlformats.org/officeDocument/2006/relationships/hyperlink" Target="http://hdl.handle.net/2027/mdp.39015049037735?urlappend=%3Bseq=139" TargetMode="External"/><Relationship Id="rId36" Type="http://schemas.openxmlformats.org/officeDocument/2006/relationships/hyperlink" Target="http://hdl.handle.net/2027/mdp.39015049037735?urlappend=%3Bseq=139" TargetMode="External"/><Relationship Id="rId57" Type="http://schemas.openxmlformats.org/officeDocument/2006/relationships/hyperlink" Target="http://hdl.handle.net/2027/mdp.39015049037735?urlappend=%3Bseq=141" TargetMode="External"/><Relationship Id="rId106" Type="http://schemas.openxmlformats.org/officeDocument/2006/relationships/hyperlink" Target="http://hdl.handle.net/2027/mdp.39015049037735?urlappend=%3Bseq=139" TargetMode="External"/><Relationship Id="rId127" Type="http://schemas.openxmlformats.org/officeDocument/2006/relationships/hyperlink" Target="http://hdl.handle.net/2027/mdp.39015049037735?urlappend=%3Bseq=141" TargetMode="External"/><Relationship Id="rId10" Type="http://schemas.openxmlformats.org/officeDocument/2006/relationships/hyperlink" Target="http://hdl.handle.net/2027/mdp.39015049037735?urlappend=%3Bseq=138" TargetMode="External"/><Relationship Id="rId31" Type="http://schemas.openxmlformats.org/officeDocument/2006/relationships/hyperlink" Target="http://hdl.handle.net/2027/mdp.39015049037735?urlappend=%3Bseq=139" TargetMode="External"/><Relationship Id="rId52" Type="http://schemas.openxmlformats.org/officeDocument/2006/relationships/hyperlink" Target="http://hdl.handle.net/2027/mdp.39015049037735?urlappend=%3Bseq=140" TargetMode="External"/><Relationship Id="rId73" Type="http://schemas.openxmlformats.org/officeDocument/2006/relationships/hyperlink" Target="http://hdl.handle.net/2027/mdp.39015049037735?urlappend=%3Bseq=138" TargetMode="External"/><Relationship Id="rId78" Type="http://schemas.openxmlformats.org/officeDocument/2006/relationships/hyperlink" Target="http://hdl.handle.net/2027/mdp.39015049037735?urlappend=%3Bseq=138" TargetMode="External"/><Relationship Id="rId94" Type="http://schemas.openxmlformats.org/officeDocument/2006/relationships/hyperlink" Target="http://hdl.handle.net/2027/mdp.39015049037735?urlappend=%3Bseq=139" TargetMode="External"/><Relationship Id="rId99" Type="http://schemas.openxmlformats.org/officeDocument/2006/relationships/hyperlink" Target="http://hdl.handle.net/2027/mdp.39015049037735?urlappend=%3Bseq=139" TargetMode="External"/><Relationship Id="rId101" Type="http://schemas.openxmlformats.org/officeDocument/2006/relationships/hyperlink" Target="http://hdl.handle.net/2027/mdp.39015049037735?urlappend=%3Bseq=139" TargetMode="External"/><Relationship Id="rId122" Type="http://schemas.openxmlformats.org/officeDocument/2006/relationships/hyperlink" Target="http://hdl.handle.net/2027/mdp.39015049037735?urlappend=%3Bseq=141" TargetMode="External"/><Relationship Id="rId143" Type="http://schemas.openxmlformats.org/officeDocument/2006/relationships/hyperlink" Target="http://hdl.handle.net/2027/mdp.39015049037735?urlappend=%3Bseq=138" TargetMode="External"/><Relationship Id="rId148" Type="http://schemas.openxmlformats.org/officeDocument/2006/relationships/hyperlink" Target="http://hdl.handle.net/2027/mdp.39015049037735?urlappend=%3Bseq=139" TargetMode="External"/><Relationship Id="rId164" Type="http://schemas.openxmlformats.org/officeDocument/2006/relationships/hyperlink" Target="http://hdl.handle.net/2027/mdp.39015049037735?urlappend=%3Bseq=139" TargetMode="External"/><Relationship Id="rId169" Type="http://schemas.openxmlformats.org/officeDocument/2006/relationships/hyperlink" Target="http://hdl.handle.net/2027/mdp.39015049037735?urlappend=%3Bseq=139" TargetMode="External"/><Relationship Id="rId185" Type="http://schemas.openxmlformats.org/officeDocument/2006/relationships/hyperlink" Target="http://hdl.handle.net/2027/mdp.39015049037735?urlappend=%3Bseq=140" TargetMode="External"/><Relationship Id="rId4" Type="http://schemas.openxmlformats.org/officeDocument/2006/relationships/hyperlink" Target="http://hdl.handle.net/2027/mdp.39015049037735?urlappend=%3Bseq=138" TargetMode="External"/><Relationship Id="rId9" Type="http://schemas.openxmlformats.org/officeDocument/2006/relationships/hyperlink" Target="http://hdl.handle.net/2027/mdp.39015049037735?urlappend=%3Bseq=138" TargetMode="External"/><Relationship Id="rId180" Type="http://schemas.openxmlformats.org/officeDocument/2006/relationships/hyperlink" Target="http://hdl.handle.net/2027/mdp.39015049037735?urlappend=%3Bseq=140" TargetMode="External"/><Relationship Id="rId210" Type="http://schemas.openxmlformats.org/officeDocument/2006/relationships/hyperlink" Target="https://archive.org/download/SOPIK1905/1905.pdf" TargetMode="External"/><Relationship Id="rId26" Type="http://schemas.openxmlformats.org/officeDocument/2006/relationships/hyperlink" Target="http://hdl.handle.net/2027/mdp.39015049037735?urlappend=%3Bseq=139" TargetMode="External"/><Relationship Id="rId47" Type="http://schemas.openxmlformats.org/officeDocument/2006/relationships/hyperlink" Target="http://hdl.handle.net/2027/mdp.39015049037735?urlappend=%3Bseq=140" TargetMode="External"/><Relationship Id="rId68" Type="http://schemas.openxmlformats.org/officeDocument/2006/relationships/hyperlink" Target="http://hdl.handle.net/2027/mdp.39015049037735?urlappend=%3Bseq=138" TargetMode="External"/><Relationship Id="rId89" Type="http://schemas.openxmlformats.org/officeDocument/2006/relationships/hyperlink" Target="http://hdl.handle.net/2027/mdp.39015049037735?urlappend=%3Bseq=139" TargetMode="External"/><Relationship Id="rId112" Type="http://schemas.openxmlformats.org/officeDocument/2006/relationships/hyperlink" Target="http://hdl.handle.net/2027/mdp.39015049037735?urlappend=%3Bseq=140" TargetMode="External"/><Relationship Id="rId133" Type="http://schemas.openxmlformats.org/officeDocument/2006/relationships/hyperlink" Target="http://hdl.handle.net/2027/mdp.39015049037735?urlappend=%3Bseq=141" TargetMode="External"/><Relationship Id="rId154" Type="http://schemas.openxmlformats.org/officeDocument/2006/relationships/hyperlink" Target="http://hdl.handle.net/2027/mdp.39015049037735?urlappend=%3Bseq=139" TargetMode="External"/><Relationship Id="rId175" Type="http://schemas.openxmlformats.org/officeDocument/2006/relationships/hyperlink" Target="http://hdl.handle.net/2027/mdp.39015049037735?urlappend=%3Bseq=140" TargetMode="External"/><Relationship Id="rId196" Type="http://schemas.openxmlformats.org/officeDocument/2006/relationships/hyperlink" Target="http://hdl.handle.net/2027/mdp.39015049037735?urlappend=%3Bseq=141" TargetMode="External"/><Relationship Id="rId200" Type="http://schemas.openxmlformats.org/officeDocument/2006/relationships/hyperlink" Target="http://hdl.handle.net/2027/mdp.39015049037735?urlappend=%3Bseq=141" TargetMode="External"/><Relationship Id="rId16" Type="http://schemas.openxmlformats.org/officeDocument/2006/relationships/hyperlink" Target="http://hdl.handle.net/2027/mdp.39015049037735?urlappend=%3Bseq=13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://hdl.handle.net/2027/mdp.39015049037735?urlappend=%3Bseq=140" TargetMode="External"/><Relationship Id="rId21" Type="http://schemas.openxmlformats.org/officeDocument/2006/relationships/hyperlink" Target="http://hdl.handle.net/2027/mdp.39015049037735?urlappend=%3Bseq=139" TargetMode="External"/><Relationship Id="rId42" Type="http://schemas.openxmlformats.org/officeDocument/2006/relationships/hyperlink" Target="http://hdl.handle.net/2027/mdp.39015049037735?urlappend=%3Bseq=140" TargetMode="External"/><Relationship Id="rId63" Type="http://schemas.openxmlformats.org/officeDocument/2006/relationships/hyperlink" Target="http://hdl.handle.net/2027/mdp.39015049037735?urlappend=%3Bseq=141" TargetMode="External"/><Relationship Id="rId84" Type="http://schemas.openxmlformats.org/officeDocument/2006/relationships/hyperlink" Target="http://hdl.handle.net/2027/mdp.39015049037735?urlappend=%3Bseq=139" TargetMode="External"/><Relationship Id="rId138" Type="http://schemas.openxmlformats.org/officeDocument/2006/relationships/hyperlink" Target="http://hdl.handle.net/2027/mdp.39015049037735?urlappend=%3Bseq=138" TargetMode="External"/><Relationship Id="rId159" Type="http://schemas.openxmlformats.org/officeDocument/2006/relationships/hyperlink" Target="http://hdl.handle.net/2027/mdp.39015049037735?urlappend=%3Bseq=139" TargetMode="External"/><Relationship Id="rId170" Type="http://schemas.openxmlformats.org/officeDocument/2006/relationships/hyperlink" Target="http://hdl.handle.net/2027/mdp.39015049037735?urlappend=%3Bseq=139" TargetMode="External"/><Relationship Id="rId191" Type="http://schemas.openxmlformats.org/officeDocument/2006/relationships/hyperlink" Target="http://hdl.handle.net/2027/mdp.39015049037735?urlappend=%3Bseq=141" TargetMode="External"/><Relationship Id="rId205" Type="http://schemas.openxmlformats.org/officeDocument/2006/relationships/hyperlink" Target="http://hdl.handle.net/2027/mdp.39015049037735?urlappend=%3Bseq=162" TargetMode="External"/><Relationship Id="rId16" Type="http://schemas.openxmlformats.org/officeDocument/2006/relationships/hyperlink" Target="http://hdl.handle.net/2027/mdp.39015049037735?urlappend=%3Bseq=139" TargetMode="External"/><Relationship Id="rId107" Type="http://schemas.openxmlformats.org/officeDocument/2006/relationships/hyperlink" Target="http://hdl.handle.net/2027/mdp.39015049037735?urlappend=%3Bseq=139" TargetMode="External"/><Relationship Id="rId11" Type="http://schemas.openxmlformats.org/officeDocument/2006/relationships/hyperlink" Target="http://hdl.handle.net/2027/mdp.39015049037735?urlappend=%3Bseq=138" TargetMode="External"/><Relationship Id="rId32" Type="http://schemas.openxmlformats.org/officeDocument/2006/relationships/hyperlink" Target="http://hdl.handle.net/2027/mdp.39015049037735?urlappend=%3Bseq=139" TargetMode="External"/><Relationship Id="rId37" Type="http://schemas.openxmlformats.org/officeDocument/2006/relationships/hyperlink" Target="http://hdl.handle.net/2027/mdp.39015049037735?urlappend=%3Bseq=139" TargetMode="External"/><Relationship Id="rId53" Type="http://schemas.openxmlformats.org/officeDocument/2006/relationships/hyperlink" Target="http://hdl.handle.net/2027/mdp.39015049037735?urlappend=%3Bseq=140" TargetMode="External"/><Relationship Id="rId58" Type="http://schemas.openxmlformats.org/officeDocument/2006/relationships/hyperlink" Target="http://hdl.handle.net/2027/mdp.39015049037735?urlappend=%3Bseq=141" TargetMode="External"/><Relationship Id="rId74" Type="http://schemas.openxmlformats.org/officeDocument/2006/relationships/hyperlink" Target="http://hdl.handle.net/2027/mdp.39015049037735?urlappend=%3Bseq=138" TargetMode="External"/><Relationship Id="rId79" Type="http://schemas.openxmlformats.org/officeDocument/2006/relationships/hyperlink" Target="http://hdl.handle.net/2027/mdp.39015049037735?urlappend=%3Bseq=138" TargetMode="External"/><Relationship Id="rId102" Type="http://schemas.openxmlformats.org/officeDocument/2006/relationships/hyperlink" Target="http://hdl.handle.net/2027/mdp.39015049037735?urlappend=%3Bseq=139" TargetMode="External"/><Relationship Id="rId123" Type="http://schemas.openxmlformats.org/officeDocument/2006/relationships/hyperlink" Target="http://hdl.handle.net/2027/mdp.39015049037735?urlappend=%3Bseq=141" TargetMode="External"/><Relationship Id="rId128" Type="http://schemas.openxmlformats.org/officeDocument/2006/relationships/hyperlink" Target="http://hdl.handle.net/2027/mdp.39015049037735?urlappend=%3Bseq=141" TargetMode="External"/><Relationship Id="rId144" Type="http://schemas.openxmlformats.org/officeDocument/2006/relationships/hyperlink" Target="http://hdl.handle.net/2027/mdp.39015049037735?urlappend=%3Bseq=138" TargetMode="External"/><Relationship Id="rId149" Type="http://schemas.openxmlformats.org/officeDocument/2006/relationships/hyperlink" Target="http://hdl.handle.net/2027/mdp.39015049037735?urlappend=%3Bseq=139" TargetMode="External"/><Relationship Id="rId5" Type="http://schemas.openxmlformats.org/officeDocument/2006/relationships/hyperlink" Target="http://hdl.handle.net/2027/mdp.39015049037735?urlappend=%3Bseq=138" TargetMode="External"/><Relationship Id="rId90" Type="http://schemas.openxmlformats.org/officeDocument/2006/relationships/hyperlink" Target="http://hdl.handle.net/2027/mdp.39015049037735?urlappend=%3Bseq=139" TargetMode="External"/><Relationship Id="rId95" Type="http://schemas.openxmlformats.org/officeDocument/2006/relationships/hyperlink" Target="http://hdl.handle.net/2027/mdp.39015049037735?urlappend=%3Bseq=139" TargetMode="External"/><Relationship Id="rId160" Type="http://schemas.openxmlformats.org/officeDocument/2006/relationships/hyperlink" Target="http://hdl.handle.net/2027/mdp.39015049037735?urlappend=%3Bseq=139" TargetMode="External"/><Relationship Id="rId165" Type="http://schemas.openxmlformats.org/officeDocument/2006/relationships/hyperlink" Target="http://hdl.handle.net/2027/mdp.39015049037735?urlappend=%3Bseq=139" TargetMode="External"/><Relationship Id="rId181" Type="http://schemas.openxmlformats.org/officeDocument/2006/relationships/hyperlink" Target="http://hdl.handle.net/2027/mdp.39015049037735?urlappend=%3Bseq=140" TargetMode="External"/><Relationship Id="rId186" Type="http://schemas.openxmlformats.org/officeDocument/2006/relationships/hyperlink" Target="http://hdl.handle.net/2027/mdp.39015049037735?urlappend=%3Bseq=140" TargetMode="External"/><Relationship Id="rId22" Type="http://schemas.openxmlformats.org/officeDocument/2006/relationships/hyperlink" Target="http://hdl.handle.net/2027/mdp.39015049037735?urlappend=%3Bseq=139" TargetMode="External"/><Relationship Id="rId27" Type="http://schemas.openxmlformats.org/officeDocument/2006/relationships/hyperlink" Target="http://hdl.handle.net/2027/mdp.39015049037735?urlappend=%3Bseq=139" TargetMode="External"/><Relationship Id="rId43" Type="http://schemas.openxmlformats.org/officeDocument/2006/relationships/hyperlink" Target="http://hdl.handle.net/2027/mdp.39015049037735?urlappend=%3Bseq=140" TargetMode="External"/><Relationship Id="rId48" Type="http://schemas.openxmlformats.org/officeDocument/2006/relationships/hyperlink" Target="http://hdl.handle.net/2027/mdp.39015049037735?urlappend=%3Bseq=140" TargetMode="External"/><Relationship Id="rId64" Type="http://schemas.openxmlformats.org/officeDocument/2006/relationships/hyperlink" Target="http://hdl.handle.net/2027/mdp.39015049037735?urlappend=%3Bseq=141" TargetMode="External"/><Relationship Id="rId69" Type="http://schemas.openxmlformats.org/officeDocument/2006/relationships/hyperlink" Target="http://hdl.handle.net/2027/mdp.39015049037735?urlappend=%3Bseq=138" TargetMode="External"/><Relationship Id="rId113" Type="http://schemas.openxmlformats.org/officeDocument/2006/relationships/hyperlink" Target="http://hdl.handle.net/2027/mdp.39015049037735?urlappend=%3Bseq=140" TargetMode="External"/><Relationship Id="rId118" Type="http://schemas.openxmlformats.org/officeDocument/2006/relationships/hyperlink" Target="http://hdl.handle.net/2027/mdp.39015049037735?urlappend=%3Bseq=140" TargetMode="External"/><Relationship Id="rId134" Type="http://schemas.openxmlformats.org/officeDocument/2006/relationships/hyperlink" Target="http://hdl.handle.net/2027/mdp.39015049037735?urlappend=%3Bseq=141" TargetMode="External"/><Relationship Id="rId139" Type="http://schemas.openxmlformats.org/officeDocument/2006/relationships/hyperlink" Target="http://hdl.handle.net/2027/mdp.39015049037735?urlappend=%3Bseq=138" TargetMode="External"/><Relationship Id="rId80" Type="http://schemas.openxmlformats.org/officeDocument/2006/relationships/hyperlink" Target="http://hdl.handle.net/2027/mdp.39015049037735?urlappend=%3Bseq=138" TargetMode="External"/><Relationship Id="rId85" Type="http://schemas.openxmlformats.org/officeDocument/2006/relationships/hyperlink" Target="http://hdl.handle.net/2027/mdp.39015049037735?urlappend=%3Bseq=139" TargetMode="External"/><Relationship Id="rId150" Type="http://schemas.openxmlformats.org/officeDocument/2006/relationships/hyperlink" Target="http://hdl.handle.net/2027/mdp.39015049037735?urlappend=%3Bseq=139" TargetMode="External"/><Relationship Id="rId155" Type="http://schemas.openxmlformats.org/officeDocument/2006/relationships/hyperlink" Target="http://hdl.handle.net/2027/mdp.39015049037735?urlappend=%3Bseq=139" TargetMode="External"/><Relationship Id="rId171" Type="http://schemas.openxmlformats.org/officeDocument/2006/relationships/hyperlink" Target="http://hdl.handle.net/2027/mdp.39015049037735?urlappend=%3Bseq=139" TargetMode="External"/><Relationship Id="rId176" Type="http://schemas.openxmlformats.org/officeDocument/2006/relationships/hyperlink" Target="http://hdl.handle.net/2027/mdp.39015049037735?urlappend=%3Bseq=140" TargetMode="External"/><Relationship Id="rId192" Type="http://schemas.openxmlformats.org/officeDocument/2006/relationships/hyperlink" Target="http://hdl.handle.net/2027/mdp.39015049037735?urlappend=%3Bseq=141" TargetMode="External"/><Relationship Id="rId197" Type="http://schemas.openxmlformats.org/officeDocument/2006/relationships/hyperlink" Target="http://hdl.handle.net/2027/mdp.39015049037735?urlappend=%3Bseq=141" TargetMode="External"/><Relationship Id="rId206" Type="http://schemas.openxmlformats.org/officeDocument/2006/relationships/vmlDrawing" Target="../drawings/vmlDrawing2.vml"/><Relationship Id="rId201" Type="http://schemas.openxmlformats.org/officeDocument/2006/relationships/hyperlink" Target="http://hdl.handle.net/2027/mdp.39015049037735?urlappend=%3Bseq=141" TargetMode="External"/><Relationship Id="rId12" Type="http://schemas.openxmlformats.org/officeDocument/2006/relationships/hyperlink" Target="http://hdl.handle.net/2027/mdp.39015049037735?urlappend=%3Bseq=138" TargetMode="External"/><Relationship Id="rId17" Type="http://schemas.openxmlformats.org/officeDocument/2006/relationships/hyperlink" Target="http://hdl.handle.net/2027/mdp.39015049037735?urlappend=%3Bseq=139" TargetMode="External"/><Relationship Id="rId33" Type="http://schemas.openxmlformats.org/officeDocument/2006/relationships/hyperlink" Target="http://hdl.handle.net/2027/mdp.39015049037735?urlappend=%3Bseq=139" TargetMode="External"/><Relationship Id="rId38" Type="http://schemas.openxmlformats.org/officeDocument/2006/relationships/hyperlink" Target="http://hdl.handle.net/2027/mdp.39015049037735?urlappend=%3Bseq=139" TargetMode="External"/><Relationship Id="rId59" Type="http://schemas.openxmlformats.org/officeDocument/2006/relationships/hyperlink" Target="http://hdl.handle.net/2027/mdp.39015049037735?urlappend=%3Bseq=141" TargetMode="External"/><Relationship Id="rId103" Type="http://schemas.openxmlformats.org/officeDocument/2006/relationships/hyperlink" Target="http://hdl.handle.net/2027/mdp.39015049037735?urlappend=%3Bseq=139" TargetMode="External"/><Relationship Id="rId108" Type="http://schemas.openxmlformats.org/officeDocument/2006/relationships/hyperlink" Target="http://hdl.handle.net/2027/mdp.39015049037735?urlappend=%3Bseq=140" TargetMode="External"/><Relationship Id="rId124" Type="http://schemas.openxmlformats.org/officeDocument/2006/relationships/hyperlink" Target="http://hdl.handle.net/2027/mdp.39015049037735?urlappend=%3Bseq=141" TargetMode="External"/><Relationship Id="rId129" Type="http://schemas.openxmlformats.org/officeDocument/2006/relationships/hyperlink" Target="http://hdl.handle.net/2027/mdp.39015049037735?urlappend=%3Bseq=141" TargetMode="External"/><Relationship Id="rId54" Type="http://schemas.openxmlformats.org/officeDocument/2006/relationships/hyperlink" Target="http://hdl.handle.net/2027/mdp.39015049037735?urlappend=%3Bseq=140" TargetMode="External"/><Relationship Id="rId70" Type="http://schemas.openxmlformats.org/officeDocument/2006/relationships/hyperlink" Target="http://hdl.handle.net/2027/mdp.39015049037735?urlappend=%3Bseq=138" TargetMode="External"/><Relationship Id="rId75" Type="http://schemas.openxmlformats.org/officeDocument/2006/relationships/hyperlink" Target="http://hdl.handle.net/2027/mdp.39015049037735?urlappend=%3Bseq=138" TargetMode="External"/><Relationship Id="rId91" Type="http://schemas.openxmlformats.org/officeDocument/2006/relationships/hyperlink" Target="http://hdl.handle.net/2027/mdp.39015049037735?urlappend=%3Bseq=139" TargetMode="External"/><Relationship Id="rId96" Type="http://schemas.openxmlformats.org/officeDocument/2006/relationships/hyperlink" Target="http://hdl.handle.net/2027/mdp.39015049037735?urlappend=%3Bseq=139" TargetMode="External"/><Relationship Id="rId140" Type="http://schemas.openxmlformats.org/officeDocument/2006/relationships/hyperlink" Target="http://hdl.handle.net/2027/mdp.39015049037735?urlappend=%3Bseq=138" TargetMode="External"/><Relationship Id="rId145" Type="http://schemas.openxmlformats.org/officeDocument/2006/relationships/hyperlink" Target="http://hdl.handle.net/2027/mdp.39015049037735?urlappend=%3Bseq=138" TargetMode="External"/><Relationship Id="rId161" Type="http://schemas.openxmlformats.org/officeDocument/2006/relationships/hyperlink" Target="http://hdl.handle.net/2027/mdp.39015049037735?urlappend=%3Bseq=139" TargetMode="External"/><Relationship Id="rId166" Type="http://schemas.openxmlformats.org/officeDocument/2006/relationships/hyperlink" Target="http://hdl.handle.net/2027/mdp.39015049037735?urlappend=%3Bseq=139" TargetMode="External"/><Relationship Id="rId182" Type="http://schemas.openxmlformats.org/officeDocument/2006/relationships/hyperlink" Target="http://hdl.handle.net/2027/mdp.39015049037735?urlappend=%3Bseq=140" TargetMode="External"/><Relationship Id="rId187" Type="http://schemas.openxmlformats.org/officeDocument/2006/relationships/hyperlink" Target="http://hdl.handle.net/2027/mdp.39015049037735?urlappend=%3Bseq=140" TargetMode="External"/><Relationship Id="rId1" Type="http://schemas.openxmlformats.org/officeDocument/2006/relationships/hyperlink" Target="http://hdl.handle.net/2027/mdp.39015049037735?urlappend=%3Bseq=138" TargetMode="External"/><Relationship Id="rId6" Type="http://schemas.openxmlformats.org/officeDocument/2006/relationships/hyperlink" Target="http://hdl.handle.net/2027/mdp.39015049037735?urlappend=%3Bseq=138" TargetMode="External"/><Relationship Id="rId23" Type="http://schemas.openxmlformats.org/officeDocument/2006/relationships/hyperlink" Target="http://hdl.handle.net/2027/mdp.39015049037735?urlappend=%3Bseq=139" TargetMode="External"/><Relationship Id="rId28" Type="http://schemas.openxmlformats.org/officeDocument/2006/relationships/hyperlink" Target="http://hdl.handle.net/2027/mdp.39015049037735?urlappend=%3Bseq=139" TargetMode="External"/><Relationship Id="rId49" Type="http://schemas.openxmlformats.org/officeDocument/2006/relationships/hyperlink" Target="http://hdl.handle.net/2027/mdp.39015049037735?urlappend=%3Bseq=140" TargetMode="External"/><Relationship Id="rId114" Type="http://schemas.openxmlformats.org/officeDocument/2006/relationships/hyperlink" Target="http://hdl.handle.net/2027/mdp.39015049037735?urlappend=%3Bseq=140" TargetMode="External"/><Relationship Id="rId119" Type="http://schemas.openxmlformats.org/officeDocument/2006/relationships/hyperlink" Target="http://hdl.handle.net/2027/mdp.39015049037735?urlappend=%3Bseq=140" TargetMode="External"/><Relationship Id="rId44" Type="http://schemas.openxmlformats.org/officeDocument/2006/relationships/hyperlink" Target="http://hdl.handle.net/2027/mdp.39015049037735?urlappend=%3Bseq=140" TargetMode="External"/><Relationship Id="rId60" Type="http://schemas.openxmlformats.org/officeDocument/2006/relationships/hyperlink" Target="http://hdl.handle.net/2027/mdp.39015049037735?urlappend=%3Bseq=141" TargetMode="External"/><Relationship Id="rId65" Type="http://schemas.openxmlformats.org/officeDocument/2006/relationships/hyperlink" Target="http://hdl.handle.net/2027/mdp.39015049037735?urlappend=%3Bseq=141" TargetMode="External"/><Relationship Id="rId81" Type="http://schemas.openxmlformats.org/officeDocument/2006/relationships/hyperlink" Target="http://hdl.handle.net/2027/mdp.39015049037735?urlappend=%3Bseq=139" TargetMode="External"/><Relationship Id="rId86" Type="http://schemas.openxmlformats.org/officeDocument/2006/relationships/hyperlink" Target="http://hdl.handle.net/2027/mdp.39015049037735?urlappend=%3Bseq=139" TargetMode="External"/><Relationship Id="rId130" Type="http://schemas.openxmlformats.org/officeDocument/2006/relationships/hyperlink" Target="http://hdl.handle.net/2027/mdp.39015049037735?urlappend=%3Bseq=141" TargetMode="External"/><Relationship Id="rId135" Type="http://schemas.openxmlformats.org/officeDocument/2006/relationships/hyperlink" Target="http://hdl.handle.net/2027/mdp.39015049037735?urlappend=%3Bseq=138" TargetMode="External"/><Relationship Id="rId151" Type="http://schemas.openxmlformats.org/officeDocument/2006/relationships/hyperlink" Target="http://hdl.handle.net/2027/mdp.39015049037735?urlappend=%3Bseq=139" TargetMode="External"/><Relationship Id="rId156" Type="http://schemas.openxmlformats.org/officeDocument/2006/relationships/hyperlink" Target="http://hdl.handle.net/2027/mdp.39015049037735?urlappend=%3Bseq=139" TargetMode="External"/><Relationship Id="rId177" Type="http://schemas.openxmlformats.org/officeDocument/2006/relationships/hyperlink" Target="http://hdl.handle.net/2027/mdp.39015049037735?urlappend=%3Bseq=140" TargetMode="External"/><Relationship Id="rId198" Type="http://schemas.openxmlformats.org/officeDocument/2006/relationships/hyperlink" Target="http://hdl.handle.net/2027/mdp.39015049037735?urlappend=%3Bseq=141" TargetMode="External"/><Relationship Id="rId172" Type="http://schemas.openxmlformats.org/officeDocument/2006/relationships/hyperlink" Target="http://hdl.handle.net/2027/mdp.39015049037735?urlappend=%3Bseq=139" TargetMode="External"/><Relationship Id="rId193" Type="http://schemas.openxmlformats.org/officeDocument/2006/relationships/hyperlink" Target="http://hdl.handle.net/2027/mdp.39015049037735?urlappend=%3Bseq=141" TargetMode="External"/><Relationship Id="rId202" Type="http://schemas.openxmlformats.org/officeDocument/2006/relationships/hyperlink" Target="https://babel.hathitrust.org/cgi/pt?id=mdp.39015049037743;view=1up;seq=165" TargetMode="External"/><Relationship Id="rId207" Type="http://schemas.openxmlformats.org/officeDocument/2006/relationships/comments" Target="../comments2.xml"/><Relationship Id="rId13" Type="http://schemas.openxmlformats.org/officeDocument/2006/relationships/hyperlink" Target="http://hdl.handle.net/2027/mdp.39015049037735?urlappend=%3Bseq=138" TargetMode="External"/><Relationship Id="rId18" Type="http://schemas.openxmlformats.org/officeDocument/2006/relationships/hyperlink" Target="http://hdl.handle.net/2027/mdp.39015049037735?urlappend=%3Bseq=139" TargetMode="External"/><Relationship Id="rId39" Type="http://schemas.openxmlformats.org/officeDocument/2006/relationships/hyperlink" Target="http://hdl.handle.net/2027/mdp.39015049037735?urlappend=%3Bseq=139" TargetMode="External"/><Relationship Id="rId109" Type="http://schemas.openxmlformats.org/officeDocument/2006/relationships/hyperlink" Target="http://hdl.handle.net/2027/mdp.39015049037735?urlappend=%3Bseq=140" TargetMode="External"/><Relationship Id="rId34" Type="http://schemas.openxmlformats.org/officeDocument/2006/relationships/hyperlink" Target="http://hdl.handle.net/2027/mdp.39015049037735?urlappend=%3Bseq=139" TargetMode="External"/><Relationship Id="rId50" Type="http://schemas.openxmlformats.org/officeDocument/2006/relationships/hyperlink" Target="http://hdl.handle.net/2027/mdp.39015049037735?urlappend=%3Bseq=140" TargetMode="External"/><Relationship Id="rId55" Type="http://schemas.openxmlformats.org/officeDocument/2006/relationships/hyperlink" Target="http://hdl.handle.net/2027/mdp.39015049037735?urlappend=%3Bseq=141" TargetMode="External"/><Relationship Id="rId76" Type="http://schemas.openxmlformats.org/officeDocument/2006/relationships/hyperlink" Target="http://hdl.handle.net/2027/mdp.39015049037735?urlappend=%3Bseq=138" TargetMode="External"/><Relationship Id="rId97" Type="http://schemas.openxmlformats.org/officeDocument/2006/relationships/hyperlink" Target="http://hdl.handle.net/2027/mdp.39015049037735?urlappend=%3Bseq=139" TargetMode="External"/><Relationship Id="rId104" Type="http://schemas.openxmlformats.org/officeDocument/2006/relationships/hyperlink" Target="http://hdl.handle.net/2027/mdp.39015049037735?urlappend=%3Bseq=139" TargetMode="External"/><Relationship Id="rId120" Type="http://schemas.openxmlformats.org/officeDocument/2006/relationships/hyperlink" Target="http://hdl.handle.net/2027/mdp.39015049037735?urlappend=%3Bseq=140" TargetMode="External"/><Relationship Id="rId125" Type="http://schemas.openxmlformats.org/officeDocument/2006/relationships/hyperlink" Target="http://hdl.handle.net/2027/mdp.39015049037735?urlappend=%3Bseq=141" TargetMode="External"/><Relationship Id="rId141" Type="http://schemas.openxmlformats.org/officeDocument/2006/relationships/hyperlink" Target="http://hdl.handle.net/2027/mdp.39015049037735?urlappend=%3Bseq=138" TargetMode="External"/><Relationship Id="rId146" Type="http://schemas.openxmlformats.org/officeDocument/2006/relationships/hyperlink" Target="http://hdl.handle.net/2027/mdp.39015049037735?urlappend=%3Bseq=138" TargetMode="External"/><Relationship Id="rId167" Type="http://schemas.openxmlformats.org/officeDocument/2006/relationships/hyperlink" Target="http://hdl.handle.net/2027/mdp.39015049037735?urlappend=%3Bseq=139" TargetMode="External"/><Relationship Id="rId188" Type="http://schemas.openxmlformats.org/officeDocument/2006/relationships/hyperlink" Target="http://hdl.handle.net/2027/mdp.39015049037735?urlappend=%3Bseq=140" TargetMode="External"/><Relationship Id="rId7" Type="http://schemas.openxmlformats.org/officeDocument/2006/relationships/hyperlink" Target="http://hdl.handle.net/2027/mdp.39015049037735?urlappend=%3Bseq=138" TargetMode="External"/><Relationship Id="rId71" Type="http://schemas.openxmlformats.org/officeDocument/2006/relationships/hyperlink" Target="http://hdl.handle.net/2027/mdp.39015049037735?urlappend=%3Bseq=138" TargetMode="External"/><Relationship Id="rId92" Type="http://schemas.openxmlformats.org/officeDocument/2006/relationships/hyperlink" Target="http://hdl.handle.net/2027/mdp.39015049037735?urlappend=%3Bseq=139" TargetMode="External"/><Relationship Id="rId162" Type="http://schemas.openxmlformats.org/officeDocument/2006/relationships/hyperlink" Target="http://hdl.handle.net/2027/mdp.39015049037735?urlappend=%3Bseq=139" TargetMode="External"/><Relationship Id="rId183" Type="http://schemas.openxmlformats.org/officeDocument/2006/relationships/hyperlink" Target="http://hdl.handle.net/2027/mdp.39015049037735?urlappend=%3Bseq=140" TargetMode="External"/><Relationship Id="rId2" Type="http://schemas.openxmlformats.org/officeDocument/2006/relationships/hyperlink" Target="http://hdl.handle.net/2027/mdp.39015049037735?urlappend=%3Bseq=138" TargetMode="External"/><Relationship Id="rId29" Type="http://schemas.openxmlformats.org/officeDocument/2006/relationships/hyperlink" Target="http://hdl.handle.net/2027/mdp.39015049037735?urlappend=%3Bseq=139" TargetMode="External"/><Relationship Id="rId24" Type="http://schemas.openxmlformats.org/officeDocument/2006/relationships/hyperlink" Target="http://hdl.handle.net/2027/mdp.39015049037735?urlappend=%3Bseq=139" TargetMode="External"/><Relationship Id="rId40" Type="http://schemas.openxmlformats.org/officeDocument/2006/relationships/hyperlink" Target="http://hdl.handle.net/2027/mdp.39015049037735?urlappend=%3Bseq=139" TargetMode="External"/><Relationship Id="rId45" Type="http://schemas.openxmlformats.org/officeDocument/2006/relationships/hyperlink" Target="http://hdl.handle.net/2027/mdp.39015049037735?urlappend=%3Bseq=140" TargetMode="External"/><Relationship Id="rId66" Type="http://schemas.openxmlformats.org/officeDocument/2006/relationships/hyperlink" Target="http://hdl.handle.net/2027/mdp.39015049037735?urlappend=%3Bseq=141" TargetMode="External"/><Relationship Id="rId87" Type="http://schemas.openxmlformats.org/officeDocument/2006/relationships/hyperlink" Target="http://hdl.handle.net/2027/mdp.39015049037735?urlappend=%3Bseq=139" TargetMode="External"/><Relationship Id="rId110" Type="http://schemas.openxmlformats.org/officeDocument/2006/relationships/hyperlink" Target="http://hdl.handle.net/2027/mdp.39015049037735?urlappend=%3Bseq=140" TargetMode="External"/><Relationship Id="rId115" Type="http://schemas.openxmlformats.org/officeDocument/2006/relationships/hyperlink" Target="http://hdl.handle.net/2027/mdp.39015049037735?urlappend=%3Bseq=140" TargetMode="External"/><Relationship Id="rId131" Type="http://schemas.openxmlformats.org/officeDocument/2006/relationships/hyperlink" Target="http://hdl.handle.net/2027/mdp.39015049037735?urlappend=%3Bseq=141" TargetMode="External"/><Relationship Id="rId136" Type="http://schemas.openxmlformats.org/officeDocument/2006/relationships/hyperlink" Target="http://hdl.handle.net/2027/mdp.39015049037735?urlappend=%3Bseq=138" TargetMode="External"/><Relationship Id="rId157" Type="http://schemas.openxmlformats.org/officeDocument/2006/relationships/hyperlink" Target="http://hdl.handle.net/2027/mdp.39015049037735?urlappend=%3Bseq=139" TargetMode="External"/><Relationship Id="rId178" Type="http://schemas.openxmlformats.org/officeDocument/2006/relationships/hyperlink" Target="http://hdl.handle.net/2027/mdp.39015049037735?urlappend=%3Bseq=140" TargetMode="External"/><Relationship Id="rId61" Type="http://schemas.openxmlformats.org/officeDocument/2006/relationships/hyperlink" Target="http://hdl.handle.net/2027/mdp.39015049037735?urlappend=%3Bseq=141" TargetMode="External"/><Relationship Id="rId82" Type="http://schemas.openxmlformats.org/officeDocument/2006/relationships/hyperlink" Target="http://hdl.handle.net/2027/mdp.39015049037735?urlappend=%3Bseq=139" TargetMode="External"/><Relationship Id="rId152" Type="http://schemas.openxmlformats.org/officeDocument/2006/relationships/hyperlink" Target="http://hdl.handle.net/2027/mdp.39015049037735?urlappend=%3Bseq=139" TargetMode="External"/><Relationship Id="rId173" Type="http://schemas.openxmlformats.org/officeDocument/2006/relationships/hyperlink" Target="http://hdl.handle.net/2027/mdp.39015049037735?urlappend=%3Bseq=139" TargetMode="External"/><Relationship Id="rId194" Type="http://schemas.openxmlformats.org/officeDocument/2006/relationships/hyperlink" Target="http://hdl.handle.net/2027/mdp.39015049037735?urlappend=%3Bseq=141" TargetMode="External"/><Relationship Id="rId199" Type="http://schemas.openxmlformats.org/officeDocument/2006/relationships/hyperlink" Target="http://hdl.handle.net/2027/mdp.39015049037735?urlappend=%3Bseq=141" TargetMode="External"/><Relationship Id="rId203" Type="http://schemas.openxmlformats.org/officeDocument/2006/relationships/hyperlink" Target="https://babel.hathitrust.org/cgi/pt?id=mdp.39015049037743;view=1up;seq=166" TargetMode="External"/><Relationship Id="rId19" Type="http://schemas.openxmlformats.org/officeDocument/2006/relationships/hyperlink" Target="http://hdl.handle.net/2027/mdp.39015049037735?urlappend=%3Bseq=139" TargetMode="External"/><Relationship Id="rId14" Type="http://schemas.openxmlformats.org/officeDocument/2006/relationships/hyperlink" Target="http://hdl.handle.net/2027/mdp.39015049037735?urlappend=%3Bseq=139" TargetMode="External"/><Relationship Id="rId30" Type="http://schemas.openxmlformats.org/officeDocument/2006/relationships/hyperlink" Target="http://hdl.handle.net/2027/mdp.39015049037735?urlappend=%3Bseq=139" TargetMode="External"/><Relationship Id="rId35" Type="http://schemas.openxmlformats.org/officeDocument/2006/relationships/hyperlink" Target="http://hdl.handle.net/2027/mdp.39015049037735?urlappend=%3Bseq=139" TargetMode="External"/><Relationship Id="rId56" Type="http://schemas.openxmlformats.org/officeDocument/2006/relationships/hyperlink" Target="http://hdl.handle.net/2027/mdp.39015049037735?urlappend=%3Bseq=141" TargetMode="External"/><Relationship Id="rId77" Type="http://schemas.openxmlformats.org/officeDocument/2006/relationships/hyperlink" Target="http://hdl.handle.net/2027/mdp.39015049037735?urlappend=%3Bseq=138" TargetMode="External"/><Relationship Id="rId100" Type="http://schemas.openxmlformats.org/officeDocument/2006/relationships/hyperlink" Target="http://hdl.handle.net/2027/mdp.39015049037735?urlappend=%3Bseq=139" TargetMode="External"/><Relationship Id="rId105" Type="http://schemas.openxmlformats.org/officeDocument/2006/relationships/hyperlink" Target="http://hdl.handle.net/2027/mdp.39015049037735?urlappend=%3Bseq=139" TargetMode="External"/><Relationship Id="rId126" Type="http://schemas.openxmlformats.org/officeDocument/2006/relationships/hyperlink" Target="http://hdl.handle.net/2027/mdp.39015049037735?urlappend=%3Bseq=141" TargetMode="External"/><Relationship Id="rId147" Type="http://schemas.openxmlformats.org/officeDocument/2006/relationships/hyperlink" Target="http://hdl.handle.net/2027/mdp.39015049037735?urlappend=%3Bseq=138" TargetMode="External"/><Relationship Id="rId168" Type="http://schemas.openxmlformats.org/officeDocument/2006/relationships/hyperlink" Target="http://hdl.handle.net/2027/mdp.39015049037735?urlappend=%3Bseq=139" TargetMode="External"/><Relationship Id="rId8" Type="http://schemas.openxmlformats.org/officeDocument/2006/relationships/hyperlink" Target="http://hdl.handle.net/2027/mdp.39015049037735?urlappend=%3Bseq=138" TargetMode="External"/><Relationship Id="rId51" Type="http://schemas.openxmlformats.org/officeDocument/2006/relationships/hyperlink" Target="http://hdl.handle.net/2027/mdp.39015049037735?urlappend=%3Bseq=140" TargetMode="External"/><Relationship Id="rId72" Type="http://schemas.openxmlformats.org/officeDocument/2006/relationships/hyperlink" Target="http://hdl.handle.net/2027/mdp.39015049037735?urlappend=%3Bseq=138" TargetMode="External"/><Relationship Id="rId93" Type="http://schemas.openxmlformats.org/officeDocument/2006/relationships/hyperlink" Target="http://hdl.handle.net/2027/mdp.39015049037735?urlappend=%3Bseq=139" TargetMode="External"/><Relationship Id="rId98" Type="http://schemas.openxmlformats.org/officeDocument/2006/relationships/hyperlink" Target="http://hdl.handle.net/2027/mdp.39015049037735?urlappend=%3Bseq=139" TargetMode="External"/><Relationship Id="rId121" Type="http://schemas.openxmlformats.org/officeDocument/2006/relationships/hyperlink" Target="http://hdl.handle.net/2027/mdp.39015049037735?urlappend=%3Bseq=140" TargetMode="External"/><Relationship Id="rId142" Type="http://schemas.openxmlformats.org/officeDocument/2006/relationships/hyperlink" Target="http://hdl.handle.net/2027/mdp.39015049037735?urlappend=%3Bseq=138" TargetMode="External"/><Relationship Id="rId163" Type="http://schemas.openxmlformats.org/officeDocument/2006/relationships/hyperlink" Target="http://hdl.handle.net/2027/mdp.39015049037735?urlappend=%3Bseq=139" TargetMode="External"/><Relationship Id="rId184" Type="http://schemas.openxmlformats.org/officeDocument/2006/relationships/hyperlink" Target="http://hdl.handle.net/2027/mdp.39015049037735?urlappend=%3Bseq=140" TargetMode="External"/><Relationship Id="rId189" Type="http://schemas.openxmlformats.org/officeDocument/2006/relationships/hyperlink" Target="http://hdl.handle.net/2027/mdp.39015049037735?urlappend=%3Bseq=141" TargetMode="External"/><Relationship Id="rId3" Type="http://schemas.openxmlformats.org/officeDocument/2006/relationships/hyperlink" Target="http://hdl.handle.net/2027/mdp.39015049037735?urlappend=%3Bseq=138" TargetMode="External"/><Relationship Id="rId25" Type="http://schemas.openxmlformats.org/officeDocument/2006/relationships/hyperlink" Target="http://hdl.handle.net/2027/mdp.39015049037735?urlappend=%3Bseq=139" TargetMode="External"/><Relationship Id="rId46" Type="http://schemas.openxmlformats.org/officeDocument/2006/relationships/hyperlink" Target="http://hdl.handle.net/2027/mdp.39015049037735?urlappend=%3Bseq=140" TargetMode="External"/><Relationship Id="rId67" Type="http://schemas.openxmlformats.org/officeDocument/2006/relationships/hyperlink" Target="http://hdl.handle.net/2027/mdp.39015049037735?urlappend=%3Bseq=141" TargetMode="External"/><Relationship Id="rId116" Type="http://schemas.openxmlformats.org/officeDocument/2006/relationships/hyperlink" Target="http://hdl.handle.net/2027/mdp.39015049037735?urlappend=%3Bseq=140" TargetMode="External"/><Relationship Id="rId137" Type="http://schemas.openxmlformats.org/officeDocument/2006/relationships/hyperlink" Target="http://hdl.handle.net/2027/mdp.39015049037735?urlappend=%3Bseq=138" TargetMode="External"/><Relationship Id="rId158" Type="http://schemas.openxmlformats.org/officeDocument/2006/relationships/hyperlink" Target="http://hdl.handle.net/2027/mdp.39015049037735?urlappend=%3Bseq=139" TargetMode="External"/><Relationship Id="rId20" Type="http://schemas.openxmlformats.org/officeDocument/2006/relationships/hyperlink" Target="http://hdl.handle.net/2027/mdp.39015049037735?urlappend=%3Bseq=139" TargetMode="External"/><Relationship Id="rId41" Type="http://schemas.openxmlformats.org/officeDocument/2006/relationships/hyperlink" Target="http://hdl.handle.net/2027/mdp.39015049037735?urlappend=%3Bseq=140" TargetMode="External"/><Relationship Id="rId62" Type="http://schemas.openxmlformats.org/officeDocument/2006/relationships/hyperlink" Target="http://hdl.handle.net/2027/mdp.39015049037735?urlappend=%3Bseq=141" TargetMode="External"/><Relationship Id="rId83" Type="http://schemas.openxmlformats.org/officeDocument/2006/relationships/hyperlink" Target="http://hdl.handle.net/2027/mdp.39015049037735?urlappend=%3Bseq=139" TargetMode="External"/><Relationship Id="rId88" Type="http://schemas.openxmlformats.org/officeDocument/2006/relationships/hyperlink" Target="http://hdl.handle.net/2027/mdp.39015049037735?urlappend=%3Bseq=139" TargetMode="External"/><Relationship Id="rId111" Type="http://schemas.openxmlformats.org/officeDocument/2006/relationships/hyperlink" Target="http://hdl.handle.net/2027/mdp.39015049037735?urlappend=%3Bseq=140" TargetMode="External"/><Relationship Id="rId132" Type="http://schemas.openxmlformats.org/officeDocument/2006/relationships/hyperlink" Target="http://hdl.handle.net/2027/mdp.39015049037735?urlappend=%3Bseq=141" TargetMode="External"/><Relationship Id="rId153" Type="http://schemas.openxmlformats.org/officeDocument/2006/relationships/hyperlink" Target="http://hdl.handle.net/2027/mdp.39015049037735?urlappend=%3Bseq=139" TargetMode="External"/><Relationship Id="rId174" Type="http://schemas.openxmlformats.org/officeDocument/2006/relationships/hyperlink" Target="http://hdl.handle.net/2027/mdp.39015049037735?urlappend=%3Bseq=139" TargetMode="External"/><Relationship Id="rId179" Type="http://schemas.openxmlformats.org/officeDocument/2006/relationships/hyperlink" Target="http://hdl.handle.net/2027/mdp.39015049037735?urlappend=%3Bseq=140" TargetMode="External"/><Relationship Id="rId195" Type="http://schemas.openxmlformats.org/officeDocument/2006/relationships/hyperlink" Target="http://hdl.handle.net/2027/mdp.39015049037735?urlappend=%3Bseq=141" TargetMode="External"/><Relationship Id="rId190" Type="http://schemas.openxmlformats.org/officeDocument/2006/relationships/hyperlink" Target="http://hdl.handle.net/2027/mdp.39015049037735?urlappend=%3Bseq=141" TargetMode="External"/><Relationship Id="rId204" Type="http://schemas.openxmlformats.org/officeDocument/2006/relationships/hyperlink" Target="https://babel.hathitrust.org/cgi/pt?id=mdp.39015049037743;view=1up;seq=167" TargetMode="External"/><Relationship Id="rId15" Type="http://schemas.openxmlformats.org/officeDocument/2006/relationships/hyperlink" Target="http://hdl.handle.net/2027/mdp.39015049037735?urlappend=%3Bseq=139" TargetMode="External"/><Relationship Id="rId36" Type="http://schemas.openxmlformats.org/officeDocument/2006/relationships/hyperlink" Target="http://hdl.handle.net/2027/mdp.39015049037735?urlappend=%3Bseq=139" TargetMode="External"/><Relationship Id="rId57" Type="http://schemas.openxmlformats.org/officeDocument/2006/relationships/hyperlink" Target="http://hdl.handle.net/2027/mdp.39015049037735?urlappend=%3Bseq=141" TargetMode="External"/><Relationship Id="rId106" Type="http://schemas.openxmlformats.org/officeDocument/2006/relationships/hyperlink" Target="http://hdl.handle.net/2027/mdp.39015049037735?urlappend=%3Bseq=139" TargetMode="External"/><Relationship Id="rId127" Type="http://schemas.openxmlformats.org/officeDocument/2006/relationships/hyperlink" Target="http://hdl.handle.net/2027/mdp.39015049037735?urlappend=%3Bseq=141" TargetMode="External"/><Relationship Id="rId10" Type="http://schemas.openxmlformats.org/officeDocument/2006/relationships/hyperlink" Target="http://hdl.handle.net/2027/mdp.39015049037735?urlappend=%3Bseq=138" TargetMode="External"/><Relationship Id="rId31" Type="http://schemas.openxmlformats.org/officeDocument/2006/relationships/hyperlink" Target="http://hdl.handle.net/2027/mdp.39015049037735?urlappend=%3Bseq=139" TargetMode="External"/><Relationship Id="rId52" Type="http://schemas.openxmlformats.org/officeDocument/2006/relationships/hyperlink" Target="http://hdl.handle.net/2027/mdp.39015049037735?urlappend=%3Bseq=140" TargetMode="External"/><Relationship Id="rId73" Type="http://schemas.openxmlformats.org/officeDocument/2006/relationships/hyperlink" Target="http://hdl.handle.net/2027/mdp.39015049037735?urlappend=%3Bseq=138" TargetMode="External"/><Relationship Id="rId78" Type="http://schemas.openxmlformats.org/officeDocument/2006/relationships/hyperlink" Target="http://hdl.handle.net/2027/mdp.39015049037735?urlappend=%3Bseq=138" TargetMode="External"/><Relationship Id="rId94" Type="http://schemas.openxmlformats.org/officeDocument/2006/relationships/hyperlink" Target="http://hdl.handle.net/2027/mdp.39015049037735?urlappend=%3Bseq=139" TargetMode="External"/><Relationship Id="rId99" Type="http://schemas.openxmlformats.org/officeDocument/2006/relationships/hyperlink" Target="http://hdl.handle.net/2027/mdp.39015049037735?urlappend=%3Bseq=139" TargetMode="External"/><Relationship Id="rId101" Type="http://schemas.openxmlformats.org/officeDocument/2006/relationships/hyperlink" Target="http://hdl.handle.net/2027/mdp.39015049037735?urlappend=%3Bseq=139" TargetMode="External"/><Relationship Id="rId122" Type="http://schemas.openxmlformats.org/officeDocument/2006/relationships/hyperlink" Target="http://hdl.handle.net/2027/mdp.39015049037735?urlappend=%3Bseq=141" TargetMode="External"/><Relationship Id="rId143" Type="http://schemas.openxmlformats.org/officeDocument/2006/relationships/hyperlink" Target="http://hdl.handle.net/2027/mdp.39015049037735?urlappend=%3Bseq=138" TargetMode="External"/><Relationship Id="rId148" Type="http://schemas.openxmlformats.org/officeDocument/2006/relationships/hyperlink" Target="http://hdl.handle.net/2027/mdp.39015049037735?urlappend=%3Bseq=139" TargetMode="External"/><Relationship Id="rId164" Type="http://schemas.openxmlformats.org/officeDocument/2006/relationships/hyperlink" Target="http://hdl.handle.net/2027/mdp.39015049037735?urlappend=%3Bseq=139" TargetMode="External"/><Relationship Id="rId169" Type="http://schemas.openxmlformats.org/officeDocument/2006/relationships/hyperlink" Target="http://hdl.handle.net/2027/mdp.39015049037735?urlappend=%3Bseq=139" TargetMode="External"/><Relationship Id="rId185" Type="http://schemas.openxmlformats.org/officeDocument/2006/relationships/hyperlink" Target="http://hdl.handle.net/2027/mdp.39015049037735?urlappend=%3Bseq=140" TargetMode="External"/><Relationship Id="rId4" Type="http://schemas.openxmlformats.org/officeDocument/2006/relationships/hyperlink" Target="http://hdl.handle.net/2027/mdp.39015049037735?urlappend=%3Bseq=138" TargetMode="External"/><Relationship Id="rId9" Type="http://schemas.openxmlformats.org/officeDocument/2006/relationships/hyperlink" Target="http://hdl.handle.net/2027/mdp.39015049037735?urlappend=%3Bseq=138" TargetMode="External"/><Relationship Id="rId180" Type="http://schemas.openxmlformats.org/officeDocument/2006/relationships/hyperlink" Target="http://hdl.handle.net/2027/mdp.39015049037735?urlappend=%3Bseq=140" TargetMode="External"/><Relationship Id="rId26" Type="http://schemas.openxmlformats.org/officeDocument/2006/relationships/hyperlink" Target="http://hdl.handle.net/2027/mdp.39015049037735?urlappend=%3Bseq=139" TargetMode="External"/><Relationship Id="rId47" Type="http://schemas.openxmlformats.org/officeDocument/2006/relationships/hyperlink" Target="http://hdl.handle.net/2027/mdp.39015049037735?urlappend=%3Bseq=140" TargetMode="External"/><Relationship Id="rId68" Type="http://schemas.openxmlformats.org/officeDocument/2006/relationships/hyperlink" Target="http://hdl.handle.net/2027/mdp.39015049037735?urlappend=%3Bseq=138" TargetMode="External"/><Relationship Id="rId89" Type="http://schemas.openxmlformats.org/officeDocument/2006/relationships/hyperlink" Target="http://hdl.handle.net/2027/mdp.39015049037735?urlappend=%3Bseq=139" TargetMode="External"/><Relationship Id="rId112" Type="http://schemas.openxmlformats.org/officeDocument/2006/relationships/hyperlink" Target="http://hdl.handle.net/2027/mdp.39015049037735?urlappend=%3Bseq=140" TargetMode="External"/><Relationship Id="rId133" Type="http://schemas.openxmlformats.org/officeDocument/2006/relationships/hyperlink" Target="http://hdl.handle.net/2027/mdp.39015049037735?urlappend=%3Bseq=141" TargetMode="External"/><Relationship Id="rId154" Type="http://schemas.openxmlformats.org/officeDocument/2006/relationships/hyperlink" Target="http://hdl.handle.net/2027/mdp.39015049037735?urlappend=%3Bseq=139" TargetMode="External"/><Relationship Id="rId175" Type="http://schemas.openxmlformats.org/officeDocument/2006/relationships/hyperlink" Target="http://hdl.handle.net/2027/mdp.39015049037735?urlappend=%3Bseq=140" TargetMode="External"/><Relationship Id="rId196" Type="http://schemas.openxmlformats.org/officeDocument/2006/relationships/hyperlink" Target="http://hdl.handle.net/2027/mdp.39015049037735?urlappend=%3Bseq=141" TargetMode="External"/><Relationship Id="rId200" Type="http://schemas.openxmlformats.org/officeDocument/2006/relationships/hyperlink" Target="http://hdl.handle.net/2027/mdp.39015049037735?urlappend=%3Bseq=1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/>
  </sheetViews>
  <sheetFormatPr defaultColWidth="15.140625" defaultRowHeight="15" customHeight="1" x14ac:dyDescent="0.25"/>
  <cols>
    <col min="1" max="1" width="17.42578125" style="42" customWidth="1"/>
    <col min="2" max="2" width="13.85546875" style="42" customWidth="1"/>
    <col min="3" max="3" width="7.42578125" style="42" customWidth="1"/>
    <col min="4" max="4" width="21.42578125" style="42" customWidth="1"/>
    <col min="5" max="5" width="3.42578125" style="42" customWidth="1"/>
    <col min="6" max="6" width="28.42578125" style="42" customWidth="1"/>
    <col min="7" max="7" width="50" style="42" customWidth="1"/>
    <col min="8" max="26" width="7.42578125" style="42" customWidth="1"/>
    <col min="27" max="16384" width="15.140625" style="42"/>
  </cols>
  <sheetData>
    <row r="1" spans="1:26" ht="15" customHeight="1" x14ac:dyDescent="0.25">
      <c r="A1" s="66" t="s">
        <v>1808</v>
      </c>
      <c r="B1" s="69" t="s">
        <v>1807</v>
      </c>
      <c r="C1" s="69" t="s">
        <v>1806</v>
      </c>
      <c r="D1" s="69" t="s">
        <v>1805</v>
      </c>
      <c r="E1" s="68"/>
      <c r="F1" s="47" t="s">
        <v>1804</v>
      </c>
      <c r="G1" s="46" t="s">
        <v>1803</v>
      </c>
      <c r="H1" s="67" t="s">
        <v>1802</v>
      </c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</row>
    <row r="2" spans="1:26" ht="15" customHeight="1" x14ac:dyDescent="0.25">
      <c r="A2" s="51" t="s">
        <v>5</v>
      </c>
      <c r="B2" s="49">
        <v>29.4</v>
      </c>
      <c r="C2" s="49">
        <v>656</v>
      </c>
      <c r="D2" s="49">
        <v>2223</v>
      </c>
      <c r="E2" s="58"/>
      <c r="F2" s="47">
        <f t="shared" ref="F2:F9" si="0">(C2/D2)*100</f>
        <v>29.509671614934774</v>
      </c>
      <c r="G2" s="46">
        <f t="shared" ref="G2:G9" si="1">B2-F2</f>
        <v>-0.10967161493477562</v>
      </c>
      <c r="H2" s="43" t="s">
        <v>1800</v>
      </c>
    </row>
    <row r="3" spans="1:26" ht="15" customHeight="1" x14ac:dyDescent="0.25">
      <c r="A3" s="51" t="s">
        <v>1801</v>
      </c>
      <c r="B3" s="49">
        <v>0</v>
      </c>
      <c r="C3" s="49">
        <v>0</v>
      </c>
      <c r="D3" s="49">
        <v>1</v>
      </c>
      <c r="E3" s="48"/>
      <c r="F3" s="47">
        <f t="shared" si="0"/>
        <v>0</v>
      </c>
      <c r="G3" s="46">
        <f t="shared" si="1"/>
        <v>0</v>
      </c>
      <c r="H3" s="45" t="s">
        <v>1800</v>
      </c>
    </row>
    <row r="4" spans="1:26" ht="15" customHeight="1" x14ac:dyDescent="0.25">
      <c r="A4" s="51" t="s">
        <v>171</v>
      </c>
      <c r="B4" s="49">
        <v>3.1</v>
      </c>
      <c r="C4" s="49">
        <v>4</v>
      </c>
      <c r="D4" s="49">
        <v>128</v>
      </c>
      <c r="E4" s="48"/>
      <c r="F4" s="47">
        <f t="shared" si="0"/>
        <v>3.125</v>
      </c>
      <c r="G4" s="46">
        <f t="shared" si="1"/>
        <v>-2.4999999999999911E-2</v>
      </c>
      <c r="H4" s="45" t="s">
        <v>1800</v>
      </c>
    </row>
    <row r="5" spans="1:26" ht="15" customHeight="1" x14ac:dyDescent="0.25">
      <c r="A5" s="51" t="s">
        <v>61</v>
      </c>
      <c r="B5" s="49">
        <v>6.4</v>
      </c>
      <c r="C5" s="49">
        <v>787</v>
      </c>
      <c r="D5" s="49">
        <v>12292</v>
      </c>
      <c r="E5" s="58"/>
      <c r="F5" s="47">
        <f t="shared" si="0"/>
        <v>6.4025382362512211</v>
      </c>
      <c r="G5" s="46">
        <f t="shared" si="1"/>
        <v>-2.5382362512207379E-3</v>
      </c>
      <c r="H5" s="45" t="s">
        <v>1800</v>
      </c>
    </row>
    <row r="6" spans="1:26" ht="15" customHeight="1" x14ac:dyDescent="0.25">
      <c r="A6" s="51" t="s">
        <v>172</v>
      </c>
      <c r="B6" s="49">
        <v>2.1</v>
      </c>
      <c r="C6" s="49">
        <v>11</v>
      </c>
      <c r="D6" s="49">
        <v>527</v>
      </c>
      <c r="E6" s="48"/>
      <c r="F6" s="47">
        <f t="shared" si="0"/>
        <v>2.0872865275142316</v>
      </c>
      <c r="G6" s="46">
        <f t="shared" si="1"/>
        <v>1.2713472485768484E-2</v>
      </c>
      <c r="H6" s="45" t="s">
        <v>1800</v>
      </c>
    </row>
    <row r="7" spans="1:26" ht="15" customHeight="1" x14ac:dyDescent="0.25">
      <c r="A7" s="51" t="s">
        <v>173</v>
      </c>
      <c r="B7" s="49">
        <v>2.4</v>
      </c>
      <c r="C7" s="49">
        <v>9</v>
      </c>
      <c r="D7" s="49">
        <v>368</v>
      </c>
      <c r="E7" s="48"/>
      <c r="F7" s="47">
        <f t="shared" si="0"/>
        <v>2.4456521739130435</v>
      </c>
      <c r="G7" s="46">
        <f t="shared" si="1"/>
        <v>-4.5652173913043548E-2</v>
      </c>
      <c r="H7" s="45" t="s">
        <v>1800</v>
      </c>
    </row>
    <row r="8" spans="1:26" ht="15" customHeight="1" x14ac:dyDescent="0.25">
      <c r="A8" s="51" t="s">
        <v>215</v>
      </c>
      <c r="B8" s="49">
        <v>1.5</v>
      </c>
      <c r="C8" s="49">
        <v>4</v>
      </c>
      <c r="D8" s="49">
        <v>265</v>
      </c>
      <c r="E8" s="48"/>
      <c r="F8" s="47">
        <f t="shared" si="0"/>
        <v>1.5094339622641511</v>
      </c>
      <c r="G8" s="46">
        <f t="shared" si="1"/>
        <v>-9.4339622641510523E-3</v>
      </c>
      <c r="H8" s="45" t="s">
        <v>1800</v>
      </c>
    </row>
    <row r="9" spans="1:26" ht="15" customHeight="1" x14ac:dyDescent="0.25">
      <c r="A9" s="51" t="s">
        <v>174</v>
      </c>
      <c r="B9" s="49">
        <v>8.6999999999999993</v>
      </c>
      <c r="C9" s="49">
        <v>2</v>
      </c>
      <c r="D9" s="49">
        <v>23</v>
      </c>
      <c r="E9" s="48"/>
      <c r="F9" s="47">
        <f t="shared" si="0"/>
        <v>8.695652173913043</v>
      </c>
      <c r="G9" s="46">
        <f t="shared" si="1"/>
        <v>4.3478260869562746E-3</v>
      </c>
      <c r="H9" s="45" t="s">
        <v>1800</v>
      </c>
    </row>
    <row r="10" spans="1:26" ht="15" customHeight="1" x14ac:dyDescent="0.25">
      <c r="A10" s="42" t="s">
        <v>175</v>
      </c>
      <c r="B10" s="63">
        <v>2</v>
      </c>
      <c r="C10" s="63">
        <v>2</v>
      </c>
      <c r="D10" s="63">
        <v>121</v>
      </c>
      <c r="F10" s="65"/>
      <c r="G10" s="64"/>
      <c r="H10" s="59" t="s">
        <v>1800</v>
      </c>
    </row>
    <row r="11" spans="1:26" ht="15" customHeight="1" x14ac:dyDescent="0.25">
      <c r="A11" s="42" t="s">
        <v>176</v>
      </c>
      <c r="B11" s="63">
        <v>32</v>
      </c>
      <c r="C11" s="63">
        <v>1202</v>
      </c>
      <c r="D11" s="63">
        <v>3778</v>
      </c>
      <c r="E11" s="62"/>
      <c r="F11" s="61">
        <v>1.7</v>
      </c>
      <c r="G11" s="60">
        <v>-0.05</v>
      </c>
      <c r="H11" s="59" t="s">
        <v>1800</v>
      </c>
    </row>
    <row r="12" spans="1:26" ht="15" customHeight="1" x14ac:dyDescent="0.25">
      <c r="A12" s="42" t="s">
        <v>89</v>
      </c>
      <c r="B12" s="63">
        <v>33</v>
      </c>
      <c r="C12" s="63">
        <v>1265</v>
      </c>
      <c r="D12" s="63">
        <v>3872</v>
      </c>
      <c r="E12" s="62"/>
      <c r="F12" s="61">
        <v>31.8</v>
      </c>
      <c r="G12" s="60">
        <v>-0.02</v>
      </c>
      <c r="H12" s="59" t="s">
        <v>1800</v>
      </c>
    </row>
    <row r="13" spans="1:26" ht="15" customHeight="1" x14ac:dyDescent="0.25">
      <c r="A13" s="51" t="s">
        <v>177</v>
      </c>
      <c r="B13" s="49">
        <v>2.6</v>
      </c>
      <c r="C13" s="49">
        <v>1</v>
      </c>
      <c r="D13" s="49">
        <v>38</v>
      </c>
      <c r="E13" s="48"/>
      <c r="F13" s="47">
        <f t="shared" ref="F13:F51" si="2">(C13/D13)*100</f>
        <v>2.6315789473684208</v>
      </c>
      <c r="G13" s="46">
        <f t="shared" ref="G13:G51" si="3">B13-F13</f>
        <v>-3.1578947368420707E-2</v>
      </c>
      <c r="H13" s="45" t="s">
        <v>1800</v>
      </c>
    </row>
    <row r="14" spans="1:26" ht="15" customHeight="1" x14ac:dyDescent="0.25">
      <c r="A14" s="51" t="s">
        <v>178</v>
      </c>
      <c r="B14" s="49">
        <v>1.5</v>
      </c>
      <c r="C14" s="49">
        <v>17</v>
      </c>
      <c r="D14" s="49">
        <v>1153</v>
      </c>
      <c r="E14" s="58"/>
      <c r="F14" s="47">
        <f t="shared" si="2"/>
        <v>1.4744145706851692</v>
      </c>
      <c r="G14" s="46">
        <f t="shared" si="3"/>
        <v>2.5585429314830765E-2</v>
      </c>
      <c r="H14" s="45" t="s">
        <v>1800</v>
      </c>
    </row>
    <row r="15" spans="1:26" ht="15" customHeight="1" x14ac:dyDescent="0.25">
      <c r="A15" s="51" t="s">
        <v>179</v>
      </c>
      <c r="B15" s="49">
        <v>1.7</v>
      </c>
      <c r="C15" s="49">
        <v>10</v>
      </c>
      <c r="D15" s="49">
        <v>582</v>
      </c>
      <c r="E15" s="48"/>
      <c r="F15" s="47">
        <f t="shared" si="2"/>
        <v>1.7182130584192441</v>
      </c>
      <c r="G15" s="46">
        <f t="shared" si="3"/>
        <v>-1.8213058419244144E-2</v>
      </c>
      <c r="H15" s="45" t="s">
        <v>1800</v>
      </c>
    </row>
    <row r="16" spans="1:26" ht="15" customHeight="1" x14ac:dyDescent="0.25">
      <c r="A16" s="51" t="s">
        <v>181</v>
      </c>
      <c r="B16" s="49">
        <v>0.5</v>
      </c>
      <c r="C16" s="49">
        <v>2</v>
      </c>
      <c r="D16" s="49">
        <v>418</v>
      </c>
      <c r="E16" s="48"/>
      <c r="F16" s="47">
        <f t="shared" si="2"/>
        <v>0.4784688995215311</v>
      </c>
      <c r="G16" s="46">
        <f t="shared" si="3"/>
        <v>2.1531100478468901E-2</v>
      </c>
      <c r="H16" s="45" t="s">
        <v>1800</v>
      </c>
    </row>
    <row r="17" spans="1:8" ht="15" customHeight="1" x14ac:dyDescent="0.25">
      <c r="A17" s="51" t="s">
        <v>182</v>
      </c>
      <c r="B17" s="49">
        <v>0.8</v>
      </c>
      <c r="C17" s="49">
        <v>3</v>
      </c>
      <c r="D17" s="49">
        <v>354</v>
      </c>
      <c r="E17" s="48"/>
      <c r="F17" s="47">
        <f t="shared" si="2"/>
        <v>0.84745762711864403</v>
      </c>
      <c r="G17" s="46">
        <f t="shared" si="3"/>
        <v>-4.7457627118643986E-2</v>
      </c>
      <c r="H17" s="45" t="s">
        <v>1800</v>
      </c>
    </row>
    <row r="18" spans="1:8" ht="15" customHeight="1" x14ac:dyDescent="0.25">
      <c r="A18" s="51" t="s">
        <v>120</v>
      </c>
      <c r="B18" s="49">
        <v>16.3</v>
      </c>
      <c r="C18" s="49">
        <v>376</v>
      </c>
      <c r="D18" s="49">
        <v>2301</v>
      </c>
      <c r="E18" s="58"/>
      <c r="F18" s="47">
        <f t="shared" si="2"/>
        <v>16.340721425467191</v>
      </c>
      <c r="G18" s="46">
        <f t="shared" si="3"/>
        <v>-4.0721425467189931E-2</v>
      </c>
      <c r="H18" s="45" t="s">
        <v>1800</v>
      </c>
    </row>
    <row r="19" spans="1:8" ht="15" customHeight="1" x14ac:dyDescent="0.25">
      <c r="A19" s="51" t="s">
        <v>152</v>
      </c>
      <c r="B19" s="49">
        <v>27.3</v>
      </c>
      <c r="C19" s="49">
        <v>2010</v>
      </c>
      <c r="D19" s="49">
        <v>7348</v>
      </c>
      <c r="E19" s="58"/>
      <c r="F19" s="47">
        <f t="shared" si="2"/>
        <v>27.35438214480131</v>
      </c>
      <c r="G19" s="46">
        <f t="shared" si="3"/>
        <v>-5.4382144801309096E-2</v>
      </c>
      <c r="H19" s="45" t="s">
        <v>1800</v>
      </c>
    </row>
    <row r="20" spans="1:8" ht="15" customHeight="1" x14ac:dyDescent="0.25">
      <c r="A20" s="51" t="s">
        <v>183</v>
      </c>
      <c r="B20" s="49">
        <v>0.9</v>
      </c>
      <c r="C20" s="49">
        <v>2</v>
      </c>
      <c r="D20" s="49">
        <v>216</v>
      </c>
      <c r="E20" s="48"/>
      <c r="F20" s="47">
        <f t="shared" si="2"/>
        <v>0.92592592592592582</v>
      </c>
      <c r="G20" s="46">
        <f t="shared" si="3"/>
        <v>-2.5925925925925797E-2</v>
      </c>
      <c r="H20" s="45" t="s">
        <v>1800</v>
      </c>
    </row>
    <row r="21" spans="1:8" ht="15" customHeight="1" x14ac:dyDescent="0.25">
      <c r="A21" s="51" t="s">
        <v>184</v>
      </c>
      <c r="B21" s="49">
        <v>2.1</v>
      </c>
      <c r="C21" s="49">
        <v>12</v>
      </c>
      <c r="D21" s="49">
        <v>584</v>
      </c>
      <c r="E21" s="48"/>
      <c r="F21" s="47">
        <f t="shared" si="2"/>
        <v>2.054794520547945</v>
      </c>
      <c r="G21" s="46">
        <f t="shared" si="3"/>
        <v>4.5205479452055108E-2</v>
      </c>
      <c r="H21" s="45" t="s">
        <v>1800</v>
      </c>
    </row>
    <row r="22" spans="1:8" ht="15" customHeight="1" x14ac:dyDescent="0.25">
      <c r="A22" s="51" t="s">
        <v>185</v>
      </c>
      <c r="B22" s="49">
        <v>1.1000000000000001</v>
      </c>
      <c r="C22" s="49">
        <v>9</v>
      </c>
      <c r="D22" s="49">
        <v>813</v>
      </c>
      <c r="E22" s="48"/>
      <c r="F22" s="47">
        <f t="shared" si="2"/>
        <v>1.107011070110701</v>
      </c>
      <c r="G22" s="46">
        <f t="shared" si="3"/>
        <v>-7.011070110700901E-3</v>
      </c>
      <c r="H22" s="45" t="s">
        <v>1800</v>
      </c>
    </row>
    <row r="23" spans="1:8" ht="15" customHeight="1" x14ac:dyDescent="0.25">
      <c r="A23" s="51" t="s">
        <v>186</v>
      </c>
      <c r="B23" s="49">
        <v>1</v>
      </c>
      <c r="C23" s="49">
        <v>7</v>
      </c>
      <c r="D23" s="49">
        <v>665</v>
      </c>
      <c r="E23" s="48"/>
      <c r="F23" s="47">
        <f t="shared" si="2"/>
        <v>1.0526315789473684</v>
      </c>
      <c r="G23" s="46">
        <f t="shared" si="3"/>
        <v>-5.2631578947368363E-2</v>
      </c>
      <c r="H23" s="45" t="s">
        <v>1800</v>
      </c>
    </row>
    <row r="24" spans="1:8" ht="15" customHeight="1" x14ac:dyDescent="0.25">
      <c r="A24" s="51" t="s">
        <v>187</v>
      </c>
      <c r="B24" s="49">
        <v>1.5</v>
      </c>
      <c r="C24" s="49">
        <v>5</v>
      </c>
      <c r="D24" s="49">
        <v>325</v>
      </c>
      <c r="E24" s="48"/>
      <c r="F24" s="47">
        <f t="shared" si="2"/>
        <v>1.5384615384615385</v>
      </c>
      <c r="G24" s="46">
        <f t="shared" si="3"/>
        <v>-3.8461538461538547E-2</v>
      </c>
      <c r="H24" s="45" t="s">
        <v>1800</v>
      </c>
    </row>
    <row r="25" spans="1:8" ht="15" customHeight="1" x14ac:dyDescent="0.25">
      <c r="A25" s="51" t="s">
        <v>73</v>
      </c>
      <c r="B25" s="49">
        <v>27.1</v>
      </c>
      <c r="C25" s="49">
        <v>2358</v>
      </c>
      <c r="D25" s="49">
        <v>8684</v>
      </c>
      <c r="E25" s="58"/>
      <c r="F25" s="47">
        <f t="shared" si="2"/>
        <v>27.153385536619069</v>
      </c>
      <c r="G25" s="46">
        <f t="shared" si="3"/>
        <v>-5.3385536619067864E-2</v>
      </c>
      <c r="H25" s="45" t="s">
        <v>1800</v>
      </c>
    </row>
    <row r="26" spans="1:8" ht="15" customHeight="1" x14ac:dyDescent="0.25">
      <c r="A26" s="51" t="s">
        <v>188</v>
      </c>
      <c r="B26" s="49">
        <v>1.8</v>
      </c>
      <c r="C26" s="49">
        <v>41</v>
      </c>
      <c r="D26" s="49">
        <v>2326</v>
      </c>
      <c r="E26" s="58"/>
      <c r="F26" s="47">
        <f t="shared" si="2"/>
        <v>1.7626827171109201</v>
      </c>
      <c r="G26" s="46">
        <f t="shared" si="3"/>
        <v>3.7317282889079983E-2</v>
      </c>
      <c r="H26" s="45" t="s">
        <v>1800</v>
      </c>
    </row>
    <row r="27" spans="1:8" ht="15" customHeight="1" x14ac:dyDescent="0.25">
      <c r="A27" s="51" t="s">
        <v>189</v>
      </c>
      <c r="B27" s="49">
        <v>1.2</v>
      </c>
      <c r="C27" s="49">
        <v>1</v>
      </c>
      <c r="D27" s="49">
        <v>81</v>
      </c>
      <c r="E27" s="48"/>
      <c r="F27" s="47">
        <f t="shared" si="2"/>
        <v>1.2345679012345678</v>
      </c>
      <c r="G27" s="46">
        <f t="shared" si="3"/>
        <v>-3.4567901234567877E-2</v>
      </c>
      <c r="H27" s="45" t="s">
        <v>1800</v>
      </c>
    </row>
    <row r="28" spans="1:8" ht="15" customHeight="1" x14ac:dyDescent="0.25">
      <c r="A28" s="51" t="s">
        <v>190</v>
      </c>
      <c r="B28" s="49">
        <v>0.9</v>
      </c>
      <c r="C28" s="49">
        <v>3</v>
      </c>
      <c r="D28" s="49">
        <v>345</v>
      </c>
      <c r="E28" s="48"/>
      <c r="F28" s="47">
        <f t="shared" si="2"/>
        <v>0.86956521739130432</v>
      </c>
      <c r="G28" s="46">
        <f t="shared" si="3"/>
        <v>3.0434782608695699E-2</v>
      </c>
      <c r="H28" s="45" t="s">
        <v>1800</v>
      </c>
    </row>
    <row r="29" spans="1:8" ht="15" customHeight="1" x14ac:dyDescent="0.25">
      <c r="A29" s="51" t="s">
        <v>74</v>
      </c>
      <c r="B29" s="49">
        <v>8.3000000000000007</v>
      </c>
      <c r="C29" s="49">
        <v>2</v>
      </c>
      <c r="D29" s="49">
        <v>24</v>
      </c>
      <c r="E29" s="48"/>
      <c r="F29" s="47">
        <f t="shared" si="2"/>
        <v>8.3333333333333321</v>
      </c>
      <c r="G29" s="46">
        <f t="shared" si="3"/>
        <v>-3.3333333333331439E-2</v>
      </c>
      <c r="H29" s="45" t="s">
        <v>1800</v>
      </c>
    </row>
    <row r="30" spans="1:8" ht="15" customHeight="1" x14ac:dyDescent="0.25">
      <c r="A30" s="51" t="s">
        <v>191</v>
      </c>
      <c r="B30" s="49">
        <v>4.2</v>
      </c>
      <c r="C30" s="49">
        <v>2</v>
      </c>
      <c r="D30" s="49">
        <v>47</v>
      </c>
      <c r="E30" s="48"/>
      <c r="F30" s="47">
        <f t="shared" si="2"/>
        <v>4.2553191489361701</v>
      </c>
      <c r="G30" s="46">
        <f t="shared" si="3"/>
        <v>-5.531914893616996E-2</v>
      </c>
      <c r="H30" s="45" t="s">
        <v>1800</v>
      </c>
    </row>
    <row r="31" spans="1:8" ht="15" customHeight="1" x14ac:dyDescent="0.25">
      <c r="A31" s="51" t="s">
        <v>192</v>
      </c>
      <c r="B31" s="49">
        <v>0.3</v>
      </c>
      <c r="C31" s="49">
        <v>1</v>
      </c>
      <c r="D31" s="49">
        <v>284</v>
      </c>
      <c r="E31" s="48"/>
      <c r="F31" s="47">
        <f t="shared" si="2"/>
        <v>0.35211267605633806</v>
      </c>
      <c r="G31" s="46">
        <f t="shared" si="3"/>
        <v>-5.211267605633807E-2</v>
      </c>
      <c r="H31" s="45" t="s">
        <v>1800</v>
      </c>
    </row>
    <row r="32" spans="1:8" ht="15" customHeight="1" x14ac:dyDescent="0.25">
      <c r="A32" s="51" t="s">
        <v>193</v>
      </c>
      <c r="B32" s="49">
        <v>2.6</v>
      </c>
      <c r="C32" s="49">
        <v>9</v>
      </c>
      <c r="D32" s="49">
        <v>345</v>
      </c>
      <c r="E32" s="48"/>
      <c r="F32" s="47">
        <f t="shared" si="2"/>
        <v>2.6086956521739131</v>
      </c>
      <c r="G32" s="46">
        <f t="shared" si="3"/>
        <v>-8.6956521739129933E-3</v>
      </c>
      <c r="H32" s="45" t="s">
        <v>1800</v>
      </c>
    </row>
    <row r="33" spans="1:8" ht="15" customHeight="1" x14ac:dyDescent="0.25">
      <c r="A33" s="51" t="s">
        <v>194</v>
      </c>
      <c r="B33" s="49">
        <v>0.7</v>
      </c>
      <c r="C33" s="49">
        <v>11</v>
      </c>
      <c r="D33" s="49">
        <v>1479</v>
      </c>
      <c r="E33" s="58"/>
      <c r="F33" s="47">
        <f t="shared" si="2"/>
        <v>0.74374577417173771</v>
      </c>
      <c r="G33" s="46">
        <f t="shared" si="3"/>
        <v>-4.374577417173775E-2</v>
      </c>
      <c r="H33" s="45" t="s">
        <v>1800</v>
      </c>
    </row>
    <row r="34" spans="1:8" ht="15" customHeight="1" x14ac:dyDescent="0.25">
      <c r="A34" s="51" t="s">
        <v>195</v>
      </c>
      <c r="B34" s="49">
        <v>27.2</v>
      </c>
      <c r="C34" s="49">
        <v>3402</v>
      </c>
      <c r="D34" s="49">
        <v>12558</v>
      </c>
      <c r="E34" s="58"/>
      <c r="F34" s="47">
        <f t="shared" si="2"/>
        <v>27.090301003344479</v>
      </c>
      <c r="G34" s="46">
        <f t="shared" si="3"/>
        <v>0.10969899665552063</v>
      </c>
      <c r="H34" s="45" t="s">
        <v>1800</v>
      </c>
    </row>
    <row r="35" spans="1:8" ht="15" customHeight="1" x14ac:dyDescent="0.25">
      <c r="A35" s="51" t="s">
        <v>196</v>
      </c>
      <c r="B35" s="49">
        <v>0</v>
      </c>
      <c r="C35" s="49">
        <v>0</v>
      </c>
      <c r="D35" s="49">
        <v>82</v>
      </c>
      <c r="E35" s="48"/>
      <c r="F35" s="47">
        <f t="shared" si="2"/>
        <v>0</v>
      </c>
      <c r="G35" s="46">
        <f t="shared" si="3"/>
        <v>0</v>
      </c>
      <c r="H35" s="45" t="s">
        <v>1800</v>
      </c>
    </row>
    <row r="36" spans="1:8" ht="15" customHeight="1" x14ac:dyDescent="0.25">
      <c r="A36" s="51" t="s">
        <v>144</v>
      </c>
      <c r="B36" s="49">
        <v>3.5</v>
      </c>
      <c r="C36" s="49">
        <v>45</v>
      </c>
      <c r="D36" s="49">
        <v>1277</v>
      </c>
      <c r="E36" s="58"/>
      <c r="F36" s="47">
        <f t="shared" si="2"/>
        <v>3.523884103367267</v>
      </c>
      <c r="G36" s="46">
        <f t="shared" si="3"/>
        <v>-2.3884103367266984E-2</v>
      </c>
      <c r="H36" s="45" t="s">
        <v>1800</v>
      </c>
    </row>
    <row r="37" spans="1:8" ht="15" customHeight="1" x14ac:dyDescent="0.25">
      <c r="A37" s="51" t="s">
        <v>197</v>
      </c>
      <c r="B37" s="49">
        <v>6.9</v>
      </c>
      <c r="C37" s="49">
        <v>607</v>
      </c>
      <c r="D37" s="49">
        <v>8686</v>
      </c>
      <c r="E37" s="58"/>
      <c r="F37" s="47">
        <f t="shared" si="2"/>
        <v>6.9882569652314066</v>
      </c>
      <c r="G37" s="46">
        <f t="shared" si="3"/>
        <v>-8.8256965231406248E-2</v>
      </c>
      <c r="H37" s="45" t="s">
        <v>1800</v>
      </c>
    </row>
    <row r="38" spans="1:8" ht="15" customHeight="1" x14ac:dyDescent="0.25">
      <c r="A38" s="51" t="s">
        <v>198</v>
      </c>
      <c r="B38" s="49">
        <v>2.5</v>
      </c>
      <c r="C38" s="49">
        <v>2</v>
      </c>
      <c r="D38" s="49">
        <v>81</v>
      </c>
      <c r="E38" s="48"/>
      <c r="F38" s="47">
        <f t="shared" si="2"/>
        <v>2.4691358024691357</v>
      </c>
      <c r="G38" s="46">
        <f t="shared" si="3"/>
        <v>3.0864197530864335E-2</v>
      </c>
      <c r="H38" s="45" t="s">
        <v>1800</v>
      </c>
    </row>
    <row r="39" spans="1:8" ht="15" customHeight="1" x14ac:dyDescent="0.25">
      <c r="A39" s="51" t="s">
        <v>199</v>
      </c>
      <c r="B39" s="49">
        <v>0.4</v>
      </c>
      <c r="C39" s="49">
        <v>4</v>
      </c>
      <c r="D39" s="49">
        <v>1074</v>
      </c>
      <c r="E39" s="58"/>
      <c r="F39" s="47">
        <f t="shared" si="2"/>
        <v>0.37243947858472998</v>
      </c>
      <c r="G39" s="46">
        <f t="shared" si="3"/>
        <v>2.7560521415270045E-2</v>
      </c>
      <c r="H39" s="45" t="s">
        <v>1800</v>
      </c>
    </row>
    <row r="40" spans="1:8" ht="15" customHeight="1" x14ac:dyDescent="0.25">
      <c r="A40" s="51" t="s">
        <v>200</v>
      </c>
      <c r="B40" s="49">
        <v>1.4</v>
      </c>
      <c r="C40" s="49">
        <v>1</v>
      </c>
      <c r="D40" s="49">
        <v>73</v>
      </c>
      <c r="E40" s="48"/>
      <c r="F40" s="47">
        <f t="shared" si="2"/>
        <v>1.3698630136986301</v>
      </c>
      <c r="G40" s="46">
        <f t="shared" si="3"/>
        <v>3.013698630136985E-2</v>
      </c>
      <c r="H40" s="45" t="s">
        <v>1800</v>
      </c>
    </row>
    <row r="41" spans="1:8" ht="15" customHeight="1" x14ac:dyDescent="0.25">
      <c r="A41" s="51" t="s">
        <v>201</v>
      </c>
      <c r="B41" s="49">
        <v>23.6</v>
      </c>
      <c r="C41" s="49">
        <v>1918</v>
      </c>
      <c r="D41" s="49">
        <v>8135</v>
      </c>
      <c r="E41" s="58"/>
      <c r="F41" s="47">
        <f t="shared" si="2"/>
        <v>23.577135832821146</v>
      </c>
      <c r="G41" s="46">
        <f t="shared" si="3"/>
        <v>2.2864167178855865E-2</v>
      </c>
      <c r="H41" s="45" t="s">
        <v>1800</v>
      </c>
    </row>
    <row r="42" spans="1:8" ht="15" customHeight="1" x14ac:dyDescent="0.25">
      <c r="A42" s="51" t="s">
        <v>202</v>
      </c>
      <c r="B42" s="49">
        <v>1.6</v>
      </c>
      <c r="C42" s="49">
        <v>1</v>
      </c>
      <c r="D42" s="49">
        <v>63</v>
      </c>
      <c r="E42" s="48"/>
      <c r="F42" s="47">
        <f t="shared" si="2"/>
        <v>1.5873015873015872</v>
      </c>
      <c r="G42" s="46">
        <f t="shared" si="3"/>
        <v>1.2698412698412875E-2</v>
      </c>
      <c r="H42" s="45" t="s">
        <v>1800</v>
      </c>
    </row>
    <row r="43" spans="1:8" ht="15" customHeight="1" x14ac:dyDescent="0.25">
      <c r="A43" s="51" t="s">
        <v>203</v>
      </c>
      <c r="B43" s="49">
        <v>12.3</v>
      </c>
      <c r="C43" s="49">
        <v>1233</v>
      </c>
      <c r="D43" s="49">
        <v>9722</v>
      </c>
      <c r="E43" s="58"/>
      <c r="F43" s="47">
        <f t="shared" si="2"/>
        <v>12.682575601728038</v>
      </c>
      <c r="G43" s="46">
        <f t="shared" si="3"/>
        <v>-0.38257560172803728</v>
      </c>
      <c r="H43" s="45" t="s">
        <v>1800</v>
      </c>
    </row>
    <row r="44" spans="1:8" ht="15" customHeight="1" x14ac:dyDescent="0.25">
      <c r="A44" s="51" t="s">
        <v>204</v>
      </c>
      <c r="B44" s="49">
        <v>11.7</v>
      </c>
      <c r="C44" s="49">
        <v>3494</v>
      </c>
      <c r="D44" s="49">
        <v>29837</v>
      </c>
      <c r="E44" s="58"/>
      <c r="F44" s="47">
        <f t="shared" si="2"/>
        <v>11.710292589737573</v>
      </c>
      <c r="G44" s="46">
        <f t="shared" si="3"/>
        <v>-1.0292589737574076E-2</v>
      </c>
      <c r="H44" s="45" t="s">
        <v>1800</v>
      </c>
    </row>
    <row r="45" spans="1:8" ht="15" customHeight="1" x14ac:dyDescent="0.25">
      <c r="A45" s="51" t="s">
        <v>205</v>
      </c>
      <c r="B45" s="49">
        <v>3.3</v>
      </c>
      <c r="C45" s="49">
        <v>2</v>
      </c>
      <c r="D45" s="49">
        <v>61</v>
      </c>
      <c r="E45" s="48"/>
      <c r="F45" s="47">
        <f t="shared" si="2"/>
        <v>3.278688524590164</v>
      </c>
      <c r="G45" s="46">
        <f t="shared" si="3"/>
        <v>2.1311475409835801E-2</v>
      </c>
      <c r="H45" s="45" t="s">
        <v>1800</v>
      </c>
    </row>
    <row r="46" spans="1:8" ht="15" customHeight="1" x14ac:dyDescent="0.25">
      <c r="A46" s="51" t="s">
        <v>206</v>
      </c>
      <c r="B46" s="49">
        <v>1.2</v>
      </c>
      <c r="C46" s="49">
        <v>1</v>
      </c>
      <c r="D46" s="49">
        <v>84</v>
      </c>
      <c r="E46" s="48"/>
      <c r="F46" s="47">
        <f t="shared" si="2"/>
        <v>1.1904761904761905</v>
      </c>
      <c r="G46" s="46">
        <f t="shared" si="3"/>
        <v>9.52380952380949E-3</v>
      </c>
      <c r="H46" s="45" t="s">
        <v>1800</v>
      </c>
    </row>
    <row r="47" spans="1:8" ht="15" customHeight="1" x14ac:dyDescent="0.25">
      <c r="A47" s="51" t="s">
        <v>207</v>
      </c>
      <c r="B47" s="49">
        <v>6.5</v>
      </c>
      <c r="C47" s="49">
        <v>65</v>
      </c>
      <c r="D47" s="49">
        <v>969</v>
      </c>
      <c r="E47" s="48"/>
      <c r="F47" s="47">
        <f t="shared" si="2"/>
        <v>6.707946336429309</v>
      </c>
      <c r="G47" s="46">
        <f t="shared" si="3"/>
        <v>-0.20794633642930904</v>
      </c>
      <c r="H47" s="45" t="s">
        <v>1800</v>
      </c>
    </row>
    <row r="48" spans="1:8" ht="15" customHeight="1" x14ac:dyDescent="0.25">
      <c r="A48" s="51" t="s">
        <v>56</v>
      </c>
      <c r="B48" s="49">
        <v>2.2000000000000002</v>
      </c>
      <c r="C48" s="49">
        <v>3</v>
      </c>
      <c r="D48" s="49">
        <v>137</v>
      </c>
      <c r="E48" s="48"/>
      <c r="F48" s="47">
        <f t="shared" si="2"/>
        <v>2.1897810218978102</v>
      </c>
      <c r="G48" s="46">
        <f t="shared" si="3"/>
        <v>1.0218978102189968E-2</v>
      </c>
      <c r="H48" s="45" t="s">
        <v>1800</v>
      </c>
    </row>
    <row r="49" spans="1:26" ht="15" customHeight="1" x14ac:dyDescent="0.25">
      <c r="A49" s="51" t="s">
        <v>208</v>
      </c>
      <c r="B49" s="49">
        <v>3.7</v>
      </c>
      <c r="C49" s="49">
        <v>36</v>
      </c>
      <c r="D49" s="49">
        <v>972</v>
      </c>
      <c r="E49" s="48"/>
      <c r="F49" s="47">
        <f t="shared" si="2"/>
        <v>3.7037037037037033</v>
      </c>
      <c r="G49" s="46">
        <f t="shared" si="3"/>
        <v>-3.7037037037030984E-3</v>
      </c>
      <c r="H49" s="45" t="s">
        <v>1800</v>
      </c>
    </row>
    <row r="50" spans="1:26" ht="15" customHeight="1" x14ac:dyDescent="0.25">
      <c r="A50" s="51" t="s">
        <v>209</v>
      </c>
      <c r="B50" s="49">
        <v>0.7</v>
      </c>
      <c r="C50" s="49">
        <v>2</v>
      </c>
      <c r="D50" s="49">
        <v>278</v>
      </c>
      <c r="E50" s="48"/>
      <c r="F50" s="47">
        <f t="shared" si="2"/>
        <v>0.71942446043165476</v>
      </c>
      <c r="G50" s="46">
        <f t="shared" si="3"/>
        <v>-1.94244604316548E-2</v>
      </c>
      <c r="H50" s="45" t="s">
        <v>1800</v>
      </c>
    </row>
    <row r="51" spans="1:26" ht="15" customHeight="1" x14ac:dyDescent="0.25">
      <c r="A51" s="51" t="s">
        <v>210</v>
      </c>
      <c r="B51" s="49">
        <v>0</v>
      </c>
      <c r="C51" s="49">
        <v>0</v>
      </c>
      <c r="D51" s="49">
        <v>41</v>
      </c>
      <c r="E51" s="48"/>
      <c r="F51" s="47">
        <f t="shared" si="2"/>
        <v>0</v>
      </c>
      <c r="G51" s="46">
        <f t="shared" si="3"/>
        <v>0</v>
      </c>
      <c r="H51" s="45" t="s">
        <v>1800</v>
      </c>
    </row>
    <row r="52" spans="1:26" ht="15" customHeight="1" x14ac:dyDescent="0.25">
      <c r="A52" s="48"/>
      <c r="B52" s="57"/>
      <c r="C52" s="57"/>
      <c r="D52" s="57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5" customHeight="1" x14ac:dyDescent="0.25">
      <c r="B53" s="56">
        <v>3.3</v>
      </c>
      <c r="C53" s="56">
        <v>19732</v>
      </c>
      <c r="D53" s="56">
        <v>594238</v>
      </c>
      <c r="E53" s="53"/>
      <c r="F53" s="55" t="s">
        <v>1799</v>
      </c>
      <c r="G53" s="46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5" customHeight="1" x14ac:dyDescent="0.25">
      <c r="B54" s="54">
        <f>(C54/D54)*100</f>
        <v>15.570001585539877</v>
      </c>
      <c r="C54" s="54">
        <f>SUM(C2:C51)</f>
        <v>19640</v>
      </c>
      <c r="D54" s="54">
        <f>SUM(D2:D51)</f>
        <v>126140</v>
      </c>
      <c r="E54" s="53"/>
      <c r="F54" s="52" t="s">
        <v>1798</v>
      </c>
      <c r="G54" s="46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5" customHeight="1" x14ac:dyDescent="0.25">
      <c r="A55" s="51"/>
      <c r="B55" s="49"/>
      <c r="C55" s="50"/>
      <c r="D55" s="49"/>
      <c r="E55" s="48"/>
      <c r="F55" s="47"/>
      <c r="G55" s="46"/>
    </row>
    <row r="56" spans="1:26" ht="15" customHeight="1" x14ac:dyDescent="0.25">
      <c r="A56" s="51"/>
      <c r="B56" s="49"/>
      <c r="C56" s="50"/>
      <c r="D56" s="49"/>
      <c r="E56" s="48"/>
      <c r="F56" s="47"/>
      <c r="G56" s="46"/>
    </row>
    <row r="57" spans="1:26" ht="15" customHeight="1" x14ac:dyDescent="0.25">
      <c r="A57" s="51"/>
      <c r="B57" s="49"/>
      <c r="C57" s="50"/>
      <c r="D57" s="49"/>
      <c r="E57" s="48"/>
      <c r="F57" s="47"/>
      <c r="G57" s="46"/>
    </row>
    <row r="58" spans="1:26" ht="15" customHeight="1" x14ac:dyDescent="0.25">
      <c r="A58" s="51"/>
      <c r="B58" s="49"/>
      <c r="C58" s="50"/>
      <c r="D58" s="49"/>
      <c r="E58" s="48"/>
      <c r="F58" s="47"/>
      <c r="G58" s="46"/>
    </row>
    <row r="59" spans="1:26" ht="15" customHeight="1" x14ac:dyDescent="0.25">
      <c r="A59" s="51"/>
      <c r="B59" s="49"/>
      <c r="C59" s="50"/>
      <c r="D59" s="49"/>
      <c r="E59" s="48"/>
      <c r="F59" s="47"/>
      <c r="G59" s="46"/>
    </row>
    <row r="60" spans="1:26" ht="15" customHeight="1" x14ac:dyDescent="0.25">
      <c r="A60" s="51"/>
      <c r="B60" s="49"/>
      <c r="C60" s="50"/>
      <c r="D60" s="49"/>
      <c r="E60" s="48"/>
      <c r="F60" s="47"/>
      <c r="G60" s="46"/>
    </row>
    <row r="61" spans="1:26" ht="15" customHeight="1" x14ac:dyDescent="0.25">
      <c r="A61" s="51"/>
      <c r="B61" s="49"/>
      <c r="C61" s="50"/>
      <c r="D61" s="49"/>
      <c r="E61" s="48"/>
      <c r="F61" s="47"/>
      <c r="G61" s="46"/>
    </row>
    <row r="62" spans="1:26" ht="15" customHeight="1" x14ac:dyDescent="0.25">
      <c r="A62" s="51"/>
      <c r="B62" s="49"/>
      <c r="C62" s="50"/>
      <c r="D62" s="49"/>
      <c r="E62" s="48"/>
      <c r="F62" s="47"/>
      <c r="G62" s="46"/>
    </row>
    <row r="63" spans="1:26" ht="15" customHeight="1" x14ac:dyDescent="0.25">
      <c r="A63" s="51"/>
      <c r="B63" s="49"/>
      <c r="C63" s="50"/>
      <c r="D63" s="49"/>
      <c r="E63" s="48"/>
      <c r="F63" s="47"/>
      <c r="G63" s="46"/>
    </row>
    <row r="64" spans="1:26" ht="15" customHeight="1" x14ac:dyDescent="0.25">
      <c r="A64" s="51"/>
      <c r="B64" s="49"/>
      <c r="C64" s="50"/>
      <c r="D64" s="49"/>
      <c r="E64" s="48"/>
      <c r="F64" s="47"/>
      <c r="G64" s="46"/>
    </row>
    <row r="65" spans="1:7" ht="15" customHeight="1" x14ac:dyDescent="0.25">
      <c r="A65" s="51"/>
      <c r="B65" s="49"/>
      <c r="C65" s="50"/>
      <c r="D65" s="49"/>
      <c r="E65" s="48"/>
      <c r="F65" s="47"/>
      <c r="G65" s="46"/>
    </row>
    <row r="66" spans="1:7" ht="15" customHeight="1" x14ac:dyDescent="0.25">
      <c r="A66" s="51"/>
      <c r="B66" s="49"/>
      <c r="C66" s="50"/>
      <c r="D66" s="49"/>
      <c r="E66" s="48"/>
      <c r="F66" s="47"/>
      <c r="G66" s="46"/>
    </row>
    <row r="67" spans="1:7" ht="15" customHeight="1" x14ac:dyDescent="0.25">
      <c r="A67" s="51"/>
      <c r="B67" s="49"/>
      <c r="C67" s="50"/>
      <c r="D67" s="49"/>
      <c r="E67" s="48"/>
      <c r="F67" s="47"/>
      <c r="G67" s="46"/>
    </row>
    <row r="68" spans="1:7" ht="15" customHeight="1" x14ac:dyDescent="0.25">
      <c r="A68" s="51"/>
      <c r="B68" s="49"/>
      <c r="C68" s="50"/>
      <c r="D68" s="49"/>
      <c r="E68" s="48"/>
      <c r="F68" s="47"/>
      <c r="G68" s="46"/>
    </row>
    <row r="69" spans="1:7" ht="15" customHeight="1" x14ac:dyDescent="0.25">
      <c r="A69" s="51"/>
      <c r="B69" s="49"/>
      <c r="C69" s="50"/>
      <c r="D69" s="49"/>
      <c r="E69" s="48"/>
      <c r="F69" s="47"/>
      <c r="G69" s="46"/>
    </row>
    <row r="70" spans="1:7" ht="15" customHeight="1" x14ac:dyDescent="0.25">
      <c r="A70" s="51"/>
      <c r="B70" s="49"/>
      <c r="C70" s="50"/>
      <c r="D70" s="49"/>
      <c r="E70" s="48"/>
      <c r="F70" s="47"/>
      <c r="G70" s="46"/>
    </row>
    <row r="71" spans="1:7" ht="15" customHeight="1" x14ac:dyDescent="0.25">
      <c r="A71" s="51"/>
      <c r="B71" s="49"/>
      <c r="C71" s="50"/>
      <c r="D71" s="49"/>
      <c r="E71" s="48"/>
      <c r="F71" s="47"/>
      <c r="G71" s="46"/>
    </row>
    <row r="72" spans="1:7" ht="15" customHeight="1" x14ac:dyDescent="0.25">
      <c r="A72" s="51"/>
      <c r="B72" s="49"/>
      <c r="C72" s="50"/>
      <c r="D72" s="49"/>
      <c r="E72" s="48"/>
      <c r="F72" s="47"/>
      <c r="G72" s="46"/>
    </row>
    <row r="73" spans="1:7" ht="15" customHeight="1" x14ac:dyDescent="0.25">
      <c r="A73" s="51"/>
      <c r="B73" s="49"/>
      <c r="C73" s="50"/>
      <c r="D73" s="49"/>
      <c r="E73" s="48"/>
      <c r="F73" s="47"/>
      <c r="G73" s="46"/>
    </row>
    <row r="74" spans="1:7" ht="15" customHeight="1" x14ac:dyDescent="0.25">
      <c r="A74" s="51"/>
      <c r="B74" s="49"/>
      <c r="C74" s="50"/>
      <c r="D74" s="49"/>
      <c r="E74" s="48"/>
      <c r="F74" s="47"/>
      <c r="G74" s="46"/>
    </row>
    <row r="75" spans="1:7" ht="15" customHeight="1" x14ac:dyDescent="0.25">
      <c r="A75" s="51"/>
      <c r="B75" s="49"/>
      <c r="C75" s="50"/>
      <c r="D75" s="49"/>
      <c r="E75" s="48"/>
      <c r="F75" s="47"/>
      <c r="G75" s="46"/>
    </row>
    <row r="76" spans="1:7" ht="15" customHeight="1" x14ac:dyDescent="0.25">
      <c r="A76" s="51"/>
      <c r="B76" s="49"/>
      <c r="C76" s="50"/>
      <c r="D76" s="49"/>
      <c r="E76" s="48"/>
      <c r="F76" s="47"/>
      <c r="G76" s="46"/>
    </row>
    <row r="77" spans="1:7" ht="15" customHeight="1" x14ac:dyDescent="0.25">
      <c r="A77" s="51"/>
      <c r="B77" s="49"/>
      <c r="C77" s="50"/>
      <c r="D77" s="49"/>
      <c r="E77" s="48"/>
      <c r="F77" s="47"/>
      <c r="G77" s="46"/>
    </row>
    <row r="78" spans="1:7" ht="15" customHeight="1" x14ac:dyDescent="0.25">
      <c r="A78" s="51"/>
      <c r="B78" s="49"/>
      <c r="C78" s="50"/>
      <c r="D78" s="49"/>
      <c r="E78" s="48"/>
      <c r="F78" s="47"/>
      <c r="G78" s="46"/>
    </row>
    <row r="79" spans="1:7" ht="15" customHeight="1" x14ac:dyDescent="0.25">
      <c r="A79" s="51"/>
      <c r="B79" s="49"/>
      <c r="C79" s="50"/>
      <c r="D79" s="49"/>
      <c r="E79" s="48"/>
      <c r="F79" s="47"/>
      <c r="G79" s="46"/>
    </row>
    <row r="80" spans="1:7" ht="15" customHeight="1" x14ac:dyDescent="0.25">
      <c r="A80" s="51"/>
      <c r="B80" s="49"/>
      <c r="C80" s="50"/>
      <c r="D80" s="49"/>
      <c r="E80" s="48"/>
      <c r="F80" s="47"/>
      <c r="G80" s="46"/>
    </row>
    <row r="81" spans="1:7" ht="15" customHeight="1" x14ac:dyDescent="0.25">
      <c r="A81" s="51"/>
      <c r="B81" s="49"/>
      <c r="C81" s="50"/>
      <c r="D81" s="49"/>
      <c r="E81" s="48"/>
      <c r="F81" s="47"/>
      <c r="G81" s="46"/>
    </row>
    <row r="82" spans="1:7" ht="15" customHeight="1" x14ac:dyDescent="0.25">
      <c r="A82" s="51"/>
      <c r="B82" s="49"/>
      <c r="C82" s="50"/>
      <c r="D82" s="49"/>
      <c r="E82" s="48"/>
      <c r="F82" s="47"/>
      <c r="G82" s="46"/>
    </row>
    <row r="83" spans="1:7" ht="15" customHeight="1" x14ac:dyDescent="0.25">
      <c r="A83" s="51"/>
      <c r="B83" s="49"/>
      <c r="C83" s="50"/>
      <c r="D83" s="49"/>
      <c r="E83" s="48"/>
      <c r="F83" s="47"/>
      <c r="G83" s="46"/>
    </row>
    <row r="84" spans="1:7" ht="15" customHeight="1" x14ac:dyDescent="0.25">
      <c r="A84" s="51"/>
      <c r="B84" s="49"/>
      <c r="C84" s="50"/>
      <c r="D84" s="49"/>
      <c r="E84" s="48"/>
      <c r="F84" s="47"/>
      <c r="G84" s="46"/>
    </row>
    <row r="85" spans="1:7" ht="15" customHeight="1" x14ac:dyDescent="0.25">
      <c r="A85" s="51"/>
      <c r="B85" s="49"/>
      <c r="C85" s="50"/>
      <c r="D85" s="49"/>
      <c r="E85" s="48"/>
      <c r="F85" s="47"/>
      <c r="G85" s="46"/>
    </row>
    <row r="86" spans="1:7" ht="15" customHeight="1" x14ac:dyDescent="0.25">
      <c r="A86" s="51"/>
      <c r="B86" s="49"/>
      <c r="C86" s="50"/>
      <c r="D86" s="49"/>
      <c r="E86" s="48"/>
      <c r="F86" s="47"/>
      <c r="G86" s="46"/>
    </row>
    <row r="87" spans="1:7" ht="15" customHeight="1" x14ac:dyDescent="0.25">
      <c r="A87" s="51"/>
      <c r="B87" s="49"/>
      <c r="C87" s="50"/>
      <c r="D87" s="49"/>
      <c r="E87" s="48"/>
      <c r="F87" s="47"/>
      <c r="G87" s="46"/>
    </row>
    <row r="88" spans="1:7" ht="15" customHeight="1" x14ac:dyDescent="0.25">
      <c r="A88" s="51"/>
      <c r="B88" s="49"/>
      <c r="C88" s="50"/>
      <c r="D88" s="49"/>
      <c r="E88" s="48"/>
      <c r="F88" s="47"/>
      <c r="G88" s="46"/>
    </row>
    <row r="89" spans="1:7" ht="15" customHeight="1" x14ac:dyDescent="0.25">
      <c r="A89" s="51"/>
      <c r="B89" s="49"/>
      <c r="C89" s="50"/>
      <c r="D89" s="49"/>
      <c r="E89" s="48"/>
      <c r="F89" s="47"/>
      <c r="G89" s="46"/>
    </row>
    <row r="90" spans="1:7" ht="15" customHeight="1" x14ac:dyDescent="0.25">
      <c r="A90" s="51"/>
      <c r="B90" s="49"/>
      <c r="C90" s="50"/>
      <c r="D90" s="49"/>
      <c r="E90" s="48"/>
      <c r="F90" s="47"/>
      <c r="G90" s="46"/>
    </row>
    <row r="91" spans="1:7" ht="15" customHeight="1" x14ac:dyDescent="0.25">
      <c r="A91" s="51"/>
      <c r="B91" s="49"/>
      <c r="C91" s="50"/>
      <c r="D91" s="49"/>
      <c r="E91" s="48"/>
      <c r="F91" s="47"/>
      <c r="G91" s="46"/>
    </row>
    <row r="92" spans="1:7" ht="15" customHeight="1" x14ac:dyDescent="0.25">
      <c r="A92" s="51"/>
      <c r="B92" s="49"/>
      <c r="C92" s="50"/>
      <c r="D92" s="49"/>
      <c r="E92" s="48"/>
      <c r="F92" s="47"/>
      <c r="G92" s="46"/>
    </row>
    <row r="93" spans="1:7" ht="15" customHeight="1" x14ac:dyDescent="0.25">
      <c r="A93" s="51"/>
      <c r="B93" s="49"/>
      <c r="C93" s="50"/>
      <c r="D93" s="49"/>
      <c r="E93" s="48"/>
      <c r="F93" s="47"/>
      <c r="G93" s="46"/>
    </row>
    <row r="94" spans="1:7" ht="15" customHeight="1" x14ac:dyDescent="0.25">
      <c r="A94" s="51"/>
      <c r="B94" s="49"/>
      <c r="C94" s="50"/>
      <c r="D94" s="49"/>
      <c r="E94" s="48"/>
      <c r="F94" s="47"/>
      <c r="G94" s="46"/>
    </row>
    <row r="95" spans="1:7" ht="15" customHeight="1" x14ac:dyDescent="0.25">
      <c r="A95" s="51"/>
      <c r="B95" s="49"/>
      <c r="C95" s="50"/>
      <c r="D95" s="49"/>
      <c r="E95" s="48"/>
      <c r="F95" s="47"/>
      <c r="G95" s="46"/>
    </row>
    <row r="96" spans="1:7" ht="15" customHeight="1" x14ac:dyDescent="0.25">
      <c r="A96" s="51"/>
      <c r="B96" s="49"/>
      <c r="C96" s="50"/>
      <c r="D96" s="49"/>
      <c r="E96" s="48"/>
      <c r="F96" s="47"/>
      <c r="G96" s="46"/>
    </row>
    <row r="97" spans="1:7" ht="15" customHeight="1" x14ac:dyDescent="0.25">
      <c r="A97" s="51"/>
      <c r="B97" s="49"/>
      <c r="C97" s="50"/>
      <c r="D97" s="49"/>
      <c r="E97" s="48"/>
      <c r="F97" s="47"/>
      <c r="G97" s="46"/>
    </row>
    <row r="98" spans="1:7" ht="15" customHeight="1" x14ac:dyDescent="0.25">
      <c r="A98" s="51"/>
      <c r="B98" s="49"/>
      <c r="C98" s="50"/>
      <c r="D98" s="49"/>
      <c r="E98" s="48"/>
      <c r="F98" s="47"/>
      <c r="G98" s="46"/>
    </row>
    <row r="99" spans="1:7" ht="15" customHeight="1" x14ac:dyDescent="0.25">
      <c r="A99" s="51"/>
      <c r="B99" s="49"/>
      <c r="C99" s="50"/>
      <c r="D99" s="49"/>
      <c r="E99" s="48"/>
      <c r="F99" s="47"/>
      <c r="G99" s="46"/>
    </row>
    <row r="100" spans="1:7" ht="15" customHeight="1" x14ac:dyDescent="0.25">
      <c r="A100" s="51"/>
      <c r="B100" s="49"/>
      <c r="C100" s="50"/>
      <c r="D100" s="49"/>
      <c r="E100" s="48"/>
      <c r="F100" s="47"/>
      <c r="G100" s="46"/>
    </row>
    <row r="101" spans="1:7" ht="15" customHeight="1" x14ac:dyDescent="0.25">
      <c r="A101" s="51"/>
      <c r="B101" s="49"/>
      <c r="C101" s="50"/>
      <c r="D101" s="49"/>
      <c r="E101" s="48"/>
      <c r="F101" s="47"/>
      <c r="G101" s="46"/>
    </row>
    <row r="102" spans="1:7" ht="15" customHeight="1" x14ac:dyDescent="0.25">
      <c r="A102" s="51"/>
      <c r="B102" s="49"/>
      <c r="C102" s="50"/>
      <c r="D102" s="49"/>
      <c r="E102" s="48"/>
      <c r="F102" s="47"/>
      <c r="G102" s="46"/>
    </row>
    <row r="103" spans="1:7" ht="15" customHeight="1" x14ac:dyDescent="0.25">
      <c r="A103" s="51"/>
      <c r="B103" s="49"/>
      <c r="C103" s="50"/>
      <c r="D103" s="49"/>
      <c r="E103" s="48"/>
      <c r="F103" s="47"/>
      <c r="G103" s="46"/>
    </row>
    <row r="104" spans="1:7" ht="15" customHeight="1" x14ac:dyDescent="0.25">
      <c r="A104" s="51"/>
      <c r="B104" s="49"/>
      <c r="C104" s="50"/>
      <c r="D104" s="49"/>
      <c r="E104" s="48"/>
      <c r="F104" s="47"/>
      <c r="G104" s="46"/>
    </row>
    <row r="105" spans="1:7" ht="15" customHeight="1" x14ac:dyDescent="0.25">
      <c r="A105" s="51"/>
      <c r="B105" s="49"/>
      <c r="C105" s="50"/>
      <c r="D105" s="49"/>
      <c r="E105" s="48"/>
      <c r="F105" s="47"/>
      <c r="G105" s="46"/>
    </row>
    <row r="106" spans="1:7" ht="15" customHeight="1" x14ac:dyDescent="0.25">
      <c r="A106" s="51"/>
      <c r="B106" s="49"/>
      <c r="C106" s="50"/>
      <c r="D106" s="49"/>
      <c r="E106" s="48"/>
      <c r="F106" s="47"/>
      <c r="G106" s="46"/>
    </row>
    <row r="107" spans="1:7" ht="15" customHeight="1" x14ac:dyDescent="0.25">
      <c r="A107" s="51"/>
      <c r="B107" s="49"/>
      <c r="C107" s="50"/>
      <c r="D107" s="49"/>
      <c r="E107" s="48"/>
      <c r="F107" s="47"/>
      <c r="G107" s="46"/>
    </row>
    <row r="108" spans="1:7" ht="15" customHeight="1" x14ac:dyDescent="0.25">
      <c r="A108" s="51"/>
      <c r="B108" s="49"/>
      <c r="C108" s="50"/>
      <c r="D108" s="49"/>
      <c r="E108" s="48"/>
      <c r="F108" s="47"/>
      <c r="G108" s="46"/>
    </row>
    <row r="109" spans="1:7" ht="15" customHeight="1" x14ac:dyDescent="0.25">
      <c r="A109" s="51"/>
      <c r="B109" s="49"/>
      <c r="C109" s="50"/>
      <c r="D109" s="49"/>
      <c r="E109" s="48"/>
      <c r="F109" s="47"/>
      <c r="G109" s="46"/>
    </row>
    <row r="110" spans="1:7" ht="15" customHeight="1" x14ac:dyDescent="0.25">
      <c r="A110" s="51"/>
      <c r="B110" s="49"/>
      <c r="C110" s="50"/>
      <c r="D110" s="49"/>
      <c r="E110" s="48"/>
      <c r="F110" s="47"/>
      <c r="G110" s="46"/>
    </row>
    <row r="111" spans="1:7" ht="15" customHeight="1" x14ac:dyDescent="0.25">
      <c r="A111" s="51"/>
      <c r="B111" s="49"/>
      <c r="C111" s="50"/>
      <c r="D111" s="49"/>
      <c r="E111" s="48"/>
      <c r="F111" s="47"/>
      <c r="G111" s="46"/>
    </row>
    <row r="112" spans="1:7" ht="15" customHeight="1" x14ac:dyDescent="0.25">
      <c r="A112" s="51"/>
      <c r="B112" s="49"/>
      <c r="C112" s="50"/>
      <c r="D112" s="49"/>
      <c r="E112" s="48"/>
      <c r="F112" s="47"/>
      <c r="G112" s="46"/>
    </row>
    <row r="113" spans="1:7" ht="15" customHeight="1" x14ac:dyDescent="0.25">
      <c r="A113" s="51"/>
      <c r="B113" s="49"/>
      <c r="C113" s="50"/>
      <c r="D113" s="49"/>
      <c r="E113" s="48"/>
      <c r="F113" s="47"/>
      <c r="G113" s="46"/>
    </row>
    <row r="114" spans="1:7" ht="15" customHeight="1" x14ac:dyDescent="0.25">
      <c r="A114" s="51"/>
      <c r="B114" s="49"/>
      <c r="C114" s="50"/>
      <c r="D114" s="49"/>
      <c r="E114" s="48"/>
      <c r="F114" s="47"/>
      <c r="G114" s="46"/>
    </row>
    <row r="115" spans="1:7" ht="15" customHeight="1" x14ac:dyDescent="0.25">
      <c r="A115" s="51"/>
      <c r="B115" s="49"/>
      <c r="C115" s="50"/>
      <c r="D115" s="49"/>
      <c r="E115" s="48"/>
      <c r="F115" s="47"/>
      <c r="G115" s="46"/>
    </row>
    <row r="116" spans="1:7" ht="15" customHeight="1" x14ac:dyDescent="0.25">
      <c r="A116" s="51"/>
      <c r="B116" s="49"/>
      <c r="C116" s="50"/>
      <c r="D116" s="49"/>
      <c r="E116" s="48"/>
      <c r="F116" s="47"/>
      <c r="G116" s="46"/>
    </row>
    <row r="117" spans="1:7" ht="15" customHeight="1" x14ac:dyDescent="0.25">
      <c r="A117" s="51"/>
      <c r="B117" s="49"/>
      <c r="C117" s="50"/>
      <c r="D117" s="49"/>
      <c r="E117" s="48"/>
      <c r="F117" s="47"/>
      <c r="G117" s="46"/>
    </row>
    <row r="118" spans="1:7" ht="15" customHeight="1" x14ac:dyDescent="0.25">
      <c r="A118" s="51"/>
      <c r="B118" s="49"/>
      <c r="C118" s="50"/>
      <c r="D118" s="49"/>
      <c r="E118" s="48"/>
      <c r="F118" s="47"/>
      <c r="G118" s="46"/>
    </row>
    <row r="119" spans="1:7" ht="15" customHeight="1" x14ac:dyDescent="0.25">
      <c r="A119" s="51"/>
      <c r="B119" s="49"/>
      <c r="C119" s="50"/>
      <c r="D119" s="49"/>
      <c r="E119" s="48"/>
      <c r="F119" s="47"/>
      <c r="G119" s="46"/>
    </row>
    <row r="120" spans="1:7" ht="15" customHeight="1" x14ac:dyDescent="0.25">
      <c r="A120" s="51"/>
      <c r="B120" s="49"/>
      <c r="C120" s="50"/>
      <c r="D120" s="49"/>
      <c r="E120" s="48"/>
      <c r="F120" s="47"/>
      <c r="G120" s="46"/>
    </row>
    <row r="121" spans="1:7" ht="15" customHeight="1" x14ac:dyDescent="0.25">
      <c r="A121" s="51"/>
      <c r="B121" s="49"/>
      <c r="C121" s="50"/>
      <c r="D121" s="49"/>
      <c r="E121" s="48"/>
      <c r="F121" s="47"/>
      <c r="G121" s="46"/>
    </row>
    <row r="122" spans="1:7" ht="15" customHeight="1" x14ac:dyDescent="0.25">
      <c r="A122" s="51"/>
      <c r="B122" s="49"/>
      <c r="C122" s="50"/>
      <c r="D122" s="49"/>
      <c r="E122" s="48"/>
      <c r="F122" s="47"/>
      <c r="G122" s="46"/>
    </row>
    <row r="123" spans="1:7" ht="15" customHeight="1" x14ac:dyDescent="0.25">
      <c r="A123" s="51"/>
      <c r="B123" s="49"/>
      <c r="C123" s="50"/>
      <c r="D123" s="49"/>
      <c r="E123" s="48"/>
      <c r="F123" s="47"/>
      <c r="G123" s="46"/>
    </row>
    <row r="124" spans="1:7" ht="15" customHeight="1" x14ac:dyDescent="0.25">
      <c r="A124" s="51"/>
      <c r="B124" s="49"/>
      <c r="C124" s="50"/>
      <c r="D124" s="49"/>
      <c r="E124" s="48"/>
      <c r="F124" s="47"/>
      <c r="G124" s="46"/>
    </row>
    <row r="125" spans="1:7" ht="15" customHeight="1" x14ac:dyDescent="0.25">
      <c r="A125" s="51"/>
      <c r="B125" s="49"/>
      <c r="C125" s="50"/>
      <c r="D125" s="49"/>
      <c r="E125" s="48"/>
      <c r="F125" s="47"/>
      <c r="G125" s="46"/>
    </row>
    <row r="126" spans="1:7" ht="15" customHeight="1" x14ac:dyDescent="0.25">
      <c r="A126" s="51"/>
      <c r="B126" s="49"/>
      <c r="C126" s="50"/>
      <c r="D126" s="49"/>
      <c r="E126" s="48"/>
      <c r="F126" s="47"/>
      <c r="G126" s="46"/>
    </row>
    <row r="127" spans="1:7" ht="15" customHeight="1" x14ac:dyDescent="0.25">
      <c r="A127" s="51"/>
      <c r="B127" s="49"/>
      <c r="C127" s="50"/>
      <c r="D127" s="49"/>
      <c r="E127" s="48"/>
      <c r="F127" s="47"/>
      <c r="G127" s="46"/>
    </row>
    <row r="128" spans="1:7" ht="15" customHeight="1" x14ac:dyDescent="0.25">
      <c r="A128" s="51"/>
      <c r="B128" s="49"/>
      <c r="C128" s="50"/>
      <c r="D128" s="49"/>
      <c r="E128" s="48"/>
      <c r="F128" s="47"/>
      <c r="G128" s="46"/>
    </row>
    <row r="129" spans="1:7" ht="15" customHeight="1" x14ac:dyDescent="0.25">
      <c r="A129" s="51"/>
      <c r="B129" s="49"/>
      <c r="C129" s="50"/>
      <c r="D129" s="49"/>
      <c r="E129" s="48"/>
      <c r="F129" s="47"/>
      <c r="G129" s="46"/>
    </row>
    <row r="130" spans="1:7" ht="15" customHeight="1" x14ac:dyDescent="0.25">
      <c r="A130" s="51"/>
      <c r="B130" s="49"/>
      <c r="C130" s="50"/>
      <c r="D130" s="49"/>
      <c r="E130" s="48"/>
      <c r="F130" s="47"/>
      <c r="G130" s="46"/>
    </row>
    <row r="131" spans="1:7" ht="15" customHeight="1" x14ac:dyDescent="0.25">
      <c r="A131" s="51"/>
      <c r="B131" s="49"/>
      <c r="C131" s="50"/>
      <c r="D131" s="49"/>
      <c r="E131" s="48"/>
      <c r="F131" s="47"/>
      <c r="G131" s="46"/>
    </row>
    <row r="132" spans="1:7" ht="15" customHeight="1" x14ac:dyDescent="0.25">
      <c r="A132" s="51"/>
      <c r="B132" s="49"/>
      <c r="C132" s="50"/>
      <c r="D132" s="49"/>
      <c r="E132" s="48"/>
      <c r="F132" s="47"/>
      <c r="G132" s="46"/>
    </row>
    <row r="133" spans="1:7" ht="15" customHeight="1" x14ac:dyDescent="0.25">
      <c r="A133" s="51"/>
      <c r="B133" s="49"/>
      <c r="C133" s="50"/>
      <c r="D133" s="49"/>
      <c r="E133" s="48"/>
      <c r="F133" s="47"/>
      <c r="G133" s="46"/>
    </row>
    <row r="134" spans="1:7" ht="15" customHeight="1" x14ac:dyDescent="0.25">
      <c r="A134" s="51"/>
      <c r="B134" s="49"/>
      <c r="C134" s="50"/>
      <c r="D134" s="49"/>
      <c r="E134" s="48"/>
      <c r="F134" s="47"/>
      <c r="G134" s="46"/>
    </row>
    <row r="135" spans="1:7" ht="15" customHeight="1" x14ac:dyDescent="0.25">
      <c r="A135" s="51"/>
      <c r="B135" s="49"/>
      <c r="C135" s="50"/>
      <c r="D135" s="49"/>
      <c r="E135" s="48"/>
      <c r="F135" s="47"/>
      <c r="G135" s="46"/>
    </row>
    <row r="136" spans="1:7" ht="15" customHeight="1" x14ac:dyDescent="0.25">
      <c r="A136" s="51"/>
      <c r="B136" s="49"/>
      <c r="C136" s="50"/>
      <c r="D136" s="49"/>
      <c r="E136" s="48"/>
      <c r="F136" s="47"/>
      <c r="G136" s="46"/>
    </row>
    <row r="137" spans="1:7" ht="15" customHeight="1" x14ac:dyDescent="0.25">
      <c r="A137" s="51"/>
      <c r="B137" s="49"/>
      <c r="C137" s="50"/>
      <c r="D137" s="49"/>
      <c r="E137" s="48"/>
      <c r="F137" s="47"/>
      <c r="G137" s="46"/>
    </row>
    <row r="138" spans="1:7" ht="15" customHeight="1" x14ac:dyDescent="0.25">
      <c r="A138" s="51"/>
      <c r="B138" s="49"/>
      <c r="C138" s="50"/>
      <c r="D138" s="49"/>
      <c r="E138" s="48"/>
      <c r="F138" s="47"/>
      <c r="G138" s="46"/>
    </row>
    <row r="139" spans="1:7" ht="15" customHeight="1" x14ac:dyDescent="0.25">
      <c r="A139" s="51"/>
      <c r="B139" s="49"/>
      <c r="C139" s="50"/>
      <c r="D139" s="49"/>
      <c r="E139" s="48"/>
      <c r="F139" s="47"/>
      <c r="G139" s="46"/>
    </row>
    <row r="140" spans="1:7" ht="15" customHeight="1" x14ac:dyDescent="0.25">
      <c r="A140" s="51"/>
      <c r="B140" s="49"/>
      <c r="C140" s="50"/>
      <c r="D140" s="49"/>
      <c r="E140" s="48"/>
      <c r="F140" s="47"/>
      <c r="G140" s="46"/>
    </row>
    <row r="141" spans="1:7" ht="15" customHeight="1" x14ac:dyDescent="0.25">
      <c r="A141" s="51"/>
      <c r="B141" s="49"/>
      <c r="C141" s="50"/>
      <c r="D141" s="49"/>
      <c r="E141" s="48"/>
      <c r="F141" s="47"/>
      <c r="G141" s="46"/>
    </row>
    <row r="142" spans="1:7" ht="15" customHeight="1" x14ac:dyDescent="0.25">
      <c r="A142" s="51"/>
      <c r="B142" s="49"/>
      <c r="C142" s="50"/>
      <c r="D142" s="49"/>
      <c r="E142" s="48"/>
      <c r="F142" s="47"/>
      <c r="G142" s="46"/>
    </row>
    <row r="143" spans="1:7" ht="15" customHeight="1" x14ac:dyDescent="0.25">
      <c r="A143" s="51"/>
      <c r="B143" s="49"/>
      <c r="C143" s="50"/>
      <c r="D143" s="49"/>
      <c r="E143" s="48"/>
      <c r="F143" s="47"/>
      <c r="G143" s="46"/>
    </row>
    <row r="144" spans="1:7" ht="15" customHeight="1" x14ac:dyDescent="0.25">
      <c r="A144" s="51"/>
      <c r="B144" s="49"/>
      <c r="C144" s="50"/>
      <c r="D144" s="49"/>
      <c r="E144" s="48"/>
      <c r="F144" s="47"/>
      <c r="G144" s="46"/>
    </row>
    <row r="145" spans="1:7" ht="15" customHeight="1" x14ac:dyDescent="0.25">
      <c r="A145" s="51"/>
      <c r="B145" s="49"/>
      <c r="C145" s="50"/>
      <c r="D145" s="49"/>
      <c r="E145" s="48"/>
      <c r="F145" s="47"/>
      <c r="G145" s="46"/>
    </row>
    <row r="146" spans="1:7" ht="15" customHeight="1" x14ac:dyDescent="0.25">
      <c r="A146" s="51"/>
      <c r="B146" s="49"/>
      <c r="C146" s="50"/>
      <c r="D146" s="49"/>
      <c r="E146" s="48"/>
      <c r="F146" s="47"/>
      <c r="G146" s="46"/>
    </row>
    <row r="147" spans="1:7" ht="15" customHeight="1" x14ac:dyDescent="0.25">
      <c r="A147" s="51"/>
      <c r="B147" s="49"/>
      <c r="C147" s="50"/>
      <c r="D147" s="49"/>
      <c r="E147" s="48"/>
      <c r="F147" s="47"/>
      <c r="G147" s="46"/>
    </row>
    <row r="148" spans="1:7" ht="15" customHeight="1" x14ac:dyDescent="0.25">
      <c r="A148" s="51"/>
      <c r="B148" s="49"/>
      <c r="C148" s="50"/>
      <c r="D148" s="49"/>
      <c r="E148" s="48"/>
      <c r="F148" s="47"/>
      <c r="G148" s="46"/>
    </row>
    <row r="149" spans="1:7" ht="15" customHeight="1" x14ac:dyDescent="0.25">
      <c r="A149" s="51"/>
      <c r="B149" s="49"/>
      <c r="C149" s="50"/>
      <c r="D149" s="49"/>
      <c r="E149" s="48"/>
      <c r="F149" s="47"/>
      <c r="G149" s="46"/>
    </row>
    <row r="150" spans="1:7" ht="15" customHeight="1" x14ac:dyDescent="0.25">
      <c r="A150" s="51"/>
      <c r="B150" s="49"/>
      <c r="C150" s="50"/>
      <c r="D150" s="49"/>
      <c r="E150" s="48"/>
      <c r="F150" s="47"/>
      <c r="G150" s="46"/>
    </row>
    <row r="151" spans="1:7" ht="15" customHeight="1" x14ac:dyDescent="0.25">
      <c r="A151" s="51"/>
      <c r="B151" s="49"/>
      <c r="C151" s="50"/>
      <c r="D151" s="49"/>
      <c r="E151" s="48"/>
      <c r="F151" s="47"/>
      <c r="G151" s="46"/>
    </row>
    <row r="152" spans="1:7" ht="15" customHeight="1" x14ac:dyDescent="0.25">
      <c r="A152" s="51"/>
      <c r="B152" s="49"/>
      <c r="C152" s="50"/>
      <c r="D152" s="49"/>
      <c r="E152" s="48"/>
      <c r="F152" s="47"/>
      <c r="G152" s="46"/>
    </row>
    <row r="153" spans="1:7" ht="15" customHeight="1" x14ac:dyDescent="0.25">
      <c r="A153" s="51"/>
      <c r="B153" s="49"/>
      <c r="C153" s="50"/>
      <c r="D153" s="49"/>
      <c r="E153" s="48"/>
      <c r="F153" s="47"/>
      <c r="G153" s="46"/>
    </row>
    <row r="154" spans="1:7" ht="15" customHeight="1" x14ac:dyDescent="0.25">
      <c r="A154" s="51"/>
      <c r="B154" s="49"/>
      <c r="C154" s="50"/>
      <c r="D154" s="49"/>
      <c r="E154" s="48"/>
      <c r="F154" s="47"/>
      <c r="G154" s="46"/>
    </row>
    <row r="155" spans="1:7" ht="15" customHeight="1" x14ac:dyDescent="0.25">
      <c r="A155" s="51"/>
      <c r="B155" s="49"/>
      <c r="C155" s="50"/>
      <c r="D155" s="49"/>
      <c r="E155" s="48"/>
      <c r="F155" s="47"/>
      <c r="G155" s="46"/>
    </row>
    <row r="156" spans="1:7" ht="15" customHeight="1" x14ac:dyDescent="0.25">
      <c r="A156" s="51"/>
      <c r="B156" s="49"/>
      <c r="C156" s="50"/>
      <c r="D156" s="49"/>
      <c r="E156" s="48"/>
      <c r="F156" s="47"/>
      <c r="G156" s="46"/>
    </row>
    <row r="157" spans="1:7" ht="15" customHeight="1" x14ac:dyDescent="0.25">
      <c r="A157" s="51"/>
      <c r="B157" s="49"/>
      <c r="C157" s="50"/>
      <c r="D157" s="49"/>
      <c r="E157" s="48"/>
      <c r="F157" s="47"/>
      <c r="G157" s="46"/>
    </row>
    <row r="158" spans="1:7" ht="15" customHeight="1" x14ac:dyDescent="0.25">
      <c r="A158" s="51"/>
      <c r="B158" s="49"/>
      <c r="C158" s="50"/>
      <c r="D158" s="49"/>
      <c r="E158" s="48"/>
      <c r="F158" s="47"/>
      <c r="G158" s="46"/>
    </row>
    <row r="159" spans="1:7" ht="15" customHeight="1" x14ac:dyDescent="0.25">
      <c r="A159" s="51"/>
      <c r="B159" s="49"/>
      <c r="C159" s="50"/>
      <c r="D159" s="49"/>
      <c r="E159" s="48"/>
      <c r="F159" s="47"/>
      <c r="G159" s="46"/>
    </row>
    <row r="160" spans="1:7" ht="15" customHeight="1" x14ac:dyDescent="0.25">
      <c r="A160" s="51"/>
      <c r="B160" s="49"/>
      <c r="C160" s="50"/>
      <c r="D160" s="49"/>
      <c r="E160" s="48"/>
      <c r="F160" s="47"/>
      <c r="G160" s="46"/>
    </row>
    <row r="161" spans="1:7" ht="15" customHeight="1" x14ac:dyDescent="0.25">
      <c r="A161" s="51"/>
      <c r="B161" s="49"/>
      <c r="C161" s="50"/>
      <c r="D161" s="49"/>
      <c r="E161" s="48"/>
      <c r="F161" s="47"/>
      <c r="G161" s="46"/>
    </row>
    <row r="162" spans="1:7" ht="15" customHeight="1" x14ac:dyDescent="0.25">
      <c r="A162" s="51"/>
      <c r="B162" s="49"/>
      <c r="C162" s="50"/>
      <c r="D162" s="49"/>
      <c r="E162" s="48"/>
      <c r="F162" s="47"/>
      <c r="G162" s="46"/>
    </row>
    <row r="163" spans="1:7" ht="15" customHeight="1" x14ac:dyDescent="0.25">
      <c r="A163" s="51"/>
      <c r="B163" s="49"/>
      <c r="C163" s="50"/>
      <c r="D163" s="49"/>
      <c r="E163" s="48"/>
      <c r="F163" s="47"/>
      <c r="G163" s="46"/>
    </row>
    <row r="164" spans="1:7" ht="15" customHeight="1" x14ac:dyDescent="0.25">
      <c r="A164" s="51"/>
      <c r="B164" s="49"/>
      <c r="C164" s="50"/>
      <c r="D164" s="49"/>
      <c r="E164" s="48"/>
      <c r="F164" s="47"/>
      <c r="G164" s="46"/>
    </row>
    <row r="165" spans="1:7" ht="15" customHeight="1" x14ac:dyDescent="0.25">
      <c r="A165" s="51"/>
      <c r="B165" s="49"/>
      <c r="C165" s="50"/>
      <c r="D165" s="49"/>
      <c r="E165" s="48"/>
      <c r="F165" s="47"/>
      <c r="G165" s="46"/>
    </row>
    <row r="166" spans="1:7" ht="15" customHeight="1" x14ac:dyDescent="0.25">
      <c r="A166" s="51"/>
      <c r="B166" s="49"/>
      <c r="C166" s="50"/>
      <c r="D166" s="49"/>
      <c r="E166" s="48"/>
      <c r="F166" s="47"/>
      <c r="G166" s="46"/>
    </row>
    <row r="167" spans="1:7" ht="15" customHeight="1" x14ac:dyDescent="0.25">
      <c r="A167" s="51"/>
      <c r="B167" s="49"/>
      <c r="C167" s="50"/>
      <c r="D167" s="49"/>
      <c r="E167" s="48"/>
      <c r="F167" s="47"/>
      <c r="G167" s="46"/>
    </row>
    <row r="168" spans="1:7" ht="15" customHeight="1" x14ac:dyDescent="0.25">
      <c r="A168" s="51"/>
      <c r="B168" s="49"/>
      <c r="C168" s="50"/>
      <c r="D168" s="49"/>
      <c r="E168" s="48"/>
      <c r="F168" s="47"/>
      <c r="G168" s="46"/>
    </row>
    <row r="169" spans="1:7" ht="15" customHeight="1" x14ac:dyDescent="0.25">
      <c r="A169" s="51"/>
      <c r="B169" s="49"/>
      <c r="C169" s="50"/>
      <c r="D169" s="49"/>
      <c r="E169" s="48"/>
      <c r="F169" s="47"/>
      <c r="G169" s="46"/>
    </row>
    <row r="170" spans="1:7" ht="15" customHeight="1" x14ac:dyDescent="0.25">
      <c r="A170" s="51"/>
      <c r="B170" s="49"/>
      <c r="C170" s="50"/>
      <c r="D170" s="49"/>
      <c r="E170" s="48"/>
      <c r="F170" s="47"/>
      <c r="G170" s="46"/>
    </row>
    <row r="171" spans="1:7" ht="15" customHeight="1" x14ac:dyDescent="0.25">
      <c r="A171" s="51"/>
      <c r="B171" s="49"/>
      <c r="C171" s="50"/>
      <c r="D171" s="49"/>
      <c r="E171" s="48"/>
      <c r="F171" s="47"/>
      <c r="G171" s="46"/>
    </row>
    <row r="172" spans="1:7" ht="15" customHeight="1" x14ac:dyDescent="0.25">
      <c r="A172" s="51"/>
      <c r="B172" s="49"/>
      <c r="C172" s="50"/>
      <c r="D172" s="49"/>
      <c r="E172" s="48"/>
      <c r="F172" s="47"/>
      <c r="G172" s="46"/>
    </row>
    <row r="173" spans="1:7" ht="15" customHeight="1" x14ac:dyDescent="0.25">
      <c r="A173" s="51"/>
      <c r="B173" s="49"/>
      <c r="C173" s="50"/>
      <c r="D173" s="49"/>
      <c r="E173" s="48"/>
      <c r="F173" s="47"/>
      <c r="G173" s="46"/>
    </row>
    <row r="174" spans="1:7" ht="15" customHeight="1" x14ac:dyDescent="0.25">
      <c r="A174" s="51"/>
      <c r="B174" s="49"/>
      <c r="C174" s="50"/>
      <c r="D174" s="49"/>
      <c r="E174" s="48"/>
      <c r="F174" s="47"/>
      <c r="G174" s="46"/>
    </row>
    <row r="175" spans="1:7" ht="15" customHeight="1" x14ac:dyDescent="0.25">
      <c r="A175" s="51"/>
      <c r="B175" s="49"/>
      <c r="C175" s="50"/>
      <c r="D175" s="49"/>
      <c r="E175" s="48"/>
      <c r="F175" s="47"/>
      <c r="G175" s="46"/>
    </row>
    <row r="176" spans="1:7" ht="15" customHeight="1" x14ac:dyDescent="0.25">
      <c r="A176" s="51"/>
      <c r="B176" s="49"/>
      <c r="C176" s="50"/>
      <c r="D176" s="49"/>
      <c r="E176" s="48"/>
      <c r="F176" s="47"/>
      <c r="G176" s="46"/>
    </row>
    <row r="177" spans="1:7" ht="15" customHeight="1" x14ac:dyDescent="0.25">
      <c r="A177" s="51"/>
      <c r="B177" s="49"/>
      <c r="C177" s="50"/>
      <c r="D177" s="49"/>
      <c r="E177" s="48"/>
      <c r="F177" s="47"/>
      <c r="G177" s="46"/>
    </row>
    <row r="178" spans="1:7" ht="15" customHeight="1" x14ac:dyDescent="0.25">
      <c r="A178" s="51"/>
      <c r="B178" s="49"/>
      <c r="C178" s="50"/>
      <c r="D178" s="49"/>
      <c r="E178" s="48"/>
      <c r="F178" s="47"/>
      <c r="G178" s="46"/>
    </row>
    <row r="179" spans="1:7" ht="15" customHeight="1" x14ac:dyDescent="0.25">
      <c r="A179" s="51"/>
      <c r="B179" s="49"/>
      <c r="C179" s="50"/>
      <c r="D179" s="49"/>
      <c r="E179" s="48"/>
      <c r="F179" s="47"/>
      <c r="G179" s="46"/>
    </row>
    <row r="180" spans="1:7" ht="15" customHeight="1" x14ac:dyDescent="0.25">
      <c r="A180" s="51"/>
      <c r="B180" s="49"/>
      <c r="C180" s="50"/>
      <c r="D180" s="49"/>
      <c r="E180" s="48"/>
      <c r="F180" s="47"/>
      <c r="G180" s="46"/>
    </row>
    <row r="181" spans="1:7" ht="15" customHeight="1" x14ac:dyDescent="0.25">
      <c r="A181" s="51"/>
      <c r="B181" s="49"/>
      <c r="C181" s="50"/>
      <c r="D181" s="49"/>
      <c r="E181" s="48"/>
      <c r="F181" s="47"/>
      <c r="G181" s="46"/>
    </row>
    <row r="182" spans="1:7" ht="15" customHeight="1" x14ac:dyDescent="0.25">
      <c r="A182" s="51"/>
      <c r="B182" s="49"/>
      <c r="C182" s="50"/>
      <c r="D182" s="49"/>
      <c r="E182" s="48"/>
      <c r="F182" s="47"/>
      <c r="G182" s="46"/>
    </row>
    <row r="183" spans="1:7" ht="15" customHeight="1" x14ac:dyDescent="0.25">
      <c r="A183" s="51"/>
      <c r="B183" s="49"/>
      <c r="C183" s="50"/>
      <c r="D183" s="49"/>
      <c r="E183" s="48"/>
      <c r="F183" s="47"/>
      <c r="G183" s="46"/>
    </row>
    <row r="184" spans="1:7" ht="15" customHeight="1" x14ac:dyDescent="0.25">
      <c r="A184" s="51"/>
      <c r="B184" s="49"/>
      <c r="C184" s="50"/>
      <c r="D184" s="49"/>
      <c r="E184" s="48"/>
      <c r="F184" s="47"/>
      <c r="G184" s="46"/>
    </row>
    <row r="185" spans="1:7" ht="15" customHeight="1" x14ac:dyDescent="0.25">
      <c r="A185" s="51"/>
      <c r="B185" s="49"/>
      <c r="C185" s="50"/>
      <c r="D185" s="49"/>
      <c r="E185" s="48"/>
      <c r="F185" s="47"/>
      <c r="G185" s="46"/>
    </row>
    <row r="186" spans="1:7" ht="15" customHeight="1" x14ac:dyDescent="0.25">
      <c r="A186" s="51"/>
      <c r="B186" s="49"/>
      <c r="C186" s="50"/>
      <c r="D186" s="49"/>
      <c r="E186" s="48"/>
      <c r="F186" s="47"/>
      <c r="G186" s="46"/>
    </row>
    <row r="187" spans="1:7" ht="15" customHeight="1" x14ac:dyDescent="0.25">
      <c r="A187" s="51"/>
      <c r="B187" s="49"/>
      <c r="C187" s="50"/>
      <c r="D187" s="49"/>
      <c r="E187" s="48"/>
      <c r="F187" s="47"/>
      <c r="G187" s="46"/>
    </row>
    <row r="188" spans="1:7" ht="15" customHeight="1" x14ac:dyDescent="0.25">
      <c r="A188" s="51"/>
      <c r="B188" s="49"/>
      <c r="C188" s="50"/>
      <c r="D188" s="49"/>
      <c r="E188" s="48"/>
      <c r="F188" s="47"/>
      <c r="G188" s="46"/>
    </row>
    <row r="189" spans="1:7" ht="15" customHeight="1" x14ac:dyDescent="0.25">
      <c r="A189" s="51"/>
      <c r="B189" s="49"/>
      <c r="C189" s="50"/>
      <c r="D189" s="49"/>
      <c r="E189" s="48"/>
      <c r="F189" s="47"/>
      <c r="G189" s="46"/>
    </row>
    <row r="190" spans="1:7" ht="15" customHeight="1" x14ac:dyDescent="0.25">
      <c r="A190" s="51"/>
      <c r="B190" s="49"/>
      <c r="C190" s="50"/>
      <c r="D190" s="49"/>
      <c r="E190" s="48"/>
      <c r="F190" s="47"/>
      <c r="G190" s="46"/>
    </row>
    <row r="191" spans="1:7" ht="15" customHeight="1" x14ac:dyDescent="0.25">
      <c r="A191" s="51"/>
      <c r="B191" s="49"/>
      <c r="C191" s="50"/>
      <c r="D191" s="49"/>
      <c r="E191" s="48"/>
      <c r="F191" s="47"/>
      <c r="G191" s="46"/>
    </row>
    <row r="192" spans="1:7" ht="15" customHeight="1" x14ac:dyDescent="0.25">
      <c r="A192" s="51"/>
      <c r="B192" s="49"/>
      <c r="C192" s="50"/>
      <c r="D192" s="49"/>
      <c r="E192" s="48"/>
      <c r="F192" s="47"/>
      <c r="G192" s="46"/>
    </row>
    <row r="193" spans="1:7" ht="15" customHeight="1" x14ac:dyDescent="0.25">
      <c r="A193" s="51"/>
      <c r="B193" s="49"/>
      <c r="C193" s="50"/>
      <c r="D193" s="49"/>
      <c r="E193" s="48"/>
      <c r="F193" s="47"/>
      <c r="G193" s="46"/>
    </row>
    <row r="194" spans="1:7" ht="15" customHeight="1" x14ac:dyDescent="0.25">
      <c r="A194" s="51"/>
      <c r="B194" s="49"/>
      <c r="C194" s="50"/>
      <c r="D194" s="49"/>
      <c r="E194" s="48"/>
      <c r="F194" s="47"/>
      <c r="G194" s="46"/>
    </row>
    <row r="195" spans="1:7" ht="15" customHeight="1" x14ac:dyDescent="0.25">
      <c r="A195" s="51"/>
      <c r="B195" s="49"/>
      <c r="C195" s="50"/>
      <c r="D195" s="49"/>
      <c r="E195" s="48"/>
      <c r="F195" s="47"/>
      <c r="G195" s="46"/>
    </row>
    <row r="196" spans="1:7" ht="15" customHeight="1" x14ac:dyDescent="0.25">
      <c r="A196" s="51"/>
      <c r="B196" s="49"/>
      <c r="C196" s="50"/>
      <c r="D196" s="49"/>
      <c r="E196" s="48"/>
      <c r="F196" s="47"/>
      <c r="G196" s="46"/>
    </row>
    <row r="197" spans="1:7" ht="15" customHeight="1" x14ac:dyDescent="0.25">
      <c r="A197" s="51"/>
      <c r="B197" s="49"/>
      <c r="C197" s="50"/>
      <c r="D197" s="49"/>
      <c r="E197" s="48"/>
      <c r="F197" s="47"/>
      <c r="G197" s="46"/>
    </row>
    <row r="198" spans="1:7" ht="15" customHeight="1" x14ac:dyDescent="0.25">
      <c r="A198" s="51"/>
      <c r="B198" s="49"/>
      <c r="C198" s="50"/>
      <c r="D198" s="49"/>
      <c r="E198" s="48"/>
      <c r="F198" s="47"/>
      <c r="G198" s="46"/>
    </row>
    <row r="199" spans="1:7" ht="15" customHeight="1" x14ac:dyDescent="0.25">
      <c r="A199" s="51"/>
      <c r="B199" s="49"/>
      <c r="C199" s="50"/>
      <c r="D199" s="49"/>
      <c r="E199" s="48"/>
      <c r="F199" s="47"/>
      <c r="G199" s="46"/>
    </row>
    <row r="200" spans="1:7" ht="15" customHeight="1" x14ac:dyDescent="0.25">
      <c r="A200" s="51"/>
      <c r="B200" s="49"/>
      <c r="C200" s="50"/>
      <c r="D200" s="49"/>
      <c r="E200" s="48"/>
      <c r="F200" s="47"/>
      <c r="G200" s="46"/>
    </row>
    <row r="201" spans="1:7" ht="15" customHeight="1" x14ac:dyDescent="0.25">
      <c r="A201" s="51"/>
      <c r="B201" s="49"/>
      <c r="C201" s="50"/>
      <c r="D201" s="49"/>
      <c r="E201" s="48"/>
      <c r="F201" s="47"/>
      <c r="G201" s="46"/>
    </row>
    <row r="202" spans="1:7" ht="15" customHeight="1" x14ac:dyDescent="0.25">
      <c r="A202" s="51"/>
      <c r="B202" s="49"/>
      <c r="C202" s="50"/>
      <c r="D202" s="49"/>
      <c r="E202" s="48"/>
      <c r="F202" s="47"/>
      <c r="G202" s="46"/>
    </row>
    <row r="203" spans="1:7" ht="15" customHeight="1" x14ac:dyDescent="0.25">
      <c r="A203" s="51"/>
      <c r="B203" s="49"/>
      <c r="C203" s="50"/>
      <c r="D203" s="49"/>
      <c r="E203" s="48"/>
      <c r="F203" s="47"/>
      <c r="G203" s="46"/>
    </row>
    <row r="204" spans="1:7" ht="15" customHeight="1" x14ac:dyDescent="0.25">
      <c r="A204" s="51"/>
      <c r="B204" s="49"/>
      <c r="C204" s="50"/>
      <c r="D204" s="49"/>
      <c r="E204" s="48"/>
      <c r="F204" s="47"/>
      <c r="G204" s="46"/>
    </row>
    <row r="205" spans="1:7" ht="15" customHeight="1" x14ac:dyDescent="0.25">
      <c r="A205" s="51"/>
      <c r="B205" s="49"/>
      <c r="C205" s="50"/>
      <c r="D205" s="49"/>
      <c r="E205" s="48"/>
      <c r="F205" s="47"/>
      <c r="G205" s="46"/>
    </row>
    <row r="206" spans="1:7" ht="15" customHeight="1" x14ac:dyDescent="0.25">
      <c r="A206" s="51"/>
      <c r="B206" s="49"/>
      <c r="C206" s="50"/>
      <c r="D206" s="49"/>
      <c r="E206" s="48"/>
      <c r="F206" s="47"/>
      <c r="G206" s="46"/>
    </row>
    <row r="207" spans="1:7" ht="15" customHeight="1" x14ac:dyDescent="0.25">
      <c r="A207" s="51"/>
      <c r="B207" s="49"/>
      <c r="C207" s="50"/>
      <c r="D207" s="49"/>
      <c r="E207" s="48"/>
      <c r="F207" s="47"/>
      <c r="G207" s="46"/>
    </row>
    <row r="208" spans="1:7" ht="15" customHeight="1" x14ac:dyDescent="0.25">
      <c r="A208" s="51"/>
      <c r="B208" s="49"/>
      <c r="C208" s="50"/>
      <c r="D208" s="49"/>
      <c r="E208" s="48"/>
      <c r="F208" s="47"/>
      <c r="G208" s="46"/>
    </row>
    <row r="209" spans="1:7" ht="15" customHeight="1" x14ac:dyDescent="0.25">
      <c r="A209" s="51"/>
      <c r="B209" s="49"/>
      <c r="C209" s="50"/>
      <c r="D209" s="49"/>
      <c r="E209" s="48"/>
      <c r="F209" s="47"/>
      <c r="G209" s="46"/>
    </row>
    <row r="210" spans="1:7" ht="15" customHeight="1" x14ac:dyDescent="0.25">
      <c r="A210" s="51"/>
      <c r="B210" s="49"/>
      <c r="C210" s="50"/>
      <c r="D210" s="49"/>
      <c r="E210" s="48"/>
      <c r="F210" s="47"/>
      <c r="G210" s="46"/>
    </row>
    <row r="211" spans="1:7" ht="15" customHeight="1" x14ac:dyDescent="0.25">
      <c r="A211" s="51"/>
      <c r="B211" s="49"/>
      <c r="C211" s="50"/>
      <c r="D211" s="49"/>
      <c r="E211" s="48"/>
      <c r="F211" s="47"/>
      <c r="G211" s="46"/>
    </row>
    <row r="212" spans="1:7" ht="15" customHeight="1" x14ac:dyDescent="0.25">
      <c r="A212" s="51"/>
      <c r="B212" s="49"/>
      <c r="C212" s="50"/>
      <c r="D212" s="49"/>
      <c r="E212" s="48"/>
      <c r="F212" s="47"/>
      <c r="G212" s="46"/>
    </row>
    <row r="213" spans="1:7" ht="15" customHeight="1" x14ac:dyDescent="0.25">
      <c r="A213" s="51"/>
      <c r="B213" s="49"/>
      <c r="C213" s="50"/>
      <c r="D213" s="49"/>
      <c r="E213" s="48"/>
      <c r="F213" s="47"/>
      <c r="G213" s="46"/>
    </row>
    <row r="214" spans="1:7" ht="15" customHeight="1" x14ac:dyDescent="0.25">
      <c r="A214" s="51"/>
      <c r="B214" s="49"/>
      <c r="C214" s="50"/>
      <c r="D214" s="49"/>
      <c r="E214" s="48"/>
      <c r="F214" s="47"/>
      <c r="G214" s="46"/>
    </row>
    <row r="215" spans="1:7" ht="15" customHeight="1" x14ac:dyDescent="0.25">
      <c r="A215" s="51"/>
      <c r="B215" s="49"/>
      <c r="C215" s="50"/>
      <c r="D215" s="49"/>
      <c r="E215" s="48"/>
      <c r="F215" s="47"/>
      <c r="G215" s="46"/>
    </row>
    <row r="216" spans="1:7" ht="15" customHeight="1" x14ac:dyDescent="0.25">
      <c r="A216" s="51"/>
      <c r="B216" s="49"/>
      <c r="C216" s="50"/>
      <c r="D216" s="49"/>
      <c r="E216" s="48"/>
      <c r="F216" s="47"/>
      <c r="G216" s="46"/>
    </row>
    <row r="217" spans="1:7" ht="15" customHeight="1" x14ac:dyDescent="0.25">
      <c r="A217" s="51"/>
      <c r="B217" s="49"/>
      <c r="C217" s="50"/>
      <c r="D217" s="49"/>
      <c r="E217" s="48"/>
      <c r="F217" s="47"/>
      <c r="G217" s="46"/>
    </row>
    <row r="218" spans="1:7" ht="15" customHeight="1" x14ac:dyDescent="0.25">
      <c r="A218" s="51"/>
      <c r="B218" s="49"/>
      <c r="C218" s="50"/>
      <c r="D218" s="49"/>
      <c r="E218" s="48"/>
      <c r="F218" s="47"/>
      <c r="G218" s="46"/>
    </row>
    <row r="219" spans="1:7" ht="15" customHeight="1" x14ac:dyDescent="0.25">
      <c r="A219" s="51"/>
      <c r="B219" s="49"/>
      <c r="C219" s="50"/>
      <c r="D219" s="49"/>
      <c r="E219" s="48"/>
      <c r="F219" s="47"/>
      <c r="G219" s="46"/>
    </row>
    <row r="220" spans="1:7" ht="15" customHeight="1" x14ac:dyDescent="0.25">
      <c r="A220" s="51"/>
      <c r="B220" s="49"/>
      <c r="C220" s="50"/>
      <c r="D220" s="49"/>
      <c r="E220" s="48"/>
      <c r="F220" s="47"/>
      <c r="G220" s="46"/>
    </row>
    <row r="221" spans="1:7" ht="15" customHeight="1" x14ac:dyDescent="0.25">
      <c r="A221" s="51"/>
      <c r="B221" s="49"/>
      <c r="C221" s="50"/>
      <c r="D221" s="49"/>
      <c r="E221" s="48"/>
      <c r="F221" s="47"/>
      <c r="G221" s="46"/>
    </row>
    <row r="222" spans="1:7" ht="15" customHeight="1" x14ac:dyDescent="0.25">
      <c r="A222" s="51"/>
      <c r="B222" s="49"/>
      <c r="C222" s="50"/>
      <c r="D222" s="49"/>
      <c r="E222" s="48"/>
      <c r="F222" s="47"/>
      <c r="G222" s="46"/>
    </row>
    <row r="223" spans="1:7" ht="15" customHeight="1" x14ac:dyDescent="0.25">
      <c r="A223" s="51"/>
      <c r="B223" s="49"/>
      <c r="C223" s="50"/>
      <c r="D223" s="49"/>
      <c r="E223" s="48"/>
      <c r="F223" s="47"/>
      <c r="G223" s="46"/>
    </row>
    <row r="224" spans="1:7" ht="15" customHeight="1" x14ac:dyDescent="0.25">
      <c r="A224" s="51"/>
      <c r="B224" s="49"/>
      <c r="C224" s="50"/>
      <c r="D224" s="49"/>
      <c r="E224" s="48"/>
      <c r="F224" s="47"/>
      <c r="G224" s="46"/>
    </row>
    <row r="225" spans="1:7" ht="15" customHeight="1" x14ac:dyDescent="0.25">
      <c r="A225" s="51"/>
      <c r="B225" s="49"/>
      <c r="C225" s="50"/>
      <c r="D225" s="49"/>
      <c r="E225" s="48"/>
      <c r="F225" s="47"/>
      <c r="G225" s="46"/>
    </row>
    <row r="226" spans="1:7" ht="15" customHeight="1" x14ac:dyDescent="0.25">
      <c r="A226" s="51"/>
      <c r="B226" s="49"/>
      <c r="C226" s="50"/>
      <c r="D226" s="49"/>
      <c r="E226" s="48"/>
      <c r="F226" s="47"/>
      <c r="G226" s="46"/>
    </row>
    <row r="227" spans="1:7" ht="15" customHeight="1" x14ac:dyDescent="0.25">
      <c r="A227" s="51"/>
      <c r="B227" s="49"/>
      <c r="C227" s="50"/>
      <c r="D227" s="49"/>
      <c r="E227" s="48"/>
      <c r="F227" s="47"/>
      <c r="G227" s="46"/>
    </row>
    <row r="228" spans="1:7" ht="15" customHeight="1" x14ac:dyDescent="0.25">
      <c r="A228" s="51"/>
      <c r="B228" s="49"/>
      <c r="C228" s="50"/>
      <c r="D228" s="49"/>
      <c r="E228" s="48"/>
      <c r="F228" s="47"/>
      <c r="G228" s="46"/>
    </row>
    <row r="229" spans="1:7" ht="15" customHeight="1" x14ac:dyDescent="0.25">
      <c r="A229" s="51"/>
      <c r="B229" s="49"/>
      <c r="C229" s="50"/>
      <c r="D229" s="49"/>
      <c r="E229" s="48"/>
      <c r="F229" s="47"/>
      <c r="G229" s="46"/>
    </row>
    <row r="230" spans="1:7" ht="15" customHeight="1" x14ac:dyDescent="0.25">
      <c r="A230" s="51"/>
      <c r="B230" s="49"/>
      <c r="C230" s="50"/>
      <c r="D230" s="49"/>
      <c r="E230" s="48"/>
      <c r="F230" s="47"/>
      <c r="G230" s="46"/>
    </row>
    <row r="231" spans="1:7" ht="15" customHeight="1" x14ac:dyDescent="0.25">
      <c r="A231" s="51"/>
      <c r="B231" s="49"/>
      <c r="C231" s="50"/>
      <c r="D231" s="49"/>
      <c r="E231" s="48"/>
      <c r="F231" s="47"/>
      <c r="G231" s="46"/>
    </row>
    <row r="232" spans="1:7" ht="15" customHeight="1" x14ac:dyDescent="0.25">
      <c r="A232" s="51"/>
      <c r="B232" s="49"/>
      <c r="C232" s="50"/>
      <c r="D232" s="49"/>
      <c r="E232" s="48"/>
      <c r="F232" s="47"/>
      <c r="G232" s="46"/>
    </row>
    <row r="233" spans="1:7" ht="15" customHeight="1" x14ac:dyDescent="0.25">
      <c r="A233" s="51"/>
      <c r="B233" s="49"/>
      <c r="C233" s="50"/>
      <c r="D233" s="49"/>
      <c r="E233" s="48"/>
      <c r="F233" s="47"/>
      <c r="G233" s="46"/>
    </row>
    <row r="234" spans="1:7" ht="15" customHeight="1" x14ac:dyDescent="0.25">
      <c r="A234" s="51"/>
      <c r="B234" s="49"/>
      <c r="C234" s="50"/>
      <c r="D234" s="49"/>
      <c r="E234" s="48"/>
      <c r="F234" s="47"/>
      <c r="G234" s="46"/>
    </row>
    <row r="235" spans="1:7" ht="15" customHeight="1" x14ac:dyDescent="0.25">
      <c r="A235" s="51"/>
      <c r="B235" s="49"/>
      <c r="C235" s="50"/>
      <c r="D235" s="49"/>
      <c r="E235" s="48"/>
      <c r="F235" s="47"/>
      <c r="G235" s="46"/>
    </row>
    <row r="236" spans="1:7" ht="15" customHeight="1" x14ac:dyDescent="0.25">
      <c r="A236" s="51"/>
      <c r="B236" s="49"/>
      <c r="C236" s="50"/>
      <c r="D236" s="49"/>
      <c r="E236" s="48"/>
      <c r="F236" s="47"/>
      <c r="G236" s="46"/>
    </row>
    <row r="237" spans="1:7" ht="15" customHeight="1" x14ac:dyDescent="0.25">
      <c r="A237" s="51"/>
      <c r="B237" s="49"/>
      <c r="C237" s="50"/>
      <c r="D237" s="49"/>
      <c r="E237" s="48"/>
      <c r="F237" s="47"/>
      <c r="G237" s="46"/>
    </row>
    <row r="238" spans="1:7" ht="15" customHeight="1" x14ac:dyDescent="0.25">
      <c r="A238" s="51"/>
      <c r="B238" s="49"/>
      <c r="C238" s="50"/>
      <c r="D238" s="49"/>
      <c r="E238" s="48"/>
      <c r="F238" s="47"/>
      <c r="G238" s="46"/>
    </row>
    <row r="239" spans="1:7" ht="15" customHeight="1" x14ac:dyDescent="0.25">
      <c r="A239" s="51"/>
      <c r="B239" s="49"/>
      <c r="C239" s="50"/>
      <c r="D239" s="49"/>
      <c r="E239" s="48"/>
      <c r="F239" s="47"/>
      <c r="G239" s="46"/>
    </row>
    <row r="240" spans="1:7" ht="15" customHeight="1" x14ac:dyDescent="0.25">
      <c r="A240" s="51"/>
      <c r="B240" s="49"/>
      <c r="C240" s="50"/>
      <c r="D240" s="49"/>
      <c r="E240" s="48"/>
      <c r="F240" s="47"/>
      <c r="G240" s="46"/>
    </row>
    <row r="241" spans="1:7" ht="15" customHeight="1" x14ac:dyDescent="0.25">
      <c r="A241" s="51"/>
      <c r="B241" s="49"/>
      <c r="C241" s="50"/>
      <c r="D241" s="49"/>
      <c r="E241" s="48"/>
      <c r="F241" s="47"/>
      <c r="G241" s="46"/>
    </row>
    <row r="242" spans="1:7" ht="15" customHeight="1" x14ac:dyDescent="0.25">
      <c r="A242" s="51"/>
      <c r="B242" s="49"/>
      <c r="C242" s="50"/>
      <c r="D242" s="49"/>
      <c r="E242" s="48"/>
      <c r="F242" s="47"/>
      <c r="G242" s="46"/>
    </row>
    <row r="243" spans="1:7" ht="15" customHeight="1" x14ac:dyDescent="0.25">
      <c r="A243" s="51"/>
      <c r="B243" s="49"/>
      <c r="C243" s="50"/>
      <c r="D243" s="49"/>
      <c r="E243" s="48"/>
      <c r="F243" s="47"/>
      <c r="G243" s="46"/>
    </row>
    <row r="244" spans="1:7" ht="15" customHeight="1" x14ac:dyDescent="0.25">
      <c r="A244" s="51"/>
      <c r="B244" s="49"/>
      <c r="C244" s="50"/>
      <c r="D244" s="49"/>
      <c r="E244" s="48"/>
      <c r="F244" s="47"/>
      <c r="G244" s="46"/>
    </row>
    <row r="245" spans="1:7" ht="15" customHeight="1" x14ac:dyDescent="0.25">
      <c r="A245" s="51"/>
      <c r="B245" s="49"/>
      <c r="C245" s="50"/>
      <c r="D245" s="49"/>
      <c r="E245" s="48"/>
      <c r="F245" s="47"/>
      <c r="G245" s="46"/>
    </row>
    <row r="246" spans="1:7" ht="15" customHeight="1" x14ac:dyDescent="0.25">
      <c r="A246" s="51"/>
      <c r="B246" s="49"/>
      <c r="C246" s="50"/>
      <c r="D246" s="49"/>
      <c r="E246" s="48"/>
      <c r="F246" s="47"/>
      <c r="G246" s="46"/>
    </row>
    <row r="247" spans="1:7" ht="15" customHeight="1" x14ac:dyDescent="0.25">
      <c r="A247" s="51"/>
      <c r="B247" s="49"/>
      <c r="C247" s="50"/>
      <c r="D247" s="49"/>
      <c r="E247" s="48"/>
      <c r="F247" s="47"/>
      <c r="G247" s="46"/>
    </row>
    <row r="248" spans="1:7" ht="15" customHeight="1" x14ac:dyDescent="0.25">
      <c r="A248" s="51"/>
      <c r="B248" s="49"/>
      <c r="C248" s="50"/>
      <c r="D248" s="49"/>
      <c r="E248" s="48"/>
      <c r="F248" s="47"/>
      <c r="G248" s="46"/>
    </row>
    <row r="249" spans="1:7" ht="15" customHeight="1" x14ac:dyDescent="0.25">
      <c r="A249" s="51"/>
      <c r="B249" s="49"/>
      <c r="C249" s="50"/>
      <c r="D249" s="49"/>
      <c r="E249" s="48"/>
      <c r="F249" s="47"/>
      <c r="G249" s="46"/>
    </row>
    <row r="250" spans="1:7" ht="15" customHeight="1" x14ac:dyDescent="0.25">
      <c r="A250" s="51"/>
      <c r="B250" s="49"/>
      <c r="C250" s="50"/>
      <c r="D250" s="49"/>
      <c r="E250" s="48"/>
      <c r="F250" s="47"/>
      <c r="G250" s="46"/>
    </row>
    <row r="251" spans="1:7" ht="15" customHeight="1" x14ac:dyDescent="0.25">
      <c r="A251" s="51"/>
      <c r="B251" s="49"/>
      <c r="C251" s="50"/>
      <c r="D251" s="49"/>
      <c r="E251" s="48"/>
      <c r="F251" s="47"/>
      <c r="G251" s="46"/>
    </row>
    <row r="252" spans="1:7" ht="15" customHeight="1" x14ac:dyDescent="0.25">
      <c r="A252" s="51"/>
      <c r="B252" s="49"/>
      <c r="C252" s="50"/>
      <c r="D252" s="49"/>
      <c r="E252" s="48"/>
      <c r="F252" s="47"/>
      <c r="G252" s="46"/>
    </row>
    <row r="253" spans="1:7" ht="15" customHeight="1" x14ac:dyDescent="0.25">
      <c r="A253" s="51"/>
      <c r="B253" s="49"/>
      <c r="C253" s="50"/>
      <c r="D253" s="49"/>
      <c r="E253" s="48"/>
      <c r="F253" s="47"/>
      <c r="G253" s="46"/>
    </row>
    <row r="254" spans="1:7" ht="15" customHeight="1" x14ac:dyDescent="0.25">
      <c r="A254" s="51"/>
      <c r="B254" s="49"/>
      <c r="C254" s="50"/>
      <c r="D254" s="49"/>
      <c r="E254" s="48"/>
      <c r="F254" s="47"/>
      <c r="G254" s="46"/>
    </row>
    <row r="255" spans="1:7" ht="15" customHeight="1" x14ac:dyDescent="0.25">
      <c r="A255" s="51"/>
      <c r="B255" s="49"/>
      <c r="C255" s="50"/>
      <c r="D255" s="49"/>
      <c r="E255" s="48"/>
      <c r="F255" s="47"/>
      <c r="G255" s="46"/>
    </row>
    <row r="256" spans="1:7" ht="15" customHeight="1" x14ac:dyDescent="0.25">
      <c r="A256" s="51"/>
      <c r="B256" s="49"/>
      <c r="C256" s="50"/>
      <c r="D256" s="49"/>
      <c r="E256" s="48"/>
      <c r="F256" s="47"/>
      <c r="G256" s="46"/>
    </row>
    <row r="257" spans="1:7" ht="15" customHeight="1" x14ac:dyDescent="0.25">
      <c r="A257" s="51"/>
      <c r="B257" s="49"/>
      <c r="C257" s="50"/>
      <c r="D257" s="49"/>
      <c r="E257" s="48"/>
      <c r="F257" s="47"/>
      <c r="G257" s="46"/>
    </row>
    <row r="258" spans="1:7" ht="15" customHeight="1" x14ac:dyDescent="0.25">
      <c r="A258" s="51"/>
      <c r="B258" s="49"/>
      <c r="C258" s="50"/>
      <c r="D258" s="49"/>
      <c r="E258" s="48"/>
      <c r="F258" s="47"/>
      <c r="G258" s="46"/>
    </row>
    <row r="259" spans="1:7" ht="15" customHeight="1" x14ac:dyDescent="0.25">
      <c r="A259" s="51"/>
      <c r="B259" s="49"/>
      <c r="C259" s="50"/>
      <c r="D259" s="49"/>
      <c r="E259" s="48"/>
      <c r="F259" s="47"/>
      <c r="G259" s="46"/>
    </row>
    <row r="260" spans="1:7" ht="15" customHeight="1" x14ac:dyDescent="0.25">
      <c r="A260" s="51"/>
      <c r="B260" s="49"/>
      <c r="C260" s="50"/>
      <c r="D260" s="49"/>
      <c r="E260" s="48"/>
      <c r="F260" s="47"/>
      <c r="G260" s="46"/>
    </row>
    <row r="261" spans="1:7" ht="15" customHeight="1" x14ac:dyDescent="0.25">
      <c r="A261" s="51"/>
      <c r="B261" s="49"/>
      <c r="C261" s="50"/>
      <c r="D261" s="49"/>
      <c r="E261" s="48"/>
      <c r="F261" s="47"/>
      <c r="G261" s="46"/>
    </row>
    <row r="262" spans="1:7" ht="15" customHeight="1" x14ac:dyDescent="0.25">
      <c r="A262" s="51"/>
      <c r="B262" s="49"/>
      <c r="C262" s="50"/>
      <c r="D262" s="49"/>
      <c r="E262" s="48"/>
      <c r="F262" s="47"/>
      <c r="G262" s="46"/>
    </row>
    <row r="263" spans="1:7" ht="15" customHeight="1" x14ac:dyDescent="0.25">
      <c r="A263" s="51"/>
      <c r="B263" s="49"/>
      <c r="C263" s="50"/>
      <c r="D263" s="49"/>
      <c r="E263" s="48"/>
      <c r="F263" s="47"/>
      <c r="G263" s="46"/>
    </row>
    <row r="264" spans="1:7" ht="15" customHeight="1" x14ac:dyDescent="0.25">
      <c r="A264" s="51"/>
      <c r="B264" s="49"/>
      <c r="C264" s="50"/>
      <c r="D264" s="49"/>
      <c r="E264" s="48"/>
      <c r="F264" s="47"/>
      <c r="G264" s="46"/>
    </row>
    <row r="265" spans="1:7" ht="15" customHeight="1" x14ac:dyDescent="0.25">
      <c r="A265" s="51"/>
      <c r="B265" s="49"/>
      <c r="C265" s="50"/>
      <c r="D265" s="49"/>
      <c r="E265" s="48"/>
      <c r="F265" s="47"/>
      <c r="G265" s="46"/>
    </row>
    <row r="266" spans="1:7" ht="15" customHeight="1" x14ac:dyDescent="0.25">
      <c r="A266" s="51"/>
      <c r="B266" s="49"/>
      <c r="C266" s="50"/>
      <c r="D266" s="49"/>
      <c r="E266" s="48"/>
      <c r="F266" s="47"/>
      <c r="G266" s="46"/>
    </row>
    <row r="267" spans="1:7" ht="15" customHeight="1" x14ac:dyDescent="0.25">
      <c r="A267" s="51"/>
      <c r="B267" s="49"/>
      <c r="C267" s="50"/>
      <c r="D267" s="49"/>
      <c r="E267" s="48"/>
      <c r="F267" s="47"/>
      <c r="G267" s="46"/>
    </row>
    <row r="268" spans="1:7" ht="15" customHeight="1" x14ac:dyDescent="0.25">
      <c r="A268" s="51"/>
      <c r="B268" s="49"/>
      <c r="C268" s="50"/>
      <c r="D268" s="49"/>
      <c r="E268" s="48"/>
      <c r="F268" s="47"/>
      <c r="G268" s="46"/>
    </row>
    <row r="269" spans="1:7" ht="15" customHeight="1" x14ac:dyDescent="0.25">
      <c r="A269" s="51"/>
      <c r="B269" s="49"/>
      <c r="C269" s="50"/>
      <c r="D269" s="49"/>
      <c r="E269" s="48"/>
      <c r="F269" s="47"/>
      <c r="G269" s="46"/>
    </row>
    <row r="270" spans="1:7" ht="15" customHeight="1" x14ac:dyDescent="0.25">
      <c r="A270" s="51"/>
      <c r="B270" s="49"/>
      <c r="C270" s="50"/>
      <c r="D270" s="49"/>
      <c r="E270" s="48"/>
      <c r="F270" s="47"/>
      <c r="G270" s="46"/>
    </row>
    <row r="271" spans="1:7" ht="15" customHeight="1" x14ac:dyDescent="0.25">
      <c r="A271" s="51"/>
      <c r="B271" s="49"/>
      <c r="C271" s="50"/>
      <c r="D271" s="49"/>
      <c r="E271" s="48"/>
      <c r="F271" s="47"/>
      <c r="G271" s="46"/>
    </row>
    <row r="272" spans="1:7" ht="15" customHeight="1" x14ac:dyDescent="0.25">
      <c r="A272" s="51"/>
      <c r="B272" s="49"/>
      <c r="C272" s="50"/>
      <c r="D272" s="49"/>
      <c r="E272" s="48"/>
      <c r="F272" s="47"/>
      <c r="G272" s="46"/>
    </row>
    <row r="273" spans="1:7" ht="15" customHeight="1" x14ac:dyDescent="0.25">
      <c r="A273" s="51"/>
      <c r="B273" s="49"/>
      <c r="C273" s="50"/>
      <c r="D273" s="49"/>
      <c r="E273" s="48"/>
      <c r="F273" s="47"/>
      <c r="G273" s="46"/>
    </row>
    <row r="274" spans="1:7" ht="15" customHeight="1" x14ac:dyDescent="0.25">
      <c r="A274" s="51"/>
      <c r="B274" s="49"/>
      <c r="C274" s="50"/>
      <c r="D274" s="49"/>
      <c r="E274" s="48"/>
      <c r="F274" s="47"/>
      <c r="G274" s="46"/>
    </row>
    <row r="275" spans="1:7" ht="15" customHeight="1" x14ac:dyDescent="0.25">
      <c r="A275" s="51"/>
      <c r="B275" s="49"/>
      <c r="C275" s="50"/>
      <c r="D275" s="49"/>
      <c r="E275" s="48"/>
      <c r="F275" s="47"/>
      <c r="G275" s="46"/>
    </row>
    <row r="276" spans="1:7" ht="15" customHeight="1" x14ac:dyDescent="0.25">
      <c r="A276" s="51"/>
      <c r="B276" s="49"/>
      <c r="C276" s="50"/>
      <c r="D276" s="49"/>
      <c r="E276" s="48"/>
      <c r="F276" s="47"/>
      <c r="G276" s="46"/>
    </row>
    <row r="277" spans="1:7" ht="15" customHeight="1" x14ac:dyDescent="0.25">
      <c r="A277" s="51"/>
      <c r="B277" s="49"/>
      <c r="C277" s="50"/>
      <c r="D277" s="49"/>
      <c r="E277" s="48"/>
      <c r="F277" s="47"/>
      <c r="G277" s="46"/>
    </row>
    <row r="278" spans="1:7" ht="15" customHeight="1" x14ac:dyDescent="0.25">
      <c r="A278" s="51"/>
      <c r="B278" s="49"/>
      <c r="C278" s="50"/>
      <c r="D278" s="49"/>
      <c r="E278" s="48"/>
      <c r="F278" s="47"/>
      <c r="G278" s="46"/>
    </row>
    <row r="279" spans="1:7" ht="15" customHeight="1" x14ac:dyDescent="0.25">
      <c r="A279" s="51"/>
      <c r="B279" s="49"/>
      <c r="C279" s="50"/>
      <c r="D279" s="49"/>
      <c r="E279" s="48"/>
      <c r="F279" s="47"/>
      <c r="G279" s="46"/>
    </row>
    <row r="280" spans="1:7" ht="15" customHeight="1" x14ac:dyDescent="0.25">
      <c r="A280" s="51"/>
      <c r="B280" s="49"/>
      <c r="C280" s="50"/>
      <c r="D280" s="49"/>
      <c r="E280" s="48"/>
      <c r="F280" s="47"/>
      <c r="G280" s="46"/>
    </row>
    <row r="281" spans="1:7" ht="15" customHeight="1" x14ac:dyDescent="0.25">
      <c r="A281" s="51"/>
      <c r="B281" s="49"/>
      <c r="C281" s="50"/>
      <c r="D281" s="49"/>
      <c r="E281" s="48"/>
      <c r="F281" s="47"/>
      <c r="G281" s="46"/>
    </row>
    <row r="282" spans="1:7" ht="15" customHeight="1" x14ac:dyDescent="0.25">
      <c r="A282" s="51"/>
      <c r="B282" s="49"/>
      <c r="C282" s="50"/>
      <c r="D282" s="49"/>
      <c r="E282" s="48"/>
      <c r="F282" s="47"/>
      <c r="G282" s="46"/>
    </row>
    <row r="283" spans="1:7" ht="15" customHeight="1" x14ac:dyDescent="0.25">
      <c r="A283" s="51"/>
      <c r="B283" s="49"/>
      <c r="C283" s="50"/>
      <c r="D283" s="49"/>
      <c r="E283" s="48"/>
      <c r="F283" s="47"/>
      <c r="G283" s="46"/>
    </row>
    <row r="284" spans="1:7" ht="15" customHeight="1" x14ac:dyDescent="0.25">
      <c r="A284" s="51"/>
      <c r="B284" s="49"/>
      <c r="C284" s="50"/>
      <c r="D284" s="49"/>
      <c r="E284" s="48"/>
      <c r="F284" s="47"/>
      <c r="G284" s="46"/>
    </row>
    <row r="285" spans="1:7" ht="15" customHeight="1" x14ac:dyDescent="0.25">
      <c r="A285" s="51"/>
      <c r="B285" s="49"/>
      <c r="C285" s="50"/>
      <c r="D285" s="49"/>
      <c r="E285" s="48"/>
      <c r="F285" s="47"/>
      <c r="G285" s="46"/>
    </row>
    <row r="286" spans="1:7" ht="15" customHeight="1" x14ac:dyDescent="0.25">
      <c r="A286" s="51"/>
      <c r="B286" s="49"/>
      <c r="C286" s="50"/>
      <c r="D286" s="49"/>
      <c r="E286" s="48"/>
      <c r="F286" s="47"/>
      <c r="G286" s="46"/>
    </row>
    <row r="287" spans="1:7" ht="15" customHeight="1" x14ac:dyDescent="0.25">
      <c r="A287" s="51"/>
      <c r="B287" s="49"/>
      <c r="C287" s="50"/>
      <c r="D287" s="49"/>
      <c r="E287" s="48"/>
      <c r="F287" s="47"/>
      <c r="G287" s="46"/>
    </row>
    <row r="288" spans="1:7" ht="15" customHeight="1" x14ac:dyDescent="0.25">
      <c r="A288" s="51"/>
      <c r="B288" s="49"/>
      <c r="C288" s="50"/>
      <c r="D288" s="49"/>
      <c r="E288" s="48"/>
      <c r="F288" s="47"/>
      <c r="G288" s="46"/>
    </row>
    <row r="289" spans="1:7" ht="15" customHeight="1" x14ac:dyDescent="0.25">
      <c r="A289" s="51"/>
      <c r="B289" s="49"/>
      <c r="C289" s="50"/>
      <c r="D289" s="49"/>
      <c r="E289" s="48"/>
      <c r="F289" s="47"/>
      <c r="G289" s="46"/>
    </row>
    <row r="290" spans="1:7" ht="15" customHeight="1" x14ac:dyDescent="0.25">
      <c r="A290" s="51"/>
      <c r="B290" s="49"/>
      <c r="C290" s="50"/>
      <c r="D290" s="49"/>
      <c r="E290" s="48"/>
      <c r="F290" s="47"/>
      <c r="G290" s="46"/>
    </row>
    <row r="291" spans="1:7" ht="15" customHeight="1" x14ac:dyDescent="0.25">
      <c r="A291" s="51"/>
      <c r="B291" s="49"/>
      <c r="C291" s="50"/>
      <c r="D291" s="49"/>
      <c r="E291" s="48"/>
      <c r="F291" s="47"/>
      <c r="G291" s="46"/>
    </row>
    <row r="292" spans="1:7" ht="15" customHeight="1" x14ac:dyDescent="0.25">
      <c r="A292" s="51"/>
      <c r="B292" s="49"/>
      <c r="C292" s="50"/>
      <c r="D292" s="49"/>
      <c r="E292" s="48"/>
      <c r="F292" s="47"/>
      <c r="G292" s="46"/>
    </row>
    <row r="293" spans="1:7" ht="15" customHeight="1" x14ac:dyDescent="0.25">
      <c r="A293" s="51"/>
      <c r="B293" s="49"/>
      <c r="C293" s="50"/>
      <c r="D293" s="49"/>
      <c r="E293" s="48"/>
      <c r="F293" s="47"/>
      <c r="G293" s="46"/>
    </row>
    <row r="294" spans="1:7" ht="15" customHeight="1" x14ac:dyDescent="0.25">
      <c r="A294" s="51"/>
      <c r="B294" s="49"/>
      <c r="C294" s="50"/>
      <c r="D294" s="49"/>
      <c r="E294" s="48"/>
      <c r="F294" s="47"/>
      <c r="G294" s="46"/>
    </row>
    <row r="295" spans="1:7" ht="15" customHeight="1" x14ac:dyDescent="0.25">
      <c r="A295" s="51"/>
      <c r="B295" s="49"/>
      <c r="C295" s="50"/>
      <c r="D295" s="49"/>
      <c r="E295" s="48"/>
      <c r="F295" s="47"/>
      <c r="G295" s="46"/>
    </row>
    <row r="296" spans="1:7" ht="15" customHeight="1" x14ac:dyDescent="0.25">
      <c r="A296" s="51"/>
      <c r="B296" s="49"/>
      <c r="C296" s="50"/>
      <c r="D296" s="49"/>
      <c r="E296" s="48"/>
      <c r="F296" s="47"/>
      <c r="G296" s="46"/>
    </row>
    <row r="297" spans="1:7" ht="15" customHeight="1" x14ac:dyDescent="0.25">
      <c r="A297" s="51"/>
      <c r="B297" s="49"/>
      <c r="C297" s="50"/>
      <c r="D297" s="49"/>
      <c r="E297" s="48"/>
      <c r="F297" s="47"/>
      <c r="G297" s="46"/>
    </row>
    <row r="298" spans="1:7" ht="15" customHeight="1" x14ac:dyDescent="0.25">
      <c r="A298" s="51"/>
      <c r="B298" s="49"/>
      <c r="C298" s="50"/>
      <c r="D298" s="49"/>
      <c r="E298" s="48"/>
      <c r="F298" s="47"/>
      <c r="G298" s="46"/>
    </row>
    <row r="299" spans="1:7" ht="15" customHeight="1" x14ac:dyDescent="0.25">
      <c r="A299" s="51"/>
      <c r="B299" s="49"/>
      <c r="C299" s="50"/>
      <c r="D299" s="49"/>
      <c r="E299" s="48"/>
      <c r="F299" s="47"/>
      <c r="G299" s="46"/>
    </row>
    <row r="300" spans="1:7" ht="15" customHeight="1" x14ac:dyDescent="0.25">
      <c r="A300" s="51"/>
      <c r="B300" s="49"/>
      <c r="C300" s="50"/>
      <c r="D300" s="49"/>
      <c r="E300" s="48"/>
      <c r="F300" s="47"/>
      <c r="G300" s="46"/>
    </row>
    <row r="301" spans="1:7" ht="15" customHeight="1" x14ac:dyDescent="0.25">
      <c r="A301" s="51"/>
      <c r="B301" s="49"/>
      <c r="C301" s="50"/>
      <c r="D301" s="49"/>
      <c r="E301" s="48"/>
      <c r="F301" s="47"/>
      <c r="G301" s="46"/>
    </row>
    <row r="302" spans="1:7" ht="15" customHeight="1" x14ac:dyDescent="0.25">
      <c r="A302" s="51"/>
      <c r="B302" s="49"/>
      <c r="C302" s="50"/>
      <c r="D302" s="49"/>
      <c r="E302" s="48"/>
      <c r="F302" s="47"/>
      <c r="G302" s="46"/>
    </row>
    <row r="303" spans="1:7" ht="15" customHeight="1" x14ac:dyDescent="0.25">
      <c r="A303" s="51"/>
      <c r="B303" s="49"/>
      <c r="C303" s="50"/>
      <c r="D303" s="49"/>
      <c r="E303" s="48"/>
      <c r="F303" s="47"/>
      <c r="G303" s="46"/>
    </row>
    <row r="304" spans="1:7" ht="15" customHeight="1" x14ac:dyDescent="0.25">
      <c r="A304" s="51"/>
      <c r="B304" s="49"/>
      <c r="C304" s="50"/>
      <c r="D304" s="49"/>
      <c r="E304" s="48"/>
      <c r="F304" s="47"/>
      <c r="G304" s="46"/>
    </row>
    <row r="305" spans="1:7" ht="15" customHeight="1" x14ac:dyDescent="0.25">
      <c r="A305" s="51"/>
      <c r="B305" s="49"/>
      <c r="C305" s="50"/>
      <c r="D305" s="49"/>
      <c r="E305" s="48"/>
      <c r="F305" s="47"/>
      <c r="G305" s="46"/>
    </row>
    <row r="306" spans="1:7" ht="15" customHeight="1" x14ac:dyDescent="0.25">
      <c r="A306" s="51"/>
      <c r="B306" s="49"/>
      <c r="C306" s="50"/>
      <c r="D306" s="49"/>
      <c r="E306" s="48"/>
      <c r="F306" s="47"/>
      <c r="G306" s="46"/>
    </row>
    <row r="307" spans="1:7" ht="15" customHeight="1" x14ac:dyDescent="0.25">
      <c r="A307" s="51"/>
      <c r="B307" s="49"/>
      <c r="C307" s="50"/>
      <c r="D307" s="49"/>
      <c r="E307" s="48"/>
      <c r="F307" s="47"/>
      <c r="G307" s="46"/>
    </row>
    <row r="308" spans="1:7" ht="15" customHeight="1" x14ac:dyDescent="0.25">
      <c r="A308" s="51"/>
      <c r="B308" s="49"/>
      <c r="C308" s="50"/>
      <c r="D308" s="49"/>
      <c r="E308" s="48"/>
      <c r="F308" s="47"/>
      <c r="G308" s="46"/>
    </row>
    <row r="309" spans="1:7" ht="15" customHeight="1" x14ac:dyDescent="0.25">
      <c r="A309" s="51"/>
      <c r="B309" s="49"/>
      <c r="C309" s="50"/>
      <c r="D309" s="49"/>
      <c r="E309" s="48"/>
      <c r="F309" s="47"/>
      <c r="G309" s="46"/>
    </row>
    <row r="310" spans="1:7" ht="15" customHeight="1" x14ac:dyDescent="0.25">
      <c r="A310" s="51"/>
      <c r="B310" s="49"/>
      <c r="C310" s="50"/>
      <c r="D310" s="49"/>
      <c r="E310" s="48"/>
      <c r="F310" s="47"/>
      <c r="G310" s="46"/>
    </row>
    <row r="311" spans="1:7" ht="15" customHeight="1" x14ac:dyDescent="0.25">
      <c r="A311" s="51"/>
      <c r="B311" s="49"/>
      <c r="C311" s="50"/>
      <c r="D311" s="49"/>
      <c r="E311" s="48"/>
      <c r="F311" s="47"/>
      <c r="G311" s="46"/>
    </row>
    <row r="312" spans="1:7" ht="15" customHeight="1" x14ac:dyDescent="0.25">
      <c r="A312" s="51"/>
      <c r="B312" s="49"/>
      <c r="C312" s="50"/>
      <c r="D312" s="49"/>
      <c r="E312" s="48"/>
      <c r="F312" s="47"/>
      <c r="G312" s="46"/>
    </row>
    <row r="313" spans="1:7" ht="15" customHeight="1" x14ac:dyDescent="0.25">
      <c r="A313" s="51"/>
      <c r="B313" s="49"/>
      <c r="C313" s="50"/>
      <c r="D313" s="49"/>
      <c r="E313" s="48"/>
      <c r="F313" s="47"/>
      <c r="G313" s="46"/>
    </row>
    <row r="314" spans="1:7" ht="15" customHeight="1" x14ac:dyDescent="0.25">
      <c r="A314" s="51"/>
      <c r="B314" s="49"/>
      <c r="C314" s="50"/>
      <c r="D314" s="49"/>
      <c r="E314" s="48"/>
      <c r="F314" s="47"/>
      <c r="G314" s="46"/>
    </row>
    <row r="315" spans="1:7" ht="15" customHeight="1" x14ac:dyDescent="0.25">
      <c r="A315" s="51"/>
      <c r="B315" s="49"/>
      <c r="C315" s="50"/>
      <c r="D315" s="49"/>
      <c r="E315" s="48"/>
      <c r="F315" s="47"/>
      <c r="G315" s="46"/>
    </row>
    <row r="316" spans="1:7" ht="15" customHeight="1" x14ac:dyDescent="0.25">
      <c r="A316" s="51"/>
      <c r="B316" s="49"/>
      <c r="C316" s="50"/>
      <c r="D316" s="49"/>
      <c r="E316" s="48"/>
      <c r="F316" s="47"/>
      <c r="G316" s="46"/>
    </row>
    <row r="317" spans="1:7" ht="15" customHeight="1" x14ac:dyDescent="0.25">
      <c r="A317" s="51"/>
      <c r="B317" s="49"/>
      <c r="C317" s="50"/>
      <c r="D317" s="49"/>
      <c r="E317" s="48"/>
      <c r="F317" s="47"/>
      <c r="G317" s="46"/>
    </row>
    <row r="318" spans="1:7" ht="15" customHeight="1" x14ac:dyDescent="0.25">
      <c r="A318" s="51"/>
      <c r="B318" s="49"/>
      <c r="C318" s="50"/>
      <c r="D318" s="49"/>
      <c r="E318" s="48"/>
      <c r="F318" s="47"/>
      <c r="G318" s="46"/>
    </row>
    <row r="319" spans="1:7" ht="15" customHeight="1" x14ac:dyDescent="0.25">
      <c r="A319" s="51"/>
      <c r="B319" s="49"/>
      <c r="C319" s="50"/>
      <c r="D319" s="49"/>
      <c r="E319" s="48"/>
      <c r="F319" s="47"/>
      <c r="G319" s="46"/>
    </row>
    <row r="320" spans="1:7" ht="15" customHeight="1" x14ac:dyDescent="0.25">
      <c r="A320" s="51"/>
      <c r="B320" s="49"/>
      <c r="C320" s="50"/>
      <c r="D320" s="49"/>
      <c r="E320" s="48"/>
      <c r="F320" s="47"/>
      <c r="G320" s="46"/>
    </row>
    <row r="321" spans="1:7" ht="15" customHeight="1" x14ac:dyDescent="0.25">
      <c r="A321" s="51"/>
      <c r="B321" s="49"/>
      <c r="C321" s="50"/>
      <c r="D321" s="49"/>
      <c r="E321" s="48"/>
      <c r="F321" s="47"/>
      <c r="G321" s="46"/>
    </row>
    <row r="322" spans="1:7" ht="15" customHeight="1" x14ac:dyDescent="0.25">
      <c r="A322" s="51"/>
      <c r="B322" s="49"/>
      <c r="C322" s="50"/>
      <c r="D322" s="49"/>
      <c r="E322" s="48"/>
      <c r="F322" s="47"/>
      <c r="G322" s="46"/>
    </row>
    <row r="323" spans="1:7" ht="15" customHeight="1" x14ac:dyDescent="0.25">
      <c r="A323" s="51"/>
      <c r="B323" s="49"/>
      <c r="C323" s="50"/>
      <c r="D323" s="49"/>
      <c r="E323" s="48"/>
      <c r="F323" s="47"/>
      <c r="G323" s="46"/>
    </row>
    <row r="324" spans="1:7" ht="15" customHeight="1" x14ac:dyDescent="0.25">
      <c r="A324" s="51"/>
      <c r="B324" s="49"/>
      <c r="C324" s="50"/>
      <c r="D324" s="49"/>
      <c r="E324" s="48"/>
      <c r="F324" s="47"/>
      <c r="G324" s="46"/>
    </row>
    <row r="325" spans="1:7" ht="15" customHeight="1" x14ac:dyDescent="0.25">
      <c r="A325" s="51"/>
      <c r="B325" s="49"/>
      <c r="C325" s="50"/>
      <c r="D325" s="49"/>
      <c r="E325" s="48"/>
      <c r="F325" s="47"/>
      <c r="G325" s="46"/>
    </row>
    <row r="326" spans="1:7" ht="15" customHeight="1" x14ac:dyDescent="0.25">
      <c r="A326" s="51"/>
      <c r="B326" s="49"/>
      <c r="C326" s="50"/>
      <c r="D326" s="49"/>
      <c r="E326" s="48"/>
      <c r="F326" s="47"/>
      <c r="G326" s="46"/>
    </row>
    <row r="327" spans="1:7" ht="15" customHeight="1" x14ac:dyDescent="0.25">
      <c r="A327" s="51"/>
      <c r="B327" s="49"/>
      <c r="C327" s="50"/>
      <c r="D327" s="49"/>
      <c r="E327" s="48"/>
      <c r="F327" s="47"/>
      <c r="G327" s="46"/>
    </row>
    <row r="328" spans="1:7" ht="15" customHeight="1" x14ac:dyDescent="0.25">
      <c r="A328" s="51"/>
      <c r="B328" s="49"/>
      <c r="C328" s="50"/>
      <c r="D328" s="49"/>
      <c r="E328" s="48"/>
      <c r="F328" s="47"/>
      <c r="G328" s="46"/>
    </row>
    <row r="329" spans="1:7" ht="15" customHeight="1" x14ac:dyDescent="0.25">
      <c r="A329" s="51"/>
      <c r="B329" s="49"/>
      <c r="C329" s="50"/>
      <c r="D329" s="49"/>
      <c r="E329" s="48"/>
      <c r="F329" s="47"/>
      <c r="G329" s="46"/>
    </row>
    <row r="330" spans="1:7" ht="15" customHeight="1" x14ac:dyDescent="0.25">
      <c r="A330" s="51"/>
      <c r="B330" s="49"/>
      <c r="C330" s="50"/>
      <c r="D330" s="49"/>
      <c r="E330" s="48"/>
      <c r="F330" s="47"/>
      <c r="G330" s="46"/>
    </row>
    <row r="331" spans="1:7" ht="15" customHeight="1" x14ac:dyDescent="0.25">
      <c r="A331" s="51"/>
      <c r="B331" s="49"/>
      <c r="C331" s="50"/>
      <c r="D331" s="49"/>
      <c r="E331" s="48"/>
      <c r="F331" s="47"/>
      <c r="G331" s="46"/>
    </row>
    <row r="332" spans="1:7" ht="15" customHeight="1" x14ac:dyDescent="0.25">
      <c r="A332" s="51"/>
      <c r="B332" s="49"/>
      <c r="C332" s="50"/>
      <c r="D332" s="49"/>
      <c r="E332" s="48"/>
      <c r="F332" s="47"/>
      <c r="G332" s="46"/>
    </row>
    <row r="333" spans="1:7" ht="15" customHeight="1" x14ac:dyDescent="0.25">
      <c r="A333" s="51"/>
      <c r="B333" s="49"/>
      <c r="C333" s="50"/>
      <c r="D333" s="49"/>
      <c r="E333" s="48"/>
      <c r="F333" s="47"/>
      <c r="G333" s="46"/>
    </row>
    <row r="334" spans="1:7" ht="15" customHeight="1" x14ac:dyDescent="0.25">
      <c r="A334" s="51"/>
      <c r="B334" s="49"/>
      <c r="C334" s="50"/>
      <c r="D334" s="49"/>
      <c r="E334" s="48"/>
      <c r="F334" s="47"/>
      <c r="G334" s="46"/>
    </row>
    <row r="335" spans="1:7" ht="15" customHeight="1" x14ac:dyDescent="0.25">
      <c r="A335" s="51"/>
      <c r="B335" s="49"/>
      <c r="C335" s="50"/>
      <c r="D335" s="49"/>
      <c r="E335" s="48"/>
      <c r="F335" s="47"/>
      <c r="G335" s="46"/>
    </row>
    <row r="336" spans="1:7" ht="15" customHeight="1" x14ac:dyDescent="0.25">
      <c r="A336" s="51"/>
      <c r="B336" s="49"/>
      <c r="C336" s="50"/>
      <c r="D336" s="49"/>
      <c r="E336" s="48"/>
      <c r="F336" s="47"/>
      <c r="G336" s="46"/>
    </row>
    <row r="337" spans="1:7" ht="15" customHeight="1" x14ac:dyDescent="0.25">
      <c r="A337" s="51"/>
      <c r="B337" s="49"/>
      <c r="C337" s="50"/>
      <c r="D337" s="49"/>
      <c r="E337" s="48"/>
      <c r="F337" s="47"/>
      <c r="G337" s="46"/>
    </row>
    <row r="338" spans="1:7" ht="15" customHeight="1" x14ac:dyDescent="0.25">
      <c r="A338" s="51"/>
      <c r="B338" s="49"/>
      <c r="C338" s="50"/>
      <c r="D338" s="49"/>
      <c r="E338" s="48"/>
      <c r="F338" s="47"/>
      <c r="G338" s="46"/>
    </row>
    <row r="339" spans="1:7" ht="15" customHeight="1" x14ac:dyDescent="0.25">
      <c r="A339" s="51"/>
      <c r="B339" s="49"/>
      <c r="C339" s="50"/>
      <c r="D339" s="49"/>
      <c r="E339" s="48"/>
      <c r="F339" s="47"/>
      <c r="G339" s="46"/>
    </row>
    <row r="340" spans="1:7" ht="15" customHeight="1" x14ac:dyDescent="0.25">
      <c r="A340" s="51"/>
      <c r="B340" s="49"/>
      <c r="C340" s="50"/>
      <c r="D340" s="49"/>
      <c r="E340" s="48"/>
      <c r="F340" s="47"/>
      <c r="G340" s="46"/>
    </row>
    <row r="341" spans="1:7" ht="15" customHeight="1" x14ac:dyDescent="0.25">
      <c r="A341" s="51"/>
      <c r="B341" s="49"/>
      <c r="C341" s="50"/>
      <c r="D341" s="49"/>
      <c r="E341" s="48"/>
      <c r="F341" s="47"/>
      <c r="G341" s="46"/>
    </row>
    <row r="342" spans="1:7" ht="15" customHeight="1" x14ac:dyDescent="0.25">
      <c r="A342" s="51"/>
      <c r="B342" s="49"/>
      <c r="C342" s="50"/>
      <c r="D342" s="49"/>
      <c r="E342" s="48"/>
      <c r="F342" s="47"/>
      <c r="G342" s="46"/>
    </row>
    <row r="343" spans="1:7" ht="15" customHeight="1" x14ac:dyDescent="0.25">
      <c r="A343" s="51"/>
      <c r="B343" s="49"/>
      <c r="C343" s="50"/>
      <c r="D343" s="49"/>
      <c r="E343" s="48"/>
      <c r="F343" s="47"/>
      <c r="G343" s="46"/>
    </row>
    <row r="344" spans="1:7" ht="15" customHeight="1" x14ac:dyDescent="0.25">
      <c r="A344" s="51"/>
      <c r="B344" s="49"/>
      <c r="C344" s="50"/>
      <c r="D344" s="49"/>
      <c r="E344" s="48"/>
      <c r="F344" s="47"/>
      <c r="G344" s="46"/>
    </row>
    <row r="345" spans="1:7" ht="15" customHeight="1" x14ac:dyDescent="0.25">
      <c r="A345" s="51"/>
      <c r="B345" s="49"/>
      <c r="C345" s="50"/>
      <c r="D345" s="49"/>
      <c r="E345" s="48"/>
      <c r="F345" s="47"/>
      <c r="G345" s="46"/>
    </row>
    <row r="346" spans="1:7" ht="15" customHeight="1" x14ac:dyDescent="0.25">
      <c r="A346" s="51"/>
      <c r="B346" s="49"/>
      <c r="C346" s="50"/>
      <c r="D346" s="49"/>
      <c r="E346" s="48"/>
      <c r="F346" s="47"/>
      <c r="G346" s="46"/>
    </row>
    <row r="347" spans="1:7" ht="15" customHeight="1" x14ac:dyDescent="0.25">
      <c r="A347" s="51"/>
      <c r="B347" s="49"/>
      <c r="C347" s="50"/>
      <c r="D347" s="49"/>
      <c r="E347" s="48"/>
      <c r="F347" s="47"/>
      <c r="G347" s="46"/>
    </row>
    <row r="348" spans="1:7" ht="15" customHeight="1" x14ac:dyDescent="0.25">
      <c r="A348" s="51"/>
      <c r="B348" s="49"/>
      <c r="C348" s="50"/>
      <c r="D348" s="49"/>
      <c r="E348" s="48"/>
      <c r="F348" s="47"/>
      <c r="G348" s="46"/>
    </row>
    <row r="349" spans="1:7" ht="15" customHeight="1" x14ac:dyDescent="0.25">
      <c r="A349" s="51"/>
      <c r="B349" s="49"/>
      <c r="C349" s="50"/>
      <c r="D349" s="49"/>
      <c r="E349" s="48"/>
      <c r="F349" s="47"/>
      <c r="G349" s="46"/>
    </row>
    <row r="350" spans="1:7" ht="15" customHeight="1" x14ac:dyDescent="0.25">
      <c r="A350" s="51"/>
      <c r="B350" s="49"/>
      <c r="C350" s="50"/>
      <c r="D350" s="49"/>
      <c r="E350" s="48"/>
      <c r="F350" s="47"/>
      <c r="G350" s="46"/>
    </row>
    <row r="351" spans="1:7" ht="15" customHeight="1" x14ac:dyDescent="0.25">
      <c r="A351" s="51"/>
      <c r="B351" s="49"/>
      <c r="C351" s="50"/>
      <c r="D351" s="49"/>
      <c r="E351" s="48"/>
      <c r="F351" s="47"/>
      <c r="G351" s="46"/>
    </row>
    <row r="352" spans="1:7" ht="15" customHeight="1" x14ac:dyDescent="0.25">
      <c r="A352" s="51"/>
      <c r="B352" s="49"/>
      <c r="C352" s="50"/>
      <c r="D352" s="49"/>
      <c r="E352" s="48"/>
      <c r="F352" s="47"/>
      <c r="G352" s="46"/>
    </row>
    <row r="353" spans="1:7" ht="15" customHeight="1" x14ac:dyDescent="0.25">
      <c r="A353" s="51"/>
      <c r="B353" s="49"/>
      <c r="C353" s="50"/>
      <c r="D353" s="49"/>
      <c r="E353" s="48"/>
      <c r="F353" s="47"/>
      <c r="G353" s="46"/>
    </row>
    <row r="354" spans="1:7" ht="15" customHeight="1" x14ac:dyDescent="0.25">
      <c r="A354" s="51"/>
      <c r="B354" s="49"/>
      <c r="C354" s="50"/>
      <c r="D354" s="49"/>
      <c r="E354" s="48"/>
      <c r="F354" s="47"/>
      <c r="G354" s="46"/>
    </row>
    <row r="355" spans="1:7" ht="15" customHeight="1" x14ac:dyDescent="0.25">
      <c r="A355" s="51"/>
      <c r="B355" s="49"/>
      <c r="C355" s="50"/>
      <c r="D355" s="49"/>
      <c r="E355" s="48"/>
      <c r="F355" s="47"/>
      <c r="G355" s="46"/>
    </row>
    <row r="356" spans="1:7" ht="15" customHeight="1" x14ac:dyDescent="0.25">
      <c r="A356" s="51"/>
      <c r="B356" s="49"/>
      <c r="C356" s="50"/>
      <c r="D356" s="49"/>
      <c r="E356" s="48"/>
      <c r="F356" s="47"/>
      <c r="G356" s="46"/>
    </row>
    <row r="357" spans="1:7" ht="15" customHeight="1" x14ac:dyDescent="0.25">
      <c r="A357" s="51"/>
      <c r="B357" s="49"/>
      <c r="C357" s="50"/>
      <c r="D357" s="49"/>
      <c r="E357" s="48"/>
      <c r="F357" s="47"/>
      <c r="G357" s="46"/>
    </row>
    <row r="358" spans="1:7" ht="15" customHeight="1" x14ac:dyDescent="0.25">
      <c r="A358" s="51"/>
      <c r="B358" s="49"/>
      <c r="C358" s="50"/>
      <c r="D358" s="49"/>
      <c r="E358" s="48"/>
      <c r="F358" s="47"/>
      <c r="G358" s="46"/>
    </row>
    <row r="359" spans="1:7" ht="15" customHeight="1" x14ac:dyDescent="0.25">
      <c r="A359" s="51"/>
      <c r="B359" s="49"/>
      <c r="C359" s="50"/>
      <c r="D359" s="49"/>
      <c r="E359" s="48"/>
      <c r="F359" s="47"/>
      <c r="G359" s="46"/>
    </row>
    <row r="360" spans="1:7" ht="15" customHeight="1" x14ac:dyDescent="0.25">
      <c r="A360" s="51"/>
      <c r="B360" s="49"/>
      <c r="C360" s="50"/>
      <c r="D360" s="49"/>
      <c r="E360" s="48"/>
      <c r="F360" s="47"/>
      <c r="G360" s="46"/>
    </row>
    <row r="361" spans="1:7" ht="15" customHeight="1" x14ac:dyDescent="0.25">
      <c r="A361" s="51"/>
      <c r="B361" s="49"/>
      <c r="C361" s="50"/>
      <c r="D361" s="49"/>
      <c r="E361" s="48"/>
      <c r="F361" s="47"/>
      <c r="G361" s="46"/>
    </row>
    <row r="362" spans="1:7" ht="15" customHeight="1" x14ac:dyDescent="0.25">
      <c r="A362" s="51"/>
      <c r="B362" s="49"/>
      <c r="C362" s="50"/>
      <c r="D362" s="49"/>
      <c r="E362" s="48"/>
      <c r="F362" s="47"/>
      <c r="G362" s="46"/>
    </row>
    <row r="363" spans="1:7" ht="15" customHeight="1" x14ac:dyDescent="0.25">
      <c r="A363" s="51"/>
      <c r="B363" s="49"/>
      <c r="C363" s="50"/>
      <c r="D363" s="49"/>
      <c r="E363" s="48"/>
      <c r="F363" s="47"/>
      <c r="G363" s="46"/>
    </row>
    <row r="364" spans="1:7" ht="15" customHeight="1" x14ac:dyDescent="0.25">
      <c r="A364" s="51"/>
      <c r="B364" s="49"/>
      <c r="C364" s="50"/>
      <c r="D364" s="49"/>
      <c r="E364" s="48"/>
      <c r="F364" s="47"/>
      <c r="G364" s="46"/>
    </row>
    <row r="365" spans="1:7" ht="15" customHeight="1" x14ac:dyDescent="0.25">
      <c r="A365" s="51"/>
      <c r="B365" s="49"/>
      <c r="C365" s="50"/>
      <c r="D365" s="49"/>
      <c r="E365" s="48"/>
      <c r="F365" s="47"/>
      <c r="G365" s="46"/>
    </row>
    <row r="366" spans="1:7" ht="15" customHeight="1" x14ac:dyDescent="0.25">
      <c r="A366" s="51"/>
      <c r="B366" s="49"/>
      <c r="C366" s="50"/>
      <c r="D366" s="49"/>
      <c r="E366" s="48"/>
      <c r="F366" s="47"/>
      <c r="G366" s="46"/>
    </row>
    <row r="367" spans="1:7" ht="15" customHeight="1" x14ac:dyDescent="0.25">
      <c r="A367" s="51"/>
      <c r="B367" s="49"/>
      <c r="C367" s="50"/>
      <c r="D367" s="49"/>
      <c r="E367" s="48"/>
      <c r="F367" s="47"/>
      <c r="G367" s="46"/>
    </row>
    <row r="368" spans="1:7" ht="15" customHeight="1" x14ac:dyDescent="0.25">
      <c r="A368" s="51"/>
      <c r="B368" s="49"/>
      <c r="C368" s="50"/>
      <c r="D368" s="49"/>
      <c r="E368" s="48"/>
      <c r="F368" s="47"/>
      <c r="G368" s="46"/>
    </row>
    <row r="369" spans="1:7" ht="15" customHeight="1" x14ac:dyDescent="0.25">
      <c r="A369" s="51"/>
      <c r="B369" s="49"/>
      <c r="C369" s="50"/>
      <c r="D369" s="49"/>
      <c r="E369" s="48"/>
      <c r="F369" s="47"/>
      <c r="G369" s="46"/>
    </row>
    <row r="370" spans="1:7" ht="15" customHeight="1" x14ac:dyDescent="0.25">
      <c r="A370" s="51"/>
      <c r="B370" s="49"/>
      <c r="C370" s="50"/>
      <c r="D370" s="49"/>
      <c r="E370" s="48"/>
      <c r="F370" s="47"/>
      <c r="G370" s="46"/>
    </row>
    <row r="371" spans="1:7" ht="15" customHeight="1" x14ac:dyDescent="0.25">
      <c r="A371" s="51"/>
      <c r="B371" s="49"/>
      <c r="C371" s="50"/>
      <c r="D371" s="49"/>
      <c r="E371" s="48"/>
      <c r="F371" s="47"/>
      <c r="G371" s="46"/>
    </row>
    <row r="372" spans="1:7" ht="15" customHeight="1" x14ac:dyDescent="0.25">
      <c r="A372" s="51"/>
      <c r="B372" s="49"/>
      <c r="C372" s="50"/>
      <c r="D372" s="49"/>
      <c r="E372" s="48"/>
      <c r="F372" s="47"/>
      <c r="G372" s="46"/>
    </row>
    <row r="373" spans="1:7" ht="15" customHeight="1" x14ac:dyDescent="0.25">
      <c r="A373" s="51"/>
      <c r="B373" s="49"/>
      <c r="C373" s="50"/>
      <c r="D373" s="49"/>
      <c r="E373" s="48"/>
      <c r="F373" s="47"/>
      <c r="G373" s="46"/>
    </row>
    <row r="374" spans="1:7" ht="15" customHeight="1" x14ac:dyDescent="0.25">
      <c r="A374" s="51"/>
      <c r="B374" s="49"/>
      <c r="C374" s="50"/>
      <c r="D374" s="49"/>
      <c r="E374" s="48"/>
      <c r="F374" s="47"/>
      <c r="G374" s="46"/>
    </row>
    <row r="375" spans="1:7" ht="15" customHeight="1" x14ac:dyDescent="0.25">
      <c r="A375" s="51"/>
      <c r="B375" s="49"/>
      <c r="C375" s="50"/>
      <c r="D375" s="49"/>
      <c r="E375" s="48"/>
      <c r="F375" s="47"/>
      <c r="G375" s="46"/>
    </row>
    <row r="376" spans="1:7" ht="15" customHeight="1" x14ac:dyDescent="0.25">
      <c r="A376" s="51"/>
      <c r="B376" s="49"/>
      <c r="C376" s="50"/>
      <c r="D376" s="49"/>
      <c r="E376" s="48"/>
      <c r="F376" s="47"/>
      <c r="G376" s="46"/>
    </row>
    <row r="377" spans="1:7" ht="15" customHeight="1" x14ac:dyDescent="0.25">
      <c r="A377" s="51"/>
      <c r="B377" s="49"/>
      <c r="C377" s="50"/>
      <c r="D377" s="49"/>
      <c r="E377" s="48"/>
      <c r="F377" s="47"/>
      <c r="G377" s="46"/>
    </row>
    <row r="378" spans="1:7" ht="15" customHeight="1" x14ac:dyDescent="0.25">
      <c r="A378" s="51"/>
      <c r="B378" s="49"/>
      <c r="C378" s="50"/>
      <c r="D378" s="49"/>
      <c r="E378" s="48"/>
      <c r="F378" s="47"/>
      <c r="G378" s="46"/>
    </row>
    <row r="379" spans="1:7" ht="15" customHeight="1" x14ac:dyDescent="0.25">
      <c r="A379" s="51"/>
      <c r="B379" s="49"/>
      <c r="C379" s="50"/>
      <c r="D379" s="49"/>
      <c r="E379" s="48"/>
      <c r="F379" s="47"/>
      <c r="G379" s="46"/>
    </row>
    <row r="380" spans="1:7" ht="15" customHeight="1" x14ac:dyDescent="0.25">
      <c r="A380" s="51"/>
      <c r="B380" s="49"/>
      <c r="C380" s="50"/>
      <c r="D380" s="49"/>
      <c r="E380" s="48"/>
      <c r="F380" s="47"/>
      <c r="G380" s="46"/>
    </row>
    <row r="381" spans="1:7" ht="15" customHeight="1" x14ac:dyDescent="0.25">
      <c r="A381" s="51"/>
      <c r="B381" s="49"/>
      <c r="C381" s="50"/>
      <c r="D381" s="49"/>
      <c r="E381" s="48"/>
      <c r="F381" s="47"/>
      <c r="G381" s="46"/>
    </row>
    <row r="382" spans="1:7" ht="15" customHeight="1" x14ac:dyDescent="0.25">
      <c r="A382" s="51"/>
      <c r="B382" s="49"/>
      <c r="C382" s="50"/>
      <c r="D382" s="49"/>
      <c r="E382" s="48"/>
      <c r="F382" s="47"/>
      <c r="G382" s="46"/>
    </row>
    <row r="383" spans="1:7" ht="15" customHeight="1" x14ac:dyDescent="0.25">
      <c r="A383" s="51"/>
      <c r="B383" s="49"/>
      <c r="C383" s="50"/>
      <c r="D383" s="49"/>
      <c r="E383" s="48"/>
      <c r="F383" s="47"/>
      <c r="G383" s="46"/>
    </row>
    <row r="384" spans="1:7" ht="15" customHeight="1" x14ac:dyDescent="0.25">
      <c r="A384" s="51"/>
      <c r="B384" s="49"/>
      <c r="C384" s="50"/>
      <c r="D384" s="49"/>
      <c r="E384" s="48"/>
      <c r="F384" s="47"/>
      <c r="G384" s="46"/>
    </row>
    <row r="385" spans="1:7" ht="15" customHeight="1" x14ac:dyDescent="0.25">
      <c r="A385" s="51"/>
      <c r="B385" s="49"/>
      <c r="C385" s="50"/>
      <c r="D385" s="49"/>
      <c r="E385" s="48"/>
      <c r="F385" s="47"/>
      <c r="G385" s="46"/>
    </row>
    <row r="386" spans="1:7" ht="15" customHeight="1" x14ac:dyDescent="0.25">
      <c r="A386" s="51"/>
      <c r="B386" s="49"/>
      <c r="C386" s="50"/>
      <c r="D386" s="49"/>
      <c r="E386" s="48"/>
      <c r="F386" s="47"/>
      <c r="G386" s="46"/>
    </row>
    <row r="387" spans="1:7" ht="15" customHeight="1" x14ac:dyDescent="0.25">
      <c r="A387" s="51"/>
      <c r="B387" s="49"/>
      <c r="C387" s="50"/>
      <c r="D387" s="49"/>
      <c r="E387" s="48"/>
      <c r="F387" s="47"/>
      <c r="G387" s="46"/>
    </row>
    <row r="388" spans="1:7" ht="15" customHeight="1" x14ac:dyDescent="0.25">
      <c r="A388" s="51"/>
      <c r="B388" s="49"/>
      <c r="C388" s="50"/>
      <c r="D388" s="49"/>
      <c r="E388" s="48"/>
      <c r="F388" s="47"/>
      <c r="G388" s="46"/>
    </row>
    <row r="389" spans="1:7" ht="15" customHeight="1" x14ac:dyDescent="0.25">
      <c r="A389" s="51"/>
      <c r="B389" s="49"/>
      <c r="C389" s="50"/>
      <c r="D389" s="49"/>
      <c r="E389" s="48"/>
      <c r="F389" s="47"/>
      <c r="G389" s="46"/>
    </row>
    <row r="390" spans="1:7" ht="15" customHeight="1" x14ac:dyDescent="0.25">
      <c r="A390" s="51"/>
      <c r="B390" s="49"/>
      <c r="C390" s="50"/>
      <c r="D390" s="49"/>
      <c r="E390" s="48"/>
      <c r="F390" s="47"/>
      <c r="G390" s="46"/>
    </row>
    <row r="391" spans="1:7" ht="15" customHeight="1" x14ac:dyDescent="0.25">
      <c r="A391" s="51"/>
      <c r="B391" s="49"/>
      <c r="C391" s="50"/>
      <c r="D391" s="49"/>
      <c r="E391" s="48"/>
      <c r="F391" s="47"/>
      <c r="G391" s="46"/>
    </row>
    <row r="392" spans="1:7" ht="15" customHeight="1" x14ac:dyDescent="0.25">
      <c r="A392" s="51"/>
      <c r="B392" s="49"/>
      <c r="C392" s="50"/>
      <c r="D392" s="49"/>
      <c r="E392" s="48"/>
      <c r="F392" s="47"/>
      <c r="G392" s="46"/>
    </row>
    <row r="393" spans="1:7" ht="15" customHeight="1" x14ac:dyDescent="0.25">
      <c r="A393" s="51"/>
      <c r="B393" s="49"/>
      <c r="C393" s="50"/>
      <c r="D393" s="49"/>
      <c r="E393" s="48"/>
      <c r="F393" s="47"/>
      <c r="G393" s="46"/>
    </row>
    <row r="394" spans="1:7" ht="15" customHeight="1" x14ac:dyDescent="0.25">
      <c r="A394" s="51"/>
      <c r="B394" s="49"/>
      <c r="C394" s="50"/>
      <c r="D394" s="49"/>
      <c r="E394" s="48"/>
      <c r="F394" s="47"/>
      <c r="G394" s="46"/>
    </row>
    <row r="395" spans="1:7" ht="15" customHeight="1" x14ac:dyDescent="0.25">
      <c r="A395" s="51"/>
      <c r="B395" s="49"/>
      <c r="C395" s="50"/>
      <c r="D395" s="49"/>
      <c r="E395" s="48"/>
      <c r="F395" s="47"/>
      <c r="G395" s="46"/>
    </row>
    <row r="396" spans="1:7" ht="15" customHeight="1" x14ac:dyDescent="0.25">
      <c r="A396" s="51"/>
      <c r="B396" s="49"/>
      <c r="C396" s="50"/>
      <c r="D396" s="49"/>
      <c r="E396" s="48"/>
      <c r="F396" s="47"/>
      <c r="G396" s="46"/>
    </row>
    <row r="397" spans="1:7" ht="15" customHeight="1" x14ac:dyDescent="0.25">
      <c r="A397" s="51"/>
      <c r="B397" s="49"/>
      <c r="C397" s="50"/>
      <c r="D397" s="49"/>
      <c r="E397" s="48"/>
      <c r="F397" s="47"/>
      <c r="G397" s="46"/>
    </row>
    <row r="398" spans="1:7" ht="15" customHeight="1" x14ac:dyDescent="0.25">
      <c r="A398" s="51"/>
      <c r="B398" s="49"/>
      <c r="C398" s="50"/>
      <c r="D398" s="49"/>
      <c r="E398" s="48"/>
      <c r="F398" s="47"/>
      <c r="G398" s="46"/>
    </row>
    <row r="399" spans="1:7" ht="15" customHeight="1" x14ac:dyDescent="0.25">
      <c r="A399" s="51"/>
      <c r="B399" s="49"/>
      <c r="C399" s="50"/>
      <c r="D399" s="49"/>
      <c r="E399" s="48"/>
      <c r="F399" s="47"/>
      <c r="G399" s="46"/>
    </row>
    <row r="400" spans="1:7" ht="15" customHeight="1" x14ac:dyDescent="0.25">
      <c r="A400" s="51"/>
      <c r="B400" s="49"/>
      <c r="C400" s="50"/>
      <c r="D400" s="49"/>
      <c r="E400" s="48"/>
      <c r="F400" s="47"/>
      <c r="G400" s="46"/>
    </row>
    <row r="401" spans="1:7" ht="15" customHeight="1" x14ac:dyDescent="0.25">
      <c r="A401" s="51"/>
      <c r="B401" s="49"/>
      <c r="C401" s="50"/>
      <c r="D401" s="49"/>
      <c r="E401" s="48"/>
      <c r="F401" s="47"/>
      <c r="G401" s="46"/>
    </row>
    <row r="402" spans="1:7" ht="15" customHeight="1" x14ac:dyDescent="0.25">
      <c r="A402" s="51"/>
      <c r="B402" s="49"/>
      <c r="C402" s="50"/>
      <c r="D402" s="49"/>
      <c r="E402" s="48"/>
      <c r="F402" s="47"/>
      <c r="G402" s="46"/>
    </row>
    <row r="403" spans="1:7" ht="15" customHeight="1" x14ac:dyDescent="0.25">
      <c r="A403" s="51"/>
      <c r="B403" s="49"/>
      <c r="C403" s="50"/>
      <c r="D403" s="49"/>
      <c r="E403" s="48"/>
      <c r="F403" s="47"/>
      <c r="G403" s="46"/>
    </row>
    <row r="404" spans="1:7" ht="15" customHeight="1" x14ac:dyDescent="0.25">
      <c r="A404" s="51"/>
      <c r="B404" s="49"/>
      <c r="C404" s="50"/>
      <c r="D404" s="49"/>
      <c r="E404" s="48"/>
      <c r="F404" s="47"/>
      <c r="G404" s="46"/>
    </row>
    <row r="405" spans="1:7" ht="15" customHeight="1" x14ac:dyDescent="0.25">
      <c r="A405" s="51"/>
      <c r="B405" s="49"/>
      <c r="C405" s="50"/>
      <c r="D405" s="49"/>
      <c r="E405" s="48"/>
      <c r="F405" s="47"/>
      <c r="G405" s="46"/>
    </row>
    <row r="406" spans="1:7" ht="15" customHeight="1" x14ac:dyDescent="0.25">
      <c r="A406" s="51"/>
      <c r="B406" s="49"/>
      <c r="C406" s="50"/>
      <c r="D406" s="49"/>
      <c r="E406" s="48"/>
      <c r="F406" s="47"/>
      <c r="G406" s="46"/>
    </row>
    <row r="407" spans="1:7" ht="15" customHeight="1" x14ac:dyDescent="0.25">
      <c r="A407" s="51"/>
      <c r="B407" s="49"/>
      <c r="C407" s="50"/>
      <c r="D407" s="49"/>
      <c r="E407" s="48"/>
      <c r="F407" s="47"/>
      <c r="G407" s="46"/>
    </row>
    <row r="408" spans="1:7" ht="15" customHeight="1" x14ac:dyDescent="0.25">
      <c r="A408" s="51"/>
      <c r="B408" s="49"/>
      <c r="C408" s="50"/>
      <c r="D408" s="49"/>
      <c r="E408" s="48"/>
      <c r="F408" s="47"/>
      <c r="G408" s="46"/>
    </row>
    <row r="409" spans="1:7" ht="15" customHeight="1" x14ac:dyDescent="0.25">
      <c r="A409" s="51"/>
      <c r="B409" s="49"/>
      <c r="C409" s="50"/>
      <c r="D409" s="49"/>
      <c r="E409" s="48"/>
      <c r="F409" s="47"/>
      <c r="G409" s="46"/>
    </row>
    <row r="410" spans="1:7" ht="15" customHeight="1" x14ac:dyDescent="0.25">
      <c r="A410" s="51"/>
      <c r="B410" s="49"/>
      <c r="C410" s="50"/>
      <c r="D410" s="49"/>
      <c r="E410" s="48"/>
      <c r="F410" s="47"/>
      <c r="G410" s="46"/>
    </row>
    <row r="411" spans="1:7" ht="15" customHeight="1" x14ac:dyDescent="0.25">
      <c r="A411" s="51"/>
      <c r="B411" s="49"/>
      <c r="C411" s="50"/>
      <c r="D411" s="49"/>
      <c r="E411" s="48"/>
      <c r="F411" s="47"/>
      <c r="G411" s="46"/>
    </row>
    <row r="412" spans="1:7" ht="15" customHeight="1" x14ac:dyDescent="0.25">
      <c r="A412" s="51"/>
      <c r="B412" s="49"/>
      <c r="C412" s="50"/>
      <c r="D412" s="49"/>
      <c r="E412" s="48"/>
      <c r="F412" s="47"/>
      <c r="G412" s="46"/>
    </row>
    <row r="413" spans="1:7" ht="15" customHeight="1" x14ac:dyDescent="0.25">
      <c r="A413" s="51"/>
      <c r="B413" s="49"/>
      <c r="C413" s="50"/>
      <c r="D413" s="49"/>
      <c r="E413" s="48"/>
      <c r="F413" s="47"/>
      <c r="G413" s="46"/>
    </row>
    <row r="414" spans="1:7" ht="15" customHeight="1" x14ac:dyDescent="0.25">
      <c r="A414" s="51"/>
      <c r="B414" s="49"/>
      <c r="C414" s="50"/>
      <c r="D414" s="49"/>
      <c r="E414" s="48"/>
      <c r="F414" s="47"/>
      <c r="G414" s="46"/>
    </row>
    <row r="415" spans="1:7" ht="15" customHeight="1" x14ac:dyDescent="0.25">
      <c r="A415" s="51"/>
      <c r="B415" s="49"/>
      <c r="C415" s="50"/>
      <c r="D415" s="49"/>
      <c r="E415" s="48"/>
      <c r="F415" s="47"/>
      <c r="G415" s="46"/>
    </row>
    <row r="416" spans="1:7" ht="15" customHeight="1" x14ac:dyDescent="0.25">
      <c r="A416" s="51"/>
      <c r="B416" s="49"/>
      <c r="C416" s="50"/>
      <c r="D416" s="49"/>
      <c r="E416" s="48"/>
      <c r="F416" s="47"/>
      <c r="G416" s="46"/>
    </row>
    <row r="417" spans="1:7" ht="15" customHeight="1" x14ac:dyDescent="0.25">
      <c r="A417" s="51"/>
      <c r="B417" s="49"/>
      <c r="C417" s="50"/>
      <c r="D417" s="49"/>
      <c r="E417" s="48"/>
      <c r="F417" s="47"/>
      <c r="G417" s="46"/>
    </row>
    <row r="418" spans="1:7" ht="15" customHeight="1" x14ac:dyDescent="0.25">
      <c r="A418" s="51"/>
      <c r="B418" s="49"/>
      <c r="C418" s="50"/>
      <c r="D418" s="49"/>
      <c r="E418" s="48"/>
      <c r="F418" s="47"/>
      <c r="G418" s="46"/>
    </row>
    <row r="419" spans="1:7" ht="15" customHeight="1" x14ac:dyDescent="0.25">
      <c r="A419" s="51"/>
      <c r="B419" s="49"/>
      <c r="C419" s="50"/>
      <c r="D419" s="49"/>
      <c r="E419" s="48"/>
      <c r="F419" s="47"/>
      <c r="G419" s="46"/>
    </row>
    <row r="420" spans="1:7" ht="15" customHeight="1" x14ac:dyDescent="0.25">
      <c r="A420" s="51"/>
      <c r="B420" s="49"/>
      <c r="C420" s="50"/>
      <c r="D420" s="49"/>
      <c r="E420" s="48"/>
      <c r="F420" s="47"/>
      <c r="G420" s="46"/>
    </row>
    <row r="421" spans="1:7" ht="15" customHeight="1" x14ac:dyDescent="0.25">
      <c r="A421" s="51"/>
      <c r="B421" s="49"/>
      <c r="C421" s="50"/>
      <c r="D421" s="49"/>
      <c r="E421" s="48"/>
      <c r="F421" s="47"/>
      <c r="G421" s="46"/>
    </row>
    <row r="422" spans="1:7" ht="15" customHeight="1" x14ac:dyDescent="0.25">
      <c r="A422" s="51"/>
      <c r="B422" s="49"/>
      <c r="C422" s="50"/>
      <c r="D422" s="49"/>
      <c r="E422" s="48"/>
      <c r="F422" s="47"/>
      <c r="G422" s="46"/>
    </row>
    <row r="423" spans="1:7" ht="15" customHeight="1" x14ac:dyDescent="0.25">
      <c r="A423" s="51"/>
      <c r="B423" s="49"/>
      <c r="C423" s="50"/>
      <c r="D423" s="49"/>
      <c r="E423" s="48"/>
      <c r="F423" s="47"/>
      <c r="G423" s="46"/>
    </row>
    <row r="424" spans="1:7" ht="15" customHeight="1" x14ac:dyDescent="0.25">
      <c r="A424" s="51"/>
      <c r="B424" s="49"/>
      <c r="C424" s="50"/>
      <c r="D424" s="49"/>
      <c r="E424" s="48"/>
      <c r="F424" s="47"/>
      <c r="G424" s="46"/>
    </row>
    <row r="425" spans="1:7" ht="15" customHeight="1" x14ac:dyDescent="0.25">
      <c r="A425" s="51"/>
      <c r="B425" s="49"/>
      <c r="C425" s="50"/>
      <c r="D425" s="49"/>
      <c r="E425" s="48"/>
      <c r="F425" s="47"/>
      <c r="G425" s="46"/>
    </row>
    <row r="426" spans="1:7" ht="15" customHeight="1" x14ac:dyDescent="0.25">
      <c r="A426" s="51"/>
      <c r="B426" s="49"/>
      <c r="C426" s="50"/>
      <c r="D426" s="49"/>
      <c r="E426" s="48"/>
      <c r="F426" s="47"/>
      <c r="G426" s="46"/>
    </row>
    <row r="427" spans="1:7" ht="15" customHeight="1" x14ac:dyDescent="0.25">
      <c r="A427" s="51"/>
      <c r="B427" s="49"/>
      <c r="C427" s="50"/>
      <c r="D427" s="49"/>
      <c r="E427" s="48"/>
      <c r="F427" s="47"/>
      <c r="G427" s="46"/>
    </row>
    <row r="428" spans="1:7" ht="15" customHeight="1" x14ac:dyDescent="0.25">
      <c r="A428" s="51"/>
      <c r="B428" s="49"/>
      <c r="C428" s="50"/>
      <c r="D428" s="49"/>
      <c r="E428" s="48"/>
      <c r="F428" s="47"/>
      <c r="G428" s="46"/>
    </row>
    <row r="429" spans="1:7" ht="15" customHeight="1" x14ac:dyDescent="0.25">
      <c r="A429" s="51"/>
      <c r="B429" s="49"/>
      <c r="C429" s="50"/>
      <c r="D429" s="49"/>
      <c r="E429" s="48"/>
      <c r="F429" s="47"/>
      <c r="G429" s="46"/>
    </row>
    <row r="430" spans="1:7" ht="15" customHeight="1" x14ac:dyDescent="0.25">
      <c r="A430" s="51"/>
      <c r="B430" s="49"/>
      <c r="C430" s="50"/>
      <c r="D430" s="49"/>
      <c r="E430" s="48"/>
      <c r="F430" s="47"/>
      <c r="G430" s="46"/>
    </row>
    <row r="431" spans="1:7" ht="15" customHeight="1" x14ac:dyDescent="0.25">
      <c r="A431" s="51"/>
      <c r="B431" s="49"/>
      <c r="C431" s="50"/>
      <c r="D431" s="49"/>
      <c r="E431" s="48"/>
      <c r="F431" s="47"/>
      <c r="G431" s="46"/>
    </row>
    <row r="432" spans="1:7" ht="15" customHeight="1" x14ac:dyDescent="0.25">
      <c r="A432" s="51"/>
      <c r="B432" s="49"/>
      <c r="C432" s="50"/>
      <c r="D432" s="49"/>
      <c r="E432" s="48"/>
      <c r="F432" s="47"/>
      <c r="G432" s="46"/>
    </row>
    <row r="433" spans="1:7" ht="15" customHeight="1" x14ac:dyDescent="0.25">
      <c r="A433" s="51"/>
      <c r="B433" s="49"/>
      <c r="C433" s="50"/>
      <c r="D433" s="49"/>
      <c r="E433" s="48"/>
      <c r="F433" s="47"/>
      <c r="G433" s="46"/>
    </row>
    <row r="434" spans="1:7" ht="15" customHeight="1" x14ac:dyDescent="0.25">
      <c r="A434" s="51"/>
      <c r="B434" s="49"/>
      <c r="C434" s="50"/>
      <c r="D434" s="49"/>
      <c r="E434" s="48"/>
      <c r="F434" s="47"/>
      <c r="G434" s="46"/>
    </row>
    <row r="435" spans="1:7" ht="15" customHeight="1" x14ac:dyDescent="0.25">
      <c r="A435" s="51"/>
      <c r="B435" s="49"/>
      <c r="C435" s="50"/>
      <c r="D435" s="49"/>
      <c r="E435" s="48"/>
      <c r="F435" s="47"/>
      <c r="G435" s="46"/>
    </row>
    <row r="436" spans="1:7" ht="15" customHeight="1" x14ac:dyDescent="0.25">
      <c r="A436" s="51"/>
      <c r="B436" s="49"/>
      <c r="C436" s="50"/>
      <c r="D436" s="49"/>
      <c r="E436" s="48"/>
      <c r="F436" s="47"/>
      <c r="G436" s="46"/>
    </row>
    <row r="437" spans="1:7" ht="15" customHeight="1" x14ac:dyDescent="0.25">
      <c r="A437" s="51"/>
      <c r="B437" s="49"/>
      <c r="C437" s="50"/>
      <c r="D437" s="49"/>
      <c r="E437" s="48"/>
      <c r="F437" s="47"/>
      <c r="G437" s="46"/>
    </row>
    <row r="438" spans="1:7" ht="15" customHeight="1" x14ac:dyDescent="0.25">
      <c r="A438" s="51"/>
      <c r="B438" s="49"/>
      <c r="C438" s="50"/>
      <c r="D438" s="49"/>
      <c r="E438" s="48"/>
      <c r="F438" s="47"/>
      <c r="G438" s="46"/>
    </row>
    <row r="439" spans="1:7" ht="15" customHeight="1" x14ac:dyDescent="0.25">
      <c r="A439" s="51"/>
      <c r="B439" s="49"/>
      <c r="C439" s="50"/>
      <c r="D439" s="49"/>
      <c r="E439" s="48"/>
      <c r="F439" s="47"/>
      <c r="G439" s="46"/>
    </row>
    <row r="440" spans="1:7" ht="15" customHeight="1" x14ac:dyDescent="0.25">
      <c r="A440" s="51"/>
      <c r="B440" s="49"/>
      <c r="C440" s="50"/>
      <c r="D440" s="49"/>
      <c r="E440" s="48"/>
      <c r="F440" s="47"/>
      <c r="G440" s="46"/>
    </row>
    <row r="441" spans="1:7" ht="15" customHeight="1" x14ac:dyDescent="0.25">
      <c r="A441" s="51"/>
      <c r="B441" s="49"/>
      <c r="C441" s="50"/>
      <c r="D441" s="49"/>
      <c r="E441" s="48"/>
      <c r="F441" s="47"/>
      <c r="G441" s="46"/>
    </row>
    <row r="442" spans="1:7" ht="15" customHeight="1" x14ac:dyDescent="0.25">
      <c r="A442" s="51"/>
      <c r="B442" s="49"/>
      <c r="C442" s="50"/>
      <c r="D442" s="49"/>
      <c r="E442" s="48"/>
      <c r="F442" s="47"/>
      <c r="G442" s="46"/>
    </row>
    <row r="443" spans="1:7" ht="15" customHeight="1" x14ac:dyDescent="0.25">
      <c r="A443" s="51"/>
      <c r="B443" s="49"/>
      <c r="C443" s="50"/>
      <c r="D443" s="49"/>
      <c r="E443" s="48"/>
      <c r="F443" s="47"/>
      <c r="G443" s="46"/>
    </row>
    <row r="444" spans="1:7" ht="15" customHeight="1" x14ac:dyDescent="0.25">
      <c r="A444" s="51"/>
      <c r="B444" s="49"/>
      <c r="C444" s="50"/>
      <c r="D444" s="49"/>
      <c r="E444" s="48"/>
      <c r="F444" s="47"/>
      <c r="G444" s="46"/>
    </row>
    <row r="445" spans="1:7" ht="15" customHeight="1" x14ac:dyDescent="0.25">
      <c r="A445" s="51"/>
      <c r="B445" s="49"/>
      <c r="C445" s="50"/>
      <c r="D445" s="49"/>
      <c r="E445" s="48"/>
      <c r="F445" s="47"/>
      <c r="G445" s="46"/>
    </row>
    <row r="446" spans="1:7" ht="15" customHeight="1" x14ac:dyDescent="0.25">
      <c r="A446" s="51"/>
      <c r="B446" s="49"/>
      <c r="C446" s="50"/>
      <c r="D446" s="49"/>
      <c r="E446" s="48"/>
      <c r="F446" s="47"/>
      <c r="G446" s="46"/>
    </row>
    <row r="447" spans="1:7" ht="15" customHeight="1" x14ac:dyDescent="0.25">
      <c r="A447" s="51"/>
      <c r="B447" s="49"/>
      <c r="C447" s="50"/>
      <c r="D447" s="49"/>
      <c r="E447" s="48"/>
      <c r="F447" s="47"/>
      <c r="G447" s="46"/>
    </row>
    <row r="448" spans="1:7" ht="15" customHeight="1" x14ac:dyDescent="0.25">
      <c r="A448" s="51"/>
      <c r="B448" s="49"/>
      <c r="C448" s="50"/>
      <c r="D448" s="49"/>
      <c r="E448" s="48"/>
      <c r="F448" s="47"/>
      <c r="G448" s="46"/>
    </row>
    <row r="449" spans="1:7" ht="15" customHeight="1" x14ac:dyDescent="0.25">
      <c r="A449" s="51"/>
      <c r="B449" s="49"/>
      <c r="C449" s="50"/>
      <c r="D449" s="49"/>
      <c r="E449" s="48"/>
      <c r="F449" s="47"/>
      <c r="G449" s="46"/>
    </row>
    <row r="450" spans="1:7" ht="15" customHeight="1" x14ac:dyDescent="0.25">
      <c r="A450" s="51"/>
      <c r="B450" s="49"/>
      <c r="C450" s="50"/>
      <c r="D450" s="49"/>
      <c r="E450" s="48"/>
      <c r="F450" s="47"/>
      <c r="G450" s="46"/>
    </row>
    <row r="451" spans="1:7" ht="15" customHeight="1" x14ac:dyDescent="0.25">
      <c r="A451" s="51"/>
      <c r="B451" s="49"/>
      <c r="C451" s="50"/>
      <c r="D451" s="49"/>
      <c r="E451" s="48"/>
      <c r="F451" s="47"/>
      <c r="G451" s="46"/>
    </row>
    <row r="452" spans="1:7" ht="15" customHeight="1" x14ac:dyDescent="0.25">
      <c r="A452" s="51"/>
      <c r="B452" s="49"/>
      <c r="C452" s="50"/>
      <c r="D452" s="49"/>
      <c r="E452" s="48"/>
      <c r="F452" s="47"/>
      <c r="G452" s="46"/>
    </row>
    <row r="453" spans="1:7" ht="15" customHeight="1" x14ac:dyDescent="0.25">
      <c r="A453" s="51"/>
      <c r="B453" s="49"/>
      <c r="C453" s="50"/>
      <c r="D453" s="49"/>
      <c r="E453" s="48"/>
      <c r="F453" s="47"/>
      <c r="G453" s="46"/>
    </row>
    <row r="454" spans="1:7" ht="15" customHeight="1" x14ac:dyDescent="0.25">
      <c r="A454" s="51"/>
      <c r="B454" s="49"/>
      <c r="C454" s="50"/>
      <c r="D454" s="49"/>
      <c r="E454" s="48"/>
      <c r="F454" s="47"/>
      <c r="G454" s="46"/>
    </row>
    <row r="455" spans="1:7" ht="15" customHeight="1" x14ac:dyDescent="0.25">
      <c r="A455" s="51"/>
      <c r="B455" s="49"/>
      <c r="C455" s="50"/>
      <c r="D455" s="49"/>
      <c r="E455" s="48"/>
      <c r="F455" s="47"/>
      <c r="G455" s="46"/>
    </row>
    <row r="456" spans="1:7" ht="15" customHeight="1" x14ac:dyDescent="0.25">
      <c r="A456" s="51"/>
      <c r="B456" s="49"/>
      <c r="C456" s="50"/>
      <c r="D456" s="49"/>
      <c r="E456" s="48"/>
      <c r="F456" s="47"/>
      <c r="G456" s="46"/>
    </row>
    <row r="457" spans="1:7" ht="15" customHeight="1" x14ac:dyDescent="0.25">
      <c r="A457" s="51"/>
      <c r="B457" s="49"/>
      <c r="C457" s="50"/>
      <c r="D457" s="49"/>
      <c r="E457" s="48"/>
      <c r="F457" s="47"/>
      <c r="G457" s="46"/>
    </row>
    <row r="458" spans="1:7" ht="15" customHeight="1" x14ac:dyDescent="0.25">
      <c r="A458" s="51"/>
      <c r="B458" s="49"/>
      <c r="C458" s="50"/>
      <c r="D458" s="49"/>
      <c r="E458" s="48"/>
      <c r="F458" s="47"/>
      <c r="G458" s="46"/>
    </row>
    <row r="459" spans="1:7" ht="15" customHeight="1" x14ac:dyDescent="0.25">
      <c r="A459" s="51"/>
      <c r="B459" s="49"/>
      <c r="C459" s="50"/>
      <c r="D459" s="49"/>
      <c r="E459" s="48"/>
      <c r="F459" s="47"/>
      <c r="G459" s="46"/>
    </row>
    <row r="460" spans="1:7" ht="15" customHeight="1" x14ac:dyDescent="0.25">
      <c r="A460" s="51"/>
      <c r="B460" s="49"/>
      <c r="C460" s="50"/>
      <c r="D460" s="49"/>
      <c r="E460" s="48"/>
      <c r="F460" s="47"/>
      <c r="G460" s="46"/>
    </row>
    <row r="461" spans="1:7" ht="15" customHeight="1" x14ac:dyDescent="0.25">
      <c r="A461" s="51"/>
      <c r="B461" s="49"/>
      <c r="C461" s="50"/>
      <c r="D461" s="49"/>
      <c r="E461" s="48"/>
      <c r="F461" s="47"/>
      <c r="G461" s="46"/>
    </row>
    <row r="462" spans="1:7" ht="15" customHeight="1" x14ac:dyDescent="0.25">
      <c r="A462" s="51"/>
      <c r="B462" s="49"/>
      <c r="C462" s="50"/>
      <c r="D462" s="49"/>
      <c r="E462" s="48"/>
      <c r="F462" s="47"/>
      <c r="G462" s="46"/>
    </row>
    <row r="463" spans="1:7" ht="15" customHeight="1" x14ac:dyDescent="0.25">
      <c r="A463" s="51"/>
      <c r="B463" s="49"/>
      <c r="C463" s="50"/>
      <c r="D463" s="49"/>
      <c r="E463" s="48"/>
      <c r="F463" s="47"/>
      <c r="G463" s="46"/>
    </row>
    <row r="464" spans="1:7" ht="15" customHeight="1" x14ac:dyDescent="0.25">
      <c r="A464" s="51"/>
      <c r="B464" s="49"/>
      <c r="C464" s="50"/>
      <c r="D464" s="49"/>
      <c r="E464" s="48"/>
      <c r="F464" s="47"/>
      <c r="G464" s="46"/>
    </row>
    <row r="465" spans="1:7" ht="15" customHeight="1" x14ac:dyDescent="0.25">
      <c r="A465" s="51"/>
      <c r="B465" s="49"/>
      <c r="C465" s="50"/>
      <c r="D465" s="49"/>
      <c r="E465" s="48"/>
      <c r="F465" s="47"/>
      <c r="G465" s="46"/>
    </row>
    <row r="466" spans="1:7" ht="15" customHeight="1" x14ac:dyDescent="0.25">
      <c r="A466" s="51"/>
      <c r="B466" s="49"/>
      <c r="C466" s="50"/>
      <c r="D466" s="49"/>
      <c r="E466" s="48"/>
      <c r="F466" s="47"/>
      <c r="G466" s="46"/>
    </row>
    <row r="467" spans="1:7" ht="15" customHeight="1" x14ac:dyDescent="0.25">
      <c r="A467" s="51"/>
      <c r="B467" s="49"/>
      <c r="C467" s="50"/>
      <c r="D467" s="49"/>
      <c r="E467" s="48"/>
      <c r="F467" s="47"/>
      <c r="G467" s="46"/>
    </row>
    <row r="468" spans="1:7" ht="15" customHeight="1" x14ac:dyDescent="0.25">
      <c r="A468" s="51"/>
      <c r="B468" s="49"/>
      <c r="C468" s="50"/>
      <c r="D468" s="49"/>
      <c r="E468" s="48"/>
      <c r="F468" s="47"/>
      <c r="G468" s="46"/>
    </row>
    <row r="469" spans="1:7" ht="15" customHeight="1" x14ac:dyDescent="0.25">
      <c r="A469" s="51"/>
      <c r="B469" s="49"/>
      <c r="C469" s="50"/>
      <c r="D469" s="49"/>
      <c r="E469" s="48"/>
      <c r="F469" s="47"/>
      <c r="G469" s="46"/>
    </row>
    <row r="470" spans="1:7" ht="15" customHeight="1" x14ac:dyDescent="0.25">
      <c r="A470" s="51"/>
      <c r="B470" s="49"/>
      <c r="C470" s="50"/>
      <c r="D470" s="49"/>
      <c r="E470" s="48"/>
      <c r="F470" s="47"/>
      <c r="G470" s="46"/>
    </row>
    <row r="471" spans="1:7" ht="15" customHeight="1" x14ac:dyDescent="0.25">
      <c r="A471" s="51"/>
      <c r="B471" s="49"/>
      <c r="C471" s="50"/>
      <c r="D471" s="49"/>
      <c r="E471" s="48"/>
      <c r="F471" s="47"/>
      <c r="G471" s="46"/>
    </row>
    <row r="472" spans="1:7" ht="15" customHeight="1" x14ac:dyDescent="0.25">
      <c r="A472" s="51"/>
      <c r="B472" s="49"/>
      <c r="C472" s="50"/>
      <c r="D472" s="49"/>
      <c r="E472" s="48"/>
      <c r="F472" s="47"/>
      <c r="G472" s="46"/>
    </row>
    <row r="473" spans="1:7" ht="15" customHeight="1" x14ac:dyDescent="0.25">
      <c r="A473" s="51"/>
      <c r="B473" s="49"/>
      <c r="C473" s="50"/>
      <c r="D473" s="49"/>
      <c r="E473" s="48"/>
      <c r="F473" s="47"/>
      <c r="G473" s="46"/>
    </row>
    <row r="474" spans="1:7" ht="15" customHeight="1" x14ac:dyDescent="0.25">
      <c r="A474" s="51"/>
      <c r="B474" s="49"/>
      <c r="C474" s="50"/>
      <c r="D474" s="49"/>
      <c r="E474" s="48"/>
      <c r="F474" s="47"/>
      <c r="G474" s="46"/>
    </row>
    <row r="475" spans="1:7" ht="15" customHeight="1" x14ac:dyDescent="0.25">
      <c r="A475" s="51"/>
      <c r="B475" s="49"/>
      <c r="C475" s="50"/>
      <c r="D475" s="49"/>
      <c r="E475" s="48"/>
      <c r="F475" s="47"/>
      <c r="G475" s="46"/>
    </row>
    <row r="476" spans="1:7" ht="15" customHeight="1" x14ac:dyDescent="0.25">
      <c r="A476" s="51"/>
      <c r="B476" s="49"/>
      <c r="C476" s="50"/>
      <c r="D476" s="49"/>
      <c r="E476" s="48"/>
      <c r="F476" s="47"/>
      <c r="G476" s="46"/>
    </row>
    <row r="477" spans="1:7" ht="15" customHeight="1" x14ac:dyDescent="0.25">
      <c r="A477" s="51"/>
      <c r="B477" s="49"/>
      <c r="C477" s="50"/>
      <c r="D477" s="49"/>
      <c r="E477" s="48"/>
      <c r="F477" s="47"/>
      <c r="G477" s="46"/>
    </row>
    <row r="478" spans="1:7" ht="15" customHeight="1" x14ac:dyDescent="0.25">
      <c r="A478" s="51"/>
      <c r="B478" s="49"/>
      <c r="C478" s="50"/>
      <c r="D478" s="49"/>
      <c r="E478" s="48"/>
      <c r="F478" s="47"/>
      <c r="G478" s="46"/>
    </row>
    <row r="479" spans="1:7" ht="15" customHeight="1" x14ac:dyDescent="0.25">
      <c r="A479" s="51"/>
      <c r="B479" s="49"/>
      <c r="C479" s="50"/>
      <c r="D479" s="49"/>
      <c r="E479" s="48"/>
      <c r="F479" s="47"/>
      <c r="G479" s="46"/>
    </row>
    <row r="480" spans="1:7" ht="15" customHeight="1" x14ac:dyDescent="0.25">
      <c r="A480" s="51"/>
      <c r="B480" s="49"/>
      <c r="C480" s="50"/>
      <c r="D480" s="49"/>
      <c r="E480" s="48"/>
      <c r="F480" s="47"/>
      <c r="G480" s="46"/>
    </row>
    <row r="481" spans="1:7" ht="15" customHeight="1" x14ac:dyDescent="0.25">
      <c r="A481" s="51"/>
      <c r="B481" s="49"/>
      <c r="C481" s="50"/>
      <c r="D481" s="49"/>
      <c r="E481" s="48"/>
      <c r="F481" s="47"/>
      <c r="G481" s="46"/>
    </row>
    <row r="482" spans="1:7" ht="15" customHeight="1" x14ac:dyDescent="0.25">
      <c r="A482" s="51"/>
      <c r="B482" s="49"/>
      <c r="C482" s="50"/>
      <c r="D482" s="49"/>
      <c r="E482" s="48"/>
      <c r="F482" s="47"/>
      <c r="G482" s="46"/>
    </row>
    <row r="483" spans="1:7" ht="15" customHeight="1" x14ac:dyDescent="0.25">
      <c r="A483" s="51"/>
      <c r="B483" s="49"/>
      <c r="C483" s="50"/>
      <c r="D483" s="49"/>
      <c r="E483" s="48"/>
      <c r="F483" s="47"/>
      <c r="G483" s="46"/>
    </row>
    <row r="484" spans="1:7" ht="15" customHeight="1" x14ac:dyDescent="0.25">
      <c r="A484" s="51"/>
      <c r="B484" s="49"/>
      <c r="C484" s="50"/>
      <c r="D484" s="49"/>
      <c r="E484" s="48"/>
      <c r="F484" s="47"/>
      <c r="G484" s="46"/>
    </row>
    <row r="485" spans="1:7" ht="15" customHeight="1" x14ac:dyDescent="0.25">
      <c r="A485" s="51"/>
      <c r="B485" s="49"/>
      <c r="C485" s="50"/>
      <c r="D485" s="49"/>
      <c r="E485" s="48"/>
      <c r="F485" s="47"/>
      <c r="G485" s="46"/>
    </row>
    <row r="486" spans="1:7" ht="15" customHeight="1" x14ac:dyDescent="0.25">
      <c r="A486" s="51"/>
      <c r="B486" s="49"/>
      <c r="C486" s="50"/>
      <c r="D486" s="49"/>
      <c r="E486" s="48"/>
      <c r="F486" s="47"/>
      <c r="G486" s="46"/>
    </row>
    <row r="487" spans="1:7" ht="15" customHeight="1" x14ac:dyDescent="0.25">
      <c r="A487" s="51"/>
      <c r="B487" s="49"/>
      <c r="C487" s="50"/>
      <c r="D487" s="49"/>
      <c r="E487" s="48"/>
      <c r="F487" s="47"/>
      <c r="G487" s="46"/>
    </row>
    <row r="488" spans="1:7" ht="15" customHeight="1" x14ac:dyDescent="0.25">
      <c r="A488" s="51"/>
      <c r="B488" s="49"/>
      <c r="C488" s="50"/>
      <c r="D488" s="49"/>
      <c r="E488" s="48"/>
      <c r="F488" s="47"/>
      <c r="G488" s="46"/>
    </row>
    <row r="489" spans="1:7" ht="15" customHeight="1" x14ac:dyDescent="0.25">
      <c r="A489" s="51"/>
      <c r="B489" s="49"/>
      <c r="C489" s="50"/>
      <c r="D489" s="49"/>
      <c r="E489" s="48"/>
      <c r="F489" s="47"/>
      <c r="G489" s="46"/>
    </row>
    <row r="490" spans="1:7" ht="15" customHeight="1" x14ac:dyDescent="0.25">
      <c r="A490" s="51"/>
      <c r="B490" s="49"/>
      <c r="C490" s="50"/>
      <c r="D490" s="49"/>
      <c r="E490" s="48"/>
      <c r="F490" s="47"/>
      <c r="G490" s="46"/>
    </row>
    <row r="491" spans="1:7" ht="15" customHeight="1" x14ac:dyDescent="0.25">
      <c r="A491" s="51"/>
      <c r="B491" s="49"/>
      <c r="C491" s="50"/>
      <c r="D491" s="49"/>
      <c r="E491" s="48"/>
      <c r="F491" s="47"/>
      <c r="G491" s="46"/>
    </row>
    <row r="492" spans="1:7" ht="15" customHeight="1" x14ac:dyDescent="0.25">
      <c r="A492" s="51"/>
      <c r="B492" s="49"/>
      <c r="C492" s="50"/>
      <c r="D492" s="49"/>
      <c r="E492" s="48"/>
      <c r="F492" s="47"/>
      <c r="G492" s="46"/>
    </row>
    <row r="493" spans="1:7" ht="15" customHeight="1" x14ac:dyDescent="0.25">
      <c r="A493" s="51"/>
      <c r="B493" s="49"/>
      <c r="C493" s="50"/>
      <c r="D493" s="49"/>
      <c r="E493" s="48"/>
      <c r="F493" s="47"/>
      <c r="G493" s="46"/>
    </row>
    <row r="494" spans="1:7" ht="15" customHeight="1" x14ac:dyDescent="0.25">
      <c r="A494" s="51"/>
      <c r="B494" s="49"/>
      <c r="C494" s="50"/>
      <c r="D494" s="49"/>
      <c r="E494" s="48"/>
      <c r="F494" s="47"/>
      <c r="G494" s="46"/>
    </row>
    <row r="495" spans="1:7" ht="15" customHeight="1" x14ac:dyDescent="0.25">
      <c r="A495" s="51"/>
      <c r="B495" s="49"/>
      <c r="C495" s="50"/>
      <c r="D495" s="49"/>
      <c r="E495" s="48"/>
      <c r="F495" s="47"/>
      <c r="G495" s="46"/>
    </row>
    <row r="496" spans="1:7" ht="15" customHeight="1" x14ac:dyDescent="0.25">
      <c r="A496" s="51"/>
      <c r="B496" s="49"/>
      <c r="C496" s="50"/>
      <c r="D496" s="49"/>
      <c r="E496" s="48"/>
      <c r="F496" s="47"/>
      <c r="G496" s="46"/>
    </row>
    <row r="497" spans="1:7" ht="15" customHeight="1" x14ac:dyDescent="0.25">
      <c r="A497" s="51"/>
      <c r="B497" s="49"/>
      <c r="C497" s="50"/>
      <c r="D497" s="49"/>
      <c r="E497" s="48"/>
      <c r="F497" s="47"/>
      <c r="G497" s="46"/>
    </row>
    <row r="498" spans="1:7" ht="15" customHeight="1" x14ac:dyDescent="0.25">
      <c r="A498" s="51"/>
      <c r="B498" s="49"/>
      <c r="C498" s="50"/>
      <c r="D498" s="49"/>
      <c r="E498" s="48"/>
      <c r="F498" s="47"/>
      <c r="G498" s="46"/>
    </row>
    <row r="499" spans="1:7" ht="15" customHeight="1" x14ac:dyDescent="0.25">
      <c r="A499" s="51"/>
      <c r="B499" s="49"/>
      <c r="C499" s="50"/>
      <c r="D499" s="49"/>
      <c r="E499" s="48"/>
      <c r="F499" s="47"/>
      <c r="G499" s="46"/>
    </row>
    <row r="500" spans="1:7" ht="15" customHeight="1" x14ac:dyDescent="0.25">
      <c r="A500" s="51"/>
      <c r="B500" s="49"/>
      <c r="C500" s="50"/>
      <c r="D500" s="49"/>
      <c r="E500" s="48"/>
      <c r="F500" s="47"/>
      <c r="G500" s="46"/>
    </row>
    <row r="501" spans="1:7" ht="15" customHeight="1" x14ac:dyDescent="0.25">
      <c r="A501" s="51"/>
      <c r="B501" s="49"/>
      <c r="C501" s="50"/>
      <c r="D501" s="49"/>
      <c r="E501" s="48"/>
      <c r="F501" s="47"/>
      <c r="G501" s="46"/>
    </row>
    <row r="502" spans="1:7" ht="15" customHeight="1" x14ac:dyDescent="0.25">
      <c r="A502" s="51"/>
      <c r="B502" s="49"/>
      <c r="C502" s="50"/>
      <c r="D502" s="49"/>
      <c r="E502" s="48"/>
      <c r="F502" s="47"/>
      <c r="G502" s="46"/>
    </row>
    <row r="503" spans="1:7" ht="15" customHeight="1" x14ac:dyDescent="0.25">
      <c r="A503" s="51"/>
      <c r="B503" s="49"/>
      <c r="C503" s="50"/>
      <c r="D503" s="49"/>
      <c r="E503" s="48"/>
      <c r="F503" s="47"/>
      <c r="G503" s="46"/>
    </row>
    <row r="504" spans="1:7" ht="15" customHeight="1" x14ac:dyDescent="0.25">
      <c r="A504" s="51"/>
      <c r="B504" s="49"/>
      <c r="C504" s="50"/>
      <c r="D504" s="49"/>
      <c r="E504" s="48"/>
      <c r="F504" s="47"/>
      <c r="G504" s="46"/>
    </row>
    <row r="505" spans="1:7" ht="15" customHeight="1" x14ac:dyDescent="0.25">
      <c r="A505" s="51"/>
      <c r="B505" s="49"/>
      <c r="C505" s="50"/>
      <c r="D505" s="49"/>
      <c r="E505" s="48"/>
      <c r="F505" s="47"/>
      <c r="G505" s="46"/>
    </row>
    <row r="506" spans="1:7" ht="15" customHeight="1" x14ac:dyDescent="0.25">
      <c r="A506" s="51"/>
      <c r="B506" s="49"/>
      <c r="C506" s="50"/>
      <c r="D506" s="49"/>
      <c r="E506" s="48"/>
      <c r="F506" s="47"/>
      <c r="G506" s="46"/>
    </row>
    <row r="507" spans="1:7" ht="15" customHeight="1" x14ac:dyDescent="0.25">
      <c r="A507" s="51"/>
      <c r="B507" s="49"/>
      <c r="C507" s="50"/>
      <c r="D507" s="49"/>
      <c r="E507" s="48"/>
      <c r="F507" s="47"/>
      <c r="G507" s="46"/>
    </row>
    <row r="508" spans="1:7" ht="15" customHeight="1" x14ac:dyDescent="0.25">
      <c r="A508" s="51"/>
      <c r="B508" s="49"/>
      <c r="C508" s="50"/>
      <c r="D508" s="49"/>
      <c r="E508" s="48"/>
      <c r="F508" s="47"/>
      <c r="G508" s="46"/>
    </row>
    <row r="509" spans="1:7" ht="15" customHeight="1" x14ac:dyDescent="0.25">
      <c r="A509" s="51"/>
      <c r="B509" s="49"/>
      <c r="C509" s="50"/>
      <c r="D509" s="49"/>
      <c r="E509" s="48"/>
      <c r="F509" s="47"/>
      <c r="G509" s="46"/>
    </row>
    <row r="510" spans="1:7" ht="15" customHeight="1" x14ac:dyDescent="0.25">
      <c r="A510" s="51"/>
      <c r="B510" s="49"/>
      <c r="C510" s="50"/>
      <c r="D510" s="49"/>
      <c r="E510" s="48"/>
      <c r="F510" s="47"/>
      <c r="G510" s="46"/>
    </row>
    <row r="511" spans="1:7" ht="15" customHeight="1" x14ac:dyDescent="0.25">
      <c r="A511" s="51"/>
      <c r="B511" s="49"/>
      <c r="C511" s="50"/>
      <c r="D511" s="49"/>
      <c r="E511" s="48"/>
      <c r="F511" s="47"/>
      <c r="G511" s="46"/>
    </row>
    <row r="512" spans="1:7" ht="15" customHeight="1" x14ac:dyDescent="0.25">
      <c r="A512" s="51"/>
      <c r="B512" s="49"/>
      <c r="C512" s="50"/>
      <c r="D512" s="49"/>
      <c r="E512" s="48"/>
      <c r="F512" s="47"/>
      <c r="G512" s="46"/>
    </row>
    <row r="513" spans="1:7" ht="15" customHeight="1" x14ac:dyDescent="0.25">
      <c r="A513" s="51"/>
      <c r="B513" s="49"/>
      <c r="C513" s="50"/>
      <c r="D513" s="49"/>
      <c r="E513" s="48"/>
      <c r="F513" s="47"/>
      <c r="G513" s="46"/>
    </row>
    <row r="514" spans="1:7" ht="15" customHeight="1" x14ac:dyDescent="0.25">
      <c r="A514" s="51"/>
      <c r="B514" s="49"/>
      <c r="C514" s="50"/>
      <c r="D514" s="49"/>
      <c r="E514" s="48"/>
      <c r="F514" s="47"/>
      <c r="G514" s="46"/>
    </row>
    <row r="515" spans="1:7" ht="15" customHeight="1" x14ac:dyDescent="0.25">
      <c r="A515" s="51"/>
      <c r="B515" s="49"/>
      <c r="C515" s="50"/>
      <c r="D515" s="49"/>
      <c r="E515" s="48"/>
      <c r="F515" s="47"/>
      <c r="G515" s="46"/>
    </row>
    <row r="516" spans="1:7" ht="15" customHeight="1" x14ac:dyDescent="0.25">
      <c r="A516" s="51"/>
      <c r="B516" s="49"/>
      <c r="C516" s="50"/>
      <c r="D516" s="49"/>
      <c r="E516" s="48"/>
      <c r="F516" s="47"/>
      <c r="G516" s="46"/>
    </row>
    <row r="517" spans="1:7" ht="15" customHeight="1" x14ac:dyDescent="0.25">
      <c r="A517" s="51"/>
      <c r="B517" s="49"/>
      <c r="C517" s="50"/>
      <c r="D517" s="49"/>
      <c r="E517" s="48"/>
      <c r="F517" s="47"/>
      <c r="G517" s="46"/>
    </row>
    <row r="518" spans="1:7" ht="15" customHeight="1" x14ac:dyDescent="0.25">
      <c r="A518" s="51"/>
      <c r="B518" s="49"/>
      <c r="C518" s="50"/>
      <c r="D518" s="49"/>
      <c r="E518" s="48"/>
      <c r="F518" s="47"/>
      <c r="G518" s="46"/>
    </row>
    <row r="519" spans="1:7" ht="15" customHeight="1" x14ac:dyDescent="0.25">
      <c r="A519" s="51"/>
      <c r="B519" s="49"/>
      <c r="C519" s="50"/>
      <c r="D519" s="49"/>
      <c r="E519" s="48"/>
      <c r="F519" s="47"/>
      <c r="G519" s="46"/>
    </row>
    <row r="520" spans="1:7" ht="15" customHeight="1" x14ac:dyDescent="0.25">
      <c r="A520" s="51"/>
      <c r="B520" s="49"/>
      <c r="C520" s="50"/>
      <c r="D520" s="49"/>
      <c r="E520" s="48"/>
      <c r="F520" s="47"/>
      <c r="G520" s="46"/>
    </row>
    <row r="521" spans="1:7" ht="15" customHeight="1" x14ac:dyDescent="0.25">
      <c r="A521" s="51"/>
      <c r="B521" s="49"/>
      <c r="C521" s="50"/>
      <c r="D521" s="49"/>
      <c r="E521" s="48"/>
      <c r="F521" s="47"/>
      <c r="G521" s="46"/>
    </row>
    <row r="522" spans="1:7" ht="15" customHeight="1" x14ac:dyDescent="0.25">
      <c r="A522" s="51"/>
      <c r="B522" s="49"/>
      <c r="C522" s="50"/>
      <c r="D522" s="49"/>
      <c r="E522" s="48"/>
      <c r="F522" s="47"/>
      <c r="G522" s="46"/>
    </row>
    <row r="523" spans="1:7" ht="15" customHeight="1" x14ac:dyDescent="0.25">
      <c r="A523" s="51"/>
      <c r="B523" s="49"/>
      <c r="C523" s="50"/>
      <c r="D523" s="49"/>
      <c r="E523" s="48"/>
      <c r="F523" s="47"/>
      <c r="G523" s="46"/>
    </row>
    <row r="524" spans="1:7" ht="15" customHeight="1" x14ac:dyDescent="0.25">
      <c r="A524" s="51"/>
      <c r="B524" s="49"/>
      <c r="C524" s="50"/>
      <c r="D524" s="49"/>
      <c r="E524" s="48"/>
      <c r="F524" s="47"/>
      <c r="G524" s="46"/>
    </row>
    <row r="525" spans="1:7" ht="15" customHeight="1" x14ac:dyDescent="0.25">
      <c r="A525" s="51"/>
      <c r="B525" s="49"/>
      <c r="C525" s="50"/>
      <c r="D525" s="49"/>
      <c r="E525" s="48"/>
      <c r="F525" s="47"/>
      <c r="G525" s="46"/>
    </row>
    <row r="526" spans="1:7" ht="15" customHeight="1" x14ac:dyDescent="0.25">
      <c r="A526" s="51"/>
      <c r="B526" s="49"/>
      <c r="C526" s="50"/>
      <c r="D526" s="49"/>
      <c r="E526" s="48"/>
      <c r="F526" s="47"/>
      <c r="G526" s="46"/>
    </row>
    <row r="527" spans="1:7" ht="15" customHeight="1" x14ac:dyDescent="0.25">
      <c r="A527" s="51"/>
      <c r="B527" s="49"/>
      <c r="C527" s="50"/>
      <c r="D527" s="49"/>
      <c r="E527" s="48"/>
      <c r="F527" s="47"/>
      <c r="G527" s="46"/>
    </row>
    <row r="528" spans="1:7" ht="15" customHeight="1" x14ac:dyDescent="0.25">
      <c r="A528" s="51"/>
      <c r="B528" s="49"/>
      <c r="C528" s="50"/>
      <c r="D528" s="49"/>
      <c r="E528" s="48"/>
      <c r="F528" s="47"/>
      <c r="G528" s="46"/>
    </row>
    <row r="529" spans="1:7" ht="15" customHeight="1" x14ac:dyDescent="0.25">
      <c r="A529" s="51"/>
      <c r="B529" s="49"/>
      <c r="C529" s="50"/>
      <c r="D529" s="49"/>
      <c r="E529" s="48"/>
      <c r="F529" s="47"/>
      <c r="G529" s="46"/>
    </row>
    <row r="530" spans="1:7" ht="15" customHeight="1" x14ac:dyDescent="0.25">
      <c r="A530" s="51"/>
      <c r="B530" s="49"/>
      <c r="C530" s="50"/>
      <c r="D530" s="49"/>
      <c r="E530" s="48"/>
      <c r="F530" s="47"/>
      <c r="G530" s="46"/>
    </row>
    <row r="531" spans="1:7" ht="15" customHeight="1" x14ac:dyDescent="0.25">
      <c r="A531" s="51"/>
      <c r="B531" s="49"/>
      <c r="C531" s="50"/>
      <c r="D531" s="49"/>
      <c r="E531" s="48"/>
      <c r="F531" s="47"/>
      <c r="G531" s="46"/>
    </row>
    <row r="532" spans="1:7" ht="15" customHeight="1" x14ac:dyDescent="0.25">
      <c r="A532" s="51"/>
      <c r="B532" s="49"/>
      <c r="C532" s="50"/>
      <c r="D532" s="49"/>
      <c r="E532" s="48"/>
      <c r="F532" s="47"/>
      <c r="G532" s="46"/>
    </row>
    <row r="533" spans="1:7" ht="15" customHeight="1" x14ac:dyDescent="0.25">
      <c r="A533" s="51"/>
      <c r="B533" s="49"/>
      <c r="C533" s="50"/>
      <c r="D533" s="49"/>
      <c r="E533" s="48"/>
      <c r="F533" s="47"/>
      <c r="G533" s="46"/>
    </row>
    <row r="534" spans="1:7" ht="15" customHeight="1" x14ac:dyDescent="0.25">
      <c r="A534" s="51"/>
      <c r="B534" s="49"/>
      <c r="C534" s="50"/>
      <c r="D534" s="49"/>
      <c r="E534" s="48"/>
      <c r="F534" s="47"/>
      <c r="G534" s="46"/>
    </row>
    <row r="535" spans="1:7" ht="15" customHeight="1" x14ac:dyDescent="0.25">
      <c r="A535" s="51"/>
      <c r="B535" s="49"/>
      <c r="C535" s="50"/>
      <c r="D535" s="49"/>
      <c r="E535" s="48"/>
      <c r="F535" s="47"/>
      <c r="G535" s="46"/>
    </row>
    <row r="536" spans="1:7" ht="15" customHeight="1" x14ac:dyDescent="0.25">
      <c r="A536" s="51"/>
      <c r="B536" s="49"/>
      <c r="C536" s="50"/>
      <c r="D536" s="49"/>
      <c r="E536" s="48"/>
      <c r="F536" s="47"/>
      <c r="G536" s="46"/>
    </row>
    <row r="537" spans="1:7" ht="15" customHeight="1" x14ac:dyDescent="0.25">
      <c r="A537" s="51"/>
      <c r="B537" s="49"/>
      <c r="C537" s="50"/>
      <c r="D537" s="49"/>
      <c r="E537" s="48"/>
      <c r="F537" s="47"/>
      <c r="G537" s="46"/>
    </row>
    <row r="538" spans="1:7" ht="15" customHeight="1" x14ac:dyDescent="0.25">
      <c r="A538" s="51"/>
      <c r="B538" s="49"/>
      <c r="C538" s="50"/>
      <c r="D538" s="49"/>
      <c r="E538" s="48"/>
      <c r="F538" s="47"/>
      <c r="G538" s="46"/>
    </row>
    <row r="539" spans="1:7" ht="15" customHeight="1" x14ac:dyDescent="0.25">
      <c r="A539" s="51"/>
      <c r="B539" s="49"/>
      <c r="C539" s="50"/>
      <c r="D539" s="49"/>
      <c r="E539" s="48"/>
      <c r="F539" s="47"/>
      <c r="G539" s="46"/>
    </row>
    <row r="540" spans="1:7" ht="15" customHeight="1" x14ac:dyDescent="0.25">
      <c r="A540" s="51"/>
      <c r="B540" s="49"/>
      <c r="C540" s="50"/>
      <c r="D540" s="49"/>
      <c r="E540" s="48"/>
      <c r="F540" s="47"/>
      <c r="G540" s="46"/>
    </row>
    <row r="541" spans="1:7" ht="15" customHeight="1" x14ac:dyDescent="0.25">
      <c r="A541" s="51"/>
      <c r="B541" s="49"/>
      <c r="C541" s="50"/>
      <c r="D541" s="49"/>
      <c r="E541" s="48"/>
      <c r="F541" s="47"/>
      <c r="G541" s="46"/>
    </row>
    <row r="542" spans="1:7" ht="15" customHeight="1" x14ac:dyDescent="0.25">
      <c r="A542" s="51"/>
      <c r="B542" s="49"/>
      <c r="C542" s="50"/>
      <c r="D542" s="49"/>
      <c r="E542" s="48"/>
      <c r="F542" s="47"/>
      <c r="G542" s="46"/>
    </row>
    <row r="543" spans="1:7" ht="15" customHeight="1" x14ac:dyDescent="0.25">
      <c r="A543" s="51"/>
      <c r="B543" s="49"/>
      <c r="C543" s="50"/>
      <c r="D543" s="49"/>
      <c r="E543" s="48"/>
      <c r="F543" s="47"/>
      <c r="G543" s="46"/>
    </row>
    <row r="544" spans="1:7" ht="15" customHeight="1" x14ac:dyDescent="0.25">
      <c r="A544" s="51"/>
      <c r="B544" s="49"/>
      <c r="C544" s="50"/>
      <c r="D544" s="49"/>
      <c r="E544" s="48"/>
      <c r="F544" s="47"/>
      <c r="G544" s="46"/>
    </row>
    <row r="545" spans="1:7" ht="15" customHeight="1" x14ac:dyDescent="0.25">
      <c r="A545" s="51"/>
      <c r="B545" s="49"/>
      <c r="C545" s="50"/>
      <c r="D545" s="49"/>
      <c r="E545" s="48"/>
      <c r="F545" s="47"/>
      <c r="G545" s="46"/>
    </row>
    <row r="546" spans="1:7" ht="15" customHeight="1" x14ac:dyDescent="0.25">
      <c r="A546" s="51"/>
      <c r="B546" s="49"/>
      <c r="C546" s="50"/>
      <c r="D546" s="49"/>
      <c r="E546" s="48"/>
      <c r="F546" s="47"/>
      <c r="G546" s="46"/>
    </row>
    <row r="547" spans="1:7" ht="15" customHeight="1" x14ac:dyDescent="0.25">
      <c r="A547" s="51"/>
      <c r="B547" s="49"/>
      <c r="C547" s="50"/>
      <c r="D547" s="49"/>
      <c r="E547" s="48"/>
      <c r="F547" s="47"/>
      <c r="G547" s="46"/>
    </row>
    <row r="548" spans="1:7" ht="15" customHeight="1" x14ac:dyDescent="0.25">
      <c r="A548" s="51"/>
      <c r="B548" s="49"/>
      <c r="C548" s="50"/>
      <c r="D548" s="49"/>
      <c r="E548" s="48"/>
      <c r="F548" s="47"/>
      <c r="G548" s="46"/>
    </row>
    <row r="549" spans="1:7" ht="15" customHeight="1" x14ac:dyDescent="0.25">
      <c r="A549" s="51"/>
      <c r="B549" s="49"/>
      <c r="C549" s="50"/>
      <c r="D549" s="49"/>
      <c r="E549" s="48"/>
      <c r="F549" s="47"/>
      <c r="G549" s="46"/>
    </row>
    <row r="550" spans="1:7" ht="15" customHeight="1" x14ac:dyDescent="0.25">
      <c r="A550" s="51"/>
      <c r="B550" s="49"/>
      <c r="C550" s="50"/>
      <c r="D550" s="49"/>
      <c r="E550" s="48"/>
      <c r="F550" s="47"/>
      <c r="G550" s="46"/>
    </row>
    <row r="551" spans="1:7" ht="15" customHeight="1" x14ac:dyDescent="0.25">
      <c r="A551" s="51"/>
      <c r="B551" s="49"/>
      <c r="C551" s="50"/>
      <c r="D551" s="49"/>
      <c r="E551" s="48"/>
      <c r="F551" s="47"/>
      <c r="G551" s="46"/>
    </row>
    <row r="552" spans="1:7" ht="15" customHeight="1" x14ac:dyDescent="0.25">
      <c r="A552" s="51"/>
      <c r="B552" s="49"/>
      <c r="C552" s="50"/>
      <c r="D552" s="49"/>
      <c r="E552" s="48"/>
      <c r="F552" s="47"/>
      <c r="G552" s="46"/>
    </row>
    <row r="553" spans="1:7" ht="15" customHeight="1" x14ac:dyDescent="0.25">
      <c r="A553" s="51"/>
      <c r="B553" s="49"/>
      <c r="C553" s="50"/>
      <c r="D553" s="49"/>
      <c r="E553" s="48"/>
      <c r="F553" s="47"/>
      <c r="G553" s="46"/>
    </row>
    <row r="554" spans="1:7" ht="15" customHeight="1" x14ac:dyDescent="0.25">
      <c r="A554" s="51"/>
      <c r="B554" s="49"/>
      <c r="C554" s="50"/>
      <c r="D554" s="49"/>
      <c r="E554" s="48"/>
      <c r="F554" s="47"/>
      <c r="G554" s="46"/>
    </row>
    <row r="555" spans="1:7" ht="15" customHeight="1" x14ac:dyDescent="0.25">
      <c r="A555" s="51"/>
      <c r="B555" s="49"/>
      <c r="C555" s="50"/>
      <c r="D555" s="49"/>
      <c r="E555" s="48"/>
      <c r="F555" s="47"/>
      <c r="G555" s="46"/>
    </row>
    <row r="556" spans="1:7" ht="15" customHeight="1" x14ac:dyDescent="0.25">
      <c r="A556" s="51"/>
      <c r="B556" s="49"/>
      <c r="C556" s="50"/>
      <c r="D556" s="49"/>
      <c r="E556" s="48"/>
      <c r="F556" s="47"/>
      <c r="G556" s="46"/>
    </row>
    <row r="557" spans="1:7" ht="15" customHeight="1" x14ac:dyDescent="0.25">
      <c r="A557" s="51"/>
      <c r="B557" s="49"/>
      <c r="C557" s="50"/>
      <c r="D557" s="49"/>
      <c r="E557" s="48"/>
      <c r="F557" s="47"/>
      <c r="G557" s="46"/>
    </row>
    <row r="558" spans="1:7" ht="15" customHeight="1" x14ac:dyDescent="0.25">
      <c r="A558" s="51"/>
      <c r="B558" s="49"/>
      <c r="C558" s="50"/>
      <c r="D558" s="49"/>
      <c r="E558" s="48"/>
      <c r="F558" s="47"/>
      <c r="G558" s="46"/>
    </row>
    <row r="559" spans="1:7" ht="15" customHeight="1" x14ac:dyDescent="0.25">
      <c r="A559" s="51"/>
      <c r="B559" s="49"/>
      <c r="C559" s="50"/>
      <c r="D559" s="49"/>
      <c r="E559" s="48"/>
      <c r="F559" s="47"/>
      <c r="G559" s="46"/>
    </row>
    <row r="560" spans="1:7" ht="15" customHeight="1" x14ac:dyDescent="0.25">
      <c r="A560" s="51"/>
      <c r="B560" s="49"/>
      <c r="C560" s="50"/>
      <c r="D560" s="49"/>
      <c r="E560" s="48"/>
      <c r="F560" s="47"/>
      <c r="G560" s="46"/>
    </row>
    <row r="561" spans="1:7" ht="15" customHeight="1" x14ac:dyDescent="0.25">
      <c r="A561" s="51"/>
      <c r="B561" s="49"/>
      <c r="C561" s="50"/>
      <c r="D561" s="49"/>
      <c r="E561" s="48"/>
      <c r="F561" s="47"/>
      <c r="G561" s="46"/>
    </row>
    <row r="562" spans="1:7" ht="15" customHeight="1" x14ac:dyDescent="0.25">
      <c r="A562" s="51"/>
      <c r="B562" s="49"/>
      <c r="C562" s="50"/>
      <c r="D562" s="49"/>
      <c r="E562" s="48"/>
      <c r="F562" s="47"/>
      <c r="G562" s="46"/>
    </row>
    <row r="563" spans="1:7" ht="15" customHeight="1" x14ac:dyDescent="0.25">
      <c r="A563" s="51"/>
      <c r="B563" s="49"/>
      <c r="C563" s="50"/>
      <c r="D563" s="49"/>
      <c r="E563" s="48"/>
      <c r="F563" s="47"/>
      <c r="G563" s="46"/>
    </row>
    <row r="564" spans="1:7" ht="15" customHeight="1" x14ac:dyDescent="0.25">
      <c r="A564" s="51"/>
      <c r="B564" s="49"/>
      <c r="C564" s="50"/>
      <c r="D564" s="49"/>
      <c r="E564" s="48"/>
      <c r="F564" s="47"/>
      <c r="G564" s="46"/>
    </row>
    <row r="565" spans="1:7" ht="15" customHeight="1" x14ac:dyDescent="0.25">
      <c r="A565" s="51"/>
      <c r="B565" s="49"/>
      <c r="C565" s="50"/>
      <c r="D565" s="49"/>
      <c r="E565" s="48"/>
      <c r="F565" s="47"/>
      <c r="G565" s="46"/>
    </row>
    <row r="566" spans="1:7" ht="15" customHeight="1" x14ac:dyDescent="0.25">
      <c r="A566" s="51"/>
      <c r="B566" s="49"/>
      <c r="C566" s="50"/>
      <c r="D566" s="49"/>
      <c r="E566" s="48"/>
      <c r="F566" s="47"/>
      <c r="G566" s="46"/>
    </row>
    <row r="567" spans="1:7" ht="15" customHeight="1" x14ac:dyDescent="0.25">
      <c r="A567" s="51"/>
      <c r="B567" s="49"/>
      <c r="C567" s="50"/>
      <c r="D567" s="49"/>
      <c r="E567" s="48"/>
      <c r="F567" s="47"/>
      <c r="G567" s="46"/>
    </row>
    <row r="568" spans="1:7" ht="15" customHeight="1" x14ac:dyDescent="0.25">
      <c r="A568" s="51"/>
      <c r="B568" s="49"/>
      <c r="C568" s="50"/>
      <c r="D568" s="49"/>
      <c r="E568" s="48"/>
      <c r="F568" s="47"/>
      <c r="G568" s="46"/>
    </row>
    <row r="569" spans="1:7" ht="15" customHeight="1" x14ac:dyDescent="0.25">
      <c r="A569" s="51"/>
      <c r="B569" s="49"/>
      <c r="C569" s="50"/>
      <c r="D569" s="49"/>
      <c r="E569" s="48"/>
      <c r="F569" s="47"/>
      <c r="G569" s="46"/>
    </row>
    <row r="570" spans="1:7" ht="15" customHeight="1" x14ac:dyDescent="0.25">
      <c r="A570" s="51"/>
      <c r="B570" s="49"/>
      <c r="C570" s="50"/>
      <c r="D570" s="49"/>
      <c r="E570" s="48"/>
      <c r="F570" s="47"/>
      <c r="G570" s="46"/>
    </row>
    <row r="571" spans="1:7" ht="15" customHeight="1" x14ac:dyDescent="0.25">
      <c r="A571" s="51"/>
      <c r="B571" s="49"/>
      <c r="C571" s="50"/>
      <c r="D571" s="49"/>
      <c r="E571" s="48"/>
      <c r="F571" s="47"/>
      <c r="G571" s="46"/>
    </row>
    <row r="572" spans="1:7" ht="15" customHeight="1" x14ac:dyDescent="0.25">
      <c r="A572" s="51"/>
      <c r="B572" s="49"/>
      <c r="C572" s="50"/>
      <c r="D572" s="49"/>
      <c r="E572" s="48"/>
      <c r="F572" s="47"/>
      <c r="G572" s="46"/>
    </row>
    <row r="573" spans="1:7" ht="15" customHeight="1" x14ac:dyDescent="0.25">
      <c r="A573" s="51"/>
      <c r="B573" s="49"/>
      <c r="C573" s="50"/>
      <c r="D573" s="49"/>
      <c r="E573" s="48"/>
      <c r="F573" s="47"/>
      <c r="G573" s="46"/>
    </row>
    <row r="574" spans="1:7" ht="15" customHeight="1" x14ac:dyDescent="0.25">
      <c r="A574" s="51"/>
      <c r="B574" s="49"/>
      <c r="C574" s="50"/>
      <c r="D574" s="49"/>
      <c r="E574" s="48"/>
      <c r="F574" s="47"/>
      <c r="G574" s="46"/>
    </row>
    <row r="575" spans="1:7" ht="15" customHeight="1" x14ac:dyDescent="0.25">
      <c r="A575" s="51"/>
      <c r="B575" s="49"/>
      <c r="C575" s="50"/>
      <c r="D575" s="49"/>
      <c r="E575" s="48"/>
      <c r="F575" s="47"/>
      <c r="G575" s="46"/>
    </row>
    <row r="576" spans="1:7" ht="15" customHeight="1" x14ac:dyDescent="0.25">
      <c r="A576" s="51"/>
      <c r="B576" s="49"/>
      <c r="C576" s="50"/>
      <c r="D576" s="49"/>
      <c r="E576" s="48"/>
      <c r="F576" s="47"/>
      <c r="G576" s="46"/>
    </row>
    <row r="577" spans="1:7" ht="15" customHeight="1" x14ac:dyDescent="0.25">
      <c r="A577" s="51"/>
      <c r="B577" s="49"/>
      <c r="C577" s="50"/>
      <c r="D577" s="49"/>
      <c r="E577" s="48"/>
      <c r="F577" s="47"/>
      <c r="G577" s="46"/>
    </row>
    <row r="578" spans="1:7" ht="15" customHeight="1" x14ac:dyDescent="0.25">
      <c r="A578" s="51"/>
      <c r="B578" s="49"/>
      <c r="C578" s="50"/>
      <c r="D578" s="49"/>
      <c r="E578" s="48"/>
      <c r="F578" s="47"/>
      <c r="G578" s="46"/>
    </row>
    <row r="579" spans="1:7" ht="15" customHeight="1" x14ac:dyDescent="0.25">
      <c r="A579" s="51"/>
      <c r="B579" s="49"/>
      <c r="C579" s="50"/>
      <c r="D579" s="49"/>
      <c r="E579" s="48"/>
      <c r="F579" s="47"/>
      <c r="G579" s="46"/>
    </row>
    <row r="580" spans="1:7" ht="15" customHeight="1" x14ac:dyDescent="0.25">
      <c r="A580" s="51"/>
      <c r="B580" s="49"/>
      <c r="C580" s="50"/>
      <c r="D580" s="49"/>
      <c r="E580" s="48"/>
      <c r="F580" s="47"/>
      <c r="G580" s="46"/>
    </row>
    <row r="581" spans="1:7" ht="15" customHeight="1" x14ac:dyDescent="0.25">
      <c r="A581" s="51"/>
      <c r="B581" s="49"/>
      <c r="C581" s="50"/>
      <c r="D581" s="49"/>
      <c r="E581" s="48"/>
      <c r="F581" s="47"/>
      <c r="G581" s="46"/>
    </row>
    <row r="582" spans="1:7" ht="15" customHeight="1" x14ac:dyDescent="0.25">
      <c r="A582" s="51"/>
      <c r="B582" s="49"/>
      <c r="C582" s="50"/>
      <c r="D582" s="49"/>
      <c r="E582" s="48"/>
      <c r="F582" s="47"/>
      <c r="G582" s="46"/>
    </row>
    <row r="583" spans="1:7" ht="15" customHeight="1" x14ac:dyDescent="0.25">
      <c r="A583" s="51"/>
      <c r="B583" s="49"/>
      <c r="C583" s="50"/>
      <c r="D583" s="49"/>
      <c r="E583" s="48"/>
      <c r="F583" s="47"/>
      <c r="G583" s="46"/>
    </row>
    <row r="584" spans="1:7" ht="15" customHeight="1" x14ac:dyDescent="0.25">
      <c r="A584" s="51"/>
      <c r="B584" s="49"/>
      <c r="C584" s="50"/>
      <c r="D584" s="49"/>
      <c r="E584" s="48"/>
      <c r="F584" s="47"/>
      <c r="G584" s="46"/>
    </row>
    <row r="585" spans="1:7" ht="15" customHeight="1" x14ac:dyDescent="0.25">
      <c r="A585" s="51"/>
      <c r="B585" s="49"/>
      <c r="C585" s="50"/>
      <c r="D585" s="49"/>
      <c r="E585" s="48"/>
      <c r="F585" s="47"/>
      <c r="G585" s="46"/>
    </row>
    <row r="586" spans="1:7" ht="15" customHeight="1" x14ac:dyDescent="0.25">
      <c r="A586" s="51"/>
      <c r="B586" s="49"/>
      <c r="C586" s="50"/>
      <c r="D586" s="49"/>
      <c r="E586" s="48"/>
      <c r="F586" s="47"/>
      <c r="G586" s="46"/>
    </row>
    <row r="587" spans="1:7" ht="15" customHeight="1" x14ac:dyDescent="0.25">
      <c r="A587" s="51"/>
      <c r="B587" s="49"/>
      <c r="C587" s="50"/>
      <c r="D587" s="49"/>
      <c r="E587" s="48"/>
      <c r="F587" s="47"/>
      <c r="G587" s="46"/>
    </row>
    <row r="588" spans="1:7" ht="15" customHeight="1" x14ac:dyDescent="0.25">
      <c r="A588" s="51"/>
      <c r="B588" s="49"/>
      <c r="C588" s="50"/>
      <c r="D588" s="49"/>
      <c r="E588" s="48"/>
      <c r="F588" s="47"/>
      <c r="G588" s="46"/>
    </row>
    <row r="589" spans="1:7" ht="15" customHeight="1" x14ac:dyDescent="0.25">
      <c r="A589" s="51"/>
      <c r="B589" s="49"/>
      <c r="C589" s="50"/>
      <c r="D589" s="49"/>
      <c r="E589" s="48"/>
      <c r="F589" s="47"/>
      <c r="G589" s="46"/>
    </row>
    <row r="590" spans="1:7" ht="15" customHeight="1" x14ac:dyDescent="0.25">
      <c r="A590" s="51"/>
      <c r="B590" s="49"/>
      <c r="C590" s="50"/>
      <c r="D590" s="49"/>
      <c r="E590" s="48"/>
      <c r="F590" s="47"/>
      <c r="G590" s="46"/>
    </row>
    <row r="591" spans="1:7" ht="15" customHeight="1" x14ac:dyDescent="0.25">
      <c r="A591" s="51"/>
      <c r="B591" s="49"/>
      <c r="C591" s="50"/>
      <c r="D591" s="49"/>
      <c r="E591" s="48"/>
      <c r="F591" s="47"/>
      <c r="G591" s="46"/>
    </row>
    <row r="592" spans="1:7" ht="15" customHeight="1" x14ac:dyDescent="0.25">
      <c r="A592" s="51"/>
      <c r="B592" s="49"/>
      <c r="C592" s="50"/>
      <c r="D592" s="49"/>
      <c r="E592" s="48"/>
      <c r="F592" s="47"/>
      <c r="G592" s="46"/>
    </row>
    <row r="593" spans="1:7" ht="15" customHeight="1" x14ac:dyDescent="0.25">
      <c r="A593" s="51"/>
      <c r="B593" s="49"/>
      <c r="C593" s="50"/>
      <c r="D593" s="49"/>
      <c r="E593" s="48"/>
      <c r="F593" s="47"/>
      <c r="G593" s="46"/>
    </row>
    <row r="594" spans="1:7" ht="15" customHeight="1" x14ac:dyDescent="0.25">
      <c r="A594" s="51"/>
      <c r="B594" s="49"/>
      <c r="C594" s="50"/>
      <c r="D594" s="49"/>
      <c r="E594" s="48"/>
      <c r="F594" s="47"/>
      <c r="G594" s="46"/>
    </row>
    <row r="595" spans="1:7" ht="15" customHeight="1" x14ac:dyDescent="0.25">
      <c r="A595" s="51"/>
      <c r="B595" s="49"/>
      <c r="C595" s="50"/>
      <c r="D595" s="49"/>
      <c r="E595" s="48"/>
      <c r="F595" s="47"/>
      <c r="G595" s="46"/>
    </row>
    <row r="596" spans="1:7" ht="15" customHeight="1" x14ac:dyDescent="0.25">
      <c r="A596" s="51"/>
      <c r="B596" s="49"/>
      <c r="C596" s="50"/>
      <c r="D596" s="49"/>
      <c r="E596" s="48"/>
      <c r="F596" s="47"/>
      <c r="G596" s="46"/>
    </row>
    <row r="597" spans="1:7" ht="15" customHeight="1" x14ac:dyDescent="0.25">
      <c r="A597" s="51"/>
      <c r="B597" s="49"/>
      <c r="C597" s="50"/>
      <c r="D597" s="49"/>
      <c r="E597" s="48"/>
      <c r="F597" s="47"/>
      <c r="G597" s="46"/>
    </row>
    <row r="598" spans="1:7" ht="15" customHeight="1" x14ac:dyDescent="0.25">
      <c r="A598" s="51"/>
      <c r="B598" s="49"/>
      <c r="C598" s="50"/>
      <c r="D598" s="49"/>
      <c r="E598" s="48"/>
      <c r="F598" s="47"/>
      <c r="G598" s="46"/>
    </row>
    <row r="599" spans="1:7" ht="15" customHeight="1" x14ac:dyDescent="0.25">
      <c r="A599" s="51"/>
      <c r="B599" s="49"/>
      <c r="C599" s="50"/>
      <c r="D599" s="49"/>
      <c r="E599" s="48"/>
      <c r="F599" s="47"/>
      <c r="G599" s="46"/>
    </row>
    <row r="600" spans="1:7" ht="15" customHeight="1" x14ac:dyDescent="0.25">
      <c r="A600" s="51"/>
      <c r="B600" s="49"/>
      <c r="C600" s="50"/>
      <c r="D600" s="49"/>
      <c r="E600" s="48"/>
      <c r="F600" s="47"/>
      <c r="G600" s="46"/>
    </row>
    <row r="601" spans="1:7" ht="15" customHeight="1" x14ac:dyDescent="0.25">
      <c r="A601" s="51"/>
      <c r="B601" s="49"/>
      <c r="C601" s="50"/>
      <c r="D601" s="49"/>
      <c r="E601" s="48"/>
      <c r="F601" s="47"/>
      <c r="G601" s="46"/>
    </row>
    <row r="602" spans="1:7" ht="15" customHeight="1" x14ac:dyDescent="0.25">
      <c r="A602" s="51"/>
      <c r="B602" s="49"/>
      <c r="C602" s="50"/>
      <c r="D602" s="49"/>
      <c r="E602" s="48"/>
      <c r="F602" s="47"/>
      <c r="G602" s="46"/>
    </row>
    <row r="603" spans="1:7" ht="15" customHeight="1" x14ac:dyDescent="0.25">
      <c r="A603" s="51"/>
      <c r="B603" s="49"/>
      <c r="C603" s="50"/>
      <c r="D603" s="49"/>
      <c r="E603" s="48"/>
      <c r="F603" s="47"/>
      <c r="G603" s="46"/>
    </row>
    <row r="604" spans="1:7" ht="15" customHeight="1" x14ac:dyDescent="0.25">
      <c r="A604" s="51"/>
      <c r="B604" s="49"/>
      <c r="C604" s="50"/>
      <c r="D604" s="49"/>
      <c r="E604" s="48"/>
      <c r="F604" s="47"/>
      <c r="G604" s="46"/>
    </row>
    <row r="605" spans="1:7" ht="15" customHeight="1" x14ac:dyDescent="0.25">
      <c r="A605" s="51"/>
      <c r="B605" s="49"/>
      <c r="C605" s="50"/>
      <c r="D605" s="49"/>
      <c r="E605" s="48"/>
      <c r="F605" s="47"/>
      <c r="G605" s="46"/>
    </row>
    <row r="606" spans="1:7" ht="15" customHeight="1" x14ac:dyDescent="0.25">
      <c r="A606" s="51"/>
      <c r="B606" s="49"/>
      <c r="C606" s="50"/>
      <c r="D606" s="49"/>
      <c r="E606" s="48"/>
      <c r="F606" s="47"/>
      <c r="G606" s="46"/>
    </row>
    <row r="607" spans="1:7" ht="15" customHeight="1" x14ac:dyDescent="0.25">
      <c r="A607" s="51"/>
      <c r="B607" s="49"/>
      <c r="C607" s="50"/>
      <c r="D607" s="49"/>
      <c r="E607" s="48"/>
      <c r="F607" s="47"/>
      <c r="G607" s="46"/>
    </row>
    <row r="608" spans="1:7" ht="15" customHeight="1" x14ac:dyDescent="0.25">
      <c r="A608" s="51"/>
      <c r="B608" s="49"/>
      <c r="C608" s="50"/>
      <c r="D608" s="49"/>
      <c r="E608" s="48"/>
      <c r="F608" s="47"/>
      <c r="G608" s="46"/>
    </row>
    <row r="609" spans="1:7" ht="15" customHeight="1" x14ac:dyDescent="0.25">
      <c r="A609" s="51"/>
      <c r="B609" s="49"/>
      <c r="C609" s="50"/>
      <c r="D609" s="49"/>
      <c r="E609" s="48"/>
      <c r="F609" s="47"/>
      <c r="G609" s="46"/>
    </row>
    <row r="610" spans="1:7" ht="15" customHeight="1" x14ac:dyDescent="0.25">
      <c r="A610" s="51"/>
      <c r="B610" s="49"/>
      <c r="C610" s="50"/>
      <c r="D610" s="49"/>
      <c r="E610" s="48"/>
      <c r="F610" s="47"/>
      <c r="G610" s="46"/>
    </row>
    <row r="611" spans="1:7" ht="15" customHeight="1" x14ac:dyDescent="0.25">
      <c r="A611" s="51"/>
      <c r="B611" s="49"/>
      <c r="C611" s="50"/>
      <c r="D611" s="49"/>
      <c r="E611" s="48"/>
      <c r="F611" s="47"/>
      <c r="G611" s="46"/>
    </row>
    <row r="612" spans="1:7" ht="15" customHeight="1" x14ac:dyDescent="0.25">
      <c r="A612" s="51"/>
      <c r="B612" s="49"/>
      <c r="C612" s="50"/>
      <c r="D612" s="49"/>
      <c r="E612" s="48"/>
      <c r="F612" s="47"/>
      <c r="G612" s="46"/>
    </row>
    <row r="613" spans="1:7" ht="15" customHeight="1" x14ac:dyDescent="0.25">
      <c r="A613" s="51"/>
      <c r="B613" s="49"/>
      <c r="C613" s="50"/>
      <c r="D613" s="49"/>
      <c r="E613" s="48"/>
      <c r="F613" s="47"/>
      <c r="G613" s="46"/>
    </row>
    <row r="614" spans="1:7" ht="15" customHeight="1" x14ac:dyDescent="0.25">
      <c r="A614" s="51"/>
      <c r="B614" s="49"/>
      <c r="C614" s="50"/>
      <c r="D614" s="49"/>
      <c r="E614" s="48"/>
      <c r="F614" s="47"/>
      <c r="G614" s="46"/>
    </row>
    <row r="615" spans="1:7" ht="15" customHeight="1" x14ac:dyDescent="0.25">
      <c r="A615" s="51"/>
      <c r="B615" s="49"/>
      <c r="C615" s="50"/>
      <c r="D615" s="49"/>
      <c r="E615" s="48"/>
      <c r="F615" s="47"/>
      <c r="G615" s="46"/>
    </row>
    <row r="616" spans="1:7" ht="15" customHeight="1" x14ac:dyDescent="0.25">
      <c r="A616" s="51"/>
      <c r="B616" s="49"/>
      <c r="C616" s="50"/>
      <c r="D616" s="49"/>
      <c r="E616" s="48"/>
      <c r="F616" s="47"/>
      <c r="G616" s="46"/>
    </row>
    <row r="617" spans="1:7" ht="15" customHeight="1" x14ac:dyDescent="0.25">
      <c r="A617" s="51"/>
      <c r="B617" s="49"/>
      <c r="C617" s="50"/>
      <c r="D617" s="49"/>
      <c r="E617" s="48"/>
      <c r="F617" s="47"/>
      <c r="G617" s="46"/>
    </row>
    <row r="618" spans="1:7" ht="15" customHeight="1" x14ac:dyDescent="0.25">
      <c r="A618" s="51"/>
      <c r="B618" s="49"/>
      <c r="C618" s="50"/>
      <c r="D618" s="49"/>
      <c r="E618" s="48"/>
      <c r="F618" s="47"/>
      <c r="G618" s="46"/>
    </row>
    <row r="619" spans="1:7" ht="15" customHeight="1" x14ac:dyDescent="0.25">
      <c r="A619" s="51"/>
      <c r="B619" s="49"/>
      <c r="C619" s="50"/>
      <c r="D619" s="49"/>
      <c r="E619" s="48"/>
      <c r="F619" s="47"/>
      <c r="G619" s="46"/>
    </row>
    <row r="620" spans="1:7" ht="15" customHeight="1" x14ac:dyDescent="0.25">
      <c r="A620" s="51"/>
      <c r="B620" s="49"/>
      <c r="C620" s="50"/>
      <c r="D620" s="49"/>
      <c r="E620" s="48"/>
      <c r="F620" s="47"/>
      <c r="G620" s="46"/>
    </row>
    <row r="621" spans="1:7" ht="15" customHeight="1" x14ac:dyDescent="0.25">
      <c r="A621" s="51"/>
      <c r="B621" s="49"/>
      <c r="C621" s="50"/>
      <c r="D621" s="49"/>
      <c r="E621" s="48"/>
      <c r="F621" s="47"/>
      <c r="G621" s="46"/>
    </row>
    <row r="622" spans="1:7" ht="15" customHeight="1" x14ac:dyDescent="0.25">
      <c r="A622" s="51"/>
      <c r="B622" s="49"/>
      <c r="C622" s="50"/>
      <c r="D622" s="49"/>
      <c r="E622" s="48"/>
      <c r="F622" s="47"/>
      <c r="G622" s="46"/>
    </row>
    <row r="623" spans="1:7" ht="15" customHeight="1" x14ac:dyDescent="0.25">
      <c r="A623" s="51"/>
      <c r="B623" s="49"/>
      <c r="C623" s="50"/>
      <c r="D623" s="49"/>
      <c r="E623" s="48"/>
      <c r="F623" s="47"/>
      <c r="G623" s="46"/>
    </row>
    <row r="624" spans="1:7" ht="15" customHeight="1" x14ac:dyDescent="0.25">
      <c r="A624" s="51"/>
      <c r="B624" s="49"/>
      <c r="C624" s="50"/>
      <c r="D624" s="49"/>
      <c r="E624" s="48"/>
      <c r="F624" s="47"/>
      <c r="G624" s="46"/>
    </row>
    <row r="625" spans="1:7" ht="15" customHeight="1" x14ac:dyDescent="0.25">
      <c r="A625" s="51"/>
      <c r="B625" s="49"/>
      <c r="C625" s="50"/>
      <c r="D625" s="49"/>
      <c r="E625" s="48"/>
      <c r="F625" s="47"/>
      <c r="G625" s="46"/>
    </row>
    <row r="626" spans="1:7" ht="15" customHeight="1" x14ac:dyDescent="0.25">
      <c r="A626" s="51"/>
      <c r="B626" s="49"/>
      <c r="C626" s="50"/>
      <c r="D626" s="49"/>
      <c r="E626" s="48"/>
      <c r="F626" s="47"/>
      <c r="G626" s="46"/>
    </row>
    <row r="627" spans="1:7" ht="15" customHeight="1" x14ac:dyDescent="0.25">
      <c r="A627" s="51"/>
      <c r="B627" s="49"/>
      <c r="C627" s="50"/>
      <c r="D627" s="49"/>
      <c r="E627" s="48"/>
      <c r="F627" s="47"/>
      <c r="G627" s="46"/>
    </row>
    <row r="628" spans="1:7" ht="15" customHeight="1" x14ac:dyDescent="0.25">
      <c r="A628" s="51"/>
      <c r="B628" s="49"/>
      <c r="C628" s="50"/>
      <c r="D628" s="49"/>
      <c r="E628" s="48"/>
      <c r="F628" s="47"/>
      <c r="G628" s="46"/>
    </row>
    <row r="629" spans="1:7" ht="15" customHeight="1" x14ac:dyDescent="0.25">
      <c r="A629" s="51"/>
      <c r="B629" s="49"/>
      <c r="C629" s="50"/>
      <c r="D629" s="49"/>
      <c r="E629" s="48"/>
      <c r="F629" s="47"/>
      <c r="G629" s="46"/>
    </row>
    <row r="630" spans="1:7" ht="15" customHeight="1" x14ac:dyDescent="0.25">
      <c r="A630" s="51"/>
      <c r="B630" s="49"/>
      <c r="C630" s="50"/>
      <c r="D630" s="49"/>
      <c r="E630" s="48"/>
      <c r="F630" s="47"/>
      <c r="G630" s="46"/>
    </row>
    <row r="631" spans="1:7" ht="15" customHeight="1" x14ac:dyDescent="0.25">
      <c r="A631" s="51"/>
      <c r="B631" s="49"/>
      <c r="C631" s="50"/>
      <c r="D631" s="49"/>
      <c r="E631" s="48"/>
      <c r="F631" s="47"/>
      <c r="G631" s="46"/>
    </row>
    <row r="632" spans="1:7" ht="15" customHeight="1" x14ac:dyDescent="0.25">
      <c r="A632" s="51"/>
      <c r="B632" s="49"/>
      <c r="C632" s="50"/>
      <c r="D632" s="49"/>
      <c r="E632" s="48"/>
      <c r="F632" s="47"/>
      <c r="G632" s="46"/>
    </row>
    <row r="633" spans="1:7" ht="15" customHeight="1" x14ac:dyDescent="0.25">
      <c r="A633" s="51"/>
      <c r="B633" s="49"/>
      <c r="C633" s="50"/>
      <c r="D633" s="49"/>
      <c r="E633" s="48"/>
      <c r="F633" s="47"/>
      <c r="G633" s="46"/>
    </row>
    <row r="634" spans="1:7" ht="15" customHeight="1" x14ac:dyDescent="0.25">
      <c r="A634" s="51"/>
      <c r="B634" s="49"/>
      <c r="C634" s="50"/>
      <c r="D634" s="49"/>
      <c r="E634" s="48"/>
      <c r="F634" s="47"/>
      <c r="G634" s="46"/>
    </row>
    <row r="635" spans="1:7" ht="15" customHeight="1" x14ac:dyDescent="0.25">
      <c r="A635" s="51"/>
      <c r="B635" s="49"/>
      <c r="C635" s="50"/>
      <c r="D635" s="49"/>
      <c r="E635" s="48"/>
      <c r="F635" s="47"/>
      <c r="G635" s="46"/>
    </row>
    <row r="636" spans="1:7" ht="15" customHeight="1" x14ac:dyDescent="0.25">
      <c r="A636" s="51"/>
      <c r="B636" s="49"/>
      <c r="C636" s="50"/>
      <c r="D636" s="49"/>
      <c r="E636" s="48"/>
      <c r="F636" s="47"/>
      <c r="G636" s="46"/>
    </row>
    <row r="637" spans="1:7" ht="15" customHeight="1" x14ac:dyDescent="0.25">
      <c r="A637" s="51"/>
      <c r="B637" s="49"/>
      <c r="C637" s="50"/>
      <c r="D637" s="49"/>
      <c r="E637" s="48"/>
      <c r="F637" s="47"/>
      <c r="G637" s="46"/>
    </row>
    <row r="638" spans="1:7" ht="15" customHeight="1" x14ac:dyDescent="0.25">
      <c r="A638" s="51"/>
      <c r="B638" s="49"/>
      <c r="C638" s="50"/>
      <c r="D638" s="49"/>
      <c r="E638" s="48"/>
      <c r="F638" s="47"/>
      <c r="G638" s="46"/>
    </row>
    <row r="639" spans="1:7" ht="15" customHeight="1" x14ac:dyDescent="0.25">
      <c r="A639" s="51"/>
      <c r="B639" s="49"/>
      <c r="C639" s="50"/>
      <c r="D639" s="49"/>
      <c r="E639" s="48"/>
      <c r="F639" s="47"/>
      <c r="G639" s="46"/>
    </row>
    <row r="640" spans="1:7" ht="15" customHeight="1" x14ac:dyDescent="0.25">
      <c r="A640" s="51"/>
      <c r="B640" s="49"/>
      <c r="C640" s="50"/>
      <c r="D640" s="49"/>
      <c r="E640" s="48"/>
      <c r="F640" s="47"/>
      <c r="G640" s="46"/>
    </row>
    <row r="641" spans="1:7" ht="15" customHeight="1" x14ac:dyDescent="0.25">
      <c r="A641" s="51"/>
      <c r="B641" s="49"/>
      <c r="C641" s="50"/>
      <c r="D641" s="49"/>
      <c r="E641" s="48"/>
      <c r="F641" s="47"/>
      <c r="G641" s="46"/>
    </row>
    <row r="642" spans="1:7" ht="15" customHeight="1" x14ac:dyDescent="0.25">
      <c r="A642" s="51"/>
      <c r="B642" s="49"/>
      <c r="C642" s="50"/>
      <c r="D642" s="49"/>
      <c r="E642" s="48"/>
      <c r="F642" s="47"/>
      <c r="G642" s="46"/>
    </row>
    <row r="643" spans="1:7" ht="15" customHeight="1" x14ac:dyDescent="0.25">
      <c r="A643" s="51"/>
      <c r="B643" s="49"/>
      <c r="C643" s="50"/>
      <c r="D643" s="49"/>
      <c r="E643" s="48"/>
      <c r="F643" s="47"/>
      <c r="G643" s="46"/>
    </row>
    <row r="644" spans="1:7" ht="15" customHeight="1" x14ac:dyDescent="0.25">
      <c r="A644" s="51"/>
      <c r="B644" s="49"/>
      <c r="C644" s="50"/>
      <c r="D644" s="49"/>
      <c r="E644" s="48"/>
      <c r="F644" s="47"/>
      <c r="G644" s="46"/>
    </row>
    <row r="645" spans="1:7" ht="15" customHeight="1" x14ac:dyDescent="0.25">
      <c r="A645" s="51"/>
      <c r="B645" s="49"/>
      <c r="C645" s="50"/>
      <c r="D645" s="49"/>
      <c r="E645" s="48"/>
      <c r="F645" s="47"/>
      <c r="G645" s="46"/>
    </row>
    <row r="646" spans="1:7" ht="15" customHeight="1" x14ac:dyDescent="0.25">
      <c r="A646" s="51"/>
      <c r="B646" s="49"/>
      <c r="C646" s="50"/>
      <c r="D646" s="49"/>
      <c r="E646" s="48"/>
      <c r="F646" s="47"/>
      <c r="G646" s="46"/>
    </row>
    <row r="647" spans="1:7" ht="15" customHeight="1" x14ac:dyDescent="0.25">
      <c r="A647" s="51"/>
      <c r="B647" s="49"/>
      <c r="C647" s="50"/>
      <c r="D647" s="49"/>
      <c r="E647" s="48"/>
      <c r="F647" s="47"/>
      <c r="G647" s="46"/>
    </row>
    <row r="648" spans="1:7" ht="15" customHeight="1" x14ac:dyDescent="0.25">
      <c r="A648" s="51"/>
      <c r="B648" s="49"/>
      <c r="C648" s="50"/>
      <c r="D648" s="49"/>
      <c r="E648" s="48"/>
      <c r="F648" s="47"/>
      <c r="G648" s="46"/>
    </row>
    <row r="649" spans="1:7" ht="15" customHeight="1" x14ac:dyDescent="0.25">
      <c r="A649" s="51"/>
      <c r="B649" s="49"/>
      <c r="C649" s="50"/>
      <c r="D649" s="49"/>
      <c r="E649" s="48"/>
      <c r="F649" s="47"/>
      <c r="G649" s="46"/>
    </row>
    <row r="650" spans="1:7" ht="15" customHeight="1" x14ac:dyDescent="0.25">
      <c r="A650" s="51"/>
      <c r="B650" s="49"/>
      <c r="C650" s="50"/>
      <c r="D650" s="49"/>
      <c r="E650" s="48"/>
      <c r="F650" s="47"/>
      <c r="G650" s="46"/>
    </row>
    <row r="651" spans="1:7" ht="15" customHeight="1" x14ac:dyDescent="0.25">
      <c r="A651" s="51"/>
      <c r="B651" s="49"/>
      <c r="C651" s="50"/>
      <c r="D651" s="49"/>
      <c r="E651" s="48"/>
      <c r="F651" s="47"/>
      <c r="G651" s="46"/>
    </row>
    <row r="652" spans="1:7" ht="15" customHeight="1" x14ac:dyDescent="0.25">
      <c r="A652" s="51"/>
      <c r="B652" s="49"/>
      <c r="C652" s="50"/>
      <c r="D652" s="49"/>
      <c r="E652" s="48"/>
      <c r="F652" s="47"/>
      <c r="G652" s="46"/>
    </row>
    <row r="653" spans="1:7" ht="15" customHeight="1" x14ac:dyDescent="0.25">
      <c r="A653" s="51"/>
      <c r="B653" s="49"/>
      <c r="C653" s="50"/>
      <c r="D653" s="49"/>
      <c r="E653" s="48"/>
      <c r="F653" s="47"/>
      <c r="G653" s="46"/>
    </row>
    <row r="654" spans="1:7" ht="15" customHeight="1" x14ac:dyDescent="0.25">
      <c r="A654" s="51"/>
      <c r="B654" s="49"/>
      <c r="C654" s="50"/>
      <c r="D654" s="49"/>
      <c r="E654" s="48"/>
      <c r="F654" s="47"/>
      <c r="G654" s="46"/>
    </row>
    <row r="655" spans="1:7" ht="15" customHeight="1" x14ac:dyDescent="0.25">
      <c r="A655" s="51"/>
      <c r="B655" s="49"/>
      <c r="C655" s="50"/>
      <c r="D655" s="49"/>
      <c r="E655" s="48"/>
      <c r="F655" s="47"/>
      <c r="G655" s="46"/>
    </row>
    <row r="656" spans="1:7" ht="15" customHeight="1" x14ac:dyDescent="0.25">
      <c r="A656" s="51"/>
      <c r="B656" s="49"/>
      <c r="C656" s="50"/>
      <c r="D656" s="49"/>
      <c r="E656" s="48"/>
      <c r="F656" s="47"/>
      <c r="G656" s="46"/>
    </row>
    <row r="657" spans="1:7" ht="15" customHeight="1" x14ac:dyDescent="0.25">
      <c r="A657" s="51"/>
      <c r="B657" s="49"/>
      <c r="C657" s="50"/>
      <c r="D657" s="49"/>
      <c r="E657" s="48"/>
      <c r="F657" s="47"/>
      <c r="G657" s="46"/>
    </row>
    <row r="658" spans="1:7" ht="15" customHeight="1" x14ac:dyDescent="0.25">
      <c r="A658" s="51"/>
      <c r="B658" s="49"/>
      <c r="C658" s="50"/>
      <c r="D658" s="49"/>
      <c r="E658" s="48"/>
      <c r="F658" s="47"/>
      <c r="G658" s="46"/>
    </row>
    <row r="659" spans="1:7" ht="15" customHeight="1" x14ac:dyDescent="0.25">
      <c r="A659" s="51"/>
      <c r="B659" s="49"/>
      <c r="C659" s="50"/>
      <c r="D659" s="49"/>
      <c r="E659" s="48"/>
      <c r="F659" s="47"/>
      <c r="G659" s="46"/>
    </row>
    <row r="660" spans="1:7" ht="15" customHeight="1" x14ac:dyDescent="0.25">
      <c r="A660" s="51"/>
      <c r="B660" s="49"/>
      <c r="C660" s="50"/>
      <c r="D660" s="49"/>
      <c r="E660" s="48"/>
      <c r="F660" s="47"/>
      <c r="G660" s="46"/>
    </row>
    <row r="661" spans="1:7" ht="15" customHeight="1" x14ac:dyDescent="0.25">
      <c r="A661" s="51"/>
      <c r="B661" s="49"/>
      <c r="C661" s="50"/>
      <c r="D661" s="49"/>
      <c r="E661" s="48"/>
      <c r="F661" s="47"/>
      <c r="G661" s="46"/>
    </row>
    <row r="662" spans="1:7" ht="15" customHeight="1" x14ac:dyDescent="0.25">
      <c r="A662" s="51"/>
      <c r="B662" s="49"/>
      <c r="C662" s="50"/>
      <c r="D662" s="49"/>
      <c r="E662" s="48"/>
      <c r="F662" s="47"/>
      <c r="G662" s="46"/>
    </row>
    <row r="663" spans="1:7" ht="15" customHeight="1" x14ac:dyDescent="0.25">
      <c r="A663" s="51"/>
      <c r="B663" s="49"/>
      <c r="C663" s="50"/>
      <c r="D663" s="49"/>
      <c r="E663" s="48"/>
      <c r="F663" s="47"/>
      <c r="G663" s="46"/>
    </row>
    <row r="664" spans="1:7" ht="15" customHeight="1" x14ac:dyDescent="0.25">
      <c r="A664" s="51"/>
      <c r="B664" s="49"/>
      <c r="C664" s="50"/>
      <c r="D664" s="49"/>
      <c r="E664" s="48"/>
      <c r="F664" s="47"/>
      <c r="G664" s="46"/>
    </row>
    <row r="665" spans="1:7" ht="15" customHeight="1" x14ac:dyDescent="0.25">
      <c r="A665" s="51"/>
      <c r="B665" s="49"/>
      <c r="C665" s="50"/>
      <c r="D665" s="49"/>
      <c r="E665" s="48"/>
      <c r="F665" s="47"/>
      <c r="G665" s="46"/>
    </row>
    <row r="666" spans="1:7" ht="15" customHeight="1" x14ac:dyDescent="0.25">
      <c r="A666" s="51"/>
      <c r="B666" s="49"/>
      <c r="C666" s="50"/>
      <c r="D666" s="49"/>
      <c r="E666" s="48"/>
      <c r="F666" s="47"/>
      <c r="G666" s="46"/>
    </row>
    <row r="667" spans="1:7" ht="15" customHeight="1" x14ac:dyDescent="0.25">
      <c r="A667" s="51"/>
      <c r="B667" s="49"/>
      <c r="C667" s="50"/>
      <c r="D667" s="49"/>
      <c r="E667" s="48"/>
      <c r="F667" s="47"/>
      <c r="G667" s="46"/>
    </row>
    <row r="668" spans="1:7" ht="15" customHeight="1" x14ac:dyDescent="0.25">
      <c r="A668" s="51"/>
      <c r="B668" s="49"/>
      <c r="C668" s="50"/>
      <c r="D668" s="49"/>
      <c r="E668" s="48"/>
      <c r="F668" s="47"/>
      <c r="G668" s="46"/>
    </row>
    <row r="669" spans="1:7" ht="15" customHeight="1" x14ac:dyDescent="0.25">
      <c r="A669" s="51"/>
      <c r="B669" s="49"/>
      <c r="C669" s="50"/>
      <c r="D669" s="49"/>
      <c r="E669" s="48"/>
      <c r="F669" s="47"/>
      <c r="G669" s="46"/>
    </row>
    <row r="670" spans="1:7" ht="15" customHeight="1" x14ac:dyDescent="0.25">
      <c r="A670" s="51"/>
      <c r="B670" s="49"/>
      <c r="C670" s="50"/>
      <c r="D670" s="49"/>
      <c r="E670" s="48"/>
      <c r="F670" s="47"/>
      <c r="G670" s="46"/>
    </row>
    <row r="671" spans="1:7" ht="15" customHeight="1" x14ac:dyDescent="0.25">
      <c r="A671" s="51"/>
      <c r="B671" s="49"/>
      <c r="C671" s="50"/>
      <c r="D671" s="49"/>
      <c r="E671" s="48"/>
      <c r="F671" s="47"/>
      <c r="G671" s="46"/>
    </row>
    <row r="672" spans="1:7" ht="15" customHeight="1" x14ac:dyDescent="0.25">
      <c r="A672" s="51"/>
      <c r="B672" s="49"/>
      <c r="C672" s="50"/>
      <c r="D672" s="49"/>
      <c r="E672" s="48"/>
      <c r="F672" s="47"/>
      <c r="G672" s="46"/>
    </row>
    <row r="673" spans="1:7" ht="15" customHeight="1" x14ac:dyDescent="0.25">
      <c r="A673" s="51"/>
      <c r="B673" s="49"/>
      <c r="C673" s="50"/>
      <c r="D673" s="49"/>
      <c r="E673" s="48"/>
      <c r="F673" s="47"/>
      <c r="G673" s="46"/>
    </row>
    <row r="674" spans="1:7" ht="15" customHeight="1" x14ac:dyDescent="0.25">
      <c r="A674" s="51"/>
      <c r="B674" s="49"/>
      <c r="C674" s="50"/>
      <c r="D674" s="49"/>
      <c r="E674" s="48"/>
      <c r="F674" s="47"/>
      <c r="G674" s="46"/>
    </row>
    <row r="675" spans="1:7" ht="15" customHeight="1" x14ac:dyDescent="0.25">
      <c r="A675" s="51"/>
      <c r="B675" s="49"/>
      <c r="C675" s="50"/>
      <c r="D675" s="49"/>
      <c r="E675" s="48"/>
      <c r="F675" s="47"/>
      <c r="G675" s="46"/>
    </row>
    <row r="676" spans="1:7" ht="15" customHeight="1" x14ac:dyDescent="0.25">
      <c r="A676" s="51"/>
      <c r="B676" s="49"/>
      <c r="C676" s="50"/>
      <c r="D676" s="49"/>
      <c r="E676" s="48"/>
      <c r="F676" s="47"/>
      <c r="G676" s="46"/>
    </row>
    <row r="677" spans="1:7" ht="15" customHeight="1" x14ac:dyDescent="0.25">
      <c r="A677" s="51"/>
      <c r="B677" s="49"/>
      <c r="C677" s="50"/>
      <c r="D677" s="49"/>
      <c r="E677" s="48"/>
      <c r="F677" s="47"/>
      <c r="G677" s="46"/>
    </row>
    <row r="678" spans="1:7" ht="15" customHeight="1" x14ac:dyDescent="0.25">
      <c r="A678" s="51"/>
      <c r="B678" s="49"/>
      <c r="C678" s="50"/>
      <c r="D678" s="49"/>
      <c r="E678" s="48"/>
      <c r="F678" s="47"/>
      <c r="G678" s="46"/>
    </row>
    <row r="679" spans="1:7" ht="15" customHeight="1" x14ac:dyDescent="0.25">
      <c r="A679" s="51"/>
      <c r="B679" s="49"/>
      <c r="C679" s="50"/>
      <c r="D679" s="49"/>
      <c r="E679" s="48"/>
      <c r="F679" s="47"/>
      <c r="G679" s="46"/>
    </row>
    <row r="680" spans="1:7" ht="15" customHeight="1" x14ac:dyDescent="0.25">
      <c r="A680" s="51"/>
      <c r="B680" s="49"/>
      <c r="C680" s="50"/>
      <c r="D680" s="49"/>
      <c r="E680" s="48"/>
      <c r="F680" s="47"/>
      <c r="G680" s="46"/>
    </row>
    <row r="681" spans="1:7" ht="15" customHeight="1" x14ac:dyDescent="0.25">
      <c r="A681" s="51"/>
      <c r="B681" s="49"/>
      <c r="C681" s="50"/>
      <c r="D681" s="49"/>
      <c r="E681" s="48"/>
      <c r="F681" s="47"/>
      <c r="G681" s="46"/>
    </row>
    <row r="682" spans="1:7" ht="15" customHeight="1" x14ac:dyDescent="0.25">
      <c r="A682" s="51"/>
      <c r="B682" s="49"/>
      <c r="C682" s="50"/>
      <c r="D682" s="49"/>
      <c r="E682" s="48"/>
      <c r="F682" s="47"/>
      <c r="G682" s="46"/>
    </row>
    <row r="683" spans="1:7" ht="15" customHeight="1" x14ac:dyDescent="0.25">
      <c r="A683" s="51"/>
      <c r="B683" s="49"/>
      <c r="C683" s="50"/>
      <c r="D683" s="49"/>
      <c r="E683" s="48"/>
      <c r="F683" s="47"/>
      <c r="G683" s="46"/>
    </row>
    <row r="684" spans="1:7" ht="15" customHeight="1" x14ac:dyDescent="0.25">
      <c r="A684" s="51"/>
      <c r="B684" s="49"/>
      <c r="C684" s="50"/>
      <c r="D684" s="49"/>
      <c r="E684" s="48"/>
      <c r="F684" s="47"/>
      <c r="G684" s="46"/>
    </row>
    <row r="685" spans="1:7" ht="15" customHeight="1" x14ac:dyDescent="0.25">
      <c r="A685" s="51"/>
      <c r="B685" s="49"/>
      <c r="C685" s="50"/>
      <c r="D685" s="49"/>
      <c r="E685" s="48"/>
      <c r="F685" s="47"/>
      <c r="G685" s="46"/>
    </row>
    <row r="686" spans="1:7" ht="15" customHeight="1" x14ac:dyDescent="0.25">
      <c r="A686" s="51"/>
      <c r="B686" s="49"/>
      <c r="C686" s="50"/>
      <c r="D686" s="49"/>
      <c r="E686" s="48"/>
      <c r="F686" s="47"/>
      <c r="G686" s="46"/>
    </row>
    <row r="687" spans="1:7" ht="15" customHeight="1" x14ac:dyDescent="0.25">
      <c r="A687" s="51"/>
      <c r="B687" s="49"/>
      <c r="C687" s="50"/>
      <c r="D687" s="49"/>
      <c r="E687" s="48"/>
      <c r="F687" s="47"/>
      <c r="G687" s="46"/>
    </row>
    <row r="688" spans="1:7" ht="15" customHeight="1" x14ac:dyDescent="0.25">
      <c r="A688" s="51"/>
      <c r="B688" s="49"/>
      <c r="C688" s="50"/>
      <c r="D688" s="49"/>
      <c r="E688" s="48"/>
      <c r="F688" s="47"/>
      <c r="G688" s="46"/>
    </row>
    <row r="689" spans="1:7" ht="15" customHeight="1" x14ac:dyDescent="0.25">
      <c r="A689" s="51"/>
      <c r="B689" s="49"/>
      <c r="C689" s="50"/>
      <c r="D689" s="49"/>
      <c r="E689" s="48"/>
      <c r="F689" s="47"/>
      <c r="G689" s="46"/>
    </row>
    <row r="690" spans="1:7" ht="15" customHeight="1" x14ac:dyDescent="0.25">
      <c r="A690" s="51"/>
      <c r="B690" s="49"/>
      <c r="C690" s="50"/>
      <c r="D690" s="49"/>
      <c r="E690" s="48"/>
      <c r="F690" s="47"/>
      <c r="G690" s="46"/>
    </row>
    <row r="691" spans="1:7" ht="15" customHeight="1" x14ac:dyDescent="0.25">
      <c r="A691" s="51"/>
      <c r="B691" s="49"/>
      <c r="C691" s="50"/>
      <c r="D691" s="49"/>
      <c r="E691" s="48"/>
      <c r="F691" s="47"/>
      <c r="G691" s="46"/>
    </row>
    <row r="692" spans="1:7" ht="15" customHeight="1" x14ac:dyDescent="0.25">
      <c r="A692" s="51"/>
      <c r="B692" s="49"/>
      <c r="C692" s="50"/>
      <c r="D692" s="49"/>
      <c r="E692" s="48"/>
      <c r="F692" s="47"/>
      <c r="G692" s="46"/>
    </row>
    <row r="693" spans="1:7" ht="15" customHeight="1" x14ac:dyDescent="0.25">
      <c r="A693" s="51"/>
      <c r="B693" s="49"/>
      <c r="C693" s="50"/>
      <c r="D693" s="49"/>
      <c r="E693" s="48"/>
      <c r="F693" s="47"/>
      <c r="G693" s="46"/>
    </row>
    <row r="694" spans="1:7" ht="15" customHeight="1" x14ac:dyDescent="0.25">
      <c r="A694" s="51"/>
      <c r="B694" s="49"/>
      <c r="C694" s="50"/>
      <c r="D694" s="49"/>
      <c r="E694" s="48"/>
      <c r="F694" s="47"/>
      <c r="G694" s="46"/>
    </row>
    <row r="695" spans="1:7" ht="15" customHeight="1" x14ac:dyDescent="0.25">
      <c r="A695" s="51"/>
      <c r="B695" s="49"/>
      <c r="C695" s="50"/>
      <c r="D695" s="49"/>
      <c r="E695" s="48"/>
      <c r="F695" s="47"/>
      <c r="G695" s="46"/>
    </row>
    <row r="696" spans="1:7" ht="15" customHeight="1" x14ac:dyDescent="0.25">
      <c r="A696" s="51"/>
      <c r="B696" s="49"/>
      <c r="C696" s="50"/>
      <c r="D696" s="49"/>
      <c r="E696" s="48"/>
      <c r="F696" s="47"/>
      <c r="G696" s="46"/>
    </row>
    <row r="697" spans="1:7" ht="15" customHeight="1" x14ac:dyDescent="0.25">
      <c r="A697" s="51"/>
      <c r="B697" s="49"/>
      <c r="C697" s="50"/>
      <c r="D697" s="49"/>
      <c r="E697" s="48"/>
      <c r="F697" s="47"/>
      <c r="G697" s="46"/>
    </row>
    <row r="698" spans="1:7" ht="15" customHeight="1" x14ac:dyDescent="0.25">
      <c r="A698" s="51"/>
      <c r="B698" s="49"/>
      <c r="C698" s="50"/>
      <c r="D698" s="49"/>
      <c r="E698" s="48"/>
      <c r="F698" s="47"/>
      <c r="G698" s="46"/>
    </row>
    <row r="699" spans="1:7" ht="15" customHeight="1" x14ac:dyDescent="0.25">
      <c r="A699" s="51"/>
      <c r="B699" s="49"/>
      <c r="C699" s="50"/>
      <c r="D699" s="49"/>
      <c r="E699" s="48"/>
      <c r="F699" s="47"/>
      <c r="G699" s="46"/>
    </row>
    <row r="700" spans="1:7" ht="15" customHeight="1" x14ac:dyDescent="0.25">
      <c r="A700" s="51"/>
      <c r="B700" s="49"/>
      <c r="C700" s="50"/>
      <c r="D700" s="49"/>
      <c r="E700" s="48"/>
      <c r="F700" s="47"/>
      <c r="G700" s="46"/>
    </row>
    <row r="701" spans="1:7" ht="15" customHeight="1" x14ac:dyDescent="0.25">
      <c r="A701" s="51"/>
      <c r="B701" s="49"/>
      <c r="C701" s="50"/>
      <c r="D701" s="49"/>
      <c r="E701" s="48"/>
      <c r="F701" s="47"/>
      <c r="G701" s="46"/>
    </row>
    <row r="702" spans="1:7" ht="15" customHeight="1" x14ac:dyDescent="0.25">
      <c r="A702" s="51"/>
      <c r="B702" s="49"/>
      <c r="C702" s="50"/>
      <c r="D702" s="49"/>
      <c r="E702" s="48"/>
      <c r="F702" s="47"/>
      <c r="G702" s="46"/>
    </row>
    <row r="703" spans="1:7" ht="15" customHeight="1" x14ac:dyDescent="0.25">
      <c r="A703" s="51"/>
      <c r="B703" s="49"/>
      <c r="C703" s="50"/>
      <c r="D703" s="49"/>
      <c r="E703" s="48"/>
      <c r="F703" s="47"/>
      <c r="G703" s="46"/>
    </row>
    <row r="704" spans="1:7" ht="15" customHeight="1" x14ac:dyDescent="0.25">
      <c r="A704" s="51"/>
      <c r="B704" s="49"/>
      <c r="C704" s="50"/>
      <c r="D704" s="49"/>
      <c r="E704" s="48"/>
      <c r="F704" s="47"/>
      <c r="G704" s="46"/>
    </row>
    <row r="705" spans="1:7" ht="15" customHeight="1" x14ac:dyDescent="0.25">
      <c r="A705" s="51"/>
      <c r="B705" s="49"/>
      <c r="C705" s="50"/>
      <c r="D705" s="49"/>
      <c r="E705" s="48"/>
      <c r="F705" s="47"/>
      <c r="G705" s="46"/>
    </row>
    <row r="706" spans="1:7" ht="15" customHeight="1" x14ac:dyDescent="0.25">
      <c r="A706" s="51"/>
      <c r="B706" s="49"/>
      <c r="C706" s="50"/>
      <c r="D706" s="49"/>
      <c r="E706" s="48"/>
      <c r="F706" s="47"/>
      <c r="G706" s="46"/>
    </row>
    <row r="707" spans="1:7" ht="15" customHeight="1" x14ac:dyDescent="0.25">
      <c r="A707" s="51"/>
      <c r="B707" s="49"/>
      <c r="C707" s="50"/>
      <c r="D707" s="49"/>
      <c r="E707" s="48"/>
      <c r="F707" s="47"/>
      <c r="G707" s="46"/>
    </row>
    <row r="708" spans="1:7" ht="15" customHeight="1" x14ac:dyDescent="0.25">
      <c r="A708" s="51"/>
      <c r="B708" s="49"/>
      <c r="C708" s="50"/>
      <c r="D708" s="49"/>
      <c r="E708" s="48"/>
      <c r="F708" s="47"/>
      <c r="G708" s="46"/>
    </row>
    <row r="709" spans="1:7" ht="15" customHeight="1" x14ac:dyDescent="0.25">
      <c r="A709" s="51"/>
      <c r="B709" s="49"/>
      <c r="C709" s="50"/>
      <c r="D709" s="49"/>
      <c r="E709" s="48"/>
      <c r="F709" s="47"/>
      <c r="G709" s="46"/>
    </row>
    <row r="710" spans="1:7" ht="15" customHeight="1" x14ac:dyDescent="0.25">
      <c r="A710" s="51"/>
      <c r="B710" s="49"/>
      <c r="C710" s="50"/>
      <c r="D710" s="49"/>
      <c r="E710" s="48"/>
      <c r="F710" s="47"/>
      <c r="G710" s="46"/>
    </row>
    <row r="711" spans="1:7" ht="15" customHeight="1" x14ac:dyDescent="0.25">
      <c r="A711" s="51"/>
      <c r="B711" s="49"/>
      <c r="C711" s="50"/>
      <c r="D711" s="49"/>
      <c r="E711" s="48"/>
      <c r="F711" s="47"/>
      <c r="G711" s="46"/>
    </row>
    <row r="712" spans="1:7" ht="15" customHeight="1" x14ac:dyDescent="0.25">
      <c r="A712" s="51"/>
      <c r="B712" s="49"/>
      <c r="C712" s="50"/>
      <c r="D712" s="49"/>
      <c r="E712" s="48"/>
      <c r="F712" s="47"/>
      <c r="G712" s="46"/>
    </row>
    <row r="713" spans="1:7" ht="15" customHeight="1" x14ac:dyDescent="0.25">
      <c r="A713" s="51"/>
      <c r="B713" s="49"/>
      <c r="C713" s="50"/>
      <c r="D713" s="49"/>
      <c r="E713" s="48"/>
      <c r="F713" s="47"/>
      <c r="G713" s="46"/>
    </row>
    <row r="714" spans="1:7" ht="15" customHeight="1" x14ac:dyDescent="0.25">
      <c r="A714" s="51"/>
      <c r="B714" s="49"/>
      <c r="C714" s="50"/>
      <c r="D714" s="49"/>
      <c r="E714" s="48"/>
      <c r="F714" s="47"/>
      <c r="G714" s="46"/>
    </row>
    <row r="715" spans="1:7" ht="15" customHeight="1" x14ac:dyDescent="0.25">
      <c r="A715" s="51"/>
      <c r="B715" s="49"/>
      <c r="C715" s="50"/>
      <c r="D715" s="49"/>
      <c r="E715" s="48"/>
      <c r="F715" s="47"/>
      <c r="G715" s="46"/>
    </row>
    <row r="716" spans="1:7" ht="15" customHeight="1" x14ac:dyDescent="0.25">
      <c r="A716" s="51"/>
      <c r="B716" s="49"/>
      <c r="C716" s="50"/>
      <c r="D716" s="49"/>
      <c r="E716" s="48"/>
      <c r="F716" s="47"/>
      <c r="G716" s="46"/>
    </row>
    <row r="717" spans="1:7" ht="15" customHeight="1" x14ac:dyDescent="0.25">
      <c r="A717" s="51"/>
      <c r="B717" s="49"/>
      <c r="C717" s="50"/>
      <c r="D717" s="49"/>
      <c r="E717" s="48"/>
      <c r="F717" s="47"/>
      <c r="G717" s="46"/>
    </row>
    <row r="718" spans="1:7" ht="15" customHeight="1" x14ac:dyDescent="0.25">
      <c r="A718" s="51"/>
      <c r="B718" s="49"/>
      <c r="C718" s="50"/>
      <c r="D718" s="49"/>
      <c r="E718" s="48"/>
      <c r="F718" s="47"/>
      <c r="G718" s="46"/>
    </row>
    <row r="719" spans="1:7" ht="15" customHeight="1" x14ac:dyDescent="0.25">
      <c r="A719" s="51"/>
      <c r="B719" s="49"/>
      <c r="C719" s="50"/>
      <c r="D719" s="49"/>
      <c r="E719" s="48"/>
      <c r="F719" s="47"/>
      <c r="G719" s="46"/>
    </row>
    <row r="720" spans="1:7" ht="15" customHeight="1" x14ac:dyDescent="0.25">
      <c r="A720" s="51"/>
      <c r="B720" s="49"/>
      <c r="C720" s="50"/>
      <c r="D720" s="49"/>
      <c r="E720" s="48"/>
      <c r="F720" s="47"/>
      <c r="G720" s="46"/>
    </row>
    <row r="721" spans="1:7" ht="15" customHeight="1" x14ac:dyDescent="0.25">
      <c r="A721" s="51"/>
      <c r="B721" s="49"/>
      <c r="C721" s="50"/>
      <c r="D721" s="49"/>
      <c r="E721" s="48"/>
      <c r="F721" s="47"/>
      <c r="G721" s="46"/>
    </row>
    <row r="722" spans="1:7" ht="15" customHeight="1" x14ac:dyDescent="0.25">
      <c r="A722" s="51"/>
      <c r="B722" s="49"/>
      <c r="C722" s="50"/>
      <c r="D722" s="49"/>
      <c r="E722" s="48"/>
      <c r="F722" s="47"/>
      <c r="G722" s="46"/>
    </row>
    <row r="723" spans="1:7" ht="15" customHeight="1" x14ac:dyDescent="0.25">
      <c r="A723" s="51"/>
      <c r="B723" s="49"/>
      <c r="C723" s="50"/>
      <c r="D723" s="49"/>
      <c r="E723" s="48"/>
      <c r="F723" s="47"/>
      <c r="G723" s="46"/>
    </row>
    <row r="724" spans="1:7" ht="15" customHeight="1" x14ac:dyDescent="0.25">
      <c r="A724" s="51"/>
      <c r="B724" s="49"/>
      <c r="C724" s="50"/>
      <c r="D724" s="49"/>
      <c r="E724" s="48"/>
      <c r="F724" s="47"/>
      <c r="G724" s="46"/>
    </row>
    <row r="725" spans="1:7" ht="15" customHeight="1" x14ac:dyDescent="0.25">
      <c r="A725" s="51"/>
      <c r="B725" s="49"/>
      <c r="C725" s="50"/>
      <c r="D725" s="49"/>
      <c r="E725" s="48"/>
      <c r="F725" s="47"/>
      <c r="G725" s="46"/>
    </row>
    <row r="726" spans="1:7" ht="15" customHeight="1" x14ac:dyDescent="0.25">
      <c r="A726" s="51"/>
      <c r="B726" s="49"/>
      <c r="C726" s="50"/>
      <c r="D726" s="49"/>
      <c r="E726" s="48"/>
      <c r="F726" s="47"/>
      <c r="G726" s="46"/>
    </row>
    <row r="727" spans="1:7" ht="15" customHeight="1" x14ac:dyDescent="0.25">
      <c r="A727" s="51"/>
      <c r="B727" s="49"/>
      <c r="C727" s="50"/>
      <c r="D727" s="49"/>
      <c r="E727" s="48"/>
      <c r="F727" s="47"/>
      <c r="G727" s="46"/>
    </row>
    <row r="728" spans="1:7" ht="15" customHeight="1" x14ac:dyDescent="0.25">
      <c r="A728" s="51"/>
      <c r="B728" s="49"/>
      <c r="C728" s="50"/>
      <c r="D728" s="49"/>
      <c r="E728" s="48"/>
      <c r="F728" s="47"/>
      <c r="G728" s="46"/>
    </row>
    <row r="729" spans="1:7" ht="15" customHeight="1" x14ac:dyDescent="0.25">
      <c r="A729" s="51"/>
      <c r="B729" s="49"/>
      <c r="C729" s="50"/>
      <c r="D729" s="49"/>
      <c r="E729" s="48"/>
      <c r="F729" s="47"/>
      <c r="G729" s="46"/>
    </row>
    <row r="730" spans="1:7" ht="15" customHeight="1" x14ac:dyDescent="0.25">
      <c r="A730" s="51"/>
      <c r="B730" s="49"/>
      <c r="C730" s="50"/>
      <c r="D730" s="49"/>
      <c r="E730" s="48"/>
      <c r="F730" s="47"/>
      <c r="G730" s="46"/>
    </row>
    <row r="731" spans="1:7" ht="15" customHeight="1" x14ac:dyDescent="0.25">
      <c r="A731" s="51"/>
      <c r="B731" s="49"/>
      <c r="C731" s="50"/>
      <c r="D731" s="49"/>
      <c r="E731" s="48"/>
      <c r="F731" s="47"/>
      <c r="G731" s="46"/>
    </row>
    <row r="732" spans="1:7" ht="15" customHeight="1" x14ac:dyDescent="0.25">
      <c r="A732" s="51"/>
      <c r="B732" s="49"/>
      <c r="C732" s="50"/>
      <c r="D732" s="49"/>
      <c r="E732" s="48"/>
      <c r="F732" s="47"/>
      <c r="G732" s="46"/>
    </row>
    <row r="733" spans="1:7" ht="15" customHeight="1" x14ac:dyDescent="0.25">
      <c r="A733" s="51"/>
      <c r="B733" s="49"/>
      <c r="C733" s="50"/>
      <c r="D733" s="49"/>
      <c r="E733" s="48"/>
      <c r="F733" s="47"/>
      <c r="G733" s="46"/>
    </row>
    <row r="734" spans="1:7" ht="15" customHeight="1" x14ac:dyDescent="0.25">
      <c r="A734" s="51"/>
      <c r="B734" s="49"/>
      <c r="C734" s="50"/>
      <c r="D734" s="49"/>
      <c r="E734" s="48"/>
      <c r="F734" s="47"/>
      <c r="G734" s="46"/>
    </row>
    <row r="735" spans="1:7" ht="15" customHeight="1" x14ac:dyDescent="0.25">
      <c r="A735" s="51"/>
      <c r="B735" s="49"/>
      <c r="C735" s="50"/>
      <c r="D735" s="49"/>
      <c r="E735" s="48"/>
      <c r="F735" s="47"/>
      <c r="G735" s="46"/>
    </row>
    <row r="736" spans="1:7" ht="15" customHeight="1" x14ac:dyDescent="0.25">
      <c r="A736" s="51"/>
      <c r="B736" s="49"/>
      <c r="C736" s="50"/>
      <c r="D736" s="49"/>
      <c r="E736" s="48"/>
      <c r="F736" s="47"/>
      <c r="G736" s="46"/>
    </row>
    <row r="737" spans="1:7" ht="15" customHeight="1" x14ac:dyDescent="0.25">
      <c r="A737" s="51"/>
      <c r="B737" s="49"/>
      <c r="C737" s="50"/>
      <c r="D737" s="49"/>
      <c r="E737" s="48"/>
      <c r="F737" s="47"/>
      <c r="G737" s="46"/>
    </row>
    <row r="738" spans="1:7" ht="15" customHeight="1" x14ac:dyDescent="0.25">
      <c r="A738" s="51"/>
      <c r="B738" s="49"/>
      <c r="C738" s="50"/>
      <c r="D738" s="49"/>
      <c r="E738" s="48"/>
      <c r="F738" s="47"/>
      <c r="G738" s="46"/>
    </row>
    <row r="739" spans="1:7" ht="15" customHeight="1" x14ac:dyDescent="0.25">
      <c r="A739" s="51"/>
      <c r="B739" s="49"/>
      <c r="C739" s="50"/>
      <c r="D739" s="49"/>
      <c r="E739" s="48"/>
      <c r="F739" s="47"/>
      <c r="G739" s="46"/>
    </row>
    <row r="740" spans="1:7" ht="15" customHeight="1" x14ac:dyDescent="0.25">
      <c r="A740" s="51"/>
      <c r="B740" s="49"/>
      <c r="C740" s="50"/>
      <c r="D740" s="49"/>
      <c r="E740" s="48"/>
      <c r="F740" s="47"/>
      <c r="G740" s="46"/>
    </row>
    <row r="741" spans="1:7" ht="15" customHeight="1" x14ac:dyDescent="0.25">
      <c r="A741" s="51"/>
      <c r="B741" s="49"/>
      <c r="C741" s="50"/>
      <c r="D741" s="49"/>
      <c r="E741" s="48"/>
      <c r="F741" s="47"/>
      <c r="G741" s="46"/>
    </row>
    <row r="742" spans="1:7" ht="15" customHeight="1" x14ac:dyDescent="0.25">
      <c r="A742" s="51"/>
      <c r="B742" s="49"/>
      <c r="C742" s="50"/>
      <c r="D742" s="49"/>
      <c r="E742" s="48"/>
      <c r="F742" s="47"/>
      <c r="G742" s="46"/>
    </row>
    <row r="743" spans="1:7" ht="15" customHeight="1" x14ac:dyDescent="0.25">
      <c r="A743" s="51"/>
      <c r="B743" s="49"/>
      <c r="C743" s="50"/>
      <c r="D743" s="49"/>
      <c r="E743" s="48"/>
      <c r="F743" s="47"/>
      <c r="G743" s="46"/>
    </row>
    <row r="744" spans="1:7" ht="15" customHeight="1" x14ac:dyDescent="0.25">
      <c r="A744" s="51"/>
      <c r="B744" s="49"/>
      <c r="C744" s="50"/>
      <c r="D744" s="49"/>
      <c r="E744" s="48"/>
      <c r="F744" s="47"/>
      <c r="G744" s="46"/>
    </row>
    <row r="745" spans="1:7" ht="15" customHeight="1" x14ac:dyDescent="0.25">
      <c r="A745" s="51"/>
      <c r="B745" s="49"/>
      <c r="C745" s="50"/>
      <c r="D745" s="49"/>
      <c r="E745" s="48"/>
      <c r="F745" s="47"/>
      <c r="G745" s="46"/>
    </row>
    <row r="746" spans="1:7" ht="15" customHeight="1" x14ac:dyDescent="0.25">
      <c r="A746" s="51"/>
      <c r="B746" s="49"/>
      <c r="C746" s="50"/>
      <c r="D746" s="49"/>
      <c r="E746" s="48"/>
      <c r="F746" s="47"/>
      <c r="G746" s="46"/>
    </row>
    <row r="747" spans="1:7" ht="15" customHeight="1" x14ac:dyDescent="0.25">
      <c r="A747" s="51"/>
      <c r="B747" s="49"/>
      <c r="C747" s="50"/>
      <c r="D747" s="49"/>
      <c r="E747" s="48"/>
      <c r="F747" s="47"/>
      <c r="G747" s="46"/>
    </row>
    <row r="748" spans="1:7" ht="15" customHeight="1" x14ac:dyDescent="0.25">
      <c r="A748" s="51"/>
      <c r="B748" s="49"/>
      <c r="C748" s="50"/>
      <c r="D748" s="49"/>
      <c r="E748" s="48"/>
      <c r="F748" s="47"/>
      <c r="G748" s="46"/>
    </row>
    <row r="749" spans="1:7" ht="15" customHeight="1" x14ac:dyDescent="0.25">
      <c r="A749" s="51"/>
      <c r="B749" s="49"/>
      <c r="C749" s="50"/>
      <c r="D749" s="49"/>
      <c r="E749" s="48"/>
      <c r="F749" s="47"/>
      <c r="G749" s="46"/>
    </row>
    <row r="750" spans="1:7" ht="15" customHeight="1" x14ac:dyDescent="0.25">
      <c r="A750" s="51"/>
      <c r="B750" s="49"/>
      <c r="C750" s="50"/>
      <c r="D750" s="49"/>
      <c r="E750" s="48"/>
      <c r="F750" s="47"/>
      <c r="G750" s="46"/>
    </row>
    <row r="751" spans="1:7" ht="15" customHeight="1" x14ac:dyDescent="0.25">
      <c r="A751" s="51"/>
      <c r="B751" s="49"/>
      <c r="C751" s="50"/>
      <c r="D751" s="49"/>
      <c r="E751" s="48"/>
      <c r="F751" s="47"/>
      <c r="G751" s="46"/>
    </row>
    <row r="752" spans="1:7" ht="15" customHeight="1" x14ac:dyDescent="0.25">
      <c r="A752" s="51"/>
      <c r="B752" s="49"/>
      <c r="C752" s="50"/>
      <c r="D752" s="49"/>
      <c r="E752" s="48"/>
      <c r="F752" s="47"/>
      <c r="G752" s="46"/>
    </row>
    <row r="753" spans="1:7" ht="15" customHeight="1" x14ac:dyDescent="0.25">
      <c r="A753" s="51"/>
      <c r="B753" s="49"/>
      <c r="C753" s="50"/>
      <c r="D753" s="49"/>
      <c r="E753" s="48"/>
      <c r="F753" s="47"/>
      <c r="G753" s="46"/>
    </row>
    <row r="754" spans="1:7" ht="15" customHeight="1" x14ac:dyDescent="0.25">
      <c r="A754" s="51"/>
      <c r="B754" s="49"/>
      <c r="C754" s="50"/>
      <c r="D754" s="49"/>
      <c r="E754" s="48"/>
      <c r="F754" s="47"/>
      <c r="G754" s="46"/>
    </row>
    <row r="755" spans="1:7" ht="15" customHeight="1" x14ac:dyDescent="0.25">
      <c r="A755" s="51"/>
      <c r="B755" s="49"/>
      <c r="C755" s="50"/>
      <c r="D755" s="49"/>
      <c r="E755" s="48"/>
      <c r="F755" s="47"/>
      <c r="G755" s="46"/>
    </row>
    <row r="756" spans="1:7" ht="15" customHeight="1" x14ac:dyDescent="0.25">
      <c r="A756" s="51"/>
      <c r="B756" s="49"/>
      <c r="C756" s="50"/>
      <c r="D756" s="49"/>
      <c r="E756" s="48"/>
      <c r="F756" s="47"/>
      <c r="G756" s="46"/>
    </row>
    <row r="757" spans="1:7" ht="15" customHeight="1" x14ac:dyDescent="0.25">
      <c r="A757" s="51"/>
      <c r="B757" s="49"/>
      <c r="C757" s="50"/>
      <c r="D757" s="49"/>
      <c r="E757" s="48"/>
      <c r="F757" s="47"/>
      <c r="G757" s="46"/>
    </row>
    <row r="758" spans="1:7" ht="15" customHeight="1" x14ac:dyDescent="0.25">
      <c r="A758" s="51"/>
      <c r="B758" s="49"/>
      <c r="C758" s="50"/>
      <c r="D758" s="49"/>
      <c r="E758" s="48"/>
      <c r="F758" s="47"/>
      <c r="G758" s="46"/>
    </row>
    <row r="759" spans="1:7" ht="15" customHeight="1" x14ac:dyDescent="0.25">
      <c r="A759" s="51"/>
      <c r="B759" s="49"/>
      <c r="C759" s="50"/>
      <c r="D759" s="49"/>
      <c r="E759" s="48"/>
      <c r="F759" s="47"/>
      <c r="G759" s="46"/>
    </row>
    <row r="760" spans="1:7" ht="15" customHeight="1" x14ac:dyDescent="0.25">
      <c r="A760" s="51"/>
      <c r="B760" s="49"/>
      <c r="C760" s="50"/>
      <c r="D760" s="49"/>
      <c r="E760" s="48"/>
      <c r="F760" s="47"/>
      <c r="G760" s="46"/>
    </row>
    <row r="761" spans="1:7" ht="15" customHeight="1" x14ac:dyDescent="0.25">
      <c r="A761" s="51"/>
      <c r="B761" s="49"/>
      <c r="C761" s="50"/>
      <c r="D761" s="49"/>
      <c r="E761" s="48"/>
      <c r="F761" s="47"/>
      <c r="G761" s="46"/>
    </row>
    <row r="762" spans="1:7" ht="15" customHeight="1" x14ac:dyDescent="0.25">
      <c r="A762" s="51"/>
      <c r="B762" s="49"/>
      <c r="C762" s="50"/>
      <c r="D762" s="49"/>
      <c r="E762" s="48"/>
      <c r="F762" s="47"/>
      <c r="G762" s="46"/>
    </row>
    <row r="763" spans="1:7" ht="15" customHeight="1" x14ac:dyDescent="0.25">
      <c r="A763" s="51"/>
      <c r="B763" s="49"/>
      <c r="C763" s="50"/>
      <c r="D763" s="49"/>
      <c r="E763" s="48"/>
      <c r="F763" s="47"/>
      <c r="G763" s="46"/>
    </row>
    <row r="764" spans="1:7" ht="15" customHeight="1" x14ac:dyDescent="0.25">
      <c r="A764" s="51"/>
      <c r="B764" s="49"/>
      <c r="C764" s="50"/>
      <c r="D764" s="49"/>
      <c r="E764" s="48"/>
      <c r="F764" s="47"/>
      <c r="G764" s="46"/>
    </row>
    <row r="765" spans="1:7" ht="15" customHeight="1" x14ac:dyDescent="0.25">
      <c r="A765" s="51"/>
      <c r="B765" s="49"/>
      <c r="C765" s="50"/>
      <c r="D765" s="49"/>
      <c r="E765" s="48"/>
      <c r="F765" s="47"/>
      <c r="G765" s="46"/>
    </row>
    <row r="766" spans="1:7" ht="15" customHeight="1" x14ac:dyDescent="0.25">
      <c r="A766" s="51"/>
      <c r="B766" s="49"/>
      <c r="C766" s="50"/>
      <c r="D766" s="49"/>
      <c r="E766" s="48"/>
      <c r="F766" s="47"/>
      <c r="G766" s="46"/>
    </row>
    <row r="767" spans="1:7" ht="15" customHeight="1" x14ac:dyDescent="0.25">
      <c r="A767" s="51"/>
      <c r="B767" s="49"/>
      <c r="C767" s="50"/>
      <c r="D767" s="49"/>
      <c r="E767" s="48"/>
      <c r="F767" s="47"/>
      <c r="G767" s="46"/>
    </row>
    <row r="768" spans="1:7" ht="15" customHeight="1" x14ac:dyDescent="0.25">
      <c r="A768" s="51"/>
      <c r="B768" s="49"/>
      <c r="C768" s="50"/>
      <c r="D768" s="49"/>
      <c r="E768" s="48"/>
      <c r="F768" s="47"/>
      <c r="G768" s="46"/>
    </row>
    <row r="769" spans="1:7" ht="15" customHeight="1" x14ac:dyDescent="0.25">
      <c r="A769" s="51"/>
      <c r="B769" s="49"/>
      <c r="C769" s="50"/>
      <c r="D769" s="49"/>
      <c r="E769" s="48"/>
      <c r="F769" s="47"/>
      <c r="G769" s="46"/>
    </row>
    <row r="770" spans="1:7" ht="15" customHeight="1" x14ac:dyDescent="0.25">
      <c r="A770" s="51"/>
      <c r="B770" s="49"/>
      <c r="C770" s="50"/>
      <c r="D770" s="49"/>
      <c r="E770" s="48"/>
      <c r="F770" s="47"/>
      <c r="G770" s="46"/>
    </row>
    <row r="771" spans="1:7" ht="15" customHeight="1" x14ac:dyDescent="0.25">
      <c r="A771" s="51"/>
      <c r="B771" s="49"/>
      <c r="C771" s="50"/>
      <c r="D771" s="49"/>
      <c r="E771" s="48"/>
      <c r="F771" s="47"/>
      <c r="G771" s="46"/>
    </row>
    <row r="772" spans="1:7" ht="15" customHeight="1" x14ac:dyDescent="0.25">
      <c r="A772" s="51"/>
      <c r="B772" s="49"/>
      <c r="C772" s="50"/>
      <c r="D772" s="49"/>
      <c r="E772" s="48"/>
      <c r="F772" s="47"/>
      <c r="G772" s="46"/>
    </row>
    <row r="773" spans="1:7" ht="15" customHeight="1" x14ac:dyDescent="0.25">
      <c r="A773" s="51"/>
      <c r="B773" s="49"/>
      <c r="C773" s="50"/>
      <c r="D773" s="49"/>
      <c r="E773" s="48"/>
      <c r="F773" s="47"/>
      <c r="G773" s="46"/>
    </row>
    <row r="774" spans="1:7" ht="15" customHeight="1" x14ac:dyDescent="0.25">
      <c r="A774" s="51"/>
      <c r="B774" s="49"/>
      <c r="C774" s="50"/>
      <c r="D774" s="49"/>
      <c r="E774" s="48"/>
      <c r="F774" s="47"/>
      <c r="G774" s="46"/>
    </row>
    <row r="775" spans="1:7" ht="15" customHeight="1" x14ac:dyDescent="0.25">
      <c r="A775" s="51"/>
      <c r="B775" s="49"/>
      <c r="C775" s="50"/>
      <c r="D775" s="49"/>
      <c r="E775" s="48"/>
      <c r="F775" s="47"/>
      <c r="G775" s="46"/>
    </row>
    <row r="776" spans="1:7" ht="15" customHeight="1" x14ac:dyDescent="0.25">
      <c r="A776" s="51"/>
      <c r="B776" s="49"/>
      <c r="C776" s="50"/>
      <c r="D776" s="49"/>
      <c r="E776" s="48"/>
      <c r="F776" s="47"/>
      <c r="G776" s="46"/>
    </row>
    <row r="777" spans="1:7" ht="15" customHeight="1" x14ac:dyDescent="0.25">
      <c r="A777" s="51"/>
      <c r="B777" s="49"/>
      <c r="C777" s="50"/>
      <c r="D777" s="49"/>
      <c r="E777" s="48"/>
      <c r="F777" s="47"/>
      <c r="G777" s="46"/>
    </row>
    <row r="778" spans="1:7" ht="15" customHeight="1" x14ac:dyDescent="0.25">
      <c r="A778" s="51"/>
      <c r="B778" s="49"/>
      <c r="C778" s="50"/>
      <c r="D778" s="49"/>
      <c r="E778" s="48"/>
      <c r="F778" s="47"/>
      <c r="G778" s="46"/>
    </row>
    <row r="779" spans="1:7" ht="15" customHeight="1" x14ac:dyDescent="0.25">
      <c r="A779" s="51"/>
      <c r="B779" s="49"/>
      <c r="C779" s="50"/>
      <c r="D779" s="49"/>
      <c r="E779" s="48"/>
      <c r="F779" s="47"/>
      <c r="G779" s="46"/>
    </row>
    <row r="780" spans="1:7" ht="15" customHeight="1" x14ac:dyDescent="0.25">
      <c r="A780" s="51"/>
      <c r="B780" s="49"/>
      <c r="C780" s="50"/>
      <c r="D780" s="49"/>
      <c r="E780" s="48"/>
      <c r="F780" s="47"/>
      <c r="G780" s="46"/>
    </row>
    <row r="781" spans="1:7" ht="15" customHeight="1" x14ac:dyDescent="0.25">
      <c r="A781" s="51"/>
      <c r="B781" s="49"/>
      <c r="C781" s="50"/>
      <c r="D781" s="49"/>
      <c r="E781" s="48"/>
      <c r="F781" s="47"/>
      <c r="G781" s="46"/>
    </row>
    <row r="782" spans="1:7" ht="15" customHeight="1" x14ac:dyDescent="0.25">
      <c r="A782" s="51"/>
      <c r="B782" s="49"/>
      <c r="C782" s="50"/>
      <c r="D782" s="49"/>
      <c r="E782" s="48"/>
      <c r="F782" s="47"/>
      <c r="G782" s="46"/>
    </row>
    <row r="783" spans="1:7" ht="15" customHeight="1" x14ac:dyDescent="0.25">
      <c r="A783" s="51"/>
      <c r="B783" s="49"/>
      <c r="C783" s="50"/>
      <c r="D783" s="49"/>
      <c r="E783" s="48"/>
      <c r="F783" s="47"/>
      <c r="G783" s="46"/>
    </row>
    <row r="784" spans="1:7" ht="15" customHeight="1" x14ac:dyDescent="0.25">
      <c r="A784" s="51"/>
      <c r="B784" s="49"/>
      <c r="C784" s="50"/>
      <c r="D784" s="49"/>
      <c r="E784" s="48"/>
      <c r="F784" s="47"/>
      <c r="G784" s="46"/>
    </row>
    <row r="785" spans="1:7" ht="15" customHeight="1" x14ac:dyDescent="0.25">
      <c r="A785" s="51"/>
      <c r="B785" s="49"/>
      <c r="C785" s="50"/>
      <c r="D785" s="49"/>
      <c r="E785" s="48"/>
      <c r="F785" s="47"/>
      <c r="G785" s="46"/>
    </row>
    <row r="786" spans="1:7" ht="15" customHeight="1" x14ac:dyDescent="0.25">
      <c r="A786" s="51"/>
      <c r="B786" s="49"/>
      <c r="C786" s="50"/>
      <c r="D786" s="49"/>
      <c r="E786" s="48"/>
      <c r="F786" s="47"/>
      <c r="G786" s="46"/>
    </row>
    <row r="787" spans="1:7" ht="15" customHeight="1" x14ac:dyDescent="0.25">
      <c r="A787" s="51"/>
      <c r="B787" s="49"/>
      <c r="C787" s="50"/>
      <c r="D787" s="49"/>
      <c r="E787" s="48"/>
      <c r="F787" s="47"/>
      <c r="G787" s="46"/>
    </row>
    <row r="788" spans="1:7" ht="15" customHeight="1" x14ac:dyDescent="0.25">
      <c r="A788" s="51"/>
      <c r="B788" s="49"/>
      <c r="C788" s="50"/>
      <c r="D788" s="49"/>
      <c r="E788" s="48"/>
      <c r="F788" s="47"/>
      <c r="G788" s="46"/>
    </row>
    <row r="789" spans="1:7" ht="15" customHeight="1" x14ac:dyDescent="0.25">
      <c r="A789" s="51"/>
      <c r="B789" s="49"/>
      <c r="C789" s="50"/>
      <c r="D789" s="49"/>
      <c r="E789" s="48"/>
      <c r="F789" s="47"/>
      <c r="G789" s="46"/>
    </row>
    <row r="790" spans="1:7" ht="15" customHeight="1" x14ac:dyDescent="0.25">
      <c r="A790" s="51"/>
      <c r="B790" s="49"/>
      <c r="C790" s="50"/>
      <c r="D790" s="49"/>
      <c r="E790" s="48"/>
      <c r="F790" s="47"/>
      <c r="G790" s="46"/>
    </row>
    <row r="791" spans="1:7" ht="15" customHeight="1" x14ac:dyDescent="0.25">
      <c r="A791" s="51"/>
      <c r="B791" s="49"/>
      <c r="C791" s="50"/>
      <c r="D791" s="49"/>
      <c r="E791" s="48"/>
      <c r="F791" s="47"/>
      <c r="G791" s="46"/>
    </row>
    <row r="792" spans="1:7" ht="15" customHeight="1" x14ac:dyDescent="0.25">
      <c r="A792" s="51"/>
      <c r="B792" s="49"/>
      <c r="C792" s="50"/>
      <c r="D792" s="49"/>
      <c r="E792" s="48"/>
      <c r="F792" s="47"/>
      <c r="G792" s="46"/>
    </row>
    <row r="793" spans="1:7" ht="15" customHeight="1" x14ac:dyDescent="0.25">
      <c r="A793" s="51"/>
      <c r="B793" s="49"/>
      <c r="C793" s="50"/>
      <c r="D793" s="49"/>
      <c r="E793" s="48"/>
      <c r="F793" s="47"/>
      <c r="G793" s="46"/>
    </row>
    <row r="794" spans="1:7" ht="15" customHeight="1" x14ac:dyDescent="0.25">
      <c r="A794" s="51"/>
      <c r="B794" s="49"/>
      <c r="C794" s="50"/>
      <c r="D794" s="49"/>
      <c r="E794" s="48"/>
      <c r="F794" s="47"/>
      <c r="G794" s="46"/>
    </row>
    <row r="795" spans="1:7" ht="15" customHeight="1" x14ac:dyDescent="0.25">
      <c r="A795" s="51"/>
      <c r="B795" s="49"/>
      <c r="C795" s="50"/>
      <c r="D795" s="49"/>
      <c r="E795" s="48"/>
      <c r="F795" s="47"/>
      <c r="G795" s="46"/>
    </row>
    <row r="796" spans="1:7" ht="15" customHeight="1" x14ac:dyDescent="0.25">
      <c r="A796" s="51"/>
      <c r="B796" s="49"/>
      <c r="C796" s="50"/>
      <c r="D796" s="49"/>
      <c r="E796" s="48"/>
      <c r="F796" s="47"/>
      <c r="G796" s="46"/>
    </row>
    <row r="797" spans="1:7" ht="15" customHeight="1" x14ac:dyDescent="0.25">
      <c r="A797" s="51"/>
      <c r="B797" s="49"/>
      <c r="C797" s="50"/>
      <c r="D797" s="49"/>
      <c r="E797" s="48"/>
      <c r="F797" s="47"/>
      <c r="G797" s="46"/>
    </row>
    <row r="798" spans="1:7" ht="15" customHeight="1" x14ac:dyDescent="0.25">
      <c r="A798" s="51"/>
      <c r="B798" s="49"/>
      <c r="C798" s="50"/>
      <c r="D798" s="49"/>
      <c r="E798" s="48"/>
      <c r="F798" s="47"/>
      <c r="G798" s="46"/>
    </row>
    <row r="799" spans="1:7" ht="15" customHeight="1" x14ac:dyDescent="0.25">
      <c r="A799" s="51"/>
      <c r="B799" s="49"/>
      <c r="C799" s="50"/>
      <c r="D799" s="49"/>
      <c r="E799" s="48"/>
      <c r="F799" s="47"/>
      <c r="G799" s="46"/>
    </row>
    <row r="800" spans="1:7" ht="15" customHeight="1" x14ac:dyDescent="0.25">
      <c r="A800" s="51"/>
      <c r="B800" s="49"/>
      <c r="C800" s="50"/>
      <c r="D800" s="49"/>
      <c r="E800" s="48"/>
      <c r="F800" s="47"/>
      <c r="G800" s="46"/>
    </row>
    <row r="801" spans="1:7" ht="15" customHeight="1" x14ac:dyDescent="0.25">
      <c r="A801" s="51"/>
      <c r="B801" s="49"/>
      <c r="C801" s="50"/>
      <c r="D801" s="49"/>
      <c r="E801" s="48"/>
      <c r="F801" s="47"/>
      <c r="G801" s="46"/>
    </row>
    <row r="802" spans="1:7" ht="15" customHeight="1" x14ac:dyDescent="0.25">
      <c r="A802" s="51"/>
      <c r="B802" s="49"/>
      <c r="C802" s="50"/>
      <c r="D802" s="49"/>
      <c r="E802" s="48"/>
      <c r="F802" s="47"/>
      <c r="G802" s="46"/>
    </row>
    <row r="803" spans="1:7" ht="15" customHeight="1" x14ac:dyDescent="0.25">
      <c r="A803" s="51"/>
      <c r="B803" s="49"/>
      <c r="C803" s="50"/>
      <c r="D803" s="49"/>
      <c r="E803" s="48"/>
      <c r="F803" s="47"/>
      <c r="G803" s="46"/>
    </row>
    <row r="804" spans="1:7" ht="15" customHeight="1" x14ac:dyDescent="0.25">
      <c r="A804" s="51"/>
      <c r="B804" s="49"/>
      <c r="C804" s="50"/>
      <c r="D804" s="49"/>
      <c r="E804" s="48"/>
      <c r="F804" s="47"/>
      <c r="G804" s="46"/>
    </row>
    <row r="805" spans="1:7" ht="15" customHeight="1" x14ac:dyDescent="0.25">
      <c r="A805" s="51"/>
      <c r="B805" s="49"/>
      <c r="C805" s="50"/>
      <c r="D805" s="49"/>
      <c r="E805" s="48"/>
      <c r="F805" s="47"/>
      <c r="G805" s="46"/>
    </row>
    <row r="806" spans="1:7" ht="15" customHeight="1" x14ac:dyDescent="0.25">
      <c r="A806" s="51"/>
      <c r="B806" s="49"/>
      <c r="C806" s="50"/>
      <c r="D806" s="49"/>
      <c r="E806" s="48"/>
      <c r="F806" s="47"/>
      <c r="G806" s="46"/>
    </row>
    <row r="807" spans="1:7" ht="15" customHeight="1" x14ac:dyDescent="0.25">
      <c r="A807" s="51"/>
      <c r="B807" s="49"/>
      <c r="C807" s="50"/>
      <c r="D807" s="49"/>
      <c r="E807" s="48"/>
      <c r="F807" s="47"/>
      <c r="G807" s="46"/>
    </row>
    <row r="808" spans="1:7" ht="15" customHeight="1" x14ac:dyDescent="0.25">
      <c r="A808" s="51"/>
      <c r="B808" s="49"/>
      <c r="C808" s="50"/>
      <c r="D808" s="49"/>
      <c r="E808" s="48"/>
      <c r="F808" s="47"/>
      <c r="G808" s="46"/>
    </row>
    <row r="809" spans="1:7" ht="15" customHeight="1" x14ac:dyDescent="0.25">
      <c r="A809" s="51"/>
      <c r="B809" s="49"/>
      <c r="C809" s="50"/>
      <c r="D809" s="49"/>
      <c r="E809" s="48"/>
      <c r="F809" s="47"/>
      <c r="G809" s="46"/>
    </row>
    <row r="810" spans="1:7" ht="15" customHeight="1" x14ac:dyDescent="0.25">
      <c r="A810" s="51"/>
      <c r="B810" s="49"/>
      <c r="C810" s="50"/>
      <c r="D810" s="49"/>
      <c r="E810" s="48"/>
      <c r="F810" s="47"/>
      <c r="G810" s="46"/>
    </row>
    <row r="811" spans="1:7" ht="15" customHeight="1" x14ac:dyDescent="0.25">
      <c r="A811" s="51"/>
      <c r="B811" s="49"/>
      <c r="C811" s="50"/>
      <c r="D811" s="49"/>
      <c r="E811" s="48"/>
      <c r="F811" s="47"/>
      <c r="G811" s="46"/>
    </row>
    <row r="812" spans="1:7" ht="15" customHeight="1" x14ac:dyDescent="0.25">
      <c r="A812" s="51"/>
      <c r="B812" s="49"/>
      <c r="C812" s="50"/>
      <c r="D812" s="49"/>
      <c r="E812" s="48"/>
      <c r="F812" s="47"/>
      <c r="G812" s="46"/>
    </row>
    <row r="813" spans="1:7" ht="15" customHeight="1" x14ac:dyDescent="0.25">
      <c r="A813" s="51"/>
      <c r="B813" s="49"/>
      <c r="C813" s="50"/>
      <c r="D813" s="49"/>
      <c r="E813" s="48"/>
      <c r="F813" s="47"/>
      <c r="G813" s="46"/>
    </row>
    <row r="814" spans="1:7" ht="15" customHeight="1" x14ac:dyDescent="0.25">
      <c r="A814" s="51"/>
      <c r="B814" s="49"/>
      <c r="C814" s="50"/>
      <c r="D814" s="49"/>
      <c r="E814" s="48"/>
      <c r="F814" s="47"/>
      <c r="G814" s="46"/>
    </row>
    <row r="815" spans="1:7" ht="15" customHeight="1" x14ac:dyDescent="0.25">
      <c r="A815" s="51"/>
      <c r="B815" s="49"/>
      <c r="C815" s="50"/>
      <c r="D815" s="49"/>
      <c r="E815" s="48"/>
      <c r="F815" s="47"/>
      <c r="G815" s="46"/>
    </row>
    <row r="816" spans="1:7" ht="15" customHeight="1" x14ac:dyDescent="0.25">
      <c r="A816" s="51"/>
      <c r="B816" s="49"/>
      <c r="C816" s="50"/>
      <c r="D816" s="49"/>
      <c r="E816" s="48"/>
      <c r="F816" s="47"/>
      <c r="G816" s="46"/>
    </row>
    <row r="817" spans="1:7" ht="15" customHeight="1" x14ac:dyDescent="0.25">
      <c r="A817" s="51"/>
      <c r="B817" s="49"/>
      <c r="C817" s="50"/>
      <c r="D817" s="49"/>
      <c r="E817" s="48"/>
      <c r="F817" s="47"/>
      <c r="G817" s="46"/>
    </row>
    <row r="818" spans="1:7" ht="15" customHeight="1" x14ac:dyDescent="0.25">
      <c r="A818" s="51"/>
      <c r="B818" s="49"/>
      <c r="C818" s="50"/>
      <c r="D818" s="49"/>
      <c r="E818" s="48"/>
      <c r="F818" s="47"/>
      <c r="G818" s="46"/>
    </row>
    <row r="819" spans="1:7" ht="15" customHeight="1" x14ac:dyDescent="0.25">
      <c r="A819" s="51"/>
      <c r="B819" s="49"/>
      <c r="C819" s="50"/>
      <c r="D819" s="49"/>
      <c r="E819" s="48"/>
      <c r="F819" s="47"/>
      <c r="G819" s="46"/>
    </row>
    <row r="820" spans="1:7" ht="15" customHeight="1" x14ac:dyDescent="0.25">
      <c r="A820" s="51"/>
      <c r="B820" s="49"/>
      <c r="C820" s="50"/>
      <c r="D820" s="49"/>
      <c r="E820" s="48"/>
      <c r="F820" s="47"/>
      <c r="G820" s="46"/>
    </row>
    <row r="821" spans="1:7" ht="15" customHeight="1" x14ac:dyDescent="0.25">
      <c r="A821" s="51"/>
      <c r="B821" s="49"/>
      <c r="C821" s="50"/>
      <c r="D821" s="49"/>
      <c r="E821" s="48"/>
      <c r="F821" s="47"/>
      <c r="G821" s="46"/>
    </row>
    <row r="822" spans="1:7" ht="15" customHeight="1" x14ac:dyDescent="0.25">
      <c r="A822" s="51"/>
      <c r="B822" s="49"/>
      <c r="C822" s="50"/>
      <c r="D822" s="49"/>
      <c r="E822" s="48"/>
      <c r="F822" s="47"/>
      <c r="G822" s="46"/>
    </row>
    <row r="823" spans="1:7" ht="15" customHeight="1" x14ac:dyDescent="0.25">
      <c r="A823" s="51"/>
      <c r="B823" s="49"/>
      <c r="C823" s="50"/>
      <c r="D823" s="49"/>
      <c r="E823" s="48"/>
      <c r="F823" s="47"/>
      <c r="G823" s="46"/>
    </row>
    <row r="824" spans="1:7" ht="15" customHeight="1" x14ac:dyDescent="0.25">
      <c r="A824" s="51"/>
      <c r="B824" s="49"/>
      <c r="C824" s="50"/>
      <c r="D824" s="49"/>
      <c r="E824" s="48"/>
      <c r="F824" s="47"/>
      <c r="G824" s="46"/>
    </row>
    <row r="825" spans="1:7" ht="15" customHeight="1" x14ac:dyDescent="0.25">
      <c r="A825" s="51"/>
      <c r="B825" s="49"/>
      <c r="C825" s="50"/>
      <c r="D825" s="49"/>
      <c r="E825" s="48"/>
      <c r="F825" s="47"/>
      <c r="G825" s="46"/>
    </row>
    <row r="826" spans="1:7" ht="15" customHeight="1" x14ac:dyDescent="0.25">
      <c r="A826" s="51"/>
      <c r="B826" s="49"/>
      <c r="C826" s="50"/>
      <c r="D826" s="49"/>
      <c r="E826" s="48"/>
      <c r="F826" s="47"/>
      <c r="G826" s="46"/>
    </row>
    <row r="827" spans="1:7" ht="15" customHeight="1" x14ac:dyDescent="0.25">
      <c r="A827" s="51"/>
      <c r="B827" s="49"/>
      <c r="C827" s="50"/>
      <c r="D827" s="49"/>
      <c r="E827" s="48"/>
      <c r="F827" s="47"/>
      <c r="G827" s="46"/>
    </row>
    <row r="828" spans="1:7" ht="15" customHeight="1" x14ac:dyDescent="0.25">
      <c r="A828" s="51"/>
      <c r="B828" s="49"/>
      <c r="C828" s="50"/>
      <c r="D828" s="49"/>
      <c r="E828" s="48"/>
      <c r="F828" s="47"/>
      <c r="G828" s="46"/>
    </row>
    <row r="829" spans="1:7" ht="15" customHeight="1" x14ac:dyDescent="0.25">
      <c r="A829" s="51"/>
      <c r="B829" s="49"/>
      <c r="C829" s="50"/>
      <c r="D829" s="49"/>
      <c r="E829" s="48"/>
      <c r="F829" s="47"/>
      <c r="G829" s="46"/>
    </row>
    <row r="830" spans="1:7" ht="15" customHeight="1" x14ac:dyDescent="0.25">
      <c r="A830" s="51"/>
      <c r="B830" s="49"/>
      <c r="C830" s="50"/>
      <c r="D830" s="49"/>
      <c r="E830" s="48"/>
      <c r="F830" s="47"/>
      <c r="G830" s="46"/>
    </row>
    <row r="831" spans="1:7" ht="15" customHeight="1" x14ac:dyDescent="0.25">
      <c r="A831" s="51"/>
      <c r="B831" s="49"/>
      <c r="C831" s="50"/>
      <c r="D831" s="49"/>
      <c r="E831" s="48"/>
      <c r="F831" s="47"/>
      <c r="G831" s="46"/>
    </row>
    <row r="832" spans="1:7" ht="15" customHeight="1" x14ac:dyDescent="0.25">
      <c r="A832" s="51"/>
      <c r="B832" s="49"/>
      <c r="C832" s="50"/>
      <c r="D832" s="49"/>
      <c r="E832" s="48"/>
      <c r="F832" s="47"/>
      <c r="G832" s="46"/>
    </row>
    <row r="833" spans="1:7" ht="15" customHeight="1" x14ac:dyDescent="0.25">
      <c r="A833" s="51"/>
      <c r="B833" s="49"/>
      <c r="C833" s="50"/>
      <c r="D833" s="49"/>
      <c r="E833" s="48"/>
      <c r="F833" s="47"/>
      <c r="G833" s="46"/>
    </row>
    <row r="834" spans="1:7" ht="15" customHeight="1" x14ac:dyDescent="0.25">
      <c r="A834" s="51"/>
      <c r="B834" s="49"/>
      <c r="C834" s="50"/>
      <c r="D834" s="49"/>
      <c r="E834" s="48"/>
      <c r="F834" s="47"/>
      <c r="G834" s="46"/>
    </row>
    <row r="835" spans="1:7" ht="15" customHeight="1" x14ac:dyDescent="0.25">
      <c r="A835" s="51"/>
      <c r="B835" s="49"/>
      <c r="C835" s="50"/>
      <c r="D835" s="49"/>
      <c r="E835" s="48"/>
      <c r="F835" s="47"/>
      <c r="G835" s="46"/>
    </row>
    <row r="836" spans="1:7" ht="15" customHeight="1" x14ac:dyDescent="0.25">
      <c r="A836" s="51"/>
      <c r="B836" s="49"/>
      <c r="C836" s="50"/>
      <c r="D836" s="49"/>
      <c r="E836" s="48"/>
      <c r="F836" s="47"/>
      <c r="G836" s="46"/>
    </row>
    <row r="837" spans="1:7" ht="15" customHeight="1" x14ac:dyDescent="0.25">
      <c r="A837" s="51"/>
      <c r="B837" s="49"/>
      <c r="C837" s="50"/>
      <c r="D837" s="49"/>
      <c r="E837" s="48"/>
      <c r="F837" s="47"/>
      <c r="G837" s="46"/>
    </row>
    <row r="838" spans="1:7" ht="15" customHeight="1" x14ac:dyDescent="0.25">
      <c r="A838" s="51"/>
      <c r="B838" s="49"/>
      <c r="C838" s="50"/>
      <c r="D838" s="49"/>
      <c r="E838" s="48"/>
      <c r="F838" s="47"/>
      <c r="G838" s="46"/>
    </row>
    <row r="839" spans="1:7" ht="15" customHeight="1" x14ac:dyDescent="0.25">
      <c r="A839" s="51"/>
      <c r="B839" s="49"/>
      <c r="C839" s="50"/>
      <c r="D839" s="49"/>
      <c r="E839" s="48"/>
      <c r="F839" s="47"/>
      <c r="G839" s="46"/>
    </row>
    <row r="840" spans="1:7" ht="15" customHeight="1" x14ac:dyDescent="0.25">
      <c r="A840" s="51"/>
      <c r="B840" s="49"/>
      <c r="C840" s="50"/>
      <c r="D840" s="49"/>
      <c r="E840" s="48"/>
      <c r="F840" s="47"/>
      <c r="G840" s="46"/>
    </row>
    <row r="841" spans="1:7" ht="15" customHeight="1" x14ac:dyDescent="0.25">
      <c r="A841" s="51"/>
      <c r="B841" s="49"/>
      <c r="C841" s="50"/>
      <c r="D841" s="49"/>
      <c r="E841" s="48"/>
      <c r="F841" s="47"/>
      <c r="G841" s="46"/>
    </row>
    <row r="842" spans="1:7" ht="15" customHeight="1" x14ac:dyDescent="0.25">
      <c r="A842" s="51"/>
      <c r="B842" s="49"/>
      <c r="C842" s="50"/>
      <c r="D842" s="49"/>
      <c r="E842" s="48"/>
      <c r="F842" s="47"/>
      <c r="G842" s="46"/>
    </row>
    <row r="843" spans="1:7" ht="15" customHeight="1" x14ac:dyDescent="0.25">
      <c r="A843" s="51"/>
      <c r="B843" s="49"/>
      <c r="C843" s="50"/>
      <c r="D843" s="49"/>
      <c r="E843" s="48"/>
      <c r="F843" s="47"/>
      <c r="G843" s="46"/>
    </row>
    <row r="844" spans="1:7" ht="15" customHeight="1" x14ac:dyDescent="0.25">
      <c r="A844" s="51"/>
      <c r="B844" s="49"/>
      <c r="C844" s="50"/>
      <c r="D844" s="49"/>
      <c r="E844" s="48"/>
      <c r="F844" s="47"/>
      <c r="G844" s="46"/>
    </row>
    <row r="845" spans="1:7" ht="15" customHeight="1" x14ac:dyDescent="0.25">
      <c r="A845" s="51"/>
      <c r="B845" s="49"/>
      <c r="C845" s="50"/>
      <c r="D845" s="49"/>
      <c r="E845" s="48"/>
      <c r="F845" s="47"/>
      <c r="G845" s="46"/>
    </row>
    <row r="846" spans="1:7" ht="15" customHeight="1" x14ac:dyDescent="0.25">
      <c r="A846" s="51"/>
      <c r="B846" s="49"/>
      <c r="C846" s="50"/>
      <c r="D846" s="49"/>
      <c r="E846" s="48"/>
      <c r="F846" s="47"/>
      <c r="G846" s="46"/>
    </row>
    <row r="847" spans="1:7" ht="15" customHeight="1" x14ac:dyDescent="0.25">
      <c r="A847" s="51"/>
      <c r="B847" s="49"/>
      <c r="C847" s="50"/>
      <c r="D847" s="49"/>
      <c r="E847" s="48"/>
      <c r="F847" s="47"/>
      <c r="G847" s="46"/>
    </row>
    <row r="848" spans="1:7" ht="15" customHeight="1" x14ac:dyDescent="0.25">
      <c r="A848" s="51"/>
      <c r="B848" s="49"/>
      <c r="C848" s="50"/>
      <c r="D848" s="49"/>
      <c r="E848" s="48"/>
      <c r="F848" s="47"/>
      <c r="G848" s="46"/>
    </row>
    <row r="849" spans="1:7" ht="15" customHeight="1" x14ac:dyDescent="0.25">
      <c r="A849" s="51"/>
      <c r="B849" s="49"/>
      <c r="C849" s="50"/>
      <c r="D849" s="49"/>
      <c r="E849" s="48"/>
      <c r="F849" s="47"/>
      <c r="G849" s="46"/>
    </row>
    <row r="850" spans="1:7" ht="15" customHeight="1" x14ac:dyDescent="0.25">
      <c r="A850" s="51"/>
      <c r="B850" s="49"/>
      <c r="C850" s="50"/>
      <c r="D850" s="49"/>
      <c r="E850" s="48"/>
      <c r="F850" s="47"/>
      <c r="G850" s="46"/>
    </row>
    <row r="851" spans="1:7" ht="15" customHeight="1" x14ac:dyDescent="0.25">
      <c r="A851" s="51"/>
      <c r="B851" s="49"/>
      <c r="C851" s="50"/>
      <c r="D851" s="49"/>
      <c r="E851" s="48"/>
      <c r="F851" s="47"/>
      <c r="G851" s="46"/>
    </row>
    <row r="852" spans="1:7" ht="15" customHeight="1" x14ac:dyDescent="0.25">
      <c r="A852" s="51"/>
      <c r="B852" s="49"/>
      <c r="C852" s="50"/>
      <c r="D852" s="49"/>
      <c r="E852" s="48"/>
      <c r="F852" s="47"/>
      <c r="G852" s="46"/>
    </row>
    <row r="853" spans="1:7" ht="15" customHeight="1" x14ac:dyDescent="0.25">
      <c r="A853" s="51"/>
      <c r="B853" s="49"/>
      <c r="C853" s="50"/>
      <c r="D853" s="49"/>
      <c r="E853" s="48"/>
      <c r="F853" s="47"/>
      <c r="G853" s="46"/>
    </row>
    <row r="854" spans="1:7" ht="15" customHeight="1" x14ac:dyDescent="0.25">
      <c r="A854" s="51"/>
      <c r="B854" s="49"/>
      <c r="C854" s="50"/>
      <c r="D854" s="49"/>
      <c r="E854" s="48"/>
      <c r="F854" s="47"/>
      <c r="G854" s="46"/>
    </row>
    <row r="855" spans="1:7" ht="15" customHeight="1" x14ac:dyDescent="0.25">
      <c r="A855" s="51"/>
      <c r="B855" s="49"/>
      <c r="C855" s="50"/>
      <c r="D855" s="49"/>
      <c r="E855" s="48"/>
      <c r="F855" s="47"/>
      <c r="G855" s="46"/>
    </row>
    <row r="856" spans="1:7" ht="15" customHeight="1" x14ac:dyDescent="0.25">
      <c r="A856" s="51"/>
      <c r="B856" s="49"/>
      <c r="C856" s="50"/>
      <c r="D856" s="49"/>
      <c r="E856" s="48"/>
      <c r="F856" s="47"/>
      <c r="G856" s="46"/>
    </row>
    <row r="857" spans="1:7" ht="15" customHeight="1" x14ac:dyDescent="0.25">
      <c r="A857" s="51"/>
      <c r="B857" s="49"/>
      <c r="C857" s="50"/>
      <c r="D857" s="49"/>
      <c r="E857" s="48"/>
      <c r="F857" s="47"/>
      <c r="G857" s="46"/>
    </row>
    <row r="858" spans="1:7" ht="15" customHeight="1" x14ac:dyDescent="0.25">
      <c r="A858" s="51"/>
      <c r="B858" s="49"/>
      <c r="C858" s="50"/>
      <c r="D858" s="49"/>
      <c r="E858" s="48"/>
      <c r="F858" s="47"/>
      <c r="G858" s="46"/>
    </row>
    <row r="859" spans="1:7" ht="15" customHeight="1" x14ac:dyDescent="0.25">
      <c r="A859" s="51"/>
      <c r="B859" s="49"/>
      <c r="C859" s="50"/>
      <c r="D859" s="49"/>
      <c r="E859" s="48"/>
      <c r="F859" s="47"/>
      <c r="G859" s="46"/>
    </row>
    <row r="860" spans="1:7" ht="15" customHeight="1" x14ac:dyDescent="0.25">
      <c r="A860" s="51"/>
      <c r="B860" s="49"/>
      <c r="C860" s="50"/>
      <c r="D860" s="49"/>
      <c r="E860" s="48"/>
      <c r="F860" s="47"/>
      <c r="G860" s="46"/>
    </row>
    <row r="861" spans="1:7" ht="15" customHeight="1" x14ac:dyDescent="0.25">
      <c r="A861" s="51"/>
      <c r="B861" s="49"/>
      <c r="C861" s="50"/>
      <c r="D861" s="49"/>
      <c r="E861" s="48"/>
      <c r="F861" s="47"/>
      <c r="G861" s="46"/>
    </row>
    <row r="862" spans="1:7" ht="15" customHeight="1" x14ac:dyDescent="0.25">
      <c r="A862" s="51"/>
      <c r="B862" s="49"/>
      <c r="C862" s="50"/>
      <c r="D862" s="49"/>
      <c r="E862" s="48"/>
      <c r="F862" s="47"/>
      <c r="G862" s="46"/>
    </row>
    <row r="863" spans="1:7" ht="15" customHeight="1" x14ac:dyDescent="0.25">
      <c r="A863" s="51"/>
      <c r="B863" s="49"/>
      <c r="C863" s="50"/>
      <c r="D863" s="49"/>
      <c r="E863" s="48"/>
      <c r="F863" s="47"/>
      <c r="G863" s="46"/>
    </row>
    <row r="864" spans="1:7" ht="15" customHeight="1" x14ac:dyDescent="0.25">
      <c r="A864" s="51"/>
      <c r="B864" s="49"/>
      <c r="C864" s="50"/>
      <c r="D864" s="49"/>
      <c r="E864" s="48"/>
      <c r="F864" s="47"/>
      <c r="G864" s="46"/>
    </row>
    <row r="865" spans="1:7" ht="15" customHeight="1" x14ac:dyDescent="0.25">
      <c r="A865" s="51"/>
      <c r="B865" s="49"/>
      <c r="C865" s="50"/>
      <c r="D865" s="49"/>
      <c r="E865" s="48"/>
      <c r="F865" s="47"/>
      <c r="G865" s="46"/>
    </row>
    <row r="866" spans="1:7" ht="15" customHeight="1" x14ac:dyDescent="0.25">
      <c r="A866" s="51"/>
      <c r="B866" s="49"/>
      <c r="C866" s="50"/>
      <c r="D866" s="49"/>
      <c r="E866" s="48"/>
      <c r="F866" s="47"/>
      <c r="G866" s="46"/>
    </row>
    <row r="867" spans="1:7" ht="15" customHeight="1" x14ac:dyDescent="0.25">
      <c r="A867" s="51"/>
      <c r="B867" s="49"/>
      <c r="C867" s="50"/>
      <c r="D867" s="49"/>
      <c r="E867" s="48"/>
      <c r="F867" s="47"/>
      <c r="G867" s="46"/>
    </row>
    <row r="868" spans="1:7" ht="15" customHeight="1" x14ac:dyDescent="0.25">
      <c r="A868" s="51"/>
      <c r="B868" s="49"/>
      <c r="C868" s="50"/>
      <c r="D868" s="49"/>
      <c r="E868" s="48"/>
      <c r="F868" s="47"/>
      <c r="G868" s="46"/>
    </row>
    <row r="869" spans="1:7" ht="15" customHeight="1" x14ac:dyDescent="0.25">
      <c r="A869" s="51"/>
      <c r="B869" s="49"/>
      <c r="C869" s="50"/>
      <c r="D869" s="49"/>
      <c r="E869" s="48"/>
      <c r="F869" s="47"/>
      <c r="G869" s="46"/>
    </row>
    <row r="870" spans="1:7" ht="15" customHeight="1" x14ac:dyDescent="0.25">
      <c r="A870" s="51"/>
      <c r="B870" s="49"/>
      <c r="C870" s="50"/>
      <c r="D870" s="49"/>
      <c r="E870" s="48"/>
      <c r="F870" s="47"/>
      <c r="G870" s="46"/>
    </row>
    <row r="871" spans="1:7" ht="15" customHeight="1" x14ac:dyDescent="0.25">
      <c r="A871" s="51"/>
      <c r="B871" s="49"/>
      <c r="C871" s="50"/>
      <c r="D871" s="49"/>
      <c r="E871" s="48"/>
      <c r="F871" s="47"/>
      <c r="G871" s="46"/>
    </row>
    <row r="872" spans="1:7" ht="15" customHeight="1" x14ac:dyDescent="0.25">
      <c r="A872" s="51"/>
      <c r="B872" s="49"/>
      <c r="C872" s="50"/>
      <c r="D872" s="49"/>
      <c r="E872" s="48"/>
      <c r="F872" s="47"/>
      <c r="G872" s="46"/>
    </row>
    <row r="873" spans="1:7" ht="15" customHeight="1" x14ac:dyDescent="0.25">
      <c r="A873" s="51"/>
      <c r="B873" s="49"/>
      <c r="C873" s="50"/>
      <c r="D873" s="49"/>
      <c r="E873" s="48"/>
      <c r="F873" s="47"/>
      <c r="G873" s="46"/>
    </row>
    <row r="874" spans="1:7" ht="15" customHeight="1" x14ac:dyDescent="0.25">
      <c r="A874" s="51"/>
      <c r="B874" s="49"/>
      <c r="C874" s="50"/>
      <c r="D874" s="49"/>
      <c r="E874" s="48"/>
      <c r="F874" s="47"/>
      <c r="G874" s="46"/>
    </row>
    <row r="875" spans="1:7" ht="15" customHeight="1" x14ac:dyDescent="0.25">
      <c r="A875" s="51"/>
      <c r="B875" s="49"/>
      <c r="C875" s="50"/>
      <c r="D875" s="49"/>
      <c r="E875" s="48"/>
      <c r="F875" s="47"/>
      <c r="G875" s="46"/>
    </row>
    <row r="876" spans="1:7" ht="15" customHeight="1" x14ac:dyDescent="0.25">
      <c r="A876" s="51"/>
      <c r="B876" s="49"/>
      <c r="C876" s="50"/>
      <c r="D876" s="49"/>
      <c r="E876" s="48"/>
      <c r="F876" s="47"/>
      <c r="G876" s="46"/>
    </row>
    <row r="877" spans="1:7" ht="15" customHeight="1" x14ac:dyDescent="0.25">
      <c r="A877" s="51"/>
      <c r="B877" s="49"/>
      <c r="C877" s="50"/>
      <c r="D877" s="49"/>
      <c r="E877" s="48"/>
      <c r="F877" s="47"/>
      <c r="G877" s="46"/>
    </row>
    <row r="878" spans="1:7" ht="15" customHeight="1" x14ac:dyDescent="0.25">
      <c r="A878" s="51"/>
      <c r="B878" s="49"/>
      <c r="C878" s="50"/>
      <c r="D878" s="49"/>
      <c r="E878" s="48"/>
      <c r="F878" s="47"/>
      <c r="G878" s="46"/>
    </row>
    <row r="879" spans="1:7" ht="15" customHeight="1" x14ac:dyDescent="0.25">
      <c r="A879" s="51"/>
      <c r="B879" s="49"/>
      <c r="C879" s="50"/>
      <c r="D879" s="49"/>
      <c r="E879" s="48"/>
      <c r="F879" s="47"/>
      <c r="G879" s="46"/>
    </row>
    <row r="880" spans="1:7" ht="15" customHeight="1" x14ac:dyDescent="0.25">
      <c r="A880" s="51"/>
      <c r="B880" s="49"/>
      <c r="C880" s="50"/>
      <c r="D880" s="49"/>
      <c r="E880" s="48"/>
      <c r="F880" s="47"/>
      <c r="G880" s="46"/>
    </row>
    <row r="881" spans="1:7" ht="15" customHeight="1" x14ac:dyDescent="0.25">
      <c r="A881" s="51"/>
      <c r="B881" s="49"/>
      <c r="C881" s="50"/>
      <c r="D881" s="49"/>
      <c r="E881" s="48"/>
      <c r="F881" s="47"/>
      <c r="G881" s="46"/>
    </row>
    <row r="882" spans="1:7" ht="15" customHeight="1" x14ac:dyDescent="0.25">
      <c r="A882" s="51"/>
      <c r="B882" s="49"/>
      <c r="C882" s="50"/>
      <c r="D882" s="49"/>
      <c r="E882" s="48"/>
      <c r="F882" s="47"/>
      <c r="G882" s="46"/>
    </row>
    <row r="883" spans="1:7" ht="15" customHeight="1" x14ac:dyDescent="0.25">
      <c r="A883" s="51"/>
      <c r="B883" s="49"/>
      <c r="C883" s="50"/>
      <c r="D883" s="49"/>
      <c r="E883" s="48"/>
      <c r="F883" s="47"/>
      <c r="G883" s="46"/>
    </row>
    <row r="884" spans="1:7" ht="15" customHeight="1" x14ac:dyDescent="0.25">
      <c r="A884" s="51"/>
      <c r="B884" s="49"/>
      <c r="C884" s="50"/>
      <c r="D884" s="49"/>
      <c r="E884" s="48"/>
      <c r="F884" s="47"/>
      <c r="G884" s="46"/>
    </row>
    <row r="885" spans="1:7" ht="15" customHeight="1" x14ac:dyDescent="0.25">
      <c r="A885" s="51"/>
      <c r="B885" s="49"/>
      <c r="C885" s="50"/>
      <c r="D885" s="49"/>
      <c r="E885" s="48"/>
      <c r="F885" s="47"/>
      <c r="G885" s="46"/>
    </row>
    <row r="886" spans="1:7" ht="15" customHeight="1" x14ac:dyDescent="0.25">
      <c r="A886" s="51"/>
      <c r="B886" s="49"/>
      <c r="C886" s="50"/>
      <c r="D886" s="49"/>
      <c r="E886" s="48"/>
      <c r="F886" s="47"/>
      <c r="G886" s="46"/>
    </row>
    <row r="887" spans="1:7" ht="15" customHeight="1" x14ac:dyDescent="0.25">
      <c r="A887" s="51"/>
      <c r="B887" s="49"/>
      <c r="C887" s="50"/>
      <c r="D887" s="49"/>
      <c r="E887" s="48"/>
      <c r="F887" s="47"/>
      <c r="G887" s="46"/>
    </row>
    <row r="888" spans="1:7" ht="15" customHeight="1" x14ac:dyDescent="0.25">
      <c r="A888" s="51"/>
      <c r="B888" s="49"/>
      <c r="C888" s="50"/>
      <c r="D888" s="49"/>
      <c r="E888" s="48"/>
      <c r="F888" s="47"/>
      <c r="G888" s="46"/>
    </row>
    <row r="889" spans="1:7" ht="15" customHeight="1" x14ac:dyDescent="0.25">
      <c r="A889" s="51"/>
      <c r="B889" s="49"/>
      <c r="C889" s="50"/>
      <c r="D889" s="49"/>
      <c r="E889" s="48"/>
      <c r="F889" s="47"/>
      <c r="G889" s="46"/>
    </row>
    <row r="890" spans="1:7" ht="15" customHeight="1" x14ac:dyDescent="0.25">
      <c r="A890" s="51"/>
      <c r="B890" s="49"/>
      <c r="C890" s="50"/>
      <c r="D890" s="49"/>
      <c r="E890" s="48"/>
      <c r="F890" s="47"/>
      <c r="G890" s="46"/>
    </row>
    <row r="891" spans="1:7" ht="15" customHeight="1" x14ac:dyDescent="0.25">
      <c r="A891" s="51"/>
      <c r="B891" s="49"/>
      <c r="C891" s="50"/>
      <c r="D891" s="49"/>
      <c r="E891" s="48"/>
      <c r="F891" s="47"/>
      <c r="G891" s="46"/>
    </row>
    <row r="892" spans="1:7" ht="15" customHeight="1" x14ac:dyDescent="0.25">
      <c r="A892" s="51"/>
      <c r="B892" s="49"/>
      <c r="C892" s="50"/>
      <c r="D892" s="49"/>
      <c r="E892" s="48"/>
      <c r="F892" s="47"/>
      <c r="G892" s="46"/>
    </row>
    <row r="893" spans="1:7" ht="15" customHeight="1" x14ac:dyDescent="0.25">
      <c r="A893" s="51"/>
      <c r="B893" s="49"/>
      <c r="C893" s="50"/>
      <c r="D893" s="49"/>
      <c r="E893" s="48"/>
      <c r="F893" s="47"/>
      <c r="G893" s="46"/>
    </row>
    <row r="894" spans="1:7" ht="15" customHeight="1" x14ac:dyDescent="0.25">
      <c r="A894" s="51"/>
      <c r="B894" s="49"/>
      <c r="C894" s="50"/>
      <c r="D894" s="49"/>
      <c r="E894" s="48"/>
      <c r="F894" s="47"/>
      <c r="G894" s="46"/>
    </row>
    <row r="895" spans="1:7" ht="15" customHeight="1" x14ac:dyDescent="0.25">
      <c r="A895" s="51"/>
      <c r="B895" s="49"/>
      <c r="C895" s="50"/>
      <c r="D895" s="49"/>
      <c r="E895" s="48"/>
      <c r="F895" s="47"/>
      <c r="G895" s="46"/>
    </row>
    <row r="896" spans="1:7" ht="15" customHeight="1" x14ac:dyDescent="0.25">
      <c r="A896" s="51"/>
      <c r="B896" s="49"/>
      <c r="C896" s="50"/>
      <c r="D896" s="49"/>
      <c r="E896" s="48"/>
      <c r="F896" s="47"/>
      <c r="G896" s="46"/>
    </row>
    <row r="897" spans="1:7" ht="15" customHeight="1" x14ac:dyDescent="0.25">
      <c r="A897" s="51"/>
      <c r="B897" s="49"/>
      <c r="C897" s="50"/>
      <c r="D897" s="49"/>
      <c r="E897" s="48"/>
      <c r="F897" s="47"/>
      <c r="G897" s="46"/>
    </row>
    <row r="898" spans="1:7" ht="15" customHeight="1" x14ac:dyDescent="0.25">
      <c r="A898" s="51"/>
      <c r="B898" s="49"/>
      <c r="C898" s="50"/>
      <c r="D898" s="49"/>
      <c r="E898" s="48"/>
      <c r="F898" s="47"/>
      <c r="G898" s="46"/>
    </row>
    <row r="899" spans="1:7" ht="15" customHeight="1" x14ac:dyDescent="0.25">
      <c r="A899" s="51"/>
      <c r="B899" s="49"/>
      <c r="C899" s="50"/>
      <c r="D899" s="49"/>
      <c r="E899" s="48"/>
      <c r="F899" s="47"/>
      <c r="G899" s="46"/>
    </row>
    <row r="900" spans="1:7" ht="15" customHeight="1" x14ac:dyDescent="0.25">
      <c r="A900" s="51"/>
      <c r="B900" s="49"/>
      <c r="C900" s="50"/>
      <c r="D900" s="49"/>
      <c r="E900" s="48"/>
      <c r="F900" s="47"/>
      <c r="G900" s="46"/>
    </row>
    <row r="901" spans="1:7" ht="15" customHeight="1" x14ac:dyDescent="0.25">
      <c r="A901" s="51"/>
      <c r="B901" s="49"/>
      <c r="C901" s="50"/>
      <c r="D901" s="49"/>
      <c r="E901" s="48"/>
      <c r="F901" s="47"/>
      <c r="G901" s="46"/>
    </row>
    <row r="902" spans="1:7" ht="15" customHeight="1" x14ac:dyDescent="0.25">
      <c r="A902" s="51"/>
      <c r="B902" s="49"/>
      <c r="C902" s="50"/>
      <c r="D902" s="49"/>
      <c r="E902" s="48"/>
      <c r="F902" s="47"/>
      <c r="G902" s="46"/>
    </row>
    <row r="903" spans="1:7" ht="15" customHeight="1" x14ac:dyDescent="0.25">
      <c r="A903" s="51"/>
      <c r="B903" s="49"/>
      <c r="C903" s="50"/>
      <c r="D903" s="49"/>
      <c r="E903" s="48"/>
      <c r="F903" s="47"/>
      <c r="G903" s="46"/>
    </row>
    <row r="904" spans="1:7" ht="15" customHeight="1" x14ac:dyDescent="0.25">
      <c r="A904" s="51"/>
      <c r="B904" s="49"/>
      <c r="C904" s="50"/>
      <c r="D904" s="49"/>
      <c r="E904" s="48"/>
      <c r="F904" s="47"/>
      <c r="G904" s="46"/>
    </row>
    <row r="905" spans="1:7" ht="15" customHeight="1" x14ac:dyDescent="0.25">
      <c r="A905" s="51"/>
      <c r="B905" s="49"/>
      <c r="C905" s="50"/>
      <c r="D905" s="49"/>
      <c r="E905" s="48"/>
      <c r="F905" s="47"/>
      <c r="G905" s="46"/>
    </row>
    <row r="906" spans="1:7" ht="15" customHeight="1" x14ac:dyDescent="0.25">
      <c r="A906" s="51"/>
      <c r="B906" s="49"/>
      <c r="C906" s="50"/>
      <c r="D906" s="49"/>
      <c r="E906" s="48"/>
      <c r="F906" s="47"/>
      <c r="G906" s="46"/>
    </row>
    <row r="907" spans="1:7" ht="15" customHeight="1" x14ac:dyDescent="0.25">
      <c r="A907" s="51"/>
      <c r="B907" s="49"/>
      <c r="C907" s="50"/>
      <c r="D907" s="49"/>
      <c r="E907" s="48"/>
      <c r="F907" s="47"/>
      <c r="G907" s="46"/>
    </row>
    <row r="908" spans="1:7" ht="15" customHeight="1" x14ac:dyDescent="0.25">
      <c r="A908" s="51"/>
      <c r="B908" s="49"/>
      <c r="C908" s="50"/>
      <c r="D908" s="49"/>
      <c r="E908" s="48"/>
      <c r="F908" s="47"/>
      <c r="G908" s="46"/>
    </row>
    <row r="909" spans="1:7" ht="15" customHeight="1" x14ac:dyDescent="0.25">
      <c r="A909" s="51"/>
      <c r="B909" s="49"/>
      <c r="C909" s="50"/>
      <c r="D909" s="49"/>
      <c r="E909" s="48"/>
      <c r="F909" s="47"/>
      <c r="G909" s="46"/>
    </row>
    <row r="910" spans="1:7" ht="15" customHeight="1" x14ac:dyDescent="0.25">
      <c r="A910" s="51"/>
      <c r="B910" s="49"/>
      <c r="C910" s="50"/>
      <c r="D910" s="49"/>
      <c r="E910" s="48"/>
      <c r="F910" s="47"/>
      <c r="G910" s="46"/>
    </row>
    <row r="911" spans="1:7" ht="15" customHeight="1" x14ac:dyDescent="0.25">
      <c r="A911" s="51"/>
      <c r="B911" s="49"/>
      <c r="C911" s="50"/>
      <c r="D911" s="49"/>
      <c r="E911" s="48"/>
      <c r="F911" s="47"/>
      <c r="G911" s="46"/>
    </row>
    <row r="912" spans="1:7" ht="15" customHeight="1" x14ac:dyDescent="0.25">
      <c r="A912" s="51"/>
      <c r="B912" s="49"/>
      <c r="C912" s="50"/>
      <c r="D912" s="49"/>
      <c r="E912" s="48"/>
      <c r="F912" s="47"/>
      <c r="G912" s="46"/>
    </row>
    <row r="913" spans="1:7" ht="15" customHeight="1" x14ac:dyDescent="0.25">
      <c r="A913" s="51"/>
      <c r="B913" s="49"/>
      <c r="C913" s="50"/>
      <c r="D913" s="49"/>
      <c r="E913" s="48"/>
      <c r="F913" s="47"/>
      <c r="G913" s="46"/>
    </row>
    <row r="914" spans="1:7" ht="15" customHeight="1" x14ac:dyDescent="0.25">
      <c r="A914" s="51"/>
      <c r="B914" s="49"/>
      <c r="C914" s="50"/>
      <c r="D914" s="49"/>
      <c r="E914" s="48"/>
      <c r="F914" s="47"/>
      <c r="G914" s="46"/>
    </row>
    <row r="915" spans="1:7" ht="15" customHeight="1" x14ac:dyDescent="0.25">
      <c r="A915" s="51"/>
      <c r="B915" s="49"/>
      <c r="C915" s="50"/>
      <c r="D915" s="49"/>
      <c r="E915" s="48"/>
      <c r="F915" s="47"/>
      <c r="G915" s="46"/>
    </row>
    <row r="916" spans="1:7" ht="15" customHeight="1" x14ac:dyDescent="0.25">
      <c r="A916" s="51"/>
      <c r="B916" s="49"/>
      <c r="C916" s="50"/>
      <c r="D916" s="49"/>
      <c r="E916" s="48"/>
      <c r="F916" s="47"/>
      <c r="G916" s="46"/>
    </row>
    <row r="917" spans="1:7" ht="15" customHeight="1" x14ac:dyDescent="0.25">
      <c r="A917" s="51"/>
      <c r="B917" s="49"/>
      <c r="C917" s="50"/>
      <c r="D917" s="49"/>
      <c r="E917" s="48"/>
      <c r="F917" s="47"/>
      <c r="G917" s="46"/>
    </row>
    <row r="918" spans="1:7" ht="15" customHeight="1" x14ac:dyDescent="0.25">
      <c r="A918" s="51"/>
      <c r="B918" s="49"/>
      <c r="C918" s="50"/>
      <c r="D918" s="49"/>
      <c r="E918" s="48"/>
      <c r="F918" s="47"/>
      <c r="G918" s="46"/>
    </row>
    <row r="919" spans="1:7" ht="15" customHeight="1" x14ac:dyDescent="0.25">
      <c r="A919" s="51"/>
      <c r="B919" s="49"/>
      <c r="C919" s="50"/>
      <c r="D919" s="49"/>
      <c r="E919" s="48"/>
      <c r="F919" s="47"/>
      <c r="G919" s="46"/>
    </row>
    <row r="920" spans="1:7" ht="15" customHeight="1" x14ac:dyDescent="0.25">
      <c r="A920" s="51"/>
      <c r="B920" s="49"/>
      <c r="C920" s="50"/>
      <c r="D920" s="49"/>
      <c r="E920" s="48"/>
      <c r="F920" s="47"/>
      <c r="G920" s="46"/>
    </row>
    <row r="921" spans="1:7" ht="15" customHeight="1" x14ac:dyDescent="0.25">
      <c r="A921" s="51"/>
      <c r="B921" s="49"/>
      <c r="C921" s="50"/>
      <c r="D921" s="49"/>
      <c r="E921" s="48"/>
      <c r="F921" s="47"/>
      <c r="G921" s="46"/>
    </row>
    <row r="922" spans="1:7" ht="15" customHeight="1" x14ac:dyDescent="0.25">
      <c r="A922" s="51"/>
      <c r="B922" s="49"/>
      <c r="C922" s="50"/>
      <c r="D922" s="49"/>
      <c r="E922" s="48"/>
      <c r="F922" s="47"/>
      <c r="G922" s="46"/>
    </row>
    <row r="923" spans="1:7" ht="15" customHeight="1" x14ac:dyDescent="0.25">
      <c r="A923" s="51"/>
      <c r="B923" s="49"/>
      <c r="C923" s="50"/>
      <c r="D923" s="49"/>
      <c r="E923" s="48"/>
      <c r="F923" s="47"/>
      <c r="G923" s="46"/>
    </row>
    <row r="924" spans="1:7" ht="15" customHeight="1" x14ac:dyDescent="0.25">
      <c r="A924" s="51"/>
      <c r="B924" s="49"/>
      <c r="C924" s="50"/>
      <c r="D924" s="49"/>
      <c r="E924" s="48"/>
      <c r="F924" s="47"/>
      <c r="G924" s="46"/>
    </row>
    <row r="925" spans="1:7" ht="15" customHeight="1" x14ac:dyDescent="0.25">
      <c r="A925" s="51"/>
      <c r="B925" s="49"/>
      <c r="C925" s="50"/>
      <c r="D925" s="49"/>
      <c r="E925" s="48"/>
      <c r="F925" s="47"/>
      <c r="G925" s="46"/>
    </row>
    <row r="926" spans="1:7" ht="15" customHeight="1" x14ac:dyDescent="0.25">
      <c r="A926" s="51"/>
      <c r="B926" s="49"/>
      <c r="C926" s="50"/>
      <c r="D926" s="49"/>
      <c r="E926" s="48"/>
      <c r="F926" s="47"/>
      <c r="G926" s="46"/>
    </row>
    <row r="927" spans="1:7" ht="15" customHeight="1" x14ac:dyDescent="0.25">
      <c r="A927" s="51"/>
      <c r="B927" s="49"/>
      <c r="C927" s="50"/>
      <c r="D927" s="49"/>
      <c r="E927" s="48"/>
      <c r="F927" s="47"/>
      <c r="G927" s="46"/>
    </row>
    <row r="928" spans="1:7" ht="15" customHeight="1" x14ac:dyDescent="0.25">
      <c r="A928" s="51"/>
      <c r="B928" s="49"/>
      <c r="C928" s="50"/>
      <c r="D928" s="49"/>
      <c r="E928" s="48"/>
      <c r="F928" s="47"/>
      <c r="G928" s="46"/>
    </row>
    <row r="929" spans="1:7" ht="15" customHeight="1" x14ac:dyDescent="0.25">
      <c r="A929" s="51"/>
      <c r="B929" s="49"/>
      <c r="C929" s="50"/>
      <c r="D929" s="49"/>
      <c r="E929" s="48"/>
      <c r="F929" s="47"/>
      <c r="G929" s="46"/>
    </row>
    <row r="930" spans="1:7" ht="15" customHeight="1" x14ac:dyDescent="0.25">
      <c r="A930" s="51"/>
      <c r="B930" s="49"/>
      <c r="C930" s="50"/>
      <c r="D930" s="49"/>
      <c r="E930" s="48"/>
      <c r="F930" s="47"/>
      <c r="G930" s="46"/>
    </row>
    <row r="931" spans="1:7" ht="15" customHeight="1" x14ac:dyDescent="0.25">
      <c r="A931" s="51"/>
      <c r="B931" s="49"/>
      <c r="C931" s="50"/>
      <c r="D931" s="49"/>
      <c r="E931" s="48"/>
      <c r="F931" s="47"/>
      <c r="G931" s="46"/>
    </row>
    <row r="932" spans="1:7" ht="15" customHeight="1" x14ac:dyDescent="0.25">
      <c r="A932" s="51"/>
      <c r="B932" s="49"/>
      <c r="C932" s="50"/>
      <c r="D932" s="49"/>
      <c r="E932" s="48"/>
      <c r="F932" s="47"/>
      <c r="G932" s="46"/>
    </row>
    <row r="933" spans="1:7" ht="15" customHeight="1" x14ac:dyDescent="0.25">
      <c r="A933" s="51"/>
      <c r="B933" s="49"/>
      <c r="C933" s="50"/>
      <c r="D933" s="49"/>
      <c r="E933" s="48"/>
      <c r="F933" s="47"/>
      <c r="G933" s="46"/>
    </row>
    <row r="934" spans="1:7" ht="15" customHeight="1" x14ac:dyDescent="0.25">
      <c r="A934" s="51"/>
      <c r="B934" s="49"/>
      <c r="C934" s="50"/>
      <c r="D934" s="49"/>
      <c r="E934" s="48"/>
      <c r="F934" s="47"/>
      <c r="G934" s="46"/>
    </row>
    <row r="935" spans="1:7" ht="15" customHeight="1" x14ac:dyDescent="0.25">
      <c r="A935" s="51"/>
      <c r="B935" s="49"/>
      <c r="C935" s="50"/>
      <c r="D935" s="49"/>
      <c r="E935" s="48"/>
      <c r="F935" s="47"/>
      <c r="G935" s="46"/>
    </row>
    <row r="936" spans="1:7" ht="15" customHeight="1" x14ac:dyDescent="0.25">
      <c r="A936" s="51"/>
      <c r="B936" s="49"/>
      <c r="C936" s="50"/>
      <c r="D936" s="49"/>
      <c r="E936" s="48"/>
      <c r="F936" s="47"/>
      <c r="G936" s="46"/>
    </row>
    <row r="937" spans="1:7" ht="15" customHeight="1" x14ac:dyDescent="0.25">
      <c r="A937" s="51"/>
      <c r="B937" s="49"/>
      <c r="C937" s="50"/>
      <c r="D937" s="49"/>
      <c r="E937" s="48"/>
      <c r="F937" s="47"/>
      <c r="G937" s="46"/>
    </row>
    <row r="938" spans="1:7" ht="15" customHeight="1" x14ac:dyDescent="0.25">
      <c r="A938" s="51"/>
      <c r="B938" s="49"/>
      <c r="C938" s="50"/>
      <c r="D938" s="49"/>
      <c r="E938" s="48"/>
      <c r="F938" s="47"/>
      <c r="G938" s="46"/>
    </row>
    <row r="939" spans="1:7" ht="15" customHeight="1" x14ac:dyDescent="0.25">
      <c r="A939" s="51"/>
      <c r="B939" s="49"/>
      <c r="C939" s="50"/>
      <c r="D939" s="49"/>
      <c r="E939" s="48"/>
      <c r="F939" s="47"/>
      <c r="G939" s="46"/>
    </row>
    <row r="940" spans="1:7" ht="15" customHeight="1" x14ac:dyDescent="0.25">
      <c r="A940" s="51"/>
      <c r="B940" s="49"/>
      <c r="C940" s="50"/>
      <c r="D940" s="49"/>
      <c r="E940" s="48"/>
      <c r="F940" s="47"/>
      <c r="G940" s="46"/>
    </row>
    <row r="941" spans="1:7" ht="15" customHeight="1" x14ac:dyDescent="0.25">
      <c r="A941" s="51"/>
      <c r="B941" s="49"/>
      <c r="C941" s="50"/>
      <c r="D941" s="49"/>
      <c r="E941" s="48"/>
      <c r="F941" s="47"/>
      <c r="G941" s="46"/>
    </row>
    <row r="942" spans="1:7" ht="15" customHeight="1" x14ac:dyDescent="0.25">
      <c r="A942" s="51"/>
      <c r="B942" s="49"/>
      <c r="C942" s="50"/>
      <c r="D942" s="49"/>
      <c r="E942" s="48"/>
      <c r="F942" s="47"/>
      <c r="G942" s="46"/>
    </row>
    <row r="943" spans="1:7" ht="15" customHeight="1" x14ac:dyDescent="0.25">
      <c r="A943" s="51"/>
      <c r="B943" s="49"/>
      <c r="C943" s="50"/>
      <c r="D943" s="49"/>
      <c r="E943" s="48"/>
      <c r="F943" s="47"/>
      <c r="G943" s="46"/>
    </row>
    <row r="944" spans="1:7" ht="15" customHeight="1" x14ac:dyDescent="0.25">
      <c r="A944" s="51"/>
      <c r="B944" s="49"/>
      <c r="C944" s="50"/>
      <c r="D944" s="49"/>
      <c r="E944" s="48"/>
      <c r="F944" s="47"/>
      <c r="G944" s="46"/>
    </row>
    <row r="945" spans="1:7" ht="15" customHeight="1" x14ac:dyDescent="0.25">
      <c r="A945" s="51"/>
      <c r="B945" s="49"/>
      <c r="C945" s="50"/>
      <c r="D945" s="49"/>
      <c r="E945" s="48"/>
      <c r="F945" s="47"/>
      <c r="G945" s="46"/>
    </row>
    <row r="946" spans="1:7" ht="15" customHeight="1" x14ac:dyDescent="0.25">
      <c r="A946" s="51"/>
      <c r="B946" s="49"/>
      <c r="C946" s="50"/>
      <c r="D946" s="49"/>
      <c r="E946" s="48"/>
      <c r="F946" s="47"/>
      <c r="G946" s="46"/>
    </row>
    <row r="947" spans="1:7" ht="15" customHeight="1" x14ac:dyDescent="0.25">
      <c r="A947" s="51"/>
      <c r="B947" s="49"/>
      <c r="C947" s="50"/>
      <c r="D947" s="49"/>
      <c r="E947" s="48"/>
      <c r="F947" s="47"/>
      <c r="G947" s="46"/>
    </row>
    <row r="948" spans="1:7" ht="15" customHeight="1" x14ac:dyDescent="0.25">
      <c r="A948" s="51"/>
      <c r="B948" s="49"/>
      <c r="C948" s="50"/>
      <c r="D948" s="49"/>
      <c r="E948" s="48"/>
      <c r="F948" s="47"/>
      <c r="G948" s="46"/>
    </row>
    <row r="949" spans="1:7" ht="15" customHeight="1" x14ac:dyDescent="0.25">
      <c r="A949" s="51"/>
      <c r="B949" s="49"/>
      <c r="C949" s="50"/>
      <c r="D949" s="49"/>
      <c r="E949" s="48"/>
      <c r="F949" s="47"/>
      <c r="G949" s="46"/>
    </row>
    <row r="950" spans="1:7" ht="15" customHeight="1" x14ac:dyDescent="0.25">
      <c r="A950" s="51"/>
      <c r="B950" s="49"/>
      <c r="C950" s="50"/>
      <c r="D950" s="49"/>
      <c r="E950" s="48"/>
      <c r="F950" s="47"/>
      <c r="G950" s="46"/>
    </row>
    <row r="951" spans="1:7" ht="15" customHeight="1" x14ac:dyDescent="0.25">
      <c r="A951" s="51"/>
      <c r="B951" s="49"/>
      <c r="C951" s="50"/>
      <c r="D951" s="49"/>
      <c r="E951" s="48"/>
      <c r="F951" s="47"/>
      <c r="G951" s="46"/>
    </row>
    <row r="952" spans="1:7" ht="15" customHeight="1" x14ac:dyDescent="0.25">
      <c r="A952" s="51"/>
      <c r="B952" s="49"/>
      <c r="C952" s="50"/>
      <c r="D952" s="49"/>
      <c r="E952" s="48"/>
      <c r="F952" s="47"/>
      <c r="G952" s="46"/>
    </row>
    <row r="953" spans="1:7" ht="15" customHeight="1" x14ac:dyDescent="0.25">
      <c r="A953" s="51"/>
      <c r="B953" s="49"/>
      <c r="C953" s="50"/>
      <c r="D953" s="49"/>
      <c r="E953" s="48"/>
      <c r="F953" s="47"/>
      <c r="G953" s="46"/>
    </row>
    <row r="954" spans="1:7" ht="15" customHeight="1" x14ac:dyDescent="0.25">
      <c r="A954" s="51"/>
      <c r="B954" s="49"/>
      <c r="C954" s="50"/>
      <c r="D954" s="49"/>
      <c r="E954" s="48"/>
      <c r="F954" s="47"/>
      <c r="G954" s="46"/>
    </row>
    <row r="955" spans="1:7" ht="15" customHeight="1" x14ac:dyDescent="0.25">
      <c r="A955" s="51"/>
      <c r="B955" s="49"/>
      <c r="C955" s="50"/>
      <c r="D955" s="49"/>
      <c r="E955" s="48"/>
      <c r="F955" s="47"/>
      <c r="G955" s="46"/>
    </row>
    <row r="956" spans="1:7" ht="15" customHeight="1" x14ac:dyDescent="0.25">
      <c r="A956" s="51"/>
      <c r="B956" s="49"/>
      <c r="C956" s="50"/>
      <c r="D956" s="49"/>
      <c r="E956" s="48"/>
      <c r="F956" s="47"/>
      <c r="G956" s="46"/>
    </row>
    <row r="957" spans="1:7" ht="15" customHeight="1" x14ac:dyDescent="0.25">
      <c r="A957" s="51"/>
      <c r="B957" s="49"/>
      <c r="C957" s="50"/>
      <c r="D957" s="49"/>
      <c r="E957" s="48"/>
      <c r="F957" s="47"/>
      <c r="G957" s="46"/>
    </row>
    <row r="958" spans="1:7" ht="15" customHeight="1" x14ac:dyDescent="0.25">
      <c r="A958" s="51"/>
      <c r="B958" s="49"/>
      <c r="C958" s="50"/>
      <c r="D958" s="49"/>
      <c r="E958" s="48"/>
      <c r="F958" s="47"/>
      <c r="G958" s="46"/>
    </row>
    <row r="959" spans="1:7" ht="15" customHeight="1" x14ac:dyDescent="0.25">
      <c r="A959" s="51"/>
      <c r="B959" s="49"/>
      <c r="C959" s="50"/>
      <c r="D959" s="49"/>
      <c r="E959" s="48"/>
      <c r="F959" s="47"/>
      <c r="G959" s="46"/>
    </row>
    <row r="960" spans="1:7" ht="15" customHeight="1" x14ac:dyDescent="0.25">
      <c r="A960" s="51"/>
      <c r="B960" s="49"/>
      <c r="C960" s="50"/>
      <c r="D960" s="49"/>
      <c r="E960" s="48"/>
      <c r="F960" s="47"/>
      <c r="G960" s="46"/>
    </row>
    <row r="961" spans="1:7" ht="15" customHeight="1" x14ac:dyDescent="0.25">
      <c r="A961" s="51"/>
      <c r="B961" s="49"/>
      <c r="C961" s="50"/>
      <c r="D961" s="49"/>
      <c r="E961" s="48"/>
      <c r="F961" s="47"/>
      <c r="G961" s="46"/>
    </row>
    <row r="962" spans="1:7" ht="15" customHeight="1" x14ac:dyDescent="0.25">
      <c r="A962" s="51"/>
      <c r="B962" s="49"/>
      <c r="C962" s="50"/>
      <c r="D962" s="49"/>
      <c r="E962" s="48"/>
      <c r="F962" s="47"/>
      <c r="G962" s="46"/>
    </row>
    <row r="963" spans="1:7" ht="15" customHeight="1" x14ac:dyDescent="0.25">
      <c r="A963" s="51"/>
      <c r="B963" s="49"/>
      <c r="C963" s="50"/>
      <c r="D963" s="49"/>
      <c r="E963" s="48"/>
      <c r="F963" s="47"/>
      <c r="G963" s="46"/>
    </row>
    <row r="964" spans="1:7" ht="15" customHeight="1" x14ac:dyDescent="0.25">
      <c r="A964" s="51"/>
      <c r="B964" s="49"/>
      <c r="C964" s="50"/>
      <c r="D964" s="49"/>
      <c r="E964" s="48"/>
      <c r="F964" s="47"/>
      <c r="G964" s="46"/>
    </row>
    <row r="965" spans="1:7" ht="15" customHeight="1" x14ac:dyDescent="0.25">
      <c r="A965" s="51"/>
      <c r="B965" s="49"/>
      <c r="C965" s="50"/>
      <c r="D965" s="49"/>
      <c r="E965" s="48"/>
      <c r="F965" s="47"/>
      <c r="G965" s="46"/>
    </row>
    <row r="966" spans="1:7" ht="15" customHeight="1" x14ac:dyDescent="0.25">
      <c r="A966" s="51"/>
      <c r="B966" s="49"/>
      <c r="C966" s="50"/>
      <c r="D966" s="49"/>
      <c r="E966" s="48"/>
      <c r="F966" s="47"/>
      <c r="G966" s="46"/>
    </row>
    <row r="967" spans="1:7" ht="15" customHeight="1" x14ac:dyDescent="0.25">
      <c r="A967" s="51"/>
      <c r="B967" s="49"/>
      <c r="C967" s="50"/>
      <c r="D967" s="49"/>
      <c r="E967" s="48"/>
      <c r="F967" s="47"/>
      <c r="G967" s="46"/>
    </row>
    <row r="968" spans="1:7" ht="15" customHeight="1" x14ac:dyDescent="0.25">
      <c r="A968" s="51"/>
      <c r="B968" s="49"/>
      <c r="C968" s="50"/>
      <c r="D968" s="49"/>
      <c r="E968" s="48"/>
      <c r="F968" s="47"/>
      <c r="G968" s="46"/>
    </row>
    <row r="969" spans="1:7" ht="15" customHeight="1" x14ac:dyDescent="0.25">
      <c r="A969" s="51"/>
      <c r="B969" s="49"/>
      <c r="C969" s="50"/>
      <c r="D969" s="49"/>
      <c r="E969" s="48"/>
      <c r="F969" s="47"/>
      <c r="G969" s="46"/>
    </row>
    <row r="970" spans="1:7" ht="15" customHeight="1" x14ac:dyDescent="0.25">
      <c r="A970" s="51"/>
      <c r="B970" s="49"/>
      <c r="C970" s="50"/>
      <c r="D970" s="49"/>
      <c r="E970" s="48"/>
      <c r="F970" s="47"/>
      <c r="G970" s="46"/>
    </row>
    <row r="971" spans="1:7" ht="15" customHeight="1" x14ac:dyDescent="0.25">
      <c r="A971" s="51"/>
      <c r="B971" s="49"/>
      <c r="C971" s="50"/>
      <c r="D971" s="49"/>
      <c r="E971" s="48"/>
      <c r="F971" s="47"/>
      <c r="G971" s="46"/>
    </row>
    <row r="972" spans="1:7" ht="15" customHeight="1" x14ac:dyDescent="0.25">
      <c r="A972" s="51"/>
      <c r="B972" s="49"/>
      <c r="C972" s="50"/>
      <c r="D972" s="49"/>
      <c r="E972" s="48"/>
      <c r="F972" s="47"/>
      <c r="G972" s="46"/>
    </row>
    <row r="973" spans="1:7" ht="15" customHeight="1" x14ac:dyDescent="0.25">
      <c r="A973" s="51"/>
      <c r="B973" s="49"/>
      <c r="C973" s="50"/>
      <c r="D973" s="49"/>
      <c r="E973" s="48"/>
      <c r="F973" s="47"/>
      <c r="G973" s="46"/>
    </row>
    <row r="974" spans="1:7" ht="15" customHeight="1" x14ac:dyDescent="0.25">
      <c r="A974" s="51"/>
      <c r="B974" s="49"/>
      <c r="C974" s="50"/>
      <c r="D974" s="49"/>
      <c r="E974" s="48"/>
      <c r="F974" s="47"/>
      <c r="G974" s="46"/>
    </row>
    <row r="975" spans="1:7" ht="15" customHeight="1" x14ac:dyDescent="0.25">
      <c r="A975" s="51"/>
      <c r="B975" s="49"/>
      <c r="C975" s="50"/>
      <c r="D975" s="49"/>
      <c r="E975" s="48"/>
      <c r="F975" s="47"/>
      <c r="G975" s="46"/>
    </row>
    <row r="976" spans="1:7" ht="15" customHeight="1" x14ac:dyDescent="0.25">
      <c r="A976" s="51"/>
      <c r="B976" s="49"/>
      <c r="C976" s="50"/>
      <c r="D976" s="49"/>
      <c r="E976" s="48"/>
      <c r="F976" s="47"/>
      <c r="G976" s="46"/>
    </row>
    <row r="977" spans="1:7" ht="15" customHeight="1" x14ac:dyDescent="0.25">
      <c r="A977" s="51"/>
      <c r="B977" s="49"/>
      <c r="C977" s="50"/>
      <c r="D977" s="49"/>
      <c r="E977" s="48"/>
      <c r="F977" s="47"/>
      <c r="G977" s="46"/>
    </row>
    <row r="978" spans="1:7" ht="15" customHeight="1" x14ac:dyDescent="0.25">
      <c r="A978" s="51"/>
      <c r="B978" s="49"/>
      <c r="C978" s="50"/>
      <c r="D978" s="49"/>
      <c r="E978" s="48"/>
      <c r="F978" s="47"/>
      <c r="G978" s="46"/>
    </row>
    <row r="979" spans="1:7" ht="15" customHeight="1" x14ac:dyDescent="0.25">
      <c r="A979" s="51"/>
      <c r="B979" s="49"/>
      <c r="C979" s="50"/>
      <c r="D979" s="49"/>
      <c r="E979" s="48"/>
      <c r="F979" s="47"/>
      <c r="G979" s="46"/>
    </row>
    <row r="980" spans="1:7" ht="15" customHeight="1" x14ac:dyDescent="0.25">
      <c r="A980" s="51"/>
      <c r="B980" s="49"/>
      <c r="C980" s="50"/>
      <c r="D980" s="49"/>
      <c r="E980" s="48"/>
      <c r="F980" s="47"/>
      <c r="G980" s="46"/>
    </row>
    <row r="981" spans="1:7" ht="15" customHeight="1" x14ac:dyDescent="0.25">
      <c r="A981" s="51"/>
      <c r="B981" s="49"/>
      <c r="C981" s="50"/>
      <c r="D981" s="49"/>
      <c r="E981" s="48"/>
      <c r="F981" s="47"/>
      <c r="G981" s="46"/>
    </row>
    <row r="982" spans="1:7" ht="15" customHeight="1" x14ac:dyDescent="0.25">
      <c r="A982" s="51"/>
      <c r="B982" s="49"/>
      <c r="C982" s="50"/>
      <c r="D982" s="49"/>
      <c r="E982" s="48"/>
      <c r="F982" s="47"/>
      <c r="G982" s="46"/>
    </row>
    <row r="983" spans="1:7" ht="15" customHeight="1" x14ac:dyDescent="0.25">
      <c r="A983" s="51"/>
      <c r="B983" s="49"/>
      <c r="C983" s="50"/>
      <c r="D983" s="49"/>
      <c r="E983" s="48"/>
      <c r="F983" s="47"/>
      <c r="G983" s="46"/>
    </row>
    <row r="984" spans="1:7" ht="15" customHeight="1" x14ac:dyDescent="0.25">
      <c r="A984" s="51"/>
      <c r="B984" s="49"/>
      <c r="C984" s="50"/>
      <c r="D984" s="49"/>
      <c r="E984" s="48"/>
      <c r="F984" s="47"/>
      <c r="G984" s="46"/>
    </row>
    <row r="985" spans="1:7" ht="15" customHeight="1" x14ac:dyDescent="0.25">
      <c r="A985" s="51"/>
      <c r="B985" s="49"/>
      <c r="C985" s="50"/>
      <c r="D985" s="49"/>
      <c r="E985" s="48"/>
      <c r="F985" s="47"/>
      <c r="G985" s="46"/>
    </row>
    <row r="986" spans="1:7" ht="15" customHeight="1" x14ac:dyDescent="0.25">
      <c r="A986" s="51"/>
      <c r="B986" s="49"/>
      <c r="C986" s="50"/>
      <c r="D986" s="49"/>
      <c r="E986" s="48"/>
      <c r="F986" s="47"/>
      <c r="G986" s="46"/>
    </row>
    <row r="987" spans="1:7" ht="15" customHeight="1" x14ac:dyDescent="0.25">
      <c r="A987" s="51"/>
      <c r="B987" s="49"/>
      <c r="C987" s="50"/>
      <c r="D987" s="49"/>
      <c r="E987" s="48"/>
      <c r="F987" s="47"/>
      <c r="G987" s="46"/>
    </row>
    <row r="988" spans="1:7" ht="15" customHeight="1" x14ac:dyDescent="0.25">
      <c r="A988" s="51"/>
      <c r="B988" s="49"/>
      <c r="C988" s="50"/>
      <c r="D988" s="49"/>
      <c r="E988" s="48"/>
      <c r="F988" s="47"/>
      <c r="G988" s="46"/>
    </row>
    <row r="989" spans="1:7" ht="15" customHeight="1" x14ac:dyDescent="0.25">
      <c r="A989" s="51"/>
      <c r="B989" s="49"/>
      <c r="C989" s="50"/>
      <c r="D989" s="49"/>
      <c r="E989" s="48"/>
      <c r="F989" s="47"/>
      <c r="G989" s="46"/>
    </row>
    <row r="990" spans="1:7" ht="15" customHeight="1" x14ac:dyDescent="0.25">
      <c r="A990" s="51"/>
      <c r="B990" s="49"/>
      <c r="C990" s="50"/>
      <c r="D990" s="49"/>
      <c r="E990" s="48"/>
      <c r="F990" s="47"/>
      <c r="G990" s="46"/>
    </row>
    <row r="991" spans="1:7" ht="15" customHeight="1" x14ac:dyDescent="0.25">
      <c r="A991" s="51"/>
      <c r="B991" s="49"/>
      <c r="C991" s="50"/>
      <c r="D991" s="49"/>
      <c r="E991" s="48"/>
      <c r="F991" s="47"/>
      <c r="G991" s="46"/>
    </row>
    <row r="992" spans="1:7" ht="15" customHeight="1" x14ac:dyDescent="0.25">
      <c r="A992" s="51"/>
      <c r="B992" s="49"/>
      <c r="C992" s="50"/>
      <c r="D992" s="49"/>
      <c r="E992" s="48"/>
      <c r="F992" s="47"/>
      <c r="G992" s="46"/>
    </row>
    <row r="993" spans="1:7" ht="15" customHeight="1" x14ac:dyDescent="0.25">
      <c r="A993" s="51"/>
      <c r="B993" s="49"/>
      <c r="C993" s="50"/>
      <c r="D993" s="49"/>
      <c r="E993" s="48"/>
      <c r="F993" s="47"/>
      <c r="G993" s="46"/>
    </row>
    <row r="994" spans="1:7" ht="15" customHeight="1" x14ac:dyDescent="0.25">
      <c r="A994" s="51"/>
      <c r="B994" s="49"/>
      <c r="C994" s="50"/>
      <c r="D994" s="49"/>
      <c r="E994" s="48"/>
      <c r="F994" s="47"/>
      <c r="G994" s="46"/>
    </row>
    <row r="995" spans="1:7" ht="15" customHeight="1" x14ac:dyDescent="0.25">
      <c r="A995" s="51"/>
      <c r="B995" s="49"/>
      <c r="C995" s="50"/>
      <c r="D995" s="49"/>
      <c r="E995" s="48"/>
      <c r="F995" s="47"/>
      <c r="G995" s="46"/>
    </row>
    <row r="996" spans="1:7" ht="15" customHeight="1" x14ac:dyDescent="0.25">
      <c r="A996" s="51"/>
      <c r="B996" s="49"/>
      <c r="C996" s="50"/>
      <c r="D996" s="49"/>
      <c r="E996" s="48"/>
      <c r="F996" s="47"/>
      <c r="G996" s="46"/>
    </row>
    <row r="997" spans="1:7" ht="15" customHeight="1" x14ac:dyDescent="0.25">
      <c r="A997" s="51"/>
      <c r="B997" s="49"/>
      <c r="C997" s="50"/>
      <c r="D997" s="49"/>
      <c r="E997" s="48"/>
      <c r="F997" s="47"/>
      <c r="G997" s="46"/>
    </row>
    <row r="998" spans="1:7" ht="15" customHeight="1" x14ac:dyDescent="0.25">
      <c r="A998" s="51"/>
      <c r="B998" s="49"/>
      <c r="C998" s="50"/>
      <c r="D998" s="49"/>
      <c r="E998" s="48"/>
      <c r="F998" s="47"/>
      <c r="G998" s="46"/>
    </row>
    <row r="999" spans="1:7" ht="15" customHeight="1" x14ac:dyDescent="0.25">
      <c r="A999" s="51"/>
      <c r="B999" s="49"/>
      <c r="C999" s="50"/>
      <c r="D999" s="49"/>
      <c r="E999" s="48"/>
      <c r="F999" s="47"/>
      <c r="G999" s="46"/>
    </row>
    <row r="1000" spans="1:7" ht="15" customHeight="1" x14ac:dyDescent="0.25">
      <c r="A1000" s="51"/>
      <c r="B1000" s="49"/>
      <c r="C1000" s="50"/>
      <c r="D1000" s="49"/>
      <c r="E1000" s="48"/>
      <c r="F1000" s="47"/>
      <c r="G1000" s="46"/>
    </row>
  </sheetData>
  <hyperlinks>
    <hyperlink ref="H2" r:id="rId1" location="page=35"/>
    <hyperlink ref="H10" r:id="rId2" location="page=35"/>
    <hyperlink ref="H11" r:id="rId3" location="page=35"/>
    <hyperlink ref="H12" r:id="rId4" location="page=35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K139"/>
  <sheetViews>
    <sheetView workbookViewId="0"/>
  </sheetViews>
  <sheetFormatPr defaultColWidth="11.42578125" defaultRowHeight="15" x14ac:dyDescent="0.25"/>
  <cols>
    <col min="1" max="1" width="20" customWidth="1"/>
    <col min="5" max="10" width="0" style="27" hidden="1" customWidth="1"/>
    <col min="11" max="11" width="11.42578125" style="27"/>
    <col min="15" max="20" width="0" style="27" hidden="1" customWidth="1"/>
    <col min="23" max="23" width="11.7109375" customWidth="1"/>
    <col min="24" max="25" width="11.28515625" style="27" customWidth="1"/>
    <col min="26" max="27" width="11.42578125" style="27" customWidth="1"/>
  </cols>
  <sheetData>
    <row r="1" spans="1:37" s="20" customFormat="1" ht="120" x14ac:dyDescent="0.25">
      <c r="B1" s="20" t="s">
        <v>2</v>
      </c>
      <c r="C1" s="20" t="s">
        <v>0</v>
      </c>
      <c r="D1" s="92" t="s">
        <v>1956</v>
      </c>
      <c r="E1" s="83" t="s">
        <v>2384</v>
      </c>
      <c r="F1" s="83" t="s">
        <v>2385</v>
      </c>
      <c r="G1" s="83" t="s">
        <v>2386</v>
      </c>
      <c r="H1" s="83" t="s">
        <v>2387</v>
      </c>
      <c r="I1" s="83" t="s">
        <v>2388</v>
      </c>
      <c r="J1" s="83" t="s">
        <v>2389</v>
      </c>
      <c r="K1" s="92"/>
      <c r="L1" s="92" t="s">
        <v>372</v>
      </c>
      <c r="M1" s="94" t="s">
        <v>357</v>
      </c>
      <c r="N1" s="94" t="s">
        <v>377</v>
      </c>
      <c r="O1" s="83" t="s">
        <v>2378</v>
      </c>
      <c r="P1" s="83" t="s">
        <v>2379</v>
      </c>
      <c r="Q1" s="83" t="s">
        <v>2380</v>
      </c>
      <c r="R1" s="83" t="s">
        <v>2381</v>
      </c>
      <c r="S1" s="83" t="s">
        <v>2382</v>
      </c>
      <c r="T1" s="83" t="s">
        <v>2383</v>
      </c>
      <c r="U1" s="92" t="s">
        <v>358</v>
      </c>
      <c r="V1" s="93" t="s">
        <v>360</v>
      </c>
      <c r="W1" s="92" t="s">
        <v>374</v>
      </c>
      <c r="X1" s="92" t="s">
        <v>2397</v>
      </c>
      <c r="Y1" s="131" t="s">
        <v>2398</v>
      </c>
      <c r="Z1" s="92" t="s">
        <v>2395</v>
      </c>
      <c r="AA1" s="92" t="s">
        <v>2396</v>
      </c>
      <c r="AB1" s="125" t="s">
        <v>375</v>
      </c>
      <c r="AC1" s="20" t="s">
        <v>1</v>
      </c>
      <c r="AD1" s="20" t="s">
        <v>1957</v>
      </c>
      <c r="AE1" s="20" t="s">
        <v>1949</v>
      </c>
      <c r="AF1" s="20" t="s">
        <v>1955</v>
      </c>
      <c r="AG1" s="20" t="s">
        <v>1950</v>
      </c>
      <c r="AH1" s="20" t="s">
        <v>1951</v>
      </c>
      <c r="AI1" s="20" t="s">
        <v>1952</v>
      </c>
      <c r="AJ1" s="20" t="s">
        <v>1953</v>
      </c>
      <c r="AK1" s="20" t="s">
        <v>1948</v>
      </c>
    </row>
    <row r="2" spans="1:37" x14ac:dyDescent="0.25">
      <c r="A2" s="27" t="s">
        <v>723</v>
      </c>
      <c r="B2" s="27" t="str">
        <f t="shared" ref="B2:B65" si="0">LEFT(A2,FIND(";",A2)-1)</f>
        <v>Georgia</v>
      </c>
      <c r="C2" s="27" t="str">
        <f t="shared" ref="C2:C65" si="1">MID(A2,FIND(";",A2)+1,100)</f>
        <v>Appling</v>
      </c>
      <c r="D2" s="27">
        <v>1922</v>
      </c>
      <c r="E2" s="27">
        <v>16</v>
      </c>
      <c r="F2" s="27">
        <v>5</v>
      </c>
      <c r="G2" s="27">
        <v>25</v>
      </c>
      <c r="H2" s="27">
        <v>7</v>
      </c>
      <c r="I2" s="27">
        <v>24</v>
      </c>
      <c r="J2" s="27">
        <v>3</v>
      </c>
      <c r="K2" s="27">
        <f>E2+F2+G2+H2+I2+J2</f>
        <v>80</v>
      </c>
      <c r="L2" s="2">
        <v>80</v>
      </c>
      <c r="M2" s="27">
        <v>80</v>
      </c>
      <c r="N2" s="2">
        <v>2972</v>
      </c>
      <c r="O2" s="2">
        <v>30</v>
      </c>
      <c r="P2" s="2">
        <v>25</v>
      </c>
      <c r="Q2" s="2">
        <v>25</v>
      </c>
      <c r="R2" s="2">
        <v>20</v>
      </c>
      <c r="S2" s="2">
        <v>20</v>
      </c>
      <c r="T2" s="2">
        <v>15</v>
      </c>
      <c r="U2" s="28">
        <f>(E2*O2+F2*P2+G2*Q2+H2*R2+I2*S2+J2*T2)/K2</f>
        <v>23.6875</v>
      </c>
      <c r="V2" s="2">
        <v>7601.22</v>
      </c>
      <c r="W2" s="27">
        <v>80</v>
      </c>
      <c r="X2" s="2">
        <v>2000</v>
      </c>
      <c r="Y2" s="2">
        <v>3150</v>
      </c>
      <c r="Z2" s="2">
        <v>12500</v>
      </c>
      <c r="AB2" s="2">
        <f>X2+Y2+Z2+AA2</f>
        <v>17650</v>
      </c>
      <c r="AC2" s="23">
        <v>1905</v>
      </c>
      <c r="AD2" s="27" t="s">
        <v>492</v>
      </c>
      <c r="AE2" s="27" t="s">
        <v>493</v>
      </c>
      <c r="AF2" s="27" t="s">
        <v>383</v>
      </c>
      <c r="AG2" s="27" t="s">
        <v>492</v>
      </c>
      <c r="AH2" s="27" t="s">
        <v>383</v>
      </c>
      <c r="AI2" s="27" t="s">
        <v>494</v>
      </c>
      <c r="AJ2" s="27" t="s">
        <v>492</v>
      </c>
      <c r="AK2" s="27" t="s">
        <v>2394</v>
      </c>
    </row>
    <row r="3" spans="1:37" x14ac:dyDescent="0.25">
      <c r="A3" s="27" t="s">
        <v>726</v>
      </c>
      <c r="B3" s="27" t="str">
        <f t="shared" si="0"/>
        <v>Georgia</v>
      </c>
      <c r="C3" s="27" t="str">
        <f t="shared" si="1"/>
        <v>Baker</v>
      </c>
      <c r="D3" s="27">
        <v>1309</v>
      </c>
      <c r="E3" s="27">
        <v>7</v>
      </c>
      <c r="F3" s="27">
        <v>2</v>
      </c>
      <c r="G3" s="27">
        <v>11</v>
      </c>
      <c r="H3" s="27">
        <v>5</v>
      </c>
      <c r="I3" s="27">
        <v>0</v>
      </c>
      <c r="J3" s="27">
        <v>14</v>
      </c>
      <c r="K3" s="27">
        <f t="shared" ref="K3:K66" si="2">E3+F3+G3+H3+I3+J3</f>
        <v>39</v>
      </c>
      <c r="L3" s="2">
        <v>39</v>
      </c>
      <c r="M3" s="27">
        <v>100</v>
      </c>
      <c r="N3" s="2">
        <v>1621</v>
      </c>
      <c r="O3" s="2">
        <v>40</v>
      </c>
      <c r="P3" s="2">
        <v>25</v>
      </c>
      <c r="Q3" s="2">
        <v>35</v>
      </c>
      <c r="R3" s="2">
        <v>20</v>
      </c>
      <c r="S3" s="2">
        <v>0</v>
      </c>
      <c r="T3" s="2">
        <v>20</v>
      </c>
      <c r="U3" s="28">
        <f t="shared" ref="U3:U66" si="3">(E3*O3+F3*P3+G3*Q3+H3*R3+I3*S3+J3*T3)/K3</f>
        <v>28.076923076923077</v>
      </c>
      <c r="V3" s="2">
        <v>5965.3</v>
      </c>
      <c r="W3" s="27">
        <v>38</v>
      </c>
      <c r="X3" s="2">
        <v>2000</v>
      </c>
      <c r="Y3" s="2">
        <v>2040</v>
      </c>
      <c r="AA3" s="2">
        <v>1000</v>
      </c>
      <c r="AB3" s="2">
        <f t="shared" ref="AB3:AB66" si="4">X3+Y3+Z3+AA3</f>
        <v>5040</v>
      </c>
      <c r="AC3" s="23">
        <v>1905</v>
      </c>
      <c r="AD3" s="27" t="s">
        <v>492</v>
      </c>
      <c r="AE3" s="27" t="s">
        <v>493</v>
      </c>
      <c r="AF3" s="27" t="s">
        <v>383</v>
      </c>
      <c r="AG3" s="27" t="s">
        <v>492</v>
      </c>
      <c r="AH3" s="27" t="s">
        <v>383</v>
      </c>
      <c r="AI3" s="27" t="s">
        <v>494</v>
      </c>
      <c r="AJ3" s="27" t="s">
        <v>492</v>
      </c>
      <c r="AK3" s="27" t="s">
        <v>383</v>
      </c>
    </row>
    <row r="4" spans="1:37" x14ac:dyDescent="0.25">
      <c r="A4" s="27" t="s">
        <v>727</v>
      </c>
      <c r="B4" s="27" t="str">
        <f t="shared" si="0"/>
        <v>Georgia</v>
      </c>
      <c r="C4" s="27" t="str">
        <f t="shared" si="1"/>
        <v>Baldwin</v>
      </c>
      <c r="D4" s="27">
        <v>1988</v>
      </c>
      <c r="E4" s="27">
        <v>24</v>
      </c>
      <c r="F4" s="27">
        <v>2</v>
      </c>
      <c r="G4" s="27">
        <v>7</v>
      </c>
      <c r="H4" s="27">
        <v>6</v>
      </c>
      <c r="I4" s="27">
        <v>3</v>
      </c>
      <c r="J4" s="27">
        <v>22</v>
      </c>
      <c r="K4" s="27">
        <f t="shared" si="2"/>
        <v>64</v>
      </c>
      <c r="L4" s="2">
        <v>64</v>
      </c>
      <c r="M4" s="27">
        <v>140</v>
      </c>
      <c r="N4" s="2">
        <v>3164</v>
      </c>
      <c r="O4" s="2">
        <v>40</v>
      </c>
      <c r="P4" s="2">
        <v>30</v>
      </c>
      <c r="Q4" s="2">
        <v>35</v>
      </c>
      <c r="R4" s="2">
        <v>20</v>
      </c>
      <c r="S4" s="2">
        <v>25</v>
      </c>
      <c r="T4" s="2">
        <v>18</v>
      </c>
      <c r="U4" s="28">
        <f t="shared" si="3"/>
        <v>29</v>
      </c>
      <c r="V4" s="2">
        <v>11390.94</v>
      </c>
      <c r="W4" s="27">
        <v>48</v>
      </c>
      <c r="X4" s="2">
        <v>3500</v>
      </c>
      <c r="Y4" s="2">
        <v>2000</v>
      </c>
      <c r="Z4" s="2">
        <v>31000</v>
      </c>
      <c r="AA4" s="2">
        <v>1000</v>
      </c>
      <c r="AB4" s="2">
        <f t="shared" si="4"/>
        <v>37500</v>
      </c>
      <c r="AC4" s="23">
        <v>1905</v>
      </c>
      <c r="AD4" s="27" t="s">
        <v>492</v>
      </c>
      <c r="AE4" s="27" t="s">
        <v>493</v>
      </c>
      <c r="AF4" s="27" t="s">
        <v>383</v>
      </c>
      <c r="AG4" s="27" t="s">
        <v>492</v>
      </c>
      <c r="AH4" s="27" t="s">
        <v>383</v>
      </c>
      <c r="AI4" s="27" t="s">
        <v>494</v>
      </c>
      <c r="AJ4" s="27" t="s">
        <v>492</v>
      </c>
      <c r="AK4" s="27" t="s">
        <v>383</v>
      </c>
    </row>
    <row r="5" spans="1:37" x14ac:dyDescent="0.25">
      <c r="A5" s="27" t="s">
        <v>728</v>
      </c>
      <c r="B5" s="27" t="str">
        <f t="shared" si="0"/>
        <v>Georgia</v>
      </c>
      <c r="C5" s="27" t="str">
        <f t="shared" si="1"/>
        <v>Banks</v>
      </c>
      <c r="D5" s="27">
        <v>1360</v>
      </c>
      <c r="E5" s="27">
        <v>28</v>
      </c>
      <c r="F5" s="27">
        <v>0</v>
      </c>
      <c r="G5" s="27">
        <v>10</v>
      </c>
      <c r="H5" s="27">
        <v>0</v>
      </c>
      <c r="I5" s="27">
        <v>3</v>
      </c>
      <c r="J5" s="27">
        <v>11</v>
      </c>
      <c r="K5" s="27">
        <f t="shared" si="2"/>
        <v>52</v>
      </c>
      <c r="L5" s="2">
        <v>54</v>
      </c>
      <c r="M5" s="27">
        <v>100</v>
      </c>
      <c r="N5" s="2">
        <v>2819</v>
      </c>
      <c r="O5" s="2">
        <v>25.1</v>
      </c>
      <c r="P5" s="2">
        <v>0</v>
      </c>
      <c r="Q5" s="2">
        <v>32.68</v>
      </c>
      <c r="R5" s="2">
        <v>0</v>
      </c>
      <c r="S5" s="2">
        <v>0</v>
      </c>
      <c r="T5" s="2">
        <v>22.32</v>
      </c>
      <c r="U5" s="28">
        <f t="shared" si="3"/>
        <v>24.521538461538462</v>
      </c>
      <c r="V5" s="2">
        <v>7642.36</v>
      </c>
      <c r="W5" s="27">
        <v>46</v>
      </c>
      <c r="Y5" s="2">
        <v>5500</v>
      </c>
      <c r="Z5" s="27">
        <v>2850</v>
      </c>
      <c r="AA5" s="27">
        <v>1300</v>
      </c>
      <c r="AB5" s="2">
        <f t="shared" si="4"/>
        <v>9650</v>
      </c>
      <c r="AC5" s="23">
        <v>1905</v>
      </c>
      <c r="AD5" s="27" t="s">
        <v>492</v>
      </c>
      <c r="AE5" s="27" t="s">
        <v>493</v>
      </c>
      <c r="AF5" s="27" t="s">
        <v>383</v>
      </c>
      <c r="AG5" s="27" t="s">
        <v>492</v>
      </c>
      <c r="AH5" s="27" t="s">
        <v>383</v>
      </c>
      <c r="AI5" s="27" t="s">
        <v>494</v>
      </c>
      <c r="AJ5" s="27" t="s">
        <v>492</v>
      </c>
      <c r="AK5" s="27" t="s">
        <v>383</v>
      </c>
    </row>
    <row r="6" spans="1:37" x14ac:dyDescent="0.25">
      <c r="A6" s="27" t="s">
        <v>1778</v>
      </c>
      <c r="B6" s="27" t="str">
        <f t="shared" si="0"/>
        <v>Georgia</v>
      </c>
      <c r="C6" s="27" t="str">
        <f t="shared" si="1"/>
        <v>Bartow/Cass</v>
      </c>
      <c r="D6" s="27">
        <v>2107</v>
      </c>
      <c r="E6" s="27">
        <v>16</v>
      </c>
      <c r="F6" s="27">
        <v>0</v>
      </c>
      <c r="G6" s="27">
        <v>16</v>
      </c>
      <c r="H6" s="27">
        <v>4</v>
      </c>
      <c r="I6" s="27">
        <v>20</v>
      </c>
      <c r="J6" s="27">
        <v>7</v>
      </c>
      <c r="K6" s="27">
        <f t="shared" si="2"/>
        <v>63</v>
      </c>
      <c r="L6" s="2">
        <v>62</v>
      </c>
      <c r="M6" s="27">
        <v>100</v>
      </c>
      <c r="N6" s="2">
        <v>4456</v>
      </c>
      <c r="O6" s="2">
        <v>35</v>
      </c>
      <c r="P6" s="2">
        <v>25</v>
      </c>
      <c r="Q6" s="2">
        <v>30</v>
      </c>
      <c r="R6" s="2">
        <v>20</v>
      </c>
      <c r="S6" s="2">
        <v>25</v>
      </c>
      <c r="T6" s="2">
        <v>15</v>
      </c>
      <c r="U6" s="28">
        <f t="shared" si="3"/>
        <v>27.38095238095238</v>
      </c>
      <c r="V6" s="2">
        <v>14979.8</v>
      </c>
      <c r="W6" s="27">
        <v>61</v>
      </c>
      <c r="X6" s="2">
        <v>8330</v>
      </c>
      <c r="Y6" s="2">
        <v>4000</v>
      </c>
      <c r="Z6" s="2">
        <v>11250</v>
      </c>
      <c r="AA6" s="2">
        <v>2300</v>
      </c>
      <c r="AB6" s="2">
        <f t="shared" si="4"/>
        <v>25880</v>
      </c>
      <c r="AC6" s="23">
        <v>1905</v>
      </c>
      <c r="AD6" s="27" t="s">
        <v>492</v>
      </c>
      <c r="AE6" s="27" t="s">
        <v>493</v>
      </c>
      <c r="AF6" s="27" t="s">
        <v>383</v>
      </c>
      <c r="AG6" s="27" t="s">
        <v>492</v>
      </c>
      <c r="AH6" s="27" t="s">
        <v>383</v>
      </c>
      <c r="AI6" s="27" t="s">
        <v>494</v>
      </c>
      <c r="AJ6" s="27" t="s">
        <v>492</v>
      </c>
      <c r="AK6" s="27" t="s">
        <v>383</v>
      </c>
    </row>
    <row r="7" spans="1:37" x14ac:dyDescent="0.25">
      <c r="A7" s="27" t="s">
        <v>731</v>
      </c>
      <c r="B7" s="27" t="str">
        <f t="shared" si="0"/>
        <v>Georgia</v>
      </c>
      <c r="C7" s="27" t="str">
        <f t="shared" si="1"/>
        <v>Berrien</v>
      </c>
      <c r="D7" s="27">
        <v>4000</v>
      </c>
      <c r="E7" s="27">
        <v>35</v>
      </c>
      <c r="F7" s="27">
        <v>1</v>
      </c>
      <c r="G7" s="27">
        <v>20</v>
      </c>
      <c r="H7" s="27">
        <v>5</v>
      </c>
      <c r="I7" s="27">
        <v>15</v>
      </c>
      <c r="J7" s="27">
        <v>14</v>
      </c>
      <c r="K7" s="27">
        <f t="shared" si="2"/>
        <v>90</v>
      </c>
      <c r="L7" s="2">
        <v>90</v>
      </c>
      <c r="M7" s="27">
        <v>100</v>
      </c>
      <c r="N7" s="2">
        <v>5900</v>
      </c>
      <c r="O7" s="2">
        <v>35</v>
      </c>
      <c r="P7" s="2">
        <v>25</v>
      </c>
      <c r="Q7" s="2">
        <v>30</v>
      </c>
      <c r="R7" s="2">
        <v>18</v>
      </c>
      <c r="S7" s="2">
        <v>20</v>
      </c>
      <c r="T7" s="2">
        <v>15</v>
      </c>
      <c r="U7" s="28">
        <f t="shared" si="3"/>
        <v>27.222222222222221</v>
      </c>
      <c r="V7" s="2">
        <v>12167.76</v>
      </c>
      <c r="W7" s="27">
        <v>75</v>
      </c>
      <c r="X7" s="2">
        <v>5000</v>
      </c>
      <c r="Y7" s="2">
        <v>3000</v>
      </c>
      <c r="Z7" s="2">
        <v>41000</v>
      </c>
      <c r="AA7" s="2">
        <v>2000</v>
      </c>
      <c r="AB7" s="2">
        <f t="shared" si="4"/>
        <v>51000</v>
      </c>
      <c r="AC7" s="23">
        <v>1905</v>
      </c>
      <c r="AD7" s="27" t="s">
        <v>492</v>
      </c>
      <c r="AE7" s="27" t="s">
        <v>493</v>
      </c>
      <c r="AF7" s="27" t="s">
        <v>383</v>
      </c>
      <c r="AG7" s="27" t="s">
        <v>492</v>
      </c>
      <c r="AH7" s="27" t="s">
        <v>383</v>
      </c>
      <c r="AI7" s="27" t="s">
        <v>494</v>
      </c>
      <c r="AJ7" s="27" t="s">
        <v>492</v>
      </c>
      <c r="AK7" s="27" t="s">
        <v>383</v>
      </c>
    </row>
    <row r="8" spans="1:37" x14ac:dyDescent="0.25">
      <c r="A8" s="27" t="s">
        <v>735</v>
      </c>
      <c r="B8" s="27" t="str">
        <f t="shared" si="0"/>
        <v>Georgia</v>
      </c>
      <c r="C8" s="27" t="str">
        <f t="shared" si="1"/>
        <v>Brooks</v>
      </c>
      <c r="D8" s="27">
        <v>1697</v>
      </c>
      <c r="E8" s="27">
        <v>21</v>
      </c>
      <c r="F8" s="27">
        <v>4</v>
      </c>
      <c r="G8" s="27">
        <v>10</v>
      </c>
      <c r="H8" s="27">
        <v>5</v>
      </c>
      <c r="I8" s="27">
        <v>4</v>
      </c>
      <c r="J8" s="27">
        <v>25</v>
      </c>
      <c r="K8" s="27">
        <f t="shared" si="2"/>
        <v>69</v>
      </c>
      <c r="L8" s="2">
        <v>69</v>
      </c>
      <c r="M8" s="27">
        <v>120</v>
      </c>
      <c r="N8" s="2">
        <v>3290</v>
      </c>
      <c r="O8" s="2">
        <v>40</v>
      </c>
      <c r="P8" s="2">
        <v>25</v>
      </c>
      <c r="Q8" s="2">
        <v>30</v>
      </c>
      <c r="R8" s="2">
        <v>20</v>
      </c>
      <c r="S8" s="2">
        <v>25</v>
      </c>
      <c r="T8" s="2">
        <v>15</v>
      </c>
      <c r="U8" s="28">
        <f t="shared" si="3"/>
        <v>26.304347826086957</v>
      </c>
      <c r="V8" s="2">
        <v>14490.96</v>
      </c>
      <c r="W8" s="27">
        <v>70</v>
      </c>
      <c r="Y8" s="2">
        <v>5200</v>
      </c>
      <c r="Z8" s="2">
        <v>9300</v>
      </c>
      <c r="AB8" s="2">
        <f t="shared" si="4"/>
        <v>14500</v>
      </c>
      <c r="AC8" s="23">
        <v>1905</v>
      </c>
      <c r="AD8" s="27" t="s">
        <v>492</v>
      </c>
      <c r="AE8" s="27" t="s">
        <v>493</v>
      </c>
      <c r="AF8" s="27" t="s">
        <v>383</v>
      </c>
      <c r="AG8" s="27" t="s">
        <v>492</v>
      </c>
      <c r="AH8" s="27" t="s">
        <v>383</v>
      </c>
      <c r="AI8" s="27" t="s">
        <v>494</v>
      </c>
      <c r="AJ8" s="27" t="s">
        <v>492</v>
      </c>
      <c r="AK8" s="27" t="s">
        <v>383</v>
      </c>
    </row>
    <row r="9" spans="1:37" x14ac:dyDescent="0.25">
      <c r="A9" s="27" t="s">
        <v>736</v>
      </c>
      <c r="B9" s="27" t="str">
        <f t="shared" si="0"/>
        <v>Georgia</v>
      </c>
      <c r="C9" s="27" t="str">
        <f t="shared" si="1"/>
        <v>Bryan</v>
      </c>
      <c r="D9" s="27">
        <v>884</v>
      </c>
      <c r="E9" s="27">
        <v>15</v>
      </c>
      <c r="F9" s="27">
        <v>0</v>
      </c>
      <c r="G9" s="27">
        <v>6</v>
      </c>
      <c r="H9" s="27">
        <v>2</v>
      </c>
      <c r="I9" s="27">
        <v>7</v>
      </c>
      <c r="J9" s="27">
        <v>13</v>
      </c>
      <c r="K9" s="27">
        <f t="shared" si="2"/>
        <v>43</v>
      </c>
      <c r="L9" s="2">
        <v>42</v>
      </c>
      <c r="M9" s="27">
        <v>100</v>
      </c>
      <c r="N9" s="2">
        <v>1495</v>
      </c>
      <c r="O9" s="2">
        <v>30</v>
      </c>
      <c r="P9" s="2">
        <v>0</v>
      </c>
      <c r="Q9" s="2">
        <v>22</v>
      </c>
      <c r="R9" s="2">
        <v>18</v>
      </c>
      <c r="S9" s="2">
        <v>19</v>
      </c>
      <c r="T9" s="2">
        <v>16</v>
      </c>
      <c r="U9" s="28">
        <f t="shared" si="3"/>
        <v>22.302325581395348</v>
      </c>
      <c r="V9" s="2">
        <v>4554.4399999999996</v>
      </c>
      <c r="W9" s="27">
        <v>39</v>
      </c>
      <c r="X9" s="2">
        <v>1625</v>
      </c>
      <c r="Y9" s="2">
        <v>6500</v>
      </c>
      <c r="AA9" s="2">
        <v>500</v>
      </c>
      <c r="AB9" s="2">
        <f t="shared" si="4"/>
        <v>8625</v>
      </c>
      <c r="AC9" s="23">
        <v>1905</v>
      </c>
      <c r="AD9" s="27" t="s">
        <v>492</v>
      </c>
      <c r="AE9" s="27" t="s">
        <v>493</v>
      </c>
      <c r="AF9" s="27" t="s">
        <v>383</v>
      </c>
      <c r="AG9" s="27" t="s">
        <v>492</v>
      </c>
      <c r="AH9" s="27" t="s">
        <v>383</v>
      </c>
      <c r="AI9" s="27" t="s">
        <v>494</v>
      </c>
      <c r="AJ9" s="27" t="s">
        <v>492</v>
      </c>
      <c r="AK9" s="27" t="s">
        <v>383</v>
      </c>
    </row>
    <row r="10" spans="1:37" x14ac:dyDescent="0.25">
      <c r="A10" s="27" t="s">
        <v>737</v>
      </c>
      <c r="B10" s="27" t="str">
        <f t="shared" si="0"/>
        <v>Georgia</v>
      </c>
      <c r="C10" s="27" t="str">
        <f t="shared" si="1"/>
        <v>Bulloch</v>
      </c>
      <c r="D10" s="27">
        <v>3268</v>
      </c>
      <c r="E10" s="27">
        <v>43</v>
      </c>
      <c r="F10" s="27">
        <v>0</v>
      </c>
      <c r="G10" s="27">
        <v>37</v>
      </c>
      <c r="H10" s="27">
        <v>0</v>
      </c>
      <c r="I10" s="27">
        <v>8</v>
      </c>
      <c r="J10" s="27">
        <v>33</v>
      </c>
      <c r="K10" s="27">
        <f t="shared" si="2"/>
        <v>121</v>
      </c>
      <c r="L10" s="2">
        <v>21</v>
      </c>
      <c r="M10" s="27">
        <v>100</v>
      </c>
      <c r="N10" s="2">
        <v>4778</v>
      </c>
      <c r="O10" s="2">
        <v>35</v>
      </c>
      <c r="P10" s="2">
        <v>0</v>
      </c>
      <c r="Q10" s="2">
        <v>27</v>
      </c>
      <c r="R10" s="2">
        <v>0</v>
      </c>
      <c r="S10" s="2">
        <v>22</v>
      </c>
      <c r="T10" s="2">
        <v>15</v>
      </c>
      <c r="U10" s="28">
        <f t="shared" si="3"/>
        <v>26.239669421487605</v>
      </c>
      <c r="V10" s="2">
        <v>16889.18</v>
      </c>
      <c r="W10" s="27">
        <v>107</v>
      </c>
      <c r="X10" s="2">
        <v>6000</v>
      </c>
      <c r="Y10" s="2">
        <v>21400</v>
      </c>
      <c r="AA10" s="2">
        <v>2000</v>
      </c>
      <c r="AB10" s="2">
        <f t="shared" si="4"/>
        <v>29400</v>
      </c>
      <c r="AC10" s="23">
        <v>1905</v>
      </c>
      <c r="AD10" s="27" t="s">
        <v>492</v>
      </c>
      <c r="AE10" s="27" t="s">
        <v>493</v>
      </c>
      <c r="AF10" s="27" t="s">
        <v>383</v>
      </c>
      <c r="AG10" s="27" t="s">
        <v>492</v>
      </c>
      <c r="AH10" s="27" t="s">
        <v>383</v>
      </c>
      <c r="AI10" s="27" t="s">
        <v>494</v>
      </c>
      <c r="AJ10" s="27" t="s">
        <v>492</v>
      </c>
      <c r="AK10" s="27" t="s">
        <v>383</v>
      </c>
    </row>
    <row r="11" spans="1:37" x14ac:dyDescent="0.25">
      <c r="A11" s="27" t="s">
        <v>738</v>
      </c>
      <c r="B11" s="27" t="str">
        <f t="shared" si="0"/>
        <v>Georgia</v>
      </c>
      <c r="C11" s="27" t="str">
        <f t="shared" si="1"/>
        <v>Burke</v>
      </c>
      <c r="D11" s="27">
        <v>3562</v>
      </c>
      <c r="E11" s="27">
        <v>43</v>
      </c>
      <c r="F11" s="27">
        <v>0</v>
      </c>
      <c r="G11" s="27">
        <v>2</v>
      </c>
      <c r="H11" s="27">
        <v>6</v>
      </c>
      <c r="I11" s="27">
        <v>2</v>
      </c>
      <c r="J11" s="27">
        <v>68</v>
      </c>
      <c r="K11" s="27">
        <f t="shared" si="2"/>
        <v>121</v>
      </c>
      <c r="L11" s="2">
        <v>18</v>
      </c>
      <c r="M11" s="27">
        <v>120</v>
      </c>
      <c r="N11" s="2">
        <v>7562</v>
      </c>
      <c r="O11" s="2">
        <v>50</v>
      </c>
      <c r="P11" s="2">
        <v>0</v>
      </c>
      <c r="Q11" s="2">
        <v>40</v>
      </c>
      <c r="R11" s="2">
        <v>22</v>
      </c>
      <c r="S11" s="2">
        <v>30</v>
      </c>
      <c r="T11" s="2">
        <v>18</v>
      </c>
      <c r="U11" s="28">
        <f t="shared" si="3"/>
        <v>30.132231404958677</v>
      </c>
      <c r="V11" s="2">
        <v>21479.919999999998</v>
      </c>
      <c r="W11" s="27">
        <v>108</v>
      </c>
      <c r="X11" s="2">
        <v>7633</v>
      </c>
      <c r="Y11" s="2">
        <v>26600</v>
      </c>
      <c r="Z11" s="2">
        <v>22500</v>
      </c>
      <c r="AA11" s="2">
        <v>3000</v>
      </c>
      <c r="AB11" s="2">
        <f t="shared" si="4"/>
        <v>59733</v>
      </c>
      <c r="AC11" s="23">
        <v>1905</v>
      </c>
      <c r="AD11" s="27" t="s">
        <v>492</v>
      </c>
      <c r="AE11" s="27" t="s">
        <v>493</v>
      </c>
      <c r="AF11" s="27" t="s">
        <v>383</v>
      </c>
      <c r="AG11" s="27" t="s">
        <v>492</v>
      </c>
      <c r="AH11" s="27" t="s">
        <v>383</v>
      </c>
      <c r="AI11" s="27" t="s">
        <v>494</v>
      </c>
      <c r="AJ11" s="27" t="s">
        <v>492</v>
      </c>
      <c r="AK11" s="27" t="s">
        <v>383</v>
      </c>
    </row>
    <row r="12" spans="1:37" x14ac:dyDescent="0.25">
      <c r="A12" s="27" t="s">
        <v>739</v>
      </c>
      <c r="B12" s="27" t="str">
        <f t="shared" si="0"/>
        <v>Georgia</v>
      </c>
      <c r="C12" s="27" t="str">
        <f t="shared" si="1"/>
        <v>Butts</v>
      </c>
      <c r="D12" s="27">
        <v>1374</v>
      </c>
      <c r="E12" s="27">
        <v>24</v>
      </c>
      <c r="F12" s="27">
        <v>1</v>
      </c>
      <c r="G12" s="27">
        <v>6</v>
      </c>
      <c r="H12" s="27">
        <v>4</v>
      </c>
      <c r="I12" s="27">
        <v>1</v>
      </c>
      <c r="J12" s="27">
        <v>25</v>
      </c>
      <c r="K12" s="27">
        <f t="shared" si="2"/>
        <v>61</v>
      </c>
      <c r="L12" s="2">
        <v>61</v>
      </c>
      <c r="M12" s="27">
        <v>120</v>
      </c>
      <c r="N12" s="2">
        <v>2823</v>
      </c>
      <c r="O12" s="2">
        <v>45</v>
      </c>
      <c r="P12" s="2">
        <v>25</v>
      </c>
      <c r="Q12" s="2">
        <v>35</v>
      </c>
      <c r="R12" s="2">
        <v>18</v>
      </c>
      <c r="S12" s="2">
        <v>30</v>
      </c>
      <c r="T12" s="2">
        <v>15</v>
      </c>
      <c r="U12" s="28">
        <f t="shared" si="3"/>
        <v>29.377049180327869</v>
      </c>
      <c r="V12" s="2">
        <v>9561.42</v>
      </c>
      <c r="W12" s="27">
        <v>42</v>
      </c>
      <c r="Y12" s="2">
        <v>3000</v>
      </c>
      <c r="Z12" s="2">
        <v>10500</v>
      </c>
      <c r="AA12" s="2">
        <v>1500</v>
      </c>
      <c r="AB12" s="2">
        <f t="shared" si="4"/>
        <v>15000</v>
      </c>
      <c r="AC12" s="23">
        <v>1905</v>
      </c>
      <c r="AD12" s="27" t="s">
        <v>492</v>
      </c>
      <c r="AE12" s="27" t="s">
        <v>493</v>
      </c>
      <c r="AF12" s="27" t="s">
        <v>383</v>
      </c>
      <c r="AG12" s="27" t="s">
        <v>492</v>
      </c>
      <c r="AH12" s="27" t="s">
        <v>383</v>
      </c>
      <c r="AI12" s="27" t="s">
        <v>494</v>
      </c>
      <c r="AJ12" s="27" t="s">
        <v>492</v>
      </c>
      <c r="AK12" s="27" t="s">
        <v>383</v>
      </c>
    </row>
    <row r="13" spans="1:37" x14ac:dyDescent="0.25">
      <c r="A13" s="27" t="s">
        <v>740</v>
      </c>
      <c r="B13" s="27" t="str">
        <f t="shared" si="0"/>
        <v>Georgia</v>
      </c>
      <c r="C13" s="27" t="str">
        <f t="shared" si="1"/>
        <v>Calhoun</v>
      </c>
      <c r="D13" s="27">
        <v>1275</v>
      </c>
      <c r="E13" s="27">
        <v>14</v>
      </c>
      <c r="F13" s="27">
        <v>1</v>
      </c>
      <c r="G13" s="27">
        <v>3</v>
      </c>
      <c r="H13" s="27">
        <v>5</v>
      </c>
      <c r="I13" s="27">
        <v>0</v>
      </c>
      <c r="J13" s="27">
        <v>15</v>
      </c>
      <c r="K13" s="27">
        <f t="shared" si="2"/>
        <v>38</v>
      </c>
      <c r="L13" s="2">
        <v>41</v>
      </c>
      <c r="M13" s="27">
        <v>100</v>
      </c>
      <c r="N13" s="2">
        <v>2856</v>
      </c>
      <c r="O13" s="2">
        <v>45</v>
      </c>
      <c r="P13" s="2">
        <v>20</v>
      </c>
      <c r="Q13" s="2">
        <v>35</v>
      </c>
      <c r="R13" s="2">
        <v>17</v>
      </c>
      <c r="S13" s="2">
        <v>0</v>
      </c>
      <c r="T13" s="2">
        <v>13</v>
      </c>
      <c r="U13" s="28">
        <f t="shared" si="3"/>
        <v>27.236842105263158</v>
      </c>
      <c r="V13" s="2">
        <v>8370.7800000000007</v>
      </c>
      <c r="W13" s="27">
        <v>35</v>
      </c>
      <c r="X13" s="2">
        <v>2700</v>
      </c>
      <c r="Y13" s="2">
        <v>4550</v>
      </c>
      <c r="Z13" s="2">
        <v>6950</v>
      </c>
      <c r="AA13" s="2">
        <v>1750</v>
      </c>
      <c r="AB13" s="2">
        <f t="shared" si="4"/>
        <v>15950</v>
      </c>
      <c r="AC13" s="23">
        <v>1905</v>
      </c>
      <c r="AD13" s="27" t="s">
        <v>492</v>
      </c>
      <c r="AE13" s="27" t="s">
        <v>493</v>
      </c>
      <c r="AF13" s="27" t="s">
        <v>383</v>
      </c>
      <c r="AG13" s="27" t="s">
        <v>492</v>
      </c>
      <c r="AH13" s="27" t="s">
        <v>383</v>
      </c>
      <c r="AI13" s="27" t="s">
        <v>494</v>
      </c>
      <c r="AJ13" s="27" t="s">
        <v>492</v>
      </c>
      <c r="AK13" s="27" t="s">
        <v>383</v>
      </c>
    </row>
    <row r="14" spans="1:37" x14ac:dyDescent="0.25">
      <c r="A14" s="27" t="s">
        <v>741</v>
      </c>
      <c r="B14" s="27" t="str">
        <f t="shared" si="0"/>
        <v>Georgia</v>
      </c>
      <c r="C14" s="27" t="str">
        <f t="shared" si="1"/>
        <v>Camden</v>
      </c>
      <c r="D14" s="27">
        <v>1155</v>
      </c>
      <c r="E14" s="27">
        <v>6</v>
      </c>
      <c r="F14" s="27">
        <v>17</v>
      </c>
      <c r="G14" s="27">
        <v>7</v>
      </c>
      <c r="H14" s="27">
        <v>10</v>
      </c>
      <c r="I14" s="27">
        <v>13</v>
      </c>
      <c r="J14" s="27">
        <v>24</v>
      </c>
      <c r="K14" s="27">
        <f t="shared" si="2"/>
        <v>77</v>
      </c>
      <c r="L14" s="2">
        <v>77</v>
      </c>
      <c r="M14" s="27">
        <v>100</v>
      </c>
      <c r="N14" s="2">
        <v>1562</v>
      </c>
      <c r="O14" s="2">
        <v>27.5</v>
      </c>
      <c r="P14" s="2">
        <v>22.5</v>
      </c>
      <c r="Q14" s="2">
        <v>22.5</v>
      </c>
      <c r="R14" s="2">
        <v>16.25</v>
      </c>
      <c r="S14" s="2">
        <v>21.66</v>
      </c>
      <c r="T14" s="2">
        <v>12</v>
      </c>
      <c r="U14" s="28">
        <f t="shared" si="3"/>
        <v>18.663376623376621</v>
      </c>
      <c r="V14" s="2">
        <v>5481.3</v>
      </c>
      <c r="W14" s="27">
        <v>52</v>
      </c>
      <c r="X14" s="2">
        <v>1850</v>
      </c>
      <c r="Y14" s="2">
        <v>1200</v>
      </c>
      <c r="Z14" s="2">
        <v>800</v>
      </c>
      <c r="AA14" s="2">
        <v>1000</v>
      </c>
      <c r="AB14" s="2">
        <f t="shared" si="4"/>
        <v>4850</v>
      </c>
      <c r="AC14" s="23">
        <v>1905</v>
      </c>
      <c r="AD14" s="27" t="s">
        <v>492</v>
      </c>
      <c r="AE14" s="27" t="s">
        <v>493</v>
      </c>
      <c r="AF14" s="27" t="s">
        <v>383</v>
      </c>
      <c r="AG14" s="27" t="s">
        <v>492</v>
      </c>
      <c r="AH14" s="27" t="s">
        <v>383</v>
      </c>
      <c r="AI14" s="27" t="s">
        <v>494</v>
      </c>
      <c r="AJ14" s="27" t="s">
        <v>492</v>
      </c>
      <c r="AK14" s="27" t="s">
        <v>383</v>
      </c>
    </row>
    <row r="15" spans="1:37" x14ac:dyDescent="0.25">
      <c r="A15" s="27" t="s">
        <v>742</v>
      </c>
      <c r="B15" s="27" t="str">
        <f t="shared" si="0"/>
        <v>Georgia</v>
      </c>
      <c r="C15" s="27" t="str">
        <f t="shared" si="1"/>
        <v>Campbell</v>
      </c>
      <c r="D15" s="27">
        <v>1590</v>
      </c>
      <c r="E15" s="27">
        <v>26</v>
      </c>
      <c r="F15" s="27">
        <v>2</v>
      </c>
      <c r="G15" s="27">
        <v>10</v>
      </c>
      <c r="H15" s="27">
        <v>3</v>
      </c>
      <c r="I15" s="27">
        <v>2</v>
      </c>
      <c r="J15" s="27">
        <v>12</v>
      </c>
      <c r="K15" s="27">
        <f t="shared" si="2"/>
        <v>55</v>
      </c>
      <c r="L15" s="2">
        <v>61</v>
      </c>
      <c r="M15" s="27">
        <v>120</v>
      </c>
      <c r="N15" s="2">
        <v>3110</v>
      </c>
      <c r="O15" s="2">
        <v>38.5</v>
      </c>
      <c r="P15" s="2">
        <v>20</v>
      </c>
      <c r="Q15" s="2">
        <v>28</v>
      </c>
      <c r="R15" s="2">
        <v>15</v>
      </c>
      <c r="S15" s="2">
        <v>25</v>
      </c>
      <c r="T15" s="2">
        <v>14</v>
      </c>
      <c r="U15" s="28">
        <f t="shared" si="3"/>
        <v>28.8</v>
      </c>
      <c r="V15" s="2">
        <v>8198.9599999999991</v>
      </c>
      <c r="W15" s="27">
        <v>40</v>
      </c>
      <c r="Y15" s="2">
        <v>3200</v>
      </c>
      <c r="Z15" s="2">
        <v>8200</v>
      </c>
      <c r="AA15" s="2">
        <v>700</v>
      </c>
      <c r="AB15" s="2">
        <f t="shared" si="4"/>
        <v>12100</v>
      </c>
      <c r="AC15" s="23">
        <v>1905</v>
      </c>
      <c r="AD15" s="27" t="s">
        <v>492</v>
      </c>
      <c r="AE15" s="27" t="s">
        <v>493</v>
      </c>
      <c r="AF15" s="27" t="s">
        <v>383</v>
      </c>
      <c r="AG15" s="27" t="s">
        <v>492</v>
      </c>
      <c r="AH15" s="27" t="s">
        <v>383</v>
      </c>
      <c r="AI15" s="27" t="s">
        <v>494</v>
      </c>
      <c r="AJ15" s="27" t="s">
        <v>492</v>
      </c>
      <c r="AK15" s="27" t="s">
        <v>383</v>
      </c>
    </row>
    <row r="16" spans="1:37" x14ac:dyDescent="0.25">
      <c r="A16" s="27" t="s">
        <v>744</v>
      </c>
      <c r="B16" s="27" t="str">
        <f t="shared" si="0"/>
        <v>Georgia</v>
      </c>
      <c r="C16" s="27" t="str">
        <f t="shared" si="1"/>
        <v>Carroll</v>
      </c>
      <c r="D16" s="27">
        <v>5224</v>
      </c>
      <c r="E16" s="27">
        <v>69</v>
      </c>
      <c r="F16" s="27">
        <v>0</v>
      </c>
      <c r="G16" s="27">
        <v>27</v>
      </c>
      <c r="H16" s="27">
        <v>3</v>
      </c>
      <c r="I16" s="27">
        <v>20</v>
      </c>
      <c r="J16" s="27">
        <v>32</v>
      </c>
      <c r="K16" s="27">
        <f t="shared" si="2"/>
        <v>151</v>
      </c>
      <c r="L16" s="2">
        <v>151</v>
      </c>
      <c r="M16" s="27">
        <v>100</v>
      </c>
      <c r="N16" s="2">
        <v>7614</v>
      </c>
      <c r="O16" s="2">
        <v>40</v>
      </c>
      <c r="P16" s="2">
        <v>0</v>
      </c>
      <c r="Q16" s="2">
        <v>30</v>
      </c>
      <c r="R16" s="2">
        <v>25</v>
      </c>
      <c r="S16" s="2">
        <v>27.5</v>
      </c>
      <c r="T16" s="2">
        <v>20</v>
      </c>
      <c r="U16" s="28">
        <f t="shared" si="3"/>
        <v>32.019867549668874</v>
      </c>
      <c r="V16" s="2">
        <v>20906.38</v>
      </c>
      <c r="W16" s="27">
        <v>99</v>
      </c>
      <c r="X16" s="2">
        <v>300</v>
      </c>
      <c r="Y16" s="2">
        <v>17150</v>
      </c>
      <c r="Z16" s="2">
        <v>40750</v>
      </c>
      <c r="AA16" s="2">
        <v>4000</v>
      </c>
      <c r="AB16" s="2">
        <f t="shared" si="4"/>
        <v>62200</v>
      </c>
      <c r="AC16" s="23">
        <v>1905</v>
      </c>
      <c r="AD16" s="27" t="s">
        <v>492</v>
      </c>
      <c r="AE16" s="27" t="s">
        <v>493</v>
      </c>
      <c r="AF16" s="27" t="s">
        <v>383</v>
      </c>
      <c r="AG16" s="27" t="s">
        <v>492</v>
      </c>
      <c r="AH16" s="27" t="s">
        <v>383</v>
      </c>
      <c r="AI16" s="27" t="s">
        <v>494</v>
      </c>
      <c r="AJ16" s="27" t="s">
        <v>492</v>
      </c>
      <c r="AK16" s="27" t="s">
        <v>383</v>
      </c>
    </row>
    <row r="17" spans="1:37" x14ac:dyDescent="0.25">
      <c r="A17" s="27" t="s">
        <v>745</v>
      </c>
      <c r="B17" s="27" t="str">
        <f t="shared" si="0"/>
        <v>Georgia</v>
      </c>
      <c r="C17" s="27" t="str">
        <f t="shared" si="1"/>
        <v>Catoosa</v>
      </c>
      <c r="D17" s="27">
        <v>781</v>
      </c>
      <c r="E17" s="27">
        <v>11</v>
      </c>
      <c r="F17" s="27">
        <v>0</v>
      </c>
      <c r="G17" s="27">
        <v>12</v>
      </c>
      <c r="H17" s="27">
        <v>0</v>
      </c>
      <c r="I17" s="27">
        <v>7</v>
      </c>
      <c r="J17" s="27">
        <v>5</v>
      </c>
      <c r="K17" s="27">
        <f t="shared" si="2"/>
        <v>35</v>
      </c>
      <c r="L17" s="2">
        <v>35</v>
      </c>
      <c r="M17" s="27">
        <v>100</v>
      </c>
      <c r="N17" s="2">
        <v>1348</v>
      </c>
      <c r="O17" s="2">
        <v>35.53</v>
      </c>
      <c r="P17" s="2">
        <v>0</v>
      </c>
      <c r="Q17" s="2">
        <v>32.33</v>
      </c>
      <c r="R17" s="2">
        <v>0</v>
      </c>
      <c r="S17" s="2">
        <v>26.55</v>
      </c>
      <c r="T17" s="2">
        <v>20.86</v>
      </c>
      <c r="U17" s="28">
        <f t="shared" si="3"/>
        <v>30.541142857142859</v>
      </c>
      <c r="V17" s="2">
        <v>4169.66</v>
      </c>
      <c r="W17" s="27">
        <v>29</v>
      </c>
      <c r="X17" s="2">
        <v>4000</v>
      </c>
      <c r="Y17" s="2">
        <v>4300</v>
      </c>
      <c r="Z17" s="2">
        <v>1300</v>
      </c>
      <c r="AA17" s="2">
        <v>1450</v>
      </c>
      <c r="AB17" s="2">
        <f t="shared" si="4"/>
        <v>11050</v>
      </c>
      <c r="AC17" s="23">
        <v>1905</v>
      </c>
      <c r="AD17" s="27" t="s">
        <v>492</v>
      </c>
      <c r="AE17" s="27" t="s">
        <v>493</v>
      </c>
      <c r="AF17" s="27" t="s">
        <v>383</v>
      </c>
      <c r="AG17" s="27" t="s">
        <v>492</v>
      </c>
      <c r="AH17" s="27" t="s">
        <v>383</v>
      </c>
      <c r="AI17" s="27" t="s">
        <v>494</v>
      </c>
      <c r="AJ17" s="27" t="s">
        <v>492</v>
      </c>
      <c r="AK17" s="27" t="s">
        <v>383</v>
      </c>
    </row>
    <row r="18" spans="1:37" x14ac:dyDescent="0.25">
      <c r="A18" s="27" t="s">
        <v>746</v>
      </c>
      <c r="B18" s="27" t="str">
        <f t="shared" si="0"/>
        <v>Georgia</v>
      </c>
      <c r="C18" s="27" t="str">
        <f t="shared" si="1"/>
        <v>Charlton</v>
      </c>
      <c r="D18" s="27">
        <v>860</v>
      </c>
      <c r="E18" s="27">
        <v>14</v>
      </c>
      <c r="F18" s="27">
        <v>2</v>
      </c>
      <c r="G18" s="27">
        <v>4</v>
      </c>
      <c r="H18" s="27">
        <v>2</v>
      </c>
      <c r="I18" s="27">
        <v>0</v>
      </c>
      <c r="J18" s="27">
        <v>2</v>
      </c>
      <c r="K18" s="27">
        <f t="shared" si="2"/>
        <v>24</v>
      </c>
      <c r="L18" s="2">
        <v>24</v>
      </c>
      <c r="M18" s="27">
        <v>80</v>
      </c>
      <c r="N18" s="2">
        <v>943</v>
      </c>
      <c r="O18" s="2">
        <v>40</v>
      </c>
      <c r="P18" s="2">
        <v>25</v>
      </c>
      <c r="Q18" s="2">
        <v>25</v>
      </c>
      <c r="R18" s="2">
        <v>18</v>
      </c>
      <c r="S18" s="2">
        <v>0</v>
      </c>
      <c r="T18" s="2">
        <v>15</v>
      </c>
      <c r="U18" s="28">
        <f t="shared" si="3"/>
        <v>32.333333333333336</v>
      </c>
      <c r="V18" s="2">
        <v>3090.34</v>
      </c>
      <c r="W18" s="27">
        <v>31</v>
      </c>
      <c r="X18" s="2">
        <v>700</v>
      </c>
      <c r="Y18" s="2">
        <v>1900</v>
      </c>
      <c r="Z18" s="2">
        <v>2000</v>
      </c>
      <c r="AA18" s="2">
        <v>300</v>
      </c>
      <c r="AB18" s="2">
        <f t="shared" si="4"/>
        <v>4900</v>
      </c>
      <c r="AC18" s="23">
        <v>1905</v>
      </c>
      <c r="AD18" s="27" t="s">
        <v>492</v>
      </c>
      <c r="AE18" s="27" t="s">
        <v>493</v>
      </c>
      <c r="AF18" s="27" t="s">
        <v>383</v>
      </c>
      <c r="AG18" s="27" t="s">
        <v>492</v>
      </c>
      <c r="AH18" s="27" t="s">
        <v>383</v>
      </c>
      <c r="AI18" s="27" t="s">
        <v>494</v>
      </c>
      <c r="AJ18" s="27" t="s">
        <v>492</v>
      </c>
      <c r="AK18" s="27" t="s">
        <v>383</v>
      </c>
    </row>
    <row r="19" spans="1:37" x14ac:dyDescent="0.25">
      <c r="A19" s="27" t="s">
        <v>748</v>
      </c>
      <c r="B19" s="27" t="str">
        <f t="shared" si="0"/>
        <v>Georgia</v>
      </c>
      <c r="C19" s="27" t="str">
        <f t="shared" si="1"/>
        <v>Chattahoochee</v>
      </c>
      <c r="D19" s="27">
        <v>848</v>
      </c>
      <c r="E19" s="27">
        <v>9</v>
      </c>
      <c r="F19" s="27">
        <v>0</v>
      </c>
      <c r="G19" s="27">
        <v>6</v>
      </c>
      <c r="H19" s="27">
        <v>7</v>
      </c>
      <c r="I19" s="27">
        <v>0</v>
      </c>
      <c r="J19" s="27">
        <v>12</v>
      </c>
      <c r="K19" s="27">
        <f t="shared" si="2"/>
        <v>34</v>
      </c>
      <c r="L19" s="2">
        <v>34</v>
      </c>
      <c r="M19" s="27">
        <v>100</v>
      </c>
      <c r="N19" s="2">
        <v>1435</v>
      </c>
      <c r="O19" s="2">
        <v>36</v>
      </c>
      <c r="P19" s="2">
        <v>0</v>
      </c>
      <c r="Q19" s="2">
        <v>25</v>
      </c>
      <c r="R19" s="2">
        <v>20</v>
      </c>
      <c r="S19" s="2">
        <v>0</v>
      </c>
      <c r="T19" s="2">
        <v>16</v>
      </c>
      <c r="U19" s="28">
        <f t="shared" si="3"/>
        <v>23.705882352941178</v>
      </c>
      <c r="V19" s="2">
        <v>4489.1000000000004</v>
      </c>
      <c r="W19" s="27">
        <v>32</v>
      </c>
      <c r="Y19" s="2">
        <v>1200</v>
      </c>
      <c r="Z19" s="2">
        <v>600</v>
      </c>
      <c r="AA19" s="2">
        <v>250</v>
      </c>
      <c r="AB19" s="2">
        <f t="shared" si="4"/>
        <v>2050</v>
      </c>
      <c r="AC19" s="23">
        <v>1905</v>
      </c>
      <c r="AD19" s="27" t="s">
        <v>492</v>
      </c>
      <c r="AE19" s="27" t="s">
        <v>493</v>
      </c>
      <c r="AF19" s="27" t="s">
        <v>383</v>
      </c>
      <c r="AG19" s="27" t="s">
        <v>492</v>
      </c>
      <c r="AH19" s="27" t="s">
        <v>383</v>
      </c>
      <c r="AI19" s="27" t="s">
        <v>494</v>
      </c>
      <c r="AJ19" s="27" t="s">
        <v>492</v>
      </c>
      <c r="AK19" s="27" t="s">
        <v>383</v>
      </c>
    </row>
    <row r="20" spans="1:37" x14ac:dyDescent="0.25">
      <c r="A20" s="27" t="s">
        <v>749</v>
      </c>
      <c r="B20" s="27" t="str">
        <f t="shared" si="0"/>
        <v>Georgia</v>
      </c>
      <c r="C20" s="27" t="str">
        <f t="shared" si="1"/>
        <v>Chattooga</v>
      </c>
      <c r="D20" s="27">
        <v>1276</v>
      </c>
      <c r="E20" s="27">
        <v>29</v>
      </c>
      <c r="F20" s="27">
        <v>2</v>
      </c>
      <c r="G20" s="27">
        <v>6</v>
      </c>
      <c r="H20" s="27">
        <v>3</v>
      </c>
      <c r="I20" s="27">
        <v>9</v>
      </c>
      <c r="J20" s="27">
        <v>13</v>
      </c>
      <c r="K20" s="27">
        <f t="shared" si="2"/>
        <v>62</v>
      </c>
      <c r="L20" s="2">
        <v>62</v>
      </c>
      <c r="M20" s="27">
        <v>120</v>
      </c>
      <c r="N20" s="2">
        <v>2723</v>
      </c>
      <c r="O20" s="2">
        <v>40</v>
      </c>
      <c r="P20" s="2">
        <v>35</v>
      </c>
      <c r="Q20" s="2">
        <v>35</v>
      </c>
      <c r="R20" s="2">
        <v>30</v>
      </c>
      <c r="S20" s="2">
        <v>30</v>
      </c>
      <c r="T20" s="2">
        <v>25</v>
      </c>
      <c r="U20" s="28">
        <f t="shared" si="3"/>
        <v>34.274193548387096</v>
      </c>
      <c r="V20" s="2">
        <v>9568.68</v>
      </c>
      <c r="W20" s="27">
        <v>48</v>
      </c>
      <c r="X20" s="2">
        <v>1200</v>
      </c>
      <c r="Y20" s="2">
        <v>6000</v>
      </c>
      <c r="Z20" s="27">
        <f>15300+500</f>
        <v>15800</v>
      </c>
      <c r="AA20" s="2">
        <v>3000</v>
      </c>
      <c r="AB20" s="2">
        <f t="shared" si="4"/>
        <v>26000</v>
      </c>
      <c r="AC20" s="23">
        <v>1905</v>
      </c>
      <c r="AD20" s="27" t="s">
        <v>492</v>
      </c>
      <c r="AE20" s="27" t="s">
        <v>493</v>
      </c>
      <c r="AF20" s="27" t="s">
        <v>383</v>
      </c>
      <c r="AG20" s="27" t="s">
        <v>492</v>
      </c>
      <c r="AH20" s="27" t="s">
        <v>383</v>
      </c>
      <c r="AI20" s="27" t="s">
        <v>494</v>
      </c>
      <c r="AJ20" s="27" t="s">
        <v>492</v>
      </c>
      <c r="AK20" s="27" t="s">
        <v>383</v>
      </c>
    </row>
    <row r="21" spans="1:37" x14ac:dyDescent="0.25">
      <c r="A21" s="27" t="s">
        <v>750</v>
      </c>
      <c r="B21" s="27" t="str">
        <f t="shared" si="0"/>
        <v>Georgia</v>
      </c>
      <c r="C21" s="27" t="str">
        <f t="shared" si="1"/>
        <v>Cherokee</v>
      </c>
      <c r="D21" s="27">
        <v>1725</v>
      </c>
      <c r="E21" s="27">
        <v>35</v>
      </c>
      <c r="F21" s="27">
        <v>3</v>
      </c>
      <c r="G21" s="27">
        <v>15</v>
      </c>
      <c r="H21" s="27">
        <v>2</v>
      </c>
      <c r="I21" s="27">
        <v>23</v>
      </c>
      <c r="J21" s="27">
        <v>1</v>
      </c>
      <c r="K21" s="27">
        <f t="shared" si="2"/>
        <v>79</v>
      </c>
      <c r="L21" s="2">
        <v>79</v>
      </c>
      <c r="M21" s="27">
        <v>100</v>
      </c>
      <c r="N21" s="2">
        <v>3873</v>
      </c>
      <c r="O21" s="2">
        <v>45</v>
      </c>
      <c r="P21" s="2">
        <v>25</v>
      </c>
      <c r="Q21" s="2">
        <v>30</v>
      </c>
      <c r="R21" s="2">
        <v>20</v>
      </c>
      <c r="S21" s="2">
        <v>20</v>
      </c>
      <c r="T21" s="2">
        <v>15</v>
      </c>
      <c r="U21" s="28">
        <f t="shared" si="3"/>
        <v>33.101265822784811</v>
      </c>
      <c r="V21" s="2">
        <v>11347.38</v>
      </c>
      <c r="W21" s="27">
        <v>57</v>
      </c>
      <c r="X21" s="2">
        <v>6500</v>
      </c>
      <c r="Y21" s="2">
        <v>4000</v>
      </c>
      <c r="Z21" s="27">
        <f>12250+350</f>
        <v>12600</v>
      </c>
      <c r="AA21" s="2">
        <v>4900</v>
      </c>
      <c r="AB21" s="2">
        <f t="shared" si="4"/>
        <v>28000</v>
      </c>
      <c r="AC21" s="23">
        <v>1905</v>
      </c>
      <c r="AD21" s="27" t="s">
        <v>492</v>
      </c>
      <c r="AE21" s="27" t="s">
        <v>493</v>
      </c>
      <c r="AF21" s="27" t="s">
        <v>383</v>
      </c>
      <c r="AG21" s="27" t="s">
        <v>492</v>
      </c>
      <c r="AH21" s="27" t="s">
        <v>383</v>
      </c>
      <c r="AI21" s="27" t="s">
        <v>494</v>
      </c>
      <c r="AJ21" s="27" t="s">
        <v>492</v>
      </c>
      <c r="AK21" s="27" t="s">
        <v>383</v>
      </c>
    </row>
    <row r="22" spans="1:37" x14ac:dyDescent="0.25">
      <c r="A22" s="27" t="s">
        <v>751</v>
      </c>
      <c r="B22" s="27" t="str">
        <f t="shared" si="0"/>
        <v>Georgia</v>
      </c>
      <c r="C22" s="27" t="str">
        <f t="shared" si="1"/>
        <v>Clarke</v>
      </c>
      <c r="D22" s="27">
        <v>833</v>
      </c>
      <c r="E22" s="27">
        <v>23</v>
      </c>
      <c r="F22" s="27">
        <v>4</v>
      </c>
      <c r="G22" s="27">
        <v>9</v>
      </c>
      <c r="H22" s="27">
        <v>4</v>
      </c>
      <c r="I22" s="27">
        <v>3</v>
      </c>
      <c r="J22" s="27">
        <v>17</v>
      </c>
      <c r="K22" s="27">
        <f t="shared" si="2"/>
        <v>60</v>
      </c>
      <c r="L22" s="2">
        <v>60</v>
      </c>
      <c r="M22" s="27">
        <v>100</v>
      </c>
      <c r="N22" s="2">
        <v>1917</v>
      </c>
      <c r="O22" s="2">
        <v>57.5</v>
      </c>
      <c r="P22" s="2">
        <v>39</v>
      </c>
      <c r="Q22" s="2">
        <v>40</v>
      </c>
      <c r="R22" s="2">
        <v>22.5</v>
      </c>
      <c r="S22" s="2">
        <v>30</v>
      </c>
      <c r="T22" s="2">
        <v>19.75</v>
      </c>
      <c r="U22" s="28">
        <f t="shared" si="3"/>
        <v>39.237499999999997</v>
      </c>
      <c r="V22" s="2">
        <v>5510.34</v>
      </c>
      <c r="W22" s="27">
        <v>25</v>
      </c>
      <c r="X22" s="2">
        <v>9500</v>
      </c>
      <c r="Y22" s="2">
        <v>570</v>
      </c>
      <c r="AA22" s="2">
        <v>1260</v>
      </c>
      <c r="AB22" s="2">
        <f t="shared" si="4"/>
        <v>11330</v>
      </c>
      <c r="AC22" s="23">
        <v>1905</v>
      </c>
      <c r="AD22" s="27" t="s">
        <v>492</v>
      </c>
      <c r="AE22" s="27" t="s">
        <v>493</v>
      </c>
      <c r="AF22" s="27" t="s">
        <v>383</v>
      </c>
      <c r="AG22" s="27" t="s">
        <v>492</v>
      </c>
      <c r="AH22" s="27" t="s">
        <v>383</v>
      </c>
      <c r="AI22" s="27" t="s">
        <v>494</v>
      </c>
      <c r="AJ22" s="27" t="s">
        <v>492</v>
      </c>
      <c r="AK22" s="27" t="s">
        <v>383</v>
      </c>
    </row>
    <row r="23" spans="1:37" x14ac:dyDescent="0.25">
      <c r="A23" s="27" t="s">
        <v>752</v>
      </c>
      <c r="B23" s="27" t="str">
        <f t="shared" si="0"/>
        <v>Georgia</v>
      </c>
      <c r="C23" s="27" t="str">
        <f t="shared" si="1"/>
        <v>Clay</v>
      </c>
      <c r="D23" s="27">
        <v>716</v>
      </c>
      <c r="E23" s="27">
        <v>9</v>
      </c>
      <c r="F23" s="27">
        <v>0</v>
      </c>
      <c r="G23" s="27">
        <v>3</v>
      </c>
      <c r="H23" s="27">
        <v>0</v>
      </c>
      <c r="I23" s="27">
        <v>2</v>
      </c>
      <c r="J23" s="27">
        <v>14</v>
      </c>
      <c r="K23" s="27">
        <f t="shared" si="2"/>
        <v>28</v>
      </c>
      <c r="L23" s="2">
        <v>28</v>
      </c>
      <c r="M23" s="27">
        <v>100</v>
      </c>
      <c r="N23" s="2">
        <v>1471</v>
      </c>
      <c r="O23" s="2">
        <v>50</v>
      </c>
      <c r="P23" s="2">
        <v>0</v>
      </c>
      <c r="Q23" s="2">
        <v>40</v>
      </c>
      <c r="R23" s="2">
        <v>0</v>
      </c>
      <c r="S23" s="2">
        <v>35</v>
      </c>
      <c r="T23" s="2">
        <v>18</v>
      </c>
      <c r="U23" s="28">
        <f t="shared" si="3"/>
        <v>31.857142857142858</v>
      </c>
      <c r="V23" s="2">
        <v>6054.84</v>
      </c>
      <c r="W23" s="27">
        <v>26</v>
      </c>
      <c r="X23" s="2">
        <v>1600</v>
      </c>
      <c r="Y23" s="2">
        <v>2500</v>
      </c>
      <c r="Z23" s="2">
        <v>1000</v>
      </c>
      <c r="AA23" s="2">
        <v>1000</v>
      </c>
      <c r="AB23" s="2">
        <f t="shared" si="4"/>
        <v>6100</v>
      </c>
      <c r="AC23" s="23">
        <v>1905</v>
      </c>
      <c r="AD23" s="27" t="s">
        <v>492</v>
      </c>
      <c r="AE23" s="27" t="s">
        <v>493</v>
      </c>
      <c r="AF23" s="27" t="s">
        <v>383</v>
      </c>
      <c r="AG23" s="27" t="s">
        <v>492</v>
      </c>
      <c r="AH23" s="27" t="s">
        <v>383</v>
      </c>
      <c r="AI23" s="27" t="s">
        <v>494</v>
      </c>
      <c r="AJ23" s="27" t="s">
        <v>492</v>
      </c>
      <c r="AK23" s="27" t="s">
        <v>383</v>
      </c>
    </row>
    <row r="24" spans="1:37" x14ac:dyDescent="0.25">
      <c r="A24" s="27" t="s">
        <v>753</v>
      </c>
      <c r="B24" s="27" t="str">
        <f t="shared" si="0"/>
        <v>Georgia</v>
      </c>
      <c r="C24" s="27" t="str">
        <f t="shared" si="1"/>
        <v>Clayton</v>
      </c>
      <c r="D24" s="27">
        <v>1542</v>
      </c>
      <c r="E24" s="27">
        <v>19</v>
      </c>
      <c r="F24" s="27">
        <v>3</v>
      </c>
      <c r="G24" s="27">
        <v>5</v>
      </c>
      <c r="H24" s="27">
        <v>1</v>
      </c>
      <c r="I24" s="27">
        <v>1</v>
      </c>
      <c r="J24" s="27">
        <v>11</v>
      </c>
      <c r="K24" s="27">
        <f t="shared" si="2"/>
        <v>40</v>
      </c>
      <c r="L24" s="2">
        <v>40</v>
      </c>
      <c r="M24" s="27">
        <v>100</v>
      </c>
      <c r="N24" s="2">
        <v>2663</v>
      </c>
      <c r="O24" s="2">
        <v>41</v>
      </c>
      <c r="P24" s="2">
        <v>22</v>
      </c>
      <c r="Q24" s="2">
        <v>41</v>
      </c>
      <c r="R24" s="2">
        <v>22</v>
      </c>
      <c r="S24" s="2">
        <v>41</v>
      </c>
      <c r="T24" s="2">
        <v>22</v>
      </c>
      <c r="U24" s="28">
        <f t="shared" si="3"/>
        <v>33.875</v>
      </c>
      <c r="V24" s="2">
        <v>7214.02</v>
      </c>
      <c r="W24" s="27">
        <v>40</v>
      </c>
      <c r="Y24" s="2">
        <v>16500</v>
      </c>
      <c r="Z24" s="27">
        <v>200</v>
      </c>
      <c r="AA24" s="2">
        <v>1200</v>
      </c>
      <c r="AB24" s="2">
        <f t="shared" si="4"/>
        <v>17900</v>
      </c>
      <c r="AC24" s="23">
        <v>1905</v>
      </c>
      <c r="AD24" s="27" t="s">
        <v>492</v>
      </c>
      <c r="AE24" s="27" t="s">
        <v>493</v>
      </c>
      <c r="AF24" s="27" t="s">
        <v>383</v>
      </c>
      <c r="AG24" s="27" t="s">
        <v>492</v>
      </c>
      <c r="AH24" s="27" t="s">
        <v>383</v>
      </c>
      <c r="AI24" s="27" t="s">
        <v>494</v>
      </c>
      <c r="AJ24" s="27" t="s">
        <v>492</v>
      </c>
      <c r="AK24" s="27" t="s">
        <v>383</v>
      </c>
    </row>
    <row r="25" spans="1:37" x14ac:dyDescent="0.25">
      <c r="A25" s="27" t="s">
        <v>754</v>
      </c>
      <c r="B25" s="27" t="str">
        <f t="shared" si="0"/>
        <v>Georgia</v>
      </c>
      <c r="C25" s="27" t="str">
        <f t="shared" si="1"/>
        <v>Clinch</v>
      </c>
      <c r="D25" s="27">
        <v>2515</v>
      </c>
      <c r="E25" s="27">
        <v>12</v>
      </c>
      <c r="F25" s="27">
        <v>2</v>
      </c>
      <c r="G25" s="27">
        <v>10</v>
      </c>
      <c r="H25" s="27">
        <v>5</v>
      </c>
      <c r="I25" s="27">
        <v>8</v>
      </c>
      <c r="J25" s="27">
        <v>3</v>
      </c>
      <c r="K25" s="27">
        <f t="shared" si="2"/>
        <v>40</v>
      </c>
      <c r="L25" s="2">
        <v>40</v>
      </c>
      <c r="M25" s="27">
        <v>80</v>
      </c>
      <c r="N25" s="2">
        <v>2610</v>
      </c>
      <c r="O25" s="2">
        <v>40</v>
      </c>
      <c r="P25" s="2">
        <v>25</v>
      </c>
      <c r="Q25" s="2">
        <v>30</v>
      </c>
      <c r="R25" s="2">
        <v>20</v>
      </c>
      <c r="S25" s="2">
        <v>25</v>
      </c>
      <c r="T25" s="2">
        <v>15</v>
      </c>
      <c r="U25" s="28">
        <f t="shared" si="3"/>
        <v>29.375</v>
      </c>
      <c r="V25" s="2">
        <v>5353.04</v>
      </c>
      <c r="W25" s="27">
        <v>52</v>
      </c>
      <c r="X25" s="2">
        <v>8100</v>
      </c>
      <c r="Y25" s="2">
        <v>2300</v>
      </c>
      <c r="Z25" s="2">
        <v>4100</v>
      </c>
      <c r="AA25" s="2">
        <v>500</v>
      </c>
      <c r="AB25" s="2">
        <f t="shared" si="4"/>
        <v>15000</v>
      </c>
      <c r="AC25" s="23">
        <v>1905</v>
      </c>
      <c r="AD25" s="27" t="s">
        <v>492</v>
      </c>
      <c r="AE25" s="27" t="s">
        <v>493</v>
      </c>
      <c r="AF25" s="27" t="s">
        <v>383</v>
      </c>
      <c r="AG25" s="27" t="s">
        <v>492</v>
      </c>
      <c r="AH25" s="27" t="s">
        <v>383</v>
      </c>
      <c r="AI25" s="27" t="s">
        <v>494</v>
      </c>
      <c r="AJ25" s="27" t="s">
        <v>492</v>
      </c>
      <c r="AK25" s="27" t="s">
        <v>383</v>
      </c>
    </row>
    <row r="26" spans="1:37" x14ac:dyDescent="0.25">
      <c r="A26" s="27" t="s">
        <v>755</v>
      </c>
      <c r="B26" s="27" t="str">
        <f t="shared" si="0"/>
        <v>Georgia</v>
      </c>
      <c r="C26" s="27" t="str">
        <f t="shared" si="1"/>
        <v>Cobb</v>
      </c>
      <c r="D26" s="27">
        <v>2656</v>
      </c>
      <c r="E26" s="27">
        <v>16</v>
      </c>
      <c r="F26" s="27">
        <v>1</v>
      </c>
      <c r="G26" s="27">
        <v>29</v>
      </c>
      <c r="H26" s="27">
        <v>2</v>
      </c>
      <c r="I26" s="27">
        <v>24</v>
      </c>
      <c r="J26" s="27">
        <v>30</v>
      </c>
      <c r="K26" s="27">
        <f t="shared" si="2"/>
        <v>102</v>
      </c>
      <c r="L26" s="2">
        <v>102</v>
      </c>
      <c r="M26" s="27">
        <v>100</v>
      </c>
      <c r="N26" s="2">
        <v>5869</v>
      </c>
      <c r="O26" s="2">
        <v>50</v>
      </c>
      <c r="P26" s="2">
        <v>35</v>
      </c>
      <c r="Q26" s="2">
        <v>35</v>
      </c>
      <c r="R26" s="2">
        <v>20</v>
      </c>
      <c r="S26" s="2">
        <v>25</v>
      </c>
      <c r="T26" s="2">
        <v>15</v>
      </c>
      <c r="U26" s="28">
        <f t="shared" si="3"/>
        <v>28.823529411764707</v>
      </c>
      <c r="V26" s="2">
        <v>13411.64</v>
      </c>
      <c r="W26" s="27">
        <v>78</v>
      </c>
      <c r="X26" s="2">
        <v>10400</v>
      </c>
      <c r="Y26" s="2">
        <v>17350</v>
      </c>
      <c r="Z26" s="27">
        <f>2000+24500</f>
        <v>26500</v>
      </c>
      <c r="AA26" s="2">
        <v>5000</v>
      </c>
      <c r="AB26" s="2">
        <f t="shared" si="4"/>
        <v>59250</v>
      </c>
      <c r="AC26" s="23">
        <v>1905</v>
      </c>
      <c r="AD26" s="27" t="s">
        <v>492</v>
      </c>
      <c r="AE26" s="27" t="s">
        <v>495</v>
      </c>
      <c r="AF26" s="27" t="s">
        <v>383</v>
      </c>
      <c r="AG26" s="27" t="s">
        <v>492</v>
      </c>
      <c r="AH26" s="27" t="s">
        <v>383</v>
      </c>
      <c r="AI26" s="27" t="s">
        <v>494</v>
      </c>
      <c r="AJ26" s="27" t="s">
        <v>492</v>
      </c>
      <c r="AK26" s="27" t="s">
        <v>383</v>
      </c>
    </row>
    <row r="27" spans="1:37" x14ac:dyDescent="0.25">
      <c r="A27" s="27" t="s">
        <v>756</v>
      </c>
      <c r="B27" s="27" t="str">
        <f t="shared" si="0"/>
        <v>Georgia</v>
      </c>
      <c r="C27" s="27" t="str">
        <f t="shared" si="1"/>
        <v>Coffee</v>
      </c>
      <c r="D27" s="27">
        <v>1660</v>
      </c>
      <c r="E27" s="27">
        <v>29</v>
      </c>
      <c r="F27" s="27">
        <v>1</v>
      </c>
      <c r="G27" s="27">
        <v>19</v>
      </c>
      <c r="H27" s="27">
        <v>11</v>
      </c>
      <c r="I27" s="27">
        <v>16</v>
      </c>
      <c r="J27" s="27">
        <v>4</v>
      </c>
      <c r="K27" s="27">
        <f t="shared" si="2"/>
        <v>80</v>
      </c>
      <c r="L27" s="2">
        <v>80</v>
      </c>
      <c r="M27" s="27">
        <v>100</v>
      </c>
      <c r="N27" s="2">
        <v>2717</v>
      </c>
      <c r="O27" s="2">
        <v>40</v>
      </c>
      <c r="P27" s="2">
        <v>25</v>
      </c>
      <c r="Q27" s="2">
        <v>30</v>
      </c>
      <c r="R27" s="2">
        <v>20</v>
      </c>
      <c r="S27" s="2">
        <v>25</v>
      </c>
      <c r="T27" s="2">
        <v>17.5</v>
      </c>
      <c r="U27" s="28">
        <f t="shared" si="3"/>
        <v>30.5625</v>
      </c>
      <c r="V27" s="2">
        <v>11250.58</v>
      </c>
      <c r="W27" s="27">
        <v>80</v>
      </c>
      <c r="X27" s="2">
        <v>6000</v>
      </c>
      <c r="Y27" s="2">
        <v>4200</v>
      </c>
      <c r="Z27" s="27">
        <f>400+10200</f>
        <v>10600</v>
      </c>
      <c r="AA27" s="2">
        <v>600</v>
      </c>
      <c r="AB27" s="2">
        <f t="shared" si="4"/>
        <v>21400</v>
      </c>
      <c r="AC27" s="23">
        <v>1905</v>
      </c>
      <c r="AD27" s="27" t="s">
        <v>492</v>
      </c>
      <c r="AE27" s="27" t="s">
        <v>495</v>
      </c>
      <c r="AF27" s="27" t="s">
        <v>383</v>
      </c>
      <c r="AG27" s="27" t="s">
        <v>492</v>
      </c>
      <c r="AH27" s="27" t="s">
        <v>383</v>
      </c>
      <c r="AI27" s="27" t="s">
        <v>494</v>
      </c>
      <c r="AJ27" s="27" t="s">
        <v>492</v>
      </c>
      <c r="AK27" s="27" t="s">
        <v>383</v>
      </c>
    </row>
    <row r="28" spans="1:37" x14ac:dyDescent="0.25">
      <c r="A28" s="27" t="s">
        <v>757</v>
      </c>
      <c r="B28" s="27" t="str">
        <f t="shared" si="0"/>
        <v>Georgia</v>
      </c>
      <c r="C28" s="27" t="str">
        <f t="shared" si="1"/>
        <v>Colquitt</v>
      </c>
      <c r="D28" s="27">
        <v>1602</v>
      </c>
      <c r="E28" s="27">
        <v>21</v>
      </c>
      <c r="F28" s="27">
        <v>1</v>
      </c>
      <c r="G28" s="27">
        <v>28</v>
      </c>
      <c r="H28" s="27">
        <v>1</v>
      </c>
      <c r="I28" s="27">
        <v>7</v>
      </c>
      <c r="J28" s="27">
        <v>5</v>
      </c>
      <c r="K28" s="27">
        <f t="shared" si="2"/>
        <v>63</v>
      </c>
      <c r="L28" s="2">
        <v>58</v>
      </c>
      <c r="M28" s="27">
        <v>100</v>
      </c>
      <c r="N28" s="2">
        <v>2565</v>
      </c>
      <c r="O28" s="2">
        <v>30</v>
      </c>
      <c r="P28" s="2">
        <v>20</v>
      </c>
      <c r="Q28" s="2">
        <v>25</v>
      </c>
      <c r="R28" s="2">
        <v>18</v>
      </c>
      <c r="S28" s="2">
        <v>20</v>
      </c>
      <c r="T28" s="2">
        <v>15</v>
      </c>
      <c r="U28" s="28">
        <f t="shared" si="3"/>
        <v>25.126984126984127</v>
      </c>
      <c r="V28" s="2">
        <v>9885.7000000000007</v>
      </c>
      <c r="W28" s="27">
        <v>57</v>
      </c>
      <c r="X28" s="2">
        <v>4000</v>
      </c>
      <c r="Y28" s="2">
        <v>8500</v>
      </c>
      <c r="Z28" s="27">
        <v>87500</v>
      </c>
      <c r="AA28" s="2">
        <v>500</v>
      </c>
      <c r="AB28" s="2">
        <f t="shared" si="4"/>
        <v>100500</v>
      </c>
      <c r="AC28" s="23">
        <v>1905</v>
      </c>
      <c r="AD28" s="27" t="s">
        <v>492</v>
      </c>
      <c r="AE28" s="27" t="s">
        <v>495</v>
      </c>
      <c r="AF28" s="27" t="s">
        <v>383</v>
      </c>
      <c r="AG28" s="27" t="s">
        <v>492</v>
      </c>
      <c r="AH28" s="27" t="s">
        <v>383</v>
      </c>
      <c r="AI28" s="27" t="s">
        <v>494</v>
      </c>
      <c r="AJ28" s="27" t="s">
        <v>492</v>
      </c>
      <c r="AK28" s="27" t="s">
        <v>383</v>
      </c>
    </row>
    <row r="29" spans="1:37" x14ac:dyDescent="0.25">
      <c r="A29" s="27" t="s">
        <v>758</v>
      </c>
      <c r="B29" s="27" t="str">
        <f t="shared" si="0"/>
        <v>Georgia</v>
      </c>
      <c r="C29" s="27" t="str">
        <f t="shared" si="1"/>
        <v>Columbia</v>
      </c>
      <c r="D29" s="27">
        <v>1377</v>
      </c>
      <c r="E29" s="27">
        <v>12</v>
      </c>
      <c r="F29" s="27">
        <v>4</v>
      </c>
      <c r="G29" s="27">
        <v>6</v>
      </c>
      <c r="H29" s="27">
        <v>2</v>
      </c>
      <c r="I29" s="27">
        <v>4</v>
      </c>
      <c r="J29" s="27">
        <v>23</v>
      </c>
      <c r="K29" s="27">
        <f t="shared" si="2"/>
        <v>51</v>
      </c>
      <c r="L29" s="2">
        <v>51</v>
      </c>
      <c r="M29" s="27">
        <v>100</v>
      </c>
      <c r="N29" s="2">
        <v>2348</v>
      </c>
      <c r="O29" s="2">
        <v>44</v>
      </c>
      <c r="P29" s="2">
        <v>25</v>
      </c>
      <c r="Q29" s="2">
        <v>35</v>
      </c>
      <c r="R29" s="2">
        <v>20</v>
      </c>
      <c r="S29" s="2">
        <v>35</v>
      </c>
      <c r="T29" s="2">
        <v>15</v>
      </c>
      <c r="U29" s="28">
        <f t="shared" si="3"/>
        <v>26.725490196078432</v>
      </c>
      <c r="V29" s="2">
        <v>8024.72</v>
      </c>
      <c r="W29" s="27">
        <v>44</v>
      </c>
      <c r="X29" s="2">
        <v>1375</v>
      </c>
      <c r="Y29" s="2">
        <v>1950</v>
      </c>
      <c r="Z29" s="27">
        <f>855+2700</f>
        <v>3555</v>
      </c>
      <c r="AA29" s="2">
        <v>1200</v>
      </c>
      <c r="AB29" s="2">
        <f t="shared" si="4"/>
        <v>8080</v>
      </c>
      <c r="AC29" s="23">
        <v>1905</v>
      </c>
      <c r="AD29" s="27" t="s">
        <v>492</v>
      </c>
      <c r="AE29" s="27" t="s">
        <v>495</v>
      </c>
      <c r="AF29" s="27" t="s">
        <v>383</v>
      </c>
      <c r="AG29" s="27" t="s">
        <v>492</v>
      </c>
      <c r="AH29" s="27" t="s">
        <v>383</v>
      </c>
      <c r="AI29" s="27" t="s">
        <v>494</v>
      </c>
      <c r="AJ29" s="27" t="s">
        <v>492</v>
      </c>
      <c r="AK29" s="27" t="s">
        <v>383</v>
      </c>
    </row>
    <row r="30" spans="1:37" x14ac:dyDescent="0.25">
      <c r="A30" s="27" t="s">
        <v>760</v>
      </c>
      <c r="B30" s="27" t="str">
        <f t="shared" si="0"/>
        <v>Georgia</v>
      </c>
      <c r="C30" s="27" t="str">
        <f t="shared" si="1"/>
        <v>Coweta</v>
      </c>
      <c r="D30" s="27">
        <v>3210</v>
      </c>
      <c r="E30" s="27">
        <v>38</v>
      </c>
      <c r="F30" s="27">
        <v>2</v>
      </c>
      <c r="G30" s="27">
        <v>12</v>
      </c>
      <c r="H30" s="27">
        <v>9</v>
      </c>
      <c r="I30" s="27">
        <v>4</v>
      </c>
      <c r="J30" s="27">
        <v>37</v>
      </c>
      <c r="K30" s="27">
        <f t="shared" si="2"/>
        <v>102</v>
      </c>
      <c r="L30" s="2">
        <v>102</v>
      </c>
      <c r="M30" s="27">
        <v>100</v>
      </c>
      <c r="N30" s="2">
        <v>5615</v>
      </c>
      <c r="O30" s="2">
        <v>50</v>
      </c>
      <c r="P30" s="2">
        <v>30</v>
      </c>
      <c r="Q30" s="2">
        <v>40</v>
      </c>
      <c r="R30" s="2">
        <v>20</v>
      </c>
      <c r="S30" s="2">
        <v>30</v>
      </c>
      <c r="T30" s="2">
        <v>15</v>
      </c>
      <c r="U30" s="28">
        <f t="shared" si="3"/>
        <v>32.303921568627452</v>
      </c>
      <c r="V30" s="2">
        <v>15129.84</v>
      </c>
      <c r="W30" s="27">
        <v>81</v>
      </c>
      <c r="Y30" s="2">
        <v>18000</v>
      </c>
      <c r="Z30" s="27">
        <v>5000</v>
      </c>
      <c r="AA30" s="2">
        <v>300</v>
      </c>
      <c r="AB30" s="2">
        <f t="shared" si="4"/>
        <v>23300</v>
      </c>
      <c r="AC30" s="23">
        <v>1905</v>
      </c>
      <c r="AD30" s="27" t="s">
        <v>492</v>
      </c>
      <c r="AE30" s="27" t="s">
        <v>495</v>
      </c>
      <c r="AF30" s="27" t="s">
        <v>383</v>
      </c>
      <c r="AG30" s="27" t="s">
        <v>492</v>
      </c>
      <c r="AH30" s="27" t="s">
        <v>383</v>
      </c>
      <c r="AI30" s="27" t="s">
        <v>494</v>
      </c>
      <c r="AJ30" s="27" t="s">
        <v>492</v>
      </c>
      <c r="AK30" s="27" t="s">
        <v>383</v>
      </c>
    </row>
    <row r="31" spans="1:37" x14ac:dyDescent="0.25">
      <c r="A31" s="27" t="s">
        <v>761</v>
      </c>
      <c r="B31" s="27" t="str">
        <f t="shared" si="0"/>
        <v>Georgia</v>
      </c>
      <c r="C31" s="27" t="str">
        <f t="shared" si="1"/>
        <v>Crawford</v>
      </c>
      <c r="D31" s="27">
        <v>1010</v>
      </c>
      <c r="E31" s="27">
        <v>12</v>
      </c>
      <c r="F31" s="27">
        <v>0</v>
      </c>
      <c r="G31" s="27">
        <v>6</v>
      </c>
      <c r="H31" s="27">
        <v>2</v>
      </c>
      <c r="I31" s="27">
        <v>7</v>
      </c>
      <c r="J31" s="27">
        <v>21</v>
      </c>
      <c r="K31" s="27">
        <f t="shared" si="2"/>
        <v>48</v>
      </c>
      <c r="L31" s="2">
        <v>48</v>
      </c>
      <c r="M31" s="27">
        <v>120</v>
      </c>
      <c r="N31" s="2">
        <v>2041</v>
      </c>
      <c r="O31" s="2">
        <v>50</v>
      </c>
      <c r="P31" s="2">
        <v>0</v>
      </c>
      <c r="Q31" s="2">
        <v>40</v>
      </c>
      <c r="R31" s="2">
        <v>30</v>
      </c>
      <c r="S31" s="2">
        <v>30</v>
      </c>
      <c r="T31" s="2">
        <v>15</v>
      </c>
      <c r="U31" s="28">
        <f t="shared" si="3"/>
        <v>29.6875</v>
      </c>
      <c r="V31" s="2">
        <v>7456.02</v>
      </c>
      <c r="W31" s="27">
        <v>44</v>
      </c>
      <c r="X31" s="2">
        <v>600</v>
      </c>
      <c r="Y31" s="2">
        <v>4500</v>
      </c>
      <c r="AA31" s="2">
        <v>1500</v>
      </c>
      <c r="AB31" s="2">
        <f t="shared" si="4"/>
        <v>6600</v>
      </c>
      <c r="AC31" s="23">
        <v>1905</v>
      </c>
      <c r="AD31" s="27" t="s">
        <v>492</v>
      </c>
      <c r="AE31" s="27" t="s">
        <v>495</v>
      </c>
      <c r="AF31" s="27" t="s">
        <v>383</v>
      </c>
      <c r="AG31" s="27" t="s">
        <v>492</v>
      </c>
      <c r="AH31" s="27" t="s">
        <v>383</v>
      </c>
      <c r="AI31" s="27" t="s">
        <v>494</v>
      </c>
      <c r="AJ31" s="27" t="s">
        <v>492</v>
      </c>
      <c r="AK31" s="27" t="s">
        <v>383</v>
      </c>
    </row>
    <row r="32" spans="1:37" s="98" customFormat="1" x14ac:dyDescent="0.25">
      <c r="A32" s="98" t="s">
        <v>762</v>
      </c>
      <c r="B32" s="98" t="str">
        <f t="shared" si="0"/>
        <v>Georgia</v>
      </c>
      <c r="C32" s="98" t="str">
        <f t="shared" si="1"/>
        <v>Crisp</v>
      </c>
      <c r="U32" s="100"/>
      <c r="V32" s="99">
        <v>5795.9</v>
      </c>
      <c r="W32" s="98">
        <v>20</v>
      </c>
      <c r="AB32" s="2">
        <f t="shared" si="4"/>
        <v>0</v>
      </c>
      <c r="AC32" s="130">
        <v>1905</v>
      </c>
      <c r="AD32" s="98" t="s">
        <v>492</v>
      </c>
      <c r="AE32" s="98" t="s">
        <v>495</v>
      </c>
      <c r="AF32" s="98" t="s">
        <v>383</v>
      </c>
      <c r="AG32" s="98" t="s">
        <v>492</v>
      </c>
      <c r="AH32" s="98" t="s">
        <v>383</v>
      </c>
      <c r="AI32" s="98" t="s">
        <v>494</v>
      </c>
      <c r="AJ32" s="98" t="s">
        <v>492</v>
      </c>
      <c r="AK32" s="98" t="s">
        <v>383</v>
      </c>
    </row>
    <row r="33" spans="1:37" x14ac:dyDescent="0.25">
      <c r="A33" s="27" t="s">
        <v>763</v>
      </c>
      <c r="B33" s="27" t="str">
        <f t="shared" si="0"/>
        <v>Georgia</v>
      </c>
      <c r="C33" s="27" t="str">
        <f t="shared" si="1"/>
        <v>Dade</v>
      </c>
      <c r="D33" s="27">
        <v>555</v>
      </c>
      <c r="E33" s="27">
        <v>3</v>
      </c>
      <c r="F33" s="27">
        <v>0</v>
      </c>
      <c r="G33" s="27">
        <v>9</v>
      </c>
      <c r="H33" s="27">
        <v>0</v>
      </c>
      <c r="I33" s="27">
        <v>6</v>
      </c>
      <c r="J33" s="27">
        <v>2</v>
      </c>
      <c r="K33" s="27">
        <f t="shared" si="2"/>
        <v>20</v>
      </c>
      <c r="L33" s="2">
        <v>20</v>
      </c>
      <c r="M33" s="27">
        <v>100</v>
      </c>
      <c r="N33" s="2">
        <v>972</v>
      </c>
      <c r="O33" s="2">
        <v>65</v>
      </c>
      <c r="P33" s="2">
        <v>0</v>
      </c>
      <c r="Q33" s="2">
        <v>35</v>
      </c>
      <c r="R33" s="2">
        <v>0</v>
      </c>
      <c r="S33" s="2">
        <v>24</v>
      </c>
      <c r="T33" s="2">
        <v>15</v>
      </c>
      <c r="U33" s="28">
        <f t="shared" si="3"/>
        <v>34.200000000000003</v>
      </c>
      <c r="V33" s="2">
        <v>2930.62</v>
      </c>
      <c r="W33" s="27">
        <v>26</v>
      </c>
      <c r="AB33" s="2">
        <f t="shared" si="4"/>
        <v>0</v>
      </c>
      <c r="AC33" s="23">
        <v>1905</v>
      </c>
      <c r="AD33" s="27" t="s">
        <v>492</v>
      </c>
      <c r="AE33" s="27" t="s">
        <v>495</v>
      </c>
      <c r="AF33" s="27" t="s">
        <v>383</v>
      </c>
      <c r="AG33" s="27" t="s">
        <v>492</v>
      </c>
      <c r="AH33" s="27" t="s">
        <v>383</v>
      </c>
      <c r="AI33" s="27" t="s">
        <v>494</v>
      </c>
      <c r="AJ33" s="27" t="s">
        <v>492</v>
      </c>
      <c r="AK33" s="27" t="s">
        <v>383</v>
      </c>
    </row>
    <row r="34" spans="1:37" x14ac:dyDescent="0.25">
      <c r="A34" s="27" t="s">
        <v>764</v>
      </c>
      <c r="B34" s="27" t="str">
        <f t="shared" si="0"/>
        <v>Georgia</v>
      </c>
      <c r="C34" s="27" t="str">
        <f t="shared" si="1"/>
        <v>Dawson</v>
      </c>
      <c r="D34" s="27">
        <v>608</v>
      </c>
      <c r="E34" s="27">
        <v>8</v>
      </c>
      <c r="F34" s="27">
        <v>0</v>
      </c>
      <c r="G34" s="27">
        <v>13</v>
      </c>
      <c r="H34" s="27">
        <v>0</v>
      </c>
      <c r="I34" s="27">
        <v>5</v>
      </c>
      <c r="J34" s="27">
        <v>1</v>
      </c>
      <c r="K34" s="27">
        <f t="shared" si="2"/>
        <v>27</v>
      </c>
      <c r="L34" s="2">
        <v>26</v>
      </c>
      <c r="M34" s="27">
        <v>120</v>
      </c>
      <c r="N34" s="2">
        <v>1343</v>
      </c>
      <c r="O34" s="2">
        <v>35</v>
      </c>
      <c r="P34" s="2">
        <v>0</v>
      </c>
      <c r="Q34" s="2">
        <v>25</v>
      </c>
      <c r="R34" s="2">
        <v>0</v>
      </c>
      <c r="S34" s="2">
        <v>20</v>
      </c>
      <c r="T34" s="2">
        <v>20</v>
      </c>
      <c r="U34" s="28">
        <f t="shared" si="3"/>
        <v>26.851851851851851</v>
      </c>
      <c r="V34" s="2">
        <v>3826.2</v>
      </c>
      <c r="W34" s="27">
        <v>114</v>
      </c>
      <c r="X34" s="2">
        <v>1750</v>
      </c>
      <c r="Y34" s="2"/>
      <c r="Z34" s="2">
        <v>400</v>
      </c>
      <c r="AA34" s="2">
        <v>150</v>
      </c>
      <c r="AB34" s="2">
        <f t="shared" si="4"/>
        <v>2300</v>
      </c>
      <c r="AC34" s="23">
        <v>1905</v>
      </c>
      <c r="AD34" s="27" t="s">
        <v>492</v>
      </c>
      <c r="AE34" s="27" t="s">
        <v>495</v>
      </c>
      <c r="AF34" s="27" t="s">
        <v>383</v>
      </c>
      <c r="AG34" s="27" t="s">
        <v>492</v>
      </c>
      <c r="AH34" s="27" t="s">
        <v>383</v>
      </c>
      <c r="AI34" s="27" t="s">
        <v>494</v>
      </c>
      <c r="AJ34" s="27" t="s">
        <v>492</v>
      </c>
      <c r="AK34" s="27" t="s">
        <v>383</v>
      </c>
    </row>
    <row r="35" spans="1:37" x14ac:dyDescent="0.25">
      <c r="A35" s="27" t="s">
        <v>765</v>
      </c>
      <c r="B35" s="27" t="str">
        <f t="shared" si="0"/>
        <v>Georgia</v>
      </c>
      <c r="C35" s="27" t="str">
        <f t="shared" si="1"/>
        <v>Decatur</v>
      </c>
      <c r="D35" s="27">
        <v>4221</v>
      </c>
      <c r="E35" s="27">
        <v>28</v>
      </c>
      <c r="F35" s="27">
        <v>0</v>
      </c>
      <c r="G35" s="27">
        <v>22</v>
      </c>
      <c r="H35" s="27">
        <v>8</v>
      </c>
      <c r="I35" s="27">
        <v>19</v>
      </c>
      <c r="J35" s="27">
        <v>44</v>
      </c>
      <c r="K35" s="27">
        <f t="shared" si="2"/>
        <v>121</v>
      </c>
      <c r="L35" s="2">
        <v>121</v>
      </c>
      <c r="M35" s="27">
        <v>120</v>
      </c>
      <c r="N35" s="2">
        <v>6982</v>
      </c>
      <c r="O35" s="2">
        <v>44</v>
      </c>
      <c r="P35" s="2">
        <v>0</v>
      </c>
      <c r="Q35" s="2">
        <v>25</v>
      </c>
      <c r="R35" s="2">
        <v>24</v>
      </c>
      <c r="S35" s="2">
        <v>20</v>
      </c>
      <c r="T35" s="2">
        <v>15</v>
      </c>
      <c r="U35" s="28">
        <f t="shared" si="3"/>
        <v>24.90909090909091</v>
      </c>
      <c r="V35" s="2">
        <v>15836.48</v>
      </c>
      <c r="W35" s="27">
        <v>50</v>
      </c>
      <c r="Y35" s="27">
        <v>20000</v>
      </c>
      <c r="Z35" s="27">
        <v>20000</v>
      </c>
      <c r="AA35" s="2">
        <v>2300</v>
      </c>
      <c r="AB35" s="2">
        <f t="shared" si="4"/>
        <v>42300</v>
      </c>
      <c r="AC35" s="23">
        <v>1905</v>
      </c>
      <c r="AD35" s="27" t="s">
        <v>492</v>
      </c>
      <c r="AE35" s="27" t="s">
        <v>495</v>
      </c>
      <c r="AF35" s="27" t="s">
        <v>383</v>
      </c>
      <c r="AG35" s="27" t="s">
        <v>492</v>
      </c>
      <c r="AH35" s="27" t="s">
        <v>383</v>
      </c>
      <c r="AI35" s="27" t="s">
        <v>494</v>
      </c>
      <c r="AJ35" s="27" t="s">
        <v>492</v>
      </c>
      <c r="AK35" s="27" t="s">
        <v>383</v>
      </c>
    </row>
    <row r="36" spans="1:37" x14ac:dyDescent="0.25">
      <c r="A36" s="27" t="s">
        <v>766</v>
      </c>
      <c r="B36" s="27" t="str">
        <f t="shared" si="0"/>
        <v>Georgia</v>
      </c>
      <c r="C36" s="27" t="str">
        <f t="shared" si="1"/>
        <v>DeKalb</v>
      </c>
      <c r="D36" s="27">
        <v>1943</v>
      </c>
      <c r="E36" s="27">
        <v>29</v>
      </c>
      <c r="F36" s="27">
        <v>1</v>
      </c>
      <c r="G36" s="27">
        <v>17</v>
      </c>
      <c r="H36" s="27">
        <v>0</v>
      </c>
      <c r="I36" s="27">
        <v>11</v>
      </c>
      <c r="J36" s="27">
        <v>15</v>
      </c>
      <c r="K36" s="27">
        <f t="shared" si="2"/>
        <v>73</v>
      </c>
      <c r="L36" s="2">
        <v>73</v>
      </c>
      <c r="M36" s="27">
        <v>100</v>
      </c>
      <c r="N36" s="2">
        <v>3421</v>
      </c>
      <c r="O36" s="2">
        <v>40</v>
      </c>
      <c r="P36" s="2">
        <v>25</v>
      </c>
      <c r="Q36" s="2">
        <v>35</v>
      </c>
      <c r="R36" s="2">
        <v>20</v>
      </c>
      <c r="S36" s="2">
        <v>30</v>
      </c>
      <c r="T36" s="2">
        <v>20</v>
      </c>
      <c r="U36" s="28">
        <f t="shared" si="3"/>
        <v>33.013698630136986</v>
      </c>
      <c r="V36" s="2">
        <v>12550.12</v>
      </c>
      <c r="W36" s="27">
        <v>59</v>
      </c>
      <c r="X36" s="2">
        <v>6800</v>
      </c>
      <c r="Y36" s="2">
        <v>9000</v>
      </c>
      <c r="Z36" s="2">
        <v>7600</v>
      </c>
      <c r="AA36" s="2">
        <v>1800</v>
      </c>
      <c r="AB36" s="2">
        <f t="shared" si="4"/>
        <v>25200</v>
      </c>
      <c r="AC36" s="23">
        <v>1905</v>
      </c>
      <c r="AD36" s="27" t="s">
        <v>492</v>
      </c>
      <c r="AE36" s="27" t="s">
        <v>495</v>
      </c>
      <c r="AF36" s="27" t="s">
        <v>383</v>
      </c>
      <c r="AG36" s="27" t="s">
        <v>492</v>
      </c>
      <c r="AH36" s="27" t="s">
        <v>383</v>
      </c>
      <c r="AI36" s="27" t="s">
        <v>494</v>
      </c>
      <c r="AJ36" s="27" t="s">
        <v>492</v>
      </c>
      <c r="AK36" s="27" t="s">
        <v>383</v>
      </c>
    </row>
    <row r="37" spans="1:37" x14ac:dyDescent="0.25">
      <c r="A37" s="27" t="s">
        <v>767</v>
      </c>
      <c r="B37" s="27" t="str">
        <f t="shared" si="0"/>
        <v>Georgia</v>
      </c>
      <c r="C37" s="27" t="str">
        <f t="shared" si="1"/>
        <v>Dodge</v>
      </c>
      <c r="D37" s="27">
        <v>1470</v>
      </c>
      <c r="E37" s="27">
        <v>17</v>
      </c>
      <c r="F37" s="27">
        <v>2</v>
      </c>
      <c r="G37" s="27">
        <v>18</v>
      </c>
      <c r="H37" s="27">
        <v>4</v>
      </c>
      <c r="I37" s="27">
        <v>14</v>
      </c>
      <c r="J37" s="27">
        <v>10</v>
      </c>
      <c r="K37" s="27">
        <f t="shared" si="2"/>
        <v>65</v>
      </c>
      <c r="L37" s="2">
        <v>65</v>
      </c>
      <c r="M37" s="27">
        <v>100</v>
      </c>
      <c r="N37" s="2">
        <v>2986</v>
      </c>
      <c r="O37" s="2">
        <v>30</v>
      </c>
      <c r="P37" s="2">
        <v>20</v>
      </c>
      <c r="Q37" s="2">
        <v>25</v>
      </c>
      <c r="R37" s="2">
        <v>13</v>
      </c>
      <c r="S37" s="2">
        <v>20</v>
      </c>
      <c r="T37" s="2">
        <v>17</v>
      </c>
      <c r="U37" s="28">
        <f t="shared" si="3"/>
        <v>23.107692307692307</v>
      </c>
      <c r="V37" s="2">
        <v>12310.54</v>
      </c>
      <c r="W37" s="27">
        <v>92</v>
      </c>
      <c r="X37" s="2">
        <v>2800</v>
      </c>
      <c r="Y37" s="2">
        <v>900</v>
      </c>
      <c r="Z37" s="27">
        <f>500+2500</f>
        <v>3000</v>
      </c>
      <c r="AA37" s="2">
        <v>2000</v>
      </c>
      <c r="AB37" s="2">
        <f t="shared" si="4"/>
        <v>8700</v>
      </c>
      <c r="AC37" s="23">
        <v>1905</v>
      </c>
      <c r="AD37" s="27" t="s">
        <v>492</v>
      </c>
      <c r="AE37" s="27" t="s">
        <v>495</v>
      </c>
      <c r="AF37" s="27" t="s">
        <v>383</v>
      </c>
      <c r="AG37" s="27" t="s">
        <v>492</v>
      </c>
      <c r="AH37" s="27" t="s">
        <v>383</v>
      </c>
      <c r="AI37" s="27" t="s">
        <v>494</v>
      </c>
      <c r="AJ37" s="27" t="s">
        <v>492</v>
      </c>
      <c r="AK37" s="27" t="s">
        <v>383</v>
      </c>
    </row>
    <row r="38" spans="1:37" x14ac:dyDescent="0.25">
      <c r="A38" s="27" t="s">
        <v>768</v>
      </c>
      <c r="B38" s="27" t="str">
        <f t="shared" si="0"/>
        <v>Georgia</v>
      </c>
      <c r="C38" s="27" t="str">
        <f t="shared" si="1"/>
        <v>Dooly</v>
      </c>
      <c r="D38" s="27">
        <v>2672</v>
      </c>
      <c r="E38" s="27">
        <v>23</v>
      </c>
      <c r="F38" s="27">
        <v>4</v>
      </c>
      <c r="G38" s="27">
        <v>14</v>
      </c>
      <c r="H38" s="27">
        <v>10</v>
      </c>
      <c r="I38" s="27">
        <v>31</v>
      </c>
      <c r="J38" s="27">
        <v>34</v>
      </c>
      <c r="K38" s="27">
        <f t="shared" si="2"/>
        <v>116</v>
      </c>
      <c r="L38" s="2">
        <v>116</v>
      </c>
      <c r="M38" s="27">
        <v>120</v>
      </c>
      <c r="N38" s="2">
        <v>4784</v>
      </c>
      <c r="O38" s="2">
        <v>35</v>
      </c>
      <c r="P38" s="2">
        <v>22</v>
      </c>
      <c r="Q38" s="2">
        <v>30</v>
      </c>
      <c r="R38" s="2">
        <v>17</v>
      </c>
      <c r="S38" s="2">
        <v>25</v>
      </c>
      <c r="T38" s="2">
        <v>15</v>
      </c>
      <c r="U38" s="28">
        <f t="shared" si="3"/>
        <v>23.862068965517242</v>
      </c>
      <c r="V38" s="2">
        <v>12131.46</v>
      </c>
      <c r="W38" s="27">
        <v>28</v>
      </c>
      <c r="X38" s="2">
        <v>3000</v>
      </c>
      <c r="Y38" s="2">
        <v>9600</v>
      </c>
      <c r="Z38" s="2">
        <v>6100</v>
      </c>
      <c r="AA38" s="2">
        <v>5000</v>
      </c>
      <c r="AB38" s="2">
        <f t="shared" si="4"/>
        <v>23700</v>
      </c>
      <c r="AC38" s="23">
        <v>1905</v>
      </c>
      <c r="AD38" s="27" t="s">
        <v>492</v>
      </c>
      <c r="AE38" s="27" t="s">
        <v>495</v>
      </c>
      <c r="AF38" s="27" t="s">
        <v>383</v>
      </c>
      <c r="AG38" s="27" t="s">
        <v>492</v>
      </c>
      <c r="AH38" s="27" t="s">
        <v>383</v>
      </c>
      <c r="AI38" s="27" t="s">
        <v>494</v>
      </c>
      <c r="AJ38" s="27" t="s">
        <v>492</v>
      </c>
      <c r="AK38" s="27" t="s">
        <v>383</v>
      </c>
    </row>
    <row r="39" spans="1:37" x14ac:dyDescent="0.25">
      <c r="A39" s="27" t="s">
        <v>769</v>
      </c>
      <c r="B39" s="27" t="str">
        <f t="shared" si="0"/>
        <v>Georgia</v>
      </c>
      <c r="C39" s="27" t="str">
        <f t="shared" si="1"/>
        <v>Dougherty</v>
      </c>
      <c r="D39" s="27">
        <v>1785</v>
      </c>
      <c r="E39" s="27">
        <v>18</v>
      </c>
      <c r="F39" s="27">
        <v>5</v>
      </c>
      <c r="G39" s="27">
        <v>0</v>
      </c>
      <c r="H39" s="27">
        <v>13</v>
      </c>
      <c r="I39" s="27">
        <v>0</v>
      </c>
      <c r="J39" s="27">
        <v>14</v>
      </c>
      <c r="K39" s="27">
        <f t="shared" si="2"/>
        <v>50</v>
      </c>
      <c r="L39" s="2">
        <v>46</v>
      </c>
      <c r="M39" s="27">
        <v>100</v>
      </c>
      <c r="N39" s="2">
        <v>2381</v>
      </c>
      <c r="O39" s="2">
        <v>60</v>
      </c>
      <c r="P39" s="2">
        <v>30</v>
      </c>
      <c r="Q39" s="2">
        <v>0</v>
      </c>
      <c r="R39" s="2">
        <v>20</v>
      </c>
      <c r="S39" s="2">
        <v>0</v>
      </c>
      <c r="T39" s="2">
        <v>16</v>
      </c>
      <c r="U39" s="28">
        <f t="shared" si="3"/>
        <v>34.28</v>
      </c>
      <c r="V39" s="2">
        <v>10.803000000000001</v>
      </c>
      <c r="W39" s="27">
        <v>37</v>
      </c>
      <c r="X39" s="2">
        <v>4000</v>
      </c>
      <c r="Y39" s="2">
        <v>4600</v>
      </c>
      <c r="Z39" s="27">
        <f>14600+3000</f>
        <v>17600</v>
      </c>
      <c r="AA39" s="2">
        <v>2500</v>
      </c>
      <c r="AB39" s="2">
        <f t="shared" si="4"/>
        <v>28700</v>
      </c>
      <c r="AC39" s="23">
        <v>1905</v>
      </c>
      <c r="AD39" s="27" t="s">
        <v>492</v>
      </c>
      <c r="AE39" s="27" t="s">
        <v>495</v>
      </c>
      <c r="AF39" s="27" t="s">
        <v>383</v>
      </c>
      <c r="AG39" s="27" t="s">
        <v>492</v>
      </c>
      <c r="AH39" s="27" t="s">
        <v>383</v>
      </c>
      <c r="AI39" s="27" t="s">
        <v>494</v>
      </c>
      <c r="AJ39" s="27" t="s">
        <v>492</v>
      </c>
      <c r="AK39" s="27" t="s">
        <v>383</v>
      </c>
    </row>
    <row r="40" spans="1:37" x14ac:dyDescent="0.25">
      <c r="A40" s="27" t="s">
        <v>770</v>
      </c>
      <c r="B40" s="27" t="str">
        <f t="shared" si="0"/>
        <v>Georgia</v>
      </c>
      <c r="C40" s="27" t="str">
        <f t="shared" si="1"/>
        <v>Douglas</v>
      </c>
      <c r="D40" s="27">
        <v>1699</v>
      </c>
      <c r="E40" s="27">
        <v>14</v>
      </c>
      <c r="F40" s="27">
        <v>4</v>
      </c>
      <c r="G40" s="27">
        <v>10</v>
      </c>
      <c r="H40" s="27">
        <v>2</v>
      </c>
      <c r="I40" s="27">
        <v>14</v>
      </c>
      <c r="J40" s="27">
        <v>4</v>
      </c>
      <c r="K40" s="27">
        <f t="shared" si="2"/>
        <v>48</v>
      </c>
      <c r="L40" s="2">
        <v>47</v>
      </c>
      <c r="M40" s="27">
        <v>100</v>
      </c>
      <c r="N40" s="2">
        <v>2409</v>
      </c>
      <c r="O40" s="2">
        <v>40</v>
      </c>
      <c r="P40" s="2">
        <v>30</v>
      </c>
      <c r="Q40" s="2">
        <v>30</v>
      </c>
      <c r="R40" s="2">
        <v>22</v>
      </c>
      <c r="S40" s="2">
        <v>20</v>
      </c>
      <c r="T40" s="2">
        <v>16</v>
      </c>
      <c r="U40" s="28">
        <f t="shared" si="3"/>
        <v>28.5</v>
      </c>
      <c r="V40" s="2">
        <v>6717.92</v>
      </c>
      <c r="W40" s="27">
        <v>42</v>
      </c>
      <c r="X40" s="2">
        <v>3100</v>
      </c>
      <c r="Y40" s="2">
        <v>900</v>
      </c>
      <c r="Z40" s="2">
        <v>4500</v>
      </c>
      <c r="AA40" s="2">
        <v>400</v>
      </c>
      <c r="AB40" s="2">
        <f t="shared" si="4"/>
        <v>8900</v>
      </c>
      <c r="AC40" s="23">
        <v>1905</v>
      </c>
      <c r="AD40" s="27" t="s">
        <v>492</v>
      </c>
      <c r="AE40" s="27" t="s">
        <v>495</v>
      </c>
      <c r="AF40" s="27" t="s">
        <v>383</v>
      </c>
      <c r="AG40" s="27" t="s">
        <v>492</v>
      </c>
      <c r="AH40" s="27" t="s">
        <v>383</v>
      </c>
      <c r="AI40" s="27" t="s">
        <v>494</v>
      </c>
      <c r="AJ40" s="27" t="s">
        <v>492</v>
      </c>
      <c r="AK40" s="27" t="s">
        <v>383</v>
      </c>
    </row>
    <row r="41" spans="1:37" x14ac:dyDescent="0.25">
      <c r="A41" s="27" t="s">
        <v>771</v>
      </c>
      <c r="B41" s="27" t="str">
        <f t="shared" si="0"/>
        <v>Georgia</v>
      </c>
      <c r="C41" s="27" t="str">
        <f t="shared" si="1"/>
        <v>Early</v>
      </c>
      <c r="D41" s="27">
        <v>2340</v>
      </c>
      <c r="E41" s="27">
        <v>20</v>
      </c>
      <c r="F41" s="27">
        <v>1</v>
      </c>
      <c r="G41" s="27">
        <v>9</v>
      </c>
      <c r="H41" s="27">
        <v>3</v>
      </c>
      <c r="I41" s="27">
        <v>1</v>
      </c>
      <c r="J41" s="27">
        <v>19</v>
      </c>
      <c r="K41" s="27">
        <f t="shared" si="2"/>
        <v>53</v>
      </c>
      <c r="L41" s="2">
        <v>53</v>
      </c>
      <c r="M41" s="27">
        <v>120</v>
      </c>
      <c r="N41" s="2">
        <v>3620</v>
      </c>
      <c r="O41" s="2">
        <v>50</v>
      </c>
      <c r="P41" s="2">
        <v>25</v>
      </c>
      <c r="Q41" s="2">
        <v>35</v>
      </c>
      <c r="R41" s="2">
        <v>20</v>
      </c>
      <c r="S41" s="2">
        <v>25</v>
      </c>
      <c r="T41" s="2">
        <v>15</v>
      </c>
      <c r="U41" s="28">
        <f t="shared" si="3"/>
        <v>32.264150943396224</v>
      </c>
      <c r="V41" s="2">
        <v>10030.9</v>
      </c>
      <c r="W41" s="27">
        <v>12</v>
      </c>
      <c r="X41" s="2">
        <v>2100</v>
      </c>
      <c r="Y41" s="2">
        <v>1500</v>
      </c>
      <c r="Z41" s="2">
        <v>8000</v>
      </c>
      <c r="AA41" s="2">
        <v>5000</v>
      </c>
      <c r="AB41" s="2">
        <f t="shared" si="4"/>
        <v>16600</v>
      </c>
      <c r="AC41" s="23">
        <v>1905</v>
      </c>
      <c r="AD41" s="27" t="s">
        <v>492</v>
      </c>
      <c r="AE41" s="27" t="s">
        <v>495</v>
      </c>
      <c r="AF41" s="27" t="s">
        <v>383</v>
      </c>
      <c r="AG41" s="27" t="s">
        <v>492</v>
      </c>
      <c r="AH41" s="27" t="s">
        <v>383</v>
      </c>
      <c r="AI41" s="27" t="s">
        <v>494</v>
      </c>
      <c r="AJ41" s="27" t="s">
        <v>492</v>
      </c>
      <c r="AK41" s="27" t="s">
        <v>383</v>
      </c>
    </row>
    <row r="42" spans="1:37" x14ac:dyDescent="0.25">
      <c r="A42" s="27" t="s">
        <v>772</v>
      </c>
      <c r="B42" s="27" t="str">
        <f t="shared" si="0"/>
        <v>Georgia</v>
      </c>
      <c r="C42" s="27" t="str">
        <f t="shared" si="1"/>
        <v>Echols</v>
      </c>
      <c r="D42" s="27">
        <v>202</v>
      </c>
      <c r="E42" s="27">
        <v>4</v>
      </c>
      <c r="F42" s="27">
        <v>0</v>
      </c>
      <c r="G42" s="27">
        <v>4</v>
      </c>
      <c r="H42" s="27">
        <v>0</v>
      </c>
      <c r="I42" s="27">
        <v>3</v>
      </c>
      <c r="J42" s="27">
        <v>1</v>
      </c>
      <c r="K42" s="27">
        <f t="shared" si="2"/>
        <v>12</v>
      </c>
      <c r="L42" s="2">
        <v>12</v>
      </c>
      <c r="M42" s="27">
        <v>100</v>
      </c>
      <c r="N42" s="2">
        <v>482</v>
      </c>
      <c r="O42" s="2">
        <v>40</v>
      </c>
      <c r="P42" s="2">
        <v>0</v>
      </c>
      <c r="Q42" s="2">
        <v>32.5</v>
      </c>
      <c r="R42" s="2">
        <v>0</v>
      </c>
      <c r="S42" s="2">
        <v>25</v>
      </c>
      <c r="T42" s="2">
        <v>15</v>
      </c>
      <c r="U42" s="28">
        <f t="shared" si="3"/>
        <v>31.666666666666668</v>
      </c>
      <c r="V42" s="2">
        <v>2026.15</v>
      </c>
      <c r="W42" s="27">
        <v>54</v>
      </c>
      <c r="X42" s="2">
        <v>1275</v>
      </c>
      <c r="Y42" s="2">
        <v>500</v>
      </c>
      <c r="AA42" s="2">
        <v>125</v>
      </c>
      <c r="AB42" s="2">
        <f t="shared" si="4"/>
        <v>1900</v>
      </c>
      <c r="AC42" s="23">
        <v>1905</v>
      </c>
      <c r="AD42" s="27" t="s">
        <v>492</v>
      </c>
      <c r="AE42" s="27" t="s">
        <v>495</v>
      </c>
      <c r="AF42" s="27" t="s">
        <v>383</v>
      </c>
      <c r="AG42" s="27" t="s">
        <v>492</v>
      </c>
      <c r="AH42" s="27" t="s">
        <v>383</v>
      </c>
      <c r="AI42" s="27" t="s">
        <v>494</v>
      </c>
      <c r="AJ42" s="27" t="s">
        <v>492</v>
      </c>
      <c r="AK42" s="27" t="s">
        <v>383</v>
      </c>
    </row>
    <row r="43" spans="1:37" x14ac:dyDescent="0.25">
      <c r="A43" s="27" t="s">
        <v>773</v>
      </c>
      <c r="B43" s="27" t="str">
        <f t="shared" si="0"/>
        <v>Georgia</v>
      </c>
      <c r="C43" s="27" t="str">
        <f t="shared" si="1"/>
        <v>Effingham</v>
      </c>
      <c r="D43" s="27">
        <v>1236</v>
      </c>
      <c r="E43" s="27">
        <v>11</v>
      </c>
      <c r="F43" s="27">
        <v>0</v>
      </c>
      <c r="G43" s="27">
        <v>14</v>
      </c>
      <c r="H43" s="27">
        <v>2</v>
      </c>
      <c r="I43" s="27">
        <v>17</v>
      </c>
      <c r="J43" s="27">
        <v>19</v>
      </c>
      <c r="K43" s="27">
        <f t="shared" si="2"/>
        <v>63</v>
      </c>
      <c r="L43" s="2">
        <v>63</v>
      </c>
      <c r="M43" s="27">
        <v>120</v>
      </c>
      <c r="N43" s="2">
        <v>1937</v>
      </c>
      <c r="O43" s="2">
        <v>20</v>
      </c>
      <c r="P43" s="2">
        <v>15</v>
      </c>
      <c r="Q43" s="2">
        <v>15</v>
      </c>
      <c r="R43" s="2">
        <v>12</v>
      </c>
      <c r="S43" s="2">
        <v>12</v>
      </c>
      <c r="T43" s="2">
        <v>10</v>
      </c>
      <c r="U43" s="28">
        <f t="shared" si="3"/>
        <v>13.46031746031746</v>
      </c>
      <c r="V43" s="2">
        <v>6413</v>
      </c>
      <c r="W43" s="27">
        <v>81</v>
      </c>
      <c r="X43" s="2">
        <v>300</v>
      </c>
      <c r="Y43" s="2">
        <v>5200</v>
      </c>
      <c r="Z43" s="2">
        <v>5000</v>
      </c>
      <c r="AA43" s="2">
        <v>800</v>
      </c>
      <c r="AB43" s="2">
        <f t="shared" si="4"/>
        <v>11300</v>
      </c>
      <c r="AC43" s="23">
        <v>1905</v>
      </c>
      <c r="AD43" s="27" t="s">
        <v>492</v>
      </c>
      <c r="AE43" s="27" t="s">
        <v>495</v>
      </c>
      <c r="AF43" s="27" t="s">
        <v>383</v>
      </c>
      <c r="AG43" s="27" t="s">
        <v>492</v>
      </c>
      <c r="AH43" s="27" t="s">
        <v>383</v>
      </c>
      <c r="AI43" s="27" t="s">
        <v>494</v>
      </c>
      <c r="AJ43" s="27" t="s">
        <v>492</v>
      </c>
      <c r="AK43" s="27" t="s">
        <v>383</v>
      </c>
    </row>
    <row r="44" spans="1:37" x14ac:dyDescent="0.25">
      <c r="A44" s="27" t="s">
        <v>774</v>
      </c>
      <c r="B44" s="27" t="str">
        <f t="shared" si="0"/>
        <v>Georgia</v>
      </c>
      <c r="C44" s="27" t="str">
        <f t="shared" si="1"/>
        <v>Elbert</v>
      </c>
      <c r="D44" s="27">
        <v>2118</v>
      </c>
      <c r="E44" s="27">
        <v>41</v>
      </c>
      <c r="F44" s="27">
        <v>0</v>
      </c>
      <c r="G44" s="27">
        <v>16</v>
      </c>
      <c r="H44" s="27">
        <v>6</v>
      </c>
      <c r="I44" s="27">
        <v>4</v>
      </c>
      <c r="J44" s="27">
        <v>46</v>
      </c>
      <c r="K44" s="27">
        <f t="shared" si="2"/>
        <v>113</v>
      </c>
      <c r="L44" s="2">
        <v>113</v>
      </c>
      <c r="M44" s="27">
        <v>120</v>
      </c>
      <c r="N44" s="2">
        <v>4125</v>
      </c>
      <c r="O44" s="2">
        <v>30</v>
      </c>
      <c r="P44" s="2">
        <v>0</v>
      </c>
      <c r="Q44" s="2">
        <v>25</v>
      </c>
      <c r="R44" s="2">
        <v>18</v>
      </c>
      <c r="S44" s="2">
        <v>16</v>
      </c>
      <c r="T44" s="2">
        <v>15</v>
      </c>
      <c r="U44" s="28">
        <f t="shared" si="3"/>
        <v>22.053097345132745</v>
      </c>
      <c r="V44" s="2">
        <v>13385.02</v>
      </c>
      <c r="W44" s="27">
        <v>96</v>
      </c>
      <c r="X44" s="2">
        <v>1500</v>
      </c>
      <c r="Y44" s="2">
        <v>8000</v>
      </c>
      <c r="AA44" s="2">
        <v>400</v>
      </c>
      <c r="AB44" s="2">
        <f t="shared" si="4"/>
        <v>9900</v>
      </c>
      <c r="AC44" s="23">
        <v>1905</v>
      </c>
      <c r="AD44" s="27" t="s">
        <v>492</v>
      </c>
      <c r="AE44" s="27" t="s">
        <v>495</v>
      </c>
      <c r="AF44" s="27" t="s">
        <v>383</v>
      </c>
      <c r="AG44" s="27" t="s">
        <v>492</v>
      </c>
      <c r="AH44" s="27" t="s">
        <v>383</v>
      </c>
      <c r="AI44" s="27" t="s">
        <v>494</v>
      </c>
      <c r="AJ44" s="27" t="s">
        <v>492</v>
      </c>
      <c r="AK44" s="27" t="s">
        <v>383</v>
      </c>
    </row>
    <row r="45" spans="1:37" x14ac:dyDescent="0.25">
      <c r="A45" s="27" t="s">
        <v>775</v>
      </c>
      <c r="B45" s="27" t="str">
        <f t="shared" si="0"/>
        <v>Georgia</v>
      </c>
      <c r="C45" s="27" t="str">
        <f t="shared" si="1"/>
        <v>Emanuel</v>
      </c>
      <c r="D45" s="27">
        <v>2883</v>
      </c>
      <c r="E45" s="27">
        <v>35</v>
      </c>
      <c r="F45" s="27">
        <v>0</v>
      </c>
      <c r="G45" s="27">
        <v>26</v>
      </c>
      <c r="H45" s="27">
        <v>8</v>
      </c>
      <c r="I45" s="27">
        <v>10</v>
      </c>
      <c r="J45" s="27">
        <v>20</v>
      </c>
      <c r="K45" s="27">
        <f t="shared" si="2"/>
        <v>99</v>
      </c>
      <c r="L45" s="2">
        <v>99</v>
      </c>
      <c r="M45" s="27">
        <v>100</v>
      </c>
      <c r="N45" s="2">
        <v>5235</v>
      </c>
      <c r="O45" s="2">
        <v>40</v>
      </c>
      <c r="P45" s="2">
        <v>21</v>
      </c>
      <c r="Q45" s="2">
        <v>30</v>
      </c>
      <c r="R45" s="2">
        <v>15</v>
      </c>
      <c r="S45" s="2">
        <v>20</v>
      </c>
      <c r="T45" s="2">
        <v>11</v>
      </c>
      <c r="U45" s="28">
        <f t="shared" si="3"/>
        <v>27.474747474747474</v>
      </c>
      <c r="V45" s="2">
        <v>16896.98</v>
      </c>
      <c r="W45" s="27">
        <v>61</v>
      </c>
      <c r="Y45" s="2">
        <v>15600</v>
      </c>
      <c r="Z45" s="2">
        <v>28000</v>
      </c>
      <c r="AA45" s="2">
        <v>5000</v>
      </c>
      <c r="AB45" s="2">
        <f t="shared" si="4"/>
        <v>48600</v>
      </c>
      <c r="AC45" s="23">
        <v>1905</v>
      </c>
      <c r="AD45" s="27" t="s">
        <v>492</v>
      </c>
      <c r="AE45" s="27" t="s">
        <v>495</v>
      </c>
      <c r="AF45" s="27" t="s">
        <v>383</v>
      </c>
      <c r="AG45" s="27" t="s">
        <v>492</v>
      </c>
      <c r="AH45" s="27" t="s">
        <v>383</v>
      </c>
      <c r="AI45" s="27" t="s">
        <v>494</v>
      </c>
      <c r="AJ45" s="27" t="s">
        <v>492</v>
      </c>
      <c r="AK45" s="27" t="s">
        <v>383</v>
      </c>
    </row>
    <row r="46" spans="1:37" x14ac:dyDescent="0.25">
      <c r="A46" s="27" t="s">
        <v>777</v>
      </c>
      <c r="B46" s="27" t="str">
        <f t="shared" si="0"/>
        <v>Georgia</v>
      </c>
      <c r="C46" s="27" t="str">
        <f t="shared" si="1"/>
        <v>Fannin</v>
      </c>
      <c r="D46" s="27">
        <v>1787</v>
      </c>
      <c r="E46" s="27">
        <v>28</v>
      </c>
      <c r="F46" s="27">
        <v>0</v>
      </c>
      <c r="G46" s="27">
        <v>30</v>
      </c>
      <c r="H46" s="27">
        <v>0</v>
      </c>
      <c r="I46" s="27">
        <v>19</v>
      </c>
      <c r="J46" s="27">
        <v>0</v>
      </c>
      <c r="K46" s="27">
        <f t="shared" si="2"/>
        <v>77</v>
      </c>
      <c r="L46" s="2">
        <v>77</v>
      </c>
      <c r="M46" s="27">
        <v>100</v>
      </c>
      <c r="N46" s="2">
        <v>3751</v>
      </c>
      <c r="O46" s="2">
        <v>35</v>
      </c>
      <c r="P46" s="2">
        <v>0</v>
      </c>
      <c r="Q46" s="2">
        <v>25</v>
      </c>
      <c r="R46" s="2">
        <v>0</v>
      </c>
      <c r="S46" s="2">
        <v>20</v>
      </c>
      <c r="T46" s="2">
        <v>0</v>
      </c>
      <c r="U46" s="28">
        <f t="shared" si="3"/>
        <v>27.402597402597401</v>
      </c>
      <c r="V46" s="2">
        <v>9532.3799999999992</v>
      </c>
      <c r="W46" s="27">
        <v>40</v>
      </c>
      <c r="X46" s="2">
        <v>1800</v>
      </c>
      <c r="Y46" s="2">
        <v>21250</v>
      </c>
      <c r="Z46" s="2">
        <v>15050</v>
      </c>
      <c r="AA46" s="2">
        <v>2000</v>
      </c>
      <c r="AB46" s="2">
        <f t="shared" si="4"/>
        <v>40100</v>
      </c>
      <c r="AC46" s="23">
        <v>1905</v>
      </c>
      <c r="AD46" s="27" t="s">
        <v>492</v>
      </c>
      <c r="AE46" s="27" t="s">
        <v>495</v>
      </c>
      <c r="AF46" s="27" t="s">
        <v>383</v>
      </c>
      <c r="AG46" s="27" t="s">
        <v>492</v>
      </c>
      <c r="AH46" s="27" t="s">
        <v>383</v>
      </c>
      <c r="AI46" s="27" t="s">
        <v>494</v>
      </c>
      <c r="AJ46" s="27" t="s">
        <v>492</v>
      </c>
      <c r="AK46" s="27" t="s">
        <v>383</v>
      </c>
    </row>
    <row r="47" spans="1:37" x14ac:dyDescent="0.25">
      <c r="A47" s="27" t="s">
        <v>778</v>
      </c>
      <c r="B47" s="27" t="str">
        <f t="shared" si="0"/>
        <v>Georgia</v>
      </c>
      <c r="C47" s="27" t="str">
        <f t="shared" si="1"/>
        <v>Fayette</v>
      </c>
      <c r="D47" s="27">
        <v>1201</v>
      </c>
      <c r="E47" s="27">
        <v>23</v>
      </c>
      <c r="F47" s="27">
        <v>0</v>
      </c>
      <c r="G47" s="27">
        <v>13</v>
      </c>
      <c r="H47" s="27">
        <v>1</v>
      </c>
      <c r="I47" s="27">
        <v>4</v>
      </c>
      <c r="J47" s="27">
        <v>9</v>
      </c>
      <c r="K47" s="27">
        <f t="shared" si="2"/>
        <v>50</v>
      </c>
      <c r="L47" s="2">
        <v>50</v>
      </c>
      <c r="M47" s="27">
        <v>100</v>
      </c>
      <c r="N47" s="2">
        <v>2360</v>
      </c>
      <c r="O47" s="2">
        <v>40</v>
      </c>
      <c r="P47" s="2">
        <v>0</v>
      </c>
      <c r="Q47" s="2">
        <v>32</v>
      </c>
      <c r="R47" s="2">
        <v>0</v>
      </c>
      <c r="S47" s="2">
        <v>24</v>
      </c>
      <c r="T47" s="2">
        <v>20</v>
      </c>
      <c r="U47" s="28">
        <f t="shared" si="3"/>
        <v>32.24</v>
      </c>
      <c r="V47" s="2">
        <v>7209.18</v>
      </c>
      <c r="W47" s="27">
        <v>93</v>
      </c>
      <c r="X47" s="2">
        <v>600</v>
      </c>
      <c r="Y47" s="2">
        <v>17000</v>
      </c>
      <c r="Z47" s="2">
        <v>4500</v>
      </c>
      <c r="AA47" s="2">
        <v>1000</v>
      </c>
      <c r="AB47" s="2">
        <f t="shared" si="4"/>
        <v>23100</v>
      </c>
      <c r="AC47" s="23">
        <v>1905</v>
      </c>
      <c r="AD47" s="27" t="s">
        <v>492</v>
      </c>
      <c r="AE47" s="27" t="s">
        <v>495</v>
      </c>
      <c r="AF47" s="27" t="s">
        <v>383</v>
      </c>
      <c r="AG47" s="27" t="s">
        <v>492</v>
      </c>
      <c r="AH47" s="27" t="s">
        <v>383</v>
      </c>
      <c r="AI47" s="27" t="s">
        <v>494</v>
      </c>
      <c r="AJ47" s="27" t="s">
        <v>492</v>
      </c>
      <c r="AK47" s="27" t="s">
        <v>383</v>
      </c>
    </row>
    <row r="48" spans="1:37" x14ac:dyDescent="0.25">
      <c r="A48" s="27" t="s">
        <v>779</v>
      </c>
      <c r="B48" s="27" t="str">
        <f t="shared" si="0"/>
        <v>Georgia</v>
      </c>
      <c r="C48" s="27" t="str">
        <f t="shared" si="1"/>
        <v>Floyd</v>
      </c>
      <c r="D48" s="27">
        <v>2389</v>
      </c>
      <c r="E48" s="27">
        <v>20</v>
      </c>
      <c r="F48" s="27">
        <v>3</v>
      </c>
      <c r="G48" s="27">
        <v>20</v>
      </c>
      <c r="H48" s="27">
        <v>4</v>
      </c>
      <c r="I48" s="27">
        <v>42</v>
      </c>
      <c r="J48" s="27">
        <v>28</v>
      </c>
      <c r="K48" s="27">
        <f t="shared" si="2"/>
        <v>117</v>
      </c>
      <c r="L48" s="2">
        <v>110</v>
      </c>
      <c r="M48" s="27">
        <v>100</v>
      </c>
      <c r="N48" s="2">
        <v>5545</v>
      </c>
      <c r="O48" s="2">
        <v>40</v>
      </c>
      <c r="P48" s="2">
        <v>32</v>
      </c>
      <c r="Q48" s="2">
        <v>30</v>
      </c>
      <c r="R48" s="2">
        <v>22</v>
      </c>
      <c r="S48" s="2">
        <v>25</v>
      </c>
      <c r="T48" s="2">
        <v>18</v>
      </c>
      <c r="U48" s="28">
        <f t="shared" si="3"/>
        <v>26.820512820512821</v>
      </c>
      <c r="V48" s="2">
        <v>17799.099999999999</v>
      </c>
      <c r="W48" s="27">
        <v>53</v>
      </c>
      <c r="X48" s="2">
        <v>9700</v>
      </c>
      <c r="Y48" s="2">
        <v>5000</v>
      </c>
      <c r="Z48" s="27">
        <f>2500+800</f>
        <v>3300</v>
      </c>
      <c r="AA48" s="2">
        <v>7000</v>
      </c>
      <c r="AB48" s="2">
        <f t="shared" si="4"/>
        <v>25000</v>
      </c>
      <c r="AC48" s="23">
        <v>1905</v>
      </c>
      <c r="AD48" s="27" t="s">
        <v>492</v>
      </c>
      <c r="AE48" s="27" t="s">
        <v>495</v>
      </c>
      <c r="AF48" s="27" t="s">
        <v>383</v>
      </c>
      <c r="AG48" s="27" t="s">
        <v>492</v>
      </c>
      <c r="AH48" s="27" t="s">
        <v>383</v>
      </c>
      <c r="AI48" s="27" t="s">
        <v>494</v>
      </c>
      <c r="AJ48" s="27" t="s">
        <v>492</v>
      </c>
      <c r="AK48" s="27" t="s">
        <v>383</v>
      </c>
    </row>
    <row r="49" spans="1:37" x14ac:dyDescent="0.25">
      <c r="A49" s="27" t="s">
        <v>780</v>
      </c>
      <c r="B49" s="27" t="str">
        <f t="shared" si="0"/>
        <v>Georgia</v>
      </c>
      <c r="C49" s="27" t="str">
        <f t="shared" si="1"/>
        <v>Forsyth</v>
      </c>
      <c r="D49" s="27">
        <v>1484</v>
      </c>
      <c r="E49" s="27">
        <v>17</v>
      </c>
      <c r="F49" s="27">
        <v>0</v>
      </c>
      <c r="G49" s="27">
        <v>23</v>
      </c>
      <c r="H49" s="27">
        <v>1</v>
      </c>
      <c r="I49" s="27">
        <v>12</v>
      </c>
      <c r="J49" s="27">
        <v>4</v>
      </c>
      <c r="K49" s="27">
        <f t="shared" si="2"/>
        <v>57</v>
      </c>
      <c r="L49" s="2">
        <v>57</v>
      </c>
      <c r="M49" s="27">
        <v>100</v>
      </c>
      <c r="N49" s="2">
        <v>3335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8">
        <f t="shared" si="3"/>
        <v>0</v>
      </c>
      <c r="V49" s="2">
        <v>8646.66</v>
      </c>
      <c r="W49" s="27">
        <v>49</v>
      </c>
      <c r="X49" s="2">
        <v>350</v>
      </c>
      <c r="Y49" s="2">
        <v>5650</v>
      </c>
      <c r="Z49" s="2">
        <v>2050</v>
      </c>
      <c r="AA49" s="2">
        <v>100</v>
      </c>
      <c r="AB49" s="2">
        <f t="shared" si="4"/>
        <v>8150</v>
      </c>
      <c r="AC49" s="23">
        <v>1905</v>
      </c>
      <c r="AD49" s="27" t="s">
        <v>492</v>
      </c>
      <c r="AE49" s="27" t="s">
        <v>495</v>
      </c>
      <c r="AF49" s="27" t="s">
        <v>383</v>
      </c>
      <c r="AG49" s="27" t="s">
        <v>492</v>
      </c>
      <c r="AH49" s="27" t="s">
        <v>383</v>
      </c>
      <c r="AI49" s="27" t="s">
        <v>494</v>
      </c>
      <c r="AJ49" s="27" t="s">
        <v>492</v>
      </c>
      <c r="AK49" s="27" t="s">
        <v>383</v>
      </c>
    </row>
    <row r="50" spans="1:37" x14ac:dyDescent="0.25">
      <c r="A50" s="27" t="s">
        <v>781</v>
      </c>
      <c r="B50" s="27" t="str">
        <f t="shared" si="0"/>
        <v>Georgia</v>
      </c>
      <c r="C50" s="27" t="str">
        <f t="shared" si="1"/>
        <v>Franklin</v>
      </c>
      <c r="D50" s="27"/>
      <c r="E50" s="27">
        <v>22</v>
      </c>
      <c r="F50" s="27">
        <v>1</v>
      </c>
      <c r="G50" s="27">
        <v>11</v>
      </c>
      <c r="H50" s="27">
        <v>2</v>
      </c>
      <c r="I50" s="27">
        <v>5</v>
      </c>
      <c r="J50" s="27">
        <v>14</v>
      </c>
      <c r="K50" s="27">
        <f t="shared" si="2"/>
        <v>55</v>
      </c>
      <c r="L50" s="2">
        <v>57</v>
      </c>
      <c r="M50" s="27">
        <v>100</v>
      </c>
      <c r="N50" s="27"/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8">
        <f t="shared" si="3"/>
        <v>0</v>
      </c>
      <c r="V50" s="2">
        <v>10778.68</v>
      </c>
      <c r="W50" s="27">
        <v>40</v>
      </c>
      <c r="Y50" s="2">
        <v>5590</v>
      </c>
      <c r="Z50" s="2">
        <v>12200</v>
      </c>
      <c r="AB50" s="2">
        <f t="shared" si="4"/>
        <v>17790</v>
      </c>
      <c r="AC50" s="23">
        <v>1905</v>
      </c>
      <c r="AD50" s="27" t="s">
        <v>492</v>
      </c>
      <c r="AE50" s="27" t="s">
        <v>495</v>
      </c>
      <c r="AF50" s="27" t="s">
        <v>383</v>
      </c>
      <c r="AG50" s="27" t="s">
        <v>492</v>
      </c>
      <c r="AH50" s="27" t="s">
        <v>383</v>
      </c>
      <c r="AI50" s="27" t="s">
        <v>494</v>
      </c>
      <c r="AJ50" s="27" t="s">
        <v>492</v>
      </c>
      <c r="AK50" s="27" t="s">
        <v>383</v>
      </c>
    </row>
    <row r="51" spans="1:37" x14ac:dyDescent="0.25">
      <c r="A51" s="27" t="s">
        <v>783</v>
      </c>
      <c r="B51" s="27" t="str">
        <f t="shared" si="0"/>
        <v>Georgia</v>
      </c>
      <c r="C51" s="27" t="str">
        <f t="shared" si="1"/>
        <v>Gilmer</v>
      </c>
      <c r="D51" s="27">
        <v>1543</v>
      </c>
      <c r="E51" s="27">
        <v>31</v>
      </c>
      <c r="F51" s="27">
        <v>0</v>
      </c>
      <c r="G51" s="27">
        <v>15</v>
      </c>
      <c r="H51" s="27">
        <v>0</v>
      </c>
      <c r="I51" s="27">
        <v>21</v>
      </c>
      <c r="J51" s="27">
        <v>1</v>
      </c>
      <c r="K51" s="27">
        <f t="shared" si="2"/>
        <v>68</v>
      </c>
      <c r="L51" s="2">
        <v>65</v>
      </c>
      <c r="M51" s="27"/>
      <c r="N51" s="2">
        <v>2614</v>
      </c>
      <c r="O51" s="2">
        <v>30</v>
      </c>
      <c r="P51" s="2">
        <v>0</v>
      </c>
      <c r="Q51" s="2">
        <v>24</v>
      </c>
      <c r="R51" s="2">
        <v>0</v>
      </c>
      <c r="S51" s="2">
        <v>20</v>
      </c>
      <c r="T51" s="2">
        <v>20</v>
      </c>
      <c r="U51" s="28">
        <f t="shared" si="3"/>
        <v>25.441176470588236</v>
      </c>
      <c r="V51" s="2">
        <v>7927.92</v>
      </c>
      <c r="W51" s="27">
        <v>21</v>
      </c>
      <c r="X51" s="2">
        <v>5075</v>
      </c>
      <c r="Y51" s="2">
        <v>1800</v>
      </c>
      <c r="Z51" s="2">
        <v>5000</v>
      </c>
      <c r="AA51" s="2">
        <v>1200</v>
      </c>
      <c r="AB51" s="2">
        <f t="shared" si="4"/>
        <v>13075</v>
      </c>
      <c r="AC51" s="23">
        <v>1905</v>
      </c>
      <c r="AD51" s="27" t="s">
        <v>492</v>
      </c>
      <c r="AE51" s="27" t="s">
        <v>495</v>
      </c>
      <c r="AF51" s="27" t="s">
        <v>383</v>
      </c>
      <c r="AG51" s="27" t="s">
        <v>492</v>
      </c>
      <c r="AH51" s="27" t="s">
        <v>383</v>
      </c>
      <c r="AI51" s="27" t="s">
        <v>494</v>
      </c>
      <c r="AJ51" s="27" t="s">
        <v>492</v>
      </c>
      <c r="AK51" s="27" t="s">
        <v>383</v>
      </c>
    </row>
    <row r="52" spans="1:37" x14ac:dyDescent="0.25">
      <c r="A52" s="27" t="s">
        <v>784</v>
      </c>
      <c r="B52" s="27" t="str">
        <f t="shared" si="0"/>
        <v>Georgia</v>
      </c>
      <c r="C52" s="27" t="str">
        <f t="shared" si="1"/>
        <v>Glascock</v>
      </c>
      <c r="D52" s="27">
        <v>668</v>
      </c>
      <c r="E52" s="27">
        <v>7</v>
      </c>
      <c r="F52" s="27">
        <v>0</v>
      </c>
      <c r="G52" s="27">
        <v>7</v>
      </c>
      <c r="H52" s="27">
        <v>1</v>
      </c>
      <c r="I52" s="27">
        <v>1</v>
      </c>
      <c r="J52" s="27">
        <v>5</v>
      </c>
      <c r="K52" s="27">
        <f t="shared" si="2"/>
        <v>21</v>
      </c>
      <c r="L52" s="2">
        <v>21</v>
      </c>
      <c r="M52" s="27">
        <v>110</v>
      </c>
      <c r="N52" s="2">
        <v>1254</v>
      </c>
      <c r="O52" s="2">
        <v>30</v>
      </c>
      <c r="P52" s="2">
        <v>25</v>
      </c>
      <c r="Q52" s="2">
        <v>25</v>
      </c>
      <c r="R52" s="2">
        <v>20</v>
      </c>
      <c r="S52" s="2">
        <v>20</v>
      </c>
      <c r="T52" s="2">
        <v>15</v>
      </c>
      <c r="U52" s="28">
        <f t="shared" si="3"/>
        <v>23.80952380952381</v>
      </c>
      <c r="V52" s="2">
        <v>3426.72</v>
      </c>
      <c r="W52" s="27">
        <v>54</v>
      </c>
      <c r="Y52" s="2">
        <v>3000</v>
      </c>
      <c r="Z52" s="2">
        <v>1800</v>
      </c>
      <c r="AA52" s="2"/>
      <c r="AB52" s="2">
        <f t="shared" si="4"/>
        <v>4800</v>
      </c>
      <c r="AC52" s="23">
        <v>1905</v>
      </c>
      <c r="AD52" s="27" t="s">
        <v>492</v>
      </c>
      <c r="AE52" s="27" t="s">
        <v>495</v>
      </c>
      <c r="AF52" s="27" t="s">
        <v>383</v>
      </c>
      <c r="AG52" s="27" t="s">
        <v>492</v>
      </c>
      <c r="AH52" s="27" t="s">
        <v>383</v>
      </c>
      <c r="AI52" s="27" t="s">
        <v>494</v>
      </c>
      <c r="AJ52" s="27" t="s">
        <v>492</v>
      </c>
      <c r="AK52" s="27" t="s">
        <v>383</v>
      </c>
    </row>
    <row r="53" spans="1:37" x14ac:dyDescent="0.25">
      <c r="A53" s="27" t="s">
        <v>786</v>
      </c>
      <c r="B53" s="27" t="str">
        <f t="shared" si="0"/>
        <v>Georgia</v>
      </c>
      <c r="C53" s="27" t="str">
        <f t="shared" si="1"/>
        <v>Gordon</v>
      </c>
      <c r="D53" s="27">
        <v>1755</v>
      </c>
      <c r="E53" s="27">
        <v>32</v>
      </c>
      <c r="F53" s="27">
        <v>6</v>
      </c>
      <c r="G53" s="27">
        <v>16</v>
      </c>
      <c r="H53" s="27">
        <v>0</v>
      </c>
      <c r="I53" s="27">
        <v>20</v>
      </c>
      <c r="J53" s="27">
        <v>6</v>
      </c>
      <c r="K53" s="27">
        <f t="shared" si="2"/>
        <v>80</v>
      </c>
      <c r="L53" s="2">
        <v>72</v>
      </c>
      <c r="M53" s="27">
        <v>100</v>
      </c>
      <c r="N53" s="2">
        <v>3341</v>
      </c>
      <c r="O53" s="2">
        <v>35</v>
      </c>
      <c r="P53" s="2">
        <v>0</v>
      </c>
      <c r="Q53" s="2">
        <v>30</v>
      </c>
      <c r="R53" s="2">
        <v>0</v>
      </c>
      <c r="S53" s="2">
        <v>22.5</v>
      </c>
      <c r="T53" s="2">
        <v>17.5</v>
      </c>
      <c r="U53" s="28">
        <f t="shared" si="3"/>
        <v>26.9375</v>
      </c>
      <c r="V53" s="2">
        <v>10224.5</v>
      </c>
      <c r="W53" s="27">
        <v>59</v>
      </c>
      <c r="X53" s="2">
        <v>500</v>
      </c>
      <c r="Y53" s="2">
        <v>11500</v>
      </c>
      <c r="Z53" s="2">
        <v>6000</v>
      </c>
      <c r="AA53" s="2">
        <v>1500</v>
      </c>
      <c r="AB53" s="2">
        <f t="shared" si="4"/>
        <v>19500</v>
      </c>
      <c r="AC53" s="23">
        <v>1905</v>
      </c>
      <c r="AD53" s="27" t="s">
        <v>492</v>
      </c>
      <c r="AE53" s="27" t="s">
        <v>495</v>
      </c>
      <c r="AF53" s="27" t="s">
        <v>383</v>
      </c>
      <c r="AG53" s="27" t="s">
        <v>492</v>
      </c>
      <c r="AH53" s="27" t="s">
        <v>383</v>
      </c>
      <c r="AI53" s="27" t="s">
        <v>494</v>
      </c>
      <c r="AJ53" s="27" t="s">
        <v>492</v>
      </c>
      <c r="AK53" s="27" t="s">
        <v>383</v>
      </c>
    </row>
    <row r="54" spans="1:37" s="98" customFormat="1" x14ac:dyDescent="0.25">
      <c r="A54" s="98" t="s">
        <v>787</v>
      </c>
      <c r="B54" s="98" t="str">
        <f t="shared" si="0"/>
        <v>Georgia</v>
      </c>
      <c r="C54" s="98" t="str">
        <f t="shared" si="1"/>
        <v>Grady</v>
      </c>
      <c r="M54" s="98">
        <v>120</v>
      </c>
      <c r="U54" s="100"/>
      <c r="V54" s="99">
        <v>12446.06</v>
      </c>
      <c r="W54" s="98">
        <v>87</v>
      </c>
      <c r="AB54" s="2">
        <f t="shared" si="4"/>
        <v>0</v>
      </c>
      <c r="AC54" s="130">
        <v>1905</v>
      </c>
      <c r="AD54" s="98" t="s">
        <v>492</v>
      </c>
      <c r="AE54" s="98" t="s">
        <v>495</v>
      </c>
      <c r="AF54" s="98" t="s">
        <v>383</v>
      </c>
      <c r="AG54" s="98" t="s">
        <v>492</v>
      </c>
      <c r="AH54" s="98" t="s">
        <v>383</v>
      </c>
      <c r="AI54" s="98" t="s">
        <v>494</v>
      </c>
      <c r="AJ54" s="98" t="s">
        <v>492</v>
      </c>
      <c r="AK54" s="98" t="s">
        <v>383</v>
      </c>
    </row>
    <row r="55" spans="1:37" x14ac:dyDescent="0.25">
      <c r="A55" s="27" t="s">
        <v>788</v>
      </c>
      <c r="B55" s="27" t="str">
        <f t="shared" si="0"/>
        <v>Georgia</v>
      </c>
      <c r="C55" s="27" t="str">
        <f t="shared" si="1"/>
        <v>Greene</v>
      </c>
      <c r="D55" s="27">
        <v>1926</v>
      </c>
      <c r="E55" s="27">
        <v>19</v>
      </c>
      <c r="F55" s="27">
        <v>3</v>
      </c>
      <c r="G55" s="27">
        <v>6</v>
      </c>
      <c r="H55" s="27">
        <v>11</v>
      </c>
      <c r="I55" s="27">
        <v>4</v>
      </c>
      <c r="J55" s="27">
        <v>19</v>
      </c>
      <c r="K55" s="27">
        <f t="shared" si="2"/>
        <v>62</v>
      </c>
      <c r="L55" s="2">
        <v>62</v>
      </c>
      <c r="M55" s="27">
        <v>120</v>
      </c>
      <c r="N55" s="2">
        <v>3411</v>
      </c>
      <c r="O55" s="2">
        <v>44</v>
      </c>
      <c r="P55" s="2">
        <v>22</v>
      </c>
      <c r="Q55" s="2">
        <v>35</v>
      </c>
      <c r="R55" s="2">
        <v>22</v>
      </c>
      <c r="S55" s="2">
        <v>27</v>
      </c>
      <c r="T55" s="2">
        <v>16.5</v>
      </c>
      <c r="U55" s="28">
        <f t="shared" si="3"/>
        <v>28.637096774193548</v>
      </c>
      <c r="V55" s="2">
        <v>13535.06</v>
      </c>
      <c r="W55" s="27">
        <v>56</v>
      </c>
      <c r="X55" s="29">
        <v>2515</v>
      </c>
      <c r="Y55" s="29">
        <v>4125</v>
      </c>
      <c r="Z55" s="27">
        <f>3400+900</f>
        <v>4300</v>
      </c>
      <c r="AA55" s="29">
        <v>2000</v>
      </c>
      <c r="AB55" s="2">
        <f t="shared" si="4"/>
        <v>12940</v>
      </c>
      <c r="AC55" s="23">
        <v>1905</v>
      </c>
      <c r="AD55" s="27" t="s">
        <v>492</v>
      </c>
      <c r="AE55" s="27" t="s">
        <v>495</v>
      </c>
      <c r="AF55" s="27" t="s">
        <v>383</v>
      </c>
      <c r="AG55" s="27" t="s">
        <v>492</v>
      </c>
      <c r="AH55" s="27" t="s">
        <v>383</v>
      </c>
      <c r="AI55" s="27" t="s">
        <v>494</v>
      </c>
      <c r="AJ55" s="27" t="s">
        <v>492</v>
      </c>
      <c r="AK55" s="27" t="s">
        <v>383</v>
      </c>
    </row>
    <row r="56" spans="1:37" x14ac:dyDescent="0.25">
      <c r="A56" s="27" t="s">
        <v>789</v>
      </c>
      <c r="B56" s="27" t="str">
        <f t="shared" si="0"/>
        <v>Georgia</v>
      </c>
      <c r="C56" s="27" t="str">
        <f t="shared" si="1"/>
        <v>Gwinnett</v>
      </c>
      <c r="D56" s="27">
        <v>2411</v>
      </c>
      <c r="E56" s="27">
        <v>40</v>
      </c>
      <c r="F56" s="27">
        <v>1</v>
      </c>
      <c r="G56" s="27">
        <v>44</v>
      </c>
      <c r="H56" s="27">
        <v>5</v>
      </c>
      <c r="I56" s="27">
        <v>11</v>
      </c>
      <c r="J56" s="27">
        <v>11</v>
      </c>
      <c r="K56" s="27">
        <f t="shared" si="2"/>
        <v>112</v>
      </c>
      <c r="L56" s="2">
        <v>120</v>
      </c>
      <c r="M56" s="27">
        <v>100</v>
      </c>
      <c r="N56" s="2">
        <v>6684</v>
      </c>
      <c r="O56" s="2">
        <v>40</v>
      </c>
      <c r="P56" s="2">
        <v>20</v>
      </c>
      <c r="Q56" s="2">
        <v>35</v>
      </c>
      <c r="R56" s="2">
        <v>20</v>
      </c>
      <c r="S56" s="2">
        <v>30</v>
      </c>
      <c r="T56" s="2">
        <v>20</v>
      </c>
      <c r="U56" s="28">
        <f t="shared" si="3"/>
        <v>34.017857142857146</v>
      </c>
      <c r="V56" s="2">
        <v>18755</v>
      </c>
      <c r="W56" s="27">
        <v>78</v>
      </c>
      <c r="X56" s="2">
        <v>2500</v>
      </c>
      <c r="Y56" s="2">
        <v>12500</v>
      </c>
      <c r="AA56" s="29"/>
      <c r="AB56" s="2">
        <f t="shared" si="4"/>
        <v>15000</v>
      </c>
      <c r="AC56" s="23">
        <v>1905</v>
      </c>
      <c r="AD56" s="27" t="s">
        <v>492</v>
      </c>
      <c r="AE56" s="27" t="s">
        <v>495</v>
      </c>
      <c r="AF56" s="27" t="s">
        <v>383</v>
      </c>
      <c r="AG56" s="27" t="s">
        <v>492</v>
      </c>
      <c r="AH56" s="27" t="s">
        <v>383</v>
      </c>
      <c r="AI56" s="27" t="s">
        <v>494</v>
      </c>
      <c r="AJ56" s="27" t="s">
        <v>492</v>
      </c>
      <c r="AK56" s="27" t="s">
        <v>383</v>
      </c>
    </row>
    <row r="57" spans="1:37" x14ac:dyDescent="0.25">
      <c r="A57" s="27" t="s">
        <v>790</v>
      </c>
      <c r="B57" s="27" t="str">
        <f t="shared" si="0"/>
        <v>Georgia</v>
      </c>
      <c r="C57" s="27" t="str">
        <f t="shared" si="1"/>
        <v>Habersham</v>
      </c>
      <c r="D57" s="27">
        <v>1544</v>
      </c>
      <c r="E57" s="27">
        <v>26</v>
      </c>
      <c r="F57" s="27">
        <v>0</v>
      </c>
      <c r="G57" s="27">
        <v>14</v>
      </c>
      <c r="H57" s="27">
        <v>1</v>
      </c>
      <c r="I57" s="27">
        <v>9</v>
      </c>
      <c r="J57" s="27">
        <v>6</v>
      </c>
      <c r="K57" s="27">
        <f t="shared" si="2"/>
        <v>56</v>
      </c>
      <c r="L57" s="2">
        <v>57</v>
      </c>
      <c r="M57" s="27">
        <v>100</v>
      </c>
      <c r="N57" s="2">
        <v>2581</v>
      </c>
      <c r="O57" s="2">
        <v>27</v>
      </c>
      <c r="P57" s="2">
        <v>0</v>
      </c>
      <c r="Q57" s="2">
        <v>23.5</v>
      </c>
      <c r="R57" s="2">
        <v>21.5</v>
      </c>
      <c r="S57" s="2">
        <v>22</v>
      </c>
      <c r="T57" s="2">
        <v>10</v>
      </c>
      <c r="U57" s="28">
        <f t="shared" si="3"/>
        <v>23.401785714285715</v>
      </c>
      <c r="V57" s="2">
        <v>6596.92</v>
      </c>
      <c r="W57" s="27">
        <v>47</v>
      </c>
      <c r="X57" s="2">
        <v>6250</v>
      </c>
      <c r="Y57" s="2">
        <v>2325</v>
      </c>
      <c r="Z57" s="27">
        <f>500+2900</f>
        <v>3400</v>
      </c>
      <c r="AA57" s="29">
        <v>1000</v>
      </c>
      <c r="AB57" s="2">
        <f t="shared" si="4"/>
        <v>12975</v>
      </c>
      <c r="AC57" s="23">
        <v>1905</v>
      </c>
      <c r="AD57" s="27" t="s">
        <v>492</v>
      </c>
      <c r="AE57" s="27" t="s">
        <v>495</v>
      </c>
      <c r="AF57" s="27" t="s">
        <v>383</v>
      </c>
      <c r="AG57" s="27" t="s">
        <v>492</v>
      </c>
      <c r="AH57" s="27" t="s">
        <v>383</v>
      </c>
      <c r="AI57" s="27" t="s">
        <v>494</v>
      </c>
      <c r="AJ57" s="27" t="s">
        <v>492</v>
      </c>
      <c r="AK57" s="27" t="s">
        <v>383</v>
      </c>
    </row>
    <row r="58" spans="1:37" x14ac:dyDescent="0.25">
      <c r="A58" s="27" t="s">
        <v>791</v>
      </c>
      <c r="B58" s="27" t="str">
        <f t="shared" si="0"/>
        <v>Georgia</v>
      </c>
      <c r="C58" s="27" t="str">
        <f t="shared" si="1"/>
        <v>Hall</v>
      </c>
      <c r="D58" s="27">
        <v>2751</v>
      </c>
      <c r="E58" s="27">
        <v>32</v>
      </c>
      <c r="F58" s="27">
        <v>0</v>
      </c>
      <c r="G58" s="27">
        <v>16</v>
      </c>
      <c r="H58" s="27">
        <v>1</v>
      </c>
      <c r="I58" s="27">
        <v>19</v>
      </c>
      <c r="J58" s="27">
        <v>14</v>
      </c>
      <c r="K58" s="27">
        <f t="shared" si="2"/>
        <v>82</v>
      </c>
      <c r="L58" s="2">
        <v>82</v>
      </c>
      <c r="M58" s="27">
        <v>100</v>
      </c>
      <c r="N58" s="2">
        <v>5089</v>
      </c>
      <c r="O58" s="2">
        <v>40</v>
      </c>
      <c r="P58" s="2">
        <v>0</v>
      </c>
      <c r="Q58" s="2">
        <v>30</v>
      </c>
      <c r="R58" s="2">
        <v>25</v>
      </c>
      <c r="S58" s="2">
        <v>25</v>
      </c>
      <c r="T58" s="2">
        <v>16</v>
      </c>
      <c r="U58" s="28">
        <f t="shared" si="3"/>
        <v>30.292682926829269</v>
      </c>
      <c r="V58" s="2">
        <v>14827.34</v>
      </c>
      <c r="W58" s="27">
        <v>68</v>
      </c>
      <c r="X58" s="2">
        <v>2830</v>
      </c>
      <c r="Y58" s="2">
        <v>9250</v>
      </c>
      <c r="Z58" s="2">
        <v>57500</v>
      </c>
      <c r="AA58" s="29">
        <v>500</v>
      </c>
      <c r="AB58" s="2">
        <f t="shared" si="4"/>
        <v>70080</v>
      </c>
      <c r="AC58" s="23">
        <v>1905</v>
      </c>
      <c r="AD58" s="27" t="s">
        <v>492</v>
      </c>
      <c r="AE58" s="27" t="s">
        <v>495</v>
      </c>
      <c r="AF58" s="27" t="s">
        <v>383</v>
      </c>
      <c r="AG58" s="27" t="s">
        <v>492</v>
      </c>
      <c r="AH58" s="27" t="s">
        <v>383</v>
      </c>
      <c r="AI58" s="27" t="s">
        <v>494</v>
      </c>
      <c r="AJ58" s="27" t="s">
        <v>492</v>
      </c>
      <c r="AK58" s="27" t="s">
        <v>383</v>
      </c>
    </row>
    <row r="59" spans="1:37" x14ac:dyDescent="0.25">
      <c r="A59" s="27" t="s">
        <v>793</v>
      </c>
      <c r="B59" s="27" t="str">
        <f t="shared" si="0"/>
        <v>Georgia</v>
      </c>
      <c r="C59" s="27" t="str">
        <f t="shared" si="1"/>
        <v>Haralson</v>
      </c>
      <c r="D59" s="27">
        <v>2018</v>
      </c>
      <c r="E59" s="27">
        <v>19</v>
      </c>
      <c r="F59" s="27">
        <v>0</v>
      </c>
      <c r="G59" s="27">
        <v>10</v>
      </c>
      <c r="H59" s="27">
        <v>2</v>
      </c>
      <c r="I59" s="27">
        <v>15</v>
      </c>
      <c r="J59" s="27">
        <v>7</v>
      </c>
      <c r="K59" s="27">
        <f t="shared" si="2"/>
        <v>53</v>
      </c>
      <c r="L59" s="2">
        <v>53</v>
      </c>
      <c r="M59" s="27">
        <v>110</v>
      </c>
      <c r="N59" s="2">
        <v>3709</v>
      </c>
      <c r="O59" s="2">
        <v>33</v>
      </c>
      <c r="P59" s="2">
        <v>0</v>
      </c>
      <c r="Q59" s="2">
        <v>30</v>
      </c>
      <c r="R59" s="2">
        <v>27</v>
      </c>
      <c r="S59" s="2">
        <v>27</v>
      </c>
      <c r="T59" s="2">
        <v>20</v>
      </c>
      <c r="U59" s="28">
        <f t="shared" si="3"/>
        <v>28.79245283018868</v>
      </c>
      <c r="V59" s="2">
        <v>9469.4599999999991</v>
      </c>
      <c r="W59" s="27">
        <v>56</v>
      </c>
      <c r="X59" s="2">
        <v>400</v>
      </c>
      <c r="Y59" s="2">
        <v>3200</v>
      </c>
      <c r="Z59" s="2">
        <v>20200</v>
      </c>
      <c r="AA59" s="29">
        <v>1000</v>
      </c>
      <c r="AB59" s="2">
        <f t="shared" si="4"/>
        <v>24800</v>
      </c>
      <c r="AC59" s="23">
        <v>1905</v>
      </c>
      <c r="AD59" s="27" t="s">
        <v>492</v>
      </c>
      <c r="AE59" s="27" t="s">
        <v>495</v>
      </c>
      <c r="AF59" s="27" t="s">
        <v>383</v>
      </c>
      <c r="AG59" s="27" t="s">
        <v>492</v>
      </c>
      <c r="AH59" s="27" t="s">
        <v>383</v>
      </c>
      <c r="AI59" s="27" t="s">
        <v>494</v>
      </c>
      <c r="AJ59" s="27" t="s">
        <v>492</v>
      </c>
      <c r="AK59" s="27" t="s">
        <v>383</v>
      </c>
    </row>
    <row r="60" spans="1:37" x14ac:dyDescent="0.25">
      <c r="A60" s="27" t="s">
        <v>794</v>
      </c>
      <c r="B60" s="27" t="str">
        <f t="shared" si="0"/>
        <v>Georgia</v>
      </c>
      <c r="C60" s="27" t="str">
        <f t="shared" si="1"/>
        <v>Harris</v>
      </c>
      <c r="D60" s="27">
        <v>2352</v>
      </c>
      <c r="E60" s="27">
        <v>19</v>
      </c>
      <c r="F60" s="27">
        <v>0</v>
      </c>
      <c r="G60" s="27">
        <v>9</v>
      </c>
      <c r="H60" s="27">
        <v>4</v>
      </c>
      <c r="I60" s="27">
        <v>2</v>
      </c>
      <c r="J60" s="27">
        <v>32</v>
      </c>
      <c r="K60" s="27">
        <f t="shared" si="2"/>
        <v>66</v>
      </c>
      <c r="L60" s="2">
        <v>66</v>
      </c>
      <c r="M60" s="27">
        <v>100</v>
      </c>
      <c r="N60" s="2">
        <v>3652</v>
      </c>
      <c r="O60" s="2">
        <v>48</v>
      </c>
      <c r="P60" s="2">
        <v>0</v>
      </c>
      <c r="Q60" s="2">
        <v>33</v>
      </c>
      <c r="R60" s="2">
        <v>23</v>
      </c>
      <c r="S60" s="2">
        <v>28</v>
      </c>
      <c r="T60" s="2">
        <v>17</v>
      </c>
      <c r="U60" s="28">
        <f t="shared" si="3"/>
        <v>28.803030303030305</v>
      </c>
      <c r="V60" s="2">
        <v>12760.66</v>
      </c>
      <c r="W60" s="27">
        <v>62</v>
      </c>
      <c r="X60" s="2">
        <v>750</v>
      </c>
      <c r="Y60" s="2">
        <v>5200</v>
      </c>
      <c r="Z60" s="2">
        <v>5600</v>
      </c>
      <c r="AA60" s="29">
        <v>2000</v>
      </c>
      <c r="AB60" s="2">
        <f t="shared" si="4"/>
        <v>13550</v>
      </c>
      <c r="AC60" s="23">
        <v>1905</v>
      </c>
      <c r="AD60" s="27" t="s">
        <v>492</v>
      </c>
      <c r="AE60" s="27" t="s">
        <v>495</v>
      </c>
      <c r="AF60" s="27" t="s">
        <v>383</v>
      </c>
      <c r="AG60" s="27" t="s">
        <v>492</v>
      </c>
      <c r="AH60" s="27" t="s">
        <v>383</v>
      </c>
      <c r="AI60" s="27" t="s">
        <v>494</v>
      </c>
      <c r="AJ60" s="27" t="s">
        <v>492</v>
      </c>
      <c r="AK60" s="27" t="s">
        <v>383</v>
      </c>
    </row>
    <row r="61" spans="1:37" x14ac:dyDescent="0.25">
      <c r="A61" s="27" t="s">
        <v>795</v>
      </c>
      <c r="B61" s="27" t="str">
        <f t="shared" si="0"/>
        <v>Georgia</v>
      </c>
      <c r="C61" s="27" t="str">
        <f t="shared" si="1"/>
        <v>Hart</v>
      </c>
      <c r="D61" s="27">
        <v>1795</v>
      </c>
      <c r="E61" s="27">
        <v>44</v>
      </c>
      <c r="F61" s="27">
        <v>4</v>
      </c>
      <c r="G61" s="27">
        <v>17</v>
      </c>
      <c r="H61" s="27">
        <v>1</v>
      </c>
      <c r="I61" s="27">
        <v>4</v>
      </c>
      <c r="J61" s="27">
        <v>17</v>
      </c>
      <c r="K61" s="27">
        <f t="shared" si="2"/>
        <v>87</v>
      </c>
      <c r="L61" s="2">
        <v>82</v>
      </c>
      <c r="M61" s="27">
        <v>100</v>
      </c>
      <c r="N61" s="2">
        <v>3854</v>
      </c>
      <c r="O61" s="2">
        <v>38</v>
      </c>
      <c r="P61" s="2">
        <v>25</v>
      </c>
      <c r="Q61" s="2">
        <v>29</v>
      </c>
      <c r="R61" s="2">
        <v>20</v>
      </c>
      <c r="S61" s="2">
        <v>20</v>
      </c>
      <c r="T61" s="2">
        <v>16</v>
      </c>
      <c r="U61" s="28">
        <f t="shared" si="3"/>
        <v>30.310344827586206</v>
      </c>
      <c r="V61" s="2">
        <v>10875.48</v>
      </c>
      <c r="W61" s="27">
        <v>57</v>
      </c>
      <c r="X61" s="2">
        <v>3300</v>
      </c>
      <c r="Y61" s="2">
        <v>3300</v>
      </c>
      <c r="Z61" s="2">
        <v>7000</v>
      </c>
      <c r="AA61" s="29">
        <v>2800</v>
      </c>
      <c r="AB61" s="2">
        <f t="shared" si="4"/>
        <v>16400</v>
      </c>
      <c r="AC61" s="23">
        <v>1905</v>
      </c>
      <c r="AD61" s="27" t="s">
        <v>492</v>
      </c>
      <c r="AE61" s="27" t="s">
        <v>495</v>
      </c>
      <c r="AF61" s="27" t="s">
        <v>383</v>
      </c>
      <c r="AG61" s="27" t="s">
        <v>492</v>
      </c>
      <c r="AH61" s="27" t="s">
        <v>383</v>
      </c>
      <c r="AI61" s="27" t="s">
        <v>494</v>
      </c>
      <c r="AJ61" s="27" t="s">
        <v>492</v>
      </c>
      <c r="AK61" s="27" t="s">
        <v>383</v>
      </c>
    </row>
    <row r="62" spans="1:37" x14ac:dyDescent="0.25">
      <c r="A62" s="27" t="s">
        <v>796</v>
      </c>
      <c r="B62" s="27" t="str">
        <f t="shared" si="0"/>
        <v>Georgia</v>
      </c>
      <c r="C62" s="27" t="str">
        <f t="shared" si="1"/>
        <v>Heard</v>
      </c>
      <c r="D62" s="27">
        <v>2240</v>
      </c>
      <c r="E62" s="27">
        <v>14</v>
      </c>
      <c r="F62" s="27">
        <v>1</v>
      </c>
      <c r="G62" s="27">
        <v>16</v>
      </c>
      <c r="H62" s="27">
        <v>0</v>
      </c>
      <c r="I62" s="27">
        <v>11</v>
      </c>
      <c r="J62" s="27">
        <v>20</v>
      </c>
      <c r="K62" s="27">
        <f t="shared" si="2"/>
        <v>62</v>
      </c>
      <c r="L62" s="2">
        <v>62</v>
      </c>
      <c r="M62" s="27">
        <v>140</v>
      </c>
      <c r="N62" s="2">
        <v>3628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8">
        <f t="shared" si="3"/>
        <v>0</v>
      </c>
      <c r="V62" s="2">
        <v>8641.82</v>
      </c>
      <c r="W62" s="27">
        <v>62</v>
      </c>
      <c r="X62" s="2">
        <v>200</v>
      </c>
      <c r="Y62" s="2">
        <v>2500</v>
      </c>
      <c r="Z62" s="2">
        <v>1800</v>
      </c>
      <c r="AA62" s="29">
        <v>100</v>
      </c>
      <c r="AB62" s="2">
        <f t="shared" si="4"/>
        <v>4600</v>
      </c>
      <c r="AC62" s="23">
        <v>1905</v>
      </c>
      <c r="AD62" s="27" t="s">
        <v>492</v>
      </c>
      <c r="AE62" s="27" t="s">
        <v>495</v>
      </c>
      <c r="AF62" s="27" t="s">
        <v>383</v>
      </c>
      <c r="AG62" s="27" t="s">
        <v>492</v>
      </c>
      <c r="AH62" s="27" t="s">
        <v>383</v>
      </c>
      <c r="AI62" s="27" t="s">
        <v>494</v>
      </c>
      <c r="AJ62" s="27" t="s">
        <v>492</v>
      </c>
      <c r="AK62" s="27" t="s">
        <v>383</v>
      </c>
    </row>
    <row r="63" spans="1:37" x14ac:dyDescent="0.25">
      <c r="A63" s="27" t="s">
        <v>797</v>
      </c>
      <c r="B63" s="27" t="str">
        <f t="shared" si="0"/>
        <v>Georgia</v>
      </c>
      <c r="C63" s="27" t="str">
        <f t="shared" si="1"/>
        <v>Henry</v>
      </c>
      <c r="D63" s="27">
        <v>2987</v>
      </c>
      <c r="E63" s="27">
        <v>22</v>
      </c>
      <c r="F63" s="27">
        <v>11</v>
      </c>
      <c r="G63" s="27">
        <v>8</v>
      </c>
      <c r="H63" s="27">
        <v>6</v>
      </c>
      <c r="I63" s="27">
        <v>1</v>
      </c>
      <c r="J63" s="27">
        <v>56</v>
      </c>
      <c r="K63" s="27">
        <f t="shared" si="2"/>
        <v>104</v>
      </c>
      <c r="L63" s="2">
        <v>94</v>
      </c>
      <c r="M63" s="27"/>
      <c r="N63" s="2">
        <v>5159</v>
      </c>
      <c r="O63" s="2">
        <v>45</v>
      </c>
      <c r="P63" s="2">
        <v>35</v>
      </c>
      <c r="Q63" s="2">
        <v>35</v>
      </c>
      <c r="R63" s="2">
        <v>25</v>
      </c>
      <c r="S63" s="2">
        <v>30</v>
      </c>
      <c r="T63" s="2">
        <v>17.5</v>
      </c>
      <c r="U63" s="28">
        <f t="shared" si="3"/>
        <v>27.067307692307693</v>
      </c>
      <c r="V63" s="2">
        <v>13162.38</v>
      </c>
      <c r="W63" s="27">
        <v>74</v>
      </c>
      <c r="X63" s="2">
        <v>100</v>
      </c>
      <c r="Y63" s="2">
        <v>18750</v>
      </c>
      <c r="Z63" s="2">
        <v>39650</v>
      </c>
      <c r="AA63" s="29">
        <v>1000</v>
      </c>
      <c r="AB63" s="2">
        <f t="shared" si="4"/>
        <v>59500</v>
      </c>
      <c r="AC63" s="23">
        <v>1905</v>
      </c>
      <c r="AD63" s="27" t="s">
        <v>492</v>
      </c>
      <c r="AE63" s="27" t="s">
        <v>495</v>
      </c>
      <c r="AF63" s="27" t="s">
        <v>383</v>
      </c>
      <c r="AG63" s="27" t="s">
        <v>492</v>
      </c>
      <c r="AH63" s="27" t="s">
        <v>383</v>
      </c>
      <c r="AI63" s="27" t="s">
        <v>494</v>
      </c>
      <c r="AJ63" s="27" t="s">
        <v>492</v>
      </c>
      <c r="AK63" s="27" t="s">
        <v>383</v>
      </c>
    </row>
    <row r="64" spans="1:37" x14ac:dyDescent="0.25">
      <c r="A64" s="27" t="s">
        <v>798</v>
      </c>
      <c r="B64" s="27" t="str">
        <f t="shared" si="0"/>
        <v>Georgia</v>
      </c>
      <c r="C64" s="27" t="str">
        <f t="shared" si="1"/>
        <v>Houston</v>
      </c>
      <c r="D64" s="27">
        <v>2156</v>
      </c>
      <c r="E64" s="27">
        <v>21</v>
      </c>
      <c r="F64" s="27">
        <v>1</v>
      </c>
      <c r="G64" s="27">
        <v>6</v>
      </c>
      <c r="H64" s="27">
        <v>6</v>
      </c>
      <c r="I64" s="27">
        <v>8</v>
      </c>
      <c r="J64" s="27">
        <v>60</v>
      </c>
      <c r="K64" s="27">
        <f t="shared" si="2"/>
        <v>102</v>
      </c>
      <c r="L64" s="2">
        <v>102</v>
      </c>
      <c r="M64" s="27">
        <v>100</v>
      </c>
      <c r="N64" s="2">
        <v>3832</v>
      </c>
      <c r="O64" s="2">
        <v>55</v>
      </c>
      <c r="P64" s="2">
        <v>20</v>
      </c>
      <c r="Q64" s="2">
        <v>40</v>
      </c>
      <c r="R64" s="2">
        <v>17</v>
      </c>
      <c r="S64" s="2">
        <v>30</v>
      </c>
      <c r="T64" s="2">
        <v>15</v>
      </c>
      <c r="U64" s="28">
        <f t="shared" si="3"/>
        <v>26.049019607843139</v>
      </c>
      <c r="V64" s="2">
        <v>17668.419999999998</v>
      </c>
      <c r="W64" s="27">
        <v>70</v>
      </c>
      <c r="X64" s="2">
        <v>10200</v>
      </c>
      <c r="Y64" s="2">
        <v>6500</v>
      </c>
      <c r="Z64" s="2">
        <v>20000</v>
      </c>
      <c r="AA64" s="29">
        <v>15000</v>
      </c>
      <c r="AB64" s="2">
        <f t="shared" si="4"/>
        <v>51700</v>
      </c>
      <c r="AC64" s="23">
        <v>1905</v>
      </c>
      <c r="AD64" s="27" t="s">
        <v>492</v>
      </c>
      <c r="AE64" s="27" t="s">
        <v>495</v>
      </c>
      <c r="AF64" s="27" t="s">
        <v>383</v>
      </c>
      <c r="AG64" s="27" t="s">
        <v>492</v>
      </c>
      <c r="AH64" s="27" t="s">
        <v>383</v>
      </c>
      <c r="AI64" s="27" t="s">
        <v>494</v>
      </c>
      <c r="AJ64" s="27" t="s">
        <v>492</v>
      </c>
      <c r="AK64" s="27" t="s">
        <v>383</v>
      </c>
    </row>
    <row r="65" spans="1:37" x14ac:dyDescent="0.25">
      <c r="A65" s="27" t="s">
        <v>799</v>
      </c>
      <c r="B65" s="27" t="str">
        <f t="shared" si="0"/>
        <v>Georgia</v>
      </c>
      <c r="C65" s="27" t="str">
        <f t="shared" si="1"/>
        <v>Irwin</v>
      </c>
      <c r="D65" s="27">
        <v>1898</v>
      </c>
      <c r="E65" s="27">
        <v>18</v>
      </c>
      <c r="F65" s="27">
        <v>1</v>
      </c>
      <c r="G65" s="27">
        <v>22</v>
      </c>
      <c r="H65" s="27">
        <v>9</v>
      </c>
      <c r="I65" s="27">
        <v>12</v>
      </c>
      <c r="J65" s="27">
        <v>9</v>
      </c>
      <c r="K65" s="27">
        <f t="shared" si="2"/>
        <v>71</v>
      </c>
      <c r="L65" s="2">
        <v>71</v>
      </c>
      <c r="M65" s="27"/>
      <c r="N65" s="2">
        <v>2525</v>
      </c>
      <c r="O65" s="2">
        <v>30</v>
      </c>
      <c r="P65" s="2">
        <v>16</v>
      </c>
      <c r="Q65" s="2">
        <v>25</v>
      </c>
      <c r="R65" s="2">
        <v>15</v>
      </c>
      <c r="S65" s="2">
        <v>20</v>
      </c>
      <c r="T65" s="2">
        <v>15</v>
      </c>
      <c r="U65" s="28">
        <f t="shared" si="3"/>
        <v>22.760563380281692</v>
      </c>
      <c r="V65" s="2">
        <v>7278.64</v>
      </c>
      <c r="W65" s="27">
        <v>46</v>
      </c>
      <c r="X65" s="2">
        <v>4800</v>
      </c>
      <c r="Y65" s="2">
        <v>4700</v>
      </c>
      <c r="AA65" s="29">
        <v>2400</v>
      </c>
      <c r="AB65" s="2">
        <f t="shared" si="4"/>
        <v>11900</v>
      </c>
      <c r="AC65" s="23">
        <v>1905</v>
      </c>
      <c r="AD65" s="27" t="s">
        <v>492</v>
      </c>
      <c r="AE65" s="27" t="s">
        <v>495</v>
      </c>
      <c r="AF65" s="27" t="s">
        <v>383</v>
      </c>
      <c r="AG65" s="27" t="s">
        <v>492</v>
      </c>
      <c r="AH65" s="27" t="s">
        <v>383</v>
      </c>
      <c r="AI65" s="27" t="s">
        <v>494</v>
      </c>
      <c r="AJ65" s="27" t="s">
        <v>492</v>
      </c>
      <c r="AK65" s="27" t="s">
        <v>383</v>
      </c>
    </row>
    <row r="66" spans="1:37" x14ac:dyDescent="0.25">
      <c r="A66" s="27" t="s">
        <v>800</v>
      </c>
      <c r="B66" s="27" t="str">
        <f t="shared" ref="B66:B129" si="5">LEFT(A66,FIND(";",A66)-1)</f>
        <v>Georgia</v>
      </c>
      <c r="C66" s="27" t="str">
        <f t="shared" ref="C66:C129" si="6">MID(A66,FIND(";",A66)+1,100)</f>
        <v>Jackson</v>
      </c>
      <c r="D66" s="27">
        <v>3501</v>
      </c>
      <c r="E66" s="27">
        <v>49</v>
      </c>
      <c r="F66" s="27">
        <v>0</v>
      </c>
      <c r="G66" s="27">
        <v>16</v>
      </c>
      <c r="H66" s="27">
        <v>10</v>
      </c>
      <c r="I66" s="27">
        <v>16</v>
      </c>
      <c r="J66" s="27">
        <v>17</v>
      </c>
      <c r="K66" s="27">
        <f t="shared" si="2"/>
        <v>108</v>
      </c>
      <c r="L66" s="2">
        <v>108</v>
      </c>
      <c r="M66" s="27">
        <v>100</v>
      </c>
      <c r="N66" s="2">
        <v>6469</v>
      </c>
      <c r="O66" s="2">
        <v>43</v>
      </c>
      <c r="P66" s="2">
        <v>0</v>
      </c>
      <c r="Q66" s="2">
        <v>28</v>
      </c>
      <c r="R66" s="2">
        <v>26</v>
      </c>
      <c r="S66" s="2">
        <v>23</v>
      </c>
      <c r="T66" s="2">
        <v>19</v>
      </c>
      <c r="U66" s="28">
        <f t="shared" si="3"/>
        <v>32.462962962962962</v>
      </c>
      <c r="V66" s="2">
        <v>18912.3</v>
      </c>
      <c r="W66" s="27">
        <v>60</v>
      </c>
      <c r="X66" s="2">
        <v>5000</v>
      </c>
      <c r="Y66" s="2">
        <v>24000</v>
      </c>
      <c r="Z66" s="2">
        <v>38100</v>
      </c>
      <c r="AA66" s="29">
        <v>5000</v>
      </c>
      <c r="AB66" s="2">
        <f t="shared" si="4"/>
        <v>72100</v>
      </c>
      <c r="AC66" s="23">
        <v>1905</v>
      </c>
      <c r="AD66" s="27" t="s">
        <v>492</v>
      </c>
      <c r="AE66" s="27" t="s">
        <v>495</v>
      </c>
      <c r="AF66" s="27" t="s">
        <v>383</v>
      </c>
      <c r="AG66" s="27" t="s">
        <v>492</v>
      </c>
      <c r="AH66" s="27" t="s">
        <v>383</v>
      </c>
      <c r="AI66" s="27" t="s">
        <v>494</v>
      </c>
      <c r="AJ66" s="27" t="s">
        <v>492</v>
      </c>
      <c r="AK66" s="27" t="s">
        <v>383</v>
      </c>
    </row>
    <row r="67" spans="1:37" x14ac:dyDescent="0.25">
      <c r="A67" s="27" t="s">
        <v>801</v>
      </c>
      <c r="B67" s="27" t="str">
        <f t="shared" si="5"/>
        <v>Georgia</v>
      </c>
      <c r="C67" s="27" t="str">
        <f t="shared" si="6"/>
        <v>Jasper</v>
      </c>
      <c r="D67" s="27">
        <v>1588</v>
      </c>
      <c r="E67" s="27">
        <v>10</v>
      </c>
      <c r="F67" s="27">
        <v>7</v>
      </c>
      <c r="G67" s="27">
        <v>2</v>
      </c>
      <c r="H67" s="27">
        <v>10</v>
      </c>
      <c r="I67" s="27">
        <v>9</v>
      </c>
      <c r="J67" s="27">
        <v>11</v>
      </c>
      <c r="K67" s="27">
        <f t="shared" ref="K67:K130" si="7">E67+F67+G67+H67+I67+J67</f>
        <v>49</v>
      </c>
      <c r="L67" s="2">
        <v>49</v>
      </c>
      <c r="M67" s="27">
        <v>100</v>
      </c>
      <c r="N67" s="2">
        <v>2896</v>
      </c>
      <c r="O67" s="2">
        <v>50</v>
      </c>
      <c r="P67" s="2">
        <v>30</v>
      </c>
      <c r="Q67" s="2">
        <v>35</v>
      </c>
      <c r="R67" s="2">
        <v>20</v>
      </c>
      <c r="S67" s="2">
        <v>25</v>
      </c>
      <c r="T67" s="2">
        <v>18</v>
      </c>
      <c r="U67" s="28">
        <f t="shared" ref="U67:U130" si="8">(E67*O67+F67*P67+G67*Q67+H67*R67+I67*S67+J67*T67)/K67</f>
        <v>28.632653061224488</v>
      </c>
      <c r="V67" s="2">
        <v>11369.16</v>
      </c>
      <c r="W67" s="27">
        <v>47</v>
      </c>
      <c r="X67" s="2">
        <v>3900</v>
      </c>
      <c r="Y67" s="2">
        <v>1800</v>
      </c>
      <c r="Z67" s="27">
        <f>1250+2000</f>
        <v>3250</v>
      </c>
      <c r="AA67" s="29">
        <v>1000</v>
      </c>
      <c r="AB67" s="2">
        <f t="shared" ref="AB67:AB130" si="9">X67+Y67+Z67+AA67</f>
        <v>9950</v>
      </c>
      <c r="AC67" s="23">
        <v>1905</v>
      </c>
      <c r="AD67" s="27" t="s">
        <v>492</v>
      </c>
      <c r="AE67" s="27" t="s">
        <v>495</v>
      </c>
      <c r="AF67" s="27" t="s">
        <v>383</v>
      </c>
      <c r="AG67" s="27" t="s">
        <v>492</v>
      </c>
      <c r="AH67" s="27" t="s">
        <v>383</v>
      </c>
      <c r="AI67" s="27" t="s">
        <v>494</v>
      </c>
      <c r="AJ67" s="27" t="s">
        <v>492</v>
      </c>
      <c r="AK67" s="27" t="s">
        <v>383</v>
      </c>
    </row>
    <row r="68" spans="1:37" s="98" customFormat="1" x14ac:dyDescent="0.25">
      <c r="A68" s="98" t="s">
        <v>802</v>
      </c>
      <c r="B68" s="98" t="str">
        <f t="shared" si="5"/>
        <v>Georgia</v>
      </c>
      <c r="C68" s="98" t="str">
        <f t="shared" si="6"/>
        <v>Jeff Davis</v>
      </c>
      <c r="P68" s="99"/>
      <c r="U68" s="100"/>
      <c r="V68" s="99">
        <v>2879.8</v>
      </c>
      <c r="AB68" s="2">
        <f t="shared" si="9"/>
        <v>0</v>
      </c>
      <c r="AC68" s="130">
        <v>1905</v>
      </c>
      <c r="AD68" s="98" t="s">
        <v>492</v>
      </c>
      <c r="AE68" s="98" t="s">
        <v>495</v>
      </c>
      <c r="AF68" s="98" t="s">
        <v>383</v>
      </c>
      <c r="AG68" s="98" t="s">
        <v>492</v>
      </c>
      <c r="AH68" s="98" t="s">
        <v>383</v>
      </c>
      <c r="AI68" s="98" t="s">
        <v>494</v>
      </c>
      <c r="AJ68" s="98" t="s">
        <v>492</v>
      </c>
      <c r="AK68" s="98" t="s">
        <v>383</v>
      </c>
    </row>
    <row r="69" spans="1:37" x14ac:dyDescent="0.25">
      <c r="A69" s="27" t="s">
        <v>803</v>
      </c>
      <c r="B69" s="27" t="str">
        <f t="shared" si="5"/>
        <v>Georgia</v>
      </c>
      <c r="C69" s="27" t="str">
        <f t="shared" si="6"/>
        <v>Jefferson</v>
      </c>
      <c r="D69" s="27">
        <v>2117</v>
      </c>
      <c r="E69" s="27">
        <v>21</v>
      </c>
      <c r="F69" s="27">
        <v>0</v>
      </c>
      <c r="G69" s="27">
        <v>15</v>
      </c>
      <c r="H69" s="27">
        <v>0</v>
      </c>
      <c r="I69" s="27">
        <v>11</v>
      </c>
      <c r="J69" s="27">
        <v>31</v>
      </c>
      <c r="K69" s="27">
        <f t="shared" si="7"/>
        <v>78</v>
      </c>
      <c r="L69" s="2">
        <v>78</v>
      </c>
      <c r="M69" s="27">
        <v>100</v>
      </c>
      <c r="N69" s="2">
        <v>3916</v>
      </c>
      <c r="O69" s="2">
        <v>38.5</v>
      </c>
      <c r="P69" s="2">
        <v>19.25</v>
      </c>
      <c r="Q69" s="2">
        <v>38.5</v>
      </c>
      <c r="R69" s="2">
        <v>19.25</v>
      </c>
      <c r="S69" s="2">
        <v>38.5</v>
      </c>
      <c r="T69" s="2">
        <v>19.25</v>
      </c>
      <c r="U69" s="28">
        <f t="shared" si="8"/>
        <v>30.849358974358974</v>
      </c>
      <c r="V69" s="2">
        <v>15082.14</v>
      </c>
      <c r="W69" s="27">
        <v>63</v>
      </c>
      <c r="X69" s="29">
        <v>1000</v>
      </c>
      <c r="Y69" s="29">
        <v>6200</v>
      </c>
      <c r="Z69" s="29">
        <v>22000</v>
      </c>
      <c r="AA69" s="29">
        <v>2500</v>
      </c>
      <c r="AB69" s="2">
        <f t="shared" si="9"/>
        <v>31700</v>
      </c>
      <c r="AC69" s="23">
        <v>1905</v>
      </c>
      <c r="AD69" s="27" t="s">
        <v>492</v>
      </c>
      <c r="AE69" s="27" t="s">
        <v>495</v>
      </c>
      <c r="AF69" s="27" t="s">
        <v>383</v>
      </c>
      <c r="AG69" s="27" t="s">
        <v>492</v>
      </c>
      <c r="AH69" s="27" t="s">
        <v>383</v>
      </c>
      <c r="AI69" s="27" t="s">
        <v>494</v>
      </c>
      <c r="AJ69" s="27" t="s">
        <v>492</v>
      </c>
      <c r="AK69" s="27" t="s">
        <v>383</v>
      </c>
    </row>
    <row r="70" spans="1:37" s="98" customFormat="1" x14ac:dyDescent="0.25">
      <c r="A70" s="98" t="s">
        <v>804</v>
      </c>
      <c r="B70" s="98" t="str">
        <f t="shared" si="5"/>
        <v>Georgia</v>
      </c>
      <c r="C70" s="98" t="str">
        <f t="shared" si="6"/>
        <v>Jenkins</v>
      </c>
      <c r="U70" s="100"/>
      <c r="V70" s="99">
        <v>9048.3799999999992</v>
      </c>
      <c r="AB70" s="2">
        <f t="shared" si="9"/>
        <v>0</v>
      </c>
      <c r="AC70" s="130">
        <v>1905</v>
      </c>
      <c r="AD70" s="98" t="s">
        <v>492</v>
      </c>
      <c r="AE70" s="98" t="s">
        <v>495</v>
      </c>
      <c r="AF70" s="98" t="s">
        <v>383</v>
      </c>
      <c r="AG70" s="98" t="s">
        <v>492</v>
      </c>
      <c r="AH70" s="98" t="s">
        <v>383</v>
      </c>
      <c r="AI70" s="98" t="s">
        <v>494</v>
      </c>
      <c r="AJ70" s="98" t="s">
        <v>492</v>
      </c>
      <c r="AK70" s="98" t="s">
        <v>383</v>
      </c>
    </row>
    <row r="71" spans="1:37" x14ac:dyDescent="0.25">
      <c r="A71" s="27" t="s">
        <v>805</v>
      </c>
      <c r="B71" s="27" t="str">
        <f t="shared" si="5"/>
        <v>Georgia</v>
      </c>
      <c r="C71" s="27" t="str">
        <f t="shared" si="6"/>
        <v>Johnson</v>
      </c>
      <c r="D71" s="27">
        <v>1446</v>
      </c>
      <c r="E71" s="27">
        <v>27</v>
      </c>
      <c r="F71" s="27">
        <v>1</v>
      </c>
      <c r="G71" s="27">
        <v>8</v>
      </c>
      <c r="H71" s="27">
        <v>4</v>
      </c>
      <c r="I71" s="27">
        <v>5</v>
      </c>
      <c r="J71" s="27">
        <v>12</v>
      </c>
      <c r="K71" s="27">
        <f t="shared" si="7"/>
        <v>57</v>
      </c>
      <c r="L71" s="2">
        <v>56</v>
      </c>
      <c r="M71" s="27">
        <v>100</v>
      </c>
      <c r="N71" s="2">
        <v>3056</v>
      </c>
      <c r="O71" s="2">
        <v>40</v>
      </c>
      <c r="P71" s="2">
        <v>30</v>
      </c>
      <c r="Q71" s="2">
        <v>32.5</v>
      </c>
      <c r="R71" s="2">
        <v>22.5</v>
      </c>
      <c r="S71" s="2">
        <v>25</v>
      </c>
      <c r="T71" s="2">
        <v>15</v>
      </c>
      <c r="U71" s="28">
        <f t="shared" si="8"/>
        <v>30.964912280701753</v>
      </c>
      <c r="V71" s="2">
        <v>9500.92</v>
      </c>
      <c r="W71" s="27">
        <v>99</v>
      </c>
      <c r="X71" s="2">
        <v>7500</v>
      </c>
      <c r="Y71" s="2">
        <v>400</v>
      </c>
      <c r="Z71" s="2">
        <v>5000</v>
      </c>
      <c r="AA71" s="29">
        <v>1200</v>
      </c>
      <c r="AB71" s="2">
        <f t="shared" si="9"/>
        <v>14100</v>
      </c>
      <c r="AC71" s="23">
        <v>1905</v>
      </c>
      <c r="AD71" s="27" t="s">
        <v>492</v>
      </c>
      <c r="AE71" s="27" t="s">
        <v>495</v>
      </c>
      <c r="AF71" s="27" t="s">
        <v>383</v>
      </c>
      <c r="AG71" s="27" t="s">
        <v>492</v>
      </c>
      <c r="AH71" s="27" t="s">
        <v>383</v>
      </c>
      <c r="AI71" s="27" t="s">
        <v>494</v>
      </c>
      <c r="AJ71" s="27" t="s">
        <v>492</v>
      </c>
      <c r="AK71" s="27" t="s">
        <v>383</v>
      </c>
    </row>
    <row r="72" spans="1:37" x14ac:dyDescent="0.25">
      <c r="A72" s="27" t="s">
        <v>806</v>
      </c>
      <c r="B72" s="27" t="str">
        <f t="shared" si="5"/>
        <v>Georgia</v>
      </c>
      <c r="C72" s="27" t="str">
        <f t="shared" si="6"/>
        <v>Jones</v>
      </c>
      <c r="D72" s="27">
        <v>1628</v>
      </c>
      <c r="E72" s="27">
        <v>12</v>
      </c>
      <c r="F72" s="27">
        <v>5</v>
      </c>
      <c r="G72" s="27">
        <v>15</v>
      </c>
      <c r="H72" s="27">
        <v>7</v>
      </c>
      <c r="I72" s="27">
        <v>13</v>
      </c>
      <c r="J72" s="27">
        <v>21</v>
      </c>
      <c r="K72" s="27">
        <f t="shared" si="7"/>
        <v>73</v>
      </c>
      <c r="L72" s="2">
        <v>73</v>
      </c>
      <c r="M72" s="27">
        <v>100</v>
      </c>
      <c r="N72" s="2">
        <v>2860</v>
      </c>
      <c r="O72" s="2">
        <v>40</v>
      </c>
      <c r="P72" s="2">
        <v>26</v>
      </c>
      <c r="Q72" s="2">
        <v>36</v>
      </c>
      <c r="R72" s="2">
        <v>19</v>
      </c>
      <c r="S72" s="2">
        <v>30</v>
      </c>
      <c r="T72" s="2">
        <v>15</v>
      </c>
      <c r="U72" s="28">
        <f t="shared" si="8"/>
        <v>27.232876712328768</v>
      </c>
      <c r="V72" s="2">
        <v>10110.76</v>
      </c>
      <c r="W72" s="27">
        <v>34</v>
      </c>
      <c r="X72" s="2">
        <v>3250</v>
      </c>
      <c r="Y72" s="2">
        <v>2800</v>
      </c>
      <c r="AA72" s="7">
        <v>800</v>
      </c>
      <c r="AB72" s="2">
        <f t="shared" si="9"/>
        <v>6850</v>
      </c>
      <c r="AC72" s="23">
        <v>1905</v>
      </c>
      <c r="AD72" s="27" t="s">
        <v>492</v>
      </c>
      <c r="AE72" s="27" t="s">
        <v>495</v>
      </c>
      <c r="AF72" s="27" t="s">
        <v>383</v>
      </c>
      <c r="AG72" s="27" t="s">
        <v>492</v>
      </c>
      <c r="AH72" s="27" t="s">
        <v>383</v>
      </c>
      <c r="AI72" s="27" t="s">
        <v>494</v>
      </c>
      <c r="AJ72" s="27" t="s">
        <v>492</v>
      </c>
      <c r="AK72" s="27" t="s">
        <v>383</v>
      </c>
    </row>
    <row r="73" spans="1:37" x14ac:dyDescent="0.25">
      <c r="A73" s="27" t="s">
        <v>809</v>
      </c>
      <c r="B73" s="27" t="str">
        <f t="shared" si="5"/>
        <v>Georgia</v>
      </c>
      <c r="C73" s="27" t="str">
        <f t="shared" si="6"/>
        <v>Laurens</v>
      </c>
      <c r="D73" s="27">
        <v>2236</v>
      </c>
      <c r="E73" s="27">
        <v>67</v>
      </c>
      <c r="F73" s="27">
        <v>9</v>
      </c>
      <c r="G73" s="27">
        <v>18</v>
      </c>
      <c r="H73" s="27">
        <v>15</v>
      </c>
      <c r="I73" s="27">
        <v>4</v>
      </c>
      <c r="J73" s="27">
        <v>3</v>
      </c>
      <c r="K73" s="27">
        <f t="shared" si="7"/>
        <v>116</v>
      </c>
      <c r="L73" s="2">
        <v>116</v>
      </c>
      <c r="M73" s="27">
        <v>120</v>
      </c>
      <c r="N73" s="2">
        <v>5762</v>
      </c>
      <c r="O73" s="2">
        <v>45</v>
      </c>
      <c r="P73" s="2">
        <v>24</v>
      </c>
      <c r="Q73" s="2">
        <v>30</v>
      </c>
      <c r="R73" s="2">
        <v>18</v>
      </c>
      <c r="S73" s="2">
        <v>20</v>
      </c>
      <c r="T73" s="2">
        <v>12</v>
      </c>
      <c r="U73" s="28">
        <f t="shared" si="8"/>
        <v>35.836206896551722</v>
      </c>
      <c r="V73" s="2">
        <v>18900.2</v>
      </c>
      <c r="W73" s="27">
        <v>70</v>
      </c>
      <c r="X73" s="2">
        <v>2000</v>
      </c>
      <c r="Y73" s="2">
        <v>11500</v>
      </c>
      <c r="Z73" s="2">
        <v>6000</v>
      </c>
      <c r="AA73" s="29">
        <v>4000</v>
      </c>
      <c r="AB73" s="2">
        <f t="shared" si="9"/>
        <v>23500</v>
      </c>
      <c r="AC73" s="23">
        <v>1905</v>
      </c>
      <c r="AD73" s="27" t="s">
        <v>492</v>
      </c>
      <c r="AE73" s="27" t="s">
        <v>495</v>
      </c>
      <c r="AF73" s="27" t="s">
        <v>383</v>
      </c>
      <c r="AG73" s="27" t="s">
        <v>492</v>
      </c>
      <c r="AH73" s="27" t="s">
        <v>383</v>
      </c>
      <c r="AI73" s="27" t="s">
        <v>494</v>
      </c>
      <c r="AJ73" s="27" t="s">
        <v>492</v>
      </c>
      <c r="AK73" s="27" t="s">
        <v>383</v>
      </c>
    </row>
    <row r="74" spans="1:37" x14ac:dyDescent="0.25">
      <c r="A74" s="27" t="s">
        <v>810</v>
      </c>
      <c r="B74" s="27" t="str">
        <f t="shared" si="5"/>
        <v>Georgia</v>
      </c>
      <c r="C74" s="27" t="str">
        <f t="shared" si="6"/>
        <v>Lee</v>
      </c>
      <c r="D74" s="27">
        <v>1482</v>
      </c>
      <c r="E74" s="27">
        <v>10</v>
      </c>
      <c r="F74" s="27">
        <v>1</v>
      </c>
      <c r="G74" s="27">
        <v>0</v>
      </c>
      <c r="H74" s="27">
        <v>2</v>
      </c>
      <c r="I74" s="27">
        <v>2</v>
      </c>
      <c r="J74" s="27">
        <v>23</v>
      </c>
      <c r="K74" s="27">
        <f t="shared" si="7"/>
        <v>38</v>
      </c>
      <c r="L74" s="2">
        <v>38</v>
      </c>
      <c r="M74" s="27">
        <v>100</v>
      </c>
      <c r="N74" s="2">
        <v>2080</v>
      </c>
      <c r="O74" s="2">
        <v>40</v>
      </c>
      <c r="P74" s="2">
        <v>30</v>
      </c>
      <c r="Q74" s="2">
        <v>35</v>
      </c>
      <c r="R74" s="2">
        <v>22.5</v>
      </c>
      <c r="S74" s="2">
        <v>25</v>
      </c>
      <c r="T74" s="2">
        <v>18</v>
      </c>
      <c r="U74" s="28">
        <f t="shared" si="8"/>
        <v>24.710526315789473</v>
      </c>
      <c r="V74" s="2">
        <v>6814.72</v>
      </c>
      <c r="W74" s="27">
        <v>34</v>
      </c>
      <c r="X74" s="2">
        <v>10800</v>
      </c>
      <c r="Y74" s="2">
        <v>250</v>
      </c>
      <c r="Z74" s="2">
        <v>8600</v>
      </c>
      <c r="AA74" s="29">
        <v>1300</v>
      </c>
      <c r="AB74" s="2">
        <f t="shared" si="9"/>
        <v>20950</v>
      </c>
      <c r="AC74" s="23">
        <v>1905</v>
      </c>
      <c r="AD74" s="27" t="s">
        <v>492</v>
      </c>
      <c r="AE74" s="27" t="s">
        <v>495</v>
      </c>
      <c r="AF74" s="27" t="s">
        <v>383</v>
      </c>
      <c r="AG74" s="27" t="s">
        <v>492</v>
      </c>
      <c r="AH74" s="27" t="s">
        <v>383</v>
      </c>
      <c r="AI74" s="27" t="s">
        <v>494</v>
      </c>
      <c r="AJ74" s="27" t="s">
        <v>492</v>
      </c>
      <c r="AK74" s="27" t="s">
        <v>383</v>
      </c>
    </row>
    <row r="75" spans="1:37" x14ac:dyDescent="0.25">
      <c r="A75" s="27" t="s">
        <v>811</v>
      </c>
      <c r="B75" s="27" t="str">
        <f t="shared" si="5"/>
        <v>Georgia</v>
      </c>
      <c r="C75" s="27" t="str">
        <f t="shared" si="6"/>
        <v>Liberty</v>
      </c>
      <c r="D75" s="27">
        <v>1496</v>
      </c>
      <c r="E75" s="27">
        <v>10</v>
      </c>
      <c r="F75" s="27">
        <v>0</v>
      </c>
      <c r="G75" s="27">
        <v>12</v>
      </c>
      <c r="H75" s="27">
        <v>3</v>
      </c>
      <c r="I75" s="27">
        <v>11</v>
      </c>
      <c r="J75" s="27">
        <v>23</v>
      </c>
      <c r="K75" s="27">
        <f t="shared" si="7"/>
        <v>59</v>
      </c>
      <c r="L75" s="2">
        <v>58</v>
      </c>
      <c r="M75" s="27">
        <v>120</v>
      </c>
      <c r="N75" s="2">
        <v>3014</v>
      </c>
      <c r="O75" s="2">
        <v>50</v>
      </c>
      <c r="P75" s="2">
        <v>0</v>
      </c>
      <c r="Q75" s="2">
        <v>40</v>
      </c>
      <c r="R75" s="2">
        <v>15</v>
      </c>
      <c r="S75" s="2">
        <v>30</v>
      </c>
      <c r="T75" s="2">
        <v>12</v>
      </c>
      <c r="U75" s="28">
        <f t="shared" si="8"/>
        <v>27.64406779661017</v>
      </c>
      <c r="V75" s="2">
        <v>9692.1</v>
      </c>
      <c r="W75" s="27">
        <v>73</v>
      </c>
      <c r="X75" s="2">
        <v>7000</v>
      </c>
      <c r="Y75" s="2">
        <v>8500</v>
      </c>
      <c r="Z75" s="2">
        <v>5100</v>
      </c>
      <c r="AB75" s="2">
        <f t="shared" si="9"/>
        <v>20600</v>
      </c>
      <c r="AC75" s="23">
        <v>1905</v>
      </c>
      <c r="AD75" s="27" t="s">
        <v>492</v>
      </c>
      <c r="AE75" s="27" t="s">
        <v>495</v>
      </c>
      <c r="AF75" s="27" t="s">
        <v>383</v>
      </c>
      <c r="AG75" s="27" t="s">
        <v>492</v>
      </c>
      <c r="AH75" s="27" t="s">
        <v>383</v>
      </c>
      <c r="AI75" s="27" t="s">
        <v>494</v>
      </c>
      <c r="AJ75" s="27" t="s">
        <v>492</v>
      </c>
      <c r="AK75" s="27" t="s">
        <v>383</v>
      </c>
    </row>
    <row r="76" spans="1:37" x14ac:dyDescent="0.25">
      <c r="A76" s="27" t="s">
        <v>812</v>
      </c>
      <c r="B76" s="27" t="str">
        <f t="shared" si="5"/>
        <v>Georgia</v>
      </c>
      <c r="C76" s="27" t="str">
        <f t="shared" si="6"/>
        <v>Lincoln</v>
      </c>
      <c r="D76" s="27">
        <v>887</v>
      </c>
      <c r="E76" s="27">
        <v>13</v>
      </c>
      <c r="F76" s="27">
        <v>1</v>
      </c>
      <c r="G76" s="27">
        <v>8</v>
      </c>
      <c r="H76" s="27">
        <v>4</v>
      </c>
      <c r="I76" s="27">
        <v>0</v>
      </c>
      <c r="J76" s="27">
        <v>5</v>
      </c>
      <c r="K76" s="27">
        <f t="shared" si="7"/>
        <v>31</v>
      </c>
      <c r="L76" s="2">
        <v>37</v>
      </c>
      <c r="M76" s="27">
        <v>100</v>
      </c>
      <c r="N76" s="2">
        <v>1711</v>
      </c>
      <c r="O76" s="2">
        <v>40</v>
      </c>
      <c r="P76" s="2">
        <v>30</v>
      </c>
      <c r="Q76" s="2">
        <v>25</v>
      </c>
      <c r="R76" s="2">
        <v>20</v>
      </c>
      <c r="S76" s="2">
        <v>0</v>
      </c>
      <c r="T76" s="2">
        <v>20</v>
      </c>
      <c r="U76" s="28">
        <f t="shared" si="8"/>
        <v>30</v>
      </c>
      <c r="V76" s="2">
        <v>5478.88</v>
      </c>
      <c r="W76" s="27">
        <v>34</v>
      </c>
      <c r="X76" s="2">
        <v>80</v>
      </c>
      <c r="Y76" s="2">
        <v>10000</v>
      </c>
      <c r="Z76" s="2">
        <v>800</v>
      </c>
      <c r="AA76" s="29">
        <v>400</v>
      </c>
      <c r="AB76" s="2">
        <f t="shared" si="9"/>
        <v>11280</v>
      </c>
      <c r="AC76" s="23">
        <v>1905</v>
      </c>
      <c r="AD76" s="27" t="s">
        <v>492</v>
      </c>
      <c r="AE76" s="27" t="s">
        <v>495</v>
      </c>
      <c r="AF76" s="27" t="s">
        <v>383</v>
      </c>
      <c r="AG76" s="27" t="s">
        <v>492</v>
      </c>
      <c r="AH76" s="27" t="s">
        <v>383</v>
      </c>
      <c r="AI76" s="27" t="s">
        <v>494</v>
      </c>
      <c r="AJ76" s="27" t="s">
        <v>492</v>
      </c>
      <c r="AK76" s="27" t="s">
        <v>383</v>
      </c>
    </row>
    <row r="77" spans="1:37" x14ac:dyDescent="0.25">
      <c r="A77" s="27" t="s">
        <v>814</v>
      </c>
      <c r="B77" s="27" t="str">
        <f t="shared" si="5"/>
        <v>Georgia</v>
      </c>
      <c r="C77" s="27" t="str">
        <f t="shared" si="6"/>
        <v>Lowndes</v>
      </c>
      <c r="D77" s="27">
        <v>1804</v>
      </c>
      <c r="E77" s="27">
        <v>27</v>
      </c>
      <c r="F77" s="27">
        <v>8</v>
      </c>
      <c r="G77" s="27">
        <v>9</v>
      </c>
      <c r="H77" s="27">
        <v>9</v>
      </c>
      <c r="I77" s="27">
        <v>2</v>
      </c>
      <c r="J77" s="27">
        <v>13</v>
      </c>
      <c r="K77" s="27">
        <f t="shared" si="7"/>
        <v>68</v>
      </c>
      <c r="L77" s="2">
        <v>63</v>
      </c>
      <c r="M77" s="27">
        <v>120</v>
      </c>
      <c r="N77" s="2">
        <v>3349</v>
      </c>
      <c r="O77" s="2">
        <v>45</v>
      </c>
      <c r="P77" s="2">
        <v>25</v>
      </c>
      <c r="Q77" s="2">
        <v>35</v>
      </c>
      <c r="R77" s="2">
        <v>15</v>
      </c>
      <c r="S77" s="2">
        <v>25</v>
      </c>
      <c r="T77" s="2">
        <v>15</v>
      </c>
      <c r="U77" s="28">
        <f t="shared" si="8"/>
        <v>31.029411764705884</v>
      </c>
      <c r="V77" s="2">
        <v>15945.38</v>
      </c>
      <c r="W77" s="27">
        <v>57</v>
      </c>
      <c r="X77" s="2">
        <v>1700</v>
      </c>
      <c r="Y77" s="2">
        <v>3700</v>
      </c>
      <c r="Z77" s="2">
        <v>41200</v>
      </c>
      <c r="AA77" s="29">
        <v>600</v>
      </c>
      <c r="AB77" s="2">
        <f t="shared" si="9"/>
        <v>47200</v>
      </c>
      <c r="AC77" s="23">
        <v>1905</v>
      </c>
      <c r="AD77" s="27" t="s">
        <v>492</v>
      </c>
      <c r="AE77" s="27" t="s">
        <v>496</v>
      </c>
      <c r="AF77" s="27" t="s">
        <v>383</v>
      </c>
      <c r="AG77" s="27" t="s">
        <v>492</v>
      </c>
      <c r="AH77" s="27" t="s">
        <v>383</v>
      </c>
      <c r="AI77" s="27" t="s">
        <v>494</v>
      </c>
      <c r="AJ77" s="27" t="s">
        <v>492</v>
      </c>
      <c r="AK77" s="27" t="s">
        <v>383</v>
      </c>
    </row>
    <row r="78" spans="1:37" x14ac:dyDescent="0.25">
      <c r="A78" s="27" t="s">
        <v>815</v>
      </c>
      <c r="B78" s="27" t="str">
        <f t="shared" si="5"/>
        <v>Georgia</v>
      </c>
      <c r="C78" s="27" t="str">
        <f t="shared" si="6"/>
        <v>Lumpkin</v>
      </c>
      <c r="D78" s="27">
        <v>629</v>
      </c>
      <c r="E78" s="27">
        <v>10</v>
      </c>
      <c r="F78" s="27">
        <v>0</v>
      </c>
      <c r="G78" s="27">
        <v>16</v>
      </c>
      <c r="H78" s="27">
        <v>1</v>
      </c>
      <c r="I78" s="27">
        <v>4</v>
      </c>
      <c r="J78" s="27">
        <v>2</v>
      </c>
      <c r="K78" s="27">
        <f t="shared" si="7"/>
        <v>33</v>
      </c>
      <c r="L78" s="2">
        <v>33</v>
      </c>
      <c r="M78" s="27">
        <v>100</v>
      </c>
      <c r="N78" s="2">
        <v>1351</v>
      </c>
      <c r="O78" s="2">
        <v>30</v>
      </c>
      <c r="P78" s="2">
        <v>0</v>
      </c>
      <c r="Q78" s="2">
        <v>25</v>
      </c>
      <c r="R78" s="2">
        <v>25</v>
      </c>
      <c r="S78" s="2">
        <v>20</v>
      </c>
      <c r="T78" s="2">
        <v>20</v>
      </c>
      <c r="U78" s="28">
        <f t="shared" si="8"/>
        <v>25.606060606060606</v>
      </c>
      <c r="V78" s="2">
        <v>5062.6400000000003</v>
      </c>
      <c r="W78" s="27">
        <v>33</v>
      </c>
      <c r="X78" s="2">
        <v>5200</v>
      </c>
      <c r="Y78" s="2">
        <v>650</v>
      </c>
      <c r="AA78" s="29">
        <v>500</v>
      </c>
      <c r="AB78" s="2">
        <f t="shared" si="9"/>
        <v>6350</v>
      </c>
      <c r="AC78" s="23">
        <v>1905</v>
      </c>
      <c r="AD78" s="27" t="s">
        <v>492</v>
      </c>
      <c r="AE78" s="27" t="s">
        <v>496</v>
      </c>
      <c r="AF78" s="27" t="s">
        <v>383</v>
      </c>
      <c r="AG78" s="27" t="s">
        <v>492</v>
      </c>
      <c r="AH78" s="27" t="s">
        <v>383</v>
      </c>
      <c r="AI78" s="27" t="s">
        <v>494</v>
      </c>
      <c r="AJ78" s="27" t="s">
        <v>492</v>
      </c>
      <c r="AK78" s="27" t="s">
        <v>383</v>
      </c>
    </row>
    <row r="79" spans="1:37" x14ac:dyDescent="0.25">
      <c r="A79" s="27" t="s">
        <v>818</v>
      </c>
      <c r="B79" s="27" t="str">
        <f t="shared" si="5"/>
        <v>Georgia</v>
      </c>
      <c r="C79" s="27" t="str">
        <f t="shared" si="6"/>
        <v>Macon</v>
      </c>
      <c r="D79" s="27">
        <v>1135</v>
      </c>
      <c r="E79" s="27">
        <v>8</v>
      </c>
      <c r="F79" s="27">
        <v>3</v>
      </c>
      <c r="G79" s="27">
        <v>6</v>
      </c>
      <c r="H79" s="27">
        <v>4</v>
      </c>
      <c r="I79" s="27">
        <v>2</v>
      </c>
      <c r="J79" s="27">
        <v>17</v>
      </c>
      <c r="K79" s="27">
        <f t="shared" si="7"/>
        <v>40</v>
      </c>
      <c r="L79" s="2">
        <v>40</v>
      </c>
      <c r="M79" s="27">
        <v>100</v>
      </c>
      <c r="N79" s="2">
        <v>2002</v>
      </c>
      <c r="O79" s="2">
        <v>42.5</v>
      </c>
      <c r="P79" s="2">
        <v>28</v>
      </c>
      <c r="Q79" s="2">
        <v>30</v>
      </c>
      <c r="R79" s="2">
        <v>22.5</v>
      </c>
      <c r="S79" s="2">
        <v>29</v>
      </c>
      <c r="T79" s="2">
        <v>13.5</v>
      </c>
      <c r="U79" s="28">
        <f t="shared" si="8"/>
        <v>24.537500000000001</v>
      </c>
      <c r="V79" s="2">
        <v>9721.14</v>
      </c>
      <c r="W79" s="27">
        <v>40</v>
      </c>
      <c r="X79" s="2">
        <v>1200</v>
      </c>
      <c r="Y79" s="2">
        <v>4450</v>
      </c>
      <c r="Z79" s="2">
        <v>21000</v>
      </c>
      <c r="AA79" s="29">
        <v>250</v>
      </c>
      <c r="AB79" s="2">
        <f t="shared" si="9"/>
        <v>26900</v>
      </c>
      <c r="AC79" s="23">
        <v>1905</v>
      </c>
      <c r="AD79" s="27" t="s">
        <v>492</v>
      </c>
      <c r="AE79" s="27" t="s">
        <v>496</v>
      </c>
      <c r="AF79" s="27" t="s">
        <v>383</v>
      </c>
      <c r="AG79" s="27" t="s">
        <v>492</v>
      </c>
      <c r="AH79" s="27" t="s">
        <v>383</v>
      </c>
      <c r="AI79" s="27" t="s">
        <v>494</v>
      </c>
      <c r="AJ79" s="27" t="s">
        <v>492</v>
      </c>
      <c r="AK79" s="27" t="s">
        <v>383</v>
      </c>
    </row>
    <row r="80" spans="1:37" x14ac:dyDescent="0.25">
      <c r="A80" s="27" t="s">
        <v>819</v>
      </c>
      <c r="B80" s="27" t="str">
        <f t="shared" si="5"/>
        <v>Georgia</v>
      </c>
      <c r="C80" s="27" t="str">
        <f t="shared" si="6"/>
        <v>Madison</v>
      </c>
      <c r="D80" s="27">
        <v>1931</v>
      </c>
      <c r="E80" s="27">
        <v>25</v>
      </c>
      <c r="F80" s="27">
        <v>0</v>
      </c>
      <c r="G80" s="27">
        <v>12</v>
      </c>
      <c r="H80" s="27">
        <v>0</v>
      </c>
      <c r="I80" s="27">
        <v>19</v>
      </c>
      <c r="J80" s="27">
        <v>22</v>
      </c>
      <c r="K80" s="27">
        <f t="shared" si="7"/>
        <v>78</v>
      </c>
      <c r="L80" s="2">
        <v>77</v>
      </c>
      <c r="M80" s="27">
        <v>100</v>
      </c>
      <c r="N80" s="2">
        <v>3910</v>
      </c>
      <c r="O80" s="2">
        <v>34</v>
      </c>
      <c r="P80" s="2">
        <v>0</v>
      </c>
      <c r="Q80" s="2">
        <v>29</v>
      </c>
      <c r="R80" s="2">
        <v>0</v>
      </c>
      <c r="S80" s="2">
        <v>24</v>
      </c>
      <c r="T80" s="2">
        <v>18</v>
      </c>
      <c r="U80" s="28">
        <f t="shared" si="8"/>
        <v>26.282051282051281</v>
      </c>
      <c r="V80" s="2">
        <v>10876.1</v>
      </c>
      <c r="W80" s="27">
        <v>59</v>
      </c>
      <c r="X80" s="2">
        <v>6750</v>
      </c>
      <c r="Y80" s="2">
        <v>3050</v>
      </c>
      <c r="Z80" s="27">
        <f>1200+2400</f>
        <v>3600</v>
      </c>
      <c r="AA80" s="29">
        <v>2000</v>
      </c>
      <c r="AB80" s="2">
        <f t="shared" si="9"/>
        <v>15400</v>
      </c>
      <c r="AC80" s="23">
        <v>1905</v>
      </c>
      <c r="AD80" s="27" t="s">
        <v>492</v>
      </c>
      <c r="AE80" s="27" t="s">
        <v>496</v>
      </c>
      <c r="AF80" s="27" t="s">
        <v>383</v>
      </c>
      <c r="AG80" s="27" t="s">
        <v>492</v>
      </c>
      <c r="AH80" s="27" t="s">
        <v>383</v>
      </c>
      <c r="AI80" s="27" t="s">
        <v>494</v>
      </c>
      <c r="AJ80" s="27" t="s">
        <v>492</v>
      </c>
      <c r="AK80" s="27" t="s">
        <v>383</v>
      </c>
    </row>
    <row r="81" spans="1:37" x14ac:dyDescent="0.25">
      <c r="A81" s="27" t="s">
        <v>820</v>
      </c>
      <c r="B81" s="27" t="str">
        <f t="shared" si="5"/>
        <v>Georgia</v>
      </c>
      <c r="C81" s="27" t="str">
        <f t="shared" si="6"/>
        <v>Marion</v>
      </c>
      <c r="D81" s="27">
        <v>1134</v>
      </c>
      <c r="E81" s="27">
        <v>9</v>
      </c>
      <c r="F81" s="27">
        <v>0</v>
      </c>
      <c r="G81" s="27">
        <v>7</v>
      </c>
      <c r="H81" s="27">
        <v>0</v>
      </c>
      <c r="I81" s="27">
        <v>8</v>
      </c>
      <c r="J81" s="27">
        <v>18</v>
      </c>
      <c r="K81" s="27">
        <f t="shared" si="7"/>
        <v>42</v>
      </c>
      <c r="L81" s="2">
        <v>42</v>
      </c>
      <c r="M81" s="27">
        <v>100</v>
      </c>
      <c r="N81" s="2">
        <v>2051</v>
      </c>
      <c r="O81" s="2">
        <v>40</v>
      </c>
      <c r="P81" s="2">
        <v>0</v>
      </c>
      <c r="Q81" s="2">
        <v>31</v>
      </c>
      <c r="R81" s="2">
        <v>0</v>
      </c>
      <c r="S81" s="2">
        <v>21</v>
      </c>
      <c r="T81" s="2">
        <v>15</v>
      </c>
      <c r="U81" s="28">
        <f t="shared" si="8"/>
        <v>24.166666666666668</v>
      </c>
      <c r="V81" s="2">
        <v>7463.23</v>
      </c>
      <c r="W81" s="27">
        <v>42</v>
      </c>
      <c r="X81" s="2">
        <v>5400</v>
      </c>
      <c r="Y81" s="2">
        <v>3700</v>
      </c>
      <c r="Z81" s="2">
        <v>10000</v>
      </c>
      <c r="AA81" s="29">
        <v>15</v>
      </c>
      <c r="AB81" s="2">
        <f t="shared" si="9"/>
        <v>19115</v>
      </c>
      <c r="AC81" s="23">
        <v>1905</v>
      </c>
      <c r="AD81" s="27" t="s">
        <v>492</v>
      </c>
      <c r="AE81" s="27" t="s">
        <v>496</v>
      </c>
      <c r="AF81" s="27" t="s">
        <v>383</v>
      </c>
      <c r="AG81" s="27" t="s">
        <v>492</v>
      </c>
      <c r="AH81" s="27" t="s">
        <v>383</v>
      </c>
      <c r="AI81" s="27" t="s">
        <v>494</v>
      </c>
      <c r="AJ81" s="27" t="s">
        <v>492</v>
      </c>
      <c r="AK81" s="27" t="s">
        <v>383</v>
      </c>
    </row>
    <row r="82" spans="1:37" x14ac:dyDescent="0.25">
      <c r="A82" s="27" t="s">
        <v>816</v>
      </c>
      <c r="B82" s="27" t="str">
        <f t="shared" si="5"/>
        <v>Georgia</v>
      </c>
      <c r="C82" s="27" t="str">
        <f t="shared" si="6"/>
        <v>McDuffie</v>
      </c>
      <c r="D82" s="27">
        <v>1556</v>
      </c>
      <c r="E82" s="27">
        <v>16</v>
      </c>
      <c r="F82" s="27">
        <v>7</v>
      </c>
      <c r="G82" s="27">
        <v>10</v>
      </c>
      <c r="H82" s="27">
        <v>12</v>
      </c>
      <c r="I82" s="27">
        <v>2</v>
      </c>
      <c r="J82" s="27">
        <v>7</v>
      </c>
      <c r="K82" s="27">
        <f t="shared" si="7"/>
        <v>54</v>
      </c>
      <c r="L82" s="2">
        <v>54</v>
      </c>
      <c r="M82" s="27">
        <v>60</v>
      </c>
      <c r="N82" s="2">
        <v>2483</v>
      </c>
      <c r="O82" s="2">
        <v>38</v>
      </c>
      <c r="P82" s="2">
        <v>16</v>
      </c>
      <c r="Q82" s="2">
        <v>0</v>
      </c>
      <c r="R82" s="2">
        <v>0</v>
      </c>
      <c r="S82" s="2">
        <v>0</v>
      </c>
      <c r="T82" s="2">
        <v>0</v>
      </c>
      <c r="U82" s="28">
        <f t="shared" si="8"/>
        <v>13.333333333333334</v>
      </c>
      <c r="V82" s="2">
        <v>8772.5</v>
      </c>
      <c r="W82" s="27">
        <v>50</v>
      </c>
      <c r="Y82" s="2">
        <v>6400</v>
      </c>
      <c r="Z82" s="27">
        <v>5000</v>
      </c>
      <c r="AA82" s="29">
        <v>250</v>
      </c>
      <c r="AB82" s="2">
        <f t="shared" si="9"/>
        <v>11650</v>
      </c>
      <c r="AC82" s="23">
        <v>1905</v>
      </c>
      <c r="AD82" s="27" t="s">
        <v>492</v>
      </c>
      <c r="AE82" s="27" t="s">
        <v>496</v>
      </c>
      <c r="AF82" s="27" t="s">
        <v>383</v>
      </c>
      <c r="AG82" s="27" t="s">
        <v>492</v>
      </c>
      <c r="AH82" s="27" t="s">
        <v>383</v>
      </c>
      <c r="AI82" s="27" t="s">
        <v>494</v>
      </c>
      <c r="AJ82" s="27" t="s">
        <v>492</v>
      </c>
      <c r="AK82" s="27" t="s">
        <v>383</v>
      </c>
    </row>
    <row r="83" spans="1:37" x14ac:dyDescent="0.25">
      <c r="A83" s="27" t="s">
        <v>817</v>
      </c>
      <c r="B83" s="27" t="str">
        <f t="shared" si="5"/>
        <v>Georgia</v>
      </c>
      <c r="C83" s="27" t="str">
        <f t="shared" si="6"/>
        <v>McIntosh</v>
      </c>
      <c r="D83" s="27">
        <v>905</v>
      </c>
      <c r="E83" s="27">
        <v>4</v>
      </c>
      <c r="F83" s="27">
        <v>1</v>
      </c>
      <c r="G83" s="27">
        <v>2</v>
      </c>
      <c r="H83" s="27">
        <v>4</v>
      </c>
      <c r="I83" s="27">
        <v>6</v>
      </c>
      <c r="J83" s="27">
        <v>9</v>
      </c>
      <c r="K83" s="27">
        <f t="shared" si="7"/>
        <v>26</v>
      </c>
      <c r="L83" s="2">
        <v>26</v>
      </c>
      <c r="M83" s="27">
        <v>100</v>
      </c>
      <c r="N83" s="2">
        <v>1243</v>
      </c>
      <c r="O83" s="2">
        <v>50</v>
      </c>
      <c r="P83" s="2">
        <v>35</v>
      </c>
      <c r="Q83" s="2">
        <v>35</v>
      </c>
      <c r="R83" s="2">
        <v>28</v>
      </c>
      <c r="S83" s="2">
        <v>30</v>
      </c>
      <c r="T83" s="2">
        <v>12.5</v>
      </c>
      <c r="U83" s="28">
        <f t="shared" si="8"/>
        <v>27.28846153846154</v>
      </c>
      <c r="V83" s="2">
        <v>5307.06</v>
      </c>
      <c r="W83" s="27">
        <v>23</v>
      </c>
      <c r="X83" s="2">
        <v>2200</v>
      </c>
      <c r="Y83" s="2">
        <v>500</v>
      </c>
      <c r="Z83" s="27">
        <f>1300+2500</f>
        <v>3800</v>
      </c>
      <c r="AA83" s="29">
        <v>1000</v>
      </c>
      <c r="AB83" s="2">
        <f t="shared" si="9"/>
        <v>7500</v>
      </c>
      <c r="AC83" s="23">
        <v>1905</v>
      </c>
      <c r="AD83" s="27" t="s">
        <v>492</v>
      </c>
      <c r="AE83" s="27" t="s">
        <v>496</v>
      </c>
      <c r="AF83" s="27" t="s">
        <v>383</v>
      </c>
      <c r="AG83" s="27" t="s">
        <v>492</v>
      </c>
      <c r="AH83" s="27" t="s">
        <v>383</v>
      </c>
      <c r="AI83" s="27" t="s">
        <v>494</v>
      </c>
      <c r="AJ83" s="27" t="s">
        <v>492</v>
      </c>
      <c r="AK83" s="27" t="s">
        <v>383</v>
      </c>
    </row>
    <row r="84" spans="1:37" x14ac:dyDescent="0.25">
      <c r="A84" s="27" t="s">
        <v>821</v>
      </c>
      <c r="B84" s="27" t="str">
        <f t="shared" si="5"/>
        <v>Georgia</v>
      </c>
      <c r="C84" s="27" t="str">
        <f t="shared" si="6"/>
        <v>Meriwether</v>
      </c>
      <c r="D84" s="27">
        <v>2761</v>
      </c>
      <c r="E84" s="27">
        <v>41</v>
      </c>
      <c r="F84" s="27">
        <v>0</v>
      </c>
      <c r="G84" s="27">
        <v>8</v>
      </c>
      <c r="H84" s="27">
        <v>5</v>
      </c>
      <c r="I84" s="27">
        <v>1</v>
      </c>
      <c r="J84" s="27">
        <v>28</v>
      </c>
      <c r="K84" s="27">
        <f t="shared" si="7"/>
        <v>83</v>
      </c>
      <c r="L84" s="2">
        <v>83</v>
      </c>
      <c r="M84" s="27">
        <v>100</v>
      </c>
      <c r="N84" s="2">
        <v>4623</v>
      </c>
      <c r="O84" s="2">
        <v>75</v>
      </c>
      <c r="P84" s="2">
        <v>0</v>
      </c>
      <c r="Q84" s="2">
        <v>26</v>
      </c>
      <c r="R84" s="2">
        <v>22</v>
      </c>
      <c r="S84" s="2">
        <v>12</v>
      </c>
      <c r="T84" s="2">
        <v>0</v>
      </c>
      <c r="U84" s="28">
        <f t="shared" si="8"/>
        <v>41.024096385542165</v>
      </c>
      <c r="V84" s="2">
        <v>21583.98</v>
      </c>
      <c r="W84" s="27">
        <v>83</v>
      </c>
      <c r="X84" s="2">
        <v>600</v>
      </c>
      <c r="Y84" s="2">
        <v>18800</v>
      </c>
      <c r="Z84" s="2">
        <v>6200</v>
      </c>
      <c r="AA84" s="29">
        <v>3000</v>
      </c>
      <c r="AB84" s="2">
        <f t="shared" si="9"/>
        <v>28600</v>
      </c>
      <c r="AC84" s="23">
        <v>1905</v>
      </c>
      <c r="AD84" s="27" t="s">
        <v>492</v>
      </c>
      <c r="AE84" s="27" t="s">
        <v>496</v>
      </c>
      <c r="AF84" s="27" t="s">
        <v>383</v>
      </c>
      <c r="AG84" s="27" t="s">
        <v>492</v>
      </c>
      <c r="AH84" s="27" t="s">
        <v>383</v>
      </c>
      <c r="AI84" s="27" t="s">
        <v>494</v>
      </c>
      <c r="AJ84" s="27" t="s">
        <v>492</v>
      </c>
      <c r="AK84" s="27" t="s">
        <v>383</v>
      </c>
    </row>
    <row r="85" spans="1:37" x14ac:dyDescent="0.25">
      <c r="A85" s="27" t="s">
        <v>822</v>
      </c>
      <c r="B85" s="27" t="str">
        <f t="shared" si="5"/>
        <v>Georgia</v>
      </c>
      <c r="C85" s="27" t="str">
        <f t="shared" si="6"/>
        <v>Miller</v>
      </c>
      <c r="D85" s="27"/>
      <c r="L85" s="27"/>
      <c r="M85" s="27"/>
      <c r="N85" s="27"/>
      <c r="U85" s="28"/>
      <c r="V85" s="2">
        <v>4796.4399999999996</v>
      </c>
      <c r="W85" s="27"/>
      <c r="AB85" s="2">
        <f t="shared" si="9"/>
        <v>0</v>
      </c>
      <c r="AC85" s="23">
        <v>1905</v>
      </c>
      <c r="AD85" s="27" t="s">
        <v>492</v>
      </c>
      <c r="AE85" s="27" t="s">
        <v>496</v>
      </c>
      <c r="AF85" s="27" t="s">
        <v>383</v>
      </c>
      <c r="AG85" s="27" t="s">
        <v>492</v>
      </c>
      <c r="AH85" s="27" t="s">
        <v>383</v>
      </c>
      <c r="AI85" s="27" t="s">
        <v>494</v>
      </c>
      <c r="AJ85" s="27" t="s">
        <v>492</v>
      </c>
      <c r="AK85" s="27" t="s">
        <v>383</v>
      </c>
    </row>
    <row r="86" spans="1:37" x14ac:dyDescent="0.25">
      <c r="A86" s="27" t="s">
        <v>823</v>
      </c>
      <c r="B86" s="27" t="str">
        <f t="shared" si="5"/>
        <v>Georgia</v>
      </c>
      <c r="C86" s="27" t="str">
        <f t="shared" si="6"/>
        <v>Milton</v>
      </c>
      <c r="D86" s="27">
        <v>963</v>
      </c>
      <c r="E86" s="27">
        <v>12</v>
      </c>
      <c r="F86" s="27">
        <v>0</v>
      </c>
      <c r="G86" s="27">
        <v>6</v>
      </c>
      <c r="H86" s="27">
        <v>0</v>
      </c>
      <c r="I86" s="27">
        <v>18</v>
      </c>
      <c r="J86" s="27">
        <v>2</v>
      </c>
      <c r="K86" s="27">
        <f t="shared" si="7"/>
        <v>38</v>
      </c>
      <c r="L86" s="2">
        <v>32</v>
      </c>
      <c r="M86" s="27">
        <v>100</v>
      </c>
      <c r="N86" s="2">
        <v>1876</v>
      </c>
      <c r="O86" s="2">
        <v>50</v>
      </c>
      <c r="P86" s="2">
        <v>0</v>
      </c>
      <c r="Q86" s="2">
        <v>40</v>
      </c>
      <c r="R86" s="2">
        <v>0</v>
      </c>
      <c r="S86" s="2">
        <v>30</v>
      </c>
      <c r="T86" s="2">
        <v>30</v>
      </c>
      <c r="U86" s="28">
        <f t="shared" si="8"/>
        <v>37.89473684210526</v>
      </c>
      <c r="V86" s="2">
        <v>4963.42</v>
      </c>
      <c r="W86" s="27">
        <v>23</v>
      </c>
      <c r="X86" s="2">
        <v>8500</v>
      </c>
      <c r="Y86" s="2">
        <v>2200</v>
      </c>
      <c r="Z86" s="2">
        <f>2000+50</f>
        <v>2050</v>
      </c>
      <c r="AA86" s="29">
        <v>1500</v>
      </c>
      <c r="AB86" s="2">
        <f t="shared" si="9"/>
        <v>14250</v>
      </c>
      <c r="AC86" s="23">
        <v>1905</v>
      </c>
      <c r="AD86" s="27" t="s">
        <v>492</v>
      </c>
      <c r="AE86" s="27" t="s">
        <v>496</v>
      </c>
      <c r="AF86" s="27" t="s">
        <v>383</v>
      </c>
      <c r="AG86" s="27" t="s">
        <v>492</v>
      </c>
      <c r="AH86" s="27" t="s">
        <v>383</v>
      </c>
      <c r="AI86" s="27" t="s">
        <v>494</v>
      </c>
      <c r="AJ86" s="27" t="s">
        <v>492</v>
      </c>
      <c r="AK86" s="27" t="s">
        <v>383</v>
      </c>
    </row>
    <row r="87" spans="1:37" x14ac:dyDescent="0.25">
      <c r="A87" s="27" t="s">
        <v>824</v>
      </c>
      <c r="B87" s="27" t="str">
        <f t="shared" si="5"/>
        <v>Georgia</v>
      </c>
      <c r="C87" s="27" t="str">
        <f t="shared" si="6"/>
        <v>Mitchell</v>
      </c>
      <c r="D87" s="27">
        <v>2447</v>
      </c>
      <c r="E87" s="27">
        <v>34</v>
      </c>
      <c r="F87" s="27">
        <v>1</v>
      </c>
      <c r="G87" s="27">
        <v>19</v>
      </c>
      <c r="H87" s="27">
        <v>1</v>
      </c>
      <c r="I87" s="27">
        <v>4</v>
      </c>
      <c r="J87" s="27">
        <v>18</v>
      </c>
      <c r="K87" s="27">
        <f t="shared" si="7"/>
        <v>77</v>
      </c>
      <c r="L87" s="2">
        <v>87</v>
      </c>
      <c r="M87" s="27">
        <v>120</v>
      </c>
      <c r="N87" s="2">
        <v>4096</v>
      </c>
      <c r="O87" s="2">
        <v>40</v>
      </c>
      <c r="P87" s="2">
        <v>25</v>
      </c>
      <c r="Q87" s="2">
        <v>30</v>
      </c>
      <c r="R87" s="2">
        <v>20</v>
      </c>
      <c r="S87" s="2">
        <v>25</v>
      </c>
      <c r="T87" s="2">
        <v>14</v>
      </c>
      <c r="U87" s="28">
        <f t="shared" si="8"/>
        <v>30.220779220779221</v>
      </c>
      <c r="V87" s="2">
        <v>13290.64</v>
      </c>
      <c r="W87" s="27">
        <v>68</v>
      </c>
      <c r="X87" s="2">
        <v>1000</v>
      </c>
      <c r="Y87" s="2">
        <v>2100</v>
      </c>
      <c r="Z87" s="27">
        <v>33500</v>
      </c>
      <c r="AA87" s="29">
        <v>2500</v>
      </c>
      <c r="AB87" s="2">
        <f t="shared" si="9"/>
        <v>39100</v>
      </c>
      <c r="AC87" s="23">
        <v>1905</v>
      </c>
      <c r="AD87" s="27" t="s">
        <v>492</v>
      </c>
      <c r="AE87" s="27" t="s">
        <v>496</v>
      </c>
      <c r="AF87" s="27" t="s">
        <v>383</v>
      </c>
      <c r="AG87" s="27" t="s">
        <v>492</v>
      </c>
      <c r="AH87" s="27" t="s">
        <v>383</v>
      </c>
      <c r="AI87" s="27" t="s">
        <v>494</v>
      </c>
      <c r="AJ87" s="27" t="s">
        <v>492</v>
      </c>
      <c r="AK87" s="27" t="s">
        <v>383</v>
      </c>
    </row>
    <row r="88" spans="1:37" x14ac:dyDescent="0.25">
      <c r="A88" s="27" t="s">
        <v>826</v>
      </c>
      <c r="B88" s="27" t="str">
        <f t="shared" si="5"/>
        <v>Georgia</v>
      </c>
      <c r="C88" s="27" t="str">
        <f t="shared" si="6"/>
        <v>Montgomery</v>
      </c>
      <c r="D88" s="27">
        <v>2471</v>
      </c>
      <c r="E88" s="27">
        <v>42</v>
      </c>
      <c r="F88" s="27">
        <v>2</v>
      </c>
      <c r="G88" s="27">
        <v>16</v>
      </c>
      <c r="H88" s="27">
        <v>3</v>
      </c>
      <c r="I88" s="27">
        <v>2</v>
      </c>
      <c r="J88" s="27">
        <v>16</v>
      </c>
      <c r="K88" s="27">
        <f t="shared" si="7"/>
        <v>81</v>
      </c>
      <c r="L88" s="2">
        <v>81</v>
      </c>
      <c r="M88" s="27">
        <v>100</v>
      </c>
      <c r="N88" s="2">
        <v>3922</v>
      </c>
      <c r="O88" s="2">
        <v>40</v>
      </c>
      <c r="P88" s="2">
        <v>20</v>
      </c>
      <c r="Q88" s="2">
        <v>30</v>
      </c>
      <c r="R88" s="2">
        <v>16</v>
      </c>
      <c r="S88" s="2">
        <v>20</v>
      </c>
      <c r="T88" s="2">
        <v>14</v>
      </c>
      <c r="U88" s="28">
        <f t="shared" si="8"/>
        <v>31.012345679012345</v>
      </c>
      <c r="V88" s="2">
        <v>12080.64</v>
      </c>
      <c r="W88" s="27">
        <v>78</v>
      </c>
      <c r="X88" s="2">
        <v>6700</v>
      </c>
      <c r="Y88" s="2">
        <v>9500</v>
      </c>
      <c r="Z88" s="2">
        <v>28000</v>
      </c>
      <c r="AA88" s="29">
        <v>3000</v>
      </c>
      <c r="AB88" s="2">
        <f t="shared" si="9"/>
        <v>47200</v>
      </c>
      <c r="AC88" s="23">
        <v>1905</v>
      </c>
      <c r="AD88" s="27" t="s">
        <v>492</v>
      </c>
      <c r="AE88" s="27" t="s">
        <v>496</v>
      </c>
      <c r="AF88" s="27" t="s">
        <v>383</v>
      </c>
      <c r="AG88" s="27" t="s">
        <v>492</v>
      </c>
      <c r="AH88" s="27" t="s">
        <v>383</v>
      </c>
      <c r="AI88" s="27" t="s">
        <v>494</v>
      </c>
      <c r="AJ88" s="27" t="s">
        <v>492</v>
      </c>
      <c r="AK88" s="27" t="s">
        <v>383</v>
      </c>
    </row>
    <row r="89" spans="1:37" x14ac:dyDescent="0.25">
      <c r="A89" s="27" t="s">
        <v>827</v>
      </c>
      <c r="B89" s="27" t="str">
        <f t="shared" si="5"/>
        <v>Georgia</v>
      </c>
      <c r="C89" s="27" t="str">
        <f t="shared" si="6"/>
        <v>Morgan</v>
      </c>
      <c r="D89" s="27">
        <v>1905</v>
      </c>
      <c r="E89" s="27">
        <v>20</v>
      </c>
      <c r="F89" s="27">
        <v>4</v>
      </c>
      <c r="G89" s="27">
        <v>11</v>
      </c>
      <c r="H89" s="27">
        <v>11</v>
      </c>
      <c r="I89" s="27">
        <v>7</v>
      </c>
      <c r="J89" s="27">
        <v>14</v>
      </c>
      <c r="K89" s="27">
        <f t="shared" si="7"/>
        <v>67</v>
      </c>
      <c r="L89" s="2">
        <v>67</v>
      </c>
      <c r="M89" s="27">
        <v>100</v>
      </c>
      <c r="N89" s="2">
        <v>3624</v>
      </c>
      <c r="O89" s="2">
        <v>42.5</v>
      </c>
      <c r="P89" s="2">
        <v>31</v>
      </c>
      <c r="Q89" s="2">
        <v>35</v>
      </c>
      <c r="R89" s="2">
        <v>24</v>
      </c>
      <c r="S89" s="2">
        <v>30</v>
      </c>
      <c r="T89" s="2">
        <v>16</v>
      </c>
      <c r="U89" s="28">
        <f t="shared" si="8"/>
        <v>30.701492537313431</v>
      </c>
      <c r="V89" s="2">
        <v>12315.38</v>
      </c>
      <c r="W89" s="27">
        <v>55</v>
      </c>
      <c r="X89" s="2">
        <v>12800</v>
      </c>
      <c r="Y89" s="2">
        <v>8100</v>
      </c>
      <c r="Z89" s="27">
        <f>2700+1500</f>
        <v>4200</v>
      </c>
      <c r="AA89" s="29">
        <v>2000</v>
      </c>
      <c r="AB89" s="2">
        <f t="shared" si="9"/>
        <v>27100</v>
      </c>
      <c r="AC89" s="23">
        <v>1905</v>
      </c>
      <c r="AD89" s="27" t="s">
        <v>492</v>
      </c>
      <c r="AE89" s="27" t="s">
        <v>496</v>
      </c>
      <c r="AF89" s="27" t="s">
        <v>383</v>
      </c>
      <c r="AG89" s="27" t="s">
        <v>492</v>
      </c>
      <c r="AH89" s="27" t="s">
        <v>383</v>
      </c>
      <c r="AI89" s="27" t="s">
        <v>494</v>
      </c>
      <c r="AJ89" s="27" t="s">
        <v>492</v>
      </c>
      <c r="AK89" s="27" t="s">
        <v>383</v>
      </c>
    </row>
    <row r="90" spans="1:37" x14ac:dyDescent="0.25">
      <c r="A90" s="27" t="s">
        <v>828</v>
      </c>
      <c r="B90" s="27" t="str">
        <f t="shared" si="5"/>
        <v>Georgia</v>
      </c>
      <c r="C90" s="27" t="str">
        <f t="shared" si="6"/>
        <v>Murray</v>
      </c>
      <c r="D90" s="27">
        <v>1202</v>
      </c>
      <c r="E90" s="27">
        <v>22</v>
      </c>
      <c r="F90" s="27">
        <v>0</v>
      </c>
      <c r="G90" s="27">
        <v>18</v>
      </c>
      <c r="H90" s="27">
        <v>0</v>
      </c>
      <c r="I90" s="27">
        <v>10</v>
      </c>
      <c r="J90" s="27">
        <v>8</v>
      </c>
      <c r="K90" s="27">
        <f t="shared" si="7"/>
        <v>58</v>
      </c>
      <c r="L90" s="2">
        <v>53</v>
      </c>
      <c r="M90" s="27">
        <v>90</v>
      </c>
      <c r="N90" s="2">
        <v>2226</v>
      </c>
      <c r="O90" s="2">
        <v>30</v>
      </c>
      <c r="P90" s="2">
        <v>0</v>
      </c>
      <c r="Q90" s="2">
        <v>25</v>
      </c>
      <c r="R90" s="2">
        <v>0</v>
      </c>
      <c r="S90" s="2">
        <v>20</v>
      </c>
      <c r="T90" s="2">
        <v>18</v>
      </c>
      <c r="U90" s="28">
        <f t="shared" si="8"/>
        <v>25.068965517241381</v>
      </c>
      <c r="V90" s="2">
        <v>6050</v>
      </c>
      <c r="W90" s="27">
        <v>46</v>
      </c>
      <c r="X90" s="2">
        <v>4000</v>
      </c>
      <c r="Y90" s="2">
        <v>4100</v>
      </c>
      <c r="Z90" s="2">
        <v>1500</v>
      </c>
      <c r="AA90" s="29">
        <v>1700</v>
      </c>
      <c r="AB90" s="2">
        <f t="shared" si="9"/>
        <v>11300</v>
      </c>
      <c r="AC90" s="23">
        <v>1905</v>
      </c>
      <c r="AD90" s="27" t="s">
        <v>492</v>
      </c>
      <c r="AE90" s="27" t="s">
        <v>496</v>
      </c>
      <c r="AF90" s="27" t="s">
        <v>383</v>
      </c>
      <c r="AG90" s="27" t="s">
        <v>492</v>
      </c>
      <c r="AH90" s="27" t="s">
        <v>383</v>
      </c>
      <c r="AI90" s="27" t="s">
        <v>494</v>
      </c>
      <c r="AJ90" s="27" t="s">
        <v>492</v>
      </c>
      <c r="AK90" s="27" t="s">
        <v>383</v>
      </c>
    </row>
    <row r="91" spans="1:37" x14ac:dyDescent="0.25">
      <c r="A91" s="27" t="s">
        <v>829</v>
      </c>
      <c r="B91" s="27" t="str">
        <f t="shared" si="5"/>
        <v>Georgia</v>
      </c>
      <c r="C91" s="27" t="str">
        <f t="shared" si="6"/>
        <v>Muscogee</v>
      </c>
      <c r="D91" s="27">
        <v>1448</v>
      </c>
      <c r="E91" s="27">
        <v>24</v>
      </c>
      <c r="F91" s="27">
        <v>0</v>
      </c>
      <c r="G91" s="27">
        <v>2</v>
      </c>
      <c r="H91" s="27">
        <v>6</v>
      </c>
      <c r="I91" s="27">
        <v>0</v>
      </c>
      <c r="J91" s="27">
        <v>16</v>
      </c>
      <c r="K91" s="27">
        <f t="shared" si="7"/>
        <v>48</v>
      </c>
      <c r="L91" s="2">
        <v>49</v>
      </c>
      <c r="M91" s="27">
        <v>120</v>
      </c>
      <c r="N91" s="2">
        <v>2444</v>
      </c>
      <c r="O91" s="2">
        <v>50</v>
      </c>
      <c r="P91" s="2">
        <v>0</v>
      </c>
      <c r="Q91" s="2">
        <v>40</v>
      </c>
      <c r="R91" s="2">
        <v>20</v>
      </c>
      <c r="S91" s="2">
        <v>0</v>
      </c>
      <c r="T91" s="2">
        <v>18</v>
      </c>
      <c r="U91" s="28">
        <f t="shared" si="8"/>
        <v>35.166666666666664</v>
      </c>
      <c r="V91" s="2">
        <v>10173.68</v>
      </c>
      <c r="W91" s="27">
        <v>35</v>
      </c>
      <c r="X91" s="2">
        <v>6000</v>
      </c>
      <c r="Y91" s="2">
        <v>2400</v>
      </c>
      <c r="Z91" s="2">
        <f>2200+2100</f>
        <v>4300</v>
      </c>
      <c r="AA91" s="29">
        <v>1250</v>
      </c>
      <c r="AB91" s="2">
        <f t="shared" si="9"/>
        <v>13950</v>
      </c>
      <c r="AC91" s="23">
        <v>1905</v>
      </c>
      <c r="AD91" s="27" t="s">
        <v>492</v>
      </c>
      <c r="AE91" s="27" t="s">
        <v>496</v>
      </c>
      <c r="AF91" s="27" t="s">
        <v>383</v>
      </c>
      <c r="AG91" s="27" t="s">
        <v>492</v>
      </c>
      <c r="AH91" s="27" t="s">
        <v>383</v>
      </c>
      <c r="AI91" s="27" t="s">
        <v>494</v>
      </c>
      <c r="AJ91" s="27" t="s">
        <v>492</v>
      </c>
      <c r="AK91" s="27" t="s">
        <v>383</v>
      </c>
    </row>
    <row r="92" spans="1:37" x14ac:dyDescent="0.25">
      <c r="A92" s="27" t="s">
        <v>830</v>
      </c>
      <c r="B92" s="27" t="str">
        <f t="shared" si="5"/>
        <v>Georgia</v>
      </c>
      <c r="C92" s="27" t="str">
        <f t="shared" si="6"/>
        <v>Newton</v>
      </c>
      <c r="D92" s="27">
        <v>2121</v>
      </c>
      <c r="E92" s="27">
        <v>35</v>
      </c>
      <c r="F92" s="27">
        <v>2</v>
      </c>
      <c r="G92" s="27">
        <v>13</v>
      </c>
      <c r="H92" s="27">
        <v>11</v>
      </c>
      <c r="I92" s="27">
        <v>4</v>
      </c>
      <c r="J92" s="27">
        <v>19</v>
      </c>
      <c r="K92" s="27">
        <f t="shared" si="7"/>
        <v>84</v>
      </c>
      <c r="L92" s="2">
        <v>84</v>
      </c>
      <c r="M92" s="27">
        <v>100</v>
      </c>
      <c r="N92" s="2">
        <v>3730</v>
      </c>
      <c r="O92" s="2">
        <v>40</v>
      </c>
      <c r="P92" s="2">
        <v>20</v>
      </c>
      <c r="Q92" s="2">
        <v>27</v>
      </c>
      <c r="R92" s="2">
        <v>15</v>
      </c>
      <c r="S92" s="2">
        <v>20</v>
      </c>
      <c r="T92" s="2">
        <v>10</v>
      </c>
      <c r="U92" s="28">
        <f t="shared" si="8"/>
        <v>26.5</v>
      </c>
      <c r="V92" s="2">
        <v>11233.64</v>
      </c>
      <c r="W92" s="27">
        <v>46</v>
      </c>
      <c r="X92" s="2">
        <v>7000</v>
      </c>
      <c r="Y92" s="2">
        <v>6000</v>
      </c>
      <c r="Z92" s="2">
        <v>3000</v>
      </c>
      <c r="AA92" s="29">
        <v>4400</v>
      </c>
      <c r="AB92" s="2">
        <f t="shared" si="9"/>
        <v>20400</v>
      </c>
      <c r="AC92" s="23">
        <v>1905</v>
      </c>
      <c r="AD92" s="27" t="s">
        <v>492</v>
      </c>
      <c r="AE92" s="27" t="s">
        <v>496</v>
      </c>
      <c r="AF92" s="27" t="s">
        <v>383</v>
      </c>
      <c r="AG92" s="27" t="s">
        <v>492</v>
      </c>
      <c r="AH92" s="27" t="s">
        <v>383</v>
      </c>
      <c r="AI92" s="27" t="s">
        <v>494</v>
      </c>
      <c r="AJ92" s="27" t="s">
        <v>492</v>
      </c>
      <c r="AK92" s="27" t="s">
        <v>383</v>
      </c>
    </row>
    <row r="93" spans="1:37" x14ac:dyDescent="0.25">
      <c r="A93" s="27" t="s">
        <v>831</v>
      </c>
      <c r="B93" s="27" t="str">
        <f t="shared" si="5"/>
        <v>Georgia</v>
      </c>
      <c r="C93" s="27" t="str">
        <f t="shared" si="6"/>
        <v>Oconee</v>
      </c>
      <c r="D93" s="27">
        <v>1293</v>
      </c>
      <c r="E93" s="27">
        <v>15</v>
      </c>
      <c r="F93" s="27">
        <v>4</v>
      </c>
      <c r="G93" s="27">
        <v>5</v>
      </c>
      <c r="H93" s="27">
        <v>4</v>
      </c>
      <c r="I93" s="27">
        <v>1</v>
      </c>
      <c r="J93" s="27">
        <v>6</v>
      </c>
      <c r="K93" s="27">
        <f t="shared" si="7"/>
        <v>35</v>
      </c>
      <c r="L93" s="2">
        <v>35</v>
      </c>
      <c r="M93" s="27">
        <v>100</v>
      </c>
      <c r="N93" s="2">
        <v>2490</v>
      </c>
      <c r="O93" s="2">
        <v>39</v>
      </c>
      <c r="P93" s="2">
        <v>27</v>
      </c>
      <c r="Q93" s="2">
        <v>25</v>
      </c>
      <c r="R93" s="2">
        <v>20</v>
      </c>
      <c r="S93" s="2">
        <v>23</v>
      </c>
      <c r="T93" s="2">
        <v>19</v>
      </c>
      <c r="U93" s="28">
        <f t="shared" si="8"/>
        <v>29.571428571428573</v>
      </c>
      <c r="V93" s="2">
        <v>6618.7</v>
      </c>
      <c r="W93" s="27">
        <v>35</v>
      </c>
      <c r="X93" s="2">
        <v>1050</v>
      </c>
      <c r="Y93" s="2">
        <v>4300</v>
      </c>
      <c r="Z93" s="2">
        <v>3850</v>
      </c>
      <c r="AA93" s="29">
        <v>725</v>
      </c>
      <c r="AB93" s="2">
        <f t="shared" si="9"/>
        <v>9925</v>
      </c>
      <c r="AC93" s="23">
        <v>1905</v>
      </c>
      <c r="AD93" s="27" t="s">
        <v>492</v>
      </c>
      <c r="AE93" s="27" t="s">
        <v>496</v>
      </c>
      <c r="AF93" s="27" t="s">
        <v>383</v>
      </c>
      <c r="AG93" s="27" t="s">
        <v>492</v>
      </c>
      <c r="AH93" s="27" t="s">
        <v>383</v>
      </c>
      <c r="AI93" s="27" t="s">
        <v>494</v>
      </c>
      <c r="AJ93" s="27" t="s">
        <v>492</v>
      </c>
      <c r="AK93" s="27" t="s">
        <v>383</v>
      </c>
    </row>
    <row r="94" spans="1:37" x14ac:dyDescent="0.25">
      <c r="A94" s="27" t="s">
        <v>832</v>
      </c>
      <c r="B94" s="27" t="str">
        <f t="shared" si="5"/>
        <v>Georgia</v>
      </c>
      <c r="C94" s="27" t="str">
        <f t="shared" si="6"/>
        <v>Oglethorpe</v>
      </c>
      <c r="D94" s="27">
        <v>2138</v>
      </c>
      <c r="E94" s="27">
        <v>26</v>
      </c>
      <c r="F94" s="27">
        <v>2</v>
      </c>
      <c r="G94" s="27">
        <v>8</v>
      </c>
      <c r="H94" s="27">
        <v>11</v>
      </c>
      <c r="I94" s="27">
        <v>1</v>
      </c>
      <c r="J94" s="27">
        <v>24</v>
      </c>
      <c r="K94" s="27">
        <f t="shared" si="7"/>
        <v>72</v>
      </c>
      <c r="L94" s="2">
        <v>72</v>
      </c>
      <c r="M94" s="27">
        <v>120</v>
      </c>
      <c r="N94" s="2">
        <v>3960</v>
      </c>
      <c r="O94" s="2">
        <v>43</v>
      </c>
      <c r="P94" s="2">
        <v>33</v>
      </c>
      <c r="Q94" s="2">
        <v>30</v>
      </c>
      <c r="R94" s="2">
        <v>22</v>
      </c>
      <c r="S94" s="2">
        <v>26</v>
      </c>
      <c r="T94" s="2">
        <v>18</v>
      </c>
      <c r="U94" s="28">
        <f t="shared" si="8"/>
        <v>29.5</v>
      </c>
      <c r="V94" s="2">
        <v>12559.8</v>
      </c>
      <c r="W94" s="27">
        <v>72</v>
      </c>
      <c r="X94" s="2">
        <v>2500</v>
      </c>
      <c r="Y94" s="2">
        <v>2700</v>
      </c>
      <c r="Z94" s="2">
        <v>3000</v>
      </c>
      <c r="AA94" s="29">
        <v>500</v>
      </c>
      <c r="AB94" s="2">
        <f t="shared" si="9"/>
        <v>8700</v>
      </c>
      <c r="AC94" s="23">
        <v>1905</v>
      </c>
      <c r="AD94" s="27" t="s">
        <v>492</v>
      </c>
      <c r="AE94" s="27" t="s">
        <v>496</v>
      </c>
      <c r="AF94" s="27" t="s">
        <v>383</v>
      </c>
      <c r="AG94" s="27" t="s">
        <v>492</v>
      </c>
      <c r="AH94" s="27" t="s">
        <v>383</v>
      </c>
      <c r="AI94" s="27" t="s">
        <v>494</v>
      </c>
      <c r="AJ94" s="27" t="s">
        <v>492</v>
      </c>
      <c r="AK94" s="27" t="s">
        <v>383</v>
      </c>
    </row>
    <row r="95" spans="1:37" x14ac:dyDescent="0.25">
      <c r="A95" s="27" t="s">
        <v>833</v>
      </c>
      <c r="B95" s="27" t="str">
        <f t="shared" si="5"/>
        <v>Georgia</v>
      </c>
      <c r="C95" s="27" t="str">
        <f t="shared" si="6"/>
        <v>Paulding</v>
      </c>
      <c r="D95" s="27">
        <v>2572</v>
      </c>
      <c r="E95" s="27">
        <v>24</v>
      </c>
      <c r="F95" s="27">
        <v>4</v>
      </c>
      <c r="G95" s="27">
        <v>12</v>
      </c>
      <c r="H95" s="27">
        <v>2</v>
      </c>
      <c r="I95" s="27">
        <v>20</v>
      </c>
      <c r="J95" s="27">
        <v>4</v>
      </c>
      <c r="K95" s="27">
        <f t="shared" si="7"/>
        <v>66</v>
      </c>
      <c r="L95" s="2">
        <v>61</v>
      </c>
      <c r="M95" s="27">
        <v>100</v>
      </c>
      <c r="N95" s="2">
        <v>2976</v>
      </c>
      <c r="O95" s="2">
        <v>30</v>
      </c>
      <c r="P95" s="2">
        <v>20</v>
      </c>
      <c r="Q95" s="2">
        <v>30</v>
      </c>
      <c r="R95" s="2">
        <v>20</v>
      </c>
      <c r="S95" s="2">
        <v>30</v>
      </c>
      <c r="T95" s="2">
        <v>20</v>
      </c>
      <c r="U95" s="28">
        <f t="shared" si="8"/>
        <v>28.484848484848484</v>
      </c>
      <c r="V95" s="2">
        <v>9931.68</v>
      </c>
      <c r="W95" s="27">
        <v>55</v>
      </c>
      <c r="X95" s="2">
        <v>5400</v>
      </c>
      <c r="Y95" s="2">
        <v>4900</v>
      </c>
      <c r="Z95" s="27">
        <f>1600+5400</f>
        <v>7000</v>
      </c>
      <c r="AA95" s="29">
        <v>300</v>
      </c>
      <c r="AB95" s="2">
        <f t="shared" si="9"/>
        <v>17600</v>
      </c>
      <c r="AC95" s="23">
        <v>1905</v>
      </c>
      <c r="AD95" s="27" t="s">
        <v>492</v>
      </c>
      <c r="AE95" s="27" t="s">
        <v>496</v>
      </c>
      <c r="AF95" s="27" t="s">
        <v>383</v>
      </c>
      <c r="AG95" s="27" t="s">
        <v>492</v>
      </c>
      <c r="AH95" s="27" t="s">
        <v>383</v>
      </c>
      <c r="AI95" s="27" t="s">
        <v>494</v>
      </c>
      <c r="AJ95" s="27" t="s">
        <v>492</v>
      </c>
      <c r="AK95" s="27" t="s">
        <v>383</v>
      </c>
    </row>
    <row r="96" spans="1:37" x14ac:dyDescent="0.25">
      <c r="A96" s="27" t="s">
        <v>835</v>
      </c>
      <c r="B96" s="27" t="str">
        <f t="shared" si="5"/>
        <v>Georgia</v>
      </c>
      <c r="C96" s="27" t="str">
        <f t="shared" si="6"/>
        <v>Pickens</v>
      </c>
      <c r="D96" s="27">
        <v>709</v>
      </c>
      <c r="E96" s="27">
        <v>14</v>
      </c>
      <c r="F96" s="27">
        <v>0</v>
      </c>
      <c r="G96" s="27">
        <v>15</v>
      </c>
      <c r="H96" s="27">
        <v>1</v>
      </c>
      <c r="I96" s="27">
        <v>16</v>
      </c>
      <c r="J96" s="27">
        <v>3</v>
      </c>
      <c r="K96" s="27">
        <f t="shared" si="7"/>
        <v>49</v>
      </c>
      <c r="L96" s="2">
        <v>49</v>
      </c>
      <c r="M96" s="27">
        <v>110</v>
      </c>
      <c r="N96" s="2">
        <v>1730</v>
      </c>
      <c r="O96" s="2">
        <v>37</v>
      </c>
      <c r="P96" s="2">
        <v>0</v>
      </c>
      <c r="Q96" s="2">
        <v>28</v>
      </c>
      <c r="R96" s="2">
        <v>27</v>
      </c>
      <c r="S96" s="2">
        <v>23</v>
      </c>
      <c r="T96" s="2">
        <v>22</v>
      </c>
      <c r="U96" s="28">
        <f t="shared" si="8"/>
        <v>28.551020408163264</v>
      </c>
      <c r="V96" s="2">
        <v>6415.42</v>
      </c>
      <c r="W96" s="27">
        <v>38</v>
      </c>
      <c r="X96" s="2">
        <v>6350</v>
      </c>
      <c r="Y96" s="2">
        <v>2210</v>
      </c>
      <c r="Z96" s="2">
        <f>1000+8400</f>
        <v>9400</v>
      </c>
      <c r="AA96" s="29">
        <v>3000</v>
      </c>
      <c r="AB96" s="2">
        <f t="shared" si="9"/>
        <v>20960</v>
      </c>
      <c r="AC96" s="23">
        <v>1905</v>
      </c>
      <c r="AD96" s="27" t="s">
        <v>492</v>
      </c>
      <c r="AE96" s="27" t="s">
        <v>496</v>
      </c>
      <c r="AF96" s="27" t="s">
        <v>383</v>
      </c>
      <c r="AG96" s="27" t="s">
        <v>492</v>
      </c>
      <c r="AH96" s="27" t="s">
        <v>383</v>
      </c>
      <c r="AI96" s="27" t="s">
        <v>494</v>
      </c>
      <c r="AJ96" s="27" t="s">
        <v>492</v>
      </c>
      <c r="AK96" s="27" t="s">
        <v>383</v>
      </c>
    </row>
    <row r="97" spans="1:37" x14ac:dyDescent="0.25">
      <c r="A97" s="27" t="s">
        <v>836</v>
      </c>
      <c r="B97" s="27" t="str">
        <f t="shared" si="5"/>
        <v>Georgia</v>
      </c>
      <c r="C97" s="27" t="str">
        <f t="shared" si="6"/>
        <v>Pierce</v>
      </c>
      <c r="D97" s="27">
        <v>1458</v>
      </c>
      <c r="E97" s="27">
        <v>34</v>
      </c>
      <c r="F97" s="27">
        <v>1</v>
      </c>
      <c r="G97" s="27">
        <v>8</v>
      </c>
      <c r="H97" s="27">
        <v>4</v>
      </c>
      <c r="I97" s="27">
        <v>5</v>
      </c>
      <c r="J97" s="27">
        <v>2</v>
      </c>
      <c r="K97" s="27">
        <f t="shared" si="7"/>
        <v>54</v>
      </c>
      <c r="L97" s="2">
        <v>54</v>
      </c>
      <c r="M97" s="27">
        <v>100</v>
      </c>
      <c r="N97" s="2">
        <v>1999</v>
      </c>
      <c r="O97" s="2">
        <v>40</v>
      </c>
      <c r="P97" s="2">
        <v>25</v>
      </c>
      <c r="Q97" s="2">
        <v>25</v>
      </c>
      <c r="R97" s="2">
        <v>20</v>
      </c>
      <c r="S97" s="2">
        <v>20</v>
      </c>
      <c r="T97" s="2">
        <v>15</v>
      </c>
      <c r="U97" s="28">
        <f t="shared" si="8"/>
        <v>33.24074074074074</v>
      </c>
      <c r="V97" s="2">
        <v>6577.56</v>
      </c>
      <c r="W97" s="27">
        <v>52</v>
      </c>
      <c r="X97" s="2">
        <v>3650</v>
      </c>
      <c r="Y97" s="2">
        <v>1200</v>
      </c>
      <c r="Z97" s="27">
        <f>1400+25750</f>
        <v>27150</v>
      </c>
      <c r="AA97" s="29">
        <v>2500</v>
      </c>
      <c r="AB97" s="2">
        <f t="shared" si="9"/>
        <v>34500</v>
      </c>
      <c r="AC97" s="23">
        <v>1905</v>
      </c>
      <c r="AD97" s="27" t="s">
        <v>492</v>
      </c>
      <c r="AE97" s="27" t="s">
        <v>496</v>
      </c>
      <c r="AF97" s="27" t="s">
        <v>383</v>
      </c>
      <c r="AG97" s="27" t="s">
        <v>492</v>
      </c>
      <c r="AH97" s="27" t="s">
        <v>383</v>
      </c>
      <c r="AI97" s="27" t="s">
        <v>494</v>
      </c>
      <c r="AJ97" s="27" t="s">
        <v>492</v>
      </c>
      <c r="AK97" s="27" t="s">
        <v>383</v>
      </c>
    </row>
    <row r="98" spans="1:37" x14ac:dyDescent="0.25">
      <c r="A98" s="27" t="s">
        <v>837</v>
      </c>
      <c r="B98" s="27" t="str">
        <f t="shared" si="5"/>
        <v>Georgia</v>
      </c>
      <c r="C98" s="27" t="str">
        <f t="shared" si="6"/>
        <v>Pike</v>
      </c>
      <c r="D98" s="27">
        <v>2749</v>
      </c>
      <c r="E98" s="27">
        <v>27</v>
      </c>
      <c r="F98" s="27">
        <v>2</v>
      </c>
      <c r="G98" s="27">
        <v>6</v>
      </c>
      <c r="H98" s="27">
        <v>18</v>
      </c>
      <c r="I98" s="27">
        <v>5</v>
      </c>
      <c r="J98" s="27">
        <v>6</v>
      </c>
      <c r="K98" s="27">
        <f t="shared" si="7"/>
        <v>64</v>
      </c>
      <c r="L98" s="2">
        <v>64</v>
      </c>
      <c r="M98" s="27">
        <v>120</v>
      </c>
      <c r="N98" s="2">
        <v>4647</v>
      </c>
      <c r="O98" s="2">
        <v>35</v>
      </c>
      <c r="P98" s="2">
        <v>20</v>
      </c>
      <c r="Q98" s="2">
        <v>30</v>
      </c>
      <c r="R98" s="2">
        <v>15</v>
      </c>
      <c r="S98" s="2">
        <v>20</v>
      </c>
      <c r="T98" s="2">
        <v>10</v>
      </c>
      <c r="U98" s="28">
        <f t="shared" si="8"/>
        <v>24.921875</v>
      </c>
      <c r="V98" s="2">
        <v>13781.9</v>
      </c>
      <c r="W98" s="27">
        <v>56</v>
      </c>
      <c r="X98" s="2">
        <v>3350</v>
      </c>
      <c r="Y98" s="2">
        <v>31500</v>
      </c>
      <c r="Z98" s="2">
        <v>19000</v>
      </c>
      <c r="AA98" s="29">
        <v>1360</v>
      </c>
      <c r="AB98" s="2">
        <f t="shared" si="9"/>
        <v>55210</v>
      </c>
      <c r="AC98" s="23">
        <v>1905</v>
      </c>
      <c r="AD98" s="27" t="s">
        <v>492</v>
      </c>
      <c r="AE98" s="27" t="s">
        <v>496</v>
      </c>
      <c r="AF98" s="27" t="s">
        <v>383</v>
      </c>
      <c r="AG98" s="27" t="s">
        <v>492</v>
      </c>
      <c r="AH98" s="27" t="s">
        <v>383</v>
      </c>
      <c r="AI98" s="27" t="s">
        <v>497</v>
      </c>
      <c r="AJ98" s="27" t="s">
        <v>492</v>
      </c>
      <c r="AK98" s="27" t="s">
        <v>383</v>
      </c>
    </row>
    <row r="99" spans="1:37" x14ac:dyDescent="0.25">
      <c r="A99" s="27" t="s">
        <v>838</v>
      </c>
      <c r="B99" s="27" t="str">
        <f t="shared" si="5"/>
        <v>Georgia</v>
      </c>
      <c r="C99" s="27" t="str">
        <f t="shared" si="6"/>
        <v>Polk</v>
      </c>
      <c r="D99" s="27">
        <v>3373</v>
      </c>
      <c r="E99" s="27">
        <v>15</v>
      </c>
      <c r="F99" s="27">
        <v>0</v>
      </c>
      <c r="G99" s="27">
        <v>21</v>
      </c>
      <c r="H99" s="27">
        <v>5</v>
      </c>
      <c r="I99" s="27">
        <v>18</v>
      </c>
      <c r="J99" s="27">
        <v>10</v>
      </c>
      <c r="K99" s="27">
        <f t="shared" si="7"/>
        <v>69</v>
      </c>
      <c r="L99" s="2">
        <v>67</v>
      </c>
      <c r="M99" s="27">
        <v>120</v>
      </c>
      <c r="N99" s="2">
        <v>4820</v>
      </c>
      <c r="O99" s="2">
        <v>40</v>
      </c>
      <c r="P99" s="2">
        <v>0</v>
      </c>
      <c r="Q99" s="2">
        <v>35</v>
      </c>
      <c r="R99" s="2">
        <v>26</v>
      </c>
      <c r="S99" s="2">
        <v>28</v>
      </c>
      <c r="T99" s="2">
        <v>20</v>
      </c>
      <c r="U99" s="28">
        <f t="shared" si="8"/>
        <v>31.434782608695652</v>
      </c>
      <c r="V99" s="2">
        <v>14290.1</v>
      </c>
      <c r="W99" s="27">
        <v>40</v>
      </c>
      <c r="X99" s="2">
        <v>6450</v>
      </c>
      <c r="Y99" s="2">
        <v>3450</v>
      </c>
      <c r="Z99" s="2">
        <v>24000</v>
      </c>
      <c r="AA99" s="29">
        <v>1000</v>
      </c>
      <c r="AB99" s="2">
        <f t="shared" si="9"/>
        <v>34900</v>
      </c>
      <c r="AC99" s="23">
        <v>1905</v>
      </c>
      <c r="AD99" s="27" t="s">
        <v>492</v>
      </c>
      <c r="AE99" s="27" t="s">
        <v>496</v>
      </c>
      <c r="AF99" s="27" t="s">
        <v>383</v>
      </c>
      <c r="AG99" s="27" t="s">
        <v>492</v>
      </c>
      <c r="AH99" s="27" t="s">
        <v>383</v>
      </c>
      <c r="AI99" s="27" t="s">
        <v>497</v>
      </c>
      <c r="AJ99" s="27" t="s">
        <v>492</v>
      </c>
      <c r="AK99" s="27" t="s">
        <v>383</v>
      </c>
    </row>
    <row r="100" spans="1:37" x14ac:dyDescent="0.25">
      <c r="A100" s="27" t="s">
        <v>839</v>
      </c>
      <c r="B100" s="27" t="str">
        <f t="shared" si="5"/>
        <v>Georgia</v>
      </c>
      <c r="C100" s="27" t="str">
        <f t="shared" si="6"/>
        <v>Pulaski</v>
      </c>
      <c r="D100" s="27">
        <v>1735</v>
      </c>
      <c r="E100" s="27">
        <v>42</v>
      </c>
      <c r="F100" s="27">
        <v>3</v>
      </c>
      <c r="G100" s="27">
        <v>9</v>
      </c>
      <c r="H100" s="27">
        <v>7</v>
      </c>
      <c r="I100" s="27">
        <v>2</v>
      </c>
      <c r="J100" s="27">
        <v>16</v>
      </c>
      <c r="K100" s="27">
        <f t="shared" si="7"/>
        <v>79</v>
      </c>
      <c r="L100" s="2">
        <v>79</v>
      </c>
      <c r="M100" s="27">
        <v>140</v>
      </c>
      <c r="N100" s="2">
        <v>3936</v>
      </c>
      <c r="O100" s="2">
        <v>40</v>
      </c>
      <c r="P100" s="2">
        <v>25</v>
      </c>
      <c r="Q100" s="2">
        <v>30</v>
      </c>
      <c r="R100" s="2">
        <v>20</v>
      </c>
      <c r="S100" s="2">
        <v>25</v>
      </c>
      <c r="T100" s="2">
        <v>15</v>
      </c>
      <c r="U100" s="28">
        <f t="shared" si="8"/>
        <v>31.075949367088608</v>
      </c>
      <c r="V100" s="2">
        <v>14350.6</v>
      </c>
      <c r="W100" s="27">
        <v>62</v>
      </c>
      <c r="X100" s="2">
        <v>13650</v>
      </c>
      <c r="Y100" s="2">
        <v>500</v>
      </c>
      <c r="Z100" s="27">
        <f>300+21950</f>
        <v>22250</v>
      </c>
      <c r="AA100" s="29">
        <v>2600</v>
      </c>
      <c r="AB100" s="2">
        <f t="shared" si="9"/>
        <v>39000</v>
      </c>
      <c r="AC100" s="23">
        <v>1905</v>
      </c>
      <c r="AD100" s="27" t="s">
        <v>492</v>
      </c>
      <c r="AE100" s="27" t="s">
        <v>496</v>
      </c>
      <c r="AF100" s="27" t="s">
        <v>383</v>
      </c>
      <c r="AG100" s="27" t="s">
        <v>492</v>
      </c>
      <c r="AH100" s="27" t="s">
        <v>383</v>
      </c>
      <c r="AI100" s="27" t="s">
        <v>497</v>
      </c>
      <c r="AJ100" s="27" t="s">
        <v>492</v>
      </c>
      <c r="AK100" s="27" t="s">
        <v>383</v>
      </c>
    </row>
    <row r="101" spans="1:37" x14ac:dyDescent="0.25">
      <c r="A101" s="27" t="s">
        <v>840</v>
      </c>
      <c r="B101" s="27" t="str">
        <f t="shared" si="5"/>
        <v>Georgia</v>
      </c>
      <c r="C101" s="27" t="str">
        <f t="shared" si="6"/>
        <v>Putnam</v>
      </c>
      <c r="D101" s="27">
        <v>911</v>
      </c>
      <c r="E101" s="27">
        <v>14</v>
      </c>
      <c r="F101" s="27">
        <v>0</v>
      </c>
      <c r="G101" s="27">
        <v>4</v>
      </c>
      <c r="H101" s="27">
        <v>2</v>
      </c>
      <c r="I101" s="27">
        <v>3</v>
      </c>
      <c r="J101" s="27">
        <v>19</v>
      </c>
      <c r="K101" s="27">
        <f t="shared" si="7"/>
        <v>42</v>
      </c>
      <c r="L101" s="2">
        <v>42</v>
      </c>
      <c r="M101" s="27">
        <v>140</v>
      </c>
      <c r="N101" s="2">
        <v>1737</v>
      </c>
      <c r="O101" s="2">
        <v>45</v>
      </c>
      <c r="P101" s="2">
        <v>15</v>
      </c>
      <c r="Q101" s="2">
        <v>45</v>
      </c>
      <c r="R101" s="2">
        <v>15</v>
      </c>
      <c r="S101" s="2">
        <v>45</v>
      </c>
      <c r="T101" s="2">
        <v>15</v>
      </c>
      <c r="U101" s="28">
        <f t="shared" si="8"/>
        <v>30</v>
      </c>
      <c r="V101" s="2">
        <v>10785.94</v>
      </c>
      <c r="W101" s="27">
        <v>37</v>
      </c>
      <c r="X101" s="2">
        <v>2100</v>
      </c>
      <c r="Y101" s="2">
        <v>5500</v>
      </c>
      <c r="Z101" s="2">
        <v>8500</v>
      </c>
      <c r="AA101" s="29">
        <v>2000</v>
      </c>
      <c r="AB101" s="2">
        <f t="shared" si="9"/>
        <v>18100</v>
      </c>
      <c r="AC101" s="23">
        <v>1905</v>
      </c>
      <c r="AD101" s="27" t="s">
        <v>492</v>
      </c>
      <c r="AE101" s="27" t="s">
        <v>496</v>
      </c>
      <c r="AF101" s="27" t="s">
        <v>383</v>
      </c>
      <c r="AG101" s="27" t="s">
        <v>492</v>
      </c>
      <c r="AH101" s="27" t="s">
        <v>383</v>
      </c>
      <c r="AI101" s="27" t="s">
        <v>497</v>
      </c>
      <c r="AJ101" s="27" t="s">
        <v>492</v>
      </c>
      <c r="AK101" s="27" t="s">
        <v>383</v>
      </c>
    </row>
    <row r="102" spans="1:37" x14ac:dyDescent="0.25">
      <c r="A102" s="27" t="s">
        <v>841</v>
      </c>
      <c r="B102" s="27" t="str">
        <f t="shared" si="5"/>
        <v>Georgia</v>
      </c>
      <c r="C102" s="27" t="str">
        <f t="shared" si="6"/>
        <v>Quitman</v>
      </c>
      <c r="D102" s="27">
        <v>435</v>
      </c>
      <c r="E102" s="27">
        <v>3</v>
      </c>
      <c r="F102" s="27">
        <v>0</v>
      </c>
      <c r="G102" s="27">
        <v>2</v>
      </c>
      <c r="H102" s="27">
        <v>0</v>
      </c>
      <c r="I102" s="27">
        <v>10</v>
      </c>
      <c r="J102" s="27">
        <v>18</v>
      </c>
      <c r="K102" s="27">
        <f t="shared" si="7"/>
        <v>33</v>
      </c>
      <c r="L102" s="2">
        <v>28</v>
      </c>
      <c r="M102" s="27">
        <v>115</v>
      </c>
      <c r="N102" s="2">
        <v>837</v>
      </c>
      <c r="O102" s="2">
        <v>40</v>
      </c>
      <c r="P102" s="2">
        <v>22</v>
      </c>
      <c r="Q102" s="2">
        <v>36</v>
      </c>
      <c r="R102" s="2">
        <v>21</v>
      </c>
      <c r="S102" s="2">
        <v>0</v>
      </c>
      <c r="T102" s="2">
        <v>20</v>
      </c>
      <c r="U102" s="28">
        <f t="shared" si="8"/>
        <v>16.727272727272727</v>
      </c>
      <c r="V102" s="2">
        <v>3332.34</v>
      </c>
      <c r="W102" s="27">
        <v>21</v>
      </c>
      <c r="X102" s="2">
        <v>850</v>
      </c>
      <c r="Y102" s="2">
        <v>900</v>
      </c>
      <c r="Z102" s="2">
        <v>150</v>
      </c>
      <c r="AA102" s="29">
        <v>150</v>
      </c>
      <c r="AB102" s="2">
        <f t="shared" si="9"/>
        <v>2050</v>
      </c>
      <c r="AC102" s="23">
        <v>1905</v>
      </c>
      <c r="AD102" s="27" t="s">
        <v>492</v>
      </c>
      <c r="AE102" s="27" t="s">
        <v>496</v>
      </c>
      <c r="AF102" s="27" t="s">
        <v>383</v>
      </c>
      <c r="AG102" s="27" t="s">
        <v>492</v>
      </c>
      <c r="AH102" s="27" t="s">
        <v>383</v>
      </c>
      <c r="AI102" s="27" t="s">
        <v>497</v>
      </c>
      <c r="AJ102" s="27" t="s">
        <v>492</v>
      </c>
      <c r="AK102" s="27" t="s">
        <v>383</v>
      </c>
    </row>
    <row r="103" spans="1:37" x14ac:dyDescent="0.25">
      <c r="A103" s="27" t="s">
        <v>842</v>
      </c>
      <c r="B103" s="27" t="str">
        <f t="shared" si="5"/>
        <v>Georgia</v>
      </c>
      <c r="C103" s="27" t="str">
        <f t="shared" si="6"/>
        <v>Rabun</v>
      </c>
      <c r="D103" s="27">
        <v>936</v>
      </c>
      <c r="E103" s="27">
        <v>15</v>
      </c>
      <c r="F103" s="27">
        <v>0</v>
      </c>
      <c r="G103" s="27">
        <v>11</v>
      </c>
      <c r="H103" s="27">
        <v>0</v>
      </c>
      <c r="I103" s="27">
        <v>12</v>
      </c>
      <c r="J103" s="27">
        <v>2</v>
      </c>
      <c r="K103" s="27">
        <f t="shared" si="7"/>
        <v>40</v>
      </c>
      <c r="L103" s="2">
        <v>40</v>
      </c>
      <c r="M103" s="27">
        <v>90</v>
      </c>
      <c r="N103" s="2">
        <v>1456</v>
      </c>
      <c r="O103" s="2">
        <v>34</v>
      </c>
      <c r="P103" s="2">
        <v>0</v>
      </c>
      <c r="Q103" s="2">
        <v>25</v>
      </c>
      <c r="R103" s="2">
        <v>0</v>
      </c>
      <c r="S103" s="2">
        <v>18</v>
      </c>
      <c r="T103" s="2">
        <v>17.5</v>
      </c>
      <c r="U103" s="28">
        <f t="shared" si="8"/>
        <v>25.9</v>
      </c>
      <c r="V103" s="2">
        <v>4881.1400000000003</v>
      </c>
      <c r="W103" s="27">
        <v>33</v>
      </c>
      <c r="X103" s="2">
        <v>300</v>
      </c>
      <c r="Y103" s="2">
        <v>10200</v>
      </c>
      <c r="Z103" s="2">
        <v>200</v>
      </c>
      <c r="AA103" s="29">
        <v>500</v>
      </c>
      <c r="AB103" s="2">
        <f t="shared" si="9"/>
        <v>11200</v>
      </c>
      <c r="AC103" s="23">
        <v>1905</v>
      </c>
      <c r="AD103" s="27" t="s">
        <v>492</v>
      </c>
      <c r="AE103" s="27" t="s">
        <v>496</v>
      </c>
      <c r="AF103" s="27" t="s">
        <v>383</v>
      </c>
      <c r="AG103" s="27" t="s">
        <v>492</v>
      </c>
      <c r="AH103" s="27" t="s">
        <v>383</v>
      </c>
      <c r="AI103" s="27" t="s">
        <v>497</v>
      </c>
      <c r="AJ103" s="27" t="s">
        <v>492</v>
      </c>
      <c r="AK103" s="27" t="s">
        <v>383</v>
      </c>
    </row>
    <row r="104" spans="1:37" x14ac:dyDescent="0.25">
      <c r="A104" s="27" t="s">
        <v>843</v>
      </c>
      <c r="B104" s="27" t="str">
        <f t="shared" si="5"/>
        <v>Georgia</v>
      </c>
      <c r="C104" s="27" t="str">
        <f t="shared" si="6"/>
        <v>Randolph</v>
      </c>
      <c r="D104" s="27">
        <v>1892</v>
      </c>
      <c r="E104" s="27">
        <v>27</v>
      </c>
      <c r="F104" s="27">
        <v>7</v>
      </c>
      <c r="G104" s="27">
        <v>5</v>
      </c>
      <c r="H104" s="27">
        <v>5</v>
      </c>
      <c r="I104" s="27">
        <v>2</v>
      </c>
      <c r="J104" s="27">
        <v>14</v>
      </c>
      <c r="K104" s="27">
        <f t="shared" si="7"/>
        <v>60</v>
      </c>
      <c r="L104" s="2">
        <v>60</v>
      </c>
      <c r="M104" s="27">
        <v>120</v>
      </c>
      <c r="N104" s="2">
        <v>3243</v>
      </c>
      <c r="O104" s="2">
        <v>50</v>
      </c>
      <c r="P104" s="2">
        <v>25</v>
      </c>
      <c r="Q104" s="2">
        <v>40</v>
      </c>
      <c r="R104" s="2">
        <v>20</v>
      </c>
      <c r="S104" s="2">
        <v>25</v>
      </c>
      <c r="T104" s="2">
        <v>15</v>
      </c>
      <c r="U104" s="28">
        <f t="shared" si="8"/>
        <v>34.75</v>
      </c>
      <c r="V104" s="2">
        <v>14599.86</v>
      </c>
      <c r="W104" s="27">
        <v>39</v>
      </c>
      <c r="X104" s="2">
        <v>7500</v>
      </c>
      <c r="Y104" s="2">
        <v>3125</v>
      </c>
      <c r="Z104" s="2">
        <v>12700</v>
      </c>
      <c r="AA104" s="29">
        <v>2150</v>
      </c>
      <c r="AB104" s="2">
        <f t="shared" si="9"/>
        <v>25475</v>
      </c>
      <c r="AC104" s="23">
        <v>1905</v>
      </c>
      <c r="AD104" s="27" t="s">
        <v>492</v>
      </c>
      <c r="AE104" s="27" t="s">
        <v>496</v>
      </c>
      <c r="AF104" s="27" t="s">
        <v>383</v>
      </c>
      <c r="AG104" s="27" t="s">
        <v>492</v>
      </c>
      <c r="AH104" s="27" t="s">
        <v>383</v>
      </c>
      <c r="AI104" s="27" t="s">
        <v>497</v>
      </c>
      <c r="AJ104" s="27" t="s">
        <v>492</v>
      </c>
      <c r="AK104" s="27" t="s">
        <v>383</v>
      </c>
    </row>
    <row r="105" spans="1:37" x14ac:dyDescent="0.25">
      <c r="A105" s="27" t="s">
        <v>845</v>
      </c>
      <c r="B105" s="27" t="str">
        <f t="shared" si="5"/>
        <v>Georgia</v>
      </c>
      <c r="C105" s="27" t="str">
        <f t="shared" si="6"/>
        <v>Rockdale</v>
      </c>
      <c r="D105" s="27">
        <v>838</v>
      </c>
      <c r="E105" s="27">
        <v>13</v>
      </c>
      <c r="F105" s="27">
        <v>3</v>
      </c>
      <c r="G105" s="27">
        <v>6</v>
      </c>
      <c r="H105" s="27">
        <v>2</v>
      </c>
      <c r="I105" s="27">
        <v>3</v>
      </c>
      <c r="J105" s="27">
        <v>9</v>
      </c>
      <c r="K105" s="27">
        <f t="shared" si="7"/>
        <v>36</v>
      </c>
      <c r="L105" s="2">
        <v>37</v>
      </c>
      <c r="M105" s="27">
        <v>82</v>
      </c>
      <c r="N105" s="2">
        <v>1654</v>
      </c>
      <c r="O105" s="2">
        <v>35</v>
      </c>
      <c r="P105" s="2">
        <v>25</v>
      </c>
      <c r="Q105" s="2">
        <v>25</v>
      </c>
      <c r="R105" s="2">
        <v>18</v>
      </c>
      <c r="S105" s="2">
        <v>18</v>
      </c>
      <c r="T105" s="2">
        <v>13</v>
      </c>
      <c r="U105" s="28">
        <f t="shared" si="8"/>
        <v>24.638888888888889</v>
      </c>
      <c r="V105" s="2">
        <v>4687.54</v>
      </c>
      <c r="W105" s="27">
        <v>27</v>
      </c>
      <c r="X105" s="2">
        <v>2000</v>
      </c>
      <c r="Y105" s="2">
        <v>5235</v>
      </c>
      <c r="AA105" s="29">
        <v>11000</v>
      </c>
      <c r="AB105" s="2">
        <f t="shared" si="9"/>
        <v>18235</v>
      </c>
      <c r="AC105" s="23">
        <v>1905</v>
      </c>
      <c r="AD105" s="27" t="s">
        <v>492</v>
      </c>
      <c r="AE105" s="27" t="s">
        <v>496</v>
      </c>
      <c r="AF105" s="27" t="s">
        <v>383</v>
      </c>
      <c r="AG105" s="27" t="s">
        <v>492</v>
      </c>
      <c r="AH105" s="27" t="s">
        <v>383</v>
      </c>
      <c r="AI105" s="27" t="s">
        <v>497</v>
      </c>
      <c r="AJ105" s="27" t="s">
        <v>492</v>
      </c>
      <c r="AK105" s="27" t="s">
        <v>383</v>
      </c>
    </row>
    <row r="106" spans="1:37" x14ac:dyDescent="0.25">
      <c r="A106" s="27" t="s">
        <v>846</v>
      </c>
      <c r="B106" s="27" t="str">
        <f t="shared" si="5"/>
        <v>Georgia</v>
      </c>
      <c r="C106" s="27" t="str">
        <f t="shared" si="6"/>
        <v>Schley</v>
      </c>
      <c r="D106" s="27">
        <v>734</v>
      </c>
      <c r="E106" s="27">
        <v>7</v>
      </c>
      <c r="F106" s="27">
        <v>2</v>
      </c>
      <c r="G106" s="27">
        <v>1</v>
      </c>
      <c r="H106" s="27">
        <v>2</v>
      </c>
      <c r="I106" s="27">
        <v>2</v>
      </c>
      <c r="J106" s="27">
        <v>12</v>
      </c>
      <c r="K106" s="27">
        <f t="shared" si="7"/>
        <v>26</v>
      </c>
      <c r="L106" s="2">
        <v>21</v>
      </c>
      <c r="M106" s="27">
        <v>120</v>
      </c>
      <c r="N106" s="2">
        <v>1437</v>
      </c>
      <c r="O106" s="2">
        <v>55</v>
      </c>
      <c r="P106" s="2">
        <v>35</v>
      </c>
      <c r="Q106" s="2">
        <v>35</v>
      </c>
      <c r="R106" s="2">
        <v>27</v>
      </c>
      <c r="S106" s="2">
        <v>25</v>
      </c>
      <c r="T106" s="2">
        <v>18</v>
      </c>
      <c r="U106" s="28">
        <f t="shared" si="8"/>
        <v>31.153846153846153</v>
      </c>
      <c r="V106" s="2">
        <v>4353.58</v>
      </c>
      <c r="W106" s="27">
        <v>17</v>
      </c>
      <c r="X106" s="2">
        <v>2350</v>
      </c>
      <c r="Y106" s="2">
        <v>350</v>
      </c>
      <c r="Z106" s="2">
        <v>2500</v>
      </c>
      <c r="AA106" s="29">
        <v>800</v>
      </c>
      <c r="AB106" s="2">
        <f t="shared" si="9"/>
        <v>6000</v>
      </c>
      <c r="AC106" s="23">
        <v>1905</v>
      </c>
      <c r="AD106" s="27" t="s">
        <v>492</v>
      </c>
      <c r="AE106" s="27" t="s">
        <v>496</v>
      </c>
      <c r="AF106" s="27" t="s">
        <v>383</v>
      </c>
      <c r="AG106" s="27" t="s">
        <v>492</v>
      </c>
      <c r="AH106" s="27" t="s">
        <v>383</v>
      </c>
      <c r="AI106" s="27" t="s">
        <v>497</v>
      </c>
      <c r="AJ106" s="27" t="s">
        <v>492</v>
      </c>
      <c r="AK106" s="27" t="s">
        <v>383</v>
      </c>
    </row>
    <row r="107" spans="1:37" x14ac:dyDescent="0.25">
      <c r="A107" s="27" t="s">
        <v>847</v>
      </c>
      <c r="B107" s="27" t="str">
        <f t="shared" si="5"/>
        <v>Georgia</v>
      </c>
      <c r="C107" s="27" t="str">
        <f t="shared" si="6"/>
        <v>Screven</v>
      </c>
      <c r="D107" s="27">
        <v>2759</v>
      </c>
      <c r="E107" s="27">
        <v>35</v>
      </c>
      <c r="F107" s="27">
        <v>3</v>
      </c>
      <c r="G107" s="27">
        <v>16</v>
      </c>
      <c r="H107" s="27">
        <v>8</v>
      </c>
      <c r="I107" s="27">
        <v>9</v>
      </c>
      <c r="J107" s="27">
        <v>29</v>
      </c>
      <c r="K107" s="27">
        <f t="shared" si="7"/>
        <v>100</v>
      </c>
      <c r="L107" s="2">
        <v>100</v>
      </c>
      <c r="M107" s="27">
        <v>110</v>
      </c>
      <c r="N107" s="2">
        <v>4865</v>
      </c>
      <c r="O107" s="2">
        <v>46</v>
      </c>
      <c r="P107" s="2">
        <v>20</v>
      </c>
      <c r="Q107" s="2">
        <v>35</v>
      </c>
      <c r="R107" s="2">
        <v>18</v>
      </c>
      <c r="S107" s="2">
        <v>30</v>
      </c>
      <c r="T107" s="2">
        <v>17</v>
      </c>
      <c r="U107" s="28">
        <f t="shared" si="8"/>
        <v>31.37</v>
      </c>
      <c r="V107" s="2">
        <v>13554.42</v>
      </c>
      <c r="W107" s="27">
        <v>95</v>
      </c>
      <c r="X107" s="2">
        <v>1900</v>
      </c>
      <c r="Y107" s="2">
        <v>16755</v>
      </c>
      <c r="Z107" s="2">
        <v>7600</v>
      </c>
      <c r="AA107" s="29">
        <v>1520</v>
      </c>
      <c r="AB107" s="2">
        <f t="shared" si="9"/>
        <v>27775</v>
      </c>
      <c r="AC107" s="23">
        <v>1905</v>
      </c>
      <c r="AD107" s="27" t="s">
        <v>492</v>
      </c>
      <c r="AE107" s="27" t="s">
        <v>496</v>
      </c>
      <c r="AF107" s="27" t="s">
        <v>383</v>
      </c>
      <c r="AG107" s="27" t="s">
        <v>492</v>
      </c>
      <c r="AH107" s="27" t="s">
        <v>383</v>
      </c>
      <c r="AI107" s="27" t="s">
        <v>497</v>
      </c>
      <c r="AJ107" s="27" t="s">
        <v>492</v>
      </c>
      <c r="AK107" s="27" t="s">
        <v>383</v>
      </c>
    </row>
    <row r="108" spans="1:37" x14ac:dyDescent="0.25">
      <c r="A108" s="27" t="s">
        <v>849</v>
      </c>
      <c r="B108" s="27" t="str">
        <f t="shared" si="5"/>
        <v>Georgia</v>
      </c>
      <c r="C108" s="27" t="str">
        <f t="shared" si="6"/>
        <v>Spalding</v>
      </c>
      <c r="D108" s="27">
        <v>1545</v>
      </c>
      <c r="E108" s="27">
        <v>22</v>
      </c>
      <c r="F108" s="27">
        <v>0</v>
      </c>
      <c r="G108" s="27">
        <v>2</v>
      </c>
      <c r="H108" s="27">
        <v>2</v>
      </c>
      <c r="I108" s="27">
        <v>3</v>
      </c>
      <c r="J108" s="27">
        <v>23</v>
      </c>
      <c r="K108" s="27">
        <f t="shared" si="7"/>
        <v>52</v>
      </c>
      <c r="L108" s="2">
        <v>52</v>
      </c>
      <c r="M108" s="27">
        <v>110</v>
      </c>
      <c r="N108" s="2">
        <v>2741</v>
      </c>
      <c r="O108" s="2">
        <v>50</v>
      </c>
      <c r="P108" s="2">
        <v>0</v>
      </c>
      <c r="Q108" s="2">
        <v>40</v>
      </c>
      <c r="R108" s="2">
        <v>25</v>
      </c>
      <c r="S108" s="2">
        <v>25</v>
      </c>
      <c r="T108" s="2">
        <v>15</v>
      </c>
      <c r="U108" s="28">
        <f t="shared" si="8"/>
        <v>31.73076923076923</v>
      </c>
      <c r="V108" s="2">
        <v>9166.9599999999991</v>
      </c>
      <c r="W108" s="27">
        <v>37</v>
      </c>
      <c r="X108" s="2">
        <v>2700</v>
      </c>
      <c r="Y108" s="2">
        <v>1800</v>
      </c>
      <c r="Z108" s="2">
        <v>50000</v>
      </c>
      <c r="AA108" s="29">
        <v>1200</v>
      </c>
      <c r="AB108" s="2">
        <f t="shared" si="9"/>
        <v>55700</v>
      </c>
      <c r="AC108" s="23">
        <v>1905</v>
      </c>
      <c r="AD108" s="27" t="s">
        <v>492</v>
      </c>
      <c r="AE108" s="27" t="s">
        <v>498</v>
      </c>
      <c r="AF108" s="27" t="s">
        <v>383</v>
      </c>
      <c r="AG108" s="27" t="s">
        <v>492</v>
      </c>
      <c r="AH108" s="27" t="s">
        <v>383</v>
      </c>
      <c r="AI108" s="27" t="s">
        <v>497</v>
      </c>
      <c r="AJ108" s="27" t="s">
        <v>492</v>
      </c>
      <c r="AK108" s="27" t="s">
        <v>383</v>
      </c>
    </row>
    <row r="109" spans="1:37" s="98" customFormat="1" x14ac:dyDescent="0.25">
      <c r="A109" s="98" t="s">
        <v>850</v>
      </c>
      <c r="B109" s="98" t="str">
        <f t="shared" si="5"/>
        <v>Georgia</v>
      </c>
      <c r="C109" s="98" t="str">
        <f t="shared" si="6"/>
        <v>Stephens</v>
      </c>
      <c r="U109" s="100"/>
      <c r="V109" s="99">
        <v>4447.96</v>
      </c>
      <c r="X109" s="99"/>
      <c r="AB109" s="2">
        <f t="shared" si="9"/>
        <v>0</v>
      </c>
      <c r="AC109" s="130">
        <v>1905</v>
      </c>
      <c r="AD109" s="98" t="s">
        <v>492</v>
      </c>
      <c r="AE109" s="98" t="s">
        <v>498</v>
      </c>
      <c r="AF109" s="98" t="s">
        <v>383</v>
      </c>
      <c r="AG109" s="98" t="s">
        <v>492</v>
      </c>
      <c r="AH109" s="98" t="s">
        <v>383</v>
      </c>
      <c r="AI109" s="98" t="s">
        <v>497</v>
      </c>
      <c r="AJ109" s="98" t="s">
        <v>492</v>
      </c>
      <c r="AK109" s="98" t="s">
        <v>383</v>
      </c>
    </row>
    <row r="110" spans="1:37" x14ac:dyDescent="0.25">
      <c r="A110" s="27" t="s">
        <v>851</v>
      </c>
      <c r="B110" s="27" t="str">
        <f t="shared" si="5"/>
        <v>Georgia</v>
      </c>
      <c r="C110" s="27" t="str">
        <f t="shared" si="6"/>
        <v>Stewart</v>
      </c>
      <c r="D110" s="27">
        <v>661</v>
      </c>
      <c r="E110" s="27">
        <v>18</v>
      </c>
      <c r="F110" s="27">
        <v>0</v>
      </c>
      <c r="G110" s="27">
        <v>4</v>
      </c>
      <c r="H110" s="27">
        <v>6</v>
      </c>
      <c r="I110" s="27">
        <v>0</v>
      </c>
      <c r="J110" s="27">
        <v>25</v>
      </c>
      <c r="K110" s="27">
        <f t="shared" si="7"/>
        <v>53</v>
      </c>
      <c r="L110" s="2">
        <v>53</v>
      </c>
      <c r="M110" s="27">
        <v>120</v>
      </c>
      <c r="N110" s="2">
        <v>3437</v>
      </c>
      <c r="O110" s="2">
        <v>48</v>
      </c>
      <c r="P110" s="2">
        <v>0</v>
      </c>
      <c r="Q110" s="2">
        <v>36</v>
      </c>
      <c r="R110" s="2">
        <v>22</v>
      </c>
      <c r="S110" s="2">
        <v>0</v>
      </c>
      <c r="T110" s="2">
        <v>19</v>
      </c>
      <c r="U110" s="28">
        <f t="shared" si="8"/>
        <v>30.471698113207548</v>
      </c>
      <c r="V110" s="2">
        <v>13092.2</v>
      </c>
      <c r="W110" s="27">
        <v>55</v>
      </c>
      <c r="X110" s="2">
        <v>3850</v>
      </c>
      <c r="Y110" s="2">
        <v>3350</v>
      </c>
      <c r="Z110" s="2">
        <v>650</v>
      </c>
      <c r="AA110" s="29">
        <v>1150</v>
      </c>
      <c r="AB110" s="2">
        <f t="shared" si="9"/>
        <v>9000</v>
      </c>
      <c r="AC110" s="23">
        <v>1905</v>
      </c>
      <c r="AD110" s="27" t="s">
        <v>492</v>
      </c>
      <c r="AE110" s="27" t="s">
        <v>498</v>
      </c>
      <c r="AF110" s="27" t="s">
        <v>383</v>
      </c>
      <c r="AG110" s="27" t="s">
        <v>492</v>
      </c>
      <c r="AH110" s="27" t="s">
        <v>383</v>
      </c>
      <c r="AI110" s="27" t="s">
        <v>497</v>
      </c>
      <c r="AJ110" s="27" t="s">
        <v>492</v>
      </c>
      <c r="AK110" s="27" t="s">
        <v>383</v>
      </c>
    </row>
    <row r="111" spans="1:37" x14ac:dyDescent="0.25">
      <c r="A111" s="27" t="s">
        <v>852</v>
      </c>
      <c r="B111" s="27" t="str">
        <f t="shared" si="5"/>
        <v>Georgia</v>
      </c>
      <c r="C111" s="27" t="str">
        <f t="shared" si="6"/>
        <v>Sumter</v>
      </c>
      <c r="D111" s="27">
        <v>1007</v>
      </c>
      <c r="E111" s="27">
        <v>23</v>
      </c>
      <c r="F111" s="27">
        <v>2</v>
      </c>
      <c r="G111" s="27">
        <v>5</v>
      </c>
      <c r="H111" s="27">
        <v>8</v>
      </c>
      <c r="I111" s="27">
        <v>27</v>
      </c>
      <c r="J111" s="27">
        <v>0</v>
      </c>
      <c r="K111" s="27">
        <f t="shared" si="7"/>
        <v>65</v>
      </c>
      <c r="L111" s="2">
        <v>65</v>
      </c>
      <c r="M111" s="27">
        <v>140</v>
      </c>
      <c r="N111" s="2">
        <v>3852</v>
      </c>
      <c r="O111" s="2">
        <v>45</v>
      </c>
      <c r="P111" s="2">
        <v>35</v>
      </c>
      <c r="Q111" s="2">
        <v>35</v>
      </c>
      <c r="R111" s="2">
        <v>25</v>
      </c>
      <c r="S111" s="2">
        <v>0</v>
      </c>
      <c r="T111" s="2">
        <v>20</v>
      </c>
      <c r="U111" s="28">
        <f t="shared" si="8"/>
        <v>22.76923076923077</v>
      </c>
      <c r="V111" s="2">
        <v>14169.1</v>
      </c>
      <c r="W111" s="27">
        <v>61</v>
      </c>
      <c r="X111" s="2">
        <v>14900</v>
      </c>
      <c r="Y111" s="2">
        <v>1500</v>
      </c>
      <c r="Z111" s="27">
        <f>4000+1250</f>
        <v>5250</v>
      </c>
      <c r="AA111" s="29">
        <v>4500</v>
      </c>
      <c r="AB111" s="2">
        <f t="shared" si="9"/>
        <v>26150</v>
      </c>
      <c r="AC111" s="23">
        <v>1905</v>
      </c>
      <c r="AD111" s="27" t="s">
        <v>492</v>
      </c>
      <c r="AE111" s="27" t="s">
        <v>498</v>
      </c>
      <c r="AF111" s="27" t="s">
        <v>383</v>
      </c>
      <c r="AG111" s="27" t="s">
        <v>492</v>
      </c>
      <c r="AH111" s="27" t="s">
        <v>383</v>
      </c>
      <c r="AI111" s="27" t="s">
        <v>497</v>
      </c>
      <c r="AJ111" s="27" t="s">
        <v>492</v>
      </c>
      <c r="AK111" s="27" t="s">
        <v>383</v>
      </c>
    </row>
    <row r="112" spans="1:37" x14ac:dyDescent="0.25">
      <c r="A112" s="27" t="s">
        <v>853</v>
      </c>
      <c r="B112" s="27" t="str">
        <f t="shared" si="5"/>
        <v>Georgia</v>
      </c>
      <c r="C112" s="27" t="str">
        <f t="shared" si="6"/>
        <v>Talbot</v>
      </c>
      <c r="D112" s="27">
        <v>874</v>
      </c>
      <c r="E112" s="27">
        <v>18</v>
      </c>
      <c r="F112" s="27">
        <v>0</v>
      </c>
      <c r="G112" s="27">
        <v>5</v>
      </c>
      <c r="H112" s="27">
        <v>1</v>
      </c>
      <c r="I112" s="27">
        <v>1</v>
      </c>
      <c r="J112" s="27">
        <v>22</v>
      </c>
      <c r="K112" s="27">
        <f t="shared" si="7"/>
        <v>47</v>
      </c>
      <c r="L112" s="2">
        <v>47</v>
      </c>
      <c r="M112" s="27">
        <v>120</v>
      </c>
      <c r="N112" s="2">
        <v>2951</v>
      </c>
      <c r="O112" s="2">
        <v>55</v>
      </c>
      <c r="P112" s="2">
        <v>0</v>
      </c>
      <c r="Q112" s="2">
        <v>26</v>
      </c>
      <c r="R112" s="2">
        <v>0</v>
      </c>
      <c r="S112" s="2">
        <v>0</v>
      </c>
      <c r="T112" s="2">
        <v>17</v>
      </c>
      <c r="U112" s="28">
        <f t="shared" si="8"/>
        <v>31.787234042553191</v>
      </c>
      <c r="V112" s="2">
        <v>9239.56</v>
      </c>
      <c r="W112" s="27">
        <v>45</v>
      </c>
      <c r="X112" s="2">
        <v>2100</v>
      </c>
      <c r="Y112" s="2">
        <v>2800</v>
      </c>
      <c r="Z112" s="2">
        <v>3000</v>
      </c>
      <c r="AA112" s="29">
        <v>800</v>
      </c>
      <c r="AB112" s="2">
        <f t="shared" si="9"/>
        <v>8700</v>
      </c>
      <c r="AC112" s="23">
        <v>1905</v>
      </c>
      <c r="AD112" s="27" t="s">
        <v>492</v>
      </c>
      <c r="AE112" s="27" t="s">
        <v>498</v>
      </c>
      <c r="AF112" s="27" t="s">
        <v>383</v>
      </c>
      <c r="AG112" s="27" t="s">
        <v>492</v>
      </c>
      <c r="AH112" s="27" t="s">
        <v>383</v>
      </c>
      <c r="AI112" s="27" t="s">
        <v>497</v>
      </c>
      <c r="AJ112" s="27" t="s">
        <v>492</v>
      </c>
      <c r="AK112" s="27" t="s">
        <v>383</v>
      </c>
    </row>
    <row r="113" spans="1:37" x14ac:dyDescent="0.25">
      <c r="A113" s="27" t="s">
        <v>854</v>
      </c>
      <c r="B113" s="27" t="str">
        <f t="shared" si="5"/>
        <v>Georgia</v>
      </c>
      <c r="C113" s="27" t="str">
        <f t="shared" si="6"/>
        <v>Taliaferro</v>
      </c>
      <c r="D113" s="27">
        <v>559</v>
      </c>
      <c r="E113" s="27">
        <v>16</v>
      </c>
      <c r="F113" s="27">
        <v>4</v>
      </c>
      <c r="G113" s="27">
        <v>2</v>
      </c>
      <c r="H113" s="27">
        <v>7</v>
      </c>
      <c r="I113" s="27">
        <v>2</v>
      </c>
      <c r="J113" s="27">
        <v>7</v>
      </c>
      <c r="K113" s="27">
        <f t="shared" si="7"/>
        <v>38</v>
      </c>
      <c r="L113" s="2">
        <v>38</v>
      </c>
      <c r="M113" s="27">
        <v>100</v>
      </c>
      <c r="N113" s="2">
        <v>1884</v>
      </c>
      <c r="O113" s="2">
        <v>40</v>
      </c>
      <c r="P113" s="2">
        <v>20</v>
      </c>
      <c r="Q113" s="2">
        <v>35</v>
      </c>
      <c r="R113" s="2">
        <v>18</v>
      </c>
      <c r="S113" s="2">
        <v>30</v>
      </c>
      <c r="T113" s="2">
        <v>16</v>
      </c>
      <c r="U113" s="28">
        <f t="shared" si="8"/>
        <v>28.631578947368421</v>
      </c>
      <c r="V113" s="2">
        <v>5757.18</v>
      </c>
      <c r="W113" s="27">
        <v>34</v>
      </c>
      <c r="X113" s="2">
        <v>700</v>
      </c>
      <c r="Y113" s="2">
        <v>5600</v>
      </c>
      <c r="Z113" s="2">
        <v>2300</v>
      </c>
      <c r="AA113" s="29">
        <v>500</v>
      </c>
      <c r="AB113" s="2">
        <f t="shared" si="9"/>
        <v>9100</v>
      </c>
      <c r="AC113" s="23">
        <v>1905</v>
      </c>
      <c r="AD113" s="27" t="s">
        <v>492</v>
      </c>
      <c r="AE113" s="27" t="s">
        <v>498</v>
      </c>
      <c r="AF113" s="27" t="s">
        <v>383</v>
      </c>
      <c r="AG113" s="27" t="s">
        <v>492</v>
      </c>
      <c r="AH113" s="27" t="s">
        <v>383</v>
      </c>
      <c r="AI113" s="27" t="s">
        <v>497</v>
      </c>
      <c r="AJ113" s="27" t="s">
        <v>492</v>
      </c>
      <c r="AK113" s="27" t="s">
        <v>383</v>
      </c>
    </row>
    <row r="114" spans="1:37" x14ac:dyDescent="0.25">
      <c r="A114" s="27" t="s">
        <v>855</v>
      </c>
      <c r="B114" s="27" t="str">
        <f t="shared" si="5"/>
        <v>Georgia</v>
      </c>
      <c r="C114" s="27" t="str">
        <f t="shared" si="6"/>
        <v>Tattnall</v>
      </c>
      <c r="D114" s="27">
        <v>3605</v>
      </c>
      <c r="E114" s="27">
        <v>40</v>
      </c>
      <c r="F114" s="27">
        <v>0</v>
      </c>
      <c r="G114" s="27">
        <v>22</v>
      </c>
      <c r="H114" s="27">
        <v>5</v>
      </c>
      <c r="I114" s="27">
        <v>28</v>
      </c>
      <c r="J114" s="27">
        <v>15</v>
      </c>
      <c r="K114" s="27">
        <f t="shared" si="7"/>
        <v>110</v>
      </c>
      <c r="L114" s="2">
        <v>110</v>
      </c>
      <c r="M114" s="27">
        <v>100</v>
      </c>
      <c r="N114" s="2">
        <v>4464</v>
      </c>
      <c r="O114" s="2">
        <v>35</v>
      </c>
      <c r="P114" s="2">
        <v>25</v>
      </c>
      <c r="Q114" s="2">
        <v>28</v>
      </c>
      <c r="R114" s="2">
        <v>20</v>
      </c>
      <c r="S114" s="2">
        <v>22</v>
      </c>
      <c r="T114" s="2">
        <v>15</v>
      </c>
      <c r="U114" s="28">
        <f t="shared" si="8"/>
        <v>26.881818181818183</v>
      </c>
      <c r="V114" s="2">
        <v>11768.46</v>
      </c>
      <c r="W114" s="27">
        <v>90</v>
      </c>
      <c r="X114" s="2">
        <v>950</v>
      </c>
      <c r="Y114" s="2">
        <v>15000</v>
      </c>
      <c r="AA114" s="29">
        <v>3500</v>
      </c>
      <c r="AB114" s="2">
        <f t="shared" si="9"/>
        <v>19450</v>
      </c>
      <c r="AC114" s="23">
        <v>1905</v>
      </c>
      <c r="AD114" s="27" t="s">
        <v>492</v>
      </c>
      <c r="AE114" s="27" t="s">
        <v>498</v>
      </c>
      <c r="AF114" s="27" t="s">
        <v>383</v>
      </c>
      <c r="AG114" s="27" t="s">
        <v>492</v>
      </c>
      <c r="AH114" s="27" t="s">
        <v>383</v>
      </c>
      <c r="AI114" s="27" t="s">
        <v>497</v>
      </c>
      <c r="AJ114" s="27" t="s">
        <v>492</v>
      </c>
      <c r="AK114" s="27" t="s">
        <v>383</v>
      </c>
    </row>
    <row r="115" spans="1:37" x14ac:dyDescent="0.25">
      <c r="A115" s="27" t="s">
        <v>856</v>
      </c>
      <c r="B115" s="27" t="str">
        <f t="shared" si="5"/>
        <v>Georgia</v>
      </c>
      <c r="C115" s="27" t="str">
        <f t="shared" si="6"/>
        <v>Taylor</v>
      </c>
      <c r="D115" s="27">
        <v>1337</v>
      </c>
      <c r="E115" s="27">
        <v>12</v>
      </c>
      <c r="F115" s="27">
        <v>3</v>
      </c>
      <c r="G115" s="27">
        <v>8</v>
      </c>
      <c r="H115" s="27">
        <v>6</v>
      </c>
      <c r="I115" s="27">
        <v>7</v>
      </c>
      <c r="J115" s="27">
        <v>15</v>
      </c>
      <c r="K115" s="27">
        <f t="shared" si="7"/>
        <v>51</v>
      </c>
      <c r="L115" s="2">
        <v>51</v>
      </c>
      <c r="M115" s="27">
        <v>100</v>
      </c>
      <c r="N115" s="2">
        <v>2412</v>
      </c>
      <c r="O115" s="2">
        <v>34</v>
      </c>
      <c r="P115" s="2">
        <v>20</v>
      </c>
      <c r="Q115" s="2">
        <v>30</v>
      </c>
      <c r="R115" s="2">
        <v>16</v>
      </c>
      <c r="S115" s="2">
        <v>25</v>
      </c>
      <c r="T115" s="2">
        <v>15</v>
      </c>
      <c r="U115" s="28">
        <f t="shared" si="8"/>
        <v>23.607843137254903</v>
      </c>
      <c r="V115" s="2">
        <v>7615.74</v>
      </c>
      <c r="W115" s="27">
        <v>41</v>
      </c>
      <c r="X115" s="2">
        <v>950</v>
      </c>
      <c r="Y115" s="2">
        <v>7600</v>
      </c>
      <c r="AA115" s="29">
        <v>800</v>
      </c>
      <c r="AB115" s="2">
        <f t="shared" si="9"/>
        <v>9350</v>
      </c>
      <c r="AC115" s="23">
        <v>1905</v>
      </c>
      <c r="AD115" s="27" t="s">
        <v>492</v>
      </c>
      <c r="AE115" s="27" t="s">
        <v>498</v>
      </c>
      <c r="AF115" s="27" t="s">
        <v>383</v>
      </c>
      <c r="AG115" s="27" t="s">
        <v>492</v>
      </c>
      <c r="AH115" s="27" t="s">
        <v>383</v>
      </c>
      <c r="AI115" s="27" t="s">
        <v>497</v>
      </c>
      <c r="AJ115" s="27" t="s">
        <v>492</v>
      </c>
      <c r="AK115" s="27" t="s">
        <v>383</v>
      </c>
    </row>
    <row r="116" spans="1:37" x14ac:dyDescent="0.25">
      <c r="A116" s="27" t="s">
        <v>857</v>
      </c>
      <c r="B116" s="27" t="str">
        <f t="shared" si="5"/>
        <v>Georgia</v>
      </c>
      <c r="C116" s="27" t="str">
        <f t="shared" si="6"/>
        <v>Telfair</v>
      </c>
      <c r="D116" s="27">
        <v>1463</v>
      </c>
      <c r="E116" s="27">
        <v>19</v>
      </c>
      <c r="F116" s="27">
        <v>1</v>
      </c>
      <c r="G116" s="27">
        <v>9</v>
      </c>
      <c r="H116" s="27">
        <v>1</v>
      </c>
      <c r="I116" s="27">
        <v>15</v>
      </c>
      <c r="J116" s="27">
        <v>11</v>
      </c>
      <c r="K116" s="27">
        <f t="shared" si="7"/>
        <v>56</v>
      </c>
      <c r="L116" s="2">
        <v>56</v>
      </c>
      <c r="M116" s="27">
        <v>100</v>
      </c>
      <c r="N116" s="2">
        <v>2122</v>
      </c>
      <c r="O116" s="2">
        <v>35</v>
      </c>
      <c r="P116" s="2">
        <v>20</v>
      </c>
      <c r="Q116" s="2">
        <v>25</v>
      </c>
      <c r="R116" s="2">
        <v>18</v>
      </c>
      <c r="S116" s="2">
        <v>20</v>
      </c>
      <c r="T116" s="2">
        <v>12</v>
      </c>
      <c r="U116" s="28">
        <f t="shared" si="8"/>
        <v>24.285714285714285</v>
      </c>
      <c r="V116" s="2">
        <v>7927.92</v>
      </c>
      <c r="W116" s="27">
        <v>58</v>
      </c>
      <c r="X116" s="2">
        <v>1500</v>
      </c>
      <c r="Y116" s="2">
        <v>1500</v>
      </c>
      <c r="Z116" s="27">
        <f>700+500</f>
        <v>1200</v>
      </c>
      <c r="AA116" s="29">
        <v>400</v>
      </c>
      <c r="AB116" s="2">
        <f t="shared" si="9"/>
        <v>4600</v>
      </c>
      <c r="AC116" s="23">
        <v>1905</v>
      </c>
      <c r="AD116" s="27" t="s">
        <v>492</v>
      </c>
      <c r="AE116" s="27" t="s">
        <v>498</v>
      </c>
      <c r="AF116" s="27" t="s">
        <v>383</v>
      </c>
      <c r="AG116" s="27" t="s">
        <v>492</v>
      </c>
      <c r="AH116" s="27" t="s">
        <v>383</v>
      </c>
      <c r="AI116" s="27" t="s">
        <v>497</v>
      </c>
      <c r="AJ116" s="27" t="s">
        <v>492</v>
      </c>
      <c r="AK116" s="27" t="s">
        <v>383</v>
      </c>
    </row>
    <row r="117" spans="1:37" x14ac:dyDescent="0.25">
      <c r="A117" s="27" t="s">
        <v>858</v>
      </c>
      <c r="B117" s="27" t="str">
        <f t="shared" si="5"/>
        <v>Georgia</v>
      </c>
      <c r="C117" s="27" t="str">
        <f t="shared" si="6"/>
        <v>Terrell</v>
      </c>
      <c r="D117" s="27">
        <v>764</v>
      </c>
      <c r="E117" s="27">
        <v>29</v>
      </c>
      <c r="F117" s="27">
        <v>6</v>
      </c>
      <c r="G117" s="27">
        <v>1</v>
      </c>
      <c r="H117" s="27">
        <v>13</v>
      </c>
      <c r="I117" s="27">
        <v>1</v>
      </c>
      <c r="J117" s="27">
        <v>7</v>
      </c>
      <c r="K117" s="27">
        <f t="shared" si="7"/>
        <v>57</v>
      </c>
      <c r="L117" s="2">
        <v>57</v>
      </c>
      <c r="M117" s="27">
        <v>120</v>
      </c>
      <c r="N117" s="2">
        <v>2241</v>
      </c>
      <c r="O117" s="2">
        <v>50</v>
      </c>
      <c r="P117" s="2">
        <v>25</v>
      </c>
      <c r="Q117" s="2">
        <v>30</v>
      </c>
      <c r="R117" s="2">
        <v>20</v>
      </c>
      <c r="S117" s="2">
        <v>25</v>
      </c>
      <c r="T117" s="2">
        <v>15</v>
      </c>
      <c r="U117" s="28">
        <f t="shared" si="8"/>
        <v>35.438596491228068</v>
      </c>
      <c r="V117" s="2">
        <v>12550.12</v>
      </c>
      <c r="W117" s="27">
        <v>43</v>
      </c>
      <c r="X117" s="2">
        <v>3350</v>
      </c>
      <c r="Y117" s="2">
        <v>2250</v>
      </c>
      <c r="Z117" s="27">
        <f>4500+300</f>
        <v>4800</v>
      </c>
      <c r="AA117" s="29">
        <v>2000</v>
      </c>
      <c r="AB117" s="2">
        <f t="shared" si="9"/>
        <v>12400</v>
      </c>
      <c r="AC117" s="23">
        <v>1905</v>
      </c>
      <c r="AD117" s="27" t="s">
        <v>492</v>
      </c>
      <c r="AE117" s="27" t="s">
        <v>498</v>
      </c>
      <c r="AF117" s="27" t="s">
        <v>383</v>
      </c>
      <c r="AG117" s="27" t="s">
        <v>492</v>
      </c>
      <c r="AH117" s="27" t="s">
        <v>383</v>
      </c>
      <c r="AI117" s="27" t="s">
        <v>497</v>
      </c>
      <c r="AJ117" s="27" t="s">
        <v>492</v>
      </c>
      <c r="AK117" s="27" t="s">
        <v>383</v>
      </c>
    </row>
    <row r="118" spans="1:37" x14ac:dyDescent="0.25">
      <c r="A118" s="27" t="s">
        <v>859</v>
      </c>
      <c r="B118" s="27" t="str">
        <f t="shared" si="5"/>
        <v>Georgia</v>
      </c>
      <c r="C118" s="27" t="str">
        <f t="shared" si="6"/>
        <v>Thomas</v>
      </c>
      <c r="D118" s="27">
        <v>3017</v>
      </c>
      <c r="E118" s="27">
        <v>17</v>
      </c>
      <c r="F118" s="27">
        <v>3</v>
      </c>
      <c r="G118" s="27">
        <v>20</v>
      </c>
      <c r="H118" s="27">
        <v>9</v>
      </c>
      <c r="I118" s="27">
        <v>14</v>
      </c>
      <c r="J118" s="27">
        <v>24</v>
      </c>
      <c r="K118" s="27">
        <f t="shared" si="7"/>
        <v>87</v>
      </c>
      <c r="L118" s="2">
        <v>87</v>
      </c>
      <c r="M118" s="27">
        <v>100</v>
      </c>
      <c r="N118" s="2">
        <v>5788</v>
      </c>
      <c r="O118" s="2">
        <v>50</v>
      </c>
      <c r="P118" s="2">
        <v>37</v>
      </c>
      <c r="Q118" s="2">
        <v>40</v>
      </c>
      <c r="R118" s="2">
        <v>30</v>
      </c>
      <c r="S118" s="2">
        <v>30</v>
      </c>
      <c r="T118" s="2">
        <v>20</v>
      </c>
      <c r="U118" s="28">
        <f t="shared" si="8"/>
        <v>33.689655172413794</v>
      </c>
      <c r="V118" s="2">
        <v>15079.02</v>
      </c>
      <c r="W118" s="27">
        <v>106</v>
      </c>
      <c r="Y118" s="2">
        <v>26000</v>
      </c>
      <c r="Z118" s="27">
        <v>18500</v>
      </c>
      <c r="AA118" s="29">
        <v>1500</v>
      </c>
      <c r="AB118" s="2">
        <f t="shared" si="9"/>
        <v>46000</v>
      </c>
      <c r="AC118" s="23">
        <v>1905</v>
      </c>
      <c r="AD118" s="27" t="s">
        <v>492</v>
      </c>
      <c r="AE118" s="27" t="s">
        <v>498</v>
      </c>
      <c r="AF118" s="27" t="s">
        <v>383</v>
      </c>
      <c r="AG118" s="27" t="s">
        <v>492</v>
      </c>
      <c r="AH118" s="27" t="s">
        <v>383</v>
      </c>
      <c r="AI118" s="27" t="s">
        <v>497</v>
      </c>
      <c r="AJ118" s="27" t="s">
        <v>492</v>
      </c>
      <c r="AK118" s="27" t="s">
        <v>383</v>
      </c>
    </row>
    <row r="119" spans="1:37" s="98" customFormat="1" x14ac:dyDescent="0.25">
      <c r="A119" s="98" t="s">
        <v>860</v>
      </c>
      <c r="B119" s="98" t="str">
        <f t="shared" si="5"/>
        <v>Georgia</v>
      </c>
      <c r="C119" s="98" t="str">
        <f t="shared" si="6"/>
        <v>Tift</v>
      </c>
      <c r="L119" s="99">
        <v>28</v>
      </c>
      <c r="U119" s="100"/>
      <c r="V119" s="99">
        <v>4619.78</v>
      </c>
      <c r="AB119" s="2">
        <f t="shared" si="9"/>
        <v>0</v>
      </c>
      <c r="AC119" s="130">
        <v>1905</v>
      </c>
      <c r="AD119" s="98" t="s">
        <v>492</v>
      </c>
      <c r="AE119" s="98" t="s">
        <v>498</v>
      </c>
      <c r="AF119" s="98" t="s">
        <v>383</v>
      </c>
      <c r="AG119" s="98" t="s">
        <v>492</v>
      </c>
      <c r="AH119" s="98" t="s">
        <v>383</v>
      </c>
      <c r="AI119" s="98" t="s">
        <v>497</v>
      </c>
      <c r="AJ119" s="98" t="s">
        <v>492</v>
      </c>
      <c r="AK119" s="98" t="s">
        <v>383</v>
      </c>
    </row>
    <row r="120" spans="1:37" s="98" customFormat="1" x14ac:dyDescent="0.25">
      <c r="A120" s="98" t="s">
        <v>861</v>
      </c>
      <c r="B120" s="98" t="str">
        <f t="shared" si="5"/>
        <v>Georgia</v>
      </c>
      <c r="C120" s="98" t="str">
        <f t="shared" si="6"/>
        <v>Toombs</v>
      </c>
      <c r="L120" s="99">
        <v>74</v>
      </c>
      <c r="U120" s="100"/>
      <c r="V120" s="99">
        <v>5921.74</v>
      </c>
      <c r="AB120" s="2">
        <f t="shared" si="9"/>
        <v>0</v>
      </c>
      <c r="AC120" s="130">
        <v>1905</v>
      </c>
      <c r="AD120" s="98" t="s">
        <v>492</v>
      </c>
      <c r="AE120" s="98" t="s">
        <v>498</v>
      </c>
      <c r="AF120" s="98" t="s">
        <v>383</v>
      </c>
      <c r="AG120" s="98" t="s">
        <v>492</v>
      </c>
      <c r="AH120" s="98" t="s">
        <v>383</v>
      </c>
      <c r="AI120" s="98" t="s">
        <v>497</v>
      </c>
      <c r="AJ120" s="98" t="s">
        <v>492</v>
      </c>
      <c r="AK120" s="98" t="s">
        <v>383</v>
      </c>
    </row>
    <row r="121" spans="1:37" x14ac:dyDescent="0.25">
      <c r="A121" s="27" t="s">
        <v>862</v>
      </c>
      <c r="B121" s="27" t="str">
        <f t="shared" si="5"/>
        <v>Georgia</v>
      </c>
      <c r="C121" s="27" t="str">
        <f t="shared" si="6"/>
        <v>Towns</v>
      </c>
      <c r="D121" s="27">
        <v>1328</v>
      </c>
      <c r="E121" s="27">
        <v>10</v>
      </c>
      <c r="F121" s="27">
        <v>0</v>
      </c>
      <c r="G121" s="27">
        <v>10</v>
      </c>
      <c r="H121" s="27">
        <v>0</v>
      </c>
      <c r="I121" s="27">
        <v>7</v>
      </c>
      <c r="J121" s="27">
        <v>1</v>
      </c>
      <c r="K121" s="27">
        <f t="shared" si="7"/>
        <v>28</v>
      </c>
      <c r="L121" s="2">
        <v>28</v>
      </c>
      <c r="M121" s="27">
        <v>100</v>
      </c>
      <c r="N121" s="2">
        <v>1344</v>
      </c>
      <c r="O121" s="2">
        <v>30</v>
      </c>
      <c r="P121" s="2">
        <v>0</v>
      </c>
      <c r="Q121" s="2">
        <v>25</v>
      </c>
      <c r="R121" s="2">
        <v>0</v>
      </c>
      <c r="S121" s="2">
        <v>20</v>
      </c>
      <c r="T121" s="2">
        <v>18</v>
      </c>
      <c r="U121" s="28">
        <f t="shared" si="8"/>
        <v>25.285714285714285</v>
      </c>
      <c r="V121" s="2">
        <v>3574.34</v>
      </c>
      <c r="W121" s="27">
        <v>25</v>
      </c>
      <c r="X121" s="2">
        <v>3200</v>
      </c>
      <c r="Y121" s="2">
        <v>1240</v>
      </c>
      <c r="Z121" s="2">
        <v>9000</v>
      </c>
      <c r="AA121" s="29">
        <v>650</v>
      </c>
      <c r="AB121" s="2">
        <f t="shared" si="9"/>
        <v>14090</v>
      </c>
      <c r="AC121" s="23">
        <v>1905</v>
      </c>
      <c r="AD121" s="27" t="s">
        <v>492</v>
      </c>
      <c r="AE121" s="27" t="s">
        <v>498</v>
      </c>
      <c r="AF121" s="27" t="s">
        <v>383</v>
      </c>
      <c r="AG121" s="27" t="s">
        <v>492</v>
      </c>
      <c r="AH121" s="27" t="s">
        <v>383</v>
      </c>
      <c r="AI121" s="27" t="s">
        <v>497</v>
      </c>
      <c r="AJ121" s="27" t="s">
        <v>492</v>
      </c>
      <c r="AK121" s="27" t="s">
        <v>383</v>
      </c>
    </row>
    <row r="122" spans="1:37" x14ac:dyDescent="0.25">
      <c r="A122" s="27" t="s">
        <v>864</v>
      </c>
      <c r="B122" s="27" t="str">
        <f t="shared" si="5"/>
        <v>Georgia</v>
      </c>
      <c r="C122" s="27" t="str">
        <f t="shared" si="6"/>
        <v>Troup</v>
      </c>
      <c r="D122" s="27">
        <v>1142</v>
      </c>
      <c r="E122" s="27">
        <v>10</v>
      </c>
      <c r="F122" s="27">
        <v>0</v>
      </c>
      <c r="G122" s="27">
        <v>6</v>
      </c>
      <c r="H122" s="27">
        <v>8</v>
      </c>
      <c r="I122" s="27">
        <v>13</v>
      </c>
      <c r="J122" s="27">
        <v>37</v>
      </c>
      <c r="K122" s="27">
        <f t="shared" si="7"/>
        <v>74</v>
      </c>
      <c r="L122" s="2">
        <v>74</v>
      </c>
      <c r="M122" s="27">
        <v>140</v>
      </c>
      <c r="N122" s="2">
        <v>3831</v>
      </c>
      <c r="O122" s="2">
        <v>51</v>
      </c>
      <c r="P122" s="2">
        <v>0</v>
      </c>
      <c r="Q122" s="2">
        <v>37</v>
      </c>
      <c r="R122" s="2">
        <v>20</v>
      </c>
      <c r="S122" s="2">
        <v>25</v>
      </c>
      <c r="T122" s="2">
        <v>17</v>
      </c>
      <c r="U122" s="28">
        <f t="shared" si="8"/>
        <v>24.945945945945947</v>
      </c>
      <c r="V122" s="2">
        <v>15475.9</v>
      </c>
      <c r="W122" s="27">
        <v>62</v>
      </c>
      <c r="X122" s="2">
        <v>100</v>
      </c>
      <c r="Y122" s="2">
        <v>5700</v>
      </c>
      <c r="Z122" s="2">
        <v>1000</v>
      </c>
      <c r="AA122" s="29">
        <v>3000</v>
      </c>
      <c r="AB122" s="2">
        <f t="shared" si="9"/>
        <v>9800</v>
      </c>
      <c r="AC122" s="23">
        <v>1905</v>
      </c>
      <c r="AD122" s="27" t="s">
        <v>492</v>
      </c>
      <c r="AE122" s="27" t="s">
        <v>498</v>
      </c>
      <c r="AF122" s="27" t="s">
        <v>383</v>
      </c>
      <c r="AG122" s="27" t="s">
        <v>492</v>
      </c>
      <c r="AH122" s="27" t="s">
        <v>383</v>
      </c>
      <c r="AI122" s="27" t="s">
        <v>497</v>
      </c>
      <c r="AJ122" s="27" t="s">
        <v>492</v>
      </c>
      <c r="AK122" s="27" t="s">
        <v>383</v>
      </c>
    </row>
    <row r="123" spans="1:37" s="98" customFormat="1" x14ac:dyDescent="0.25">
      <c r="A123" s="98" t="s">
        <v>865</v>
      </c>
      <c r="B123" s="98" t="str">
        <f t="shared" si="5"/>
        <v>Georgia</v>
      </c>
      <c r="C123" s="98" t="str">
        <f t="shared" si="6"/>
        <v>Turner</v>
      </c>
      <c r="U123" s="100"/>
      <c r="V123" s="99">
        <v>3990.58</v>
      </c>
      <c r="AB123" s="2">
        <f t="shared" si="9"/>
        <v>0</v>
      </c>
      <c r="AC123" s="130">
        <v>1905</v>
      </c>
      <c r="AD123" s="98" t="s">
        <v>492</v>
      </c>
      <c r="AE123" s="98" t="s">
        <v>498</v>
      </c>
      <c r="AF123" s="98" t="s">
        <v>383</v>
      </c>
      <c r="AG123" s="98" t="s">
        <v>492</v>
      </c>
      <c r="AH123" s="98" t="s">
        <v>383</v>
      </c>
      <c r="AI123" s="98" t="s">
        <v>497</v>
      </c>
      <c r="AJ123" s="98" t="s">
        <v>492</v>
      </c>
      <c r="AK123" s="98" t="s">
        <v>383</v>
      </c>
    </row>
    <row r="124" spans="1:37" x14ac:dyDescent="0.25">
      <c r="A124" s="27" t="s">
        <v>866</v>
      </c>
      <c r="B124" s="27" t="str">
        <f t="shared" si="5"/>
        <v>Georgia</v>
      </c>
      <c r="C124" s="27" t="str">
        <f t="shared" si="6"/>
        <v>Twiggs</v>
      </c>
      <c r="D124" s="27">
        <v>667</v>
      </c>
      <c r="E124" s="27">
        <v>14</v>
      </c>
      <c r="F124" s="27">
        <v>0</v>
      </c>
      <c r="G124" s="27">
        <v>9</v>
      </c>
      <c r="H124" s="27">
        <v>7</v>
      </c>
      <c r="I124" s="27">
        <v>5</v>
      </c>
      <c r="J124" s="27">
        <v>16</v>
      </c>
      <c r="K124" s="27">
        <f t="shared" si="7"/>
        <v>51</v>
      </c>
      <c r="L124" s="2">
        <v>51</v>
      </c>
      <c r="M124" s="27">
        <v>140</v>
      </c>
      <c r="N124" s="2">
        <v>1980</v>
      </c>
      <c r="O124" s="2">
        <v>40</v>
      </c>
      <c r="P124" s="2">
        <v>25</v>
      </c>
      <c r="Q124" s="2">
        <v>30</v>
      </c>
      <c r="R124" s="2">
        <v>20</v>
      </c>
      <c r="S124" s="2">
        <v>23</v>
      </c>
      <c r="T124" s="2">
        <v>15</v>
      </c>
      <c r="U124" s="28">
        <f t="shared" si="8"/>
        <v>25.980392156862745</v>
      </c>
      <c r="V124" s="2">
        <v>7891.62</v>
      </c>
      <c r="W124" s="27">
        <v>39</v>
      </c>
      <c r="X124" s="2">
        <v>3000</v>
      </c>
      <c r="Y124" s="2">
        <v>5200</v>
      </c>
      <c r="Z124" s="2">
        <v>2550</v>
      </c>
      <c r="AA124" s="2">
        <v>120</v>
      </c>
      <c r="AB124" s="2">
        <f t="shared" si="9"/>
        <v>10870</v>
      </c>
      <c r="AC124" s="23">
        <v>1905</v>
      </c>
      <c r="AD124" s="27" t="s">
        <v>492</v>
      </c>
      <c r="AE124" s="27" t="s">
        <v>498</v>
      </c>
      <c r="AF124" s="27" t="s">
        <v>383</v>
      </c>
      <c r="AG124" s="27" t="s">
        <v>492</v>
      </c>
      <c r="AH124" s="27" t="s">
        <v>383</v>
      </c>
      <c r="AI124" s="27" t="s">
        <v>497</v>
      </c>
      <c r="AJ124" s="27" t="s">
        <v>492</v>
      </c>
      <c r="AK124" s="27" t="s">
        <v>383</v>
      </c>
    </row>
    <row r="125" spans="1:37" x14ac:dyDescent="0.25">
      <c r="A125" s="27" t="s">
        <v>867</v>
      </c>
      <c r="B125" s="27" t="str">
        <f t="shared" si="5"/>
        <v>Georgia</v>
      </c>
      <c r="C125" s="27" t="str">
        <f t="shared" si="6"/>
        <v>Union</v>
      </c>
      <c r="D125" s="27">
        <v>2670</v>
      </c>
      <c r="E125" s="27">
        <v>22</v>
      </c>
      <c r="F125" s="27">
        <v>0</v>
      </c>
      <c r="G125" s="27">
        <v>23</v>
      </c>
      <c r="H125" s="27">
        <v>0</v>
      </c>
      <c r="I125" s="27">
        <v>16</v>
      </c>
      <c r="J125" s="27">
        <v>1</v>
      </c>
      <c r="K125" s="27">
        <f t="shared" si="7"/>
        <v>62</v>
      </c>
      <c r="L125" s="2">
        <v>62</v>
      </c>
      <c r="M125" s="27">
        <v>100</v>
      </c>
      <c r="N125" s="2">
        <v>2694</v>
      </c>
      <c r="O125" s="2">
        <v>25</v>
      </c>
      <c r="P125" s="2">
        <v>0</v>
      </c>
      <c r="Q125" s="2">
        <v>22.5</v>
      </c>
      <c r="R125" s="2">
        <v>0</v>
      </c>
      <c r="S125" s="2">
        <v>20</v>
      </c>
      <c r="T125" s="2">
        <v>20</v>
      </c>
      <c r="U125" s="28">
        <f t="shared" si="8"/>
        <v>22.701612903225808</v>
      </c>
      <c r="V125" s="2">
        <v>6100.82</v>
      </c>
      <c r="W125" s="27">
        <v>49</v>
      </c>
      <c r="X125" s="2">
        <v>2900</v>
      </c>
      <c r="Y125" s="2">
        <v>4800</v>
      </c>
      <c r="Z125" s="2">
        <v>100</v>
      </c>
      <c r="AB125" s="2">
        <f t="shared" si="9"/>
        <v>7800</v>
      </c>
      <c r="AC125" s="23">
        <v>1905</v>
      </c>
      <c r="AD125" s="27" t="s">
        <v>492</v>
      </c>
      <c r="AE125" s="27" t="s">
        <v>498</v>
      </c>
      <c r="AF125" s="27" t="s">
        <v>383</v>
      </c>
      <c r="AG125" s="27" t="s">
        <v>492</v>
      </c>
      <c r="AH125" s="27" t="s">
        <v>383</v>
      </c>
      <c r="AI125" s="27" t="s">
        <v>497</v>
      </c>
      <c r="AJ125" s="27" t="s">
        <v>492</v>
      </c>
      <c r="AK125" s="27" t="s">
        <v>383</v>
      </c>
    </row>
    <row r="126" spans="1:37" x14ac:dyDescent="0.25">
      <c r="A126" s="27" t="s">
        <v>868</v>
      </c>
      <c r="B126" s="27" t="str">
        <f t="shared" si="5"/>
        <v>Georgia</v>
      </c>
      <c r="C126" s="27" t="str">
        <f t="shared" si="6"/>
        <v>Upson</v>
      </c>
      <c r="D126" s="27">
        <v>1481</v>
      </c>
      <c r="E126" s="27">
        <v>25</v>
      </c>
      <c r="F126" s="27">
        <v>0</v>
      </c>
      <c r="G126" s="27">
        <v>4</v>
      </c>
      <c r="H126" s="27">
        <v>0</v>
      </c>
      <c r="I126" s="27">
        <v>4</v>
      </c>
      <c r="J126" s="27">
        <v>21</v>
      </c>
      <c r="K126" s="27">
        <f t="shared" si="7"/>
        <v>54</v>
      </c>
      <c r="L126" s="2">
        <v>54</v>
      </c>
      <c r="M126" s="27">
        <v>140</v>
      </c>
      <c r="N126" s="2">
        <v>3297</v>
      </c>
      <c r="O126" s="2">
        <v>52</v>
      </c>
      <c r="P126" s="2">
        <v>0</v>
      </c>
      <c r="Q126" s="2">
        <v>35</v>
      </c>
      <c r="R126" s="2">
        <v>0</v>
      </c>
      <c r="S126" s="2">
        <v>27</v>
      </c>
      <c r="T126" s="2">
        <v>20</v>
      </c>
      <c r="U126" s="28">
        <f t="shared" si="8"/>
        <v>36.444444444444443</v>
      </c>
      <c r="V126" s="2">
        <v>12097.16</v>
      </c>
      <c r="W126" s="27">
        <v>44</v>
      </c>
      <c r="X126" s="2">
        <v>1410</v>
      </c>
      <c r="Y126" s="2">
        <v>8250</v>
      </c>
      <c r="Z126" s="2">
        <v>21500</v>
      </c>
      <c r="AA126" s="2">
        <v>4500</v>
      </c>
      <c r="AB126" s="2">
        <f t="shared" si="9"/>
        <v>35660</v>
      </c>
      <c r="AC126" s="23">
        <v>1905</v>
      </c>
      <c r="AD126" s="27" t="s">
        <v>492</v>
      </c>
      <c r="AE126" s="27" t="s">
        <v>498</v>
      </c>
      <c r="AF126" s="27" t="s">
        <v>383</v>
      </c>
      <c r="AG126" s="27" t="s">
        <v>492</v>
      </c>
      <c r="AH126" s="27" t="s">
        <v>383</v>
      </c>
      <c r="AI126" s="27" t="s">
        <v>497</v>
      </c>
      <c r="AJ126" s="27" t="s">
        <v>492</v>
      </c>
      <c r="AK126" s="27" t="s">
        <v>383</v>
      </c>
    </row>
    <row r="127" spans="1:37" x14ac:dyDescent="0.25">
      <c r="A127" s="27" t="s">
        <v>869</v>
      </c>
      <c r="B127" s="27" t="str">
        <f t="shared" si="5"/>
        <v>Georgia</v>
      </c>
      <c r="C127" s="27" t="str">
        <f t="shared" si="6"/>
        <v>Walker</v>
      </c>
      <c r="D127" s="27">
        <v>3187</v>
      </c>
      <c r="E127" s="27">
        <v>27</v>
      </c>
      <c r="F127" s="27">
        <v>0</v>
      </c>
      <c r="G127" s="27">
        <v>25</v>
      </c>
      <c r="H127" s="27">
        <v>5</v>
      </c>
      <c r="I127" s="27">
        <v>5</v>
      </c>
      <c r="J127" s="27">
        <v>9</v>
      </c>
      <c r="K127" s="27">
        <f t="shared" si="7"/>
        <v>71</v>
      </c>
      <c r="L127" s="2">
        <v>71</v>
      </c>
      <c r="M127" s="27">
        <v>100</v>
      </c>
      <c r="N127" s="2">
        <v>3852</v>
      </c>
      <c r="O127" s="2">
        <v>40</v>
      </c>
      <c r="P127" s="2">
        <v>0</v>
      </c>
      <c r="Q127" s="2">
        <v>28</v>
      </c>
      <c r="R127" s="2">
        <v>20</v>
      </c>
      <c r="S127" s="2">
        <v>22</v>
      </c>
      <c r="T127" s="2">
        <v>15</v>
      </c>
      <c r="U127" s="28">
        <f t="shared" si="8"/>
        <v>29.929577464788732</v>
      </c>
      <c r="V127" s="2">
        <v>10785.62</v>
      </c>
      <c r="W127" s="27">
        <v>66</v>
      </c>
      <c r="X127" s="2">
        <v>2800</v>
      </c>
      <c r="Y127" s="2">
        <v>23500</v>
      </c>
      <c r="Z127" s="2">
        <v>10600</v>
      </c>
      <c r="AA127" s="2">
        <v>3000</v>
      </c>
      <c r="AB127" s="2">
        <f t="shared" si="9"/>
        <v>39900</v>
      </c>
      <c r="AC127" s="23">
        <v>1905</v>
      </c>
      <c r="AD127" s="27" t="s">
        <v>492</v>
      </c>
      <c r="AE127" s="27" t="s">
        <v>498</v>
      </c>
      <c r="AF127" s="27" t="s">
        <v>383</v>
      </c>
      <c r="AG127" s="27" t="s">
        <v>492</v>
      </c>
      <c r="AH127" s="27" t="s">
        <v>383</v>
      </c>
      <c r="AI127" s="27" t="s">
        <v>497</v>
      </c>
      <c r="AJ127" s="27" t="s">
        <v>492</v>
      </c>
      <c r="AK127" s="27" t="s">
        <v>383</v>
      </c>
    </row>
    <row r="128" spans="1:37" x14ac:dyDescent="0.25">
      <c r="A128" s="27" t="s">
        <v>870</v>
      </c>
      <c r="B128" s="27" t="str">
        <f t="shared" si="5"/>
        <v>Georgia</v>
      </c>
      <c r="C128" s="27" t="str">
        <f t="shared" si="6"/>
        <v>Walton</v>
      </c>
      <c r="D128" s="27">
        <v>3521</v>
      </c>
      <c r="E128" s="27">
        <v>38</v>
      </c>
      <c r="F128" s="27">
        <v>5</v>
      </c>
      <c r="G128" s="27">
        <v>5</v>
      </c>
      <c r="H128" s="27">
        <v>20</v>
      </c>
      <c r="I128" s="27">
        <v>0</v>
      </c>
      <c r="J128" s="27">
        <v>0</v>
      </c>
      <c r="K128" s="27">
        <f t="shared" si="7"/>
        <v>68</v>
      </c>
      <c r="L128" s="2">
        <v>68</v>
      </c>
      <c r="M128" s="27">
        <v>120</v>
      </c>
      <c r="N128" s="2">
        <v>5341</v>
      </c>
      <c r="O128" s="2">
        <v>45</v>
      </c>
      <c r="P128" s="2">
        <v>30</v>
      </c>
      <c r="Q128" s="2">
        <v>40</v>
      </c>
      <c r="R128" s="2">
        <v>20</v>
      </c>
      <c r="S128" s="2">
        <v>0</v>
      </c>
      <c r="T128" s="2">
        <v>0</v>
      </c>
      <c r="U128" s="28">
        <f t="shared" si="8"/>
        <v>36.176470588235297</v>
      </c>
      <c r="V128" s="2">
        <v>15853.42</v>
      </c>
      <c r="W128" s="27">
        <v>66</v>
      </c>
      <c r="Y128" s="2">
        <v>6500</v>
      </c>
      <c r="Z128" s="2">
        <v>4700</v>
      </c>
      <c r="AA128" s="2">
        <v>6000</v>
      </c>
      <c r="AB128" s="2">
        <f t="shared" si="9"/>
        <v>17200</v>
      </c>
      <c r="AC128" s="23">
        <v>1905</v>
      </c>
      <c r="AD128" s="27" t="s">
        <v>492</v>
      </c>
      <c r="AE128" s="27" t="s">
        <v>498</v>
      </c>
      <c r="AF128" s="27" t="s">
        <v>383</v>
      </c>
      <c r="AG128" s="27" t="s">
        <v>492</v>
      </c>
      <c r="AH128" s="27" t="s">
        <v>383</v>
      </c>
      <c r="AI128" s="27" t="s">
        <v>497</v>
      </c>
      <c r="AJ128" s="27" t="s">
        <v>492</v>
      </c>
      <c r="AK128" s="27" t="s">
        <v>383</v>
      </c>
    </row>
    <row r="129" spans="1:37" x14ac:dyDescent="0.25">
      <c r="A129" s="27" t="s">
        <v>871</v>
      </c>
      <c r="B129" s="27" t="str">
        <f t="shared" si="5"/>
        <v>Georgia</v>
      </c>
      <c r="C129" s="27" t="str">
        <f t="shared" si="6"/>
        <v>Ware</v>
      </c>
      <c r="D129" s="27">
        <v>1101</v>
      </c>
      <c r="E129" s="27">
        <v>10</v>
      </c>
      <c r="F129" s="27">
        <v>1</v>
      </c>
      <c r="G129" s="27">
        <v>38</v>
      </c>
      <c r="H129" s="27">
        <v>5</v>
      </c>
      <c r="I129" s="27">
        <v>5</v>
      </c>
      <c r="J129" s="27">
        <v>2</v>
      </c>
      <c r="K129" s="27">
        <f t="shared" si="7"/>
        <v>61</v>
      </c>
      <c r="L129" s="2">
        <v>51</v>
      </c>
      <c r="M129" s="27">
        <v>80</v>
      </c>
      <c r="N129" s="2">
        <v>1392</v>
      </c>
      <c r="O129" s="2">
        <v>30</v>
      </c>
      <c r="P129" s="2">
        <v>20</v>
      </c>
      <c r="Q129" s="2">
        <v>30</v>
      </c>
      <c r="R129" s="2">
        <v>20</v>
      </c>
      <c r="S129" s="2">
        <v>30</v>
      </c>
      <c r="T129" s="2">
        <v>20</v>
      </c>
      <c r="U129" s="28">
        <f t="shared" si="8"/>
        <v>28.688524590163933</v>
      </c>
      <c r="V129" s="2">
        <v>4818.22</v>
      </c>
      <c r="W129" s="27">
        <v>63</v>
      </c>
      <c r="X129" s="2">
        <v>600</v>
      </c>
      <c r="Y129" s="2">
        <v>1800</v>
      </c>
      <c r="Z129" s="2">
        <v>800</v>
      </c>
      <c r="AA129" s="2">
        <v>500</v>
      </c>
      <c r="AB129" s="2">
        <f t="shared" si="9"/>
        <v>3700</v>
      </c>
      <c r="AC129" s="23">
        <v>1905</v>
      </c>
      <c r="AD129" s="27" t="s">
        <v>492</v>
      </c>
      <c r="AE129" s="27" t="s">
        <v>498</v>
      </c>
      <c r="AF129" s="27" t="s">
        <v>383</v>
      </c>
      <c r="AG129" s="27" t="s">
        <v>492</v>
      </c>
      <c r="AH129" s="27" t="s">
        <v>383</v>
      </c>
      <c r="AI129" s="27" t="s">
        <v>497</v>
      </c>
      <c r="AJ129" s="27" t="s">
        <v>492</v>
      </c>
      <c r="AK129" s="27" t="s">
        <v>383</v>
      </c>
    </row>
    <row r="130" spans="1:37" x14ac:dyDescent="0.25">
      <c r="A130" s="27" t="s">
        <v>872</v>
      </c>
      <c r="B130" s="27" t="str">
        <f t="shared" ref="B130:B139" si="10">LEFT(A130,FIND(";",A130)-1)</f>
        <v>Georgia</v>
      </c>
      <c r="C130" s="27" t="str">
        <f t="shared" ref="C130:C139" si="11">MID(A130,FIND(";",A130)+1,100)</f>
        <v>Warren</v>
      </c>
      <c r="D130" s="27">
        <v>877</v>
      </c>
      <c r="E130" s="27">
        <v>11</v>
      </c>
      <c r="F130" s="27">
        <v>3</v>
      </c>
      <c r="G130" s="27">
        <v>9</v>
      </c>
      <c r="H130" s="27">
        <v>10</v>
      </c>
      <c r="I130" s="27">
        <v>8</v>
      </c>
      <c r="J130" s="27">
        <v>18</v>
      </c>
      <c r="K130" s="27">
        <f t="shared" si="7"/>
        <v>59</v>
      </c>
      <c r="L130" s="2">
        <v>52</v>
      </c>
      <c r="M130" s="27">
        <v>100</v>
      </c>
      <c r="N130" s="2">
        <v>2779</v>
      </c>
      <c r="O130" s="2">
        <v>30</v>
      </c>
      <c r="P130" s="2">
        <v>28</v>
      </c>
      <c r="Q130" s="2">
        <v>22</v>
      </c>
      <c r="R130" s="2">
        <v>20</v>
      </c>
      <c r="S130" s="2">
        <v>18</v>
      </c>
      <c r="T130" s="2">
        <v>16</v>
      </c>
      <c r="U130" s="28">
        <f t="shared" si="8"/>
        <v>21.084745762711865</v>
      </c>
      <c r="V130" s="2">
        <v>8259.4599999999991</v>
      </c>
      <c r="W130" s="27">
        <v>47</v>
      </c>
      <c r="Y130" s="2">
        <v>7000</v>
      </c>
      <c r="Z130" s="2">
        <v>5000</v>
      </c>
      <c r="AB130" s="2">
        <f t="shared" si="9"/>
        <v>12000</v>
      </c>
      <c r="AC130" s="23">
        <v>1905</v>
      </c>
      <c r="AD130" s="27" t="s">
        <v>492</v>
      </c>
      <c r="AE130" s="27" t="s">
        <v>498</v>
      </c>
      <c r="AF130" s="27" t="s">
        <v>383</v>
      </c>
      <c r="AG130" s="27" t="s">
        <v>492</v>
      </c>
      <c r="AH130" s="27" t="s">
        <v>383</v>
      </c>
      <c r="AI130" s="27" t="s">
        <v>497</v>
      </c>
      <c r="AJ130" s="27" t="s">
        <v>492</v>
      </c>
      <c r="AK130" s="27" t="s">
        <v>383</v>
      </c>
    </row>
    <row r="131" spans="1:37" x14ac:dyDescent="0.25">
      <c r="A131" s="27" t="s">
        <v>873</v>
      </c>
      <c r="B131" s="27" t="str">
        <f t="shared" si="10"/>
        <v>Georgia</v>
      </c>
      <c r="C131" s="27" t="str">
        <f t="shared" si="11"/>
        <v>Washington</v>
      </c>
      <c r="D131" s="27">
        <v>2230</v>
      </c>
      <c r="E131" s="27">
        <v>31</v>
      </c>
      <c r="F131" s="27">
        <v>1</v>
      </c>
      <c r="G131" s="27">
        <v>10</v>
      </c>
      <c r="H131" s="27">
        <v>6</v>
      </c>
      <c r="I131" s="27">
        <v>19</v>
      </c>
      <c r="J131" s="27">
        <v>59</v>
      </c>
      <c r="K131" s="27">
        <f t="shared" ref="K131:K139" si="12">E131+F131+G131+H131+I131+J131</f>
        <v>126</v>
      </c>
      <c r="L131" s="2">
        <v>125</v>
      </c>
      <c r="M131" s="27">
        <v>100</v>
      </c>
      <c r="N131" s="2">
        <v>5890</v>
      </c>
      <c r="O131" s="2">
        <v>50</v>
      </c>
      <c r="P131" s="2">
        <v>22</v>
      </c>
      <c r="Q131" s="2">
        <v>42.5</v>
      </c>
      <c r="R131" s="2">
        <v>18</v>
      </c>
      <c r="S131" s="2">
        <v>34</v>
      </c>
      <c r="T131" s="2">
        <v>15</v>
      </c>
      <c r="U131" s="28">
        <f t="shared" ref="U131:U139" si="13">(E131*O131+F131*P131+G131*Q131+H131*R131+I131*S131+J131*T131)/K131</f>
        <v>28.857142857142858</v>
      </c>
      <c r="V131" s="2">
        <v>23253.78</v>
      </c>
      <c r="W131" s="27">
        <v>83</v>
      </c>
      <c r="X131" s="2">
        <v>15000</v>
      </c>
      <c r="Y131" s="2">
        <v>3000</v>
      </c>
      <c r="Z131" s="2">
        <v>35000</v>
      </c>
      <c r="AA131" s="2">
        <v>4000</v>
      </c>
      <c r="AB131" s="2">
        <f t="shared" ref="AB131:AB139" si="14">X131+Y131+Z131+AA131</f>
        <v>57000</v>
      </c>
      <c r="AC131" s="23">
        <v>1905</v>
      </c>
      <c r="AD131" s="27" t="s">
        <v>492</v>
      </c>
      <c r="AE131" s="27" t="s">
        <v>498</v>
      </c>
      <c r="AF131" s="27" t="s">
        <v>383</v>
      </c>
      <c r="AG131" s="27" t="s">
        <v>492</v>
      </c>
      <c r="AH131" s="27" t="s">
        <v>383</v>
      </c>
      <c r="AI131" s="27" t="s">
        <v>497</v>
      </c>
      <c r="AJ131" s="27" t="s">
        <v>492</v>
      </c>
      <c r="AK131" s="27" t="s">
        <v>383</v>
      </c>
    </row>
    <row r="132" spans="1:37" x14ac:dyDescent="0.25">
      <c r="A132" s="27" t="s">
        <v>874</v>
      </c>
      <c r="B132" s="27" t="str">
        <f t="shared" si="10"/>
        <v>Georgia</v>
      </c>
      <c r="C132" s="27" t="str">
        <f t="shared" si="11"/>
        <v>Wayne</v>
      </c>
      <c r="D132" s="27">
        <v>1812</v>
      </c>
      <c r="E132" s="27">
        <v>19</v>
      </c>
      <c r="F132" s="27">
        <v>1</v>
      </c>
      <c r="G132" s="27">
        <v>17</v>
      </c>
      <c r="H132" s="27">
        <v>1</v>
      </c>
      <c r="I132" s="27">
        <v>112</v>
      </c>
      <c r="J132" s="27">
        <v>8</v>
      </c>
      <c r="K132" s="27">
        <f t="shared" si="12"/>
        <v>158</v>
      </c>
      <c r="L132" s="2">
        <v>58</v>
      </c>
      <c r="M132" s="27">
        <v>80</v>
      </c>
      <c r="N132" s="2">
        <v>2236</v>
      </c>
      <c r="O132" s="2">
        <v>40</v>
      </c>
      <c r="P132" s="2">
        <v>25</v>
      </c>
      <c r="Q132" s="2">
        <v>30</v>
      </c>
      <c r="R132" s="2">
        <v>18</v>
      </c>
      <c r="S132" s="2">
        <v>25</v>
      </c>
      <c r="T132" s="2">
        <v>15</v>
      </c>
      <c r="U132" s="28">
        <f t="shared" si="13"/>
        <v>26.791139240506329</v>
      </c>
      <c r="V132" s="2">
        <v>7233.38</v>
      </c>
      <c r="W132" s="27">
        <v>70</v>
      </c>
      <c r="X132" s="2">
        <v>10200</v>
      </c>
      <c r="Y132" s="2">
        <v>2950</v>
      </c>
      <c r="AA132" s="2">
        <v>150</v>
      </c>
      <c r="AB132" s="2">
        <f t="shared" si="14"/>
        <v>13300</v>
      </c>
      <c r="AC132" s="23">
        <v>1905</v>
      </c>
      <c r="AD132" s="27" t="s">
        <v>492</v>
      </c>
      <c r="AE132" s="27" t="s">
        <v>498</v>
      </c>
      <c r="AF132" s="27" t="s">
        <v>383</v>
      </c>
      <c r="AG132" s="27" t="s">
        <v>492</v>
      </c>
      <c r="AH132" s="27" t="s">
        <v>383</v>
      </c>
      <c r="AI132" s="27" t="s">
        <v>497</v>
      </c>
      <c r="AJ132" s="27" t="s">
        <v>492</v>
      </c>
      <c r="AK132" s="27" t="s">
        <v>383</v>
      </c>
    </row>
    <row r="133" spans="1:37" x14ac:dyDescent="0.25">
      <c r="A133" s="27" t="s">
        <v>875</v>
      </c>
      <c r="B133" s="27" t="str">
        <f t="shared" si="10"/>
        <v>Georgia</v>
      </c>
      <c r="C133" s="27" t="str">
        <f t="shared" si="11"/>
        <v>Webster</v>
      </c>
      <c r="D133" s="27">
        <v>544</v>
      </c>
      <c r="E133" s="27">
        <v>8</v>
      </c>
      <c r="F133" s="27">
        <v>1</v>
      </c>
      <c r="G133" s="27">
        <v>5</v>
      </c>
      <c r="H133" s="27">
        <v>4</v>
      </c>
      <c r="I133" s="27">
        <v>6</v>
      </c>
      <c r="J133" s="27">
        <v>13</v>
      </c>
      <c r="K133" s="27">
        <f t="shared" si="12"/>
        <v>37</v>
      </c>
      <c r="L133" s="2">
        <v>36</v>
      </c>
      <c r="M133" s="27">
        <v>120</v>
      </c>
      <c r="N133" s="2">
        <v>1416</v>
      </c>
      <c r="O133" s="2">
        <v>60</v>
      </c>
      <c r="P133" s="2">
        <v>25</v>
      </c>
      <c r="Q133" s="2">
        <v>40</v>
      </c>
      <c r="R133" s="2">
        <v>20</v>
      </c>
      <c r="S133" s="2">
        <v>25</v>
      </c>
      <c r="T133" s="2">
        <v>17</v>
      </c>
      <c r="U133" s="28">
        <f t="shared" si="13"/>
        <v>31.243243243243242</v>
      </c>
      <c r="V133" s="2">
        <v>6336.1</v>
      </c>
      <c r="W133" s="27">
        <v>31</v>
      </c>
      <c r="X133" s="2">
        <v>2600</v>
      </c>
      <c r="Y133" s="2">
        <v>1400</v>
      </c>
      <c r="Z133" s="2">
        <v>1000</v>
      </c>
      <c r="AA133" s="2">
        <v>750</v>
      </c>
      <c r="AB133" s="2">
        <f t="shared" si="14"/>
        <v>5750</v>
      </c>
      <c r="AC133" s="23">
        <v>1905</v>
      </c>
      <c r="AD133" s="27" t="s">
        <v>492</v>
      </c>
      <c r="AE133" s="27" t="s">
        <v>498</v>
      </c>
      <c r="AF133" s="27" t="s">
        <v>383</v>
      </c>
      <c r="AG133" s="27" t="s">
        <v>492</v>
      </c>
      <c r="AH133" s="27" t="s">
        <v>383</v>
      </c>
      <c r="AI133" s="27" t="s">
        <v>497</v>
      </c>
      <c r="AJ133" s="27" t="s">
        <v>492</v>
      </c>
      <c r="AK133" s="27" t="s">
        <v>383</v>
      </c>
    </row>
    <row r="134" spans="1:37" x14ac:dyDescent="0.25">
      <c r="A134" s="27" t="s">
        <v>877</v>
      </c>
      <c r="B134" s="27" t="str">
        <f t="shared" si="10"/>
        <v>Georgia</v>
      </c>
      <c r="C134" s="27" t="str">
        <f t="shared" si="11"/>
        <v>White</v>
      </c>
      <c r="D134" s="27">
        <v>1376</v>
      </c>
      <c r="E134" s="27">
        <v>14</v>
      </c>
      <c r="F134" s="27">
        <v>0</v>
      </c>
      <c r="G134" s="27">
        <v>10</v>
      </c>
      <c r="H134" s="27">
        <v>1</v>
      </c>
      <c r="I134" s="27">
        <v>8</v>
      </c>
      <c r="J134" s="27">
        <v>1</v>
      </c>
      <c r="K134" s="27">
        <f t="shared" si="12"/>
        <v>34</v>
      </c>
      <c r="L134" s="2">
        <v>29</v>
      </c>
      <c r="M134" s="27">
        <v>100</v>
      </c>
      <c r="N134" s="2">
        <v>1520</v>
      </c>
      <c r="O134" s="2">
        <v>30</v>
      </c>
      <c r="P134" s="2">
        <v>0</v>
      </c>
      <c r="Q134" s="2">
        <v>22</v>
      </c>
      <c r="R134" s="2">
        <v>18</v>
      </c>
      <c r="S134" s="2">
        <v>18</v>
      </c>
      <c r="T134" s="2">
        <v>16</v>
      </c>
      <c r="U134" s="28">
        <f t="shared" si="13"/>
        <v>24.058823529411764</v>
      </c>
      <c r="V134" s="2">
        <v>4464.8999999999996</v>
      </c>
      <c r="W134" s="27">
        <v>25</v>
      </c>
      <c r="X134" s="2">
        <v>750</v>
      </c>
      <c r="Y134" s="2">
        <v>3700</v>
      </c>
      <c r="Z134" s="2">
        <v>750</v>
      </c>
      <c r="AA134" s="2">
        <v>250</v>
      </c>
      <c r="AB134" s="2">
        <f t="shared" si="14"/>
        <v>5450</v>
      </c>
      <c r="AC134" s="23">
        <v>1905</v>
      </c>
      <c r="AD134" s="27" t="s">
        <v>492</v>
      </c>
      <c r="AE134" s="27" t="s">
        <v>498</v>
      </c>
      <c r="AF134" s="27" t="s">
        <v>383</v>
      </c>
      <c r="AG134" s="27" t="s">
        <v>492</v>
      </c>
      <c r="AH134" s="27" t="s">
        <v>383</v>
      </c>
      <c r="AI134" s="27" t="s">
        <v>497</v>
      </c>
      <c r="AJ134" s="27" t="s">
        <v>492</v>
      </c>
      <c r="AK134" s="27" t="s">
        <v>383</v>
      </c>
    </row>
    <row r="135" spans="1:37" x14ac:dyDescent="0.25">
      <c r="A135" s="27" t="s">
        <v>878</v>
      </c>
      <c r="B135" s="27" t="str">
        <f t="shared" si="10"/>
        <v>Georgia</v>
      </c>
      <c r="C135" s="27" t="str">
        <f t="shared" si="11"/>
        <v>Whitfield</v>
      </c>
      <c r="D135" s="27">
        <v>2469</v>
      </c>
      <c r="E135" s="27">
        <v>19</v>
      </c>
      <c r="F135" s="27">
        <v>0</v>
      </c>
      <c r="G135" s="27">
        <v>17</v>
      </c>
      <c r="H135" s="27">
        <v>6</v>
      </c>
      <c r="I135" s="27">
        <v>15</v>
      </c>
      <c r="J135" s="27">
        <v>4</v>
      </c>
      <c r="K135" s="27">
        <f t="shared" si="12"/>
        <v>61</v>
      </c>
      <c r="L135" s="2">
        <v>61</v>
      </c>
      <c r="M135" s="27">
        <v>120</v>
      </c>
      <c r="N135" s="2">
        <v>2751</v>
      </c>
      <c r="O135" s="2">
        <v>38</v>
      </c>
      <c r="P135" s="2">
        <v>0</v>
      </c>
      <c r="Q135" s="2">
        <v>28</v>
      </c>
      <c r="R135" s="2">
        <v>20</v>
      </c>
      <c r="S135" s="2">
        <v>25</v>
      </c>
      <c r="T135" s="2">
        <v>17</v>
      </c>
      <c r="U135" s="28">
        <f t="shared" si="13"/>
        <v>28.868852459016395</v>
      </c>
      <c r="V135" s="2">
        <v>10134.959999999999</v>
      </c>
      <c r="W135" s="27">
        <v>48</v>
      </c>
      <c r="X135" s="2">
        <v>6575</v>
      </c>
      <c r="Y135" s="2">
        <v>2700</v>
      </c>
      <c r="Z135" s="2">
        <v>1825</v>
      </c>
      <c r="AA135" s="2">
        <v>1000</v>
      </c>
      <c r="AB135" s="2">
        <f t="shared" si="14"/>
        <v>12100</v>
      </c>
      <c r="AC135" s="23">
        <v>1905</v>
      </c>
      <c r="AD135" s="27" t="s">
        <v>492</v>
      </c>
      <c r="AE135" s="27" t="s">
        <v>498</v>
      </c>
      <c r="AF135" s="27" t="s">
        <v>383</v>
      </c>
      <c r="AG135" s="27" t="s">
        <v>492</v>
      </c>
      <c r="AH135" s="27" t="s">
        <v>383</v>
      </c>
      <c r="AI135" s="27" t="s">
        <v>497</v>
      </c>
      <c r="AJ135" s="27" t="s">
        <v>492</v>
      </c>
      <c r="AK135" s="27" t="s">
        <v>383</v>
      </c>
    </row>
    <row r="136" spans="1:37" x14ac:dyDescent="0.25">
      <c r="A136" s="27" t="s">
        <v>879</v>
      </c>
      <c r="B136" s="27" t="str">
        <f t="shared" si="10"/>
        <v>Georgia</v>
      </c>
      <c r="C136" s="27" t="str">
        <f t="shared" si="11"/>
        <v>Wilcox</v>
      </c>
      <c r="D136" s="27"/>
      <c r="L136" s="27"/>
      <c r="M136" s="27"/>
      <c r="N136" s="2"/>
      <c r="O136" s="2"/>
      <c r="P136" s="2"/>
      <c r="Q136" s="2"/>
      <c r="R136" s="2"/>
      <c r="S136" s="2"/>
      <c r="T136" s="2"/>
      <c r="U136" s="28"/>
      <c r="V136" s="2">
        <v>7545.56</v>
      </c>
      <c r="W136" s="27"/>
      <c r="AB136" s="2">
        <f t="shared" si="14"/>
        <v>0</v>
      </c>
      <c r="AC136" s="23">
        <v>1905</v>
      </c>
      <c r="AD136" s="27" t="s">
        <v>492</v>
      </c>
      <c r="AE136" s="27" t="s">
        <v>498</v>
      </c>
      <c r="AF136" s="27" t="s">
        <v>383</v>
      </c>
      <c r="AG136" s="27" t="s">
        <v>492</v>
      </c>
      <c r="AH136" s="27" t="s">
        <v>383</v>
      </c>
      <c r="AI136" s="27" t="s">
        <v>497</v>
      </c>
      <c r="AJ136" s="27" t="s">
        <v>492</v>
      </c>
      <c r="AK136" s="27" t="s">
        <v>383</v>
      </c>
    </row>
    <row r="137" spans="1:37" x14ac:dyDescent="0.25">
      <c r="A137" s="27" t="s">
        <v>880</v>
      </c>
      <c r="B137" s="27" t="str">
        <f t="shared" si="10"/>
        <v>Georgia</v>
      </c>
      <c r="C137" s="27" t="str">
        <f t="shared" si="11"/>
        <v>Wilkes</v>
      </c>
      <c r="D137" s="27">
        <v>1004</v>
      </c>
      <c r="E137" s="27">
        <v>15</v>
      </c>
      <c r="F137" s="27">
        <v>2</v>
      </c>
      <c r="G137" s="27">
        <v>9</v>
      </c>
      <c r="H137" s="27">
        <v>4</v>
      </c>
      <c r="I137" s="27">
        <v>0</v>
      </c>
      <c r="J137" s="27">
        <v>31</v>
      </c>
      <c r="K137" s="27">
        <f t="shared" si="12"/>
        <v>61</v>
      </c>
      <c r="L137" s="2">
        <v>59</v>
      </c>
      <c r="M137" s="27">
        <v>120</v>
      </c>
      <c r="N137" s="2">
        <v>2584</v>
      </c>
      <c r="O137" s="2">
        <v>42</v>
      </c>
      <c r="P137" s="2">
        <v>20</v>
      </c>
      <c r="Q137" s="2">
        <v>34</v>
      </c>
      <c r="R137" s="2">
        <v>18</v>
      </c>
      <c r="S137" s="2">
        <v>0</v>
      </c>
      <c r="T137" s="2">
        <v>16</v>
      </c>
      <c r="U137" s="28">
        <f t="shared" si="13"/>
        <v>25.311475409836067</v>
      </c>
      <c r="V137" s="2">
        <v>15030.62</v>
      </c>
      <c r="W137" s="27">
        <v>56</v>
      </c>
      <c r="X137" s="2">
        <v>1500</v>
      </c>
      <c r="Y137" s="2">
        <v>10300</v>
      </c>
      <c r="Z137" s="2">
        <v>35000</v>
      </c>
      <c r="AA137" s="2">
        <v>500</v>
      </c>
      <c r="AB137" s="2">
        <f t="shared" si="14"/>
        <v>47300</v>
      </c>
      <c r="AC137" s="23">
        <v>1905</v>
      </c>
      <c r="AD137" s="27" t="s">
        <v>492</v>
      </c>
      <c r="AE137" s="27" t="s">
        <v>498</v>
      </c>
      <c r="AF137" s="27" t="s">
        <v>383</v>
      </c>
      <c r="AG137" s="27" t="s">
        <v>492</v>
      </c>
      <c r="AH137" s="27" t="s">
        <v>383</v>
      </c>
      <c r="AI137" s="27" t="s">
        <v>497</v>
      </c>
      <c r="AJ137" s="27" t="s">
        <v>492</v>
      </c>
      <c r="AK137" s="27" t="s">
        <v>383</v>
      </c>
    </row>
    <row r="138" spans="1:37" x14ac:dyDescent="0.25">
      <c r="A138" s="27" t="s">
        <v>881</v>
      </c>
      <c r="B138" s="27" t="str">
        <f t="shared" si="10"/>
        <v>Georgia</v>
      </c>
      <c r="C138" s="27" t="str">
        <f t="shared" si="11"/>
        <v>Wilkinson</v>
      </c>
      <c r="D138" s="27">
        <v>1106</v>
      </c>
      <c r="E138" s="27">
        <v>11</v>
      </c>
      <c r="F138" s="27">
        <v>0</v>
      </c>
      <c r="G138" s="27">
        <v>9</v>
      </c>
      <c r="H138" s="27">
        <v>0</v>
      </c>
      <c r="I138" s="27">
        <v>8</v>
      </c>
      <c r="J138" s="27">
        <v>21</v>
      </c>
      <c r="K138" s="27">
        <f t="shared" si="12"/>
        <v>49</v>
      </c>
      <c r="L138" s="2">
        <v>39</v>
      </c>
      <c r="M138" s="27">
        <v>100</v>
      </c>
      <c r="N138" s="2">
        <v>2259</v>
      </c>
      <c r="O138" s="2">
        <v>45</v>
      </c>
      <c r="P138" s="2">
        <v>0</v>
      </c>
      <c r="Q138" s="2">
        <v>35</v>
      </c>
      <c r="R138" s="2">
        <v>0</v>
      </c>
      <c r="S138" s="2">
        <v>25</v>
      </c>
      <c r="T138" s="2">
        <v>18</v>
      </c>
      <c r="U138" s="28">
        <f t="shared" si="13"/>
        <v>28.326530612244898</v>
      </c>
      <c r="V138" s="2">
        <v>8743.4599999999991</v>
      </c>
      <c r="W138" s="27">
        <v>43</v>
      </c>
      <c r="X138" s="2">
        <v>300</v>
      </c>
      <c r="Y138" s="2">
        <v>5900</v>
      </c>
      <c r="Z138" s="2">
        <v>4000</v>
      </c>
      <c r="AA138" s="2">
        <v>1000</v>
      </c>
      <c r="AB138" s="2">
        <f t="shared" si="14"/>
        <v>11200</v>
      </c>
      <c r="AC138" s="23">
        <v>1905</v>
      </c>
      <c r="AD138" s="27" t="s">
        <v>492</v>
      </c>
      <c r="AE138" s="27" t="s">
        <v>498</v>
      </c>
      <c r="AF138" s="27" t="s">
        <v>383</v>
      </c>
      <c r="AG138" s="27" t="s">
        <v>492</v>
      </c>
      <c r="AH138" s="27" t="s">
        <v>383</v>
      </c>
      <c r="AI138" s="27" t="s">
        <v>497</v>
      </c>
      <c r="AJ138" s="27" t="s">
        <v>492</v>
      </c>
      <c r="AK138" s="27" t="s">
        <v>383</v>
      </c>
    </row>
    <row r="139" spans="1:37" x14ac:dyDescent="0.25">
      <c r="A139" s="27" t="s">
        <v>882</v>
      </c>
      <c r="B139" s="27" t="str">
        <f t="shared" si="10"/>
        <v>Georgia</v>
      </c>
      <c r="C139" s="27" t="str">
        <f t="shared" si="11"/>
        <v>Worth</v>
      </c>
      <c r="D139" s="27">
        <v>2844</v>
      </c>
      <c r="E139" s="27">
        <v>53</v>
      </c>
      <c r="F139" s="27">
        <v>2</v>
      </c>
      <c r="G139" s="27">
        <v>13</v>
      </c>
      <c r="H139" s="27">
        <v>2</v>
      </c>
      <c r="I139" s="27">
        <v>15</v>
      </c>
      <c r="J139" s="27">
        <v>25</v>
      </c>
      <c r="K139" s="27">
        <f t="shared" si="12"/>
        <v>110</v>
      </c>
      <c r="L139" s="2">
        <v>107</v>
      </c>
      <c r="M139" s="27">
        <v>120</v>
      </c>
      <c r="N139" s="2">
        <v>4607</v>
      </c>
      <c r="O139" s="2">
        <v>40</v>
      </c>
      <c r="P139" s="2">
        <v>0</v>
      </c>
      <c r="Q139" s="2">
        <v>35</v>
      </c>
      <c r="R139" s="2">
        <v>20</v>
      </c>
      <c r="S139" s="2">
        <v>30</v>
      </c>
      <c r="T139" s="2">
        <v>16</v>
      </c>
      <c r="U139" s="28">
        <f t="shared" si="13"/>
        <v>31.5</v>
      </c>
      <c r="V139" s="2">
        <v>11691.02</v>
      </c>
      <c r="W139" s="27">
        <v>73</v>
      </c>
      <c r="X139" s="2">
        <v>1200</v>
      </c>
      <c r="Y139" s="2">
        <v>7000</v>
      </c>
      <c r="Z139" s="2">
        <v>10150</v>
      </c>
      <c r="AA139" s="2">
        <v>2000</v>
      </c>
      <c r="AB139" s="2">
        <f t="shared" si="14"/>
        <v>20350</v>
      </c>
      <c r="AC139" s="23">
        <v>1905</v>
      </c>
      <c r="AD139" s="27" t="s">
        <v>492</v>
      </c>
      <c r="AE139" s="27" t="s">
        <v>498</v>
      </c>
      <c r="AF139" s="27" t="s">
        <v>383</v>
      </c>
      <c r="AG139" s="27" t="s">
        <v>492</v>
      </c>
      <c r="AH139" s="27" t="s">
        <v>383</v>
      </c>
      <c r="AI139" s="27" t="s">
        <v>497</v>
      </c>
      <c r="AJ139" s="27" t="s">
        <v>492</v>
      </c>
      <c r="AK139" s="27" t="s">
        <v>383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D126"/>
  <sheetViews>
    <sheetView workbookViewId="0"/>
  </sheetViews>
  <sheetFormatPr defaultColWidth="11.42578125" defaultRowHeight="15" x14ac:dyDescent="0.25"/>
  <cols>
    <col min="1" max="1" width="18.28515625" customWidth="1"/>
    <col min="2" max="2" width="7.85546875" customWidth="1"/>
    <col min="4" max="5" width="11.42578125" style="27"/>
    <col min="7" max="8" width="11.42578125" style="27"/>
    <col min="10" max="12" width="11.42578125" style="27"/>
    <col min="15" max="16" width="11.42578125" style="12"/>
    <col min="19" max="19" width="11.42578125" customWidth="1"/>
    <col min="20" max="20" width="11.42578125" style="27" customWidth="1"/>
  </cols>
  <sheetData>
    <row r="1" spans="1:30" s="20" customFormat="1" ht="135" x14ac:dyDescent="0.25">
      <c r="B1" s="20" t="s">
        <v>2</v>
      </c>
      <c r="C1" s="20" t="s">
        <v>0</v>
      </c>
      <c r="D1" s="20" t="s">
        <v>2361</v>
      </c>
      <c r="E1" s="20" t="s">
        <v>2362</v>
      </c>
      <c r="F1" s="92" t="s">
        <v>1956</v>
      </c>
      <c r="G1" s="84" t="s">
        <v>2044</v>
      </c>
      <c r="H1" s="84" t="s">
        <v>2045</v>
      </c>
      <c r="I1" s="92" t="s">
        <v>372</v>
      </c>
      <c r="J1" s="147" t="s">
        <v>2616</v>
      </c>
      <c r="K1" s="84" t="s">
        <v>2617</v>
      </c>
      <c r="L1" s="20" t="s">
        <v>2619</v>
      </c>
      <c r="M1" s="94" t="s">
        <v>357</v>
      </c>
      <c r="N1" s="94" t="s">
        <v>377</v>
      </c>
      <c r="O1" s="83" t="s">
        <v>2364</v>
      </c>
      <c r="P1" s="83" t="s">
        <v>2365</v>
      </c>
      <c r="Q1" s="92" t="s">
        <v>358</v>
      </c>
      <c r="R1" s="93" t="s">
        <v>360</v>
      </c>
      <c r="S1" s="92" t="s">
        <v>374</v>
      </c>
      <c r="T1" s="125" t="s">
        <v>375</v>
      </c>
      <c r="U1" s="20" t="s">
        <v>1</v>
      </c>
      <c r="V1" s="20" t="s">
        <v>1957</v>
      </c>
      <c r="W1" s="20" t="s">
        <v>1949</v>
      </c>
      <c r="X1" s="20" t="s">
        <v>1955</v>
      </c>
      <c r="Y1" s="20" t="s">
        <v>1950</v>
      </c>
      <c r="Z1" s="20" t="s">
        <v>1951</v>
      </c>
      <c r="AA1" s="20" t="s">
        <v>1952</v>
      </c>
      <c r="AB1" s="20" t="s">
        <v>1953</v>
      </c>
      <c r="AC1" s="20" t="s">
        <v>1948</v>
      </c>
    </row>
    <row r="2" spans="1:30" x14ac:dyDescent="0.25">
      <c r="A2" s="107" t="s">
        <v>883</v>
      </c>
      <c r="B2" s="107" t="s">
        <v>120</v>
      </c>
      <c r="C2" s="107" t="s">
        <v>2399</v>
      </c>
      <c r="D2" s="107">
        <v>1833</v>
      </c>
      <c r="E2" s="107">
        <v>174</v>
      </c>
      <c r="F2" s="107">
        <f>D2+E2</f>
        <v>2007</v>
      </c>
      <c r="G2" s="107"/>
      <c r="H2" s="107"/>
      <c r="I2" s="108">
        <v>102</v>
      </c>
      <c r="J2" s="108">
        <v>91</v>
      </c>
      <c r="K2" s="107"/>
      <c r="L2" s="112">
        <f>K2/J2</f>
        <v>0</v>
      </c>
      <c r="M2" s="148">
        <f t="array" ref="M2">SUM(MAX(0,'AL pre'!$P$2:$P$68*(1-((L2-'AL pre'!$O$2:$O$68)/BW)^2)))/SUM(MAX(0,1-((L2-'AL pre'!$O$2:$O$68)/BW)^2))</f>
        <v>124.9968387776607</v>
      </c>
      <c r="N2" s="108">
        <v>3761</v>
      </c>
      <c r="O2" s="132">
        <v>29.4</v>
      </c>
      <c r="P2" s="132">
        <v>25.75</v>
      </c>
      <c r="Q2" s="112">
        <f>(D2*O2+E2*P2)/F2</f>
        <v>29.083557548579968</v>
      </c>
      <c r="R2" s="108">
        <v>16830</v>
      </c>
      <c r="S2" s="107">
        <v>90</v>
      </c>
      <c r="T2" s="107">
        <v>16830</v>
      </c>
      <c r="U2" s="107">
        <v>1905</v>
      </c>
      <c r="V2" s="107" t="s">
        <v>468</v>
      </c>
      <c r="W2" s="107" t="s">
        <v>499</v>
      </c>
      <c r="X2" s="4" t="s">
        <v>2612</v>
      </c>
      <c r="Y2" s="107" t="s">
        <v>501</v>
      </c>
      <c r="Z2" s="107" t="s">
        <v>500</v>
      </c>
      <c r="AA2" s="107" t="s">
        <v>502</v>
      </c>
      <c r="AB2" s="107" t="s">
        <v>503</v>
      </c>
      <c r="AC2" s="107"/>
      <c r="AD2" s="107"/>
    </row>
    <row r="3" spans="1:30" x14ac:dyDescent="0.25">
      <c r="A3" s="107" t="s">
        <v>884</v>
      </c>
      <c r="B3" s="107" t="s">
        <v>120</v>
      </c>
      <c r="C3" s="107" t="s">
        <v>2070</v>
      </c>
      <c r="D3" s="107">
        <v>1836</v>
      </c>
      <c r="E3" s="107">
        <v>71</v>
      </c>
      <c r="F3" s="107">
        <f t="shared" ref="F3:F66" si="0">D3+E3</f>
        <v>1907</v>
      </c>
      <c r="G3" s="107"/>
      <c r="H3" s="107"/>
      <c r="I3" s="108">
        <v>80</v>
      </c>
      <c r="J3" s="108">
        <v>80</v>
      </c>
      <c r="K3" s="107">
        <v>5</v>
      </c>
      <c r="L3" s="112">
        <f t="shared" ref="L3:L66" si="1">K3/J3</f>
        <v>6.25E-2</v>
      </c>
      <c r="M3" s="148">
        <f t="array" ref="M3">SUM(MAX(0,'AL pre'!$P$2:$P$68*(1-((L3-'AL pre'!$O$2:$O$68)/BW)^2)))/SUM(MAX(0,1-((L3-'AL pre'!$O$2:$O$68)/BW)^2))</f>
        <v>117.90729933790828</v>
      </c>
      <c r="N3" s="108">
        <v>3575</v>
      </c>
      <c r="O3" s="132">
        <v>31</v>
      </c>
      <c r="P3" s="132">
        <v>24</v>
      </c>
      <c r="Q3" s="112">
        <f>(D3*O3+E3*P3)/F3</f>
        <v>30.739381227058207</v>
      </c>
      <c r="R3" s="108">
        <v>31600</v>
      </c>
      <c r="S3" s="107">
        <v>81</v>
      </c>
      <c r="T3" s="107">
        <v>31600</v>
      </c>
      <c r="U3" s="107">
        <v>1905</v>
      </c>
      <c r="V3" s="107" t="s">
        <v>468</v>
      </c>
      <c r="W3" s="107" t="s">
        <v>499</v>
      </c>
      <c r="X3" s="107" t="str">
        <f>X2</f>
        <v>https://archive.org/download/SOPIK1905/1905.pdf#page=330</v>
      </c>
      <c r="Y3" s="107" t="s">
        <v>501</v>
      </c>
      <c r="Z3" s="107" t="s">
        <v>500</v>
      </c>
      <c r="AA3" s="107" t="s">
        <v>502</v>
      </c>
      <c r="AB3" s="107" t="s">
        <v>503</v>
      </c>
      <c r="AC3" s="107"/>
      <c r="AD3" s="107"/>
    </row>
    <row r="4" spans="1:30" x14ac:dyDescent="0.25">
      <c r="A4" s="107" t="s">
        <v>885</v>
      </c>
      <c r="B4" s="107" t="s">
        <v>120</v>
      </c>
      <c r="C4" s="107" t="s">
        <v>121</v>
      </c>
      <c r="D4" s="107">
        <v>1508</v>
      </c>
      <c r="E4" s="107">
        <v>178</v>
      </c>
      <c r="F4" s="107">
        <f t="shared" si="0"/>
        <v>1686</v>
      </c>
      <c r="G4" s="107"/>
      <c r="H4" s="107"/>
      <c r="I4" s="108">
        <v>80</v>
      </c>
      <c r="J4" s="108">
        <v>49</v>
      </c>
      <c r="K4" s="107">
        <v>3</v>
      </c>
      <c r="L4" s="112">
        <f t="shared" si="1"/>
        <v>6.1224489795918366E-2</v>
      </c>
      <c r="M4" s="148">
        <f t="array" ref="M4">SUM(MAX(0,'AL pre'!$P$2:$P$68*(1-((L4-'AL pre'!$O$2:$O$68)/BW)^2)))/SUM(MAX(0,1-((L4-'AL pre'!$O$2:$O$68)/BW)^2))</f>
        <v>117.05560383169491</v>
      </c>
      <c r="N4" s="108">
        <v>2478</v>
      </c>
      <c r="O4" s="132"/>
      <c r="P4" s="132"/>
      <c r="Q4" s="112"/>
      <c r="R4" s="108">
        <v>19275</v>
      </c>
      <c r="S4" s="107">
        <v>48</v>
      </c>
      <c r="T4" s="107">
        <v>19275</v>
      </c>
      <c r="U4" s="107">
        <v>1905</v>
      </c>
      <c r="V4" s="107" t="s">
        <v>468</v>
      </c>
      <c r="W4" s="107" t="s">
        <v>499</v>
      </c>
      <c r="X4" s="107" t="str">
        <f t="shared" ref="X4:X67" si="2">X3</f>
        <v>https://archive.org/download/SOPIK1905/1905.pdf#page=330</v>
      </c>
      <c r="Y4" s="107" t="s">
        <v>501</v>
      </c>
      <c r="Z4" s="107" t="s">
        <v>500</v>
      </c>
      <c r="AA4" s="107" t="s">
        <v>502</v>
      </c>
      <c r="AB4" s="107" t="s">
        <v>503</v>
      </c>
      <c r="AC4" s="107"/>
      <c r="AD4" s="107"/>
    </row>
    <row r="5" spans="1:30" x14ac:dyDescent="0.25">
      <c r="A5" s="107" t="s">
        <v>886</v>
      </c>
      <c r="B5" s="107" t="s">
        <v>120</v>
      </c>
      <c r="C5" s="107" t="s">
        <v>122</v>
      </c>
      <c r="D5" s="107">
        <v>1282</v>
      </c>
      <c r="E5" s="107">
        <v>180</v>
      </c>
      <c r="F5" s="107">
        <f t="shared" si="0"/>
        <v>1462</v>
      </c>
      <c r="G5" s="107"/>
      <c r="H5" s="107"/>
      <c r="I5" s="108">
        <v>59</v>
      </c>
      <c r="J5" s="108">
        <v>50</v>
      </c>
      <c r="K5" s="107">
        <v>2</v>
      </c>
      <c r="L5" s="112">
        <f t="shared" si="1"/>
        <v>0.04</v>
      </c>
      <c r="M5" s="148">
        <f t="array" ref="M5">SUM(MAX(0,'AL pre'!$P$2:$P$68*(1-((L5-'AL pre'!$O$2:$O$68)/BW)^2)))/SUM(MAX(0,1-((L5-'AL pre'!$O$2:$O$68)/BW)^2))</f>
        <v>117.80705886198231</v>
      </c>
      <c r="N5" s="108">
        <v>3534</v>
      </c>
      <c r="O5" s="132">
        <v>35</v>
      </c>
      <c r="P5" s="132">
        <v>24</v>
      </c>
      <c r="Q5" s="112">
        <f t="shared" ref="Q5:Q10" si="3">(D5*O5+E5*P5)/F5</f>
        <v>33.645690834473321</v>
      </c>
      <c r="R5" s="108">
        <v>2900</v>
      </c>
      <c r="S5" s="107">
        <v>48</v>
      </c>
      <c r="T5" s="107">
        <v>29800</v>
      </c>
      <c r="U5" s="107">
        <v>1905</v>
      </c>
      <c r="V5" s="107" t="s">
        <v>468</v>
      </c>
      <c r="W5" s="107" t="s">
        <v>499</v>
      </c>
      <c r="X5" s="107" t="str">
        <f t="shared" si="2"/>
        <v>https://archive.org/download/SOPIK1905/1905.pdf#page=330</v>
      </c>
      <c r="Y5" s="107" t="s">
        <v>501</v>
      </c>
      <c r="Z5" s="107" t="s">
        <v>500</v>
      </c>
      <c r="AA5" s="107" t="s">
        <v>502</v>
      </c>
      <c r="AB5" s="107" t="s">
        <v>503</v>
      </c>
      <c r="AC5" s="107"/>
      <c r="AD5" s="107"/>
    </row>
    <row r="6" spans="1:30" x14ac:dyDescent="0.25">
      <c r="A6" s="107" t="s">
        <v>887</v>
      </c>
      <c r="B6" s="107" t="s">
        <v>120</v>
      </c>
      <c r="C6" s="107" t="s">
        <v>2400</v>
      </c>
      <c r="D6" s="107">
        <v>2797</v>
      </c>
      <c r="E6" s="107">
        <v>594</v>
      </c>
      <c r="F6" s="107">
        <f t="shared" si="0"/>
        <v>3391</v>
      </c>
      <c r="G6" s="107"/>
      <c r="H6" s="107"/>
      <c r="I6" s="108">
        <v>77</v>
      </c>
      <c r="J6" s="108">
        <v>110</v>
      </c>
      <c r="K6" s="107">
        <v>12</v>
      </c>
      <c r="L6" s="112">
        <f t="shared" si="1"/>
        <v>0.10909090909090909</v>
      </c>
      <c r="M6" s="148">
        <f t="array" ref="M6">SUM(MAX(0,'AL pre'!$P$2:$P$68*(1-((L6-'AL pre'!$O$2:$O$68)/BW)^2)))/SUM(MAX(0,1-((L6-'AL pre'!$O$2:$O$68)/BW)^2))</f>
        <v>138.92246064336791</v>
      </c>
      <c r="N6" s="108">
        <v>5441</v>
      </c>
      <c r="O6" s="132">
        <v>32.72</v>
      </c>
      <c r="P6" s="132">
        <v>29.95</v>
      </c>
      <c r="Q6" s="112">
        <f t="shared" si="3"/>
        <v>32.234780300796224</v>
      </c>
      <c r="R6" s="108">
        <v>52600</v>
      </c>
      <c r="S6" s="107">
        <v>110</v>
      </c>
      <c r="T6" s="107">
        <v>52600</v>
      </c>
      <c r="U6" s="107">
        <v>1905</v>
      </c>
      <c r="V6" s="107" t="s">
        <v>468</v>
      </c>
      <c r="W6" s="107" t="s">
        <v>499</v>
      </c>
      <c r="X6" s="107" t="str">
        <f t="shared" si="2"/>
        <v>https://archive.org/download/SOPIK1905/1905.pdf#page=330</v>
      </c>
      <c r="Y6" s="107" t="s">
        <v>501</v>
      </c>
      <c r="Z6" s="107" t="s">
        <v>500</v>
      </c>
      <c r="AA6" s="107" t="s">
        <v>502</v>
      </c>
      <c r="AB6" s="107" t="s">
        <v>503</v>
      </c>
      <c r="AC6" s="107"/>
      <c r="AD6" s="107"/>
    </row>
    <row r="7" spans="1:30" x14ac:dyDescent="0.25">
      <c r="A7" s="107" t="s">
        <v>888</v>
      </c>
      <c r="B7" s="107" t="s">
        <v>120</v>
      </c>
      <c r="C7" s="107" t="s">
        <v>2401</v>
      </c>
      <c r="D7" s="107">
        <v>1995</v>
      </c>
      <c r="E7" s="107">
        <v>275</v>
      </c>
      <c r="F7" s="107">
        <f t="shared" si="0"/>
        <v>2270</v>
      </c>
      <c r="G7" s="107"/>
      <c r="H7" s="107"/>
      <c r="I7" s="108">
        <v>165</v>
      </c>
      <c r="J7" s="108">
        <v>60</v>
      </c>
      <c r="K7" s="107">
        <v>4</v>
      </c>
      <c r="L7" s="112">
        <f t="shared" si="1"/>
        <v>6.6666666666666666E-2</v>
      </c>
      <c r="M7" s="148">
        <f t="array" ref="M7">SUM(MAX(0,'AL pre'!$P$2:$P$68*(1-((L7-'AL pre'!$O$2:$O$68)/BW)^2)))/SUM(MAX(0,1-((L7-'AL pre'!$O$2:$O$68)/BW)^2))</f>
        <v>120.67009785462066</v>
      </c>
      <c r="N7" s="108">
        <v>3437</v>
      </c>
      <c r="O7" s="132">
        <v>37.549999999999997</v>
      </c>
      <c r="P7" s="132">
        <v>25.4</v>
      </c>
      <c r="Q7" s="112">
        <f t="shared" si="3"/>
        <v>36.07808370044053</v>
      </c>
      <c r="R7" s="108">
        <v>27000</v>
      </c>
      <c r="S7" s="107">
        <v>60</v>
      </c>
      <c r="T7" s="107">
        <v>27000</v>
      </c>
      <c r="U7" s="107">
        <v>1905</v>
      </c>
      <c r="V7" s="107" t="s">
        <v>468</v>
      </c>
      <c r="W7" s="107" t="s">
        <v>499</v>
      </c>
      <c r="X7" s="107" t="str">
        <f t="shared" si="2"/>
        <v>https://archive.org/download/SOPIK1905/1905.pdf#page=330</v>
      </c>
      <c r="Y7" s="107" t="s">
        <v>501</v>
      </c>
      <c r="Z7" s="107" t="s">
        <v>500</v>
      </c>
      <c r="AA7" s="107" t="s">
        <v>502</v>
      </c>
      <c r="AB7" s="107" t="s">
        <v>503</v>
      </c>
      <c r="AC7" s="107"/>
      <c r="AD7" s="107"/>
    </row>
    <row r="8" spans="1:30" x14ac:dyDescent="0.25">
      <c r="A8" s="107" t="s">
        <v>889</v>
      </c>
      <c r="B8" s="107" t="s">
        <v>120</v>
      </c>
      <c r="C8" s="107" t="s">
        <v>123</v>
      </c>
      <c r="D8" s="107">
        <v>1731</v>
      </c>
      <c r="E8" s="107">
        <v>46</v>
      </c>
      <c r="F8" s="107">
        <f t="shared" si="0"/>
        <v>1777</v>
      </c>
      <c r="G8" s="107"/>
      <c r="H8" s="107"/>
      <c r="I8" s="108">
        <v>74</v>
      </c>
      <c r="J8" s="108">
        <v>56</v>
      </c>
      <c r="K8" s="107">
        <v>2</v>
      </c>
      <c r="L8" s="112">
        <f t="shared" si="1"/>
        <v>3.5714285714285712E-2</v>
      </c>
      <c r="M8" s="148">
        <f t="array" ref="M8">SUM(MAX(0,'AL pre'!$P$2:$P$68*(1-((L8-'AL pre'!$O$2:$O$68)/BW)^2)))/SUM(MAX(0,1-((L8-'AL pre'!$O$2:$O$68)/BW)^2))</f>
        <v>119.2895997551083</v>
      </c>
      <c r="N8" s="108">
        <v>3429</v>
      </c>
      <c r="O8" s="132">
        <v>33.96</v>
      </c>
      <c r="P8" s="132">
        <v>36.130000000000003</v>
      </c>
      <c r="Q8" s="112">
        <f t="shared" si="3"/>
        <v>34.016173325830053</v>
      </c>
      <c r="R8" s="108">
        <v>15250</v>
      </c>
      <c r="S8" s="107">
        <v>53</v>
      </c>
      <c r="T8" s="107">
        <v>15250</v>
      </c>
      <c r="U8" s="107">
        <v>1905</v>
      </c>
      <c r="V8" s="107" t="s">
        <v>468</v>
      </c>
      <c r="W8" s="107" t="s">
        <v>499</v>
      </c>
      <c r="X8" s="107" t="str">
        <f t="shared" si="2"/>
        <v>https://archive.org/download/SOPIK1905/1905.pdf#page=330</v>
      </c>
      <c r="Y8" s="107" t="s">
        <v>501</v>
      </c>
      <c r="Z8" s="107" t="s">
        <v>500</v>
      </c>
      <c r="AA8" s="107" t="s">
        <v>502</v>
      </c>
      <c r="AB8" s="107" t="s">
        <v>503</v>
      </c>
      <c r="AC8" s="107"/>
      <c r="AD8" s="107"/>
    </row>
    <row r="9" spans="1:30" x14ac:dyDescent="0.25">
      <c r="A9" s="107" t="s">
        <v>890</v>
      </c>
      <c r="B9" s="107" t="s">
        <v>120</v>
      </c>
      <c r="C9" s="107" t="s">
        <v>2402</v>
      </c>
      <c r="D9" s="107">
        <v>1175</v>
      </c>
      <c r="E9" s="107">
        <v>80</v>
      </c>
      <c r="F9" s="107">
        <f t="shared" si="0"/>
        <v>1255</v>
      </c>
      <c r="G9" s="107"/>
      <c r="H9" s="107"/>
      <c r="I9" s="108">
        <v>58</v>
      </c>
      <c r="J9" s="108">
        <v>50</v>
      </c>
      <c r="K9" s="107">
        <v>5</v>
      </c>
      <c r="L9" s="112">
        <f t="shared" si="1"/>
        <v>0.1</v>
      </c>
      <c r="M9" s="148">
        <f t="array" ref="M9">SUM(MAX(0,'AL pre'!$P$2:$P$68*(1-((L9-'AL pre'!$O$2:$O$68)/BW)^2)))/SUM(MAX(0,1-((L9-'AL pre'!$O$2:$O$68)/BW)^2))</f>
        <v>136.42643146900656</v>
      </c>
      <c r="N9" s="108">
        <v>2200</v>
      </c>
      <c r="O9" s="132">
        <v>30.61</v>
      </c>
      <c r="P9" s="132">
        <v>22</v>
      </c>
      <c r="Q9" s="112">
        <f t="shared" si="3"/>
        <v>30.061155378486056</v>
      </c>
      <c r="R9" s="108">
        <v>38600</v>
      </c>
      <c r="S9" s="107">
        <v>50</v>
      </c>
      <c r="T9" s="107">
        <v>30600</v>
      </c>
      <c r="U9" s="107">
        <v>1905</v>
      </c>
      <c r="V9" s="107" t="s">
        <v>468</v>
      </c>
      <c r="W9" s="107" t="s">
        <v>499</v>
      </c>
      <c r="X9" s="107" t="str">
        <f t="shared" si="2"/>
        <v>https://archive.org/download/SOPIK1905/1905.pdf#page=330</v>
      </c>
      <c r="Y9" s="107" t="s">
        <v>501</v>
      </c>
      <c r="Z9" s="107" t="s">
        <v>500</v>
      </c>
      <c r="AA9" s="107" t="s">
        <v>502</v>
      </c>
      <c r="AB9" s="107" t="s">
        <v>503</v>
      </c>
      <c r="AC9" s="107"/>
      <c r="AD9" s="107"/>
    </row>
    <row r="10" spans="1:30" x14ac:dyDescent="0.25">
      <c r="A10" s="107" t="s">
        <v>891</v>
      </c>
      <c r="B10" s="107" t="s">
        <v>120</v>
      </c>
      <c r="C10" s="107" t="s">
        <v>2403</v>
      </c>
      <c r="D10" s="107">
        <v>773</v>
      </c>
      <c r="E10" s="107">
        <v>633</v>
      </c>
      <c r="F10" s="107">
        <f t="shared" si="0"/>
        <v>1406</v>
      </c>
      <c r="G10" s="107"/>
      <c r="H10" s="107"/>
      <c r="I10" s="108">
        <v>61</v>
      </c>
      <c r="J10" s="108">
        <v>57</v>
      </c>
      <c r="K10" s="107">
        <v>23</v>
      </c>
      <c r="L10" s="112">
        <f t="shared" si="1"/>
        <v>0.40350877192982454</v>
      </c>
      <c r="M10" s="148">
        <f t="array" ref="M10">SUM(MAX(0,'AL pre'!$P$2:$P$68*(1-((L10-'AL pre'!$O$2:$O$68)/BW)^2)))/SUM(MAX(0,1-((L10-'AL pre'!$O$2:$O$68)/BW)^2))</f>
        <v>102.92245725019167</v>
      </c>
      <c r="N10" s="108">
        <v>2135</v>
      </c>
      <c r="O10" s="132">
        <v>44.9</v>
      </c>
      <c r="P10" s="132">
        <v>36</v>
      </c>
      <c r="Q10" s="112">
        <f t="shared" si="3"/>
        <v>40.893100995732574</v>
      </c>
      <c r="R10" s="108">
        <v>20625</v>
      </c>
      <c r="S10" s="107">
        <v>57</v>
      </c>
      <c r="T10" s="107">
        <v>30625</v>
      </c>
      <c r="U10" s="107">
        <v>1905</v>
      </c>
      <c r="V10" s="107" t="s">
        <v>468</v>
      </c>
      <c r="W10" s="107" t="s">
        <v>499</v>
      </c>
      <c r="X10" s="107" t="str">
        <f t="shared" si="2"/>
        <v>https://archive.org/download/SOPIK1905/1905.pdf#page=330</v>
      </c>
      <c r="Y10" s="107" t="s">
        <v>501</v>
      </c>
      <c r="Z10" s="107" t="s">
        <v>500</v>
      </c>
      <c r="AA10" s="107" t="s">
        <v>502</v>
      </c>
      <c r="AB10" s="107" t="s">
        <v>503</v>
      </c>
      <c r="AC10" s="107"/>
      <c r="AD10" s="107"/>
    </row>
    <row r="11" spans="1:30" x14ac:dyDescent="0.25">
      <c r="A11" s="107" t="s">
        <v>892</v>
      </c>
      <c r="B11" s="107" t="s">
        <v>120</v>
      </c>
      <c r="C11" s="107" t="s">
        <v>124</v>
      </c>
      <c r="D11" s="107"/>
      <c r="E11" s="107"/>
      <c r="F11" s="107">
        <f t="shared" si="0"/>
        <v>0</v>
      </c>
      <c r="G11" s="107"/>
      <c r="H11" s="107"/>
      <c r="I11" s="108">
        <v>47</v>
      </c>
      <c r="J11" s="108">
        <v>36</v>
      </c>
      <c r="K11" s="107">
        <v>5</v>
      </c>
      <c r="L11" s="112">
        <f t="shared" si="1"/>
        <v>0.1388888888888889</v>
      </c>
      <c r="M11" s="148">
        <f t="array" ref="M11">SUM(MAX(0,'AL pre'!$P$2:$P$68*(1-((L11-'AL pre'!$O$2:$O$68)/BW)^2)))/SUM(MAX(0,1-((L11-'AL pre'!$O$2:$O$68)/BW)^2))</f>
        <v>140.50674747299985</v>
      </c>
      <c r="N11" s="108">
        <v>2929</v>
      </c>
      <c r="O11" s="132">
        <v>36.5</v>
      </c>
      <c r="P11" s="132">
        <v>22.69</v>
      </c>
      <c r="Q11" s="112">
        <f>(O11+P11)/2</f>
        <v>29.594999999999999</v>
      </c>
      <c r="R11" s="108">
        <v>17500</v>
      </c>
      <c r="S11" s="107">
        <v>34</v>
      </c>
      <c r="T11" s="107">
        <v>17500</v>
      </c>
      <c r="U11" s="107">
        <v>1905</v>
      </c>
      <c r="V11" s="107" t="s">
        <v>468</v>
      </c>
      <c r="W11" s="107" t="s">
        <v>499</v>
      </c>
      <c r="X11" s="107" t="str">
        <f t="shared" si="2"/>
        <v>https://archive.org/download/SOPIK1905/1905.pdf#page=330</v>
      </c>
      <c r="Y11" s="107" t="s">
        <v>501</v>
      </c>
      <c r="Z11" s="107" t="s">
        <v>500</v>
      </c>
      <c r="AA11" s="107" t="s">
        <v>502</v>
      </c>
      <c r="AB11" s="107" t="s">
        <v>503</v>
      </c>
      <c r="AC11" s="107"/>
      <c r="AD11" s="107"/>
    </row>
    <row r="12" spans="1:30" x14ac:dyDescent="0.25">
      <c r="A12" s="107" t="s">
        <v>893</v>
      </c>
      <c r="B12" s="107" t="s">
        <v>120</v>
      </c>
      <c r="C12" s="107" t="s">
        <v>2404</v>
      </c>
      <c r="D12" s="107">
        <v>1973</v>
      </c>
      <c r="E12" s="107">
        <v>1130</v>
      </c>
      <c r="F12" s="107">
        <f t="shared" si="0"/>
        <v>3103</v>
      </c>
      <c r="G12" s="107"/>
      <c r="H12" s="107"/>
      <c r="I12" s="108">
        <v>57</v>
      </c>
      <c r="J12" s="108">
        <v>43</v>
      </c>
      <c r="K12" s="107">
        <v>3</v>
      </c>
      <c r="L12" s="112">
        <f t="shared" si="1"/>
        <v>6.9767441860465115E-2</v>
      </c>
      <c r="M12" s="148">
        <f t="array" ref="M12">SUM(MAX(0,'AL pre'!$P$2:$P$68*(1-((L12-'AL pre'!$O$2:$O$68)/BW)^2)))/SUM(MAX(0,1-((L12-'AL pre'!$O$2:$O$68)/BW)^2))</f>
        <v>122.59007528056985</v>
      </c>
      <c r="N12" s="108">
        <v>3853</v>
      </c>
      <c r="O12" s="132">
        <v>33.85</v>
      </c>
      <c r="P12" s="132">
        <v>44.92</v>
      </c>
      <c r="Q12" s="112">
        <f>(D12*O12+E12*P12)/F12</f>
        <v>37.881292297776341</v>
      </c>
      <c r="R12" s="108">
        <v>35385</v>
      </c>
      <c r="S12" s="107">
        <v>43</v>
      </c>
      <c r="T12" s="107">
        <v>35385</v>
      </c>
      <c r="U12" s="107">
        <v>1905</v>
      </c>
      <c r="V12" s="107" t="s">
        <v>468</v>
      </c>
      <c r="W12" s="107" t="s">
        <v>499</v>
      </c>
      <c r="X12" s="107" t="str">
        <f t="shared" si="2"/>
        <v>https://archive.org/download/SOPIK1905/1905.pdf#page=330</v>
      </c>
      <c r="Y12" s="107" t="s">
        <v>501</v>
      </c>
      <c r="Z12" s="107" t="s">
        <v>500</v>
      </c>
      <c r="AA12" s="107" t="s">
        <v>502</v>
      </c>
      <c r="AB12" s="107" t="s">
        <v>503</v>
      </c>
      <c r="AC12" s="107"/>
      <c r="AD12" s="107"/>
    </row>
    <row r="13" spans="1:30" x14ac:dyDescent="0.25">
      <c r="A13" s="107" t="s">
        <v>894</v>
      </c>
      <c r="B13" s="107" t="s">
        <v>120</v>
      </c>
      <c r="C13" s="107" t="s">
        <v>2405</v>
      </c>
      <c r="D13" s="107">
        <v>2224</v>
      </c>
      <c r="E13" s="107">
        <v>46</v>
      </c>
      <c r="F13" s="107">
        <f t="shared" si="0"/>
        <v>2270</v>
      </c>
      <c r="G13" s="107"/>
      <c r="H13" s="107"/>
      <c r="I13" s="108">
        <v>37</v>
      </c>
      <c r="J13" s="108">
        <v>48</v>
      </c>
      <c r="K13" s="107">
        <v>7</v>
      </c>
      <c r="L13" s="112">
        <f t="shared" si="1"/>
        <v>0.14583333333333334</v>
      </c>
      <c r="M13" s="148">
        <f t="array" ref="M13">SUM(MAX(0,'AL pre'!$P$2:$P$68*(1-((L13-'AL pre'!$O$2:$O$68)/BW)^2)))/SUM(MAX(0,1-((L13-'AL pre'!$O$2:$O$68)/BW)^2))</f>
        <v>139.78448113208992</v>
      </c>
      <c r="N13" s="108">
        <v>2655</v>
      </c>
      <c r="O13" s="132">
        <v>29.25</v>
      </c>
      <c r="P13" s="132">
        <v>42.24</v>
      </c>
      <c r="Q13" s="112">
        <f>(D13*O13+E13*P13)/F13</f>
        <v>29.513233480176208</v>
      </c>
      <c r="R13" s="108">
        <v>28600</v>
      </c>
      <c r="S13" s="107">
        <v>49</v>
      </c>
      <c r="T13" s="107">
        <v>28600</v>
      </c>
      <c r="U13" s="107">
        <v>1905</v>
      </c>
      <c r="V13" s="107" t="s">
        <v>468</v>
      </c>
      <c r="W13" s="107" t="s">
        <v>499</v>
      </c>
      <c r="X13" s="107" t="str">
        <f t="shared" si="2"/>
        <v>https://archive.org/download/SOPIK1905/1905.pdf#page=330</v>
      </c>
      <c r="Y13" s="107" t="s">
        <v>501</v>
      </c>
      <c r="Z13" s="107" t="s">
        <v>500</v>
      </c>
      <c r="AA13" s="107" t="s">
        <v>502</v>
      </c>
      <c r="AB13" s="107" t="s">
        <v>503</v>
      </c>
      <c r="AC13" s="107"/>
      <c r="AD13" s="107"/>
    </row>
    <row r="14" spans="1:30" x14ac:dyDescent="0.25">
      <c r="A14" s="107" t="s">
        <v>895</v>
      </c>
      <c r="B14" s="107" t="s">
        <v>120</v>
      </c>
      <c r="C14" s="107" t="s">
        <v>125</v>
      </c>
      <c r="D14" s="107">
        <v>2319</v>
      </c>
      <c r="E14" s="107">
        <v>96</v>
      </c>
      <c r="F14" s="107">
        <f t="shared" si="0"/>
        <v>2415</v>
      </c>
      <c r="G14" s="107"/>
      <c r="H14" s="107"/>
      <c r="I14" s="108">
        <v>158</v>
      </c>
      <c r="J14" s="108">
        <v>97</v>
      </c>
      <c r="K14" s="107"/>
      <c r="L14" s="112">
        <f t="shared" si="1"/>
        <v>0</v>
      </c>
      <c r="M14" s="148">
        <f t="array" ref="M14">SUM(MAX(0,'AL pre'!$P$2:$P$68*(1-((L14-'AL pre'!$O$2:$O$68)/BW)^2)))/SUM(MAX(0,1-((L14-'AL pre'!$O$2:$O$68)/BW)^2))</f>
        <v>124.9968387776607</v>
      </c>
      <c r="N14" s="108">
        <v>4528</v>
      </c>
      <c r="O14" s="132">
        <v>31.75</v>
      </c>
      <c r="P14" s="132">
        <v>46.47</v>
      </c>
      <c r="Q14" s="112">
        <f>(D14*O14+E14*P14)/F14</f>
        <v>32.335142857142856</v>
      </c>
      <c r="R14" s="108">
        <v>12845</v>
      </c>
      <c r="S14" s="107">
        <v>92</v>
      </c>
      <c r="T14" s="107">
        <v>12845</v>
      </c>
      <c r="U14" s="107">
        <v>1905</v>
      </c>
      <c r="V14" s="107" t="s">
        <v>468</v>
      </c>
      <c r="W14" s="107" t="s">
        <v>499</v>
      </c>
      <c r="X14" s="107" t="str">
        <f t="shared" si="2"/>
        <v>https://archive.org/download/SOPIK1905/1905.pdf#page=330</v>
      </c>
      <c r="Y14" s="107" t="s">
        <v>501</v>
      </c>
      <c r="Z14" s="107" t="s">
        <v>500</v>
      </c>
      <c r="AA14" s="107" t="s">
        <v>502</v>
      </c>
      <c r="AB14" s="107" t="s">
        <v>503</v>
      </c>
      <c r="AC14" s="107"/>
      <c r="AD14" s="107"/>
    </row>
    <row r="15" spans="1:30" x14ac:dyDescent="0.25">
      <c r="A15" s="107" t="s">
        <v>896</v>
      </c>
      <c r="B15" s="107" t="s">
        <v>120</v>
      </c>
      <c r="C15" s="107" t="s">
        <v>2406</v>
      </c>
      <c r="D15" s="107">
        <v>2420</v>
      </c>
      <c r="E15" s="107">
        <v>190</v>
      </c>
      <c r="F15" s="107">
        <f t="shared" si="0"/>
        <v>2610</v>
      </c>
      <c r="G15" s="107"/>
      <c r="H15" s="107"/>
      <c r="I15" s="108">
        <v>161</v>
      </c>
      <c r="J15" s="108">
        <v>112</v>
      </c>
      <c r="K15" s="107">
        <v>7</v>
      </c>
      <c r="L15" s="112">
        <f t="shared" si="1"/>
        <v>6.25E-2</v>
      </c>
      <c r="M15" s="148">
        <f t="array" ref="M15">SUM(MAX(0,'AL pre'!$P$2:$P$68*(1-((L15-'AL pre'!$O$2:$O$68)/BW)^2)))/SUM(MAX(0,1-((L15-'AL pre'!$O$2:$O$68)/BW)^2))</f>
        <v>117.90729933790828</v>
      </c>
      <c r="N15" s="108">
        <v>5501</v>
      </c>
      <c r="O15" s="132">
        <v>29.25</v>
      </c>
      <c r="P15" s="132">
        <v>27</v>
      </c>
      <c r="Q15" s="112">
        <f>(D15*O15+E15*P15)/F15</f>
        <v>29.086206896551722</v>
      </c>
      <c r="R15" s="108">
        <v>26000</v>
      </c>
      <c r="S15" s="107">
        <v>111</v>
      </c>
      <c r="T15" s="107">
        <v>26000</v>
      </c>
      <c r="U15" s="107">
        <v>1905</v>
      </c>
      <c r="V15" s="107" t="s">
        <v>468</v>
      </c>
      <c r="W15" s="107" t="s">
        <v>499</v>
      </c>
      <c r="X15" s="107" t="str">
        <f t="shared" si="2"/>
        <v>https://archive.org/download/SOPIK1905/1905.pdf#page=330</v>
      </c>
      <c r="Y15" s="107" t="s">
        <v>501</v>
      </c>
      <c r="Z15" s="107" t="s">
        <v>500</v>
      </c>
      <c r="AA15" s="107" t="s">
        <v>502</v>
      </c>
      <c r="AB15" s="107" t="s">
        <v>503</v>
      </c>
      <c r="AC15" s="107"/>
      <c r="AD15" s="107"/>
    </row>
    <row r="16" spans="1:30" x14ac:dyDescent="0.25">
      <c r="A16" s="107" t="s">
        <v>897</v>
      </c>
      <c r="B16" s="107" t="s">
        <v>120</v>
      </c>
      <c r="C16" s="107" t="s">
        <v>126</v>
      </c>
      <c r="D16" s="107">
        <v>1071</v>
      </c>
      <c r="E16" s="107">
        <v>154</v>
      </c>
      <c r="F16" s="107">
        <f t="shared" si="0"/>
        <v>1225</v>
      </c>
      <c r="G16" s="107"/>
      <c r="H16" s="107"/>
      <c r="I16" s="108">
        <v>52</v>
      </c>
      <c r="J16" s="108">
        <v>47</v>
      </c>
      <c r="K16" s="107">
        <v>6</v>
      </c>
      <c r="L16" s="112">
        <f t="shared" si="1"/>
        <v>0.1276595744680851</v>
      </c>
      <c r="M16" s="148">
        <f t="array" ref="M16">SUM(MAX(0,'AL pre'!$P$2:$P$68*(1-((L16-'AL pre'!$O$2:$O$68)/BW)^2)))/SUM(MAX(0,1-((L16-'AL pre'!$O$2:$O$68)/BW)^2))</f>
        <v>140.91472868217053</v>
      </c>
      <c r="N16" s="108">
        <v>2184</v>
      </c>
      <c r="O16" s="132">
        <v>32</v>
      </c>
      <c r="P16" s="132"/>
      <c r="Q16" s="112">
        <v>32</v>
      </c>
      <c r="R16" s="108">
        <v>18400</v>
      </c>
      <c r="S16" s="107">
        <v>47</v>
      </c>
      <c r="T16" s="107">
        <v>18400</v>
      </c>
      <c r="U16" s="107">
        <v>1905</v>
      </c>
      <c r="V16" s="107" t="s">
        <v>468</v>
      </c>
      <c r="W16" s="107" t="s">
        <v>499</v>
      </c>
      <c r="X16" s="107" t="str">
        <f t="shared" si="2"/>
        <v>https://archive.org/download/SOPIK1905/1905.pdf#page=330</v>
      </c>
      <c r="Y16" s="107" t="s">
        <v>501</v>
      </c>
      <c r="Z16" s="107" t="s">
        <v>500</v>
      </c>
      <c r="AA16" s="107" t="s">
        <v>502</v>
      </c>
      <c r="AB16" s="107" t="s">
        <v>503</v>
      </c>
      <c r="AC16" s="107"/>
      <c r="AD16" s="107"/>
    </row>
    <row r="17" spans="1:30" x14ac:dyDescent="0.25">
      <c r="A17" s="107" t="s">
        <v>898</v>
      </c>
      <c r="B17" s="107" t="s">
        <v>120</v>
      </c>
      <c r="C17" s="107" t="s">
        <v>2407</v>
      </c>
      <c r="D17" s="107">
        <v>2020</v>
      </c>
      <c r="E17" s="107">
        <v>110</v>
      </c>
      <c r="F17" s="107">
        <f t="shared" si="0"/>
        <v>2130</v>
      </c>
      <c r="G17" s="107"/>
      <c r="H17" s="107"/>
      <c r="I17" s="108">
        <v>106</v>
      </c>
      <c r="J17" s="108">
        <v>90</v>
      </c>
      <c r="K17" s="107">
        <v>5</v>
      </c>
      <c r="L17" s="112">
        <f t="shared" si="1"/>
        <v>5.5555555555555552E-2</v>
      </c>
      <c r="M17" s="148">
        <f t="array" ref="M17">SUM(MAX(0,'AL pre'!$P$2:$P$68*(1-((L17-'AL pre'!$O$2:$O$68)/BW)^2)))/SUM(MAX(0,1-((L17-'AL pre'!$O$2:$O$68)/BW)^2))</f>
        <v>112.9089214932288</v>
      </c>
      <c r="N17" s="108">
        <v>4372</v>
      </c>
      <c r="O17" s="132">
        <v>33</v>
      </c>
      <c r="P17" s="132">
        <v>26.43</v>
      </c>
      <c r="Q17" s="112">
        <f>(D17*O17+E17*P17)/F17</f>
        <v>32.660704225352113</v>
      </c>
      <c r="R17" s="108">
        <v>22600</v>
      </c>
      <c r="S17" s="107">
        <v>90</v>
      </c>
      <c r="T17" s="107">
        <v>22600</v>
      </c>
      <c r="U17" s="107">
        <v>1905</v>
      </c>
      <c r="V17" s="107" t="s">
        <v>468</v>
      </c>
      <c r="W17" s="107" t="s">
        <v>499</v>
      </c>
      <c r="X17" s="107" t="str">
        <f t="shared" si="2"/>
        <v>https://archive.org/download/SOPIK1905/1905.pdf#page=330</v>
      </c>
      <c r="Y17" s="107" t="s">
        <v>501</v>
      </c>
      <c r="Z17" s="107" t="s">
        <v>500</v>
      </c>
      <c r="AA17" s="107" t="s">
        <v>502</v>
      </c>
      <c r="AB17" s="107" t="s">
        <v>503</v>
      </c>
      <c r="AC17" s="107"/>
      <c r="AD17" s="107"/>
    </row>
    <row r="18" spans="1:30" x14ac:dyDescent="0.25">
      <c r="A18" s="107" t="s">
        <v>899</v>
      </c>
      <c r="B18" s="107" t="s">
        <v>120</v>
      </c>
      <c r="C18" s="107" t="s">
        <v>127</v>
      </c>
      <c r="D18" s="107">
        <v>1699</v>
      </c>
      <c r="E18" s="107">
        <v>395</v>
      </c>
      <c r="F18" s="107">
        <f t="shared" si="0"/>
        <v>2094</v>
      </c>
      <c r="G18" s="107"/>
      <c r="H18" s="107"/>
      <c r="I18" s="108">
        <v>123</v>
      </c>
      <c r="J18" s="108">
        <v>71</v>
      </c>
      <c r="K18" s="107">
        <v>2</v>
      </c>
      <c r="L18" s="112">
        <f t="shared" si="1"/>
        <v>2.8169014084507043E-2</v>
      </c>
      <c r="M18" s="148">
        <f t="array" ref="M18">SUM(MAX(0,'AL pre'!$P$2:$P$68*(1-((L18-'AL pre'!$O$2:$O$68)/BW)^2)))/SUM(MAX(0,1-((L18-'AL pre'!$O$2:$O$68)/BW)^2))</f>
        <v>121.89106470580259</v>
      </c>
      <c r="N18" s="108">
        <v>4246</v>
      </c>
      <c r="O18" s="132">
        <v>35.57</v>
      </c>
      <c r="P18" s="132">
        <v>35.57</v>
      </c>
      <c r="Q18" s="112">
        <f>(D18*O18+E18*P18)/F18</f>
        <v>35.57</v>
      </c>
      <c r="R18" s="108">
        <v>26635</v>
      </c>
      <c r="S18" s="107">
        <v>70</v>
      </c>
      <c r="T18" s="107">
        <v>26635</v>
      </c>
      <c r="U18" s="107">
        <v>1905</v>
      </c>
      <c r="V18" s="107" t="s">
        <v>468</v>
      </c>
      <c r="W18" s="107" t="s">
        <v>499</v>
      </c>
      <c r="X18" s="107" t="str">
        <f t="shared" si="2"/>
        <v>https://archive.org/download/SOPIK1905/1905.pdf#page=330</v>
      </c>
      <c r="Y18" s="107" t="s">
        <v>501</v>
      </c>
      <c r="Z18" s="107" t="s">
        <v>500</v>
      </c>
      <c r="AA18" s="107" t="s">
        <v>502</v>
      </c>
      <c r="AB18" s="107" t="s">
        <v>503</v>
      </c>
      <c r="AC18" s="107"/>
      <c r="AD18" s="107"/>
    </row>
    <row r="19" spans="1:30" x14ac:dyDescent="0.25">
      <c r="A19" s="107" t="s">
        <v>900</v>
      </c>
      <c r="B19" s="107" t="s">
        <v>120</v>
      </c>
      <c r="C19" s="107" t="s">
        <v>2408</v>
      </c>
      <c r="D19" s="107">
        <v>2971</v>
      </c>
      <c r="E19" s="107">
        <v>157</v>
      </c>
      <c r="F19" s="107">
        <f t="shared" si="0"/>
        <v>3128</v>
      </c>
      <c r="G19" s="107"/>
      <c r="H19" s="107"/>
      <c r="I19" s="108">
        <v>91</v>
      </c>
      <c r="J19" s="108">
        <v>86</v>
      </c>
      <c r="K19" s="107">
        <v>2</v>
      </c>
      <c r="L19" s="112">
        <f t="shared" si="1"/>
        <v>2.3255813953488372E-2</v>
      </c>
      <c r="M19" s="148">
        <f t="array" ref="M19">SUM(MAX(0,'AL pre'!$P$2:$P$68*(1-((L19-'AL pre'!$O$2:$O$68)/BW)^2)))/SUM(MAX(0,1-((L19-'AL pre'!$O$2:$O$68)/BW)^2))</f>
        <v>123.59189496243354</v>
      </c>
      <c r="N19" s="108">
        <v>5172</v>
      </c>
      <c r="O19" s="132">
        <v>32</v>
      </c>
      <c r="P19" s="132">
        <v>36</v>
      </c>
      <c r="Q19" s="112">
        <f>(D19*O19+E19*P19)/F19</f>
        <v>32.20076726342711</v>
      </c>
      <c r="R19" s="108">
        <v>26800</v>
      </c>
      <c r="S19" s="107">
        <v>87</v>
      </c>
      <c r="T19" s="107">
        <v>26800</v>
      </c>
      <c r="U19" s="107">
        <v>1905</v>
      </c>
      <c r="V19" s="107" t="s">
        <v>468</v>
      </c>
      <c r="W19" s="107" t="s">
        <v>499</v>
      </c>
      <c r="X19" s="107" t="str">
        <f t="shared" si="2"/>
        <v>https://archive.org/download/SOPIK1905/1905.pdf#page=330</v>
      </c>
      <c r="Y19" s="107" t="s">
        <v>501</v>
      </c>
      <c r="Z19" s="107" t="s">
        <v>500</v>
      </c>
      <c r="AA19" s="107" t="s">
        <v>502</v>
      </c>
      <c r="AB19" s="107" t="s">
        <v>503</v>
      </c>
      <c r="AC19" s="107"/>
      <c r="AD19" s="107"/>
    </row>
    <row r="20" spans="1:30" x14ac:dyDescent="0.25">
      <c r="A20" s="107" t="s">
        <v>901</v>
      </c>
      <c r="B20" s="107" t="s">
        <v>120</v>
      </c>
      <c r="C20" s="107" t="s">
        <v>2409</v>
      </c>
      <c r="D20" s="107">
        <v>2100</v>
      </c>
      <c r="E20" s="107"/>
      <c r="F20" s="107">
        <f t="shared" si="0"/>
        <v>2100</v>
      </c>
      <c r="G20" s="107"/>
      <c r="H20" s="107"/>
      <c r="I20" s="108">
        <v>60</v>
      </c>
      <c r="J20" s="108">
        <v>46</v>
      </c>
      <c r="K20" s="107">
        <v>10</v>
      </c>
      <c r="L20" s="112">
        <f t="shared" si="1"/>
        <v>0.21739130434782608</v>
      </c>
      <c r="M20" s="148">
        <f t="array" ref="M20">SUM(MAX(0,'AL pre'!$P$2:$P$68*(1-((L20-'AL pre'!$O$2:$O$68)/BW)^2)))/SUM(MAX(0,1-((L20-'AL pre'!$O$2:$O$68)/BW)^2))</f>
        <v>107.74892018764774</v>
      </c>
      <c r="N20" s="107">
        <v>2605</v>
      </c>
      <c r="O20" s="132">
        <v>35</v>
      </c>
      <c r="P20" s="132"/>
      <c r="Q20" s="112">
        <v>35</v>
      </c>
      <c r="R20" s="108">
        <v>45000</v>
      </c>
      <c r="S20" s="107">
        <v>46</v>
      </c>
      <c r="T20" s="107">
        <v>45000</v>
      </c>
      <c r="U20" s="107">
        <v>1905</v>
      </c>
      <c r="V20" s="107" t="s">
        <v>468</v>
      </c>
      <c r="W20" s="107" t="s">
        <v>499</v>
      </c>
      <c r="X20" s="107" t="str">
        <f t="shared" si="2"/>
        <v>https://archive.org/download/SOPIK1905/1905.pdf#page=330</v>
      </c>
      <c r="Y20" s="107" t="s">
        <v>501</v>
      </c>
      <c r="Z20" s="107" t="s">
        <v>500</v>
      </c>
      <c r="AA20" s="107" t="s">
        <v>502</v>
      </c>
      <c r="AB20" s="107" t="s">
        <v>503</v>
      </c>
      <c r="AC20" s="107"/>
      <c r="AD20" s="107"/>
    </row>
    <row r="21" spans="1:30" x14ac:dyDescent="0.25">
      <c r="A21" s="107" t="s">
        <v>902</v>
      </c>
      <c r="B21" s="107" t="s">
        <v>120</v>
      </c>
      <c r="C21" s="107" t="s">
        <v>128</v>
      </c>
      <c r="D21" s="107">
        <v>1398</v>
      </c>
      <c r="E21" s="107"/>
      <c r="F21" s="107">
        <f t="shared" si="0"/>
        <v>1398</v>
      </c>
      <c r="G21" s="107"/>
      <c r="H21" s="107"/>
      <c r="I21" s="108">
        <v>49</v>
      </c>
      <c r="J21" s="108">
        <v>40</v>
      </c>
      <c r="K21" s="107">
        <v>4</v>
      </c>
      <c r="L21" s="112">
        <f t="shared" si="1"/>
        <v>0.1</v>
      </c>
      <c r="M21" s="148">
        <f t="array" ref="M21">SUM(MAX(0,'AL pre'!$P$2:$P$68*(1-((L21-'AL pre'!$O$2:$O$68)/BW)^2)))/SUM(MAX(0,1-((L21-'AL pre'!$O$2:$O$68)/BW)^2))</f>
        <v>136.42643146900656</v>
      </c>
      <c r="N21" s="108">
        <v>2524</v>
      </c>
      <c r="O21" s="132">
        <v>38</v>
      </c>
      <c r="P21" s="132">
        <v>30</v>
      </c>
      <c r="Q21" s="112">
        <f>(O21+P21)/2</f>
        <v>34</v>
      </c>
      <c r="R21" s="108">
        <v>27000</v>
      </c>
      <c r="S21" s="107">
        <v>40</v>
      </c>
      <c r="T21" s="107">
        <v>27000</v>
      </c>
      <c r="U21" s="107">
        <v>1905</v>
      </c>
      <c r="V21" s="107" t="s">
        <v>468</v>
      </c>
      <c r="W21" s="107" t="s">
        <v>499</v>
      </c>
      <c r="X21" s="107" t="str">
        <f t="shared" si="2"/>
        <v>https://archive.org/download/SOPIK1905/1905.pdf#page=330</v>
      </c>
      <c r="Y21" s="107" t="s">
        <v>501</v>
      </c>
      <c r="Z21" s="107" t="s">
        <v>500</v>
      </c>
      <c r="AA21" s="107" t="s">
        <v>502</v>
      </c>
      <c r="AB21" s="107" t="s">
        <v>503</v>
      </c>
      <c r="AC21" s="107"/>
      <c r="AD21" s="107"/>
    </row>
    <row r="22" spans="1:30" x14ac:dyDescent="0.25">
      <c r="A22" s="107" t="s">
        <v>903</v>
      </c>
      <c r="B22" s="107" t="s">
        <v>120</v>
      </c>
      <c r="C22" s="107" t="s">
        <v>2410</v>
      </c>
      <c r="D22" s="107">
        <v>1032</v>
      </c>
      <c r="E22" s="107">
        <v>87</v>
      </c>
      <c r="F22" s="107">
        <f t="shared" si="0"/>
        <v>1119</v>
      </c>
      <c r="G22" s="107"/>
      <c r="H22" s="107"/>
      <c r="I22" s="108">
        <v>44</v>
      </c>
      <c r="J22" s="108">
        <v>36</v>
      </c>
      <c r="K22" s="107">
        <v>5</v>
      </c>
      <c r="L22" s="112">
        <f t="shared" si="1"/>
        <v>0.1388888888888889</v>
      </c>
      <c r="M22" s="148">
        <f t="array" ref="M22">SUM(MAX(0,'AL pre'!$P$2:$P$68*(1-((L22-'AL pre'!$O$2:$O$68)/BW)^2)))/SUM(MAX(0,1-((L22-'AL pre'!$O$2:$O$68)/BW)^2))</f>
        <v>140.50674747299985</v>
      </c>
      <c r="N22" s="108">
        <v>1684</v>
      </c>
      <c r="O22" s="132">
        <v>32.6</v>
      </c>
      <c r="P22" s="132">
        <v>23</v>
      </c>
      <c r="Q22" s="112">
        <f>(D22*O22+E22*P22)/F22</f>
        <v>31.853619302949067</v>
      </c>
      <c r="R22" s="108">
        <v>36500</v>
      </c>
      <c r="S22" s="107">
        <v>36</v>
      </c>
      <c r="T22" s="107">
        <v>36500</v>
      </c>
      <c r="U22" s="107">
        <v>1905</v>
      </c>
      <c r="V22" s="107" t="s">
        <v>468</v>
      </c>
      <c r="W22" s="107" t="s">
        <v>499</v>
      </c>
      <c r="X22" s="107" t="str">
        <f t="shared" si="2"/>
        <v>https://archive.org/download/SOPIK1905/1905.pdf#page=330</v>
      </c>
      <c r="Y22" s="107" t="s">
        <v>501</v>
      </c>
      <c r="Z22" s="107" t="s">
        <v>500</v>
      </c>
      <c r="AA22" s="107" t="s">
        <v>502</v>
      </c>
      <c r="AB22" s="107" t="s">
        <v>503</v>
      </c>
      <c r="AC22" s="107"/>
      <c r="AD22" s="107"/>
    </row>
    <row r="23" spans="1:30" x14ac:dyDescent="0.25">
      <c r="A23" s="107" t="s">
        <v>904</v>
      </c>
      <c r="B23" s="107" t="s">
        <v>120</v>
      </c>
      <c r="C23" s="107" t="s">
        <v>129</v>
      </c>
      <c r="D23" s="107">
        <v>4600</v>
      </c>
      <c r="E23" s="107">
        <v>18</v>
      </c>
      <c r="F23" s="107">
        <f t="shared" si="0"/>
        <v>4618</v>
      </c>
      <c r="G23" s="107"/>
      <c r="H23" s="107"/>
      <c r="I23" s="108">
        <v>50</v>
      </c>
      <c r="J23" s="108">
        <v>98</v>
      </c>
      <c r="K23" s="107">
        <v>1</v>
      </c>
      <c r="L23" s="112">
        <f t="shared" si="1"/>
        <v>1.020408163265306E-2</v>
      </c>
      <c r="M23" s="148">
        <f t="array" ref="M23">SUM(MAX(0,'AL pre'!$P$2:$P$68*(1-((L23-'AL pre'!$O$2:$O$68)/BW)^2)))/SUM(MAX(0,1-((L23-'AL pre'!$O$2:$O$68)/BW)^2))</f>
        <v>124.9968387776607</v>
      </c>
      <c r="N23" s="108">
        <v>7031</v>
      </c>
      <c r="O23" s="132">
        <v>37</v>
      </c>
      <c r="P23" s="132">
        <v>22.12</v>
      </c>
      <c r="Q23" s="112">
        <f>(D23*O23+E23*P23)/F23</f>
        <v>36.942000866175832</v>
      </c>
      <c r="R23" s="108">
        <v>20100</v>
      </c>
      <c r="S23" s="107">
        <v>98</v>
      </c>
      <c r="T23" s="107">
        <v>20100</v>
      </c>
      <c r="U23" s="107">
        <v>1905</v>
      </c>
      <c r="V23" s="107" t="s">
        <v>468</v>
      </c>
      <c r="W23" s="107" t="s">
        <v>499</v>
      </c>
      <c r="X23" s="107" t="str">
        <f t="shared" si="2"/>
        <v>https://archive.org/download/SOPIK1905/1905.pdf#page=330</v>
      </c>
      <c r="Y23" s="107" t="s">
        <v>501</v>
      </c>
      <c r="Z23" s="107" t="s">
        <v>500</v>
      </c>
      <c r="AA23" s="107" t="s">
        <v>502</v>
      </c>
      <c r="AB23" s="107" t="s">
        <v>503</v>
      </c>
      <c r="AC23" s="107"/>
      <c r="AD23" s="107"/>
    </row>
    <row r="24" spans="1:30" x14ac:dyDescent="0.25">
      <c r="A24" s="107" t="s">
        <v>905</v>
      </c>
      <c r="B24" s="107" t="s">
        <v>120</v>
      </c>
      <c r="C24" s="107" t="s">
        <v>2411</v>
      </c>
      <c r="D24" s="107">
        <v>2805</v>
      </c>
      <c r="E24" s="107">
        <v>117</v>
      </c>
      <c r="F24" s="107">
        <f t="shared" si="0"/>
        <v>2922</v>
      </c>
      <c r="G24" s="107"/>
      <c r="H24" s="107"/>
      <c r="I24" s="107"/>
      <c r="J24" s="107">
        <v>78</v>
      </c>
      <c r="K24" s="107">
        <v>2</v>
      </c>
      <c r="L24" s="112">
        <f t="shared" si="1"/>
        <v>2.564102564102564E-2</v>
      </c>
      <c r="M24" s="148">
        <f t="array" ref="M24">SUM(MAX(0,'AL pre'!$P$2:$P$68*(1-((L24-'AL pre'!$O$2:$O$68)/BW)^2)))/SUM(MAX(0,1-((L24-'AL pre'!$O$2:$O$68)/BW)^2))</f>
        <v>122.76475237091675</v>
      </c>
      <c r="N24" s="108">
        <v>4345</v>
      </c>
      <c r="P24" s="132"/>
      <c r="Q24" s="112"/>
      <c r="R24" s="108">
        <v>17431</v>
      </c>
      <c r="S24" s="107">
        <v>83</v>
      </c>
      <c r="T24" s="107">
        <v>17431</v>
      </c>
      <c r="U24" s="107">
        <v>1905</v>
      </c>
      <c r="V24" s="107" t="s">
        <v>468</v>
      </c>
      <c r="W24" s="107" t="s">
        <v>499</v>
      </c>
      <c r="X24" s="107" t="str">
        <f t="shared" si="2"/>
        <v>https://archive.org/download/SOPIK1905/1905.pdf#page=330</v>
      </c>
      <c r="Y24" s="107" t="s">
        <v>501</v>
      </c>
      <c r="Z24" s="107" t="s">
        <v>500</v>
      </c>
      <c r="AA24" s="107" t="s">
        <v>502</v>
      </c>
      <c r="AB24" s="107" t="s">
        <v>503</v>
      </c>
      <c r="AC24" s="107"/>
      <c r="AD24" s="107"/>
    </row>
    <row r="25" spans="1:30" x14ac:dyDescent="0.25">
      <c r="A25" s="107" t="s">
        <v>906</v>
      </c>
      <c r="B25" s="107" t="s">
        <v>120</v>
      </c>
      <c r="C25" s="107" t="s">
        <v>2412</v>
      </c>
      <c r="D25" s="107">
        <v>2292</v>
      </c>
      <c r="E25" s="107">
        <v>1750</v>
      </c>
      <c r="F25" s="107">
        <f t="shared" si="0"/>
        <v>4042</v>
      </c>
      <c r="G25" s="107"/>
      <c r="H25" s="107"/>
      <c r="I25" s="108">
        <v>210</v>
      </c>
      <c r="J25" s="108">
        <v>146</v>
      </c>
      <c r="K25" s="107"/>
      <c r="L25" s="112">
        <f t="shared" si="1"/>
        <v>0</v>
      </c>
      <c r="M25" s="148">
        <f t="array" ref="M25">SUM(MAX(0,'AL pre'!$P$2:$P$68*(1-((L25-'AL pre'!$O$2:$O$68)/BW)^2)))/SUM(MAX(0,1-((L25-'AL pre'!$O$2:$O$68)/BW)^2))</f>
        <v>124.9968387776607</v>
      </c>
      <c r="N25" s="108">
        <v>8110</v>
      </c>
      <c r="O25" s="132">
        <v>37</v>
      </c>
      <c r="P25" s="132">
        <v>38</v>
      </c>
      <c r="Q25" s="112">
        <f>(D25*O25+E25*P25)/F25</f>
        <v>37.432953983176645</v>
      </c>
      <c r="R25" s="108"/>
      <c r="S25" s="107">
        <v>144</v>
      </c>
      <c r="T25" s="107"/>
      <c r="U25" s="107">
        <v>1905</v>
      </c>
      <c r="V25" s="107" t="s">
        <v>468</v>
      </c>
      <c r="W25" s="107" t="s">
        <v>499</v>
      </c>
      <c r="X25" s="107" t="str">
        <f t="shared" si="2"/>
        <v>https://archive.org/download/SOPIK1905/1905.pdf#page=330</v>
      </c>
      <c r="Y25" s="107" t="s">
        <v>501</v>
      </c>
      <c r="Z25" s="107" t="s">
        <v>500</v>
      </c>
      <c r="AA25" s="107" t="s">
        <v>502</v>
      </c>
      <c r="AB25" s="107" t="s">
        <v>503</v>
      </c>
      <c r="AC25" s="107"/>
      <c r="AD25" s="107"/>
    </row>
    <row r="26" spans="1:30" x14ac:dyDescent="0.25">
      <c r="A26" s="107" t="s">
        <v>907</v>
      </c>
      <c r="B26" s="107" t="s">
        <v>120</v>
      </c>
      <c r="C26" s="107" t="s">
        <v>2413</v>
      </c>
      <c r="D26" s="107">
        <v>1210</v>
      </c>
      <c r="E26" s="107">
        <v>238</v>
      </c>
      <c r="F26" s="107">
        <f t="shared" si="0"/>
        <v>1448</v>
      </c>
      <c r="G26" s="107"/>
      <c r="H26" s="107"/>
      <c r="I26" s="108">
        <v>60</v>
      </c>
      <c r="J26" s="108">
        <v>51</v>
      </c>
      <c r="K26" s="107">
        <v>4</v>
      </c>
      <c r="L26" s="112">
        <f t="shared" si="1"/>
        <v>7.8431372549019607E-2</v>
      </c>
      <c r="M26" s="148">
        <f t="array" ref="M26">SUM(MAX(0,'AL pre'!$P$2:$P$68*(1-((L26-'AL pre'!$O$2:$O$68)/BW)^2)))/SUM(MAX(0,1-((L26-'AL pre'!$O$2:$O$68)/BW)^2))</f>
        <v>127.49603194534319</v>
      </c>
      <c r="N26" s="108">
        <v>2461</v>
      </c>
      <c r="O26" s="132">
        <v>31.98</v>
      </c>
      <c r="P26" s="132">
        <v>31.37</v>
      </c>
      <c r="Q26" s="112">
        <f>(D26*O26+E26*P26)/F26</f>
        <v>31.879737569060772</v>
      </c>
      <c r="R26" s="108">
        <v>16510</v>
      </c>
      <c r="S26" s="107">
        <v>51</v>
      </c>
      <c r="T26" s="107">
        <v>16510</v>
      </c>
      <c r="U26" s="107">
        <v>1905</v>
      </c>
      <c r="V26" s="107" t="s">
        <v>468</v>
      </c>
      <c r="W26" s="107" t="s">
        <v>499</v>
      </c>
      <c r="X26" s="107" t="str">
        <f t="shared" si="2"/>
        <v>https://archive.org/download/SOPIK1905/1905.pdf#page=330</v>
      </c>
      <c r="Y26" s="107" t="s">
        <v>501</v>
      </c>
      <c r="Z26" s="107" t="s">
        <v>500</v>
      </c>
      <c r="AA26" s="107" t="s">
        <v>502</v>
      </c>
      <c r="AB26" s="107" t="s">
        <v>503</v>
      </c>
      <c r="AC26" s="107"/>
      <c r="AD26" s="107"/>
    </row>
    <row r="27" spans="1:30" x14ac:dyDescent="0.25">
      <c r="A27" s="107" t="s">
        <v>908</v>
      </c>
      <c r="B27" s="107" t="s">
        <v>120</v>
      </c>
      <c r="C27" s="107" t="s">
        <v>2171</v>
      </c>
      <c r="D27" s="107">
        <v>1970</v>
      </c>
      <c r="E27" s="107">
        <v>62</v>
      </c>
      <c r="F27" s="107">
        <f t="shared" si="0"/>
        <v>2032</v>
      </c>
      <c r="G27" s="107"/>
      <c r="H27" s="107"/>
      <c r="I27" s="108">
        <v>109</v>
      </c>
      <c r="J27" s="108">
        <v>98</v>
      </c>
      <c r="K27" s="107">
        <v>5</v>
      </c>
      <c r="L27" s="112">
        <f t="shared" si="1"/>
        <v>5.1020408163265307E-2</v>
      </c>
      <c r="M27" s="148">
        <f t="array" ref="M27">SUM(MAX(0,'AL pre'!$P$2:$P$68*(1-((L27-'AL pre'!$O$2:$O$68)/BW)^2)))/SUM(MAX(0,1-((L27-'AL pre'!$O$2:$O$68)/BW)^2))</f>
        <v>113.43634107675067</v>
      </c>
      <c r="N27" s="108">
        <v>62</v>
      </c>
      <c r="P27" s="132"/>
      <c r="Q27" s="112"/>
      <c r="R27" s="108">
        <v>8700</v>
      </c>
      <c r="S27" s="107">
        <v>100</v>
      </c>
      <c r="T27" s="107">
        <v>8700</v>
      </c>
      <c r="U27" s="107">
        <v>1905</v>
      </c>
      <c r="V27" s="107" t="s">
        <v>468</v>
      </c>
      <c r="W27" s="107" t="s">
        <v>499</v>
      </c>
      <c r="X27" s="107" t="str">
        <f t="shared" si="2"/>
        <v>https://archive.org/download/SOPIK1905/1905.pdf#page=330</v>
      </c>
      <c r="Y27" s="107" t="s">
        <v>501</v>
      </c>
      <c r="Z27" s="107" t="s">
        <v>500</v>
      </c>
      <c r="AA27" s="107" t="s">
        <v>502</v>
      </c>
      <c r="AB27" s="107" t="s">
        <v>503</v>
      </c>
      <c r="AC27" s="107"/>
      <c r="AD27" s="107"/>
    </row>
    <row r="28" spans="1:30" x14ac:dyDescent="0.25">
      <c r="A28" s="107" t="s">
        <v>909</v>
      </c>
      <c r="B28" s="107" t="s">
        <v>120</v>
      </c>
      <c r="C28" s="107" t="s">
        <v>2414</v>
      </c>
      <c r="D28" s="107">
        <v>1426</v>
      </c>
      <c r="E28" s="107">
        <v>32</v>
      </c>
      <c r="F28" s="107">
        <f t="shared" si="0"/>
        <v>1458</v>
      </c>
      <c r="G28" s="107"/>
      <c r="H28" s="107"/>
      <c r="I28" s="108">
        <v>45</v>
      </c>
      <c r="J28" s="108">
        <v>44</v>
      </c>
      <c r="K28" s="107"/>
      <c r="L28" s="112">
        <f t="shared" si="1"/>
        <v>0</v>
      </c>
      <c r="M28" s="148">
        <f t="array" ref="M28">SUM(MAX(0,'AL pre'!$P$2:$P$68*(1-((L28-'AL pre'!$O$2:$O$68)/BW)^2)))/SUM(MAX(0,1-((L28-'AL pre'!$O$2:$O$68)/BW)^2))</f>
        <v>124.9968387776607</v>
      </c>
      <c r="N28" s="108">
        <v>2356</v>
      </c>
      <c r="O28" s="12">
        <v>38.72</v>
      </c>
      <c r="P28" s="132">
        <v>21.6</v>
      </c>
      <c r="Q28" s="112">
        <f>(D28*O28+E28*P28)/F28</f>
        <v>38.344252400548697</v>
      </c>
      <c r="R28" s="108">
        <v>8250</v>
      </c>
      <c r="S28" s="107">
        <v>44</v>
      </c>
      <c r="T28" s="107">
        <v>8250</v>
      </c>
      <c r="U28" s="107">
        <v>1905</v>
      </c>
      <c r="V28" s="107" t="s">
        <v>468</v>
      </c>
      <c r="W28" s="107" t="s">
        <v>499</v>
      </c>
      <c r="X28" s="107" t="str">
        <f t="shared" si="2"/>
        <v>https://archive.org/download/SOPIK1905/1905.pdf#page=330</v>
      </c>
      <c r="Y28" s="107" t="s">
        <v>501</v>
      </c>
      <c r="Z28" s="107" t="s">
        <v>500</v>
      </c>
      <c r="AA28" s="107" t="s">
        <v>502</v>
      </c>
      <c r="AB28" s="107" t="s">
        <v>503</v>
      </c>
      <c r="AC28" s="107"/>
      <c r="AD28" s="107"/>
    </row>
    <row r="29" spans="1:30" x14ac:dyDescent="0.25">
      <c r="A29" s="107" t="s">
        <v>910</v>
      </c>
      <c r="B29" s="107" t="s">
        <v>120</v>
      </c>
      <c r="C29" s="107" t="s">
        <v>2415</v>
      </c>
      <c r="D29" s="107"/>
      <c r="E29" s="107"/>
      <c r="F29" s="107">
        <f t="shared" si="0"/>
        <v>0</v>
      </c>
      <c r="G29" s="107"/>
      <c r="H29" s="107"/>
      <c r="I29" s="108">
        <v>70</v>
      </c>
      <c r="J29" s="108">
        <v>75</v>
      </c>
      <c r="K29" s="107">
        <v>1</v>
      </c>
      <c r="L29" s="112">
        <f t="shared" si="1"/>
        <v>1.3333333333333334E-2</v>
      </c>
      <c r="M29" s="148">
        <f t="array" ref="M29">SUM(MAX(0,'AL pre'!$P$2:$P$68*(1-((L29-'AL pre'!$O$2:$O$68)/BW)^2)))/SUM(MAX(0,1-((L29-'AL pre'!$O$2:$O$68)/BW)^2))</f>
        <v>124.9968387776607</v>
      </c>
      <c r="N29" s="108">
        <v>3836</v>
      </c>
      <c r="O29" s="132">
        <v>32</v>
      </c>
      <c r="P29" s="132">
        <v>25</v>
      </c>
      <c r="Q29" s="112">
        <f>(O29+P29)/2</f>
        <v>28.5</v>
      </c>
      <c r="R29" s="108">
        <v>30000</v>
      </c>
      <c r="S29" s="107">
        <v>76</v>
      </c>
      <c r="T29" s="107">
        <v>30000</v>
      </c>
      <c r="U29" s="107">
        <v>1905</v>
      </c>
      <c r="V29" s="107" t="s">
        <v>468</v>
      </c>
      <c r="W29" s="107" t="s">
        <v>499</v>
      </c>
      <c r="X29" s="107" t="str">
        <f t="shared" si="2"/>
        <v>https://archive.org/download/SOPIK1905/1905.pdf#page=330</v>
      </c>
      <c r="Y29" s="107" t="s">
        <v>501</v>
      </c>
      <c r="Z29" s="107" t="s">
        <v>500</v>
      </c>
      <c r="AA29" s="107" t="s">
        <v>502</v>
      </c>
      <c r="AB29" s="107" t="s">
        <v>503</v>
      </c>
      <c r="AC29" s="107"/>
      <c r="AD29" s="107"/>
    </row>
    <row r="30" spans="1:30" x14ac:dyDescent="0.25">
      <c r="A30" s="107" t="s">
        <v>911</v>
      </c>
      <c r="B30" s="107" t="s">
        <v>120</v>
      </c>
      <c r="C30" s="107" t="s">
        <v>130</v>
      </c>
      <c r="D30" s="107"/>
      <c r="E30" s="107"/>
      <c r="F30" s="107">
        <f t="shared" si="0"/>
        <v>0</v>
      </c>
      <c r="G30" s="107"/>
      <c r="H30" s="107"/>
      <c r="I30" s="107">
        <v>45</v>
      </c>
      <c r="J30" s="107">
        <v>54</v>
      </c>
      <c r="K30" s="107"/>
      <c r="L30" s="112">
        <f t="shared" si="1"/>
        <v>0</v>
      </c>
      <c r="M30" s="148">
        <f t="array" ref="M30">SUM(MAX(0,'AL pre'!$P$2:$P$68*(1-((L30-'AL pre'!$O$2:$O$68)/BW)^2)))/SUM(MAX(0,1-((L30-'AL pre'!$O$2:$O$68)/BW)^2))</f>
        <v>124.9968387776607</v>
      </c>
      <c r="N30" s="107"/>
      <c r="O30" s="132"/>
      <c r="P30" s="132"/>
      <c r="Q30" s="112"/>
      <c r="R30" s="108">
        <v>8950</v>
      </c>
      <c r="S30" s="107">
        <v>54</v>
      </c>
      <c r="T30" s="107">
        <v>8950</v>
      </c>
      <c r="U30" s="107">
        <v>1905</v>
      </c>
      <c r="V30" s="107" t="s">
        <v>468</v>
      </c>
      <c r="W30" s="107" t="s">
        <v>499</v>
      </c>
      <c r="X30" s="107" t="str">
        <f t="shared" si="2"/>
        <v>https://archive.org/download/SOPIK1905/1905.pdf#page=330</v>
      </c>
      <c r="Y30" s="107" t="s">
        <v>501</v>
      </c>
      <c r="Z30" s="107" t="s">
        <v>500</v>
      </c>
      <c r="AA30" s="107" t="s">
        <v>502</v>
      </c>
      <c r="AB30" s="107" t="s">
        <v>503</v>
      </c>
      <c r="AC30" s="107"/>
      <c r="AD30" s="107"/>
    </row>
    <row r="31" spans="1:30" x14ac:dyDescent="0.25">
      <c r="A31" s="107" t="s">
        <v>1748</v>
      </c>
      <c r="B31" s="107" t="s">
        <v>120</v>
      </c>
      <c r="C31" s="107" t="s">
        <v>382</v>
      </c>
      <c r="D31" s="107">
        <v>3192</v>
      </c>
      <c r="E31" s="107">
        <v>339</v>
      </c>
      <c r="F31" s="107">
        <f t="shared" si="0"/>
        <v>3531</v>
      </c>
      <c r="G31" s="107"/>
      <c r="H31" s="107"/>
      <c r="I31" s="108">
        <v>210</v>
      </c>
      <c r="J31" s="108">
        <v>122</v>
      </c>
      <c r="K31" s="107">
        <v>25</v>
      </c>
      <c r="L31" s="112">
        <f t="shared" si="1"/>
        <v>0.20491803278688525</v>
      </c>
      <c r="M31" s="148">
        <f t="array" ref="M31">SUM(MAX(0,'AL pre'!$P$2:$P$68*(1-((L31-'AL pre'!$O$2:$O$68)/BW)^2)))/SUM(MAX(0,1-((L31-'AL pre'!$O$2:$O$68)/BW)^2))</f>
        <v>112.3489973542418</v>
      </c>
      <c r="N31" s="108">
        <v>6268</v>
      </c>
      <c r="O31" s="132">
        <v>40.54</v>
      </c>
      <c r="P31" s="132">
        <v>25</v>
      </c>
      <c r="Q31" s="112">
        <f>(D31*O31+E31*P31)/F31</f>
        <v>39.048054375531009</v>
      </c>
      <c r="R31" s="108">
        <v>45433</v>
      </c>
      <c r="S31" s="107">
        <v>120</v>
      </c>
      <c r="T31" s="107">
        <v>45433</v>
      </c>
      <c r="U31" s="107">
        <v>1905</v>
      </c>
      <c r="V31" s="107" t="s">
        <v>468</v>
      </c>
      <c r="W31" s="107" t="s">
        <v>499</v>
      </c>
      <c r="X31" s="107" t="str">
        <f t="shared" si="2"/>
        <v>https://archive.org/download/SOPIK1905/1905.pdf#page=330</v>
      </c>
      <c r="Y31" s="107" t="s">
        <v>501</v>
      </c>
      <c r="Z31" s="107" t="s">
        <v>500</v>
      </c>
      <c r="AA31" s="107" t="s">
        <v>502</v>
      </c>
      <c r="AB31" s="107" t="s">
        <v>503</v>
      </c>
      <c r="AC31" s="107"/>
      <c r="AD31" s="107"/>
    </row>
    <row r="32" spans="1:30" x14ac:dyDescent="0.25">
      <c r="A32" s="107" t="s">
        <v>912</v>
      </c>
      <c r="B32" s="107" t="s">
        <v>120</v>
      </c>
      <c r="C32" s="107" t="s">
        <v>2416</v>
      </c>
      <c r="D32" s="107">
        <v>1198</v>
      </c>
      <c r="E32" s="107"/>
      <c r="F32" s="107">
        <f t="shared" si="0"/>
        <v>1198</v>
      </c>
      <c r="G32" s="107"/>
      <c r="H32" s="107"/>
      <c r="I32" s="108">
        <v>88</v>
      </c>
      <c r="J32" s="108">
        <v>58</v>
      </c>
      <c r="K32" s="107">
        <v>2</v>
      </c>
      <c r="L32" s="112">
        <f t="shared" si="1"/>
        <v>3.4482758620689655E-2</v>
      </c>
      <c r="M32" s="148">
        <f t="array" ref="M32">SUM(MAX(0,'AL pre'!$P$2:$P$68*(1-((L32-'AL pre'!$O$2:$O$68)/BW)^2)))/SUM(MAX(0,1-((L32-'AL pre'!$O$2:$O$68)/BW)^2))</f>
        <v>119.71442703527575</v>
      </c>
      <c r="N32" s="108">
        <v>2776</v>
      </c>
      <c r="O32" s="132">
        <v>31.3</v>
      </c>
      <c r="P32" s="132">
        <v>21.45</v>
      </c>
      <c r="Q32" s="112">
        <f>(O32+P32)/2</f>
        <v>26.375</v>
      </c>
      <c r="R32" s="108">
        <v>10000</v>
      </c>
      <c r="S32" s="107">
        <v>53</v>
      </c>
      <c r="T32" s="107">
        <v>10000</v>
      </c>
      <c r="U32" s="107">
        <v>1905</v>
      </c>
      <c r="V32" s="107" t="s">
        <v>468</v>
      </c>
      <c r="W32" s="107" t="s">
        <v>499</v>
      </c>
      <c r="X32" s="107" t="str">
        <f t="shared" si="2"/>
        <v>https://archive.org/download/SOPIK1905/1905.pdf#page=330</v>
      </c>
      <c r="Y32" s="107" t="s">
        <v>501</v>
      </c>
      <c r="Z32" s="107" t="s">
        <v>500</v>
      </c>
      <c r="AA32" s="107" t="s">
        <v>504</v>
      </c>
      <c r="AB32" s="107" t="s">
        <v>503</v>
      </c>
      <c r="AC32" s="107"/>
      <c r="AD32" s="107"/>
    </row>
    <row r="33" spans="1:30" x14ac:dyDescent="0.25">
      <c r="A33" s="107" t="s">
        <v>913</v>
      </c>
      <c r="B33" s="107" t="s">
        <v>120</v>
      </c>
      <c r="C33" s="107" t="s">
        <v>2417</v>
      </c>
      <c r="D33" s="107">
        <v>2064</v>
      </c>
      <c r="E33" s="107"/>
      <c r="F33" s="107">
        <f t="shared" si="0"/>
        <v>2064</v>
      </c>
      <c r="G33" s="107"/>
      <c r="H33" s="107"/>
      <c r="I33" s="108">
        <v>120</v>
      </c>
      <c r="J33" s="108">
        <v>60</v>
      </c>
      <c r="K33" s="107"/>
      <c r="L33" s="112">
        <f t="shared" si="1"/>
        <v>0</v>
      </c>
      <c r="M33" s="148">
        <f t="array" ref="M33">SUM(MAX(0,'AL pre'!$P$2:$P$68*(1-((L33-'AL pre'!$O$2:$O$68)/BW)^2)))/SUM(MAX(0,1-((L33-'AL pre'!$O$2:$O$68)/BW)^2))</f>
        <v>124.9968387776607</v>
      </c>
      <c r="N33" s="107">
        <v>3232</v>
      </c>
      <c r="O33" s="132">
        <v>33.81</v>
      </c>
      <c r="P33" s="132"/>
      <c r="Q33" s="112">
        <v>33.81</v>
      </c>
      <c r="R33" s="108">
        <v>12000</v>
      </c>
      <c r="S33" s="107">
        <v>57</v>
      </c>
      <c r="T33" s="107">
        <v>12000</v>
      </c>
      <c r="U33" s="107">
        <v>1905</v>
      </c>
      <c r="V33" s="107" t="s">
        <v>468</v>
      </c>
      <c r="W33" s="107" t="s">
        <v>499</v>
      </c>
      <c r="X33" s="107" t="str">
        <f t="shared" si="2"/>
        <v>https://archive.org/download/SOPIK1905/1905.pdf#page=330</v>
      </c>
      <c r="Y33" s="107" t="s">
        <v>501</v>
      </c>
      <c r="Z33" s="107" t="s">
        <v>500</v>
      </c>
      <c r="AA33" s="107" t="s">
        <v>504</v>
      </c>
      <c r="AB33" s="107" t="s">
        <v>503</v>
      </c>
      <c r="AC33" s="107"/>
      <c r="AD33" s="107"/>
    </row>
    <row r="34" spans="1:30" x14ac:dyDescent="0.25">
      <c r="A34" s="107" t="s">
        <v>914</v>
      </c>
      <c r="B34" s="107" t="s">
        <v>120</v>
      </c>
      <c r="C34" s="107" t="s">
        <v>131</v>
      </c>
      <c r="D34" s="107">
        <v>741</v>
      </c>
      <c r="E34" s="107"/>
      <c r="F34" s="107">
        <f t="shared" si="0"/>
        <v>741</v>
      </c>
      <c r="G34" s="107"/>
      <c r="H34" s="107"/>
      <c r="I34" s="108">
        <v>77</v>
      </c>
      <c r="J34" s="108">
        <v>65</v>
      </c>
      <c r="K34" s="107"/>
      <c r="L34" s="112">
        <f t="shared" si="1"/>
        <v>0</v>
      </c>
      <c r="M34" s="148">
        <f t="array" ref="M34">SUM(MAX(0,'AL pre'!$P$2:$P$68*(1-((L34-'AL pre'!$O$2:$O$68)/BW)^2)))/SUM(MAX(0,1-((L34-'AL pre'!$O$2:$O$68)/BW)^2))</f>
        <v>124.9968387776607</v>
      </c>
      <c r="N34" s="108">
        <v>3357</v>
      </c>
      <c r="O34" s="132">
        <v>38.369999999999997</v>
      </c>
      <c r="P34" s="132">
        <v>22.13</v>
      </c>
      <c r="Q34" s="112">
        <f>(O34+P34)/2</f>
        <v>30.25</v>
      </c>
      <c r="R34" s="108">
        <v>2750</v>
      </c>
      <c r="S34" s="107">
        <v>59</v>
      </c>
      <c r="T34" s="107">
        <v>2750</v>
      </c>
      <c r="U34" s="107">
        <v>1905</v>
      </c>
      <c r="V34" s="107" t="s">
        <v>468</v>
      </c>
      <c r="W34" s="107" t="s">
        <v>499</v>
      </c>
      <c r="X34" s="107" t="str">
        <f t="shared" si="2"/>
        <v>https://archive.org/download/SOPIK1905/1905.pdf#page=330</v>
      </c>
      <c r="Y34" s="107" t="s">
        <v>501</v>
      </c>
      <c r="Z34" s="107" t="s">
        <v>500</v>
      </c>
      <c r="AA34" s="107" t="s">
        <v>504</v>
      </c>
      <c r="AB34" s="107" t="s">
        <v>503</v>
      </c>
      <c r="AC34" s="107"/>
      <c r="AD34" s="107"/>
    </row>
    <row r="35" spans="1:30" x14ac:dyDescent="0.25">
      <c r="A35" s="107" t="s">
        <v>915</v>
      </c>
      <c r="B35" s="107" t="s">
        <v>120</v>
      </c>
      <c r="C35" s="107" t="s">
        <v>25</v>
      </c>
      <c r="D35" s="107">
        <v>1001</v>
      </c>
      <c r="E35" s="107">
        <v>503</v>
      </c>
      <c r="F35" s="107">
        <f t="shared" si="0"/>
        <v>1504</v>
      </c>
      <c r="G35" s="107"/>
      <c r="H35" s="107"/>
      <c r="I35" s="108">
        <v>75</v>
      </c>
      <c r="J35" s="108">
        <v>48</v>
      </c>
      <c r="K35" s="107">
        <v>6</v>
      </c>
      <c r="L35" s="112">
        <f t="shared" si="1"/>
        <v>0.125</v>
      </c>
      <c r="M35" s="148">
        <f t="array" ref="M35">SUM(MAX(0,'AL pre'!$P$2:$P$68*(1-((L35-'AL pre'!$O$2:$O$68)/BW)^2)))/SUM(MAX(0,1-((L35-'AL pre'!$O$2:$O$68)/BW)^2))</f>
        <v>140.79440808612509</v>
      </c>
      <c r="N35" s="108">
        <v>2373</v>
      </c>
      <c r="O35" s="132">
        <v>42.75</v>
      </c>
      <c r="P35" s="132"/>
      <c r="Q35" s="112">
        <v>42.75</v>
      </c>
      <c r="R35" s="108">
        <v>37000</v>
      </c>
      <c r="S35" s="107">
        <v>38</v>
      </c>
      <c r="T35" s="107">
        <v>37000</v>
      </c>
      <c r="U35" s="107">
        <v>1905</v>
      </c>
      <c r="V35" s="107" t="s">
        <v>468</v>
      </c>
      <c r="W35" s="107" t="s">
        <v>499</v>
      </c>
      <c r="X35" s="107" t="str">
        <f t="shared" si="2"/>
        <v>https://archive.org/download/SOPIK1905/1905.pdf#page=330</v>
      </c>
      <c r="Y35" s="107" t="s">
        <v>501</v>
      </c>
      <c r="Z35" s="107" t="s">
        <v>500</v>
      </c>
      <c r="AA35" s="107" t="s">
        <v>504</v>
      </c>
      <c r="AB35" s="107" t="s">
        <v>503</v>
      </c>
      <c r="AC35" s="107"/>
      <c r="AD35" s="107"/>
    </row>
    <row r="36" spans="1:30" x14ac:dyDescent="0.25">
      <c r="A36" s="107" t="s">
        <v>916</v>
      </c>
      <c r="B36" s="107" t="s">
        <v>120</v>
      </c>
      <c r="C36" s="107" t="s">
        <v>2418</v>
      </c>
      <c r="D36" s="107">
        <v>2875</v>
      </c>
      <c r="E36" s="107">
        <v>265</v>
      </c>
      <c r="F36" s="107">
        <f t="shared" si="0"/>
        <v>3140</v>
      </c>
      <c r="G36" s="107"/>
      <c r="H36" s="107"/>
      <c r="I36" s="108">
        <v>78</v>
      </c>
      <c r="J36" s="108">
        <v>78</v>
      </c>
      <c r="K36" s="107"/>
      <c r="L36" s="112">
        <f t="shared" si="1"/>
        <v>0</v>
      </c>
      <c r="M36" s="148">
        <f t="array" ref="M36">SUM(MAX(0,'AL pre'!$P$2:$P$68*(1-((L36-'AL pre'!$O$2:$O$68)/BW)^2)))/SUM(MAX(0,1-((L36-'AL pre'!$O$2:$O$68)/BW)^2))</f>
        <v>124.9968387776607</v>
      </c>
      <c r="N36" s="108">
        <v>4090</v>
      </c>
      <c r="O36" s="132">
        <v>32.5</v>
      </c>
      <c r="P36" s="132">
        <v>31</v>
      </c>
      <c r="Q36" s="112">
        <f>(D36*O36+E36*P36)/F36</f>
        <v>32.373407643312099</v>
      </c>
      <c r="R36" s="108">
        <v>23025</v>
      </c>
      <c r="S36" s="107">
        <v>79</v>
      </c>
      <c r="T36" s="107">
        <v>23025</v>
      </c>
      <c r="U36" s="107">
        <v>1905</v>
      </c>
      <c r="V36" s="107" t="s">
        <v>468</v>
      </c>
      <c r="W36" s="107" t="s">
        <v>499</v>
      </c>
      <c r="X36" s="107" t="str">
        <f t="shared" si="2"/>
        <v>https://archive.org/download/SOPIK1905/1905.pdf#page=330</v>
      </c>
      <c r="Y36" s="107" t="s">
        <v>501</v>
      </c>
      <c r="Z36" s="107" t="s">
        <v>500</v>
      </c>
      <c r="AA36" s="107" t="s">
        <v>504</v>
      </c>
      <c r="AB36" s="107" t="s">
        <v>503</v>
      </c>
      <c r="AC36" s="107"/>
      <c r="AD36" s="107"/>
    </row>
    <row r="37" spans="1:30" x14ac:dyDescent="0.25">
      <c r="A37" s="107" t="s">
        <v>917</v>
      </c>
      <c r="B37" s="107" t="s">
        <v>120</v>
      </c>
      <c r="C37" s="107" t="s">
        <v>99</v>
      </c>
      <c r="D37" s="107">
        <v>3667</v>
      </c>
      <c r="E37" s="107">
        <v>16</v>
      </c>
      <c r="F37" s="107">
        <f t="shared" si="0"/>
        <v>3683</v>
      </c>
      <c r="G37" s="107"/>
      <c r="H37" s="107"/>
      <c r="I37" s="108">
        <v>137</v>
      </c>
      <c r="J37" s="108">
        <v>92</v>
      </c>
      <c r="K37" s="107">
        <v>3</v>
      </c>
      <c r="L37" s="112">
        <f t="shared" si="1"/>
        <v>3.2608695652173912E-2</v>
      </c>
      <c r="M37" s="148">
        <f t="array" ref="M37">SUM(MAX(0,'AL pre'!$P$2:$P$68*(1-((L37-'AL pre'!$O$2:$O$68)/BW)^2)))/SUM(MAX(0,1-((L37-'AL pre'!$O$2:$O$68)/BW)^2))</f>
        <v>120.36041753546471</v>
      </c>
      <c r="N37" s="108">
        <v>5721</v>
      </c>
      <c r="O37" s="132">
        <v>30</v>
      </c>
      <c r="P37" s="132">
        <v>21.5</v>
      </c>
      <c r="Q37" s="112">
        <f>(D37*O37+E37*P37)/F37</f>
        <v>29.963073581319577</v>
      </c>
      <c r="R37" s="108">
        <v>29700</v>
      </c>
      <c r="S37" s="107">
        <v>62</v>
      </c>
      <c r="T37" s="107">
        <v>29700</v>
      </c>
      <c r="U37" s="107">
        <v>1905</v>
      </c>
      <c r="V37" s="107" t="s">
        <v>468</v>
      </c>
      <c r="W37" s="107" t="s">
        <v>499</v>
      </c>
      <c r="X37" s="107" t="str">
        <f t="shared" si="2"/>
        <v>https://archive.org/download/SOPIK1905/1905.pdf#page=330</v>
      </c>
      <c r="Y37" s="107" t="s">
        <v>501</v>
      </c>
      <c r="Z37" s="107" t="s">
        <v>500</v>
      </c>
      <c r="AA37" s="107" t="s">
        <v>504</v>
      </c>
      <c r="AB37" s="107" t="s">
        <v>503</v>
      </c>
      <c r="AC37" s="107"/>
      <c r="AD37" s="107"/>
    </row>
    <row r="38" spans="1:30" x14ac:dyDescent="0.25">
      <c r="A38" s="107" t="s">
        <v>918</v>
      </c>
      <c r="B38" s="107" t="s">
        <v>120</v>
      </c>
      <c r="C38" s="107" t="s">
        <v>26</v>
      </c>
      <c r="D38" s="107">
        <v>1408</v>
      </c>
      <c r="E38" s="107">
        <v>204</v>
      </c>
      <c r="F38" s="107">
        <f t="shared" si="0"/>
        <v>1612</v>
      </c>
      <c r="G38" s="107"/>
      <c r="H38" s="107"/>
      <c r="I38" s="108">
        <v>64</v>
      </c>
      <c r="J38" s="108">
        <v>57</v>
      </c>
      <c r="K38" s="107"/>
      <c r="L38" s="112">
        <f t="shared" si="1"/>
        <v>0</v>
      </c>
      <c r="M38" s="148">
        <f t="array" ref="M38">SUM(MAX(0,'AL pre'!$P$2:$P$68*(1-((L38-'AL pre'!$O$2:$O$68)/BW)^2)))/SUM(MAX(0,1-((L38-'AL pre'!$O$2:$O$68)/BW)^2))</f>
        <v>124.9968387776607</v>
      </c>
      <c r="N38" s="108">
        <v>2564</v>
      </c>
      <c r="O38" s="132">
        <v>33.5</v>
      </c>
      <c r="P38" s="132">
        <v>27.5</v>
      </c>
      <c r="Q38" s="112">
        <f>(D38*O38+E38*P38)/F38</f>
        <v>32.740694789081886</v>
      </c>
      <c r="R38" s="108">
        <v>10720</v>
      </c>
      <c r="S38" s="107">
        <v>59</v>
      </c>
      <c r="T38" s="107">
        <v>10720</v>
      </c>
      <c r="U38" s="107">
        <v>1905</v>
      </c>
      <c r="V38" s="107" t="s">
        <v>468</v>
      </c>
      <c r="W38" s="107" t="s">
        <v>499</v>
      </c>
      <c r="X38" s="107" t="str">
        <f t="shared" si="2"/>
        <v>https://archive.org/download/SOPIK1905/1905.pdf#page=330</v>
      </c>
      <c r="Y38" s="107" t="s">
        <v>501</v>
      </c>
      <c r="Z38" s="107" t="s">
        <v>500</v>
      </c>
      <c r="AA38" s="107" t="s">
        <v>504</v>
      </c>
      <c r="AB38" s="107" t="s">
        <v>503</v>
      </c>
      <c r="AC38" s="107"/>
      <c r="AD38" s="107"/>
    </row>
    <row r="39" spans="1:30" x14ac:dyDescent="0.25">
      <c r="A39" s="107" t="s">
        <v>919</v>
      </c>
      <c r="B39" s="107" t="s">
        <v>120</v>
      </c>
      <c r="C39" s="107" t="s">
        <v>68</v>
      </c>
      <c r="D39" s="107">
        <v>1248</v>
      </c>
      <c r="E39" s="107">
        <v>306</v>
      </c>
      <c r="F39" s="107">
        <f t="shared" si="0"/>
        <v>1554</v>
      </c>
      <c r="G39" s="107"/>
      <c r="H39" s="107"/>
      <c r="I39" s="108">
        <v>56</v>
      </c>
      <c r="J39" s="108">
        <v>37</v>
      </c>
      <c r="K39" s="107">
        <v>6</v>
      </c>
      <c r="L39" s="112">
        <f t="shared" si="1"/>
        <v>0.16216216216216217</v>
      </c>
      <c r="M39" s="148">
        <f t="array" ref="M39">SUM(MAX(0,'AL pre'!$P$2:$P$68*(1-((L39-'AL pre'!$O$2:$O$68)/BW)^2)))/SUM(MAX(0,1-((L39-'AL pre'!$O$2:$O$68)/BW)^2))</f>
        <v>135.64466725084668</v>
      </c>
      <c r="N39" s="108">
        <v>2736</v>
      </c>
      <c r="O39" s="132"/>
      <c r="P39" s="132"/>
      <c r="Q39" s="112"/>
      <c r="R39" s="108">
        <v>44750</v>
      </c>
      <c r="S39" s="107">
        <v>36</v>
      </c>
      <c r="T39" s="107">
        <v>44750</v>
      </c>
      <c r="U39" s="107">
        <v>1905</v>
      </c>
      <c r="V39" s="107" t="s">
        <v>468</v>
      </c>
      <c r="W39" s="107" t="s">
        <v>499</v>
      </c>
      <c r="X39" s="107" t="str">
        <f t="shared" si="2"/>
        <v>https://archive.org/download/SOPIK1905/1905.pdf#page=330</v>
      </c>
      <c r="Y39" s="107" t="s">
        <v>501</v>
      </c>
      <c r="Z39" s="107" t="s">
        <v>500</v>
      </c>
      <c r="AA39" s="107" t="s">
        <v>504</v>
      </c>
      <c r="AB39" s="107" t="s">
        <v>503</v>
      </c>
      <c r="AC39" s="107"/>
      <c r="AD39" s="107"/>
    </row>
    <row r="40" spans="1:30" x14ac:dyDescent="0.25">
      <c r="A40" s="107" t="s">
        <v>920</v>
      </c>
      <c r="B40" s="107" t="s">
        <v>120</v>
      </c>
      <c r="C40" s="107" t="s">
        <v>2419</v>
      </c>
      <c r="D40" s="107">
        <v>497</v>
      </c>
      <c r="E40" s="107">
        <v>43</v>
      </c>
      <c r="F40" s="107">
        <f t="shared" si="0"/>
        <v>540</v>
      </c>
      <c r="G40" s="107"/>
      <c r="H40" s="107"/>
      <c r="I40" s="108">
        <v>25</v>
      </c>
      <c r="J40" s="108">
        <v>26</v>
      </c>
      <c r="K40" s="107">
        <v>1</v>
      </c>
      <c r="L40" s="112">
        <f t="shared" si="1"/>
        <v>3.8461538461538464E-2</v>
      </c>
      <c r="M40" s="148">
        <f t="array" ref="M40">SUM(MAX(0,'AL pre'!$P$2:$P$68*(1-((L40-'AL pre'!$O$2:$O$68)/BW)^2)))/SUM(MAX(0,1-((L40-'AL pre'!$O$2:$O$68)/BW)^2))</f>
        <v>118.34020239305154</v>
      </c>
      <c r="N40" s="108">
        <v>990</v>
      </c>
      <c r="O40" s="132">
        <v>27.82</v>
      </c>
      <c r="P40" s="132">
        <v>22.4</v>
      </c>
      <c r="Q40" s="112">
        <f>(D40*O40+E40*P40)/F40</f>
        <v>27.38840740740741</v>
      </c>
      <c r="R40" s="108">
        <v>12000</v>
      </c>
      <c r="S40" s="107">
        <v>27</v>
      </c>
      <c r="T40" s="107">
        <v>12000</v>
      </c>
      <c r="U40" s="107">
        <v>1905</v>
      </c>
      <c r="V40" s="107" t="s">
        <v>468</v>
      </c>
      <c r="W40" s="107" t="s">
        <v>499</v>
      </c>
      <c r="X40" s="107" t="str">
        <f t="shared" si="2"/>
        <v>https://archive.org/download/SOPIK1905/1905.pdf#page=330</v>
      </c>
      <c r="Y40" s="107" t="s">
        <v>501</v>
      </c>
      <c r="Z40" s="107" t="s">
        <v>500</v>
      </c>
      <c r="AA40" s="107" t="s">
        <v>504</v>
      </c>
      <c r="AB40" s="107" t="s">
        <v>503</v>
      </c>
      <c r="AC40" s="107"/>
      <c r="AD40" s="107"/>
    </row>
    <row r="41" spans="1:30" x14ac:dyDescent="0.25">
      <c r="A41" s="107" t="s">
        <v>921</v>
      </c>
      <c r="B41" s="107" t="s">
        <v>120</v>
      </c>
      <c r="C41" s="107" t="s">
        <v>2420</v>
      </c>
      <c r="D41" s="107">
        <v>1362</v>
      </c>
      <c r="E41" s="107">
        <v>425</v>
      </c>
      <c r="F41" s="107">
        <f t="shared" si="0"/>
        <v>1787</v>
      </c>
      <c r="G41" s="107"/>
      <c r="H41" s="107"/>
      <c r="I41" s="108">
        <v>51</v>
      </c>
      <c r="J41" s="108">
        <v>55</v>
      </c>
      <c r="K41" s="107">
        <v>2</v>
      </c>
      <c r="L41" s="112">
        <f t="shared" si="1"/>
        <v>3.6363636363636362E-2</v>
      </c>
      <c r="M41" s="148">
        <f t="array" ref="M41">SUM(MAX(0,'AL pre'!$P$2:$P$68*(1-((L41-'AL pre'!$O$2:$O$68)/BW)^2)))/SUM(MAX(0,1-((L41-'AL pre'!$O$2:$O$68)/BW)^2))</f>
        <v>119.06544111956012</v>
      </c>
      <c r="N41" s="108">
        <v>2869</v>
      </c>
      <c r="O41" s="132">
        <v>42.99</v>
      </c>
      <c r="P41" s="132">
        <v>30.47</v>
      </c>
      <c r="Q41" s="112">
        <f>(D41*O41+E41*P41)/F41</f>
        <v>40.01238388360381</v>
      </c>
      <c r="R41" s="108">
        <v>81800</v>
      </c>
      <c r="S41" s="107">
        <v>55</v>
      </c>
      <c r="T41" s="107">
        <v>31800</v>
      </c>
      <c r="U41" s="107">
        <v>1905</v>
      </c>
      <c r="V41" s="107" t="s">
        <v>468</v>
      </c>
      <c r="W41" s="107" t="s">
        <v>499</v>
      </c>
      <c r="X41" s="107" t="str">
        <f t="shared" si="2"/>
        <v>https://archive.org/download/SOPIK1905/1905.pdf#page=330</v>
      </c>
      <c r="Y41" s="107" t="s">
        <v>501</v>
      </c>
      <c r="Z41" s="107" t="s">
        <v>500</v>
      </c>
      <c r="AA41" s="107" t="s">
        <v>504</v>
      </c>
      <c r="AB41" s="107" t="s">
        <v>503</v>
      </c>
      <c r="AC41" s="107"/>
      <c r="AD41" s="107"/>
    </row>
    <row r="42" spans="1:30" x14ac:dyDescent="0.25">
      <c r="A42" s="107" t="s">
        <v>922</v>
      </c>
      <c r="B42" s="107" t="s">
        <v>120</v>
      </c>
      <c r="C42" s="107" t="s">
        <v>2083</v>
      </c>
      <c r="D42" s="107">
        <v>1755</v>
      </c>
      <c r="E42" s="107">
        <v>86</v>
      </c>
      <c r="F42" s="107">
        <f t="shared" si="0"/>
        <v>1841</v>
      </c>
      <c r="G42" s="107"/>
      <c r="H42" s="107"/>
      <c r="I42" s="108">
        <v>56</v>
      </c>
      <c r="J42" s="108">
        <v>57</v>
      </c>
      <c r="K42" s="107">
        <v>6</v>
      </c>
      <c r="L42" s="112">
        <f t="shared" si="1"/>
        <v>0.10526315789473684</v>
      </c>
      <c r="M42" s="148">
        <f t="array" ref="M42">SUM(MAX(0,'AL pre'!$P$2:$P$68*(1-((L42-'AL pre'!$O$2:$O$68)/BW)^2)))/SUM(MAX(0,1-((L42-'AL pre'!$O$2:$O$68)/BW)^2))</f>
        <v>138.1646513221304</v>
      </c>
      <c r="N42" s="108">
        <v>3000</v>
      </c>
      <c r="O42" s="132">
        <v>33</v>
      </c>
      <c r="P42" s="132">
        <v>31</v>
      </c>
      <c r="Q42" s="112">
        <f>(D42*O42+E42*P42)/F42</f>
        <v>32.906572514937537</v>
      </c>
      <c r="R42" s="108">
        <v>40000</v>
      </c>
      <c r="S42" s="107">
        <v>57</v>
      </c>
      <c r="T42" s="107">
        <v>40000</v>
      </c>
      <c r="U42" s="107">
        <v>1905</v>
      </c>
      <c r="V42" s="107" t="s">
        <v>468</v>
      </c>
      <c r="W42" s="107" t="s">
        <v>499</v>
      </c>
      <c r="X42" s="107" t="str">
        <f t="shared" si="2"/>
        <v>https://archive.org/download/SOPIK1905/1905.pdf#page=330</v>
      </c>
      <c r="Y42" s="107" t="s">
        <v>501</v>
      </c>
      <c r="Z42" s="107" t="s">
        <v>500</v>
      </c>
      <c r="AA42" s="107" t="s">
        <v>504</v>
      </c>
      <c r="AB42" s="107" t="s">
        <v>503</v>
      </c>
      <c r="AC42" s="107"/>
      <c r="AD42" s="107"/>
    </row>
    <row r="43" spans="1:30" x14ac:dyDescent="0.25">
      <c r="A43" s="107" t="s">
        <v>923</v>
      </c>
      <c r="B43" s="107" t="s">
        <v>120</v>
      </c>
      <c r="C43" s="107" t="s">
        <v>2421</v>
      </c>
      <c r="D43" s="107">
        <v>4219</v>
      </c>
      <c r="E43" s="107">
        <v>397</v>
      </c>
      <c r="F43" s="107">
        <f t="shared" si="0"/>
        <v>4616</v>
      </c>
      <c r="G43" s="107"/>
      <c r="H43" s="107"/>
      <c r="I43" s="108">
        <v>196</v>
      </c>
      <c r="J43" s="108">
        <v>129</v>
      </c>
      <c r="K43" s="107">
        <v>2</v>
      </c>
      <c r="L43" s="112">
        <f t="shared" si="1"/>
        <v>1.5503875968992248E-2</v>
      </c>
      <c r="M43" s="148">
        <f t="array" ref="M43">SUM(MAX(0,'AL pre'!$P$2:$P$68*(1-((L43-'AL pre'!$O$2:$O$68)/BW)^2)))/SUM(MAX(0,1-((L43-'AL pre'!$O$2:$O$68)/BW)^2))</f>
        <v>124.9968387776607</v>
      </c>
      <c r="N43" s="108">
        <v>8966</v>
      </c>
      <c r="O43" s="132"/>
      <c r="P43" s="132"/>
      <c r="Q43" s="112"/>
      <c r="R43" s="108">
        <v>50418</v>
      </c>
      <c r="S43" s="107">
        <v>125</v>
      </c>
      <c r="T43" s="107">
        <v>50418</v>
      </c>
      <c r="U43" s="107">
        <v>1905</v>
      </c>
      <c r="V43" s="107" t="s">
        <v>468</v>
      </c>
      <c r="W43" s="107" t="s">
        <v>499</v>
      </c>
      <c r="X43" s="107" t="str">
        <f t="shared" si="2"/>
        <v>https://archive.org/download/SOPIK1905/1905.pdf#page=330</v>
      </c>
      <c r="Y43" s="107" t="s">
        <v>501</v>
      </c>
      <c r="Z43" s="107" t="s">
        <v>500</v>
      </c>
      <c r="AA43" s="107" t="s">
        <v>504</v>
      </c>
      <c r="AB43" s="107" t="s">
        <v>503</v>
      </c>
      <c r="AC43" s="107"/>
      <c r="AD43" s="107"/>
    </row>
    <row r="44" spans="1:30" x14ac:dyDescent="0.25">
      <c r="A44" s="107" t="s">
        <v>924</v>
      </c>
      <c r="B44" s="107" t="s">
        <v>120</v>
      </c>
      <c r="C44" s="107" t="s">
        <v>2217</v>
      </c>
      <c r="D44" s="107">
        <v>3078</v>
      </c>
      <c r="E44" s="107">
        <v>60</v>
      </c>
      <c r="F44" s="107">
        <f t="shared" si="0"/>
        <v>3138</v>
      </c>
      <c r="G44" s="107"/>
      <c r="H44" s="107"/>
      <c r="I44" s="108">
        <v>110</v>
      </c>
      <c r="J44" s="108">
        <v>104</v>
      </c>
      <c r="K44" s="107"/>
      <c r="L44" s="112">
        <f t="shared" si="1"/>
        <v>0</v>
      </c>
      <c r="M44" s="148">
        <f t="array" ref="M44">SUM(MAX(0,'AL pre'!$P$2:$P$68*(1-((L44-'AL pre'!$O$2:$O$68)/BW)^2)))/SUM(MAX(0,1-((L44-'AL pre'!$O$2:$O$68)/BW)^2))</f>
        <v>124.9968387776607</v>
      </c>
      <c r="N44" s="108">
        <v>5581</v>
      </c>
      <c r="O44" s="132">
        <v>31.2</v>
      </c>
      <c r="P44" s="132">
        <v>28</v>
      </c>
      <c r="Q44" s="112">
        <f>(D44*O44+E44*P44)/F44</f>
        <v>31.138814531548753</v>
      </c>
      <c r="R44" s="108">
        <v>35860</v>
      </c>
      <c r="S44" s="107">
        <v>100</v>
      </c>
      <c r="T44" s="107">
        <v>35860</v>
      </c>
      <c r="U44" s="107">
        <v>1905</v>
      </c>
      <c r="V44" s="107" t="s">
        <v>468</v>
      </c>
      <c r="W44" s="107" t="s">
        <v>499</v>
      </c>
      <c r="X44" s="107" t="str">
        <f t="shared" si="2"/>
        <v>https://archive.org/download/SOPIK1905/1905.pdf#page=330</v>
      </c>
      <c r="Y44" s="107" t="s">
        <v>501</v>
      </c>
      <c r="Z44" s="107" t="s">
        <v>500</v>
      </c>
      <c r="AA44" s="107" t="s">
        <v>504</v>
      </c>
      <c r="AB44" s="107" t="s">
        <v>503</v>
      </c>
      <c r="AC44" s="107"/>
      <c r="AD44" s="107"/>
    </row>
    <row r="45" spans="1:30" x14ac:dyDescent="0.25">
      <c r="A45" s="107" t="s">
        <v>925</v>
      </c>
      <c r="B45" s="107" t="s">
        <v>120</v>
      </c>
      <c r="C45" s="107" t="s">
        <v>2422</v>
      </c>
      <c r="D45" s="107">
        <v>1391</v>
      </c>
      <c r="E45" s="107">
        <v>266</v>
      </c>
      <c r="F45" s="107">
        <f t="shared" si="0"/>
        <v>1657</v>
      </c>
      <c r="G45" s="107"/>
      <c r="H45" s="107"/>
      <c r="I45" s="108">
        <v>34</v>
      </c>
      <c r="J45" s="108">
        <v>76</v>
      </c>
      <c r="K45" s="107"/>
      <c r="L45" s="112">
        <f t="shared" si="1"/>
        <v>0</v>
      </c>
      <c r="M45" s="148">
        <f t="array" ref="M45">SUM(MAX(0,'AL pre'!$P$2:$P$68*(1-((L45-'AL pre'!$O$2:$O$68)/BW)^2)))/SUM(MAX(0,1-((L45-'AL pre'!$O$2:$O$68)/BW)^2))</f>
        <v>124.9968387776607</v>
      </c>
      <c r="N45" s="108">
        <v>3130</v>
      </c>
      <c r="O45" s="132">
        <v>37.5</v>
      </c>
      <c r="P45" s="132">
        <v>29</v>
      </c>
      <c r="Q45" s="112">
        <f>(D45*O45+E45*P45)/F45</f>
        <v>36.135485817742911</v>
      </c>
      <c r="R45" s="108">
        <v>17675</v>
      </c>
      <c r="S45" s="107">
        <v>73</v>
      </c>
      <c r="T45" s="107">
        <v>17675</v>
      </c>
      <c r="U45" s="107">
        <v>1905</v>
      </c>
      <c r="V45" s="107" t="s">
        <v>468</v>
      </c>
      <c r="W45" s="107" t="s">
        <v>499</v>
      </c>
      <c r="X45" s="107" t="str">
        <f t="shared" si="2"/>
        <v>https://archive.org/download/SOPIK1905/1905.pdf#page=330</v>
      </c>
      <c r="Y45" s="107" t="s">
        <v>501</v>
      </c>
      <c r="Z45" s="107" t="s">
        <v>500</v>
      </c>
      <c r="AA45" s="107" t="s">
        <v>504</v>
      </c>
      <c r="AB45" s="107" t="s">
        <v>503</v>
      </c>
      <c r="AC45" s="107"/>
      <c r="AD45" s="107"/>
    </row>
    <row r="46" spans="1:30" x14ac:dyDescent="0.25">
      <c r="A46" s="107" t="s">
        <v>926</v>
      </c>
      <c r="B46" s="107" t="s">
        <v>120</v>
      </c>
      <c r="C46" s="107" t="s">
        <v>2423</v>
      </c>
      <c r="D46" s="107">
        <v>2004</v>
      </c>
      <c r="E46" s="107">
        <v>31</v>
      </c>
      <c r="F46" s="107">
        <f t="shared" si="0"/>
        <v>2035</v>
      </c>
      <c r="G46" s="107"/>
      <c r="H46" s="107"/>
      <c r="I46" s="108">
        <v>85</v>
      </c>
      <c r="J46" s="108">
        <v>72</v>
      </c>
      <c r="K46" s="107">
        <v>9</v>
      </c>
      <c r="L46" s="112">
        <f t="shared" si="1"/>
        <v>0.125</v>
      </c>
      <c r="M46" s="148">
        <f t="array" ref="M46">SUM(MAX(0,'AL pre'!$P$2:$P$68*(1-((L46-'AL pre'!$O$2:$O$68)/BW)^2)))/SUM(MAX(0,1-((L46-'AL pre'!$O$2:$O$68)/BW)^2))</f>
        <v>140.79440808612509</v>
      </c>
      <c r="N46" s="108">
        <v>4218</v>
      </c>
      <c r="O46" s="132">
        <v>36</v>
      </c>
      <c r="P46" s="132">
        <v>26.7</v>
      </c>
      <c r="Q46" s="112">
        <f>(D46*O46+E46*P46)/F46</f>
        <v>35.85832923832924</v>
      </c>
      <c r="R46" s="108">
        <v>22500</v>
      </c>
      <c r="S46" s="107">
        <v>73</v>
      </c>
      <c r="T46" s="107">
        <v>22500</v>
      </c>
      <c r="U46" s="107">
        <v>1905</v>
      </c>
      <c r="V46" s="107" t="s">
        <v>468</v>
      </c>
      <c r="W46" s="107" t="s">
        <v>499</v>
      </c>
      <c r="X46" s="107" t="str">
        <f t="shared" si="2"/>
        <v>https://archive.org/download/SOPIK1905/1905.pdf#page=330</v>
      </c>
      <c r="Y46" s="107" t="s">
        <v>501</v>
      </c>
      <c r="Z46" s="107" t="s">
        <v>500</v>
      </c>
      <c r="AA46" s="107" t="s">
        <v>504</v>
      </c>
      <c r="AB46" s="107" t="s">
        <v>503</v>
      </c>
      <c r="AC46" s="107"/>
      <c r="AD46" s="107"/>
    </row>
    <row r="47" spans="1:30" x14ac:dyDescent="0.25">
      <c r="A47" s="107" t="s">
        <v>927</v>
      </c>
      <c r="B47" s="107" t="s">
        <v>120</v>
      </c>
      <c r="C47" s="107" t="s">
        <v>104</v>
      </c>
      <c r="D47" s="107">
        <v>1100</v>
      </c>
      <c r="E47" s="107">
        <v>111</v>
      </c>
      <c r="F47" s="107">
        <f t="shared" si="0"/>
        <v>1211</v>
      </c>
      <c r="G47" s="107"/>
      <c r="H47" s="107"/>
      <c r="I47" s="108">
        <v>93</v>
      </c>
      <c r="J47" s="108">
        <v>44</v>
      </c>
      <c r="K47" s="107">
        <v>1</v>
      </c>
      <c r="L47" s="112">
        <f t="shared" si="1"/>
        <v>2.2727272727272728E-2</v>
      </c>
      <c r="M47" s="148">
        <f t="array" ref="M47">SUM(MAX(0,'AL pre'!$P$2:$P$68*(1-((L47-'AL pre'!$O$2:$O$68)/BW)^2)))/SUM(MAX(0,1-((L47-'AL pre'!$O$2:$O$68)/BW)^2))</f>
        <v>123.77565757801216</v>
      </c>
      <c r="N47" s="108">
        <v>2170</v>
      </c>
      <c r="O47" s="132">
        <v>33</v>
      </c>
      <c r="P47" s="132">
        <v>30</v>
      </c>
      <c r="Q47" s="112">
        <f>(D47*O47+E47*P47)/F47</f>
        <v>32.725020644095785</v>
      </c>
      <c r="R47" s="108">
        <v>18600</v>
      </c>
      <c r="S47" s="107">
        <v>44</v>
      </c>
      <c r="T47" s="107">
        <v>18600</v>
      </c>
      <c r="U47" s="107">
        <v>1905</v>
      </c>
      <c r="V47" s="107" t="s">
        <v>468</v>
      </c>
      <c r="W47" s="107" t="s">
        <v>499</v>
      </c>
      <c r="X47" s="107" t="str">
        <f t="shared" si="2"/>
        <v>https://archive.org/download/SOPIK1905/1905.pdf#page=330</v>
      </c>
      <c r="Y47" s="107" t="s">
        <v>501</v>
      </c>
      <c r="Z47" s="107" t="s">
        <v>500</v>
      </c>
      <c r="AA47" s="107" t="s">
        <v>504</v>
      </c>
      <c r="AB47" s="107" t="s">
        <v>503</v>
      </c>
      <c r="AC47" s="107"/>
      <c r="AD47" s="107"/>
    </row>
    <row r="48" spans="1:30" x14ac:dyDescent="0.25">
      <c r="A48" s="107" t="s">
        <v>928</v>
      </c>
      <c r="B48" s="107" t="s">
        <v>120</v>
      </c>
      <c r="C48" s="107" t="s">
        <v>2224</v>
      </c>
      <c r="D48" s="107">
        <v>2730</v>
      </c>
      <c r="E48" s="107">
        <v>395</v>
      </c>
      <c r="F48" s="107">
        <f t="shared" si="0"/>
        <v>3125</v>
      </c>
      <c r="G48" s="107"/>
      <c r="H48" s="107"/>
      <c r="I48" s="108">
        <v>117</v>
      </c>
      <c r="J48" s="108">
        <v>118</v>
      </c>
      <c r="K48" s="107">
        <v>7</v>
      </c>
      <c r="L48" s="112">
        <f t="shared" si="1"/>
        <v>5.9322033898305086E-2</v>
      </c>
      <c r="M48" s="148">
        <f t="array" ref="M48">SUM(MAX(0,'AL pre'!$P$2:$P$68*(1-((L48-'AL pre'!$O$2:$O$68)/BW)^2)))/SUM(MAX(0,1-((L48-'AL pre'!$O$2:$O$68)/BW)^2))</f>
        <v>115.6863606373483</v>
      </c>
      <c r="N48" s="108">
        <v>5096</v>
      </c>
      <c r="O48" s="132">
        <v>30.55</v>
      </c>
      <c r="P48" s="132">
        <v>30</v>
      </c>
      <c r="Q48" s="112">
        <f>(D48*O48+E48*P48)/F48</f>
        <v>30.48048</v>
      </c>
      <c r="R48" s="108">
        <v>31240</v>
      </c>
      <c r="S48" s="107">
        <v>115</v>
      </c>
      <c r="T48" s="107">
        <v>31240</v>
      </c>
      <c r="U48" s="107">
        <v>1905</v>
      </c>
      <c r="V48" s="107" t="s">
        <v>468</v>
      </c>
      <c r="W48" s="107" t="s">
        <v>499</v>
      </c>
      <c r="X48" s="107" t="str">
        <f t="shared" si="2"/>
        <v>https://archive.org/download/SOPIK1905/1905.pdf#page=330</v>
      </c>
      <c r="Y48" s="107" t="s">
        <v>501</v>
      </c>
      <c r="Z48" s="107" t="s">
        <v>500</v>
      </c>
      <c r="AA48" s="107" t="s">
        <v>504</v>
      </c>
      <c r="AB48" s="107" t="s">
        <v>503</v>
      </c>
      <c r="AC48" s="107"/>
      <c r="AD48" s="107"/>
    </row>
    <row r="49" spans="1:30" x14ac:dyDescent="0.25">
      <c r="A49" s="107" t="s">
        <v>929</v>
      </c>
      <c r="B49" s="107" t="s">
        <v>120</v>
      </c>
      <c r="C49" s="107" t="s">
        <v>2424</v>
      </c>
      <c r="D49" s="107"/>
      <c r="E49" s="107"/>
      <c r="F49" s="107">
        <f t="shared" si="0"/>
        <v>0</v>
      </c>
      <c r="G49" s="107"/>
      <c r="H49" s="107"/>
      <c r="I49" s="108">
        <v>90</v>
      </c>
      <c r="J49" s="108">
        <v>59</v>
      </c>
      <c r="K49" s="107">
        <v>10</v>
      </c>
      <c r="L49" s="112">
        <f t="shared" si="1"/>
        <v>0.16949152542372881</v>
      </c>
      <c r="M49" s="148">
        <f t="array" ref="M49">SUM(MAX(0,'AL pre'!$P$2:$P$68*(1-((L49-'AL pre'!$O$2:$O$68)/BW)^2)))/SUM(MAX(0,1-((L49-'AL pre'!$O$2:$O$68)/BW)^2))</f>
        <v>133.01251976431965</v>
      </c>
      <c r="N49" s="108">
        <v>2946</v>
      </c>
      <c r="O49" s="132">
        <v>32.64</v>
      </c>
      <c r="P49" s="132">
        <v>24.4</v>
      </c>
      <c r="Q49" s="112">
        <f>(O49+P49)</f>
        <v>57.04</v>
      </c>
      <c r="R49" s="108">
        <v>10000</v>
      </c>
      <c r="S49" s="107">
        <v>43</v>
      </c>
      <c r="T49" s="107">
        <v>10000</v>
      </c>
      <c r="U49" s="107">
        <v>1905</v>
      </c>
      <c r="V49" s="107" t="s">
        <v>468</v>
      </c>
      <c r="W49" s="107" t="s">
        <v>499</v>
      </c>
      <c r="X49" s="107" t="str">
        <f t="shared" si="2"/>
        <v>https://archive.org/download/SOPIK1905/1905.pdf#page=330</v>
      </c>
      <c r="Y49" s="107" t="s">
        <v>501</v>
      </c>
      <c r="Z49" s="107" t="s">
        <v>500</v>
      </c>
      <c r="AA49" s="107" t="s">
        <v>504</v>
      </c>
      <c r="AB49" s="107" t="s">
        <v>503</v>
      </c>
      <c r="AC49" s="107"/>
      <c r="AD49" s="107"/>
    </row>
    <row r="50" spans="1:30" x14ac:dyDescent="0.25">
      <c r="A50" s="107" t="s">
        <v>930</v>
      </c>
      <c r="B50" s="107" t="s">
        <v>120</v>
      </c>
      <c r="C50" s="107" t="s">
        <v>132</v>
      </c>
      <c r="D50" s="107">
        <v>1870</v>
      </c>
      <c r="E50" s="107">
        <v>198</v>
      </c>
      <c r="F50" s="107">
        <f t="shared" si="0"/>
        <v>2068</v>
      </c>
      <c r="G50" s="107"/>
      <c r="H50" s="107"/>
      <c r="I50" s="108">
        <v>82</v>
      </c>
      <c r="J50" s="108">
        <v>74</v>
      </c>
      <c r="K50" s="107">
        <v>5</v>
      </c>
      <c r="L50" s="112">
        <f t="shared" si="1"/>
        <v>6.7567567567567571E-2</v>
      </c>
      <c r="M50" s="148">
        <f t="array" ref="M50">SUM(MAX(0,'AL pre'!$P$2:$P$68*(1-((L50-'AL pre'!$O$2:$O$68)/BW)^2)))/SUM(MAX(0,1-((L50-'AL pre'!$O$2:$O$68)/BW)^2))</f>
        <v>121.23897071006469</v>
      </c>
      <c r="N50" s="108">
        <v>3831</v>
      </c>
      <c r="O50" s="132">
        <v>34</v>
      </c>
      <c r="P50" s="132">
        <v>22.5</v>
      </c>
      <c r="Q50" s="112">
        <f t="shared" ref="Q50:Q55" si="4">(D50*O50+E50*P50)/F50</f>
        <v>32.898936170212764</v>
      </c>
      <c r="R50" s="108">
        <v>26290</v>
      </c>
      <c r="S50" s="107">
        <v>75</v>
      </c>
      <c r="T50" s="107">
        <v>26290</v>
      </c>
      <c r="U50" s="107">
        <v>1905</v>
      </c>
      <c r="V50" s="107" t="s">
        <v>468</v>
      </c>
      <c r="W50" s="107" t="s">
        <v>499</v>
      </c>
      <c r="X50" s="107" t="str">
        <f t="shared" si="2"/>
        <v>https://archive.org/download/SOPIK1905/1905.pdf#page=330</v>
      </c>
      <c r="Y50" s="107" t="s">
        <v>501</v>
      </c>
      <c r="Z50" s="107" t="s">
        <v>500</v>
      </c>
      <c r="AA50" s="107" t="s">
        <v>504</v>
      </c>
      <c r="AB50" s="107" t="s">
        <v>503</v>
      </c>
      <c r="AC50" s="107"/>
      <c r="AD50" s="107"/>
    </row>
    <row r="51" spans="1:30" x14ac:dyDescent="0.25">
      <c r="A51" s="107" t="s">
        <v>931</v>
      </c>
      <c r="B51" s="107" t="s">
        <v>120</v>
      </c>
      <c r="C51" s="107" t="s">
        <v>2425</v>
      </c>
      <c r="D51" s="107">
        <v>3235</v>
      </c>
      <c r="E51" s="107">
        <v>365</v>
      </c>
      <c r="F51" s="107">
        <f t="shared" si="0"/>
        <v>3600</v>
      </c>
      <c r="G51" s="107"/>
      <c r="H51" s="107"/>
      <c r="I51" s="108">
        <v>108</v>
      </c>
      <c r="J51" s="108">
        <v>103</v>
      </c>
      <c r="K51" s="107">
        <v>4</v>
      </c>
      <c r="L51" s="112">
        <f t="shared" si="1"/>
        <v>3.8834951456310676E-2</v>
      </c>
      <c r="M51" s="148">
        <f t="array" ref="M51">SUM(MAX(0,'AL pre'!$P$2:$P$68*(1-((L51-'AL pre'!$O$2:$O$68)/BW)^2)))/SUM(MAX(0,1-((L51-'AL pre'!$O$2:$O$68)/BW)^2))</f>
        <v>118.21091325403009</v>
      </c>
      <c r="N51" s="108">
        <v>4824</v>
      </c>
      <c r="O51" s="132">
        <v>26.55</v>
      </c>
      <c r="P51" s="132">
        <v>27.25</v>
      </c>
      <c r="Q51" s="112">
        <f t="shared" si="4"/>
        <v>26.620972222222221</v>
      </c>
      <c r="R51" s="108">
        <v>25371</v>
      </c>
      <c r="S51" s="107">
        <v>102</v>
      </c>
      <c r="T51" s="107">
        <v>25371</v>
      </c>
      <c r="U51" s="107">
        <v>1905</v>
      </c>
      <c r="V51" s="107" t="s">
        <v>468</v>
      </c>
      <c r="W51" s="107" t="s">
        <v>499</v>
      </c>
      <c r="X51" s="107" t="str">
        <f t="shared" si="2"/>
        <v>https://archive.org/download/SOPIK1905/1905.pdf#page=330</v>
      </c>
      <c r="Y51" s="107" t="s">
        <v>501</v>
      </c>
      <c r="Z51" s="107" t="s">
        <v>500</v>
      </c>
      <c r="AA51" s="107" t="s">
        <v>504</v>
      </c>
      <c r="AB51" s="107" t="s">
        <v>503</v>
      </c>
      <c r="AC51" s="107"/>
      <c r="AD51" s="107"/>
    </row>
    <row r="52" spans="1:30" x14ac:dyDescent="0.25">
      <c r="A52" s="107" t="s">
        <v>932</v>
      </c>
      <c r="B52" s="107" t="s">
        <v>120</v>
      </c>
      <c r="C52" s="107" t="s">
        <v>133</v>
      </c>
      <c r="D52" s="107">
        <v>3000</v>
      </c>
      <c r="E52" s="107">
        <v>800</v>
      </c>
      <c r="F52" s="107">
        <f t="shared" si="0"/>
        <v>3800</v>
      </c>
      <c r="G52" s="107"/>
      <c r="H52" s="107"/>
      <c r="I52" s="108">
        <v>132</v>
      </c>
      <c r="J52" s="108">
        <v>110</v>
      </c>
      <c r="K52" s="107">
        <v>6</v>
      </c>
      <c r="L52" s="112">
        <f t="shared" si="1"/>
        <v>5.4545454545454543E-2</v>
      </c>
      <c r="M52" s="148">
        <f t="array" ref="M52">SUM(MAX(0,'AL pre'!$P$2:$P$68*(1-((L52-'AL pre'!$O$2:$O$68)/BW)^2)))/SUM(MAX(0,1-((L52-'AL pre'!$O$2:$O$68)/BW)^2))</f>
        <v>112.15914361614786</v>
      </c>
      <c r="N52" s="108">
        <v>4900</v>
      </c>
      <c r="O52" s="132">
        <v>34</v>
      </c>
      <c r="P52" s="132">
        <v>30</v>
      </c>
      <c r="Q52" s="112">
        <f t="shared" si="4"/>
        <v>33.157894736842103</v>
      </c>
      <c r="R52" s="108">
        <v>64000</v>
      </c>
      <c r="S52" s="107">
        <v>109</v>
      </c>
      <c r="T52" s="107">
        <v>64000</v>
      </c>
      <c r="U52" s="107">
        <v>1905</v>
      </c>
      <c r="V52" s="107" t="s">
        <v>468</v>
      </c>
      <c r="W52" s="107" t="s">
        <v>499</v>
      </c>
      <c r="X52" s="107" t="str">
        <f t="shared" si="2"/>
        <v>https://archive.org/download/SOPIK1905/1905.pdf#page=330</v>
      </c>
      <c r="Y52" s="107" t="s">
        <v>501</v>
      </c>
      <c r="Z52" s="107" t="s">
        <v>500</v>
      </c>
      <c r="AA52" s="107" t="s">
        <v>504</v>
      </c>
      <c r="AB52" s="107" t="s">
        <v>503</v>
      </c>
      <c r="AC52" s="107"/>
      <c r="AD52" s="107"/>
    </row>
    <row r="53" spans="1:30" x14ac:dyDescent="0.25">
      <c r="A53" s="107" t="s">
        <v>933</v>
      </c>
      <c r="B53" s="107" t="s">
        <v>120</v>
      </c>
      <c r="C53" s="107" t="s">
        <v>2426</v>
      </c>
      <c r="D53" s="107">
        <v>1625</v>
      </c>
      <c r="E53" s="107">
        <v>285</v>
      </c>
      <c r="F53" s="107">
        <f t="shared" si="0"/>
        <v>1910</v>
      </c>
      <c r="G53" s="107"/>
      <c r="H53" s="107"/>
      <c r="I53" s="108">
        <v>79</v>
      </c>
      <c r="J53" s="108">
        <v>62</v>
      </c>
      <c r="K53" s="107">
        <v>5</v>
      </c>
      <c r="L53" s="112">
        <f t="shared" si="1"/>
        <v>8.0645161290322578E-2</v>
      </c>
      <c r="M53" s="148">
        <f t="array" ref="M53">SUM(MAX(0,'AL pre'!$P$2:$P$68*(1-((L53-'AL pre'!$O$2:$O$68)/BW)^2)))/SUM(MAX(0,1-((L53-'AL pre'!$O$2:$O$68)/BW)^2))</f>
        <v>128.62340386202894</v>
      </c>
      <c r="N53" s="108">
        <v>3295</v>
      </c>
      <c r="O53" s="132">
        <v>35</v>
      </c>
      <c r="P53" s="132">
        <v>45</v>
      </c>
      <c r="Q53" s="112">
        <f t="shared" si="4"/>
        <v>36.492146596858639</v>
      </c>
      <c r="R53" s="108">
        <v>23425</v>
      </c>
      <c r="S53" s="107">
        <v>61</v>
      </c>
      <c r="T53" s="107">
        <v>23425</v>
      </c>
      <c r="U53" s="107">
        <v>1905</v>
      </c>
      <c r="V53" s="107" t="s">
        <v>468</v>
      </c>
      <c r="W53" s="107" t="s">
        <v>499</v>
      </c>
      <c r="X53" s="107" t="str">
        <f t="shared" si="2"/>
        <v>https://archive.org/download/SOPIK1905/1905.pdf#page=330</v>
      </c>
      <c r="Y53" s="107" t="s">
        <v>501</v>
      </c>
      <c r="Z53" s="107" t="s">
        <v>500</v>
      </c>
      <c r="AA53" s="107" t="s">
        <v>504</v>
      </c>
      <c r="AB53" s="107" t="s">
        <v>503</v>
      </c>
      <c r="AC53" s="107"/>
      <c r="AD53" s="107"/>
    </row>
    <row r="54" spans="1:30" x14ac:dyDescent="0.25">
      <c r="A54" s="107" t="s">
        <v>934</v>
      </c>
      <c r="B54" s="107" t="s">
        <v>120</v>
      </c>
      <c r="C54" s="107" t="s">
        <v>134</v>
      </c>
      <c r="D54" s="107">
        <v>1280</v>
      </c>
      <c r="E54" s="107">
        <v>293</v>
      </c>
      <c r="F54" s="107">
        <f t="shared" si="0"/>
        <v>1573</v>
      </c>
      <c r="G54" s="107"/>
      <c r="H54" s="107"/>
      <c r="I54" s="108">
        <v>62</v>
      </c>
      <c r="J54" s="108">
        <v>51</v>
      </c>
      <c r="K54" s="107">
        <v>2</v>
      </c>
      <c r="L54" s="112">
        <f t="shared" si="1"/>
        <v>3.9215686274509803E-2</v>
      </c>
      <c r="M54" s="148">
        <f t="array" ref="M54">SUM(MAX(0,'AL pre'!$P$2:$P$68*(1-((L54-'AL pre'!$O$2:$O$68)/BW)^2)))/SUM(MAX(0,1-((L54-'AL pre'!$O$2:$O$68)/BW)^2))</f>
        <v>118.07901618929016</v>
      </c>
      <c r="N54" s="108">
        <v>3110</v>
      </c>
      <c r="O54" s="132">
        <v>36.9</v>
      </c>
      <c r="P54" s="132">
        <v>34.049999999999997</v>
      </c>
      <c r="Q54" s="112">
        <f t="shared" si="4"/>
        <v>36.3691354100445</v>
      </c>
      <c r="R54" s="108">
        <v>35375</v>
      </c>
      <c r="S54" s="107">
        <v>54</v>
      </c>
      <c r="T54" s="107">
        <v>35375</v>
      </c>
      <c r="U54" s="107">
        <v>1905</v>
      </c>
      <c r="V54" s="107" t="s">
        <v>468</v>
      </c>
      <c r="W54" s="107" t="s">
        <v>499</v>
      </c>
      <c r="X54" s="107" t="str">
        <f t="shared" si="2"/>
        <v>https://archive.org/download/SOPIK1905/1905.pdf#page=330</v>
      </c>
      <c r="Y54" s="107" t="s">
        <v>501</v>
      </c>
      <c r="Z54" s="107" t="s">
        <v>500</v>
      </c>
      <c r="AA54" s="107" t="s">
        <v>504</v>
      </c>
      <c r="AB54" s="107" t="s">
        <v>503</v>
      </c>
      <c r="AC54" s="107"/>
      <c r="AD54" s="107"/>
    </row>
    <row r="55" spans="1:30" x14ac:dyDescent="0.25">
      <c r="A55" s="107" t="s">
        <v>935</v>
      </c>
      <c r="B55" s="107" t="s">
        <v>120</v>
      </c>
      <c r="C55" s="107" t="s">
        <v>135</v>
      </c>
      <c r="D55" s="107">
        <v>2563</v>
      </c>
      <c r="E55" s="107">
        <v>560</v>
      </c>
      <c r="F55" s="107">
        <f t="shared" si="0"/>
        <v>3123</v>
      </c>
      <c r="G55" s="107"/>
      <c r="H55" s="107"/>
      <c r="I55" s="108">
        <v>225</v>
      </c>
      <c r="J55" s="108">
        <v>119</v>
      </c>
      <c r="K55" s="107">
        <v>10</v>
      </c>
      <c r="L55" s="112">
        <f t="shared" si="1"/>
        <v>8.4033613445378158E-2</v>
      </c>
      <c r="M55" s="148">
        <f t="array" ref="M55">SUM(MAX(0,'AL pre'!$P$2:$P$68*(1-((L55-'AL pre'!$O$2:$O$68)/BW)^2)))/SUM(MAX(0,1-((L55-'AL pre'!$O$2:$O$68)/BW)^2))</f>
        <v>130.25887168326545</v>
      </c>
      <c r="N55" s="108">
        <v>6969</v>
      </c>
      <c r="O55" s="132">
        <v>34.93</v>
      </c>
      <c r="P55" s="132">
        <v>33.49</v>
      </c>
      <c r="Q55" s="112">
        <f t="shared" si="4"/>
        <v>34.671786743515845</v>
      </c>
      <c r="R55" s="108">
        <v>30690</v>
      </c>
      <c r="S55" s="107">
        <v>112</v>
      </c>
      <c r="T55" s="107">
        <v>30690</v>
      </c>
      <c r="U55" s="107">
        <v>1905</v>
      </c>
      <c r="V55" s="107" t="s">
        <v>468</v>
      </c>
      <c r="W55" s="107" t="s">
        <v>499</v>
      </c>
      <c r="X55" s="107" t="str">
        <f t="shared" si="2"/>
        <v>https://archive.org/download/SOPIK1905/1905.pdf#page=330</v>
      </c>
      <c r="Y55" s="107" t="s">
        <v>501</v>
      </c>
      <c r="Z55" s="107" t="s">
        <v>500</v>
      </c>
      <c r="AA55" s="107" t="s">
        <v>504</v>
      </c>
      <c r="AB55" s="107" t="s">
        <v>503</v>
      </c>
      <c r="AC55" s="107"/>
      <c r="AD55" s="107"/>
    </row>
    <row r="56" spans="1:30" x14ac:dyDescent="0.25">
      <c r="A56" s="107" t="s">
        <v>936</v>
      </c>
      <c r="B56" s="107" t="s">
        <v>120</v>
      </c>
      <c r="C56" s="107" t="s">
        <v>29</v>
      </c>
      <c r="D56" s="107">
        <v>2562</v>
      </c>
      <c r="E56" s="107"/>
      <c r="F56" s="107">
        <f t="shared" si="0"/>
        <v>2562</v>
      </c>
      <c r="G56" s="107"/>
      <c r="H56" s="107"/>
      <c r="I56" s="108">
        <v>70</v>
      </c>
      <c r="J56" s="108">
        <v>67</v>
      </c>
      <c r="K56" s="107">
        <v>3</v>
      </c>
      <c r="L56" s="112">
        <f t="shared" si="1"/>
        <v>4.4776119402985072E-2</v>
      </c>
      <c r="M56" s="148">
        <f t="array" ref="M56">SUM(MAX(0,'AL pre'!$P$2:$P$68*(1-((L56-'AL pre'!$O$2:$O$68)/BW)^2)))/SUM(MAX(0,1-((L56-'AL pre'!$O$2:$O$68)/BW)^2))</f>
        <v>116.14173002383164</v>
      </c>
      <c r="N56" s="107">
        <v>2917</v>
      </c>
      <c r="O56" s="132">
        <v>33.020000000000003</v>
      </c>
      <c r="P56" s="132"/>
      <c r="Q56" s="112">
        <v>33.020000000000003</v>
      </c>
      <c r="R56" s="108">
        <v>13000</v>
      </c>
      <c r="S56" s="107">
        <v>65</v>
      </c>
      <c r="T56" s="107">
        <v>13000</v>
      </c>
      <c r="U56" s="107">
        <v>1905</v>
      </c>
      <c r="V56" s="107" t="s">
        <v>468</v>
      </c>
      <c r="W56" s="107" t="s">
        <v>499</v>
      </c>
      <c r="X56" s="107" t="str">
        <f t="shared" si="2"/>
        <v>https://archive.org/download/SOPIK1905/1905.pdf#page=330</v>
      </c>
      <c r="Y56" s="107" t="s">
        <v>501</v>
      </c>
      <c r="Z56" s="107" t="s">
        <v>500</v>
      </c>
      <c r="AA56" s="107" t="s">
        <v>504</v>
      </c>
      <c r="AB56" s="107" t="s">
        <v>503</v>
      </c>
      <c r="AC56" s="107"/>
      <c r="AD56" s="107"/>
    </row>
    <row r="57" spans="1:30" x14ac:dyDescent="0.25">
      <c r="A57" s="107" t="s">
        <v>937</v>
      </c>
      <c r="B57" s="107" t="s">
        <v>120</v>
      </c>
      <c r="C57" s="107" t="s">
        <v>30</v>
      </c>
      <c r="D57" s="107">
        <v>2468</v>
      </c>
      <c r="E57" s="107">
        <v>663</v>
      </c>
      <c r="F57" s="107">
        <f t="shared" si="0"/>
        <v>3131</v>
      </c>
      <c r="G57" s="107"/>
      <c r="H57" s="107"/>
      <c r="I57" s="108">
        <v>44</v>
      </c>
      <c r="J57" s="108">
        <v>94</v>
      </c>
      <c r="K57" s="107">
        <v>30</v>
      </c>
      <c r="L57" s="112">
        <f t="shared" si="1"/>
        <v>0.31914893617021278</v>
      </c>
      <c r="M57" s="148">
        <f t="array" ref="M57">SUM(MAX(0,'AL pre'!$P$2:$P$68*(1-((L57-'AL pre'!$O$2:$O$68)/BW)^2)))/SUM(MAX(0,1-((L57-'AL pre'!$O$2:$O$68)/BW)^2))</f>
        <v>112.1875</v>
      </c>
      <c r="N57" s="108">
        <v>4347</v>
      </c>
      <c r="O57" s="132">
        <v>36.5</v>
      </c>
      <c r="P57" s="132">
        <v>32.14</v>
      </c>
      <c r="Q57" s="112">
        <f>(D57*O57+E57*P57)/F57</f>
        <v>35.576755030341744</v>
      </c>
      <c r="R57" s="108">
        <v>61305</v>
      </c>
      <c r="S57" s="107">
        <v>91</v>
      </c>
      <c r="T57" s="107">
        <v>61305</v>
      </c>
      <c r="U57" s="107">
        <v>1905</v>
      </c>
      <c r="V57" s="107" t="s">
        <v>468</v>
      </c>
      <c r="W57" s="107" t="s">
        <v>499</v>
      </c>
      <c r="X57" s="107" t="str">
        <f t="shared" si="2"/>
        <v>https://archive.org/download/SOPIK1905/1905.pdf#page=330</v>
      </c>
      <c r="Y57" s="107" t="s">
        <v>501</v>
      </c>
      <c r="Z57" s="107" t="s">
        <v>500</v>
      </c>
      <c r="AA57" s="107" t="s">
        <v>504</v>
      </c>
      <c r="AB57" s="107" t="s">
        <v>503</v>
      </c>
      <c r="AC57" s="107"/>
      <c r="AD57" s="107"/>
    </row>
    <row r="58" spans="1:30" x14ac:dyDescent="0.25">
      <c r="A58" s="107" t="s">
        <v>938</v>
      </c>
      <c r="B58" s="107" t="s">
        <v>120</v>
      </c>
      <c r="C58" s="107" t="s">
        <v>2427</v>
      </c>
      <c r="D58" s="107">
        <v>677</v>
      </c>
      <c r="E58" s="107">
        <v>301</v>
      </c>
      <c r="F58" s="107">
        <f t="shared" si="0"/>
        <v>978</v>
      </c>
      <c r="G58" s="107"/>
      <c r="H58" s="107"/>
      <c r="I58" s="108">
        <v>62</v>
      </c>
      <c r="J58" s="108">
        <v>38</v>
      </c>
      <c r="K58" s="107">
        <v>6</v>
      </c>
      <c r="L58" s="112">
        <f t="shared" si="1"/>
        <v>0.15789473684210525</v>
      </c>
      <c r="M58" s="148">
        <f t="array" ref="M58">SUM(MAX(0,'AL pre'!$P$2:$P$68*(1-((L58-'AL pre'!$O$2:$O$68)/BW)^2)))/SUM(MAX(0,1-((L58-'AL pre'!$O$2:$O$68)/BW)^2))</f>
        <v>136.94389424052176</v>
      </c>
      <c r="N58" s="108">
        <v>1751</v>
      </c>
      <c r="O58" s="132">
        <v>35</v>
      </c>
      <c r="P58" s="132">
        <v>33.5</v>
      </c>
      <c r="Q58" s="112">
        <f>(D58*O58+E58*P58)/F58</f>
        <v>34.538343558282207</v>
      </c>
      <c r="R58" s="108">
        <v>18000</v>
      </c>
      <c r="S58" s="107">
        <v>38</v>
      </c>
      <c r="T58" s="107">
        <v>18000</v>
      </c>
      <c r="U58" s="107">
        <v>1905</v>
      </c>
      <c r="V58" s="107" t="s">
        <v>468</v>
      </c>
      <c r="W58" s="107" t="s">
        <v>499</v>
      </c>
      <c r="X58" s="107" t="str">
        <f t="shared" si="2"/>
        <v>https://archive.org/download/SOPIK1905/1905.pdf#page=330</v>
      </c>
      <c r="Y58" s="107" t="s">
        <v>501</v>
      </c>
      <c r="Z58" s="107" t="s">
        <v>500</v>
      </c>
      <c r="AA58" s="107" t="s">
        <v>504</v>
      </c>
      <c r="AB58" s="107" t="s">
        <v>503</v>
      </c>
      <c r="AC58" s="107"/>
      <c r="AD58" s="107"/>
    </row>
    <row r="59" spans="1:30" x14ac:dyDescent="0.25">
      <c r="A59" s="107" t="s">
        <v>939</v>
      </c>
      <c r="B59" s="107" t="s">
        <v>120</v>
      </c>
      <c r="C59" s="107" t="s">
        <v>70</v>
      </c>
      <c r="D59" s="107">
        <v>2275</v>
      </c>
      <c r="E59" s="107"/>
      <c r="F59" s="107">
        <f t="shared" si="0"/>
        <v>2275</v>
      </c>
      <c r="G59" s="107"/>
      <c r="H59" s="107"/>
      <c r="I59" s="108">
        <v>95</v>
      </c>
      <c r="J59" s="108">
        <v>79</v>
      </c>
      <c r="K59" s="107">
        <v>6</v>
      </c>
      <c r="L59" s="112">
        <f t="shared" si="1"/>
        <v>7.5949367088607597E-2</v>
      </c>
      <c r="M59" s="148">
        <f t="array" ref="M59">SUM(MAX(0,'AL pre'!$P$2:$P$68*(1-((L59-'AL pre'!$O$2:$O$68)/BW)^2)))/SUM(MAX(0,1-((L59-'AL pre'!$O$2:$O$68)/BW)^2))</f>
        <v>126.21845815822886</v>
      </c>
      <c r="N59" s="107">
        <v>4950</v>
      </c>
      <c r="O59" s="132">
        <v>37</v>
      </c>
      <c r="P59" s="132"/>
      <c r="Q59" s="112">
        <v>37</v>
      </c>
      <c r="R59" s="108">
        <v>30000</v>
      </c>
      <c r="S59" s="107">
        <v>76</v>
      </c>
      <c r="T59" s="107">
        <v>30000</v>
      </c>
      <c r="U59" s="107">
        <v>1905</v>
      </c>
      <c r="V59" s="107" t="s">
        <v>468</v>
      </c>
      <c r="W59" s="107" t="s">
        <v>499</v>
      </c>
      <c r="X59" s="107" t="str">
        <f t="shared" si="2"/>
        <v>https://archive.org/download/SOPIK1905/1905.pdf#page=330</v>
      </c>
      <c r="Y59" s="107" t="s">
        <v>501</v>
      </c>
      <c r="Z59" s="107" t="s">
        <v>500</v>
      </c>
      <c r="AA59" s="107" t="s">
        <v>504</v>
      </c>
      <c r="AB59" s="107" t="s">
        <v>503</v>
      </c>
      <c r="AC59" s="107"/>
      <c r="AD59" s="107"/>
    </row>
    <row r="60" spans="1:30" x14ac:dyDescent="0.25">
      <c r="A60" s="107" t="s">
        <v>940</v>
      </c>
      <c r="B60" s="107" t="s">
        <v>120</v>
      </c>
      <c r="C60" s="107" t="s">
        <v>2428</v>
      </c>
      <c r="D60" s="107">
        <v>1833</v>
      </c>
      <c r="E60" s="107">
        <v>78</v>
      </c>
      <c r="F60" s="107">
        <f t="shared" si="0"/>
        <v>1911</v>
      </c>
      <c r="G60" s="107"/>
      <c r="H60" s="107"/>
      <c r="I60" s="108">
        <v>65</v>
      </c>
      <c r="J60" s="108">
        <v>40</v>
      </c>
      <c r="K60" s="107">
        <v>13</v>
      </c>
      <c r="L60" s="112">
        <f t="shared" si="1"/>
        <v>0.32500000000000001</v>
      </c>
      <c r="M60" s="148">
        <f t="array" ref="M60">SUM(MAX(0,'AL pre'!$P$2:$P$68*(1-((L60-'AL pre'!$O$2:$O$68)/BW)^2)))/SUM(MAX(0,1-((L60-'AL pre'!$O$2:$O$68)/BW)^2))</f>
        <v>111.86845020671127</v>
      </c>
      <c r="N60" s="108">
        <v>2816</v>
      </c>
      <c r="O60" s="132">
        <v>44.56</v>
      </c>
      <c r="P60" s="132">
        <v>28.3</v>
      </c>
      <c r="Q60" s="112">
        <f>(D60*O60+E60*P60)/F60</f>
        <v>43.896326530612249</v>
      </c>
      <c r="R60" s="108">
        <v>86480</v>
      </c>
      <c r="S60" s="107">
        <v>49</v>
      </c>
      <c r="T60" s="107">
        <v>36480</v>
      </c>
      <c r="U60" s="107">
        <v>1905</v>
      </c>
      <c r="V60" s="107" t="s">
        <v>468</v>
      </c>
      <c r="W60" s="107" t="s">
        <v>499</v>
      </c>
      <c r="X60" s="107" t="str">
        <f t="shared" si="2"/>
        <v>https://archive.org/download/SOPIK1905/1905.pdf#page=330</v>
      </c>
      <c r="Y60" s="107" t="s">
        <v>501</v>
      </c>
      <c r="Z60" s="107" t="s">
        <v>500</v>
      </c>
      <c r="AA60" s="107" t="s">
        <v>504</v>
      </c>
      <c r="AB60" s="107" t="s">
        <v>503</v>
      </c>
      <c r="AC60" s="107"/>
      <c r="AD60" s="107"/>
    </row>
    <row r="61" spans="1:30" x14ac:dyDescent="0.25">
      <c r="A61" s="107" t="s">
        <v>941</v>
      </c>
      <c r="B61" s="107" t="s">
        <v>120</v>
      </c>
      <c r="C61" s="107" t="s">
        <v>136</v>
      </c>
      <c r="D61" s="107">
        <v>1134</v>
      </c>
      <c r="E61" s="107">
        <v>10</v>
      </c>
      <c r="F61" s="107">
        <f t="shared" si="0"/>
        <v>1144</v>
      </c>
      <c r="G61" s="107"/>
      <c r="H61" s="107"/>
      <c r="I61" s="108">
        <v>41</v>
      </c>
      <c r="J61" s="108">
        <v>54</v>
      </c>
      <c r="K61" s="107">
        <v>1</v>
      </c>
      <c r="L61" s="112">
        <f t="shared" si="1"/>
        <v>1.8518518518518517E-2</v>
      </c>
      <c r="M61" s="148">
        <f t="array" ref="M61">SUM(MAX(0,'AL pre'!$P$2:$P$68*(1-((L61-'AL pre'!$O$2:$O$68)/BW)^2)))/SUM(MAX(0,1-((L61-'AL pre'!$O$2:$O$68)/BW)^2))</f>
        <v>124.9968387776607</v>
      </c>
      <c r="N61" s="108">
        <v>2714</v>
      </c>
      <c r="O61" s="132">
        <v>33.200000000000003</v>
      </c>
      <c r="P61" s="132">
        <v>26.4</v>
      </c>
      <c r="Q61" s="112">
        <f>(D61*O61+E61*P61)/F61</f>
        <v>33.140559440559443</v>
      </c>
      <c r="R61" s="108">
        <v>13035</v>
      </c>
      <c r="S61" s="107">
        <v>52</v>
      </c>
      <c r="T61" s="107">
        <v>13035</v>
      </c>
      <c r="U61" s="107">
        <v>1905</v>
      </c>
      <c r="V61" s="107" t="s">
        <v>468</v>
      </c>
      <c r="W61" s="107" t="s">
        <v>499</v>
      </c>
      <c r="X61" s="107" t="str">
        <f t="shared" si="2"/>
        <v>https://archive.org/download/SOPIK1905/1905.pdf#page=330</v>
      </c>
      <c r="Y61" s="107" t="s">
        <v>505</v>
      </c>
      <c r="Z61" s="107" t="s">
        <v>500</v>
      </c>
      <c r="AA61" s="107" t="s">
        <v>504</v>
      </c>
      <c r="AB61" s="107" t="s">
        <v>503</v>
      </c>
      <c r="AC61" s="107"/>
      <c r="AD61" s="107"/>
    </row>
    <row r="62" spans="1:30" x14ac:dyDescent="0.25">
      <c r="A62" s="107" t="s">
        <v>942</v>
      </c>
      <c r="B62" s="107" t="s">
        <v>120</v>
      </c>
      <c r="C62" s="107" t="s">
        <v>137</v>
      </c>
      <c r="D62" s="107">
        <v>3640</v>
      </c>
      <c r="E62" s="107">
        <v>140</v>
      </c>
      <c r="F62" s="107">
        <f t="shared" si="0"/>
        <v>3780</v>
      </c>
      <c r="G62" s="107"/>
      <c r="H62" s="107"/>
      <c r="I62" s="108">
        <v>113</v>
      </c>
      <c r="J62" s="108">
        <v>90</v>
      </c>
      <c r="K62" s="107"/>
      <c r="L62" s="112">
        <f t="shared" si="1"/>
        <v>0</v>
      </c>
      <c r="M62" s="148">
        <f t="array" ref="M62">SUM(MAX(0,'AL pre'!$P$2:$P$68*(1-((L62-'AL pre'!$O$2:$O$68)/BW)^2)))/SUM(MAX(0,1-((L62-'AL pre'!$O$2:$O$68)/BW)^2))</f>
        <v>124.9968387776607</v>
      </c>
      <c r="N62" s="108">
        <v>6260</v>
      </c>
      <c r="O62" s="132">
        <v>40</v>
      </c>
      <c r="P62" s="132">
        <v>35</v>
      </c>
      <c r="Q62" s="112">
        <f>(D62*O62+E62*P62)/F62</f>
        <v>39.814814814814817</v>
      </c>
      <c r="R62" s="108">
        <v>20400</v>
      </c>
      <c r="S62" s="107">
        <v>88</v>
      </c>
      <c r="T62" s="107">
        <v>20100</v>
      </c>
      <c r="U62" s="107">
        <v>1905</v>
      </c>
      <c r="V62" s="107" t="s">
        <v>468</v>
      </c>
      <c r="W62" s="107" t="s">
        <v>499</v>
      </c>
      <c r="X62" s="107" t="str">
        <f t="shared" si="2"/>
        <v>https://archive.org/download/SOPIK1905/1905.pdf#page=330</v>
      </c>
      <c r="Y62" s="107" t="s">
        <v>505</v>
      </c>
      <c r="Z62" s="107" t="s">
        <v>500</v>
      </c>
      <c r="AA62" s="107" t="s">
        <v>504</v>
      </c>
      <c r="AB62" s="107" t="s">
        <v>503</v>
      </c>
      <c r="AC62" s="107"/>
      <c r="AD62" s="107"/>
    </row>
    <row r="63" spans="1:30" x14ac:dyDescent="0.25">
      <c r="A63" s="107" t="s">
        <v>943</v>
      </c>
      <c r="B63" s="107" t="s">
        <v>120</v>
      </c>
      <c r="C63" s="107" t="s">
        <v>2429</v>
      </c>
      <c r="D63" s="107">
        <v>1625</v>
      </c>
      <c r="E63" s="107">
        <v>79</v>
      </c>
      <c r="F63" s="107">
        <f t="shared" si="0"/>
        <v>1704</v>
      </c>
      <c r="G63" s="107"/>
      <c r="H63" s="107"/>
      <c r="I63" s="108">
        <v>81</v>
      </c>
      <c r="J63" s="108">
        <v>57</v>
      </c>
      <c r="K63" s="107">
        <v>4</v>
      </c>
      <c r="L63" s="112">
        <f t="shared" si="1"/>
        <v>7.0175438596491224E-2</v>
      </c>
      <c r="M63" s="148">
        <f t="array" ref="M63">SUM(MAX(0,'AL pre'!$P$2:$P$68*(1-((L63-'AL pre'!$O$2:$O$68)/BW)^2)))/SUM(MAX(0,1-((L63-'AL pre'!$O$2:$O$68)/BW)^2))</f>
        <v>122.83992719735912</v>
      </c>
      <c r="N63" s="108">
        <v>2575</v>
      </c>
      <c r="O63" s="132">
        <v>32.6</v>
      </c>
      <c r="P63" s="132">
        <v>29.4</v>
      </c>
      <c r="Q63" s="112">
        <f>(D63*O63+E63*P63)/F63</f>
        <v>32.451643192488262</v>
      </c>
      <c r="R63" s="108">
        <v>16450</v>
      </c>
      <c r="S63" s="107">
        <v>58</v>
      </c>
      <c r="T63" s="107">
        <v>16450</v>
      </c>
      <c r="U63" s="107">
        <v>1905</v>
      </c>
      <c r="V63" s="107" t="s">
        <v>468</v>
      </c>
      <c r="W63" s="107" t="s">
        <v>499</v>
      </c>
      <c r="X63" s="107" t="str">
        <f t="shared" si="2"/>
        <v>https://archive.org/download/SOPIK1905/1905.pdf#page=330</v>
      </c>
      <c r="Y63" s="107" t="s">
        <v>505</v>
      </c>
      <c r="Z63" s="107" t="s">
        <v>500</v>
      </c>
      <c r="AA63" s="107" t="s">
        <v>504</v>
      </c>
      <c r="AB63" s="107" t="s">
        <v>503</v>
      </c>
      <c r="AC63" s="107"/>
      <c r="AD63" s="107"/>
    </row>
    <row r="64" spans="1:30" x14ac:dyDescent="0.25">
      <c r="A64" s="107" t="s">
        <v>944</v>
      </c>
      <c r="B64" s="107" t="s">
        <v>120</v>
      </c>
      <c r="C64" s="107" t="s">
        <v>2430</v>
      </c>
      <c r="D64" s="107">
        <v>2687</v>
      </c>
      <c r="E64" s="107">
        <v>131</v>
      </c>
      <c r="F64" s="107">
        <f t="shared" si="0"/>
        <v>2818</v>
      </c>
      <c r="G64" s="107"/>
      <c r="H64" s="107"/>
      <c r="I64" s="108">
        <v>152</v>
      </c>
      <c r="J64" s="108">
        <v>98</v>
      </c>
      <c r="K64" s="107">
        <v>4</v>
      </c>
      <c r="L64" s="112">
        <f t="shared" si="1"/>
        <v>4.0816326530612242E-2</v>
      </c>
      <c r="M64" s="148">
        <f t="array" ref="M64">SUM(MAX(0,'AL pre'!$P$2:$P$68*(1-((L64-'AL pre'!$O$2:$O$68)/BW)^2)))/SUM(MAX(0,1-((L64-'AL pre'!$O$2:$O$68)/BW)^2))</f>
        <v>117.52361224753864</v>
      </c>
      <c r="N64" s="108">
        <v>5356</v>
      </c>
      <c r="O64" s="132">
        <v>33.22</v>
      </c>
      <c r="P64" s="132">
        <v>33.92</v>
      </c>
      <c r="Q64" s="112">
        <f>(D64*O64+E64*P64)/F64</f>
        <v>33.252540809084458</v>
      </c>
      <c r="R64" s="108">
        <v>17500</v>
      </c>
      <c r="S64" s="107">
        <v>96</v>
      </c>
      <c r="T64" s="107">
        <v>17900</v>
      </c>
      <c r="U64" s="107">
        <v>1905</v>
      </c>
      <c r="V64" s="107" t="s">
        <v>468</v>
      </c>
      <c r="W64" s="107" t="s">
        <v>499</v>
      </c>
      <c r="X64" s="107" t="str">
        <f t="shared" si="2"/>
        <v>https://archive.org/download/SOPIK1905/1905.pdf#page=330</v>
      </c>
      <c r="Y64" s="107" t="s">
        <v>505</v>
      </c>
      <c r="Z64" s="107" t="s">
        <v>500</v>
      </c>
      <c r="AA64" s="107" t="s">
        <v>504</v>
      </c>
      <c r="AB64" s="107" t="s">
        <v>503</v>
      </c>
      <c r="AC64" s="107"/>
      <c r="AD64" s="107"/>
    </row>
    <row r="65" spans="1:30" x14ac:dyDescent="0.25">
      <c r="A65" s="107" t="s">
        <v>945</v>
      </c>
      <c r="B65" s="107" t="s">
        <v>120</v>
      </c>
      <c r="C65" s="107" t="s">
        <v>33</v>
      </c>
      <c r="D65" s="107"/>
      <c r="E65" s="107"/>
      <c r="F65" s="107">
        <f t="shared" si="0"/>
        <v>0</v>
      </c>
      <c r="G65" s="107"/>
      <c r="H65" s="107"/>
      <c r="I65" s="108">
        <v>98</v>
      </c>
      <c r="J65" s="108">
        <v>94</v>
      </c>
      <c r="K65" s="107"/>
      <c r="L65" s="112">
        <f t="shared" si="1"/>
        <v>0</v>
      </c>
      <c r="M65" s="148">
        <f t="array" ref="M65">SUM(MAX(0,'AL pre'!$P$2:$P$68*(1-((L65-'AL pre'!$O$2:$O$68)/BW)^2)))/SUM(MAX(0,1-((L65-'AL pre'!$O$2:$O$68)/BW)^2))</f>
        <v>124.9968387776607</v>
      </c>
      <c r="N65" s="108">
        <v>6031</v>
      </c>
      <c r="O65" s="132">
        <v>39.43</v>
      </c>
      <c r="P65" s="132"/>
      <c r="Q65" s="112">
        <v>39.43</v>
      </c>
      <c r="R65" s="108">
        <v>24600</v>
      </c>
      <c r="S65" s="107">
        <v>92</v>
      </c>
      <c r="T65" s="107">
        <v>24600</v>
      </c>
      <c r="U65" s="107">
        <v>1905</v>
      </c>
      <c r="V65" s="107" t="s">
        <v>468</v>
      </c>
      <c r="W65" s="107" t="s">
        <v>499</v>
      </c>
      <c r="X65" s="107" t="str">
        <f t="shared" si="2"/>
        <v>https://archive.org/download/SOPIK1905/1905.pdf#page=330</v>
      </c>
      <c r="Y65" s="107" t="s">
        <v>505</v>
      </c>
      <c r="Z65" s="107" t="s">
        <v>500</v>
      </c>
      <c r="AA65" s="107" t="s">
        <v>504</v>
      </c>
      <c r="AB65" s="107" t="s">
        <v>503</v>
      </c>
      <c r="AC65" s="107"/>
      <c r="AD65" s="107"/>
    </row>
    <row r="66" spans="1:30" x14ac:dyDescent="0.25">
      <c r="A66" s="107" t="s">
        <v>946</v>
      </c>
      <c r="B66" s="107" t="s">
        <v>120</v>
      </c>
      <c r="C66" s="107" t="s">
        <v>34</v>
      </c>
      <c r="D66" s="107"/>
      <c r="E66" s="107"/>
      <c r="F66" s="107">
        <f t="shared" si="0"/>
        <v>0</v>
      </c>
      <c r="G66" s="107"/>
      <c r="H66" s="107"/>
      <c r="I66" s="108">
        <v>59</v>
      </c>
      <c r="J66" s="108">
        <v>41</v>
      </c>
      <c r="K66" s="107">
        <v>6</v>
      </c>
      <c r="L66" s="112">
        <f t="shared" si="1"/>
        <v>0.14634146341463414</v>
      </c>
      <c r="M66" s="148">
        <f t="array" ref="M66">SUM(MAX(0,'AL pre'!$P$2:$P$68*(1-((L66-'AL pre'!$O$2:$O$68)/BW)^2)))/SUM(MAX(0,1-((L66-'AL pre'!$O$2:$O$68)/BW)^2))</f>
        <v>139.67300904601606</v>
      </c>
      <c r="N66" s="108">
        <v>2707</v>
      </c>
      <c r="O66" s="132">
        <v>38</v>
      </c>
      <c r="P66" s="132">
        <v>24.6</v>
      </c>
      <c r="Q66" s="112">
        <f>(O66+P66)/2</f>
        <v>31.3</v>
      </c>
      <c r="R66" s="108">
        <v>18060</v>
      </c>
      <c r="S66" s="107">
        <v>43</v>
      </c>
      <c r="T66" s="107">
        <v>18060</v>
      </c>
      <c r="U66" s="107">
        <v>1905</v>
      </c>
      <c r="V66" s="107" t="s">
        <v>468</v>
      </c>
      <c r="W66" s="107" t="s">
        <v>499</v>
      </c>
      <c r="X66" s="107" t="str">
        <f t="shared" si="2"/>
        <v>https://archive.org/download/SOPIK1905/1905.pdf#page=330</v>
      </c>
      <c r="Y66" s="107" t="s">
        <v>505</v>
      </c>
      <c r="Z66" s="107" t="s">
        <v>500</v>
      </c>
      <c r="AA66" s="107" t="s">
        <v>504</v>
      </c>
      <c r="AB66" s="107" t="s">
        <v>503</v>
      </c>
      <c r="AC66" s="107"/>
      <c r="AD66" s="107"/>
    </row>
    <row r="67" spans="1:30" x14ac:dyDescent="0.25">
      <c r="A67" s="107" t="s">
        <v>947</v>
      </c>
      <c r="B67" s="107" t="s">
        <v>120</v>
      </c>
      <c r="C67" s="107" t="s">
        <v>138</v>
      </c>
      <c r="D67" s="107"/>
      <c r="E67" s="107"/>
      <c r="F67" s="107">
        <f t="shared" ref="F67:F121" si="5">D67+E67</f>
        <v>0</v>
      </c>
      <c r="G67" s="107"/>
      <c r="H67" s="107"/>
      <c r="I67" s="108">
        <v>35</v>
      </c>
      <c r="J67" s="108">
        <v>51</v>
      </c>
      <c r="K67" s="107"/>
      <c r="L67" s="112">
        <f t="shared" ref="L67:L121" si="6">K67/J67</f>
        <v>0</v>
      </c>
      <c r="M67" s="148">
        <f t="array" ref="M67">SUM(MAX(0,'AL pre'!$P$2:$P$68*(1-((L67-'AL pre'!$O$2:$O$68)/BW)^2)))/SUM(MAX(0,1-((L67-'AL pre'!$O$2:$O$68)/BW)^2))</f>
        <v>124.9968387776607</v>
      </c>
      <c r="N67" s="107"/>
      <c r="O67" s="132">
        <v>30</v>
      </c>
      <c r="P67" s="132"/>
      <c r="Q67" s="112">
        <v>30</v>
      </c>
      <c r="R67" s="108">
        <v>5000</v>
      </c>
      <c r="S67" s="107">
        <v>45</v>
      </c>
      <c r="T67" s="107">
        <v>5000</v>
      </c>
      <c r="U67" s="107">
        <v>1905</v>
      </c>
      <c r="V67" s="107" t="s">
        <v>468</v>
      </c>
      <c r="W67" s="107" t="s">
        <v>499</v>
      </c>
      <c r="X67" s="107" t="str">
        <f t="shared" si="2"/>
        <v>https://archive.org/download/SOPIK1905/1905.pdf#page=330</v>
      </c>
      <c r="Y67" s="107" t="s">
        <v>505</v>
      </c>
      <c r="Z67" s="107" t="s">
        <v>500</v>
      </c>
      <c r="AA67" s="107" t="s">
        <v>504</v>
      </c>
      <c r="AB67" s="107" t="s">
        <v>503</v>
      </c>
      <c r="AC67" s="107"/>
      <c r="AD67" s="107"/>
    </row>
    <row r="68" spans="1:30" x14ac:dyDescent="0.25">
      <c r="A68" s="107" t="s">
        <v>948</v>
      </c>
      <c r="B68" s="107" t="s">
        <v>120</v>
      </c>
      <c r="C68" s="107" t="s">
        <v>139</v>
      </c>
      <c r="D68" s="107">
        <v>1474</v>
      </c>
      <c r="E68" s="107"/>
      <c r="F68" s="107">
        <f t="shared" si="5"/>
        <v>1474</v>
      </c>
      <c r="G68" s="107"/>
      <c r="H68" s="107"/>
      <c r="I68" s="108">
        <v>71</v>
      </c>
      <c r="J68" s="108">
        <v>63</v>
      </c>
      <c r="K68" s="107">
        <v>1</v>
      </c>
      <c r="L68" s="112">
        <f t="shared" si="6"/>
        <v>1.5873015873015872E-2</v>
      </c>
      <c r="M68" s="148">
        <f t="array" ref="M68">SUM(MAX(0,'AL pre'!$P$2:$P$68*(1-((L68-'AL pre'!$O$2:$O$68)/BW)^2)))/SUM(MAX(0,1-((L68-'AL pre'!$O$2:$O$68)/BW)^2))</f>
        <v>124.9968387776607</v>
      </c>
      <c r="N68" s="107">
        <v>3274</v>
      </c>
      <c r="O68" s="132">
        <v>30</v>
      </c>
      <c r="P68" s="132"/>
      <c r="Q68" s="112">
        <v>30</v>
      </c>
      <c r="R68" s="108">
        <v>13600</v>
      </c>
      <c r="S68" s="107">
        <v>61</v>
      </c>
      <c r="T68" s="107">
        <v>13600</v>
      </c>
      <c r="U68" s="107">
        <v>1905</v>
      </c>
      <c r="V68" s="107" t="s">
        <v>468</v>
      </c>
      <c r="W68" s="107" t="s">
        <v>499</v>
      </c>
      <c r="X68" s="107" t="str">
        <f t="shared" ref="X68:X121" si="7">X67</f>
        <v>https://archive.org/download/SOPIK1905/1905.pdf#page=330</v>
      </c>
      <c r="Y68" s="107" t="s">
        <v>505</v>
      </c>
      <c r="Z68" s="107" t="s">
        <v>500</v>
      </c>
      <c r="AA68" s="107" t="s">
        <v>504</v>
      </c>
      <c r="AB68" s="107" t="s">
        <v>503</v>
      </c>
      <c r="AC68" s="107"/>
      <c r="AD68" s="107"/>
    </row>
    <row r="69" spans="1:30" x14ac:dyDescent="0.25">
      <c r="A69" s="107" t="s">
        <v>949</v>
      </c>
      <c r="B69" s="107" t="s">
        <v>120</v>
      </c>
      <c r="C69" s="107" t="s">
        <v>2431</v>
      </c>
      <c r="D69" s="107">
        <v>2004</v>
      </c>
      <c r="E69" s="107">
        <v>16</v>
      </c>
      <c r="F69" s="107">
        <f t="shared" si="5"/>
        <v>2020</v>
      </c>
      <c r="G69" s="107"/>
      <c r="H69" s="107"/>
      <c r="I69" s="108">
        <v>109</v>
      </c>
      <c r="J69" s="108">
        <v>88</v>
      </c>
      <c r="K69" s="107">
        <v>3</v>
      </c>
      <c r="L69" s="112">
        <f t="shared" si="6"/>
        <v>3.4090909090909088E-2</v>
      </c>
      <c r="M69" s="148">
        <f t="array" ref="M69">SUM(MAX(0,'AL pre'!$P$2:$P$68*(1-((L69-'AL pre'!$O$2:$O$68)/BW)^2)))/SUM(MAX(0,1-((L69-'AL pre'!$O$2:$O$68)/BW)^2))</f>
        <v>119.84953456733946</v>
      </c>
      <c r="N69" s="108">
        <v>3831</v>
      </c>
      <c r="O69" s="132">
        <v>30.2</v>
      </c>
      <c r="P69" s="132">
        <v>21.37</v>
      </c>
      <c r="Q69" s="112">
        <f t="shared" ref="Q69:Q74" si="8">(D69*O69+E69*P69)/F69</f>
        <v>30.130059405940592</v>
      </c>
      <c r="R69" s="108">
        <v>26680</v>
      </c>
      <c r="S69" s="107">
        <v>88</v>
      </c>
      <c r="T69" s="107">
        <v>26680</v>
      </c>
      <c r="U69" s="107">
        <v>1905</v>
      </c>
      <c r="V69" s="107" t="s">
        <v>468</v>
      </c>
      <c r="W69" s="107" t="s">
        <v>499</v>
      </c>
      <c r="X69" s="107" t="str">
        <f t="shared" si="7"/>
        <v>https://archive.org/download/SOPIK1905/1905.pdf#page=330</v>
      </c>
      <c r="Y69" s="107" t="s">
        <v>505</v>
      </c>
      <c r="Z69" s="107" t="s">
        <v>500</v>
      </c>
      <c r="AA69" s="107" t="s">
        <v>506</v>
      </c>
      <c r="AB69" s="107" t="s">
        <v>503</v>
      </c>
      <c r="AC69" s="107"/>
      <c r="AD69" s="107"/>
    </row>
    <row r="70" spans="1:30" x14ac:dyDescent="0.25">
      <c r="A70" s="107" t="s">
        <v>950</v>
      </c>
      <c r="B70" s="107" t="s">
        <v>120</v>
      </c>
      <c r="C70" s="107" t="s">
        <v>2085</v>
      </c>
      <c r="D70" s="107">
        <v>2860</v>
      </c>
      <c r="E70" s="107">
        <v>950</v>
      </c>
      <c r="F70" s="107">
        <f t="shared" si="5"/>
        <v>3810</v>
      </c>
      <c r="G70" s="107"/>
      <c r="H70" s="107"/>
      <c r="I70" s="108">
        <v>80</v>
      </c>
      <c r="J70" s="108">
        <v>79</v>
      </c>
      <c r="K70" s="107"/>
      <c r="L70" s="112">
        <f t="shared" si="6"/>
        <v>0</v>
      </c>
      <c r="M70" s="148">
        <f t="array" ref="M70">SUM(MAX(0,'AL pre'!$P$2:$P$68*(1-((L70-'AL pre'!$O$2:$O$68)/BW)^2)))/SUM(MAX(0,1-((L70-'AL pre'!$O$2:$O$68)/BW)^2))</f>
        <v>124.9968387776607</v>
      </c>
      <c r="N70" s="108">
        <v>4710</v>
      </c>
      <c r="O70" s="132">
        <v>32.5</v>
      </c>
      <c r="P70" s="132">
        <v>32</v>
      </c>
      <c r="Q70" s="112">
        <f t="shared" si="8"/>
        <v>32.375328083989501</v>
      </c>
      <c r="R70" s="108">
        <v>37700</v>
      </c>
      <c r="S70" s="107">
        <v>78</v>
      </c>
      <c r="T70" s="107">
        <v>37700</v>
      </c>
      <c r="U70" s="107">
        <v>1905</v>
      </c>
      <c r="V70" s="107" t="s">
        <v>468</v>
      </c>
      <c r="W70" s="107" t="s">
        <v>499</v>
      </c>
      <c r="X70" s="107" t="str">
        <f t="shared" si="7"/>
        <v>https://archive.org/download/SOPIK1905/1905.pdf#page=330</v>
      </c>
      <c r="Y70" s="107" t="s">
        <v>505</v>
      </c>
      <c r="Z70" s="107" t="s">
        <v>500</v>
      </c>
      <c r="AA70" s="107" t="s">
        <v>506</v>
      </c>
      <c r="AB70" s="107" t="s">
        <v>503</v>
      </c>
      <c r="AC70" s="107"/>
      <c r="AD70" s="107"/>
    </row>
    <row r="71" spans="1:30" x14ac:dyDescent="0.25">
      <c r="A71" s="107" t="s">
        <v>951</v>
      </c>
      <c r="B71" s="107" t="s">
        <v>120</v>
      </c>
      <c r="C71" s="107" t="s">
        <v>2086</v>
      </c>
      <c r="D71" s="107">
        <v>1800</v>
      </c>
      <c r="E71" s="107">
        <v>96</v>
      </c>
      <c r="F71" s="107">
        <f t="shared" si="5"/>
        <v>1896</v>
      </c>
      <c r="G71" s="107"/>
      <c r="H71" s="107"/>
      <c r="I71" s="108">
        <v>87</v>
      </c>
      <c r="J71" s="108">
        <v>58</v>
      </c>
      <c r="K71" s="107">
        <v>4</v>
      </c>
      <c r="L71" s="112">
        <f t="shared" si="6"/>
        <v>6.8965517241379309E-2</v>
      </c>
      <c r="M71" s="148">
        <f t="array" ref="M71">SUM(MAX(0,'AL pre'!$P$2:$P$68*(1-((L71-'AL pre'!$O$2:$O$68)/BW)^2)))/SUM(MAX(0,1-((L71-'AL pre'!$O$2:$O$68)/BW)^2))</f>
        <v>122.09835234471424</v>
      </c>
      <c r="N71" s="108">
        <v>2899</v>
      </c>
      <c r="O71" s="132">
        <v>34.65</v>
      </c>
      <c r="P71" s="132">
        <v>26</v>
      </c>
      <c r="Q71" s="112">
        <f t="shared" si="8"/>
        <v>34.212025316455694</v>
      </c>
      <c r="R71" s="108">
        <v>27000</v>
      </c>
      <c r="S71" s="107">
        <v>58</v>
      </c>
      <c r="T71" s="107">
        <v>27000</v>
      </c>
      <c r="U71" s="107">
        <v>1905</v>
      </c>
      <c r="V71" s="107" t="s">
        <v>468</v>
      </c>
      <c r="W71" s="107" t="s">
        <v>499</v>
      </c>
      <c r="X71" s="107" t="str">
        <f t="shared" si="7"/>
        <v>https://archive.org/download/SOPIK1905/1905.pdf#page=330</v>
      </c>
      <c r="Y71" s="107" t="s">
        <v>505</v>
      </c>
      <c r="Z71" s="107" t="s">
        <v>500</v>
      </c>
      <c r="AA71" s="107" t="s">
        <v>506</v>
      </c>
      <c r="AB71" s="107" t="s">
        <v>503</v>
      </c>
      <c r="AC71" s="107"/>
      <c r="AD71" s="107"/>
    </row>
    <row r="72" spans="1:30" x14ac:dyDescent="0.25">
      <c r="A72" s="107" t="s">
        <v>952</v>
      </c>
      <c r="B72" s="107" t="s">
        <v>120</v>
      </c>
      <c r="C72" s="107" t="s">
        <v>2432</v>
      </c>
      <c r="D72" s="107">
        <v>2306</v>
      </c>
      <c r="E72" s="107">
        <v>1049</v>
      </c>
      <c r="F72" s="107">
        <f t="shared" si="5"/>
        <v>3355</v>
      </c>
      <c r="G72" s="107"/>
      <c r="H72" s="107"/>
      <c r="I72" s="108">
        <v>104</v>
      </c>
      <c r="J72" s="108">
        <v>120</v>
      </c>
      <c r="K72" s="107">
        <v>3</v>
      </c>
      <c r="L72" s="112">
        <f t="shared" si="6"/>
        <v>2.5000000000000001E-2</v>
      </c>
      <c r="M72" s="148">
        <f t="array" ref="M72">SUM(MAX(0,'AL pre'!$P$2:$P$68*(1-((L72-'AL pre'!$O$2:$O$68)/BW)^2)))/SUM(MAX(0,1-((L72-'AL pre'!$O$2:$O$68)/BW)^2))</f>
        <v>122.98673460875001</v>
      </c>
      <c r="N72" s="108">
        <v>5100</v>
      </c>
      <c r="O72" s="132">
        <v>34.25</v>
      </c>
      <c r="P72" s="132">
        <v>29.07</v>
      </c>
      <c r="Q72" s="112">
        <f t="shared" si="8"/>
        <v>32.630381520119222</v>
      </c>
      <c r="R72" s="108">
        <v>32672</v>
      </c>
      <c r="S72" s="107">
        <v>111</v>
      </c>
      <c r="T72" s="107">
        <v>32672</v>
      </c>
      <c r="U72" s="107">
        <v>1905</v>
      </c>
      <c r="V72" s="107" t="s">
        <v>468</v>
      </c>
      <c r="W72" s="107" t="s">
        <v>499</v>
      </c>
      <c r="X72" s="107" t="str">
        <f t="shared" si="7"/>
        <v>https://archive.org/download/SOPIK1905/1905.pdf#page=330</v>
      </c>
      <c r="Y72" s="107" t="s">
        <v>505</v>
      </c>
      <c r="Z72" s="107" t="s">
        <v>500</v>
      </c>
      <c r="AA72" s="107" t="s">
        <v>506</v>
      </c>
      <c r="AB72" s="107" t="s">
        <v>503</v>
      </c>
      <c r="AC72" s="107"/>
      <c r="AD72" s="107"/>
    </row>
    <row r="73" spans="1:30" x14ac:dyDescent="0.25">
      <c r="A73" s="107" t="s">
        <v>953</v>
      </c>
      <c r="B73" s="107" t="s">
        <v>120</v>
      </c>
      <c r="C73" s="107" t="s">
        <v>2433</v>
      </c>
      <c r="D73" s="107">
        <v>1139</v>
      </c>
      <c r="E73" s="107">
        <v>220</v>
      </c>
      <c r="F73" s="107">
        <f t="shared" si="5"/>
        <v>1359</v>
      </c>
      <c r="G73" s="107"/>
      <c r="H73" s="107"/>
      <c r="I73" s="108">
        <v>51</v>
      </c>
      <c r="J73" s="108">
        <v>41</v>
      </c>
      <c r="K73" s="107"/>
      <c r="L73" s="112">
        <f t="shared" si="6"/>
        <v>0</v>
      </c>
      <c r="M73" s="148">
        <f t="array" ref="M73">SUM(MAX(0,'AL pre'!$P$2:$P$68*(1-((L73-'AL pre'!$O$2:$O$68)/BW)^2)))/SUM(MAX(0,1-((L73-'AL pre'!$O$2:$O$68)/BW)^2))</f>
        <v>124.9968387776607</v>
      </c>
      <c r="N73" s="108">
        <v>2311</v>
      </c>
      <c r="O73" s="132">
        <v>33.04</v>
      </c>
      <c r="P73" s="132">
        <v>24.42</v>
      </c>
      <c r="Q73" s="112">
        <f t="shared" si="8"/>
        <v>31.64456217807211</v>
      </c>
      <c r="R73" s="108">
        <v>14850</v>
      </c>
      <c r="S73" s="107">
        <v>41</v>
      </c>
      <c r="T73" s="107">
        <v>14850</v>
      </c>
      <c r="U73" s="107">
        <v>1905</v>
      </c>
      <c r="V73" s="107" t="s">
        <v>468</v>
      </c>
      <c r="W73" s="107" t="s">
        <v>499</v>
      </c>
      <c r="X73" s="107" t="str">
        <f t="shared" si="7"/>
        <v>https://archive.org/download/SOPIK1905/1905.pdf#page=330</v>
      </c>
      <c r="Y73" s="107" t="s">
        <v>505</v>
      </c>
      <c r="Z73" s="107" t="s">
        <v>500</v>
      </c>
      <c r="AA73" s="107" t="s">
        <v>506</v>
      </c>
      <c r="AB73" s="107" t="s">
        <v>503</v>
      </c>
      <c r="AC73" s="107"/>
      <c r="AD73" s="107"/>
    </row>
    <row r="74" spans="1:30" x14ac:dyDescent="0.25">
      <c r="A74" s="107" t="s">
        <v>957</v>
      </c>
      <c r="B74" s="107" t="s">
        <v>120</v>
      </c>
      <c r="C74" s="107" t="s">
        <v>38</v>
      </c>
      <c r="D74" s="107">
        <v>2054</v>
      </c>
      <c r="E74" s="107">
        <v>632</v>
      </c>
      <c r="F74" s="107">
        <f t="shared" si="5"/>
        <v>2686</v>
      </c>
      <c r="G74" s="107"/>
      <c r="H74" s="107"/>
      <c r="I74" s="108">
        <v>124</v>
      </c>
      <c r="J74" s="108">
        <v>102</v>
      </c>
      <c r="K74" s="107">
        <v>2</v>
      </c>
      <c r="L74" s="112">
        <f t="shared" si="6"/>
        <v>1.9607843137254902E-2</v>
      </c>
      <c r="M74" s="148">
        <f t="array" ref="M74">SUM(MAX(0,'AL pre'!$P$2:$P$68*(1-((L74-'AL pre'!$O$2:$O$68)/BW)^2)))/SUM(MAX(0,1-((L74-'AL pre'!$O$2:$O$68)/BW)^2))</f>
        <v>124.86462460025774</v>
      </c>
      <c r="N74" s="108">
        <v>4834</v>
      </c>
      <c r="O74" s="132">
        <v>35.5</v>
      </c>
      <c r="P74" s="132">
        <v>30</v>
      </c>
      <c r="Q74" s="112">
        <f t="shared" si="8"/>
        <v>34.205882352941174</v>
      </c>
      <c r="R74" s="108">
        <v>47000</v>
      </c>
      <c r="S74" s="107">
        <v>102</v>
      </c>
      <c r="T74" s="107">
        <v>47000</v>
      </c>
      <c r="U74" s="107">
        <v>1905</v>
      </c>
      <c r="V74" s="107" t="s">
        <v>468</v>
      </c>
      <c r="W74" s="107" t="s">
        <v>499</v>
      </c>
      <c r="X74" s="107" t="str">
        <f t="shared" si="7"/>
        <v>https://archive.org/download/SOPIK1905/1905.pdf#page=330</v>
      </c>
      <c r="Y74" s="107" t="s">
        <v>505</v>
      </c>
      <c r="Z74" s="107" t="s">
        <v>500</v>
      </c>
      <c r="AA74" s="107" t="s">
        <v>506</v>
      </c>
      <c r="AB74" s="107" t="s">
        <v>503</v>
      </c>
      <c r="AC74" s="107"/>
      <c r="AD74" s="107"/>
    </row>
    <row r="75" spans="1:30" x14ac:dyDescent="0.25">
      <c r="A75" s="107" t="s">
        <v>958</v>
      </c>
      <c r="B75" s="107" t="s">
        <v>120</v>
      </c>
      <c r="C75" s="107" t="s">
        <v>141</v>
      </c>
      <c r="D75" s="107">
        <v>1570</v>
      </c>
      <c r="E75" s="107">
        <v>8</v>
      </c>
      <c r="F75" s="107">
        <f t="shared" si="5"/>
        <v>1578</v>
      </c>
      <c r="G75" s="107"/>
      <c r="H75" s="107"/>
      <c r="I75" s="108">
        <v>101</v>
      </c>
      <c r="J75" s="108">
        <v>82</v>
      </c>
      <c r="K75" s="107"/>
      <c r="L75" s="112">
        <f t="shared" si="6"/>
        <v>0</v>
      </c>
      <c r="M75" s="148">
        <f t="array" ref="M75">SUM(MAX(0,'AL pre'!$P$2:$P$68*(1-((L75-'AL pre'!$O$2:$O$68)/BW)^2)))/SUM(MAX(0,1-((L75-'AL pre'!$O$2:$O$68)/BW)^2))</f>
        <v>124.9968387776607</v>
      </c>
      <c r="N75" s="108">
        <v>4381</v>
      </c>
      <c r="O75" s="132"/>
      <c r="P75" s="132"/>
      <c r="Q75" s="112"/>
      <c r="R75" s="108">
        <v>15000</v>
      </c>
      <c r="S75" s="107">
        <v>80</v>
      </c>
      <c r="T75" s="107">
        <v>15000</v>
      </c>
      <c r="U75" s="107">
        <v>1905</v>
      </c>
      <c r="V75" s="107" t="s">
        <v>468</v>
      </c>
      <c r="W75" s="107" t="s">
        <v>499</v>
      </c>
      <c r="X75" s="107" t="str">
        <f t="shared" si="7"/>
        <v>https://archive.org/download/SOPIK1905/1905.pdf#page=330</v>
      </c>
      <c r="Y75" s="107" t="s">
        <v>505</v>
      </c>
      <c r="Z75" s="107" t="s">
        <v>500</v>
      </c>
      <c r="AA75" s="107" t="s">
        <v>506</v>
      </c>
      <c r="AB75" s="107" t="s">
        <v>503</v>
      </c>
      <c r="AC75" s="107"/>
      <c r="AD75" s="107"/>
    </row>
    <row r="76" spans="1:30" x14ac:dyDescent="0.25">
      <c r="A76" s="107" t="s">
        <v>959</v>
      </c>
      <c r="B76" s="107" t="s">
        <v>120</v>
      </c>
      <c r="C76" s="107" t="s">
        <v>40</v>
      </c>
      <c r="D76" s="107">
        <v>3120</v>
      </c>
      <c r="E76" s="107">
        <v>665</v>
      </c>
      <c r="F76" s="107">
        <f t="shared" si="5"/>
        <v>3785</v>
      </c>
      <c r="G76" s="107"/>
      <c r="H76" s="107"/>
      <c r="I76" s="108">
        <v>90</v>
      </c>
      <c r="J76" s="108">
        <v>67</v>
      </c>
      <c r="K76" s="107">
        <v>6</v>
      </c>
      <c r="L76" s="112">
        <f t="shared" si="6"/>
        <v>8.9552238805970144E-2</v>
      </c>
      <c r="M76" s="148">
        <f t="array" ref="M76">SUM(MAX(0,'AL pre'!$P$2:$P$68*(1-((L76-'AL pre'!$O$2:$O$68)/BW)^2)))/SUM(MAX(0,1-((L76-'AL pre'!$O$2:$O$68)/BW)^2))</f>
        <v>132.66885580157245</v>
      </c>
      <c r="N76" s="108">
        <v>4300</v>
      </c>
      <c r="O76" s="132"/>
      <c r="P76" s="132"/>
      <c r="Q76" s="112"/>
      <c r="R76" s="108">
        <v>37200</v>
      </c>
      <c r="S76" s="107">
        <v>73</v>
      </c>
      <c r="T76" s="107">
        <v>37200</v>
      </c>
      <c r="U76" s="107">
        <v>1905</v>
      </c>
      <c r="V76" s="107" t="s">
        <v>468</v>
      </c>
      <c r="W76" s="107" t="s">
        <v>499</v>
      </c>
      <c r="X76" s="107" t="str">
        <f t="shared" si="7"/>
        <v>https://archive.org/download/SOPIK1905/1905.pdf#page=330</v>
      </c>
      <c r="Y76" s="107" t="s">
        <v>505</v>
      </c>
      <c r="Z76" s="107" t="s">
        <v>500</v>
      </c>
      <c r="AA76" s="107" t="s">
        <v>506</v>
      </c>
      <c r="AB76" s="107" t="s">
        <v>503</v>
      </c>
      <c r="AC76" s="107"/>
      <c r="AD76" s="107"/>
    </row>
    <row r="77" spans="1:30" x14ac:dyDescent="0.25">
      <c r="A77" s="107" t="s">
        <v>960</v>
      </c>
      <c r="B77" s="107" t="s">
        <v>120</v>
      </c>
      <c r="C77" s="107" t="s">
        <v>41</v>
      </c>
      <c r="D77" s="107"/>
      <c r="E77" s="107"/>
      <c r="F77" s="107">
        <f t="shared" si="5"/>
        <v>0</v>
      </c>
      <c r="G77" s="107"/>
      <c r="H77" s="107"/>
      <c r="I77" s="108">
        <v>167</v>
      </c>
      <c r="J77" s="108">
        <v>66</v>
      </c>
      <c r="K77" s="107">
        <v>15</v>
      </c>
      <c r="L77" s="112">
        <f t="shared" si="6"/>
        <v>0.22727272727272727</v>
      </c>
      <c r="M77" s="148">
        <f t="array" ref="M77">SUM(MAX(0,'AL pre'!$P$2:$P$68*(1-((L77-'AL pre'!$O$2:$O$68)/BW)^2)))/SUM(MAX(0,1-((L77-'AL pre'!$O$2:$O$68)/BW)^2))</f>
        <v>110.6757109419935</v>
      </c>
      <c r="N77" s="108">
        <v>4090</v>
      </c>
      <c r="O77" s="132">
        <v>34</v>
      </c>
      <c r="P77" s="132">
        <v>30</v>
      </c>
      <c r="Q77" s="112">
        <f>(O77+P77)/2</f>
        <v>32</v>
      </c>
      <c r="R77" s="108">
        <v>25500</v>
      </c>
      <c r="S77" s="107">
        <v>66</v>
      </c>
      <c r="T77" s="107">
        <v>25500</v>
      </c>
      <c r="U77" s="107">
        <v>1905</v>
      </c>
      <c r="V77" s="107" t="s">
        <v>468</v>
      </c>
      <c r="W77" s="107" t="s">
        <v>499</v>
      </c>
      <c r="X77" s="107" t="str">
        <f t="shared" si="7"/>
        <v>https://archive.org/download/SOPIK1905/1905.pdf#page=330</v>
      </c>
      <c r="Y77" s="107" t="s">
        <v>505</v>
      </c>
      <c r="Z77" s="107" t="s">
        <v>500</v>
      </c>
      <c r="AA77" s="107" t="s">
        <v>506</v>
      </c>
      <c r="AB77" s="107" t="s">
        <v>503</v>
      </c>
      <c r="AC77" s="107"/>
      <c r="AD77" s="107"/>
    </row>
    <row r="78" spans="1:30" x14ac:dyDescent="0.25">
      <c r="A78" s="107" t="s">
        <v>961</v>
      </c>
      <c r="B78" s="107" t="s">
        <v>120</v>
      </c>
      <c r="C78" s="107" t="s">
        <v>142</v>
      </c>
      <c r="D78" s="107">
        <v>1196</v>
      </c>
      <c r="E78" s="107"/>
      <c r="F78" s="107">
        <f t="shared" si="5"/>
        <v>1196</v>
      </c>
      <c r="G78" s="107"/>
      <c r="H78" s="107"/>
      <c r="I78" s="108">
        <v>40</v>
      </c>
      <c r="J78" s="108">
        <v>34</v>
      </c>
      <c r="K78" s="107">
        <v>2</v>
      </c>
      <c r="L78" s="112">
        <f t="shared" si="6"/>
        <v>5.8823529411764705E-2</v>
      </c>
      <c r="M78" s="148">
        <f t="array" ref="M78">SUM(MAX(0,'AL pre'!$P$2:$P$68*(1-((L78-'AL pre'!$O$2:$O$68)/BW)^2)))/SUM(MAX(0,1-((L78-'AL pre'!$O$2:$O$68)/BW)^2))</f>
        <v>115.32023409261451</v>
      </c>
      <c r="N78" s="107">
        <v>1567</v>
      </c>
      <c r="O78" s="132">
        <v>35.94</v>
      </c>
      <c r="P78" s="132"/>
      <c r="Q78" s="112">
        <v>35.94</v>
      </c>
      <c r="R78" s="108">
        <v>13000</v>
      </c>
      <c r="S78" s="107">
        <v>34</v>
      </c>
      <c r="T78" s="107">
        <v>13000</v>
      </c>
      <c r="U78" s="107">
        <v>1905</v>
      </c>
      <c r="V78" s="107" t="s">
        <v>468</v>
      </c>
      <c r="W78" s="107" t="s">
        <v>499</v>
      </c>
      <c r="X78" s="107" t="str">
        <f t="shared" si="7"/>
        <v>https://archive.org/download/SOPIK1905/1905.pdf#page=330</v>
      </c>
      <c r="Y78" s="107" t="s">
        <v>505</v>
      </c>
      <c r="Z78" s="107" t="s">
        <v>500</v>
      </c>
      <c r="AA78" s="107" t="s">
        <v>506</v>
      </c>
      <c r="AB78" s="107" t="s">
        <v>503</v>
      </c>
      <c r="AC78" s="107"/>
      <c r="AD78" s="107"/>
    </row>
    <row r="79" spans="1:30" x14ac:dyDescent="0.25">
      <c r="A79" s="107" t="s">
        <v>962</v>
      </c>
      <c r="B79" s="107" t="s">
        <v>120</v>
      </c>
      <c r="C79" s="107" t="s">
        <v>143</v>
      </c>
      <c r="D79" s="107">
        <v>1540</v>
      </c>
      <c r="E79" s="107">
        <v>296</v>
      </c>
      <c r="F79" s="107">
        <f t="shared" si="5"/>
        <v>1836</v>
      </c>
      <c r="G79" s="107"/>
      <c r="H79" s="107"/>
      <c r="I79" s="108">
        <v>71</v>
      </c>
      <c r="J79" s="108">
        <v>62</v>
      </c>
      <c r="K79" s="107">
        <v>61</v>
      </c>
      <c r="L79" s="112">
        <f t="shared" si="6"/>
        <v>0.9838709677419355</v>
      </c>
      <c r="M79" s="148">
        <f t="array" ref="M79">SUM(MAX(0,'AL pre'!$P$2:$P$68*(1-((L79-'AL pre'!$O$2:$O$68)/BW)^2)))/SUM(MAX(0,1-((L79-'AL pre'!$O$2:$O$68)/BW)^2))</f>
        <v>140.00426345192591</v>
      </c>
      <c r="N79" s="108">
        <v>2789</v>
      </c>
      <c r="O79" s="132">
        <v>44.79</v>
      </c>
      <c r="P79" s="132">
        <v>44.79</v>
      </c>
      <c r="Q79" s="112">
        <f>(D79*O79+E79*P79)/F79</f>
        <v>44.79</v>
      </c>
      <c r="R79" s="108">
        <v>27000</v>
      </c>
      <c r="S79" s="107">
        <v>58</v>
      </c>
      <c r="T79" s="107">
        <v>27000</v>
      </c>
      <c r="U79" s="107">
        <v>1905</v>
      </c>
      <c r="V79" s="107" t="s">
        <v>468</v>
      </c>
      <c r="W79" s="107" t="s">
        <v>499</v>
      </c>
      <c r="X79" s="107" t="str">
        <f t="shared" si="7"/>
        <v>https://archive.org/download/SOPIK1905/1905.pdf#page=330</v>
      </c>
      <c r="Y79" s="107" t="s">
        <v>505</v>
      </c>
      <c r="Z79" s="107" t="s">
        <v>500</v>
      </c>
      <c r="AA79" s="107" t="s">
        <v>506</v>
      </c>
      <c r="AB79" s="107" t="s">
        <v>503</v>
      </c>
      <c r="AC79" s="107"/>
      <c r="AD79" s="107"/>
    </row>
    <row r="80" spans="1:30" x14ac:dyDescent="0.25">
      <c r="A80" s="107" t="s">
        <v>954</v>
      </c>
      <c r="B80" s="107" t="s">
        <v>120</v>
      </c>
      <c r="C80" s="107" t="s">
        <v>2434</v>
      </c>
      <c r="D80" s="107">
        <v>1185</v>
      </c>
      <c r="E80" s="107">
        <v>156</v>
      </c>
      <c r="F80" s="107">
        <f t="shared" si="5"/>
        <v>1341</v>
      </c>
      <c r="G80" s="107"/>
      <c r="H80" s="107"/>
      <c r="I80" s="108">
        <v>71</v>
      </c>
      <c r="J80" s="108">
        <v>54</v>
      </c>
      <c r="K80" s="107">
        <v>5</v>
      </c>
      <c r="L80" s="112">
        <f t="shared" si="6"/>
        <v>9.2592592592592587E-2</v>
      </c>
      <c r="M80" s="148">
        <f t="array" ref="M80">SUM(MAX(0,'AL pre'!$P$2:$P$68*(1-((L80-'AL pre'!$O$2:$O$68)/BW)^2)))/SUM(MAX(0,1-((L80-'AL pre'!$O$2:$O$68)/BW)^2))</f>
        <v>133.9180301382566</v>
      </c>
      <c r="N80" s="108">
        <v>2836</v>
      </c>
      <c r="O80" s="132">
        <v>38.78</v>
      </c>
      <c r="P80" s="132">
        <v>28.33</v>
      </c>
      <c r="Q80" s="112">
        <f>(D80*O80+E80*P80)/F80</f>
        <v>37.564340044742728</v>
      </c>
      <c r="R80" s="108">
        <v>19000</v>
      </c>
      <c r="S80" s="107">
        <v>54</v>
      </c>
      <c r="T80" s="107">
        <v>19000</v>
      </c>
      <c r="U80" s="107">
        <v>1905</v>
      </c>
      <c r="V80" s="107" t="s">
        <v>468</v>
      </c>
      <c r="W80" s="107" t="s">
        <v>499</v>
      </c>
      <c r="X80" s="107" t="str">
        <f t="shared" si="7"/>
        <v>https://archive.org/download/SOPIK1905/1905.pdf#page=330</v>
      </c>
      <c r="Y80" s="107" t="s">
        <v>505</v>
      </c>
      <c r="Z80" s="107" t="s">
        <v>500</v>
      </c>
      <c r="AA80" s="107" t="s">
        <v>506</v>
      </c>
      <c r="AB80" s="107" t="s">
        <v>503</v>
      </c>
      <c r="AC80" s="107"/>
      <c r="AD80" s="107"/>
    </row>
    <row r="81" spans="1:30" x14ac:dyDescent="0.25">
      <c r="A81" s="107" t="s">
        <v>955</v>
      </c>
      <c r="B81" s="107" t="s">
        <v>120</v>
      </c>
      <c r="C81" s="107" t="s">
        <v>2435</v>
      </c>
      <c r="F81" s="107">
        <f t="shared" si="5"/>
        <v>0</v>
      </c>
      <c r="G81" s="107"/>
      <c r="H81" s="107"/>
      <c r="I81" s="107"/>
      <c r="K81" s="107"/>
      <c r="L81" s="112" t="e">
        <f t="shared" si="6"/>
        <v>#DIV/0!</v>
      </c>
      <c r="M81" s="148" t="e">
        <f t="array" ref="M81">SUM(MAX(0,'AL pre'!$P$2:$P$68*(1-((L81-'AL pre'!$O$2:$O$68)/BW)^2)))/SUM(MAX(0,1-((L81-'AL pre'!$O$2:$O$68)/BW)^2))</f>
        <v>#DIV/0!</v>
      </c>
      <c r="N81" s="107"/>
      <c r="P81" s="132"/>
      <c r="Q81" s="112"/>
      <c r="R81" s="108">
        <v>16800</v>
      </c>
      <c r="S81" s="107">
        <v>0</v>
      </c>
      <c r="T81" s="107">
        <v>16800</v>
      </c>
      <c r="U81" s="107">
        <v>1905</v>
      </c>
      <c r="V81" s="107" t="s">
        <v>468</v>
      </c>
      <c r="W81" s="107" t="s">
        <v>499</v>
      </c>
      <c r="X81" s="107" t="str">
        <f t="shared" si="7"/>
        <v>https://archive.org/download/SOPIK1905/1905.pdf#page=330</v>
      </c>
      <c r="Y81" s="107" t="s">
        <v>505</v>
      </c>
      <c r="Z81" s="107" t="s">
        <v>500</v>
      </c>
      <c r="AA81" s="107" t="s">
        <v>506</v>
      </c>
      <c r="AB81" s="107" t="s">
        <v>503</v>
      </c>
      <c r="AC81" s="107"/>
      <c r="AD81" s="107"/>
    </row>
    <row r="82" spans="1:30" x14ac:dyDescent="0.25">
      <c r="A82" s="107" t="s">
        <v>956</v>
      </c>
      <c r="B82" s="107" t="s">
        <v>120</v>
      </c>
      <c r="C82" s="107" t="s">
        <v>140</v>
      </c>
      <c r="D82" s="107">
        <v>3132</v>
      </c>
      <c r="E82" s="107">
        <v>221</v>
      </c>
      <c r="F82" s="107">
        <f t="shared" si="5"/>
        <v>3353</v>
      </c>
      <c r="G82" s="107"/>
      <c r="H82" s="107"/>
      <c r="I82" s="108">
        <v>80</v>
      </c>
      <c r="J82" s="107">
        <v>65</v>
      </c>
      <c r="K82" s="107">
        <v>8</v>
      </c>
      <c r="L82" s="112">
        <f t="shared" si="6"/>
        <v>0.12307692307692308</v>
      </c>
      <c r="M82" s="148">
        <f t="array" ref="M82">SUM(MAX(0,'AL pre'!$P$2:$P$68*(1-((L82-'AL pre'!$O$2:$O$68)/BW)^2)))/SUM(MAX(0,1-((L82-'AL pre'!$O$2:$O$68)/BW)^2))</f>
        <v>140.69823877159959</v>
      </c>
      <c r="N82" s="108">
        <v>3915</v>
      </c>
      <c r="O82" s="132">
        <v>33.51</v>
      </c>
      <c r="P82" s="132">
        <v>33.22</v>
      </c>
      <c r="Q82" s="112">
        <f>(D82*O82+E82*P82)/F82</f>
        <v>33.49088577393379</v>
      </c>
      <c r="R82" s="108"/>
      <c r="S82" s="107">
        <v>65</v>
      </c>
      <c r="T82" s="107"/>
      <c r="U82" s="107">
        <v>1905</v>
      </c>
      <c r="V82" s="107" t="s">
        <v>468</v>
      </c>
      <c r="W82" s="107" t="s">
        <v>499</v>
      </c>
      <c r="X82" s="107" t="str">
        <f t="shared" si="7"/>
        <v>https://archive.org/download/SOPIK1905/1905.pdf#page=330</v>
      </c>
      <c r="Y82" s="107" t="s">
        <v>505</v>
      </c>
      <c r="Z82" s="107" t="s">
        <v>500</v>
      </c>
      <c r="AA82" s="107" t="s">
        <v>506</v>
      </c>
      <c r="AB82" s="107" t="s">
        <v>503</v>
      </c>
      <c r="AC82" s="107"/>
      <c r="AD82" s="107"/>
    </row>
    <row r="83" spans="1:30" x14ac:dyDescent="0.25">
      <c r="A83" s="107" t="s">
        <v>963</v>
      </c>
      <c r="B83" s="107" t="s">
        <v>120</v>
      </c>
      <c r="C83" s="107" t="s">
        <v>2436</v>
      </c>
      <c r="D83" s="107">
        <v>1290</v>
      </c>
      <c r="E83" s="107">
        <v>106</v>
      </c>
      <c r="F83" s="107">
        <f t="shared" si="5"/>
        <v>1396</v>
      </c>
      <c r="G83" s="107"/>
      <c r="H83" s="107"/>
      <c r="I83" s="108">
        <v>45</v>
      </c>
      <c r="J83" s="108">
        <v>67</v>
      </c>
      <c r="K83" s="107">
        <v>4</v>
      </c>
      <c r="L83" s="112">
        <f t="shared" si="6"/>
        <v>5.9701492537313432E-2</v>
      </c>
      <c r="M83" s="148">
        <f t="array" ref="M83">SUM(MAX(0,'AL pre'!$P$2:$P$68*(1-((L83-'AL pre'!$O$2:$O$68)/BW)^2)))/SUM(MAX(0,1-((L83-'AL pre'!$O$2:$O$68)/BW)^2))</f>
        <v>115.9647886825415</v>
      </c>
      <c r="N83" s="108">
        <v>2778</v>
      </c>
      <c r="O83" s="132">
        <v>25.6</v>
      </c>
      <c r="P83" s="132">
        <v>25.5</v>
      </c>
      <c r="Q83" s="112">
        <f>(D83*O83+E83*P83)/F83</f>
        <v>25.592406876790832</v>
      </c>
      <c r="R83" s="108">
        <v>12575</v>
      </c>
      <c r="S83" s="107">
        <v>67</v>
      </c>
      <c r="T83" s="107">
        <v>12575</v>
      </c>
      <c r="U83" s="107">
        <v>1905</v>
      </c>
      <c r="V83" s="107" t="s">
        <v>468</v>
      </c>
      <c r="W83" s="107" t="s">
        <v>499</v>
      </c>
      <c r="X83" s="107" t="str">
        <f t="shared" si="7"/>
        <v>https://archive.org/download/SOPIK1905/1905.pdf#page=330</v>
      </c>
      <c r="Y83" s="107" t="s">
        <v>505</v>
      </c>
      <c r="Z83" s="107" t="s">
        <v>500</v>
      </c>
      <c r="AA83" s="107" t="s">
        <v>506</v>
      </c>
      <c r="AB83" s="107" t="s">
        <v>503</v>
      </c>
      <c r="AC83" s="107"/>
      <c r="AD83" s="107"/>
    </row>
    <row r="84" spans="1:30" x14ac:dyDescent="0.25">
      <c r="A84" s="107" t="s">
        <v>964</v>
      </c>
      <c r="B84" s="107" t="s">
        <v>120</v>
      </c>
      <c r="C84" s="107" t="s">
        <v>151</v>
      </c>
      <c r="D84" s="107"/>
      <c r="E84" s="107"/>
      <c r="F84" s="107">
        <f t="shared" si="5"/>
        <v>0</v>
      </c>
      <c r="G84" s="107"/>
      <c r="H84" s="107"/>
      <c r="I84" s="108">
        <v>42</v>
      </c>
      <c r="J84" s="108">
        <v>37</v>
      </c>
      <c r="K84" s="107"/>
      <c r="L84" s="112">
        <f t="shared" si="6"/>
        <v>0</v>
      </c>
      <c r="M84" s="148">
        <f t="array" ref="M84">SUM(MAX(0,'AL pre'!$P$2:$P$68*(1-((L84-'AL pre'!$O$2:$O$68)/BW)^2)))/SUM(MAX(0,1-((L84-'AL pre'!$O$2:$O$68)/BW)^2))</f>
        <v>124.9968387776607</v>
      </c>
      <c r="N84" s="108">
        <v>1675</v>
      </c>
      <c r="O84" s="132">
        <v>31.65</v>
      </c>
      <c r="P84" s="132">
        <v>21.45</v>
      </c>
      <c r="Q84" s="112">
        <f>(O84+P84)/2</f>
        <v>26.549999999999997</v>
      </c>
      <c r="R84" s="108">
        <v>4150</v>
      </c>
      <c r="S84" s="107">
        <v>39</v>
      </c>
      <c r="T84" s="107">
        <v>4150</v>
      </c>
      <c r="U84" s="107">
        <v>1905</v>
      </c>
      <c r="V84" s="107" t="s">
        <v>468</v>
      </c>
      <c r="W84" s="107" t="s">
        <v>499</v>
      </c>
      <c r="X84" s="107" t="str">
        <f t="shared" si="7"/>
        <v>https://archive.org/download/SOPIK1905/1905.pdf#page=330</v>
      </c>
      <c r="Y84" s="107" t="s">
        <v>505</v>
      </c>
      <c r="Z84" s="107" t="s">
        <v>500</v>
      </c>
      <c r="AA84" s="107" t="s">
        <v>506</v>
      </c>
      <c r="AB84" s="107" t="s">
        <v>503</v>
      </c>
      <c r="AC84" s="107"/>
      <c r="AD84" s="107"/>
    </row>
    <row r="85" spans="1:30" x14ac:dyDescent="0.25">
      <c r="A85" s="107" t="s">
        <v>965</v>
      </c>
      <c r="B85" s="107" t="s">
        <v>120</v>
      </c>
      <c r="C85" s="107" t="s">
        <v>2437</v>
      </c>
      <c r="D85" s="107">
        <v>1800</v>
      </c>
      <c r="E85" s="107">
        <v>330</v>
      </c>
      <c r="F85" s="107">
        <f t="shared" si="5"/>
        <v>2130</v>
      </c>
      <c r="G85" s="107"/>
      <c r="H85" s="107"/>
      <c r="I85" s="108">
        <v>67</v>
      </c>
      <c r="J85" s="108">
        <v>56</v>
      </c>
      <c r="K85" s="107"/>
      <c r="L85" s="112">
        <f t="shared" si="6"/>
        <v>0</v>
      </c>
      <c r="M85" s="148">
        <f t="array" ref="M85">SUM(MAX(0,'AL pre'!$P$2:$P$68*(1-((L85-'AL pre'!$O$2:$O$68)/BW)^2)))/SUM(MAX(0,1-((L85-'AL pre'!$O$2:$O$68)/BW)^2))</f>
        <v>124.9968387776607</v>
      </c>
      <c r="N85" s="108">
        <v>3120</v>
      </c>
      <c r="O85" s="132">
        <v>37</v>
      </c>
      <c r="P85" s="132">
        <v>30</v>
      </c>
      <c r="Q85" s="112">
        <f>(D85*O85+E85*P85)/F85</f>
        <v>35.91549295774648</v>
      </c>
      <c r="R85" s="108">
        <v>32800</v>
      </c>
      <c r="S85" s="107">
        <v>56</v>
      </c>
      <c r="T85" s="107">
        <v>32800</v>
      </c>
      <c r="U85" s="107">
        <v>1905</v>
      </c>
      <c r="V85" s="107" t="s">
        <v>468</v>
      </c>
      <c r="W85" s="107" t="s">
        <v>499</v>
      </c>
      <c r="X85" s="107" t="str">
        <f t="shared" si="7"/>
        <v>https://archive.org/download/SOPIK1905/1905.pdf#page=330</v>
      </c>
      <c r="Y85" s="107" t="s">
        <v>505</v>
      </c>
      <c r="Z85" s="107" t="s">
        <v>500</v>
      </c>
      <c r="AA85" s="107" t="s">
        <v>506</v>
      </c>
      <c r="AB85" s="107" t="s">
        <v>503</v>
      </c>
      <c r="AC85" s="107"/>
      <c r="AD85" s="107"/>
    </row>
    <row r="86" spans="1:30" x14ac:dyDescent="0.25">
      <c r="A86" s="107" t="s">
        <v>1749</v>
      </c>
      <c r="B86" s="107" t="s">
        <v>120</v>
      </c>
      <c r="C86" s="107" t="s">
        <v>2438</v>
      </c>
      <c r="D86" s="107">
        <v>1059</v>
      </c>
      <c r="E86" s="107">
        <v>107</v>
      </c>
      <c r="F86" s="107">
        <f t="shared" si="5"/>
        <v>1166</v>
      </c>
      <c r="G86" s="107"/>
      <c r="H86" s="107"/>
      <c r="I86" s="108">
        <v>74</v>
      </c>
      <c r="J86" s="108">
        <v>63</v>
      </c>
      <c r="K86" s="107"/>
      <c r="L86" s="112">
        <f t="shared" si="6"/>
        <v>0</v>
      </c>
      <c r="M86" s="148">
        <f t="array" ref="M86">SUM(MAX(0,'AL pre'!$P$2:$P$68*(1-((L86-'AL pre'!$O$2:$O$68)/BW)^2)))/SUM(MAX(0,1-((L86-'AL pre'!$O$2:$O$68)/BW)^2))</f>
        <v>124.9968387776607</v>
      </c>
      <c r="N86" s="108">
        <v>2401</v>
      </c>
      <c r="O86" s="132">
        <v>26.5</v>
      </c>
      <c r="P86" s="132">
        <v>23</v>
      </c>
      <c r="Q86" s="112">
        <f>(D86*O86+E86*P86)/F86</f>
        <v>26.178816466552316</v>
      </c>
      <c r="R86" s="108">
        <v>14100</v>
      </c>
      <c r="S86" s="107">
        <v>63</v>
      </c>
      <c r="T86" s="107">
        <v>14100</v>
      </c>
      <c r="U86" s="107">
        <v>1905</v>
      </c>
      <c r="V86" s="107" t="s">
        <v>468</v>
      </c>
      <c r="W86" s="107" t="s">
        <v>499</v>
      </c>
      <c r="X86" s="107" t="str">
        <f t="shared" si="7"/>
        <v>https://archive.org/download/SOPIK1905/1905.pdf#page=330</v>
      </c>
      <c r="Y86" s="107" t="s">
        <v>505</v>
      </c>
      <c r="Z86" s="107" t="s">
        <v>500</v>
      </c>
      <c r="AA86" s="107" t="s">
        <v>506</v>
      </c>
      <c r="AB86" s="107" t="s">
        <v>503</v>
      </c>
      <c r="AC86" s="107"/>
      <c r="AD86" s="107"/>
    </row>
    <row r="87" spans="1:30" x14ac:dyDescent="0.25">
      <c r="A87" s="107" t="s">
        <v>967</v>
      </c>
      <c r="B87" s="107" t="s">
        <v>120</v>
      </c>
      <c r="C87" s="107" t="s">
        <v>44</v>
      </c>
      <c r="D87" s="107">
        <v>1710</v>
      </c>
      <c r="E87" s="107">
        <v>97</v>
      </c>
      <c r="F87" s="107">
        <f t="shared" si="5"/>
        <v>1807</v>
      </c>
      <c r="G87" s="107"/>
      <c r="H87" s="107"/>
      <c r="I87" s="108">
        <v>79</v>
      </c>
      <c r="J87" s="108">
        <v>71</v>
      </c>
      <c r="K87" s="107"/>
      <c r="L87" s="112">
        <f t="shared" si="6"/>
        <v>0</v>
      </c>
      <c r="M87" s="148">
        <f t="array" ref="M87">SUM(MAX(0,'AL pre'!$P$2:$P$68*(1-((L87-'AL pre'!$O$2:$O$68)/BW)^2)))/SUM(MAX(0,1-((L87-'AL pre'!$O$2:$O$68)/BW)^2))</f>
        <v>124.9968387776607</v>
      </c>
      <c r="N87" s="108">
        <v>3406</v>
      </c>
      <c r="O87" s="132">
        <v>38</v>
      </c>
      <c r="P87" s="132">
        <v>21</v>
      </c>
      <c r="Q87" s="112">
        <f>(D87*O87+E87*P87)/F87</f>
        <v>37.087437742113998</v>
      </c>
      <c r="R87" s="108">
        <v>32350</v>
      </c>
      <c r="S87" s="107">
        <v>71</v>
      </c>
      <c r="T87" s="107">
        <v>32350</v>
      </c>
      <c r="U87" s="107">
        <v>1905</v>
      </c>
      <c r="V87" s="107" t="s">
        <v>468</v>
      </c>
      <c r="W87" s="107" t="s">
        <v>499</v>
      </c>
      <c r="X87" s="107" t="str">
        <f t="shared" si="7"/>
        <v>https://archive.org/download/SOPIK1905/1905.pdf#page=330</v>
      </c>
      <c r="Y87" s="107" t="s">
        <v>505</v>
      </c>
      <c r="Z87" s="107" t="s">
        <v>500</v>
      </c>
      <c r="AA87" s="107" t="s">
        <v>506</v>
      </c>
      <c r="AB87" s="107" t="s">
        <v>503</v>
      </c>
      <c r="AC87" s="107"/>
      <c r="AD87" s="107"/>
    </row>
    <row r="88" spans="1:30" x14ac:dyDescent="0.25">
      <c r="A88" s="107" t="s">
        <v>968</v>
      </c>
      <c r="B88" s="107" t="s">
        <v>120</v>
      </c>
      <c r="C88" s="107" t="s">
        <v>45</v>
      </c>
      <c r="D88" s="107">
        <v>1980</v>
      </c>
      <c r="E88" s="107">
        <v>705</v>
      </c>
      <c r="F88" s="107">
        <f t="shared" si="5"/>
        <v>2685</v>
      </c>
      <c r="G88" s="107"/>
      <c r="H88" s="107"/>
      <c r="I88" s="108">
        <v>43</v>
      </c>
      <c r="J88" s="108">
        <v>41</v>
      </c>
      <c r="K88" s="107"/>
      <c r="L88" s="112">
        <f t="shared" si="6"/>
        <v>0</v>
      </c>
      <c r="M88" s="148">
        <f t="array" ref="M88">SUM(MAX(0,'AL pre'!$P$2:$P$68*(1-((L88-'AL pre'!$O$2:$O$68)/BW)^2)))/SUM(MAX(0,1-((L88-'AL pre'!$O$2:$O$68)/BW)^2))</f>
        <v>124.9968387776607</v>
      </c>
      <c r="N88" s="108">
        <v>3510</v>
      </c>
      <c r="O88" s="132"/>
      <c r="P88" s="132"/>
      <c r="Q88" s="112"/>
      <c r="R88" s="108">
        <v>53000</v>
      </c>
      <c r="S88" s="107">
        <v>40</v>
      </c>
      <c r="T88" s="107">
        <v>53000</v>
      </c>
      <c r="U88" s="107">
        <v>1905</v>
      </c>
      <c r="V88" s="107" t="s">
        <v>468</v>
      </c>
      <c r="W88" s="107" t="s">
        <v>499</v>
      </c>
      <c r="X88" s="107" t="str">
        <f t="shared" si="7"/>
        <v>https://archive.org/download/SOPIK1905/1905.pdf#page=330</v>
      </c>
      <c r="Y88" s="107" t="s">
        <v>505</v>
      </c>
      <c r="Z88" s="107" t="s">
        <v>500</v>
      </c>
      <c r="AA88" s="107" t="s">
        <v>506</v>
      </c>
      <c r="AB88" s="107" t="s">
        <v>503</v>
      </c>
      <c r="AC88" s="107"/>
      <c r="AD88" s="107"/>
    </row>
    <row r="89" spans="1:30" x14ac:dyDescent="0.25">
      <c r="A89" s="107" t="s">
        <v>969</v>
      </c>
      <c r="B89" s="107" t="s">
        <v>120</v>
      </c>
      <c r="C89" s="107" t="s">
        <v>46</v>
      </c>
      <c r="D89" s="107">
        <v>3223</v>
      </c>
      <c r="E89" s="107"/>
      <c r="F89" s="107">
        <f t="shared" si="5"/>
        <v>3223</v>
      </c>
      <c r="G89" s="107"/>
      <c r="H89" s="107"/>
      <c r="I89" s="108">
        <v>84</v>
      </c>
      <c r="J89" s="108">
        <v>78</v>
      </c>
      <c r="K89" s="107"/>
      <c r="L89" s="112">
        <f t="shared" si="6"/>
        <v>0</v>
      </c>
      <c r="M89" s="148">
        <f t="array" ref="M89">SUM(MAX(0,'AL pre'!$P$2:$P$68*(1-((L89-'AL pre'!$O$2:$O$68)/BW)^2)))/SUM(MAX(0,1-((L89-'AL pre'!$O$2:$O$68)/BW)^2))</f>
        <v>124.9968387776607</v>
      </c>
      <c r="N89" s="107">
        <v>3595</v>
      </c>
      <c r="O89" s="132">
        <v>31.18</v>
      </c>
      <c r="P89" s="132"/>
      <c r="Q89" s="112">
        <v>31.18</v>
      </c>
      <c r="R89" s="108">
        <v>24680</v>
      </c>
      <c r="S89" s="107">
        <v>77</v>
      </c>
      <c r="T89" s="107">
        <v>24690</v>
      </c>
      <c r="U89" s="107">
        <v>1905</v>
      </c>
      <c r="V89" s="107" t="s">
        <v>468</v>
      </c>
      <c r="W89" s="107" t="s">
        <v>499</v>
      </c>
      <c r="X89" s="107" t="str">
        <f t="shared" si="7"/>
        <v>https://archive.org/download/SOPIK1905/1905.pdf#page=330</v>
      </c>
      <c r="Y89" s="107" t="s">
        <v>505</v>
      </c>
      <c r="Z89" s="107" t="s">
        <v>500</v>
      </c>
      <c r="AA89" s="107" t="s">
        <v>506</v>
      </c>
      <c r="AB89" s="107" t="s">
        <v>503</v>
      </c>
      <c r="AC89" s="107"/>
      <c r="AD89" s="107"/>
    </row>
    <row r="90" spans="1:30" x14ac:dyDescent="0.25">
      <c r="A90" s="107" t="s">
        <v>970</v>
      </c>
      <c r="B90" s="107" t="s">
        <v>120</v>
      </c>
      <c r="C90" s="107" t="s">
        <v>2439</v>
      </c>
      <c r="D90" s="107">
        <v>3140</v>
      </c>
      <c r="E90" s="107">
        <v>375</v>
      </c>
      <c r="F90" s="107">
        <f t="shared" si="5"/>
        <v>3515</v>
      </c>
      <c r="G90" s="107"/>
      <c r="H90" s="107"/>
      <c r="I90" s="108">
        <v>84</v>
      </c>
      <c r="J90" s="108">
        <v>101</v>
      </c>
      <c r="K90" s="107">
        <v>5</v>
      </c>
      <c r="L90" s="112">
        <f t="shared" si="6"/>
        <v>4.9504950495049507E-2</v>
      </c>
      <c r="M90" s="148">
        <f t="array" ref="M90">SUM(MAX(0,'AL pre'!$P$2:$P$68*(1-((L90-'AL pre'!$O$2:$O$68)/BW)^2)))/SUM(MAX(0,1-((L90-'AL pre'!$O$2:$O$68)/BW)^2))</f>
        <v>114.20864289223874</v>
      </c>
      <c r="N90" s="108">
        <v>6000</v>
      </c>
      <c r="O90" s="132">
        <v>35</v>
      </c>
      <c r="P90" s="132">
        <v>27</v>
      </c>
      <c r="Q90" s="112">
        <f>(D90*O90+E90*P90)/F90</f>
        <v>34.14651493598862</v>
      </c>
      <c r="R90" s="108">
        <v>27500</v>
      </c>
      <c r="S90" s="107">
        <v>99</v>
      </c>
      <c r="T90" s="107">
        <v>27500</v>
      </c>
      <c r="U90" s="107">
        <v>1905</v>
      </c>
      <c r="V90" s="107" t="s">
        <v>468</v>
      </c>
      <c r="W90" s="107" t="s">
        <v>499</v>
      </c>
      <c r="X90" s="107" t="str">
        <f t="shared" si="7"/>
        <v>https://archive.org/download/SOPIK1905/1905.pdf#page=330</v>
      </c>
      <c r="Y90" s="107" t="s">
        <v>505</v>
      </c>
      <c r="Z90" s="107" t="s">
        <v>500</v>
      </c>
      <c r="AA90" s="107" t="s">
        <v>506</v>
      </c>
      <c r="AB90" s="107" t="s">
        <v>503</v>
      </c>
      <c r="AC90" s="107"/>
      <c r="AD90" s="107"/>
    </row>
    <row r="91" spans="1:30" x14ac:dyDescent="0.25">
      <c r="A91" s="107" t="s">
        <v>971</v>
      </c>
      <c r="B91" s="107" t="s">
        <v>120</v>
      </c>
      <c r="C91" s="107" t="s">
        <v>2440</v>
      </c>
      <c r="D91" s="107"/>
      <c r="E91" s="107"/>
      <c r="F91" s="107">
        <f t="shared" si="5"/>
        <v>0</v>
      </c>
      <c r="G91" s="107"/>
      <c r="H91" s="107"/>
      <c r="I91" s="108"/>
      <c r="J91" s="108">
        <v>82</v>
      </c>
      <c r="K91" s="107"/>
      <c r="L91" s="112">
        <f t="shared" si="6"/>
        <v>0</v>
      </c>
      <c r="M91" s="148">
        <f t="array" ref="M91">SUM(MAX(0,'AL pre'!$P$2:$P$68*(1-((L91-'AL pre'!$O$2:$O$68)/BW)^2)))/SUM(MAX(0,1-((L91-'AL pre'!$O$2:$O$68)/BW)^2))</f>
        <v>124.9968387776607</v>
      </c>
      <c r="N91" s="107"/>
      <c r="O91" s="132"/>
      <c r="P91" s="132"/>
      <c r="Q91" s="112"/>
      <c r="R91" s="108">
        <v>37175</v>
      </c>
      <c r="S91" s="107">
        <v>81</v>
      </c>
      <c r="T91" s="107">
        <v>37175</v>
      </c>
      <c r="U91" s="107">
        <v>1905</v>
      </c>
      <c r="V91" s="107" t="s">
        <v>468</v>
      </c>
      <c r="W91" s="107" t="s">
        <v>499</v>
      </c>
      <c r="X91" s="107" t="str">
        <f t="shared" si="7"/>
        <v>https://archive.org/download/SOPIK1905/1905.pdf#page=330</v>
      </c>
      <c r="Y91" s="107" t="s">
        <v>505</v>
      </c>
      <c r="Z91" s="107" t="s">
        <v>500</v>
      </c>
      <c r="AA91" s="107" t="s">
        <v>506</v>
      </c>
      <c r="AB91" s="107" t="s">
        <v>503</v>
      </c>
      <c r="AC91" s="107"/>
      <c r="AD91" s="107"/>
    </row>
    <row r="92" spans="1:30" x14ac:dyDescent="0.25">
      <c r="A92" s="107" t="s">
        <v>972</v>
      </c>
      <c r="B92" s="107" t="s">
        <v>120</v>
      </c>
      <c r="C92" s="107" t="s">
        <v>2441</v>
      </c>
      <c r="D92" s="107">
        <v>1156</v>
      </c>
      <c r="E92" s="107">
        <v>124</v>
      </c>
      <c r="F92" s="107">
        <f t="shared" si="5"/>
        <v>1280</v>
      </c>
      <c r="G92" s="107"/>
      <c r="H92" s="107"/>
      <c r="I92" s="108">
        <v>54</v>
      </c>
      <c r="J92" s="108">
        <v>48</v>
      </c>
      <c r="K92" s="107">
        <v>2</v>
      </c>
      <c r="L92" s="112">
        <f t="shared" si="6"/>
        <v>4.1666666666666664E-2</v>
      </c>
      <c r="M92" s="148">
        <f t="array" ref="M92">SUM(MAX(0,'AL pre'!$P$2:$P$68*(1-((L92-'AL pre'!$O$2:$O$68)/BW)^2)))/SUM(MAX(0,1-((L92-'AL pre'!$O$2:$O$68)/BW)^2))</f>
        <v>117.22788986362185</v>
      </c>
      <c r="N92" s="108">
        <v>2248</v>
      </c>
      <c r="O92" s="132">
        <v>29.37</v>
      </c>
      <c r="P92" s="132">
        <v>28.5</v>
      </c>
      <c r="Q92" s="112">
        <f>(D92*O92+E92*P92)/F92</f>
        <v>29.285718750000001</v>
      </c>
      <c r="R92" s="108">
        <v>51500</v>
      </c>
      <c r="S92" s="107">
        <v>48</v>
      </c>
      <c r="T92" s="107">
        <v>51500</v>
      </c>
      <c r="U92" s="107">
        <v>1905</v>
      </c>
      <c r="V92" s="107" t="s">
        <v>468</v>
      </c>
      <c r="W92" s="107" t="s">
        <v>499</v>
      </c>
      <c r="X92" s="107" t="str">
        <f t="shared" si="7"/>
        <v>https://archive.org/download/SOPIK1905/1905.pdf#page=330</v>
      </c>
      <c r="Y92" s="107" t="s">
        <v>505</v>
      </c>
      <c r="Z92" s="107" t="s">
        <v>500</v>
      </c>
      <c r="AA92" s="107" t="s">
        <v>506</v>
      </c>
      <c r="AB92" s="107" t="s">
        <v>503</v>
      </c>
      <c r="AC92" s="107"/>
      <c r="AD92" s="107"/>
    </row>
    <row r="93" spans="1:30" x14ac:dyDescent="0.25">
      <c r="A93" s="107" t="s">
        <v>973</v>
      </c>
      <c r="B93" s="107" t="s">
        <v>120</v>
      </c>
      <c r="C93" s="107" t="s">
        <v>144</v>
      </c>
      <c r="D93" s="107">
        <v>4000</v>
      </c>
      <c r="E93" s="107">
        <v>2000</v>
      </c>
      <c r="F93" s="107">
        <f t="shared" si="5"/>
        <v>6000</v>
      </c>
      <c r="G93" s="107"/>
      <c r="H93" s="107"/>
      <c r="I93" s="108">
        <v>126</v>
      </c>
      <c r="J93" s="108">
        <v>131</v>
      </c>
      <c r="K93" s="107">
        <v>6</v>
      </c>
      <c r="L93" s="112">
        <f t="shared" si="6"/>
        <v>4.5801526717557252E-2</v>
      </c>
      <c r="M93" s="148">
        <f t="array" ref="M93">SUM(MAX(0,'AL pre'!$P$2:$P$68*(1-((L93-'AL pre'!$O$2:$O$68)/BW)^2)))/SUM(MAX(0,1-((L93-'AL pre'!$O$2:$O$68)/BW)^2))</f>
        <v>115.78162844059187</v>
      </c>
      <c r="N93" s="107">
        <v>6300</v>
      </c>
      <c r="O93" s="132">
        <v>30</v>
      </c>
      <c r="P93" s="132">
        <v>26</v>
      </c>
      <c r="Q93" s="112">
        <f>(D93*O93+E93*P93)/F93</f>
        <v>28.666666666666668</v>
      </c>
      <c r="R93" s="108">
        <v>35900</v>
      </c>
      <c r="S93" s="107">
        <v>131</v>
      </c>
      <c r="T93" s="107">
        <v>35900</v>
      </c>
      <c r="U93" s="107">
        <v>1905</v>
      </c>
      <c r="V93" s="107" t="s">
        <v>468</v>
      </c>
      <c r="W93" s="107" t="s">
        <v>499</v>
      </c>
      <c r="X93" s="107" t="str">
        <f t="shared" si="7"/>
        <v>https://archive.org/download/SOPIK1905/1905.pdf#page=330</v>
      </c>
      <c r="Y93" s="107" t="s">
        <v>505</v>
      </c>
      <c r="Z93" s="107" t="s">
        <v>500</v>
      </c>
      <c r="AA93" s="107" t="s">
        <v>506</v>
      </c>
      <c r="AB93" s="107" t="s">
        <v>503</v>
      </c>
      <c r="AC93" s="107"/>
      <c r="AD93" s="107"/>
    </row>
    <row r="94" spans="1:30" x14ac:dyDescent="0.25">
      <c r="A94" s="107" t="s">
        <v>974</v>
      </c>
      <c r="B94" s="107" t="s">
        <v>120</v>
      </c>
      <c r="C94" s="107" t="s">
        <v>2285</v>
      </c>
      <c r="D94" s="107"/>
      <c r="E94" s="107"/>
      <c r="F94" s="107">
        <f t="shared" si="5"/>
        <v>0</v>
      </c>
      <c r="G94" s="107"/>
      <c r="H94" s="107"/>
      <c r="I94" s="108">
        <v>33</v>
      </c>
      <c r="J94" s="108">
        <v>27</v>
      </c>
      <c r="K94" s="107">
        <v>7</v>
      </c>
      <c r="L94" s="112">
        <f t="shared" si="6"/>
        <v>0.25925925925925924</v>
      </c>
      <c r="M94" s="148">
        <f t="array" ref="M94">SUM(MAX(0,'AL pre'!$P$2:$P$68*(1-((L94-'AL pre'!$O$2:$O$68)/BW)^2)))/SUM(MAX(0,1-((L94-'AL pre'!$O$2:$O$68)/BW)^2))</f>
        <v>114.53645412967447</v>
      </c>
      <c r="N94" s="108">
        <v>1157</v>
      </c>
      <c r="O94" s="132"/>
      <c r="P94" s="132"/>
      <c r="Q94" s="112"/>
      <c r="R94" s="108">
        <v>12600</v>
      </c>
      <c r="S94" s="107">
        <v>27</v>
      </c>
      <c r="T94" s="107">
        <v>12600</v>
      </c>
      <c r="U94" s="107">
        <v>1905</v>
      </c>
      <c r="V94" s="107" t="s">
        <v>468</v>
      </c>
      <c r="W94" s="107" t="s">
        <v>499</v>
      </c>
      <c r="X94" s="107" t="str">
        <f t="shared" si="7"/>
        <v>https://archive.org/download/SOPIK1905/1905.pdf#page=330</v>
      </c>
      <c r="Y94" s="107" t="s">
        <v>505</v>
      </c>
      <c r="Z94" s="107" t="s">
        <v>500</v>
      </c>
      <c r="AA94" s="107" t="s">
        <v>506</v>
      </c>
      <c r="AB94" s="107" t="s">
        <v>503</v>
      </c>
      <c r="AC94" s="107"/>
      <c r="AD94" s="107"/>
    </row>
    <row r="95" spans="1:30" x14ac:dyDescent="0.25">
      <c r="A95" s="107" t="s">
        <v>975</v>
      </c>
      <c r="B95" s="107" t="s">
        <v>120</v>
      </c>
      <c r="C95" s="107" t="s">
        <v>2442</v>
      </c>
      <c r="D95" s="107"/>
      <c r="E95" s="107"/>
      <c r="F95" s="107">
        <f t="shared" si="5"/>
        <v>0</v>
      </c>
      <c r="G95" s="107"/>
      <c r="H95" s="107"/>
      <c r="I95" s="108">
        <v>28</v>
      </c>
      <c r="J95" s="108">
        <v>90</v>
      </c>
      <c r="K95" s="107">
        <v>5</v>
      </c>
      <c r="L95" s="112">
        <f t="shared" si="6"/>
        <v>5.5555555555555552E-2</v>
      </c>
      <c r="M95" s="148">
        <f t="array" ref="M95">SUM(MAX(0,'AL pre'!$P$2:$P$68*(1-((L95-'AL pre'!$O$2:$O$68)/BW)^2)))/SUM(MAX(0,1-((L95-'AL pre'!$O$2:$O$68)/BW)^2))</f>
        <v>112.9089214932288</v>
      </c>
      <c r="N95" s="107">
        <v>2786</v>
      </c>
      <c r="O95" s="132"/>
      <c r="P95" s="132"/>
      <c r="Q95" s="112"/>
      <c r="R95" s="108">
        <v>36000</v>
      </c>
      <c r="S95" s="107">
        <v>86</v>
      </c>
      <c r="T95" s="107">
        <v>36000</v>
      </c>
      <c r="U95" s="107">
        <v>1905</v>
      </c>
      <c r="V95" s="107" t="s">
        <v>468</v>
      </c>
      <c r="W95" s="107" t="s">
        <v>499</v>
      </c>
      <c r="X95" s="107" t="str">
        <f t="shared" si="7"/>
        <v>https://archive.org/download/SOPIK1905/1905.pdf#page=330</v>
      </c>
      <c r="Y95" s="107" t="s">
        <v>505</v>
      </c>
      <c r="Z95" s="107" t="s">
        <v>500</v>
      </c>
      <c r="AA95" s="107" t="s">
        <v>506</v>
      </c>
      <c r="AB95" s="107" t="s">
        <v>503</v>
      </c>
      <c r="AC95" s="107"/>
      <c r="AD95" s="107"/>
    </row>
    <row r="96" spans="1:30" x14ac:dyDescent="0.25">
      <c r="A96" s="107" t="s">
        <v>976</v>
      </c>
      <c r="B96" s="107" t="s">
        <v>120</v>
      </c>
      <c r="C96" s="107" t="s">
        <v>145</v>
      </c>
      <c r="D96" s="107">
        <v>1258</v>
      </c>
      <c r="E96" s="107">
        <v>5</v>
      </c>
      <c r="F96" s="107">
        <f t="shared" si="5"/>
        <v>1263</v>
      </c>
      <c r="G96" s="107"/>
      <c r="H96" s="107"/>
      <c r="I96" s="108">
        <v>58</v>
      </c>
      <c r="J96" s="108">
        <v>42</v>
      </c>
      <c r="K96" s="107"/>
      <c r="L96" s="112">
        <f t="shared" si="6"/>
        <v>0</v>
      </c>
      <c r="M96" s="148">
        <f t="array" ref="M96">SUM(MAX(0,'AL pre'!$P$2:$P$68*(1-((L96-'AL pre'!$O$2:$O$68)/BW)^2)))/SUM(MAX(0,1-((L96-'AL pre'!$O$2:$O$68)/BW)^2))</f>
        <v>124.9968387776607</v>
      </c>
      <c r="N96" s="108">
        <v>2147</v>
      </c>
      <c r="O96" s="132">
        <v>31.09</v>
      </c>
      <c r="P96" s="132">
        <v>21.6</v>
      </c>
      <c r="Q96" s="112">
        <f>(D96*O96+E96*P96)/F96</f>
        <v>31.052430720506731</v>
      </c>
      <c r="R96" s="108">
        <v>12150</v>
      </c>
      <c r="S96" s="107">
        <v>42</v>
      </c>
      <c r="T96" s="107">
        <v>12150</v>
      </c>
      <c r="U96" s="107">
        <v>1905</v>
      </c>
      <c r="V96" s="107" t="s">
        <v>468</v>
      </c>
      <c r="W96" s="107" t="s">
        <v>499</v>
      </c>
      <c r="X96" s="107" t="str">
        <f t="shared" si="7"/>
        <v>https://archive.org/download/SOPIK1905/1905.pdf#page=330</v>
      </c>
      <c r="Y96" s="107" t="s">
        <v>505</v>
      </c>
      <c r="Z96" s="107" t="s">
        <v>500</v>
      </c>
      <c r="AA96" s="107" t="s">
        <v>506</v>
      </c>
      <c r="AB96" s="107" t="s">
        <v>503</v>
      </c>
      <c r="AC96" s="107"/>
      <c r="AD96" s="107"/>
    </row>
    <row r="97" spans="1:30" x14ac:dyDescent="0.25">
      <c r="A97" s="107" t="s">
        <v>977</v>
      </c>
      <c r="B97" s="107" t="s">
        <v>120</v>
      </c>
      <c r="C97" s="107" t="s">
        <v>2443</v>
      </c>
      <c r="D97" s="107">
        <v>3200</v>
      </c>
      <c r="E97" s="107">
        <v>50</v>
      </c>
      <c r="F97" s="107">
        <f t="shared" si="5"/>
        <v>3250</v>
      </c>
      <c r="G97" s="107"/>
      <c r="H97" s="107"/>
      <c r="I97" s="108">
        <v>63</v>
      </c>
      <c r="J97" s="108">
        <v>70</v>
      </c>
      <c r="K97" s="107">
        <v>2</v>
      </c>
      <c r="L97" s="112">
        <f t="shared" si="6"/>
        <v>2.8571428571428571E-2</v>
      </c>
      <c r="M97" s="148">
        <f t="array" ref="M97">SUM(MAX(0,'AL pre'!$P$2:$P$68*(1-((L97-'AL pre'!$O$2:$O$68)/BW)^2)))/SUM(MAX(0,1-((L97-'AL pre'!$O$2:$O$68)/BW)^2))</f>
        <v>121.75218996404156</v>
      </c>
      <c r="N97" s="107">
        <v>2780</v>
      </c>
      <c r="O97" s="132">
        <v>38.5</v>
      </c>
      <c r="P97" s="132"/>
      <c r="Q97" s="112">
        <v>38.5</v>
      </c>
      <c r="R97" s="108">
        <v>34900</v>
      </c>
      <c r="S97" s="107">
        <v>70</v>
      </c>
      <c r="T97" s="107">
        <v>34900</v>
      </c>
      <c r="U97" s="107">
        <v>1905</v>
      </c>
      <c r="V97" s="107" t="s">
        <v>468</v>
      </c>
      <c r="W97" s="107" t="s">
        <v>499</v>
      </c>
      <c r="X97" s="107" t="str">
        <f t="shared" si="7"/>
        <v>https://archive.org/download/SOPIK1905/1905.pdf#page=330</v>
      </c>
      <c r="Y97" s="107" t="s">
        <v>505</v>
      </c>
      <c r="Z97" s="107" t="s">
        <v>500</v>
      </c>
      <c r="AA97" s="107" t="s">
        <v>506</v>
      </c>
      <c r="AB97" s="107" t="s">
        <v>503</v>
      </c>
      <c r="AC97" s="107"/>
      <c r="AD97" s="107"/>
    </row>
    <row r="98" spans="1:30" x14ac:dyDescent="0.25">
      <c r="A98" s="107" t="s">
        <v>978</v>
      </c>
      <c r="B98" s="107" t="s">
        <v>120</v>
      </c>
      <c r="C98" s="107" t="s">
        <v>43</v>
      </c>
      <c r="D98" s="107">
        <v>1326</v>
      </c>
      <c r="E98" s="107">
        <v>44</v>
      </c>
      <c r="F98" s="107">
        <f t="shared" si="5"/>
        <v>1370</v>
      </c>
      <c r="G98" s="107"/>
      <c r="H98" s="107"/>
      <c r="I98" s="108">
        <v>70</v>
      </c>
      <c r="J98" s="108">
        <v>57</v>
      </c>
      <c r="K98" s="107"/>
      <c r="L98" s="112">
        <f t="shared" si="6"/>
        <v>0</v>
      </c>
      <c r="M98" s="148">
        <f t="array" ref="M98">SUM(MAX(0,'AL pre'!$P$2:$P$68*(1-((L98-'AL pre'!$O$2:$O$68)/BW)^2)))/SUM(MAX(0,1-((L98-'AL pre'!$O$2:$O$68)/BW)^2))</f>
        <v>124.9968387776607</v>
      </c>
      <c r="N98" s="108">
        <v>2800</v>
      </c>
      <c r="O98" s="132">
        <v>39.630000000000003</v>
      </c>
      <c r="P98" s="132">
        <v>42.9</v>
      </c>
      <c r="Q98" s="112">
        <f>(D98*O98+E98*P98)/F98</f>
        <v>39.735021897810221</v>
      </c>
      <c r="R98" s="108">
        <v>10425</v>
      </c>
      <c r="S98" s="107">
        <v>56</v>
      </c>
      <c r="T98" s="107">
        <v>10435</v>
      </c>
      <c r="U98" s="107">
        <v>1905</v>
      </c>
      <c r="V98" s="107" t="s">
        <v>468</v>
      </c>
      <c r="W98" s="107" t="s">
        <v>499</v>
      </c>
      <c r="X98" s="107" t="str">
        <f t="shared" si="7"/>
        <v>https://archive.org/download/SOPIK1905/1905.pdf#page=330</v>
      </c>
      <c r="Y98" s="107" t="s">
        <v>505</v>
      </c>
      <c r="Z98" s="107" t="s">
        <v>500</v>
      </c>
      <c r="AA98" s="107" t="s">
        <v>506</v>
      </c>
      <c r="AB98" s="107" t="s">
        <v>503</v>
      </c>
      <c r="AC98" s="107"/>
      <c r="AD98" s="107"/>
    </row>
    <row r="99" spans="1:30" x14ac:dyDescent="0.25">
      <c r="A99" s="107" t="s">
        <v>979</v>
      </c>
      <c r="B99" s="107" t="s">
        <v>120</v>
      </c>
      <c r="C99" s="107" t="s">
        <v>48</v>
      </c>
      <c r="D99" s="107">
        <v>2834</v>
      </c>
      <c r="E99" s="107">
        <v>45</v>
      </c>
      <c r="F99" s="107">
        <f t="shared" si="5"/>
        <v>2879</v>
      </c>
      <c r="G99" s="107"/>
      <c r="H99" s="107"/>
      <c r="I99" s="108">
        <v>145</v>
      </c>
      <c r="J99" s="108">
        <v>139</v>
      </c>
      <c r="K99" s="107">
        <v>11</v>
      </c>
      <c r="L99" s="112">
        <f t="shared" si="6"/>
        <v>7.9136690647482008E-2</v>
      </c>
      <c r="M99" s="148">
        <f t="array" ref="M99">SUM(MAX(0,'AL pre'!$P$2:$P$68*(1-((L99-'AL pre'!$O$2:$O$68)/BW)^2)))/SUM(MAX(0,1-((L99-'AL pre'!$O$2:$O$68)/BW)^2))</f>
        <v>127.85784569591306</v>
      </c>
      <c r="N99" s="107">
        <v>6457</v>
      </c>
      <c r="O99" s="132">
        <v>34.11</v>
      </c>
      <c r="P99" s="132">
        <v>41.44</v>
      </c>
      <c r="Q99" s="112">
        <f>(D99*O99+E99*P99)/F99</f>
        <v>34.2245710316082</v>
      </c>
      <c r="R99" s="108">
        <v>36198</v>
      </c>
      <c r="S99" s="107">
        <v>138</v>
      </c>
      <c r="T99" s="107">
        <v>36198</v>
      </c>
      <c r="U99" s="107">
        <v>1905</v>
      </c>
      <c r="V99" s="107" t="s">
        <v>468</v>
      </c>
      <c r="W99" s="107" t="s">
        <v>499</v>
      </c>
      <c r="X99" s="107" t="str">
        <f t="shared" si="7"/>
        <v>https://archive.org/download/SOPIK1905/1905.pdf#page=330</v>
      </c>
      <c r="Y99" s="107" t="s">
        <v>505</v>
      </c>
      <c r="Z99" s="107" t="s">
        <v>500</v>
      </c>
      <c r="AA99" s="107" t="s">
        <v>506</v>
      </c>
      <c r="AB99" s="107" t="s">
        <v>503</v>
      </c>
      <c r="AC99" s="107"/>
      <c r="AD99" s="107"/>
    </row>
    <row r="100" spans="1:30" x14ac:dyDescent="0.25">
      <c r="A100" s="107" t="s">
        <v>980</v>
      </c>
      <c r="B100" s="107" t="s">
        <v>120</v>
      </c>
      <c r="C100" s="107" t="s">
        <v>2444</v>
      </c>
      <c r="D100" s="107"/>
      <c r="E100" s="107"/>
      <c r="F100" s="107">
        <f t="shared" si="5"/>
        <v>0</v>
      </c>
      <c r="G100" s="107"/>
      <c r="H100" s="107"/>
      <c r="I100" s="108"/>
      <c r="J100" s="108">
        <v>38</v>
      </c>
      <c r="K100" s="107"/>
      <c r="L100" s="112">
        <f t="shared" si="6"/>
        <v>0</v>
      </c>
      <c r="M100" s="148">
        <f t="array" ref="M100">SUM(MAX(0,'AL pre'!$P$2:$P$68*(1-((L100-'AL pre'!$O$2:$O$68)/BW)^2)))/SUM(MAX(0,1-((L100-'AL pre'!$O$2:$O$68)/BW)^2))</f>
        <v>124.9968387776607</v>
      </c>
      <c r="N100" s="107"/>
      <c r="O100" s="132"/>
      <c r="P100" s="132"/>
      <c r="Q100" s="112"/>
      <c r="R100" s="108">
        <v>9040</v>
      </c>
      <c r="S100" s="107">
        <v>38</v>
      </c>
      <c r="T100" s="107">
        <v>9040</v>
      </c>
      <c r="U100" s="107">
        <v>1905</v>
      </c>
      <c r="V100" s="107" t="s">
        <v>468</v>
      </c>
      <c r="W100" s="107" t="s">
        <v>499</v>
      </c>
      <c r="X100" s="107" t="str">
        <f t="shared" si="7"/>
        <v>https://archive.org/download/SOPIK1905/1905.pdf#page=330</v>
      </c>
      <c r="Y100" s="107" t="s">
        <v>505</v>
      </c>
      <c r="Z100" s="107" t="s">
        <v>500</v>
      </c>
      <c r="AA100" s="107" t="s">
        <v>506</v>
      </c>
      <c r="AB100" s="107" t="s">
        <v>503</v>
      </c>
      <c r="AC100" s="107"/>
      <c r="AD100" s="107"/>
    </row>
    <row r="101" spans="1:30" x14ac:dyDescent="0.25">
      <c r="A101" s="107" t="s">
        <v>981</v>
      </c>
      <c r="B101" s="107" t="s">
        <v>120</v>
      </c>
      <c r="C101" s="107" t="s">
        <v>78</v>
      </c>
      <c r="D101" s="107">
        <v>5436</v>
      </c>
      <c r="E101" s="107">
        <v>265</v>
      </c>
      <c r="F101" s="107">
        <f t="shared" si="5"/>
        <v>5701</v>
      </c>
      <c r="G101" s="107"/>
      <c r="H101" s="107"/>
      <c r="I101" s="108">
        <v>207</v>
      </c>
      <c r="J101" s="108">
        <v>169</v>
      </c>
      <c r="K101" s="107">
        <v>22</v>
      </c>
      <c r="L101" s="112">
        <f t="shared" si="6"/>
        <v>0.13017751479289941</v>
      </c>
      <c r="M101" s="148">
        <f t="array" ref="M101">SUM(MAX(0,'AL pre'!$P$2:$P$68*(1-((L101-'AL pre'!$O$2:$O$68)/BW)^2)))/SUM(MAX(0,1-((L101-'AL pre'!$O$2:$O$68)/BW)^2))</f>
        <v>140.9145851241847</v>
      </c>
      <c r="N101" s="107">
        <v>9433</v>
      </c>
      <c r="O101" s="132">
        <v>31</v>
      </c>
      <c r="P101" s="132">
        <v>23.6</v>
      </c>
      <c r="Q101" s="112">
        <f>(D101*O101+E101*P101)/F101</f>
        <v>30.65602525872654</v>
      </c>
      <c r="R101" s="108">
        <v>71500</v>
      </c>
      <c r="S101" s="107">
        <v>168</v>
      </c>
      <c r="T101" s="107">
        <v>71500</v>
      </c>
      <c r="U101" s="107">
        <v>1905</v>
      </c>
      <c r="V101" s="107" t="s">
        <v>468</v>
      </c>
      <c r="W101" s="107" t="s">
        <v>499</v>
      </c>
      <c r="X101" s="107" t="str">
        <f t="shared" si="7"/>
        <v>https://archive.org/download/SOPIK1905/1905.pdf#page=330</v>
      </c>
      <c r="Y101" s="107" t="s">
        <v>505</v>
      </c>
      <c r="Z101" s="107" t="s">
        <v>500</v>
      </c>
      <c r="AA101" s="107" t="s">
        <v>506</v>
      </c>
      <c r="AB101" s="107" t="s">
        <v>503</v>
      </c>
      <c r="AC101" s="107"/>
      <c r="AD101" s="107"/>
    </row>
    <row r="102" spans="1:30" x14ac:dyDescent="0.25">
      <c r="A102" s="107" t="s">
        <v>982</v>
      </c>
      <c r="B102" s="107" t="s">
        <v>120</v>
      </c>
      <c r="C102" s="107" t="s">
        <v>2302</v>
      </c>
      <c r="D102" s="107">
        <v>4657</v>
      </c>
      <c r="E102" s="107">
        <v>4</v>
      </c>
      <c r="F102" s="107">
        <f t="shared" si="5"/>
        <v>4661</v>
      </c>
      <c r="G102" s="107"/>
      <c r="H102" s="107"/>
      <c r="I102" s="108">
        <v>23</v>
      </c>
      <c r="J102" s="108">
        <v>22</v>
      </c>
      <c r="K102" s="107">
        <v>1</v>
      </c>
      <c r="L102" s="112">
        <f t="shared" si="6"/>
        <v>4.5454545454545456E-2</v>
      </c>
      <c r="M102" s="148">
        <f t="array" ref="M102">SUM(MAX(0,'AL pre'!$P$2:$P$68*(1-((L102-'AL pre'!$O$2:$O$68)/BW)^2)))/SUM(MAX(0,1-((L102-'AL pre'!$O$2:$O$68)/BW)^2))</f>
        <v>115.90359890185479</v>
      </c>
      <c r="N102" s="107">
        <v>851</v>
      </c>
      <c r="O102" s="132">
        <v>27.21</v>
      </c>
      <c r="P102" s="132">
        <v>23.6</v>
      </c>
      <c r="Q102" s="112">
        <f>(D102*O102+E102*P102)/F102</f>
        <v>27.206901952370735</v>
      </c>
      <c r="R102" s="108">
        <v>5500</v>
      </c>
      <c r="S102" s="107">
        <v>22</v>
      </c>
      <c r="T102" s="107">
        <v>5500</v>
      </c>
      <c r="U102" s="107">
        <v>1905</v>
      </c>
      <c r="V102" s="107" t="s">
        <v>468</v>
      </c>
      <c r="W102" s="107" t="s">
        <v>499</v>
      </c>
      <c r="X102" s="107" t="str">
        <f t="shared" si="7"/>
        <v>https://archive.org/download/SOPIK1905/1905.pdf#page=330</v>
      </c>
      <c r="Y102" s="107" t="s">
        <v>505</v>
      </c>
      <c r="Z102" s="107" t="s">
        <v>500</v>
      </c>
      <c r="AA102" s="107" t="s">
        <v>506</v>
      </c>
      <c r="AB102" s="107" t="s">
        <v>503</v>
      </c>
      <c r="AC102" s="107"/>
      <c r="AD102" s="107"/>
    </row>
    <row r="103" spans="1:30" x14ac:dyDescent="0.25">
      <c r="A103" s="107" t="s">
        <v>983</v>
      </c>
      <c r="B103" s="107" t="s">
        <v>120</v>
      </c>
      <c r="C103" s="107" t="s">
        <v>2445</v>
      </c>
      <c r="D103" s="107">
        <v>3625</v>
      </c>
      <c r="E103" s="107"/>
      <c r="F103" s="107">
        <f t="shared" si="5"/>
        <v>3625</v>
      </c>
      <c r="G103" s="107"/>
      <c r="H103" s="107"/>
      <c r="I103" s="108">
        <v>73</v>
      </c>
      <c r="J103" s="108">
        <v>71</v>
      </c>
      <c r="K103" s="107"/>
      <c r="L103" s="112">
        <f t="shared" si="6"/>
        <v>0</v>
      </c>
      <c r="M103" s="148">
        <f t="array" ref="M103">SUM(MAX(0,'AL pre'!$P$2:$P$68*(1-((L103-'AL pre'!$O$2:$O$68)/BW)^2)))/SUM(MAX(0,1-((L103-'AL pre'!$O$2:$O$68)/BW)^2))</f>
        <v>124.9968387776607</v>
      </c>
      <c r="N103" s="107">
        <v>3598</v>
      </c>
      <c r="O103" s="132">
        <v>34.4</v>
      </c>
      <c r="P103" s="132">
        <v>30.88</v>
      </c>
      <c r="Q103" s="112">
        <f>(O103+P103)/2</f>
        <v>32.64</v>
      </c>
      <c r="R103" s="108">
        <v>18200</v>
      </c>
      <c r="S103" s="107">
        <v>71</v>
      </c>
      <c r="T103" s="107">
        <v>18200</v>
      </c>
      <c r="U103" s="107">
        <v>1905</v>
      </c>
      <c r="V103" s="107" t="s">
        <v>468</v>
      </c>
      <c r="W103" s="107" t="s">
        <v>499</v>
      </c>
      <c r="X103" s="107" t="str">
        <f t="shared" si="7"/>
        <v>https://archive.org/download/SOPIK1905/1905.pdf#page=330</v>
      </c>
      <c r="Y103" s="107" t="s">
        <v>505</v>
      </c>
      <c r="Z103" s="107" t="s">
        <v>500</v>
      </c>
      <c r="AA103" s="107" t="s">
        <v>506</v>
      </c>
      <c r="AB103" s="107" t="s">
        <v>503</v>
      </c>
      <c r="AC103" s="107"/>
      <c r="AD103" s="107"/>
    </row>
    <row r="104" spans="1:30" x14ac:dyDescent="0.25">
      <c r="A104" s="107" t="s">
        <v>984</v>
      </c>
      <c r="B104" s="107" t="s">
        <v>120</v>
      </c>
      <c r="C104" s="107" t="s">
        <v>146</v>
      </c>
      <c r="D104" s="107">
        <v>1580</v>
      </c>
      <c r="E104" s="107">
        <v>6</v>
      </c>
      <c r="F104" s="107">
        <f t="shared" si="5"/>
        <v>1586</v>
      </c>
      <c r="G104" s="107"/>
      <c r="H104" s="107"/>
      <c r="I104" s="108">
        <v>70</v>
      </c>
      <c r="J104" s="108">
        <v>48</v>
      </c>
      <c r="K104" s="107"/>
      <c r="L104" s="112">
        <f t="shared" si="6"/>
        <v>0</v>
      </c>
      <c r="M104" s="148">
        <f t="array" ref="M104">SUM(MAX(0,'AL pre'!$P$2:$P$68*(1-((L104-'AL pre'!$O$2:$O$68)/BW)^2)))/SUM(MAX(0,1-((L104-'AL pre'!$O$2:$O$68)/BW)^2))</f>
        <v>124.9968387776607</v>
      </c>
      <c r="N104" s="107">
        <v>2355</v>
      </c>
      <c r="O104" s="132">
        <v>32.979999999999997</v>
      </c>
      <c r="P104" s="132">
        <v>21.37</v>
      </c>
      <c r="Q104" s="112">
        <f>(D104*O104+E104*P104)/F104</f>
        <v>32.936078184110968</v>
      </c>
      <c r="R104" s="108">
        <v>11000</v>
      </c>
      <c r="S104" s="107">
        <v>46</v>
      </c>
      <c r="T104" s="107">
        <v>11000</v>
      </c>
      <c r="U104" s="107">
        <v>1905</v>
      </c>
      <c r="V104" s="107" t="s">
        <v>468</v>
      </c>
      <c r="W104" s="107" t="s">
        <v>499</v>
      </c>
      <c r="X104" s="107" t="str">
        <f t="shared" si="7"/>
        <v>https://archive.org/download/SOPIK1905/1905.pdf#page=330</v>
      </c>
      <c r="Y104" s="107" t="s">
        <v>505</v>
      </c>
      <c r="Z104" s="107" t="s">
        <v>500</v>
      </c>
      <c r="AA104" s="107" t="s">
        <v>506</v>
      </c>
      <c r="AB104" s="107" t="s">
        <v>503</v>
      </c>
      <c r="AC104" s="107"/>
      <c r="AD104" s="107"/>
    </row>
    <row r="105" spans="1:30" x14ac:dyDescent="0.25">
      <c r="A105" s="107" t="s">
        <v>985</v>
      </c>
      <c r="B105" s="107" t="s">
        <v>120</v>
      </c>
      <c r="C105" s="107" t="s">
        <v>2446</v>
      </c>
      <c r="D105" s="107">
        <v>1490</v>
      </c>
      <c r="E105" s="107">
        <v>33</v>
      </c>
      <c r="F105" s="107">
        <f t="shared" si="5"/>
        <v>1523</v>
      </c>
      <c r="G105" s="107"/>
      <c r="H105" s="107"/>
      <c r="I105" s="108">
        <v>105</v>
      </c>
      <c r="J105" s="108">
        <v>60</v>
      </c>
      <c r="K105" s="107"/>
      <c r="L105" s="112">
        <f t="shared" si="6"/>
        <v>0</v>
      </c>
      <c r="M105" s="148">
        <f t="array" ref="M105">SUM(MAX(0,'AL pre'!$P$2:$P$68*(1-((L105-'AL pre'!$O$2:$O$68)/BW)^2)))/SUM(MAX(0,1-((L105-'AL pre'!$O$2:$O$68)/BW)^2))</f>
        <v>124.9968387776607</v>
      </c>
      <c r="N105" s="107">
        <v>2552</v>
      </c>
      <c r="O105" s="132">
        <v>28.64</v>
      </c>
      <c r="P105" s="132">
        <v>21.22</v>
      </c>
      <c r="Q105" s="112">
        <f>(D105*O105+E105*P105)/F105</f>
        <v>28.479225213394617</v>
      </c>
      <c r="R105" s="108">
        <v>12400</v>
      </c>
      <c r="S105" s="107">
        <v>60</v>
      </c>
      <c r="T105" s="107">
        <v>12400</v>
      </c>
      <c r="U105" s="107">
        <v>1905</v>
      </c>
      <c r="V105" s="107" t="s">
        <v>468</v>
      </c>
      <c r="W105" s="107" t="s">
        <v>499</v>
      </c>
      <c r="X105" s="107" t="str">
        <f t="shared" si="7"/>
        <v>https://archive.org/download/SOPIK1905/1905.pdf#page=330</v>
      </c>
      <c r="Y105" s="107" t="s">
        <v>505</v>
      </c>
      <c r="Z105" s="107" t="s">
        <v>500</v>
      </c>
      <c r="AA105" s="107" t="s">
        <v>506</v>
      </c>
      <c r="AB105" s="107" t="s">
        <v>503</v>
      </c>
      <c r="AC105" s="107"/>
      <c r="AD105" s="107"/>
    </row>
    <row r="106" spans="1:30" x14ac:dyDescent="0.25">
      <c r="A106" s="107" t="s">
        <v>986</v>
      </c>
      <c r="B106" s="107" t="s">
        <v>120</v>
      </c>
      <c r="C106" s="107" t="s">
        <v>80</v>
      </c>
      <c r="D106" s="107">
        <v>1161</v>
      </c>
      <c r="E106" s="107">
        <v>429</v>
      </c>
      <c r="F106" s="107">
        <f t="shared" si="5"/>
        <v>1590</v>
      </c>
      <c r="G106" s="107"/>
      <c r="H106" s="107"/>
      <c r="I106" s="108">
        <v>61</v>
      </c>
      <c r="J106" s="108">
        <v>56</v>
      </c>
      <c r="K106" s="107">
        <v>55</v>
      </c>
      <c r="L106" s="112">
        <f t="shared" si="6"/>
        <v>0.9821428571428571</v>
      </c>
      <c r="M106" s="148">
        <f t="array" ref="M106">SUM(MAX(0,'AL pre'!$P$2:$P$68*(1-((L106-'AL pre'!$O$2:$O$68)/BW)^2)))/SUM(MAX(0,1-((L106-'AL pre'!$O$2:$O$68)/BW)^2))</f>
        <v>140.00426345192591</v>
      </c>
      <c r="N106" s="107">
        <v>2857</v>
      </c>
      <c r="O106" s="132">
        <v>31.78</v>
      </c>
      <c r="P106" s="132">
        <v>40.5</v>
      </c>
      <c r="Q106" s="112">
        <f>(D106*O106+E106*P106)/F106</f>
        <v>34.132754716981133</v>
      </c>
      <c r="R106" s="108">
        <v>17075</v>
      </c>
      <c r="S106" s="107">
        <v>56</v>
      </c>
      <c r="T106" s="107">
        <v>17075</v>
      </c>
      <c r="U106" s="107">
        <v>1905</v>
      </c>
      <c r="V106" s="107" t="s">
        <v>468</v>
      </c>
      <c r="W106" s="107" t="s">
        <v>499</v>
      </c>
      <c r="X106" s="107" t="str">
        <f t="shared" si="7"/>
        <v>https://archive.org/download/SOPIK1905/1905.pdf#page=330</v>
      </c>
      <c r="Y106" s="107" t="s">
        <v>505</v>
      </c>
      <c r="Z106" s="107" t="s">
        <v>500</v>
      </c>
      <c r="AA106" s="107" t="s">
        <v>506</v>
      </c>
      <c r="AB106" s="107" t="s">
        <v>503</v>
      </c>
      <c r="AC106" s="107"/>
      <c r="AD106" s="107"/>
    </row>
    <row r="107" spans="1:30" x14ac:dyDescent="0.25">
      <c r="A107" s="107" t="s">
        <v>987</v>
      </c>
      <c r="B107" s="107" t="s">
        <v>120</v>
      </c>
      <c r="C107" s="107" t="s">
        <v>50</v>
      </c>
      <c r="D107" s="107"/>
      <c r="E107" s="107"/>
      <c r="F107" s="107">
        <f t="shared" si="5"/>
        <v>0</v>
      </c>
      <c r="G107" s="107"/>
      <c r="H107" s="107"/>
      <c r="I107" s="108">
        <v>89</v>
      </c>
      <c r="J107" s="108">
        <v>68</v>
      </c>
      <c r="K107" s="107"/>
      <c r="L107" s="112">
        <f t="shared" si="6"/>
        <v>0</v>
      </c>
      <c r="M107" s="148">
        <f t="array" ref="M107">SUM(MAX(0,'AL pre'!$P$2:$P$68*(1-((L107-'AL pre'!$O$2:$O$68)/BW)^2)))/SUM(MAX(0,1-((L107-'AL pre'!$O$2:$O$68)/BW)^2))</f>
        <v>124.9968387776607</v>
      </c>
      <c r="N107" s="107"/>
      <c r="O107" s="132">
        <v>33</v>
      </c>
      <c r="P107" s="132">
        <v>35</v>
      </c>
      <c r="Q107" s="112">
        <f>(O107+P107)/2</f>
        <v>34</v>
      </c>
      <c r="R107" s="108">
        <v>20000</v>
      </c>
      <c r="S107" s="107">
        <v>68</v>
      </c>
      <c r="T107" s="107">
        <v>20000</v>
      </c>
      <c r="U107" s="107">
        <v>1905</v>
      </c>
      <c r="V107" s="107" t="s">
        <v>468</v>
      </c>
      <c r="W107" s="107" t="s">
        <v>499</v>
      </c>
      <c r="X107" s="107" t="str">
        <f t="shared" si="7"/>
        <v>https://archive.org/download/SOPIK1905/1905.pdf#page=330</v>
      </c>
      <c r="Y107" s="107" t="s">
        <v>505</v>
      </c>
      <c r="Z107" s="107" t="s">
        <v>500</v>
      </c>
      <c r="AA107" s="107" t="s">
        <v>506</v>
      </c>
      <c r="AB107" s="107" t="s">
        <v>503</v>
      </c>
      <c r="AC107" s="107"/>
      <c r="AD107" s="107"/>
    </row>
    <row r="108" spans="1:30" x14ac:dyDescent="0.25">
      <c r="A108" s="107" t="s">
        <v>988</v>
      </c>
      <c r="B108" s="107" t="s">
        <v>120</v>
      </c>
      <c r="C108" s="107" t="s">
        <v>2447</v>
      </c>
      <c r="D108" s="107">
        <v>1180</v>
      </c>
      <c r="E108" s="107">
        <v>550</v>
      </c>
      <c r="F108" s="107">
        <f t="shared" si="5"/>
        <v>1730</v>
      </c>
      <c r="G108" s="107"/>
      <c r="H108" s="107"/>
      <c r="I108" s="108">
        <v>113</v>
      </c>
      <c r="J108" s="108">
        <v>53</v>
      </c>
      <c r="K108" s="107"/>
      <c r="L108" s="112">
        <f t="shared" si="6"/>
        <v>0</v>
      </c>
      <c r="M108" s="148">
        <f t="array" ref="M108">SUM(MAX(0,'AL pre'!$P$2:$P$68*(1-((L108-'AL pre'!$O$2:$O$68)/BW)^2)))/SUM(MAX(0,1-((L108-'AL pre'!$O$2:$O$68)/BW)^2))</f>
        <v>124.9968387776607</v>
      </c>
      <c r="N108" s="107">
        <v>2390</v>
      </c>
      <c r="O108" s="132">
        <v>33</v>
      </c>
      <c r="P108" s="132">
        <v>30</v>
      </c>
      <c r="Q108" s="112">
        <f t="shared" ref="Q108:Q113" si="9">(D108*O108+E108*P108)/F108</f>
        <v>32.046242774566473</v>
      </c>
      <c r="R108" s="108">
        <v>20000</v>
      </c>
      <c r="S108" s="107">
        <v>53</v>
      </c>
      <c r="T108" s="107">
        <v>20000</v>
      </c>
      <c r="U108" s="107">
        <v>1905</v>
      </c>
      <c r="V108" s="107" t="s">
        <v>468</v>
      </c>
      <c r="W108" s="107" t="s">
        <v>499</v>
      </c>
      <c r="X108" s="107" t="str">
        <f t="shared" si="7"/>
        <v>https://archive.org/download/SOPIK1905/1905.pdf#page=330</v>
      </c>
      <c r="Y108" s="107" t="s">
        <v>505</v>
      </c>
      <c r="Z108" s="107" t="s">
        <v>500</v>
      </c>
      <c r="AA108" s="107" t="s">
        <v>506</v>
      </c>
      <c r="AB108" s="107" t="s">
        <v>503</v>
      </c>
      <c r="AC108" s="107"/>
      <c r="AD108" s="107"/>
    </row>
    <row r="109" spans="1:30" x14ac:dyDescent="0.25">
      <c r="A109" s="107" t="s">
        <v>989</v>
      </c>
      <c r="B109" s="107" t="s">
        <v>120</v>
      </c>
      <c r="C109" s="107" t="s">
        <v>2448</v>
      </c>
      <c r="D109" s="107">
        <v>1357</v>
      </c>
      <c r="E109" s="107">
        <v>324</v>
      </c>
      <c r="F109" s="107">
        <f t="shared" si="5"/>
        <v>1681</v>
      </c>
      <c r="G109" s="107"/>
      <c r="H109" s="107"/>
      <c r="I109" s="108">
        <v>42</v>
      </c>
      <c r="J109" s="108">
        <v>41</v>
      </c>
      <c r="K109" s="107">
        <v>19</v>
      </c>
      <c r="L109" s="112">
        <f t="shared" si="6"/>
        <v>0.46341463414634149</v>
      </c>
      <c r="M109" s="148">
        <f t="array" ref="M109">SUM(MAX(0,'AL pre'!$P$2:$P$68*(1-((L109-'AL pre'!$O$2:$O$68)/BW)^2)))/SUM(MAX(0,1-((L109-'AL pre'!$O$2:$O$68)/BW)^2))</f>
        <v>113.63745094168142</v>
      </c>
      <c r="N109" s="107">
        <v>2089</v>
      </c>
      <c r="O109" s="132">
        <v>36.08</v>
      </c>
      <c r="P109" s="132">
        <v>33.5</v>
      </c>
      <c r="Q109" s="112">
        <f t="shared" si="9"/>
        <v>35.582724568709104</v>
      </c>
      <c r="R109" s="108">
        <v>6900</v>
      </c>
      <c r="S109" s="107">
        <v>41</v>
      </c>
      <c r="T109" s="107">
        <v>6900</v>
      </c>
      <c r="U109" s="107">
        <v>1905</v>
      </c>
      <c r="V109" s="107" t="s">
        <v>468</v>
      </c>
      <c r="W109" s="107" t="s">
        <v>499</v>
      </c>
      <c r="X109" s="107" t="str">
        <f t="shared" si="7"/>
        <v>https://archive.org/download/SOPIK1905/1905.pdf#page=330</v>
      </c>
      <c r="Y109" s="107" t="s">
        <v>505</v>
      </c>
      <c r="Z109" s="107" t="s">
        <v>500</v>
      </c>
      <c r="AA109" s="107" t="s">
        <v>506</v>
      </c>
      <c r="AB109" s="107" t="s">
        <v>503</v>
      </c>
      <c r="AC109" s="107"/>
      <c r="AD109" s="107"/>
    </row>
    <row r="110" spans="1:30" x14ac:dyDescent="0.25">
      <c r="A110" s="107" t="s">
        <v>990</v>
      </c>
      <c r="B110" s="107" t="s">
        <v>120</v>
      </c>
      <c r="C110" s="107" t="s">
        <v>2323</v>
      </c>
      <c r="D110" s="107">
        <v>1800</v>
      </c>
      <c r="E110" s="107">
        <v>300</v>
      </c>
      <c r="F110" s="107">
        <f t="shared" si="5"/>
        <v>2100</v>
      </c>
      <c r="G110" s="107"/>
      <c r="H110" s="107"/>
      <c r="I110" s="108">
        <v>78</v>
      </c>
      <c r="J110" s="108">
        <v>61</v>
      </c>
      <c r="K110" s="107"/>
      <c r="L110" s="112">
        <f t="shared" si="6"/>
        <v>0</v>
      </c>
      <c r="M110" s="148">
        <f t="array" ref="M110">SUM(MAX(0,'AL pre'!$P$2:$P$68*(1-((L110-'AL pre'!$O$2:$O$68)/BW)^2)))/SUM(MAX(0,1-((L110-'AL pre'!$O$2:$O$68)/BW)^2))</f>
        <v>124.9968387776607</v>
      </c>
      <c r="N110" s="107">
        <v>3000</v>
      </c>
      <c r="O110" s="132">
        <v>30.3</v>
      </c>
      <c r="P110" s="132">
        <v>30</v>
      </c>
      <c r="Q110" s="112">
        <f t="shared" si="9"/>
        <v>30.257142857142856</v>
      </c>
      <c r="R110" s="108">
        <v>12100</v>
      </c>
      <c r="S110" s="107">
        <v>61</v>
      </c>
      <c r="T110" s="107">
        <v>12100</v>
      </c>
      <c r="U110" s="107">
        <v>1905</v>
      </c>
      <c r="V110" s="107" t="s">
        <v>468</v>
      </c>
      <c r="W110" s="107" t="s">
        <v>499</v>
      </c>
      <c r="X110" s="107" t="str">
        <f t="shared" si="7"/>
        <v>https://archive.org/download/SOPIK1905/1905.pdf#page=330</v>
      </c>
      <c r="Y110" s="107" t="s">
        <v>505</v>
      </c>
      <c r="Z110" s="107" t="s">
        <v>500</v>
      </c>
      <c r="AA110" s="107" t="s">
        <v>506</v>
      </c>
      <c r="AB110" s="107" t="s">
        <v>503</v>
      </c>
      <c r="AC110" s="107"/>
      <c r="AD110" s="107"/>
    </row>
    <row r="111" spans="1:30" x14ac:dyDescent="0.25">
      <c r="A111" s="107" t="s">
        <v>991</v>
      </c>
      <c r="B111" s="107" t="s">
        <v>120</v>
      </c>
      <c r="C111" s="107" t="s">
        <v>2449</v>
      </c>
      <c r="D111" s="107">
        <v>2500</v>
      </c>
      <c r="E111" s="107">
        <v>2000</v>
      </c>
      <c r="F111" s="107">
        <f t="shared" si="5"/>
        <v>4500</v>
      </c>
      <c r="G111" s="107"/>
      <c r="H111" s="107"/>
      <c r="I111" s="108">
        <v>90</v>
      </c>
      <c r="J111" s="108">
        <v>75</v>
      </c>
      <c r="K111" s="107">
        <v>8</v>
      </c>
      <c r="L111" s="112">
        <f t="shared" si="6"/>
        <v>0.10666666666666667</v>
      </c>
      <c r="M111" s="148">
        <f t="array" ref="M111">SUM(MAX(0,'AL pre'!$P$2:$P$68*(1-((L111-'AL pre'!$O$2:$O$68)/BW)^2)))/SUM(MAX(0,1-((L111-'AL pre'!$O$2:$O$68)/BW)^2))</f>
        <v>138.56257980710271</v>
      </c>
      <c r="N111" s="107">
        <v>5335</v>
      </c>
      <c r="O111" s="132">
        <v>33.19</v>
      </c>
      <c r="P111" s="132">
        <v>48.7</v>
      </c>
      <c r="Q111" s="112">
        <f t="shared" si="9"/>
        <v>40.083333333333336</v>
      </c>
      <c r="R111" s="108">
        <v>19400</v>
      </c>
      <c r="S111" s="107">
        <v>74</v>
      </c>
      <c r="T111" s="107">
        <v>19400</v>
      </c>
      <c r="U111" s="107">
        <v>1905</v>
      </c>
      <c r="V111" s="107" t="s">
        <v>468</v>
      </c>
      <c r="W111" s="107" t="s">
        <v>499</v>
      </c>
      <c r="X111" s="107" t="str">
        <f t="shared" si="7"/>
        <v>https://archive.org/download/SOPIK1905/1905.pdf#page=330</v>
      </c>
      <c r="Y111" s="107" t="s">
        <v>505</v>
      </c>
      <c r="Z111" s="107" t="s">
        <v>500</v>
      </c>
      <c r="AA111" s="107" t="s">
        <v>506</v>
      </c>
      <c r="AB111" s="107" t="s">
        <v>503</v>
      </c>
      <c r="AC111" s="107"/>
      <c r="AD111" s="107"/>
    </row>
    <row r="112" spans="1:30" x14ac:dyDescent="0.25">
      <c r="A112" s="107" t="s">
        <v>1795</v>
      </c>
      <c r="B112" s="107" t="s">
        <v>120</v>
      </c>
      <c r="C112" s="107" t="s">
        <v>253</v>
      </c>
      <c r="D112" s="107">
        <v>2035</v>
      </c>
      <c r="E112" s="107">
        <v>590</v>
      </c>
      <c r="F112" s="107">
        <f t="shared" si="5"/>
        <v>2625</v>
      </c>
      <c r="G112" s="107"/>
      <c r="H112" s="107"/>
      <c r="I112" s="108">
        <v>82</v>
      </c>
      <c r="J112" s="108">
        <v>77</v>
      </c>
      <c r="K112" s="107">
        <v>9</v>
      </c>
      <c r="L112" s="112">
        <f t="shared" si="6"/>
        <v>0.11688311688311688</v>
      </c>
      <c r="M112" s="148">
        <f t="array" ref="M112">SUM(MAX(0,'AL pre'!$P$2:$P$68*(1-((L112-'AL pre'!$O$2:$O$68)/BW)^2)))/SUM(MAX(0,1-((L112-'AL pre'!$O$2:$O$68)/BW)^2))</f>
        <v>140.07043860284375</v>
      </c>
      <c r="N112" s="107">
        <v>4045</v>
      </c>
      <c r="O112" s="132">
        <v>31</v>
      </c>
      <c r="P112" s="132">
        <v>41</v>
      </c>
      <c r="Q112" s="112">
        <f t="shared" si="9"/>
        <v>33.247619047619047</v>
      </c>
      <c r="R112" s="108">
        <v>14155</v>
      </c>
      <c r="S112" s="107">
        <v>76</v>
      </c>
      <c r="T112" s="107">
        <v>14155</v>
      </c>
      <c r="U112" s="107">
        <v>1905</v>
      </c>
      <c r="V112" s="107" t="s">
        <v>468</v>
      </c>
      <c r="W112" s="107" t="s">
        <v>499</v>
      </c>
      <c r="X112" s="107" t="str">
        <f t="shared" si="7"/>
        <v>https://archive.org/download/SOPIK1905/1905.pdf#page=330</v>
      </c>
      <c r="Y112" s="107" t="s">
        <v>505</v>
      </c>
      <c r="Z112" s="107" t="s">
        <v>500</v>
      </c>
      <c r="AA112" s="107" t="s">
        <v>506</v>
      </c>
      <c r="AB112" s="107" t="s">
        <v>503</v>
      </c>
      <c r="AC112" s="107"/>
      <c r="AD112" s="107"/>
    </row>
    <row r="113" spans="1:30" x14ac:dyDescent="0.25">
      <c r="A113" s="107" t="s">
        <v>992</v>
      </c>
      <c r="B113" s="107" t="s">
        <v>120</v>
      </c>
      <c r="C113" s="107" t="s">
        <v>2450</v>
      </c>
      <c r="D113" s="107">
        <v>1100</v>
      </c>
      <c r="E113" s="107">
        <v>25</v>
      </c>
      <c r="F113" s="107">
        <f t="shared" si="5"/>
        <v>1125</v>
      </c>
      <c r="G113" s="107"/>
      <c r="H113" s="107"/>
      <c r="I113" s="108">
        <v>38</v>
      </c>
      <c r="J113" s="108">
        <v>39</v>
      </c>
      <c r="K113" s="107">
        <v>1</v>
      </c>
      <c r="L113" s="112">
        <f t="shared" si="6"/>
        <v>2.564102564102564E-2</v>
      </c>
      <c r="M113" s="148">
        <f t="array" ref="M113">SUM(MAX(0,'AL pre'!$P$2:$P$68*(1-((L113-'AL pre'!$O$2:$O$68)/BW)^2)))/SUM(MAX(0,1-((L113-'AL pre'!$O$2:$O$68)/BW)^2))</f>
        <v>122.76475237091675</v>
      </c>
      <c r="N113" s="107">
        <v>1748</v>
      </c>
      <c r="O113" s="132">
        <v>25.2</v>
      </c>
      <c r="P113" s="132">
        <v>20.62</v>
      </c>
      <c r="Q113" s="112">
        <f t="shared" si="9"/>
        <v>25.098222222222223</v>
      </c>
      <c r="R113" s="108">
        <v>10250</v>
      </c>
      <c r="S113" s="107">
        <v>39</v>
      </c>
      <c r="T113" s="107">
        <v>10250</v>
      </c>
      <c r="U113" s="107">
        <v>1905</v>
      </c>
      <c r="V113" s="107" t="s">
        <v>468</v>
      </c>
      <c r="W113" s="107" t="s">
        <v>499</v>
      </c>
      <c r="X113" s="107" t="str">
        <f t="shared" si="7"/>
        <v>https://archive.org/download/SOPIK1905/1905.pdf#page=330</v>
      </c>
      <c r="Y113" s="107" t="s">
        <v>505</v>
      </c>
      <c r="Z113" s="107" t="s">
        <v>500</v>
      </c>
      <c r="AA113" s="107" t="s">
        <v>506</v>
      </c>
      <c r="AB113" s="107" t="s">
        <v>503</v>
      </c>
      <c r="AC113" s="107"/>
      <c r="AD113" s="107"/>
    </row>
    <row r="114" spans="1:30" x14ac:dyDescent="0.25">
      <c r="A114" s="107" t="s">
        <v>993</v>
      </c>
      <c r="B114" s="107" t="s">
        <v>120</v>
      </c>
      <c r="C114" s="107" t="s">
        <v>83</v>
      </c>
      <c r="D114" s="107"/>
      <c r="E114" s="107"/>
      <c r="F114" s="107">
        <f t="shared" si="5"/>
        <v>0</v>
      </c>
      <c r="G114" s="107"/>
      <c r="H114" s="107"/>
      <c r="I114" s="108"/>
      <c r="J114" s="108">
        <v>75</v>
      </c>
      <c r="K114" s="107">
        <v>6</v>
      </c>
      <c r="L114" s="112">
        <f t="shared" si="6"/>
        <v>0.08</v>
      </c>
      <c r="M114" s="148">
        <f t="array" ref="M114">SUM(MAX(0,'AL pre'!$P$2:$P$68*(1-((L114-'AL pre'!$O$2:$O$68)/BW)^2)))/SUM(MAX(0,1-((L114-'AL pre'!$O$2:$O$68)/BW)^2))</f>
        <v>128.30006170128368</v>
      </c>
      <c r="N114" s="107"/>
      <c r="O114" s="132"/>
      <c r="P114" s="132"/>
      <c r="Q114" s="112"/>
      <c r="R114" s="108">
        <v>51200</v>
      </c>
      <c r="S114" s="107">
        <v>75</v>
      </c>
      <c r="T114" s="107">
        <v>51200</v>
      </c>
      <c r="U114" s="107">
        <v>1905</v>
      </c>
      <c r="V114" s="107" t="s">
        <v>468</v>
      </c>
      <c r="W114" s="107" t="s">
        <v>499</v>
      </c>
      <c r="X114" s="107" t="str">
        <f t="shared" si="7"/>
        <v>https://archive.org/download/SOPIK1905/1905.pdf#page=330</v>
      </c>
      <c r="Y114" s="107" t="s">
        <v>505</v>
      </c>
      <c r="Z114" s="107" t="s">
        <v>500</v>
      </c>
      <c r="AA114" s="107" t="s">
        <v>506</v>
      </c>
      <c r="AB114" s="107" t="s">
        <v>503</v>
      </c>
      <c r="AC114" s="107"/>
      <c r="AD114" s="107"/>
    </row>
    <row r="115" spans="1:30" x14ac:dyDescent="0.25">
      <c r="A115" s="107" t="s">
        <v>994</v>
      </c>
      <c r="B115" s="107" t="s">
        <v>120</v>
      </c>
      <c r="C115" s="107" t="s">
        <v>113</v>
      </c>
      <c r="D115" s="107">
        <v>2001</v>
      </c>
      <c r="E115" s="107">
        <v>535</v>
      </c>
      <c r="F115" s="107">
        <f t="shared" si="5"/>
        <v>2536</v>
      </c>
      <c r="G115" s="107"/>
      <c r="H115" s="107"/>
      <c r="I115" s="108">
        <v>142</v>
      </c>
      <c r="J115" s="108">
        <v>116</v>
      </c>
      <c r="K115" s="107"/>
      <c r="L115" s="112">
        <f t="shared" si="6"/>
        <v>0</v>
      </c>
      <c r="M115" s="148">
        <f t="array" ref="M115">SUM(MAX(0,'AL pre'!$P$2:$P$68*(1-((L115-'AL pre'!$O$2:$O$68)/BW)^2)))/SUM(MAX(0,1-((L115-'AL pre'!$O$2:$O$68)/BW)^2))</f>
        <v>124.9968387776607</v>
      </c>
      <c r="N115" s="107">
        <v>4943</v>
      </c>
      <c r="O115" s="132">
        <v>32.28</v>
      </c>
      <c r="P115" s="132">
        <v>29.67</v>
      </c>
      <c r="Q115" s="112">
        <f t="shared" ref="Q115:Q121" si="10">(D115*O115+E115*P115)/F115</f>
        <v>31.729388801261827</v>
      </c>
      <c r="R115" s="108">
        <v>34600</v>
      </c>
      <c r="S115" s="107">
        <v>120</v>
      </c>
      <c r="T115" s="107">
        <v>34600</v>
      </c>
      <c r="U115" s="107">
        <v>1905</v>
      </c>
      <c r="V115" s="107" t="s">
        <v>468</v>
      </c>
      <c r="W115" s="107" t="s">
        <v>499</v>
      </c>
      <c r="X115" s="107" t="str">
        <f t="shared" si="7"/>
        <v>https://archive.org/download/SOPIK1905/1905.pdf#page=330</v>
      </c>
      <c r="Y115" s="107" t="s">
        <v>505</v>
      </c>
      <c r="Z115" s="107" t="s">
        <v>500</v>
      </c>
      <c r="AA115" s="107" t="s">
        <v>506</v>
      </c>
      <c r="AB115" s="107" t="s">
        <v>503</v>
      </c>
      <c r="AC115" s="107"/>
      <c r="AD115" s="107"/>
    </row>
    <row r="116" spans="1:30" x14ac:dyDescent="0.25">
      <c r="A116" s="107" t="s">
        <v>995</v>
      </c>
      <c r="B116" s="107" t="s">
        <v>120</v>
      </c>
      <c r="C116" s="107" t="s">
        <v>56</v>
      </c>
      <c r="D116" s="107">
        <v>1598</v>
      </c>
      <c r="E116" s="107">
        <v>204</v>
      </c>
      <c r="F116" s="107">
        <f t="shared" si="5"/>
        <v>1802</v>
      </c>
      <c r="G116" s="107"/>
      <c r="H116" s="107"/>
      <c r="I116" s="108">
        <v>80</v>
      </c>
      <c r="J116" s="108">
        <v>69</v>
      </c>
      <c r="K116" s="107">
        <v>2</v>
      </c>
      <c r="L116" s="112">
        <f t="shared" si="6"/>
        <v>2.8985507246376812E-2</v>
      </c>
      <c r="M116" s="148">
        <f t="array" ref="M116">SUM(MAX(0,'AL pre'!$P$2:$P$68*(1-((L116-'AL pre'!$O$2:$O$68)/BW)^2)))/SUM(MAX(0,1-((L116-'AL pre'!$O$2:$O$68)/BW)^2))</f>
        <v>121.60933355223594</v>
      </c>
      <c r="N116" s="107">
        <v>3232</v>
      </c>
      <c r="O116" s="132">
        <v>35.35</v>
      </c>
      <c r="P116" s="132">
        <v>30</v>
      </c>
      <c r="Q116" s="112">
        <f t="shared" si="10"/>
        <v>34.744339622641512</v>
      </c>
      <c r="R116" s="108">
        <v>33715</v>
      </c>
      <c r="S116" s="107">
        <v>65</v>
      </c>
      <c r="T116" s="107">
        <v>33715</v>
      </c>
      <c r="U116" s="107">
        <v>1905</v>
      </c>
      <c r="V116" s="107" t="s">
        <v>468</v>
      </c>
      <c r="W116" s="107" t="s">
        <v>499</v>
      </c>
      <c r="X116" s="107" t="str">
        <f t="shared" si="7"/>
        <v>https://archive.org/download/SOPIK1905/1905.pdf#page=330</v>
      </c>
      <c r="Y116" s="107" t="s">
        <v>505</v>
      </c>
      <c r="Z116" s="107" t="s">
        <v>500</v>
      </c>
      <c r="AA116" s="107" t="s">
        <v>506</v>
      </c>
      <c r="AB116" s="107" t="s">
        <v>503</v>
      </c>
      <c r="AC116" s="107"/>
      <c r="AD116" s="107"/>
    </row>
    <row r="117" spans="1:30" x14ac:dyDescent="0.25">
      <c r="A117" s="107" t="s">
        <v>996</v>
      </c>
      <c r="B117" s="107" t="s">
        <v>120</v>
      </c>
      <c r="C117" s="107" t="s">
        <v>114</v>
      </c>
      <c r="D117" s="107">
        <v>2201</v>
      </c>
      <c r="E117" s="107">
        <v>132</v>
      </c>
      <c r="F117" s="107">
        <f t="shared" si="5"/>
        <v>2333</v>
      </c>
      <c r="G117" s="107"/>
      <c r="H117" s="107"/>
      <c r="I117" s="108">
        <v>106</v>
      </c>
      <c r="J117" s="108">
        <v>102</v>
      </c>
      <c r="K117" s="107"/>
      <c r="L117" s="112">
        <f t="shared" si="6"/>
        <v>0</v>
      </c>
      <c r="M117" s="148">
        <f t="array" ref="M117">SUM(MAX(0,'AL pre'!$P$2:$P$68*(1-((L117-'AL pre'!$O$2:$O$68)/BW)^2)))/SUM(MAX(0,1-((L117-'AL pre'!$O$2:$O$68)/BW)^2))</f>
        <v>124.9968387776607</v>
      </c>
      <c r="N117" s="107">
        <v>4782</v>
      </c>
      <c r="O117" s="132">
        <v>28.9</v>
      </c>
      <c r="P117" s="132">
        <v>21.49</v>
      </c>
      <c r="Q117" s="112">
        <f t="shared" si="10"/>
        <v>28.48074582083154</v>
      </c>
      <c r="R117" s="108">
        <v>20600</v>
      </c>
      <c r="S117" s="107">
        <v>102</v>
      </c>
      <c r="T117" s="107">
        <v>20600</v>
      </c>
      <c r="U117" s="107">
        <v>1905</v>
      </c>
      <c r="V117" s="107" t="s">
        <v>468</v>
      </c>
      <c r="W117" s="107" t="s">
        <v>499</v>
      </c>
      <c r="X117" s="107" t="str">
        <f t="shared" si="7"/>
        <v>https://archive.org/download/SOPIK1905/1905.pdf#page=330</v>
      </c>
      <c r="Y117" s="107" t="s">
        <v>505</v>
      </c>
      <c r="Z117" s="107" t="s">
        <v>500</v>
      </c>
      <c r="AA117" s="107" t="s">
        <v>506</v>
      </c>
      <c r="AB117" s="107" t="s">
        <v>503</v>
      </c>
      <c r="AC117" s="107"/>
      <c r="AD117" s="107"/>
    </row>
    <row r="118" spans="1:30" x14ac:dyDescent="0.25">
      <c r="A118" s="107" t="s">
        <v>997</v>
      </c>
      <c r="B118" s="107" t="s">
        <v>120</v>
      </c>
      <c r="C118" s="107" t="s">
        <v>115</v>
      </c>
      <c r="D118" s="107">
        <v>2898</v>
      </c>
      <c r="E118" s="107">
        <v>420</v>
      </c>
      <c r="F118" s="107">
        <f t="shared" si="5"/>
        <v>3318</v>
      </c>
      <c r="G118" s="107"/>
      <c r="H118" s="107"/>
      <c r="I118" s="108">
        <v>103</v>
      </c>
      <c r="J118" s="108">
        <v>84</v>
      </c>
      <c r="K118" s="107">
        <v>2</v>
      </c>
      <c r="L118" s="112">
        <f t="shared" si="6"/>
        <v>2.3809523809523808E-2</v>
      </c>
      <c r="M118" s="148">
        <f t="array" ref="M118">SUM(MAX(0,'AL pre'!$P$2:$P$68*(1-((L118-'AL pre'!$O$2:$O$68)/BW)^2)))/SUM(MAX(0,1-((L118-'AL pre'!$O$2:$O$68)/BW)^2))</f>
        <v>123.39958088893557</v>
      </c>
      <c r="N118" s="107">
        <v>5502</v>
      </c>
      <c r="O118" s="132">
        <v>34.340000000000003</v>
      </c>
      <c r="P118" s="132">
        <v>37.25</v>
      </c>
      <c r="Q118" s="112">
        <f t="shared" si="10"/>
        <v>34.70835443037975</v>
      </c>
      <c r="R118" s="108">
        <v>38600</v>
      </c>
      <c r="S118" s="107">
        <v>84</v>
      </c>
      <c r="T118" s="107">
        <v>38600</v>
      </c>
      <c r="U118" s="107">
        <v>1905</v>
      </c>
      <c r="V118" s="107" t="s">
        <v>468</v>
      </c>
      <c r="W118" s="107" t="s">
        <v>499</v>
      </c>
      <c r="X118" s="107" t="str">
        <f t="shared" si="7"/>
        <v>https://archive.org/download/SOPIK1905/1905.pdf#page=330</v>
      </c>
      <c r="Y118" s="107" t="s">
        <v>505</v>
      </c>
      <c r="Z118" s="107" t="s">
        <v>500</v>
      </c>
      <c r="AA118" s="107" t="s">
        <v>506</v>
      </c>
      <c r="AB118" s="107" t="s">
        <v>503</v>
      </c>
      <c r="AC118" s="107"/>
      <c r="AD118" s="107"/>
    </row>
    <row r="119" spans="1:30" x14ac:dyDescent="0.25">
      <c r="A119" s="107" t="s">
        <v>998</v>
      </c>
      <c r="B119" s="107" t="s">
        <v>120</v>
      </c>
      <c r="C119" s="107" t="s">
        <v>147</v>
      </c>
      <c r="D119" s="107">
        <v>6024</v>
      </c>
      <c r="E119" s="107">
        <v>170</v>
      </c>
      <c r="F119" s="107">
        <f t="shared" si="5"/>
        <v>6194</v>
      </c>
      <c r="G119" s="107"/>
      <c r="H119" s="107"/>
      <c r="I119" s="108">
        <v>140</v>
      </c>
      <c r="J119" s="108">
        <v>129</v>
      </c>
      <c r="K119" s="107">
        <v>5</v>
      </c>
      <c r="L119" s="112">
        <f t="shared" si="6"/>
        <v>3.875968992248062E-2</v>
      </c>
      <c r="M119" s="148">
        <f t="array" ref="M119">SUM(MAX(0,'AL pre'!$P$2:$P$68*(1-((L119-'AL pre'!$O$2:$O$68)/BW)^2)))/SUM(MAX(0,1-((L119-'AL pre'!$O$2:$O$68)/BW)^2))</f>
        <v>118.23697709530123</v>
      </c>
      <c r="N119" s="107">
        <v>7482</v>
      </c>
      <c r="O119" s="132">
        <v>32.5</v>
      </c>
      <c r="P119" s="132">
        <v>27</v>
      </c>
      <c r="Q119" s="112">
        <f t="shared" si="10"/>
        <v>32.34904746528899</v>
      </c>
      <c r="R119" s="108">
        <v>26730</v>
      </c>
      <c r="S119" s="107">
        <v>128</v>
      </c>
      <c r="T119" s="107">
        <v>26730</v>
      </c>
      <c r="U119" s="107">
        <v>1905</v>
      </c>
      <c r="V119" s="107" t="s">
        <v>468</v>
      </c>
      <c r="W119" s="107" t="s">
        <v>499</v>
      </c>
      <c r="X119" s="107" t="str">
        <f t="shared" si="7"/>
        <v>https://archive.org/download/SOPIK1905/1905.pdf#page=330</v>
      </c>
      <c r="Y119" s="107" t="s">
        <v>505</v>
      </c>
      <c r="Z119" s="107" t="s">
        <v>500</v>
      </c>
      <c r="AA119" s="107" t="s">
        <v>506</v>
      </c>
      <c r="AB119" s="107" t="s">
        <v>503</v>
      </c>
      <c r="AC119" s="107"/>
      <c r="AD119" s="107"/>
    </row>
    <row r="120" spans="1:30" x14ac:dyDescent="0.25">
      <c r="A120" s="107" t="s">
        <v>999</v>
      </c>
      <c r="B120" s="107" t="s">
        <v>120</v>
      </c>
      <c r="C120" s="107" t="s">
        <v>148</v>
      </c>
      <c r="D120" s="107">
        <v>2112</v>
      </c>
      <c r="E120" s="107">
        <v>34</v>
      </c>
      <c r="F120" s="107">
        <f t="shared" si="5"/>
        <v>2146</v>
      </c>
      <c r="G120" s="107"/>
      <c r="H120" s="107"/>
      <c r="I120" s="108">
        <v>47</v>
      </c>
      <c r="J120" s="108">
        <v>52</v>
      </c>
      <c r="K120" s="107"/>
      <c r="L120" s="112">
        <f t="shared" si="6"/>
        <v>0</v>
      </c>
      <c r="M120" s="148">
        <f t="array" ref="M120">SUM(MAX(0,'AL pre'!$P$2:$P$68*(1-((L120-'AL pre'!$O$2:$O$68)/BW)^2)))/SUM(MAX(0,1-((L120-'AL pre'!$O$2:$O$68)/BW)^2))</f>
        <v>124.9968387776607</v>
      </c>
      <c r="N120" s="107">
        <v>2811</v>
      </c>
      <c r="O120" s="132">
        <v>33.369999999999997</v>
      </c>
      <c r="P120" s="132">
        <v>29.8</v>
      </c>
      <c r="Q120" s="112">
        <f t="shared" si="10"/>
        <v>33.313438956197572</v>
      </c>
      <c r="R120" s="108">
        <v>8375</v>
      </c>
      <c r="S120" s="107">
        <v>52</v>
      </c>
      <c r="T120" s="107">
        <v>8375</v>
      </c>
      <c r="U120" s="107">
        <v>1905</v>
      </c>
      <c r="V120" s="107" t="s">
        <v>468</v>
      </c>
      <c r="W120" s="107" t="s">
        <v>499</v>
      </c>
      <c r="X120" s="107" t="str">
        <f t="shared" si="7"/>
        <v>https://archive.org/download/SOPIK1905/1905.pdf#page=330</v>
      </c>
      <c r="Y120" s="107" t="s">
        <v>505</v>
      </c>
      <c r="Z120" s="107" t="s">
        <v>500</v>
      </c>
      <c r="AA120" s="107" t="s">
        <v>506</v>
      </c>
      <c r="AB120" s="107" t="s">
        <v>503</v>
      </c>
      <c r="AC120" s="107"/>
      <c r="AD120" s="107"/>
    </row>
    <row r="121" spans="1:30" x14ac:dyDescent="0.25">
      <c r="A121" s="107" t="s">
        <v>1000</v>
      </c>
      <c r="B121" s="107" t="s">
        <v>120</v>
      </c>
      <c r="C121" s="107" t="s">
        <v>2451</v>
      </c>
      <c r="D121" s="107">
        <v>787</v>
      </c>
      <c r="E121" s="107">
        <v>301</v>
      </c>
      <c r="F121" s="107">
        <f t="shared" si="5"/>
        <v>1088</v>
      </c>
      <c r="G121" s="107"/>
      <c r="H121" s="107"/>
      <c r="I121" s="108">
        <v>50</v>
      </c>
      <c r="J121" s="108">
        <v>44</v>
      </c>
      <c r="K121" s="107">
        <v>16</v>
      </c>
      <c r="L121" s="112">
        <f t="shared" si="6"/>
        <v>0.36363636363636365</v>
      </c>
      <c r="M121" s="148">
        <f t="array" ref="M121">SUM(MAX(0,'AL pre'!$P$2:$P$68*(1-((L121-'AL pre'!$O$2:$O$68)/BW)^2)))/SUM(MAX(0,1-((L121-'AL pre'!$O$2:$O$68)/BW)^2))</f>
        <v>105.79421145817574</v>
      </c>
      <c r="N121" s="107">
        <v>2005</v>
      </c>
      <c r="O121" s="132">
        <v>38.42</v>
      </c>
      <c r="P121" s="132">
        <v>30.14</v>
      </c>
      <c r="Q121" s="112">
        <f t="shared" si="10"/>
        <v>36.129301470588238</v>
      </c>
      <c r="R121" s="108">
        <v>18100</v>
      </c>
      <c r="S121" s="107">
        <v>44</v>
      </c>
      <c r="T121" s="107">
        <v>18100</v>
      </c>
      <c r="U121" s="107">
        <v>1905</v>
      </c>
      <c r="V121" s="107" t="s">
        <v>468</v>
      </c>
      <c r="W121" s="107" t="s">
        <v>499</v>
      </c>
      <c r="X121" s="107" t="str">
        <f t="shared" si="7"/>
        <v>https://archive.org/download/SOPIK1905/1905.pdf#page=330</v>
      </c>
      <c r="Y121" s="107" t="s">
        <v>505</v>
      </c>
      <c r="Z121" s="107" t="s">
        <v>500</v>
      </c>
      <c r="AA121" s="107" t="s">
        <v>506</v>
      </c>
      <c r="AB121" s="107" t="s">
        <v>503</v>
      </c>
      <c r="AC121" s="107"/>
      <c r="AD121" s="107"/>
    </row>
    <row r="125" spans="1:30" x14ac:dyDescent="0.25">
      <c r="D125" s="8" t="s">
        <v>2618</v>
      </c>
    </row>
    <row r="126" spans="1:30" x14ac:dyDescent="0.25">
      <c r="D126" s="27">
        <f>1/6</f>
        <v>0.16666666666666666</v>
      </c>
    </row>
  </sheetData>
  <hyperlinks>
    <hyperlink ref="X2" r:id="rId1" location="page=330"/>
  </hyperlinks>
  <pageMargins left="0.75" right="0.75" top="1" bottom="1" header="0.5" footer="0.5"/>
  <pageSetup orientation="portrait" horizontalDpi="4294967292" verticalDpi="4294967292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K63"/>
  <sheetViews>
    <sheetView workbookViewId="0"/>
  </sheetViews>
  <sheetFormatPr defaultColWidth="11.42578125" defaultRowHeight="15" x14ac:dyDescent="0.25"/>
  <cols>
    <col min="1" max="1" width="23.140625" customWidth="1"/>
    <col min="2" max="2" width="8.140625" customWidth="1"/>
    <col min="4" max="5" width="11.42578125" style="27"/>
    <col min="7" max="10" width="11.42578125" style="27"/>
    <col min="12" max="13" width="11.42578125" style="27"/>
    <col min="16" max="19" width="11.42578125" style="27"/>
  </cols>
  <sheetData>
    <row r="1" spans="1:37" s="20" customFormat="1" ht="75" x14ac:dyDescent="0.25">
      <c r="B1" s="20" t="s">
        <v>2</v>
      </c>
      <c r="C1" s="20" t="s">
        <v>0</v>
      </c>
      <c r="D1" s="20" t="s">
        <v>2046</v>
      </c>
      <c r="E1" s="20" t="s">
        <v>2047</v>
      </c>
      <c r="F1" s="92" t="s">
        <v>1956</v>
      </c>
      <c r="G1" s="84" t="s">
        <v>2456</v>
      </c>
      <c r="H1" s="84" t="s">
        <v>2457</v>
      </c>
      <c r="I1" s="84" t="s">
        <v>2458</v>
      </c>
      <c r="J1" s="84" t="s">
        <v>2459</v>
      </c>
      <c r="K1" s="92" t="s">
        <v>372</v>
      </c>
      <c r="L1" s="84" t="s">
        <v>2136</v>
      </c>
      <c r="M1" s="84" t="s">
        <v>2137</v>
      </c>
      <c r="N1" s="94" t="s">
        <v>357</v>
      </c>
      <c r="O1" s="94" t="s">
        <v>377</v>
      </c>
      <c r="P1" s="83" t="s">
        <v>2452</v>
      </c>
      <c r="Q1" s="83" t="s">
        <v>2453</v>
      </c>
      <c r="R1" s="83" t="s">
        <v>2454</v>
      </c>
      <c r="S1" s="83" t="s">
        <v>2455</v>
      </c>
      <c r="T1" s="92" t="s">
        <v>358</v>
      </c>
      <c r="U1" s="93" t="s">
        <v>360</v>
      </c>
      <c r="V1" s="92" t="s">
        <v>374</v>
      </c>
      <c r="W1" s="125" t="s">
        <v>375</v>
      </c>
      <c r="X1" s="20" t="s">
        <v>1</v>
      </c>
      <c r="Y1" s="20" t="s">
        <v>1957</v>
      </c>
      <c r="Z1" s="20" t="s">
        <v>1949</v>
      </c>
      <c r="AA1" s="20" t="s">
        <v>1955</v>
      </c>
      <c r="AB1" s="20" t="s">
        <v>1950</v>
      </c>
      <c r="AC1" s="20" t="s">
        <v>1951</v>
      </c>
      <c r="AD1" s="20" t="s">
        <v>1952</v>
      </c>
      <c r="AE1" s="20" t="s">
        <v>1953</v>
      </c>
      <c r="AF1" s="20" t="s">
        <v>1948</v>
      </c>
    </row>
    <row r="2" spans="1:37" x14ac:dyDescent="0.25">
      <c r="A2" s="107" t="s">
        <v>1001</v>
      </c>
      <c r="B2" s="107" t="s">
        <v>152</v>
      </c>
      <c r="C2" s="107" t="s">
        <v>2069</v>
      </c>
      <c r="D2" s="107">
        <v>1951</v>
      </c>
      <c r="E2" s="107">
        <v>214</v>
      </c>
      <c r="F2" s="108">
        <f>D2+E2</f>
        <v>2165</v>
      </c>
      <c r="G2" s="108">
        <v>17</v>
      </c>
      <c r="H2" s="108">
        <v>53</v>
      </c>
      <c r="I2" s="108">
        <v>2</v>
      </c>
      <c r="J2" s="108">
        <v>2</v>
      </c>
      <c r="K2" s="108">
        <v>74</v>
      </c>
      <c r="L2" s="108">
        <v>134</v>
      </c>
      <c r="M2" s="108">
        <v>90</v>
      </c>
      <c r="N2" s="111">
        <f>(D2*L2+E2*M2)/F2</f>
        <v>129.65080831408775</v>
      </c>
      <c r="O2" s="107">
        <v>3213</v>
      </c>
      <c r="P2" s="107">
        <v>45.88</v>
      </c>
      <c r="Q2" s="107">
        <v>39</v>
      </c>
      <c r="R2" s="107">
        <v>32.5</v>
      </c>
      <c r="S2" s="107">
        <v>27.5</v>
      </c>
      <c r="T2" s="112">
        <f>(G2*P2+H2*Q2+I2*R2+J2*S2)/(G2+H2+I2+J2)</f>
        <v>40.094054054054055</v>
      </c>
      <c r="U2" s="107">
        <v>32933</v>
      </c>
      <c r="V2" s="107">
        <v>58</v>
      </c>
      <c r="W2" s="108">
        <v>19800</v>
      </c>
      <c r="X2" s="107">
        <v>1904</v>
      </c>
      <c r="Y2" s="107" t="s">
        <v>507</v>
      </c>
      <c r="Z2" s="107" t="s">
        <v>508</v>
      </c>
      <c r="AA2" s="107"/>
      <c r="AB2" s="107" t="s">
        <v>509</v>
      </c>
      <c r="AC2" s="107" t="s">
        <v>510</v>
      </c>
      <c r="AD2" s="107" t="s">
        <v>511</v>
      </c>
      <c r="AE2" s="107" t="s">
        <v>512</v>
      </c>
      <c r="AF2" s="107" t="s">
        <v>513</v>
      </c>
      <c r="AG2" s="107"/>
      <c r="AH2" s="107"/>
      <c r="AI2" s="107"/>
      <c r="AJ2" s="107"/>
      <c r="AK2" s="107"/>
    </row>
    <row r="3" spans="1:37" x14ac:dyDescent="0.25">
      <c r="A3" s="107" t="s">
        <v>1003</v>
      </c>
      <c r="B3" s="107" t="s">
        <v>152</v>
      </c>
      <c r="C3" s="107" t="s">
        <v>2071</v>
      </c>
      <c r="D3" s="107">
        <v>1676</v>
      </c>
      <c r="E3" s="107">
        <v>831</v>
      </c>
      <c r="F3" s="108">
        <f t="shared" ref="F3:F60" si="0">D3+E3</f>
        <v>2507</v>
      </c>
      <c r="G3" s="108">
        <v>1</v>
      </c>
      <c r="H3" s="108">
        <v>15</v>
      </c>
      <c r="I3" s="108">
        <v>2</v>
      </c>
      <c r="J3" s="108">
        <v>3</v>
      </c>
      <c r="K3" s="108">
        <v>21</v>
      </c>
      <c r="L3" s="108">
        <v>125</v>
      </c>
      <c r="M3" s="108">
        <v>120</v>
      </c>
      <c r="N3" s="111">
        <f t="shared" ref="N3:N60" si="1">(D3*L3+E3*M3)/F3</f>
        <v>123.34264060630235</v>
      </c>
      <c r="O3" s="107">
        <v>3555</v>
      </c>
      <c r="P3" s="107">
        <v>40</v>
      </c>
      <c r="Q3" s="107">
        <v>30</v>
      </c>
      <c r="R3" s="107">
        <v>21</v>
      </c>
      <c r="S3" s="107">
        <v>18.75</v>
      </c>
      <c r="T3" s="112">
        <f t="shared" ref="T3:T60" si="2">(G3*P3+H3*Q3+I3*R3+J3*S3)/(G3+H3+I3+J3)</f>
        <v>28.011904761904763</v>
      </c>
      <c r="U3" s="107">
        <v>13861</v>
      </c>
      <c r="V3" s="107">
        <v>38</v>
      </c>
      <c r="W3" s="108">
        <v>15300</v>
      </c>
      <c r="X3" s="107">
        <v>1904</v>
      </c>
      <c r="Y3" s="107" t="s">
        <v>507</v>
      </c>
      <c r="Z3" s="107" t="s">
        <v>508</v>
      </c>
      <c r="AA3" s="107"/>
      <c r="AB3" s="107" t="s">
        <v>509</v>
      </c>
      <c r="AC3" s="107" t="s">
        <v>510</v>
      </c>
      <c r="AD3" s="107" t="s">
        <v>511</v>
      </c>
      <c r="AE3" s="107" t="s">
        <v>512</v>
      </c>
      <c r="AF3" s="107" t="s">
        <v>513</v>
      </c>
      <c r="AG3" s="107"/>
      <c r="AH3" s="107"/>
      <c r="AI3" s="107"/>
      <c r="AJ3" s="107"/>
      <c r="AK3" s="107"/>
    </row>
    <row r="4" spans="1:37" x14ac:dyDescent="0.25">
      <c r="A4" s="107" t="s">
        <v>1004</v>
      </c>
      <c r="B4" s="107" t="s">
        <v>152</v>
      </c>
      <c r="C4" s="107" t="s">
        <v>153</v>
      </c>
      <c r="D4" s="107">
        <v>1373</v>
      </c>
      <c r="E4" s="107">
        <v>589</v>
      </c>
      <c r="F4" s="108">
        <f t="shared" si="0"/>
        <v>1962</v>
      </c>
      <c r="G4" s="107">
        <v>28</v>
      </c>
      <c r="H4" s="107">
        <v>21</v>
      </c>
      <c r="I4" s="107">
        <v>4</v>
      </c>
      <c r="J4" s="107">
        <v>7</v>
      </c>
      <c r="K4" s="108">
        <v>60</v>
      </c>
      <c r="L4" s="108">
        <v>160</v>
      </c>
      <c r="M4" s="108">
        <v>80</v>
      </c>
      <c r="N4" s="111">
        <f t="shared" si="1"/>
        <v>135.98369011213049</v>
      </c>
      <c r="O4" s="107">
        <v>2348</v>
      </c>
      <c r="P4" s="107">
        <v>40.369999999999997</v>
      </c>
      <c r="Q4" s="107">
        <v>30.25</v>
      </c>
      <c r="R4" s="107">
        <v>26.25</v>
      </c>
      <c r="S4" s="107">
        <v>18.25</v>
      </c>
      <c r="T4" s="112">
        <f t="shared" si="2"/>
        <v>33.305999999999997</v>
      </c>
      <c r="U4" s="107">
        <v>17043</v>
      </c>
      <c r="V4" s="107">
        <v>39</v>
      </c>
      <c r="W4" s="108">
        <v>28600</v>
      </c>
      <c r="X4" s="107">
        <v>1904</v>
      </c>
      <c r="Y4" s="107" t="s">
        <v>507</v>
      </c>
      <c r="Z4" s="107" t="s">
        <v>508</v>
      </c>
      <c r="AA4" s="107"/>
      <c r="AB4" s="107" t="s">
        <v>509</v>
      </c>
      <c r="AC4" s="107" t="s">
        <v>510</v>
      </c>
      <c r="AD4" s="107" t="s">
        <v>511</v>
      </c>
      <c r="AE4" s="107" t="s">
        <v>512</v>
      </c>
      <c r="AF4" s="107" t="s">
        <v>513</v>
      </c>
      <c r="AG4" s="107"/>
      <c r="AH4" s="107"/>
      <c r="AI4" s="107"/>
      <c r="AJ4" s="107"/>
      <c r="AK4" s="107"/>
    </row>
    <row r="5" spans="1:37" x14ac:dyDescent="0.25">
      <c r="A5" s="107" t="s">
        <v>1005</v>
      </c>
      <c r="B5" s="107" t="s">
        <v>152</v>
      </c>
      <c r="C5" s="107" t="s">
        <v>154</v>
      </c>
      <c r="D5" s="107">
        <v>2576</v>
      </c>
      <c r="E5" s="107">
        <v>1122</v>
      </c>
      <c r="F5" s="108">
        <f t="shared" si="0"/>
        <v>3698</v>
      </c>
      <c r="G5" s="108">
        <v>23</v>
      </c>
      <c r="H5" s="108">
        <v>57</v>
      </c>
      <c r="I5" s="108">
        <v>12</v>
      </c>
      <c r="J5" s="108">
        <v>16</v>
      </c>
      <c r="K5" s="108">
        <v>108</v>
      </c>
      <c r="L5" s="108">
        <v>110</v>
      </c>
      <c r="M5" s="108">
        <v>110</v>
      </c>
      <c r="N5" s="111">
        <f t="shared" si="1"/>
        <v>110</v>
      </c>
      <c r="O5" s="107">
        <v>4631</v>
      </c>
      <c r="P5" s="107">
        <v>35.630000000000003</v>
      </c>
      <c r="Q5" s="107">
        <v>34.020000000000003</v>
      </c>
      <c r="R5" s="107">
        <v>20.83</v>
      </c>
      <c r="S5" s="107">
        <v>20.62</v>
      </c>
      <c r="T5" s="112">
        <f t="shared" si="2"/>
        <v>30.912129629629632</v>
      </c>
      <c r="U5" s="107">
        <v>26187</v>
      </c>
      <c r="V5" s="107">
        <v>103</v>
      </c>
      <c r="W5" s="108">
        <v>18300</v>
      </c>
      <c r="X5" s="107">
        <v>1904</v>
      </c>
      <c r="Y5" s="107" t="s">
        <v>507</v>
      </c>
      <c r="Z5" s="107" t="s">
        <v>508</v>
      </c>
      <c r="AA5" s="107"/>
      <c r="AB5" s="107" t="s">
        <v>509</v>
      </c>
      <c r="AC5" s="107" t="s">
        <v>510</v>
      </c>
      <c r="AD5" s="107" t="s">
        <v>511</v>
      </c>
      <c r="AE5" s="107" t="s">
        <v>512</v>
      </c>
      <c r="AF5" s="107" t="s">
        <v>513</v>
      </c>
      <c r="AG5" s="107"/>
      <c r="AH5" s="107"/>
      <c r="AI5" s="107"/>
      <c r="AJ5" s="107"/>
      <c r="AK5" s="107"/>
    </row>
    <row r="6" spans="1:37" x14ac:dyDescent="0.25">
      <c r="A6" s="107" t="s">
        <v>1007</v>
      </c>
      <c r="B6" s="107" t="s">
        <v>152</v>
      </c>
      <c r="C6" s="107" t="s">
        <v>2075</v>
      </c>
      <c r="D6" s="107">
        <v>1983</v>
      </c>
      <c r="E6" s="107">
        <v>1102</v>
      </c>
      <c r="F6" s="108">
        <f t="shared" si="0"/>
        <v>3085</v>
      </c>
      <c r="G6" s="108">
        <v>33</v>
      </c>
      <c r="H6" s="108">
        <v>32</v>
      </c>
      <c r="I6" s="108">
        <v>15</v>
      </c>
      <c r="J6" s="108">
        <v>13</v>
      </c>
      <c r="K6" s="108">
        <v>93</v>
      </c>
      <c r="L6" s="108">
        <v>82</v>
      </c>
      <c r="M6" s="108">
        <v>72</v>
      </c>
      <c r="N6" s="111">
        <f t="shared" si="1"/>
        <v>78.427876823338735</v>
      </c>
      <c r="O6" s="107">
        <v>4263</v>
      </c>
      <c r="P6" s="107">
        <v>52.67</v>
      </c>
      <c r="Q6" s="107">
        <v>37.92</v>
      </c>
      <c r="R6" s="107">
        <v>33.53</v>
      </c>
      <c r="S6" s="107">
        <v>30.52</v>
      </c>
      <c r="T6" s="112">
        <f t="shared" si="2"/>
        <v>41.411397849462368</v>
      </c>
      <c r="U6" s="107">
        <v>22556</v>
      </c>
      <c r="V6" s="107">
        <v>92</v>
      </c>
      <c r="W6" s="108">
        <v>15000</v>
      </c>
      <c r="X6" s="107">
        <v>1904</v>
      </c>
      <c r="Y6" s="107" t="s">
        <v>507</v>
      </c>
      <c r="Z6" s="107" t="s">
        <v>508</v>
      </c>
      <c r="AA6" s="107"/>
      <c r="AB6" s="107" t="s">
        <v>509</v>
      </c>
      <c r="AC6" s="107" t="s">
        <v>510</v>
      </c>
      <c r="AD6" s="107" t="s">
        <v>511</v>
      </c>
      <c r="AE6" s="107" t="s">
        <v>512</v>
      </c>
      <c r="AF6" s="107" t="s">
        <v>513</v>
      </c>
      <c r="AG6" s="107"/>
      <c r="AH6" s="107"/>
      <c r="AI6" s="107"/>
      <c r="AJ6" s="107"/>
      <c r="AK6" s="107"/>
    </row>
    <row r="7" spans="1:37" x14ac:dyDescent="0.25">
      <c r="A7" s="107" t="s">
        <v>1008</v>
      </c>
      <c r="B7" s="107" t="s">
        <v>152</v>
      </c>
      <c r="C7" s="107" t="s">
        <v>2076</v>
      </c>
      <c r="D7" s="107"/>
      <c r="E7" s="107"/>
      <c r="F7" s="108"/>
      <c r="G7" s="107">
        <v>12</v>
      </c>
      <c r="H7" s="107">
        <v>30</v>
      </c>
      <c r="I7" s="107">
        <v>3</v>
      </c>
      <c r="J7" s="107">
        <v>5</v>
      </c>
      <c r="K7" s="108">
        <v>50</v>
      </c>
      <c r="L7" s="108">
        <v>180</v>
      </c>
      <c r="M7" s="108">
        <v>80</v>
      </c>
      <c r="N7" s="111">
        <f>((G7+H7)*L7+(I7+J7)*M7)/K7</f>
        <v>164</v>
      </c>
      <c r="O7" s="107">
        <v>1966</v>
      </c>
      <c r="P7" s="107">
        <v>56.35</v>
      </c>
      <c r="Q7" s="107">
        <v>38.79</v>
      </c>
      <c r="R7" s="107">
        <v>23.12</v>
      </c>
      <c r="S7" s="107">
        <v>19.55</v>
      </c>
      <c r="T7" s="112">
        <f t="shared" si="2"/>
        <v>40.1402</v>
      </c>
      <c r="U7" s="107">
        <v>19641</v>
      </c>
      <c r="V7" s="107">
        <v>80</v>
      </c>
      <c r="W7" s="108">
        <v>21137</v>
      </c>
      <c r="X7" s="107">
        <v>1904</v>
      </c>
      <c r="Y7" s="107" t="s">
        <v>507</v>
      </c>
      <c r="Z7" s="107" t="s">
        <v>508</v>
      </c>
      <c r="AA7" s="107"/>
      <c r="AB7" s="107" t="s">
        <v>509</v>
      </c>
      <c r="AC7" s="107" t="s">
        <v>510</v>
      </c>
      <c r="AD7" s="107" t="s">
        <v>511</v>
      </c>
      <c r="AE7" s="107" t="s">
        <v>512</v>
      </c>
      <c r="AF7" s="107" t="s">
        <v>513</v>
      </c>
      <c r="AG7" s="107"/>
      <c r="AH7" s="107"/>
      <c r="AI7" s="107"/>
      <c r="AJ7" s="107"/>
      <c r="AK7" s="107"/>
    </row>
    <row r="8" spans="1:37" x14ac:dyDescent="0.25">
      <c r="A8" s="107" t="s">
        <v>1009</v>
      </c>
      <c r="B8" s="107" t="s">
        <v>152</v>
      </c>
      <c r="C8" s="107" t="s">
        <v>155</v>
      </c>
      <c r="D8" s="107">
        <v>2057</v>
      </c>
      <c r="E8" s="107">
        <v>3610</v>
      </c>
      <c r="F8" s="108">
        <f t="shared" si="0"/>
        <v>5667</v>
      </c>
      <c r="G8" s="107">
        <v>12</v>
      </c>
      <c r="H8" s="107">
        <v>64</v>
      </c>
      <c r="I8" s="107">
        <v>7</v>
      </c>
      <c r="J8" s="107">
        <v>13</v>
      </c>
      <c r="K8" s="108">
        <v>96</v>
      </c>
      <c r="L8" s="108">
        <v>180</v>
      </c>
      <c r="M8" s="108">
        <v>120</v>
      </c>
      <c r="N8" s="111">
        <f t="shared" si="1"/>
        <v>141.77871889888831</v>
      </c>
      <c r="O8" s="107">
        <v>8317</v>
      </c>
      <c r="P8" s="107">
        <v>82</v>
      </c>
      <c r="Q8" s="107">
        <v>50</v>
      </c>
      <c r="R8" s="107">
        <v>30</v>
      </c>
      <c r="S8" s="107">
        <v>26</v>
      </c>
      <c r="T8" s="112">
        <f t="shared" si="2"/>
        <v>49.291666666666664</v>
      </c>
      <c r="U8" s="107">
        <v>65745</v>
      </c>
      <c r="V8" s="107">
        <v>112</v>
      </c>
      <c r="W8" s="108">
        <v>250000</v>
      </c>
      <c r="X8" s="107">
        <v>1904</v>
      </c>
      <c r="Y8" s="107" t="s">
        <v>507</v>
      </c>
      <c r="Z8" s="107" t="s">
        <v>508</v>
      </c>
      <c r="AA8" s="107"/>
      <c r="AB8" s="107" t="s">
        <v>509</v>
      </c>
      <c r="AC8" s="107" t="s">
        <v>510</v>
      </c>
      <c r="AD8" s="107" t="s">
        <v>511</v>
      </c>
      <c r="AE8" s="107" t="s">
        <v>512</v>
      </c>
      <c r="AF8" s="107" t="s">
        <v>513</v>
      </c>
      <c r="AG8" s="107"/>
      <c r="AH8" s="107"/>
      <c r="AI8" s="107"/>
      <c r="AJ8" s="107"/>
      <c r="AK8" s="107"/>
    </row>
    <row r="9" spans="1:37" x14ac:dyDescent="0.25">
      <c r="A9" s="107" t="s">
        <v>1010</v>
      </c>
      <c r="B9" s="107" t="s">
        <v>152</v>
      </c>
      <c r="C9" s="107" t="s">
        <v>2077</v>
      </c>
      <c r="D9" s="107">
        <v>5741</v>
      </c>
      <c r="E9" s="107">
        <v>1030</v>
      </c>
      <c r="F9" s="108">
        <f t="shared" si="0"/>
        <v>6771</v>
      </c>
      <c r="G9" s="108">
        <v>59</v>
      </c>
      <c r="H9" s="108">
        <v>123</v>
      </c>
      <c r="I9" s="108">
        <v>7</v>
      </c>
      <c r="J9" s="108">
        <v>9</v>
      </c>
      <c r="K9" s="108">
        <v>198</v>
      </c>
      <c r="L9" s="108">
        <v>133</v>
      </c>
      <c r="M9" s="108">
        <v>97</v>
      </c>
      <c r="N9" s="111">
        <f t="shared" si="1"/>
        <v>127.52370403190075</v>
      </c>
      <c r="O9" s="107">
        <v>9106</v>
      </c>
      <c r="P9" s="107">
        <v>50</v>
      </c>
      <c r="Q9" s="107">
        <v>45.5</v>
      </c>
      <c r="R9" s="107">
        <v>37.75</v>
      </c>
      <c r="S9" s="107">
        <v>27.5</v>
      </c>
      <c r="T9" s="112">
        <f t="shared" si="2"/>
        <v>45.748737373737377</v>
      </c>
      <c r="U9" s="107">
        <v>83052</v>
      </c>
      <c r="V9" s="107">
        <v>168</v>
      </c>
      <c r="W9" s="108">
        <v>151000</v>
      </c>
      <c r="X9" s="107">
        <v>1904</v>
      </c>
      <c r="Y9" s="107" t="s">
        <v>507</v>
      </c>
      <c r="Z9" s="107" t="s">
        <v>508</v>
      </c>
      <c r="AA9" s="107"/>
      <c r="AB9" s="107" t="s">
        <v>509</v>
      </c>
      <c r="AC9" s="107" t="s">
        <v>510</v>
      </c>
      <c r="AD9" s="107" t="s">
        <v>511</v>
      </c>
      <c r="AE9" s="107" t="s">
        <v>512</v>
      </c>
      <c r="AF9" s="107" t="s">
        <v>513</v>
      </c>
      <c r="AG9" s="107"/>
      <c r="AH9" s="107"/>
      <c r="AI9" s="107"/>
      <c r="AJ9" s="107"/>
      <c r="AK9" s="107"/>
    </row>
    <row r="10" spans="1:37" x14ac:dyDescent="0.25">
      <c r="A10" s="107" t="s">
        <v>1011</v>
      </c>
      <c r="B10" s="107" t="s">
        <v>152</v>
      </c>
      <c r="C10" s="107" t="s">
        <v>127</v>
      </c>
      <c r="D10" s="107"/>
      <c r="E10" s="107"/>
      <c r="F10" s="108"/>
      <c r="G10" s="107">
        <v>10</v>
      </c>
      <c r="H10" s="107">
        <v>19</v>
      </c>
      <c r="I10" s="107">
        <v>5</v>
      </c>
      <c r="J10" s="107">
        <v>2</v>
      </c>
      <c r="K10" s="108">
        <v>36</v>
      </c>
      <c r="L10" s="108">
        <v>110</v>
      </c>
      <c r="M10" s="108">
        <v>110</v>
      </c>
      <c r="N10" s="111">
        <f>((G10+H10)*L10+(I10+J10)*M10)/K10</f>
        <v>110</v>
      </c>
      <c r="O10" s="107">
        <v>1820</v>
      </c>
      <c r="P10" s="107">
        <v>45</v>
      </c>
      <c r="Q10" s="107">
        <v>35</v>
      </c>
      <c r="R10" s="107">
        <v>30</v>
      </c>
      <c r="S10" s="107">
        <v>25</v>
      </c>
      <c r="T10" s="112">
        <f t="shared" si="2"/>
        <v>36.527777777777779</v>
      </c>
      <c r="U10" s="107">
        <v>8855</v>
      </c>
      <c r="V10" s="107">
        <v>41</v>
      </c>
      <c r="W10" s="108">
        <v>12000</v>
      </c>
      <c r="X10" s="107">
        <v>1904</v>
      </c>
      <c r="Y10" s="107" t="s">
        <v>507</v>
      </c>
      <c r="Z10" s="107" t="s">
        <v>508</v>
      </c>
      <c r="AA10" s="107"/>
      <c r="AB10" s="107" t="s">
        <v>509</v>
      </c>
      <c r="AC10" s="107" t="s">
        <v>510</v>
      </c>
      <c r="AD10" s="107" t="s">
        <v>511</v>
      </c>
      <c r="AE10" s="107" t="s">
        <v>512</v>
      </c>
      <c r="AF10" s="107" t="s">
        <v>513</v>
      </c>
      <c r="AG10" s="107"/>
      <c r="AH10" s="107"/>
      <c r="AI10" s="107"/>
      <c r="AJ10" s="107"/>
      <c r="AK10" s="107"/>
    </row>
    <row r="11" spans="1:37" x14ac:dyDescent="0.25">
      <c r="A11" s="107" t="s">
        <v>1012</v>
      </c>
      <c r="B11" s="107" t="s">
        <v>152</v>
      </c>
      <c r="C11" s="107" t="s">
        <v>2078</v>
      </c>
      <c r="D11" s="107">
        <v>466</v>
      </c>
      <c r="E11" s="107">
        <v>95</v>
      </c>
      <c r="F11" s="108">
        <f t="shared" si="0"/>
        <v>561</v>
      </c>
      <c r="G11" s="107">
        <v>1</v>
      </c>
      <c r="H11" s="107">
        <v>13</v>
      </c>
      <c r="I11" s="107"/>
      <c r="J11" s="107">
        <v>4</v>
      </c>
      <c r="K11" s="108">
        <v>18</v>
      </c>
      <c r="L11" s="108">
        <v>118</v>
      </c>
      <c r="M11" s="108">
        <v>80</v>
      </c>
      <c r="N11" s="111">
        <f t="shared" si="1"/>
        <v>111.5650623885918</v>
      </c>
      <c r="O11" s="107">
        <v>854</v>
      </c>
      <c r="P11" s="107">
        <v>46.67</v>
      </c>
      <c r="Q11" s="107">
        <v>48.25</v>
      </c>
      <c r="R11" s="107"/>
      <c r="S11" s="107">
        <v>30</v>
      </c>
      <c r="T11" s="112">
        <f t="shared" si="2"/>
        <v>44.106666666666662</v>
      </c>
      <c r="U11" s="107">
        <v>12481</v>
      </c>
      <c r="V11" s="107">
        <v>25</v>
      </c>
      <c r="W11" s="108">
        <v>10000</v>
      </c>
      <c r="X11" s="107">
        <v>1904</v>
      </c>
      <c r="Y11" s="107" t="s">
        <v>507</v>
      </c>
      <c r="Z11" s="107" t="s">
        <v>508</v>
      </c>
      <c r="AA11" s="107"/>
      <c r="AB11" s="107" t="s">
        <v>509</v>
      </c>
      <c r="AC11" s="107" t="s">
        <v>510</v>
      </c>
      <c r="AD11" s="107" t="s">
        <v>511</v>
      </c>
      <c r="AE11" s="107" t="s">
        <v>512</v>
      </c>
      <c r="AF11" s="107" t="s">
        <v>513</v>
      </c>
      <c r="AG11" s="107"/>
      <c r="AH11" s="107"/>
      <c r="AI11" s="107"/>
      <c r="AJ11" s="107"/>
      <c r="AK11" s="107"/>
    </row>
    <row r="12" spans="1:37" x14ac:dyDescent="0.25">
      <c r="A12" s="107" t="s">
        <v>1013</v>
      </c>
      <c r="B12" s="107" t="s">
        <v>152</v>
      </c>
      <c r="C12" s="107" t="s">
        <v>156</v>
      </c>
      <c r="D12" s="107">
        <v>3072</v>
      </c>
      <c r="E12" s="107">
        <v>1700</v>
      </c>
      <c r="F12" s="108">
        <f t="shared" si="0"/>
        <v>4772</v>
      </c>
      <c r="G12" s="108">
        <v>25</v>
      </c>
      <c r="H12" s="108">
        <v>25</v>
      </c>
      <c r="I12" s="108">
        <v>6</v>
      </c>
      <c r="J12" s="108">
        <v>8</v>
      </c>
      <c r="K12" s="108">
        <v>64</v>
      </c>
      <c r="L12" s="108">
        <v>80</v>
      </c>
      <c r="M12" s="108">
        <v>80</v>
      </c>
      <c r="N12" s="111">
        <f t="shared" si="1"/>
        <v>80</v>
      </c>
      <c r="O12" s="107">
        <v>5180</v>
      </c>
      <c r="P12" s="107">
        <v>30</v>
      </c>
      <c r="Q12" s="107">
        <v>30</v>
      </c>
      <c r="R12" s="107">
        <v>25</v>
      </c>
      <c r="S12" s="107">
        <v>20</v>
      </c>
      <c r="T12" s="112">
        <f t="shared" si="2"/>
        <v>28.28125</v>
      </c>
      <c r="U12" s="107">
        <v>24337</v>
      </c>
      <c r="V12" s="107">
        <v>90</v>
      </c>
      <c r="W12" s="108">
        <v>27000</v>
      </c>
      <c r="X12" s="107">
        <v>1904</v>
      </c>
      <c r="Y12" s="107" t="s">
        <v>507</v>
      </c>
      <c r="Z12" s="107" t="s">
        <v>508</v>
      </c>
      <c r="AA12" s="107"/>
      <c r="AB12" s="107" t="s">
        <v>509</v>
      </c>
      <c r="AC12" s="107" t="s">
        <v>510</v>
      </c>
      <c r="AD12" s="107" t="s">
        <v>511</v>
      </c>
      <c r="AE12" s="107" t="s">
        <v>512</v>
      </c>
      <c r="AF12" s="107" t="s">
        <v>513</v>
      </c>
      <c r="AG12" s="107"/>
      <c r="AH12" s="107"/>
      <c r="AI12" s="107"/>
      <c r="AJ12" s="107"/>
      <c r="AK12" s="107"/>
    </row>
    <row r="13" spans="1:37" x14ac:dyDescent="0.25">
      <c r="A13" s="107" t="s">
        <v>1014</v>
      </c>
      <c r="B13" s="107" t="s">
        <v>152</v>
      </c>
      <c r="C13" s="107" t="s">
        <v>157</v>
      </c>
      <c r="D13" s="107">
        <v>2377</v>
      </c>
      <c r="E13" s="107">
        <v>2219</v>
      </c>
      <c r="F13" s="108">
        <f t="shared" si="0"/>
        <v>4596</v>
      </c>
      <c r="G13" s="108">
        <v>17</v>
      </c>
      <c r="H13" s="108">
        <v>35</v>
      </c>
      <c r="I13" s="108">
        <v>28</v>
      </c>
      <c r="J13" s="108">
        <v>32</v>
      </c>
      <c r="K13" s="108">
        <v>112</v>
      </c>
      <c r="L13" s="108">
        <v>90</v>
      </c>
      <c r="M13" s="108">
        <v>60</v>
      </c>
      <c r="N13" s="111">
        <f t="shared" si="1"/>
        <v>75.515665796344649</v>
      </c>
      <c r="O13" s="107">
        <v>6188</v>
      </c>
      <c r="P13" s="107">
        <v>46</v>
      </c>
      <c r="Q13" s="107">
        <v>34</v>
      </c>
      <c r="R13" s="107">
        <v>33.340000000000003</v>
      </c>
      <c r="S13" s="107">
        <v>0</v>
      </c>
      <c r="T13" s="112">
        <f t="shared" si="2"/>
        <v>25.942142857142859</v>
      </c>
      <c r="U13" s="107">
        <v>14899</v>
      </c>
      <c r="V13" s="107">
        <v>103</v>
      </c>
      <c r="W13" s="108">
        <v>15000</v>
      </c>
      <c r="X13" s="107">
        <v>1904</v>
      </c>
      <c r="Y13" s="107" t="s">
        <v>507</v>
      </c>
      <c r="Z13" s="107" t="s">
        <v>508</v>
      </c>
      <c r="AA13" s="107"/>
      <c r="AB13" s="107" t="s">
        <v>509</v>
      </c>
      <c r="AC13" s="107" t="s">
        <v>510</v>
      </c>
      <c r="AD13" s="107" t="s">
        <v>511</v>
      </c>
      <c r="AE13" s="107" t="s">
        <v>512</v>
      </c>
      <c r="AF13" s="107" t="s">
        <v>513</v>
      </c>
      <c r="AG13" s="107"/>
      <c r="AH13" s="107"/>
      <c r="AI13" s="107"/>
      <c r="AJ13" s="107"/>
      <c r="AK13" s="107"/>
    </row>
    <row r="14" spans="1:37" x14ac:dyDescent="0.25">
      <c r="A14" s="107" t="s">
        <v>1015</v>
      </c>
      <c r="B14" s="107" t="s">
        <v>152</v>
      </c>
      <c r="C14" s="107" t="s">
        <v>2079</v>
      </c>
      <c r="D14" s="107">
        <v>292</v>
      </c>
      <c r="E14" s="107">
        <v>977</v>
      </c>
      <c r="F14" s="108">
        <f t="shared" si="0"/>
        <v>1269</v>
      </c>
      <c r="G14" s="107">
        <v>1</v>
      </c>
      <c r="H14" s="107">
        <v>24</v>
      </c>
      <c r="I14" s="107">
        <v>2</v>
      </c>
      <c r="J14" s="107">
        <v>17</v>
      </c>
      <c r="K14" s="108">
        <v>44</v>
      </c>
      <c r="L14" s="108">
        <v>180</v>
      </c>
      <c r="M14" s="108">
        <v>69</v>
      </c>
      <c r="N14" s="111">
        <f t="shared" si="1"/>
        <v>94.541371158392437</v>
      </c>
      <c r="O14" s="107">
        <v>1579</v>
      </c>
      <c r="P14" s="107">
        <v>65</v>
      </c>
      <c r="Q14" s="107">
        <v>28.91</v>
      </c>
      <c r="R14" s="107">
        <v>25</v>
      </c>
      <c r="S14" s="107">
        <v>20.76</v>
      </c>
      <c r="T14" s="112">
        <f t="shared" si="2"/>
        <v>26.403636363636362</v>
      </c>
      <c r="U14" s="107">
        <v>10407</v>
      </c>
      <c r="V14" s="107">
        <v>41</v>
      </c>
      <c r="W14" s="108">
        <v>8250</v>
      </c>
      <c r="X14" s="107">
        <v>1904</v>
      </c>
      <c r="Y14" s="107" t="s">
        <v>507</v>
      </c>
      <c r="Z14" s="107" t="s">
        <v>508</v>
      </c>
      <c r="AA14" s="107"/>
      <c r="AB14" s="107" t="s">
        <v>509</v>
      </c>
      <c r="AC14" s="107" t="s">
        <v>510</v>
      </c>
      <c r="AD14" s="107" t="s">
        <v>511</v>
      </c>
      <c r="AE14" s="107" t="s">
        <v>512</v>
      </c>
      <c r="AF14" s="107" t="s">
        <v>513</v>
      </c>
      <c r="AG14" s="107"/>
      <c r="AH14" s="107"/>
      <c r="AI14" s="107"/>
      <c r="AJ14" s="107"/>
      <c r="AK14" s="107"/>
    </row>
    <row r="15" spans="1:37" x14ac:dyDescent="0.25">
      <c r="A15" s="107" t="s">
        <v>1962</v>
      </c>
      <c r="B15" s="107" t="s">
        <v>152</v>
      </c>
      <c r="C15" s="107" t="s">
        <v>1963</v>
      </c>
      <c r="D15" s="107">
        <v>1182</v>
      </c>
      <c r="E15" s="107">
        <v>1094</v>
      </c>
      <c r="F15" s="108">
        <f t="shared" si="0"/>
        <v>2276</v>
      </c>
      <c r="G15" s="108">
        <v>8</v>
      </c>
      <c r="H15" s="108">
        <v>59</v>
      </c>
      <c r="I15" s="108">
        <v>2</v>
      </c>
      <c r="J15" s="108"/>
      <c r="K15" s="108">
        <v>69</v>
      </c>
      <c r="L15" s="108">
        <v>146</v>
      </c>
      <c r="M15" s="108">
        <v>63</v>
      </c>
      <c r="N15" s="111">
        <f t="shared" si="1"/>
        <v>106.10456942003515</v>
      </c>
      <c r="O15" s="107">
        <v>3706</v>
      </c>
      <c r="P15" s="107">
        <v>60</v>
      </c>
      <c r="Q15" s="107">
        <v>36.909999999999997</v>
      </c>
      <c r="R15" s="107">
        <v>20</v>
      </c>
      <c r="S15" s="107">
        <v>15</v>
      </c>
      <c r="T15" s="112">
        <f t="shared" si="2"/>
        <v>39.096956521739124</v>
      </c>
      <c r="U15" s="107">
        <v>27114</v>
      </c>
      <c r="V15" s="107">
        <v>66</v>
      </c>
      <c r="W15" s="108">
        <v>27325</v>
      </c>
      <c r="X15" s="107">
        <v>1904</v>
      </c>
      <c r="Y15" s="107" t="s">
        <v>507</v>
      </c>
      <c r="Z15" s="107" t="s">
        <v>508</v>
      </c>
      <c r="AA15" s="107"/>
      <c r="AB15" s="107" t="s">
        <v>509</v>
      </c>
      <c r="AC15" s="107" t="s">
        <v>510</v>
      </c>
      <c r="AD15" s="107" t="s">
        <v>511</v>
      </c>
      <c r="AE15" s="107" t="s">
        <v>512</v>
      </c>
      <c r="AF15" s="107" t="s">
        <v>513</v>
      </c>
      <c r="AG15" s="107"/>
      <c r="AH15" s="107"/>
      <c r="AI15" s="107"/>
      <c r="AJ15" s="107"/>
      <c r="AK15" s="107"/>
    </row>
    <row r="16" spans="1:37" x14ac:dyDescent="0.25">
      <c r="A16" s="107" t="s">
        <v>1016</v>
      </c>
      <c r="B16" s="107" t="s">
        <v>152</v>
      </c>
      <c r="C16" s="107" t="s">
        <v>2072</v>
      </c>
      <c r="D16" s="107">
        <v>1297</v>
      </c>
      <c r="E16" s="107">
        <v>354</v>
      </c>
      <c r="F16" s="108">
        <f t="shared" si="0"/>
        <v>1651</v>
      </c>
      <c r="G16" s="108">
        <v>2</v>
      </c>
      <c r="H16" s="108">
        <v>47</v>
      </c>
      <c r="I16" s="108">
        <v>2</v>
      </c>
      <c r="J16" s="108">
        <v>13</v>
      </c>
      <c r="K16" s="108">
        <v>64</v>
      </c>
      <c r="L16" s="108">
        <v>160</v>
      </c>
      <c r="M16" s="108">
        <v>60</v>
      </c>
      <c r="N16" s="111">
        <f t="shared" si="1"/>
        <v>138.55844942459115</v>
      </c>
      <c r="O16" s="107">
        <v>2141</v>
      </c>
      <c r="P16" s="107">
        <v>100</v>
      </c>
      <c r="Q16" s="107">
        <v>45</v>
      </c>
      <c r="R16" s="107">
        <v>30</v>
      </c>
      <c r="S16" s="107">
        <v>17.5</v>
      </c>
      <c r="T16" s="112">
        <f t="shared" si="2"/>
        <v>40.6640625</v>
      </c>
      <c r="U16" s="107">
        <v>23390</v>
      </c>
      <c r="V16" s="107">
        <v>41</v>
      </c>
      <c r="W16" s="108">
        <v>37850</v>
      </c>
      <c r="X16" s="107">
        <v>1904</v>
      </c>
      <c r="Y16" s="107" t="s">
        <v>507</v>
      </c>
      <c r="Z16" s="107" t="s">
        <v>508</v>
      </c>
      <c r="AA16" s="107"/>
      <c r="AB16" s="107" t="s">
        <v>509</v>
      </c>
      <c r="AC16" s="107" t="s">
        <v>510</v>
      </c>
      <c r="AD16" s="107" t="s">
        <v>511</v>
      </c>
      <c r="AE16" s="107" t="s">
        <v>512</v>
      </c>
      <c r="AF16" s="107" t="s">
        <v>513</v>
      </c>
      <c r="AG16" s="107"/>
      <c r="AH16" s="107"/>
      <c r="AI16" s="107"/>
      <c r="AJ16" s="107"/>
      <c r="AK16" s="107"/>
    </row>
    <row r="17" spans="1:37" x14ac:dyDescent="0.25">
      <c r="A17" s="107" t="s">
        <v>1780</v>
      </c>
      <c r="B17" s="107" t="s">
        <v>152</v>
      </c>
      <c r="C17" s="107" t="s">
        <v>575</v>
      </c>
      <c r="D17" s="107">
        <v>154</v>
      </c>
      <c r="E17" s="107">
        <v>1076</v>
      </c>
      <c r="F17" s="108">
        <f t="shared" si="0"/>
        <v>1230</v>
      </c>
      <c r="G17" s="107"/>
      <c r="H17" s="107">
        <v>4</v>
      </c>
      <c r="I17" s="107">
        <v>2</v>
      </c>
      <c r="J17" s="107">
        <v>2</v>
      </c>
      <c r="K17" s="108">
        <v>8</v>
      </c>
      <c r="L17" s="108">
        <v>180</v>
      </c>
      <c r="M17" s="108">
        <v>80</v>
      </c>
      <c r="N17" s="111">
        <f t="shared" si="1"/>
        <v>92.520325203252028</v>
      </c>
      <c r="O17" s="107">
        <v>1812</v>
      </c>
      <c r="P17" s="107">
        <v>111</v>
      </c>
      <c r="Q17" s="107">
        <v>53.88</v>
      </c>
      <c r="R17" s="107">
        <v>42.47</v>
      </c>
      <c r="S17" s="107">
        <v>21</v>
      </c>
      <c r="T17" s="112">
        <f t="shared" si="2"/>
        <v>42.807500000000005</v>
      </c>
      <c r="U17" s="107">
        <v>11243</v>
      </c>
      <c r="V17" s="107">
        <v>23</v>
      </c>
      <c r="W17" s="108">
        <v>6400</v>
      </c>
      <c r="X17" s="107">
        <v>1904</v>
      </c>
      <c r="Y17" s="107" t="s">
        <v>507</v>
      </c>
      <c r="Z17" s="107" t="s">
        <v>508</v>
      </c>
      <c r="AA17" s="107"/>
      <c r="AB17" s="107" t="s">
        <v>509</v>
      </c>
      <c r="AC17" s="107" t="s">
        <v>510</v>
      </c>
      <c r="AD17" s="107" t="s">
        <v>511</v>
      </c>
      <c r="AE17" s="107" t="s">
        <v>512</v>
      </c>
      <c r="AF17" s="107" t="s">
        <v>513</v>
      </c>
      <c r="AG17" s="107"/>
      <c r="AH17" s="107"/>
      <c r="AI17" s="107"/>
      <c r="AJ17" s="107"/>
      <c r="AK17" s="107"/>
    </row>
    <row r="18" spans="1:37" x14ac:dyDescent="0.25">
      <c r="A18" s="107" t="s">
        <v>1017</v>
      </c>
      <c r="B18" s="107" t="s">
        <v>152</v>
      </c>
      <c r="C18" s="107" t="s">
        <v>2081</v>
      </c>
      <c r="D18" s="107">
        <v>767</v>
      </c>
      <c r="E18" s="107">
        <v>1281</v>
      </c>
      <c r="F18" s="108">
        <f t="shared" si="0"/>
        <v>2048</v>
      </c>
      <c r="G18" s="107">
        <v>5</v>
      </c>
      <c r="H18" s="107">
        <v>41</v>
      </c>
      <c r="I18" s="107">
        <v>10</v>
      </c>
      <c r="J18" s="107">
        <v>33</v>
      </c>
      <c r="K18" s="108">
        <v>89</v>
      </c>
      <c r="L18" s="108">
        <v>180</v>
      </c>
      <c r="M18" s="108">
        <v>80</v>
      </c>
      <c r="N18" s="111">
        <f t="shared" si="1"/>
        <v>117.451171875</v>
      </c>
      <c r="O18" s="107">
        <v>3144</v>
      </c>
      <c r="P18" s="107">
        <v>75</v>
      </c>
      <c r="Q18" s="107">
        <v>36.57</v>
      </c>
      <c r="R18" s="107">
        <v>15</v>
      </c>
      <c r="S18" s="107">
        <v>15</v>
      </c>
      <c r="T18" s="112">
        <f t="shared" si="2"/>
        <v>28.30752808988764</v>
      </c>
      <c r="U18" s="107">
        <v>16440</v>
      </c>
      <c r="V18" s="107">
        <v>73</v>
      </c>
      <c r="W18" s="108">
        <v>4800</v>
      </c>
      <c r="X18" s="107">
        <v>1904</v>
      </c>
      <c r="Y18" s="107" t="s">
        <v>507</v>
      </c>
      <c r="Z18" s="107" t="s">
        <v>508</v>
      </c>
      <c r="AA18" s="107"/>
      <c r="AB18" s="107" t="s">
        <v>509</v>
      </c>
      <c r="AC18" s="107" t="s">
        <v>510</v>
      </c>
      <c r="AD18" s="107" t="s">
        <v>511</v>
      </c>
      <c r="AE18" s="107" t="s">
        <v>512</v>
      </c>
      <c r="AF18" s="107" t="s">
        <v>513</v>
      </c>
      <c r="AG18" s="107"/>
      <c r="AH18" s="107"/>
      <c r="AI18" s="107"/>
      <c r="AJ18" s="107"/>
      <c r="AK18" s="107"/>
    </row>
    <row r="19" spans="1:37" x14ac:dyDescent="0.25">
      <c r="A19" s="107" t="s">
        <v>1019</v>
      </c>
      <c r="B19" s="107" t="s">
        <v>152</v>
      </c>
      <c r="C19" s="107" t="s">
        <v>26</v>
      </c>
      <c r="D19" s="107">
        <v>756</v>
      </c>
      <c r="E19" s="107">
        <v>440</v>
      </c>
      <c r="F19" s="108">
        <f t="shared" si="0"/>
        <v>1196</v>
      </c>
      <c r="G19" s="107">
        <v>4</v>
      </c>
      <c r="H19" s="107">
        <v>13</v>
      </c>
      <c r="I19" s="107">
        <v>2</v>
      </c>
      <c r="J19" s="107">
        <v>4</v>
      </c>
      <c r="K19" s="108">
        <v>23</v>
      </c>
      <c r="L19" s="108">
        <v>141</v>
      </c>
      <c r="M19" s="108">
        <v>57</v>
      </c>
      <c r="N19" s="111">
        <f t="shared" si="1"/>
        <v>110.09698996655518</v>
      </c>
      <c r="O19" s="107">
        <v>2155</v>
      </c>
      <c r="P19" s="107">
        <v>57.85</v>
      </c>
      <c r="Q19" s="107">
        <v>38.6</v>
      </c>
      <c r="R19" s="107">
        <v>33</v>
      </c>
      <c r="S19" s="107">
        <v>27</v>
      </c>
      <c r="T19" s="112">
        <f t="shared" si="2"/>
        <v>39.443478260869568</v>
      </c>
      <c r="U19" s="107">
        <v>11146</v>
      </c>
      <c r="V19" s="107">
        <v>42</v>
      </c>
      <c r="W19" s="108">
        <v>9000</v>
      </c>
      <c r="X19" s="107">
        <v>1904</v>
      </c>
      <c r="Y19" s="107" t="s">
        <v>507</v>
      </c>
      <c r="Z19" s="107" t="s">
        <v>508</v>
      </c>
      <c r="AA19" s="107"/>
      <c r="AB19" s="107" t="s">
        <v>509</v>
      </c>
      <c r="AC19" s="107" t="s">
        <v>510</v>
      </c>
      <c r="AD19" s="107" t="s">
        <v>511</v>
      </c>
      <c r="AE19" s="107" t="s">
        <v>512</v>
      </c>
      <c r="AF19" s="107" t="s">
        <v>513</v>
      </c>
      <c r="AG19" s="107"/>
      <c r="AH19" s="107"/>
      <c r="AI19" s="107"/>
      <c r="AJ19" s="107"/>
      <c r="AK19" s="107"/>
    </row>
    <row r="20" spans="1:37" x14ac:dyDescent="0.25">
      <c r="A20" s="107" t="s">
        <v>1020</v>
      </c>
      <c r="B20" s="107" t="s">
        <v>152</v>
      </c>
      <c r="C20" s="107" t="s">
        <v>2083</v>
      </c>
      <c r="D20" s="107"/>
      <c r="E20" s="107"/>
      <c r="F20" s="108"/>
      <c r="G20" s="107">
        <v>16</v>
      </c>
      <c r="H20" s="107">
        <v>17</v>
      </c>
      <c r="I20" s="107">
        <v>6</v>
      </c>
      <c r="J20" s="107">
        <v>3</v>
      </c>
      <c r="K20" s="108">
        <v>42</v>
      </c>
      <c r="L20" s="108">
        <v>120</v>
      </c>
      <c r="M20" s="108">
        <v>32</v>
      </c>
      <c r="N20" s="111">
        <f>((G20+H20)*L20+(I20+J20)*M20)/K20</f>
        <v>101.14285714285714</v>
      </c>
      <c r="O20" s="107">
        <v>3148</v>
      </c>
      <c r="P20" s="107">
        <v>55.54</v>
      </c>
      <c r="Q20" s="107">
        <v>45.14</v>
      </c>
      <c r="R20" s="107">
        <v>33.909999999999997</v>
      </c>
      <c r="S20" s="107">
        <v>40</v>
      </c>
      <c r="T20" s="112">
        <f t="shared" si="2"/>
        <v>47.130476190476188</v>
      </c>
      <c r="U20" s="107">
        <v>16436</v>
      </c>
      <c r="V20" s="107">
        <v>52</v>
      </c>
      <c r="W20" s="108">
        <v>27000</v>
      </c>
      <c r="X20" s="107">
        <v>1904</v>
      </c>
      <c r="Y20" s="107" t="s">
        <v>507</v>
      </c>
      <c r="Z20" s="107" t="s">
        <v>508</v>
      </c>
      <c r="AA20" s="107"/>
      <c r="AB20" s="107" t="s">
        <v>509</v>
      </c>
      <c r="AC20" s="107" t="s">
        <v>510</v>
      </c>
      <c r="AD20" s="107" t="s">
        <v>511</v>
      </c>
      <c r="AE20" s="107" t="s">
        <v>512</v>
      </c>
      <c r="AF20" s="107" t="s">
        <v>513</v>
      </c>
      <c r="AG20" s="107"/>
      <c r="AH20" s="107"/>
      <c r="AI20" s="107"/>
      <c r="AJ20" s="107"/>
      <c r="AK20" s="107"/>
    </row>
    <row r="21" spans="1:37" x14ac:dyDescent="0.25">
      <c r="A21" s="107" t="s">
        <v>1021</v>
      </c>
      <c r="B21" s="107" t="s">
        <v>152</v>
      </c>
      <c r="C21" s="107" t="s">
        <v>158</v>
      </c>
      <c r="D21" s="107">
        <v>1764</v>
      </c>
      <c r="E21" s="107">
        <v>734</v>
      </c>
      <c r="F21" s="108">
        <f t="shared" si="0"/>
        <v>2498</v>
      </c>
      <c r="G21" s="108">
        <v>7</v>
      </c>
      <c r="H21" s="108">
        <v>38</v>
      </c>
      <c r="I21" s="108"/>
      <c r="J21" s="108">
        <v>3</v>
      </c>
      <c r="K21" s="108">
        <v>48</v>
      </c>
      <c r="L21" s="108">
        <v>180</v>
      </c>
      <c r="M21" s="108">
        <v>180</v>
      </c>
      <c r="N21" s="111">
        <f t="shared" si="1"/>
        <v>180</v>
      </c>
      <c r="O21" s="107">
        <v>2990</v>
      </c>
      <c r="P21" s="107">
        <v>535.83000000000004</v>
      </c>
      <c r="Q21" s="107">
        <v>43.93</v>
      </c>
      <c r="R21" s="107">
        <v>35</v>
      </c>
      <c r="S21" s="107">
        <v>27.77</v>
      </c>
      <c r="T21" s="112">
        <f t="shared" si="2"/>
        <v>114.65541666666668</v>
      </c>
      <c r="U21" s="107">
        <v>30406</v>
      </c>
      <c r="V21" s="107">
        <v>38</v>
      </c>
      <c r="W21" s="108">
        <v>45000</v>
      </c>
      <c r="X21" s="107">
        <v>1904</v>
      </c>
      <c r="Y21" s="107" t="s">
        <v>507</v>
      </c>
      <c r="Z21" s="107" t="s">
        <v>508</v>
      </c>
      <c r="AA21" s="107"/>
      <c r="AB21" s="107" t="s">
        <v>509</v>
      </c>
      <c r="AC21" s="107" t="s">
        <v>510</v>
      </c>
      <c r="AD21" s="107" t="s">
        <v>511</v>
      </c>
      <c r="AE21" s="107" t="s">
        <v>512</v>
      </c>
      <c r="AF21" s="107" t="s">
        <v>513</v>
      </c>
      <c r="AG21" s="107"/>
      <c r="AH21" s="107"/>
      <c r="AI21" s="107"/>
      <c r="AJ21" s="107"/>
      <c r="AK21" s="107"/>
    </row>
    <row r="22" spans="1:37" x14ac:dyDescent="0.25">
      <c r="A22" s="107" t="s">
        <v>1022</v>
      </c>
      <c r="B22" s="107" t="s">
        <v>152</v>
      </c>
      <c r="C22" s="107" t="s">
        <v>159</v>
      </c>
      <c r="D22" s="107">
        <v>1067</v>
      </c>
      <c r="E22" s="107">
        <v>947</v>
      </c>
      <c r="F22" s="108">
        <f t="shared" si="0"/>
        <v>2014</v>
      </c>
      <c r="G22" s="108">
        <v>5</v>
      </c>
      <c r="H22" s="108">
        <v>35</v>
      </c>
      <c r="I22" s="108">
        <v>10</v>
      </c>
      <c r="J22" s="108">
        <v>12</v>
      </c>
      <c r="K22" s="108">
        <v>62</v>
      </c>
      <c r="L22" s="108">
        <v>180</v>
      </c>
      <c r="M22" s="108">
        <v>60</v>
      </c>
      <c r="N22" s="111">
        <f t="shared" si="1"/>
        <v>123.57497517378351</v>
      </c>
      <c r="O22" s="107">
        <v>2591</v>
      </c>
      <c r="P22" s="107">
        <v>60</v>
      </c>
      <c r="Q22" s="107">
        <v>35.299999999999997</v>
      </c>
      <c r="R22" s="107">
        <v>25</v>
      </c>
      <c r="S22" s="107">
        <v>22.8</v>
      </c>
      <c r="T22" s="112">
        <f t="shared" si="2"/>
        <v>33.211290322580645</v>
      </c>
      <c r="U22" s="107">
        <v>22815</v>
      </c>
      <c r="V22" s="107">
        <v>47</v>
      </c>
      <c r="W22" s="108">
        <v>25000</v>
      </c>
      <c r="X22" s="107">
        <v>1904</v>
      </c>
      <c r="Y22" s="107" t="s">
        <v>507</v>
      </c>
      <c r="Z22" s="107" t="s">
        <v>508</v>
      </c>
      <c r="AA22" s="107"/>
      <c r="AB22" s="107" t="s">
        <v>509</v>
      </c>
      <c r="AC22" s="107" t="s">
        <v>510</v>
      </c>
      <c r="AD22" s="107" t="s">
        <v>511</v>
      </c>
      <c r="AE22" s="107" t="s">
        <v>512</v>
      </c>
      <c r="AF22" s="107" t="s">
        <v>513</v>
      </c>
      <c r="AG22" s="107"/>
      <c r="AH22" s="107"/>
      <c r="AI22" s="107"/>
      <c r="AJ22" s="107"/>
      <c r="AK22" s="107"/>
    </row>
    <row r="23" spans="1:37" x14ac:dyDescent="0.25">
      <c r="A23" s="107" t="s">
        <v>1023</v>
      </c>
      <c r="B23" s="107" t="s">
        <v>152</v>
      </c>
      <c r="C23" s="107" t="s">
        <v>29</v>
      </c>
      <c r="D23" s="107">
        <v>1418</v>
      </c>
      <c r="E23" s="107">
        <v>734</v>
      </c>
      <c r="F23" s="108">
        <f t="shared" si="0"/>
        <v>2152</v>
      </c>
      <c r="G23" s="108">
        <v>22</v>
      </c>
      <c r="H23" s="108">
        <v>19</v>
      </c>
      <c r="I23" s="108">
        <v>11</v>
      </c>
      <c r="J23" s="108">
        <v>5</v>
      </c>
      <c r="K23" s="108">
        <v>57</v>
      </c>
      <c r="L23" s="108">
        <v>72</v>
      </c>
      <c r="M23" s="108">
        <v>52</v>
      </c>
      <c r="N23" s="111">
        <f t="shared" si="1"/>
        <v>65.178438661710032</v>
      </c>
      <c r="O23" s="107">
        <v>3326</v>
      </c>
      <c r="P23" s="107">
        <v>46.6</v>
      </c>
      <c r="Q23" s="107">
        <v>34.659999999999997</v>
      </c>
      <c r="R23" s="107">
        <v>32.200000000000003</v>
      </c>
      <c r="S23" s="107">
        <v>29.28</v>
      </c>
      <c r="T23" s="112">
        <f t="shared" si="2"/>
        <v>38.321754385964915</v>
      </c>
      <c r="U23" s="107">
        <v>12358</v>
      </c>
      <c r="V23" s="107">
        <v>64</v>
      </c>
      <c r="W23" s="108">
        <v>20000</v>
      </c>
      <c r="X23" s="107">
        <v>1904</v>
      </c>
      <c r="Y23" s="107" t="s">
        <v>507</v>
      </c>
      <c r="Z23" s="107" t="s">
        <v>508</v>
      </c>
      <c r="AA23" s="107"/>
      <c r="AB23" s="107" t="s">
        <v>509</v>
      </c>
      <c r="AC23" s="107" t="s">
        <v>510</v>
      </c>
      <c r="AD23" s="107" t="s">
        <v>511</v>
      </c>
      <c r="AE23" s="107" t="s">
        <v>512</v>
      </c>
      <c r="AF23" s="107" t="s">
        <v>513</v>
      </c>
      <c r="AG23" s="107"/>
      <c r="AH23" s="107"/>
      <c r="AI23" s="107"/>
      <c r="AJ23" s="107"/>
      <c r="AK23" s="107"/>
    </row>
    <row r="24" spans="1:37" x14ac:dyDescent="0.25">
      <c r="A24" s="107" t="s">
        <v>1024</v>
      </c>
      <c r="B24" s="107" t="s">
        <v>152</v>
      </c>
      <c r="C24" s="107" t="s">
        <v>30</v>
      </c>
      <c r="D24" s="107">
        <v>1147</v>
      </c>
      <c r="E24" s="107">
        <v>278</v>
      </c>
      <c r="F24" s="108">
        <f t="shared" si="0"/>
        <v>1425</v>
      </c>
      <c r="G24" s="108">
        <v>1</v>
      </c>
      <c r="H24" s="108">
        <v>20</v>
      </c>
      <c r="I24" s="108"/>
      <c r="J24" s="108">
        <v>1</v>
      </c>
      <c r="K24" s="108">
        <v>22</v>
      </c>
      <c r="L24" s="108">
        <v>178</v>
      </c>
      <c r="M24" s="108">
        <v>178</v>
      </c>
      <c r="N24" s="111">
        <f t="shared" si="1"/>
        <v>178</v>
      </c>
      <c r="O24" s="107">
        <v>1998</v>
      </c>
      <c r="P24" s="107">
        <v>34.65</v>
      </c>
      <c r="Q24" s="107">
        <v>34.65</v>
      </c>
      <c r="R24" s="107">
        <v>30</v>
      </c>
      <c r="S24" s="107">
        <v>30</v>
      </c>
      <c r="T24" s="112">
        <f t="shared" si="2"/>
        <v>34.438636363636363</v>
      </c>
      <c r="U24" s="107">
        <v>13926</v>
      </c>
      <c r="V24" s="107">
        <v>20</v>
      </c>
      <c r="W24" s="108">
        <v>19925</v>
      </c>
      <c r="X24" s="107">
        <v>1904</v>
      </c>
      <c r="Y24" s="107" t="s">
        <v>507</v>
      </c>
      <c r="Z24" s="107" t="s">
        <v>508</v>
      </c>
      <c r="AA24" s="107"/>
      <c r="AB24" s="107" t="s">
        <v>509</v>
      </c>
      <c r="AC24" s="107" t="s">
        <v>510</v>
      </c>
      <c r="AD24" s="107" t="s">
        <v>511</v>
      </c>
      <c r="AE24" s="107" t="s">
        <v>512</v>
      </c>
      <c r="AF24" s="107" t="s">
        <v>513</v>
      </c>
      <c r="AG24" s="107"/>
      <c r="AH24" s="107"/>
      <c r="AI24" s="107"/>
      <c r="AJ24" s="107"/>
      <c r="AK24" s="107"/>
    </row>
    <row r="25" spans="1:37" x14ac:dyDescent="0.25">
      <c r="A25" s="107" t="s">
        <v>1026</v>
      </c>
      <c r="B25" s="107" t="s">
        <v>152</v>
      </c>
      <c r="C25" s="107" t="s">
        <v>71</v>
      </c>
      <c r="D25" s="107">
        <v>1528</v>
      </c>
      <c r="E25" s="107">
        <v>105</v>
      </c>
      <c r="F25" s="108">
        <f t="shared" si="0"/>
        <v>1633</v>
      </c>
      <c r="G25" s="108">
        <v>13</v>
      </c>
      <c r="H25" s="108">
        <v>40</v>
      </c>
      <c r="I25" s="108">
        <v>1</v>
      </c>
      <c r="J25" s="108">
        <v>2</v>
      </c>
      <c r="K25" s="108">
        <v>56</v>
      </c>
      <c r="L25" s="108">
        <v>200</v>
      </c>
      <c r="M25" s="108">
        <v>200</v>
      </c>
      <c r="N25" s="111">
        <f t="shared" si="1"/>
        <v>200</v>
      </c>
      <c r="O25" s="107">
        <v>2547</v>
      </c>
      <c r="P25" s="107">
        <v>57.33</v>
      </c>
      <c r="Q25" s="107">
        <v>51.91</v>
      </c>
      <c r="R25" s="107">
        <v>44</v>
      </c>
      <c r="S25" s="107">
        <v>30</v>
      </c>
      <c r="T25" s="112">
        <f t="shared" si="2"/>
        <v>52.24446428571428</v>
      </c>
      <c r="U25" s="107">
        <v>31134</v>
      </c>
      <c r="V25" s="107">
        <v>34</v>
      </c>
      <c r="W25" s="108">
        <v>13500</v>
      </c>
      <c r="X25" s="107">
        <v>1904</v>
      </c>
      <c r="Y25" s="107" t="s">
        <v>507</v>
      </c>
      <c r="Z25" s="107" t="s">
        <v>508</v>
      </c>
      <c r="AA25" s="107"/>
      <c r="AB25" s="107" t="s">
        <v>509</v>
      </c>
      <c r="AC25" s="107" t="s">
        <v>510</v>
      </c>
      <c r="AD25" s="107" t="s">
        <v>511</v>
      </c>
      <c r="AE25" s="107" t="s">
        <v>512</v>
      </c>
      <c r="AF25" s="107" t="s">
        <v>513</v>
      </c>
      <c r="AG25" s="107"/>
      <c r="AH25" s="107"/>
      <c r="AI25" s="107"/>
      <c r="AJ25" s="107"/>
      <c r="AK25" s="107"/>
    </row>
    <row r="26" spans="1:37" x14ac:dyDescent="0.25">
      <c r="A26" s="107" t="s">
        <v>1027</v>
      </c>
      <c r="B26" s="107" t="s">
        <v>152</v>
      </c>
      <c r="C26" s="107" t="s">
        <v>160</v>
      </c>
      <c r="D26" s="107">
        <v>1702</v>
      </c>
      <c r="E26" s="107">
        <v>653</v>
      </c>
      <c r="F26" s="108">
        <f t="shared" si="0"/>
        <v>2355</v>
      </c>
      <c r="G26" s="108">
        <v>15</v>
      </c>
      <c r="H26" s="108">
        <v>60</v>
      </c>
      <c r="I26" s="108">
        <v>8</v>
      </c>
      <c r="J26" s="108">
        <v>6</v>
      </c>
      <c r="K26" s="108">
        <v>89</v>
      </c>
      <c r="L26" s="108">
        <v>114</v>
      </c>
      <c r="M26" s="108">
        <v>114</v>
      </c>
      <c r="N26" s="111">
        <f t="shared" si="1"/>
        <v>114</v>
      </c>
      <c r="O26" s="107">
        <v>3328</v>
      </c>
      <c r="P26" s="107">
        <v>41.33</v>
      </c>
      <c r="Q26" s="107">
        <v>34.25</v>
      </c>
      <c r="R26" s="107">
        <v>33.130000000000003</v>
      </c>
      <c r="S26" s="107">
        <v>26</v>
      </c>
      <c r="T26" s="112">
        <f t="shared" si="2"/>
        <v>34.786404494382019</v>
      </c>
      <c r="U26" s="107">
        <v>24748</v>
      </c>
      <c r="V26" s="107">
        <v>55</v>
      </c>
      <c r="W26" s="108">
        <v>11445</v>
      </c>
      <c r="X26" s="107">
        <v>1904</v>
      </c>
      <c r="Y26" s="107" t="s">
        <v>507</v>
      </c>
      <c r="Z26" s="107" t="s">
        <v>508</v>
      </c>
      <c r="AA26" s="107"/>
      <c r="AB26" s="107" t="s">
        <v>509</v>
      </c>
      <c r="AC26" s="107" t="s">
        <v>510</v>
      </c>
      <c r="AD26" s="107" t="s">
        <v>511</v>
      </c>
      <c r="AE26" s="107" t="s">
        <v>512</v>
      </c>
      <c r="AF26" s="107" t="s">
        <v>513</v>
      </c>
      <c r="AG26" s="107"/>
      <c r="AH26" s="107"/>
      <c r="AI26" s="107"/>
      <c r="AJ26" s="107"/>
      <c r="AK26" s="107"/>
    </row>
    <row r="27" spans="1:37" x14ac:dyDescent="0.25">
      <c r="A27" s="107" t="s">
        <v>1029</v>
      </c>
      <c r="B27" s="107" t="s">
        <v>152</v>
      </c>
      <c r="C27" s="107" t="s">
        <v>2085</v>
      </c>
      <c r="D27" s="107"/>
      <c r="E27" s="107"/>
      <c r="F27" s="108"/>
      <c r="G27" s="107">
        <v>17</v>
      </c>
      <c r="H27" s="107">
        <v>32</v>
      </c>
      <c r="I27" s="107">
        <v>4</v>
      </c>
      <c r="J27" s="107">
        <v>7</v>
      </c>
      <c r="K27" s="108">
        <v>60</v>
      </c>
      <c r="L27" s="108">
        <v>100</v>
      </c>
      <c r="M27" s="108">
        <v>100</v>
      </c>
      <c r="N27" s="111">
        <f>((G27+H27)*L27+(I27+J27)*M27)/K27</f>
        <v>100</v>
      </c>
      <c r="O27" s="107">
        <v>2801</v>
      </c>
      <c r="P27" s="107">
        <v>61</v>
      </c>
      <c r="Q27" s="107">
        <v>37.57</v>
      </c>
      <c r="R27" s="107">
        <v>30</v>
      </c>
      <c r="S27" s="107">
        <v>25.43</v>
      </c>
      <c r="T27" s="112">
        <f t="shared" si="2"/>
        <v>42.287500000000001</v>
      </c>
      <c r="U27" s="107">
        <v>20658</v>
      </c>
      <c r="V27" s="107">
        <v>44</v>
      </c>
      <c r="W27" s="108">
        <v>4000</v>
      </c>
      <c r="X27" s="107">
        <v>1904</v>
      </c>
      <c r="Y27" s="107" t="s">
        <v>507</v>
      </c>
      <c r="Z27" s="107" t="s">
        <v>508</v>
      </c>
      <c r="AA27" s="107"/>
      <c r="AB27" s="107" t="s">
        <v>509</v>
      </c>
      <c r="AC27" s="107" t="s">
        <v>510</v>
      </c>
      <c r="AD27" s="107" t="s">
        <v>511</v>
      </c>
      <c r="AE27" s="107" t="s">
        <v>512</v>
      </c>
      <c r="AF27" s="107" t="s">
        <v>513</v>
      </c>
      <c r="AG27" s="107"/>
      <c r="AH27" s="107"/>
      <c r="AI27" s="107"/>
      <c r="AJ27" s="107"/>
      <c r="AK27" s="107"/>
    </row>
    <row r="28" spans="1:37" x14ac:dyDescent="0.25">
      <c r="A28" s="107" t="s">
        <v>1030</v>
      </c>
      <c r="B28" s="107" t="s">
        <v>152</v>
      </c>
      <c r="C28" s="107" t="s">
        <v>2086</v>
      </c>
      <c r="D28" s="107">
        <v>1225</v>
      </c>
      <c r="E28" s="107">
        <v>179</v>
      </c>
      <c r="F28" s="108">
        <f t="shared" si="0"/>
        <v>1404</v>
      </c>
      <c r="G28" s="108">
        <v>9</v>
      </c>
      <c r="H28" s="108">
        <v>42</v>
      </c>
      <c r="I28" s="108">
        <v>3</v>
      </c>
      <c r="J28" s="108">
        <v>5</v>
      </c>
      <c r="K28" s="108">
        <v>59</v>
      </c>
      <c r="L28" s="108">
        <v>60</v>
      </c>
      <c r="M28" s="108">
        <v>60</v>
      </c>
      <c r="N28" s="111">
        <f t="shared" si="1"/>
        <v>60</v>
      </c>
      <c r="O28" s="107">
        <v>1830</v>
      </c>
      <c r="P28" s="107">
        <v>22.5</v>
      </c>
      <c r="Q28" s="107">
        <v>22.5</v>
      </c>
      <c r="R28" s="107">
        <v>20</v>
      </c>
      <c r="S28" s="107">
        <v>20</v>
      </c>
      <c r="T28" s="112">
        <f t="shared" si="2"/>
        <v>22.161016949152543</v>
      </c>
      <c r="U28" s="107">
        <v>6330</v>
      </c>
      <c r="V28" s="107">
        <v>59</v>
      </c>
      <c r="W28" s="108">
        <v>2400</v>
      </c>
      <c r="X28" s="107">
        <v>1904</v>
      </c>
      <c r="Y28" s="107" t="s">
        <v>507</v>
      </c>
      <c r="Z28" s="107" t="s">
        <v>508</v>
      </c>
      <c r="AA28" s="107"/>
      <c r="AB28" s="107" t="s">
        <v>509</v>
      </c>
      <c r="AC28" s="107" t="s">
        <v>510</v>
      </c>
      <c r="AD28" s="107" t="s">
        <v>511</v>
      </c>
      <c r="AE28" s="107" t="s">
        <v>512</v>
      </c>
      <c r="AF28" s="107" t="s">
        <v>513</v>
      </c>
      <c r="AG28" s="107"/>
      <c r="AH28" s="107"/>
      <c r="AI28" s="107"/>
      <c r="AJ28" s="107"/>
      <c r="AK28" s="107"/>
    </row>
    <row r="29" spans="1:37" x14ac:dyDescent="0.25">
      <c r="A29" s="107" t="s">
        <v>1031</v>
      </c>
      <c r="B29" s="107" t="s">
        <v>152</v>
      </c>
      <c r="C29" s="107" t="s">
        <v>38</v>
      </c>
      <c r="D29" s="107">
        <v>123</v>
      </c>
      <c r="E29" s="107">
        <v>1211</v>
      </c>
      <c r="F29" s="108">
        <f t="shared" si="0"/>
        <v>1334</v>
      </c>
      <c r="G29" s="107"/>
      <c r="H29" s="107">
        <v>11</v>
      </c>
      <c r="I29" s="107">
        <v>25</v>
      </c>
      <c r="J29" s="107">
        <v>15</v>
      </c>
      <c r="K29" s="108">
        <v>51</v>
      </c>
      <c r="L29" s="108">
        <v>180</v>
      </c>
      <c r="M29" s="108">
        <v>80</v>
      </c>
      <c r="N29" s="111">
        <f t="shared" si="1"/>
        <v>89.220389805097454</v>
      </c>
      <c r="O29" s="107">
        <v>1605</v>
      </c>
      <c r="P29" s="107"/>
      <c r="Q29" s="107">
        <v>49.19</v>
      </c>
      <c r="R29" s="107">
        <v>25</v>
      </c>
      <c r="S29" s="107">
        <v>25</v>
      </c>
      <c r="T29" s="112">
        <f t="shared" si="2"/>
        <v>30.217450980392154</v>
      </c>
      <c r="U29" s="107">
        <v>10974</v>
      </c>
      <c r="V29" s="107">
        <v>50</v>
      </c>
      <c r="W29" s="108">
        <v>10425</v>
      </c>
      <c r="X29" s="107">
        <v>1904</v>
      </c>
      <c r="Y29" s="107" t="s">
        <v>507</v>
      </c>
      <c r="Z29" s="107" t="s">
        <v>508</v>
      </c>
      <c r="AA29" s="107"/>
      <c r="AB29" s="107" t="s">
        <v>509</v>
      </c>
      <c r="AC29" s="107" t="s">
        <v>510</v>
      </c>
      <c r="AD29" s="107" t="s">
        <v>511</v>
      </c>
      <c r="AE29" s="107" t="s">
        <v>512</v>
      </c>
      <c r="AF29" s="107" t="s">
        <v>513</v>
      </c>
      <c r="AG29" s="107"/>
      <c r="AH29" s="107"/>
      <c r="AI29" s="107"/>
      <c r="AJ29" s="107"/>
      <c r="AK29" s="107"/>
    </row>
    <row r="30" spans="1:37" x14ac:dyDescent="0.25">
      <c r="A30" s="107" t="s">
        <v>1032</v>
      </c>
      <c r="B30" s="107" t="s">
        <v>152</v>
      </c>
      <c r="C30" s="107" t="s">
        <v>162</v>
      </c>
      <c r="D30" s="107">
        <v>885</v>
      </c>
      <c r="E30" s="107">
        <v>2291</v>
      </c>
      <c r="F30" s="108">
        <f t="shared" si="0"/>
        <v>3176</v>
      </c>
      <c r="G30" s="107">
        <v>4</v>
      </c>
      <c r="H30" s="107">
        <v>23</v>
      </c>
      <c r="I30" s="107">
        <v>23</v>
      </c>
      <c r="J30" s="107">
        <v>13</v>
      </c>
      <c r="K30" s="108">
        <v>63</v>
      </c>
      <c r="L30" s="108">
        <v>153</v>
      </c>
      <c r="M30" s="108">
        <v>80</v>
      </c>
      <c r="N30" s="111">
        <f t="shared" si="1"/>
        <v>100.34162468513854</v>
      </c>
      <c r="O30" s="107">
        <v>3820</v>
      </c>
      <c r="P30" s="107">
        <v>77.5</v>
      </c>
      <c r="Q30" s="107">
        <v>42.81</v>
      </c>
      <c r="R30" s="107">
        <v>20</v>
      </c>
      <c r="S30" s="107">
        <v>19.61</v>
      </c>
      <c r="T30" s="112">
        <f t="shared" si="2"/>
        <v>31.89777777777778</v>
      </c>
      <c r="U30" s="107">
        <v>21025</v>
      </c>
      <c r="V30" s="107">
        <v>59</v>
      </c>
      <c r="W30" s="108">
        <v>35000</v>
      </c>
      <c r="X30" s="107">
        <v>1904</v>
      </c>
      <c r="Y30" s="107" t="s">
        <v>507</v>
      </c>
      <c r="Z30" s="107" t="s">
        <v>508</v>
      </c>
      <c r="AA30" s="107"/>
      <c r="AB30" s="107" t="s">
        <v>509</v>
      </c>
      <c r="AC30" s="107" t="s">
        <v>510</v>
      </c>
      <c r="AD30" s="107" t="s">
        <v>511</v>
      </c>
      <c r="AE30" s="107" t="s">
        <v>512</v>
      </c>
      <c r="AF30" s="107" t="s">
        <v>513</v>
      </c>
      <c r="AG30" s="107"/>
      <c r="AH30" s="107"/>
      <c r="AI30" s="107"/>
      <c r="AJ30" s="107"/>
      <c r="AK30" s="107"/>
    </row>
    <row r="31" spans="1:37" x14ac:dyDescent="0.25">
      <c r="A31" s="107" t="s">
        <v>1033</v>
      </c>
      <c r="B31" s="107" t="s">
        <v>152</v>
      </c>
      <c r="C31" s="107" t="s">
        <v>163</v>
      </c>
      <c r="D31" s="107">
        <v>2711</v>
      </c>
      <c r="E31" s="107">
        <v>1749</v>
      </c>
      <c r="F31" s="108">
        <f t="shared" si="0"/>
        <v>4460</v>
      </c>
      <c r="G31" s="108">
        <v>15</v>
      </c>
      <c r="H31" s="108">
        <v>56</v>
      </c>
      <c r="I31" s="108">
        <v>13</v>
      </c>
      <c r="J31" s="108">
        <v>16</v>
      </c>
      <c r="K31" s="108">
        <v>99</v>
      </c>
      <c r="L31" s="108">
        <v>114</v>
      </c>
      <c r="M31" s="108">
        <v>76</v>
      </c>
      <c r="N31" s="111">
        <f t="shared" si="1"/>
        <v>99.098206278026908</v>
      </c>
      <c r="O31" s="107">
        <v>6463</v>
      </c>
      <c r="P31" s="107">
        <v>47.5</v>
      </c>
      <c r="Q31" s="107">
        <v>47.5</v>
      </c>
      <c r="R31" s="107">
        <v>25</v>
      </c>
      <c r="S31" s="107">
        <v>25</v>
      </c>
      <c r="T31" s="112">
        <f t="shared" si="2"/>
        <v>40.975000000000001</v>
      </c>
      <c r="U31" s="107">
        <v>38726</v>
      </c>
      <c r="V31" s="107">
        <v>124</v>
      </c>
      <c r="W31" s="108">
        <v>20000</v>
      </c>
      <c r="X31" s="107">
        <v>1904</v>
      </c>
      <c r="Y31" s="107" t="s">
        <v>507</v>
      </c>
      <c r="Z31" s="107" t="s">
        <v>508</v>
      </c>
      <c r="AA31" s="107"/>
      <c r="AB31" s="107" t="s">
        <v>509</v>
      </c>
      <c r="AC31" s="107" t="s">
        <v>510</v>
      </c>
      <c r="AD31" s="107" t="s">
        <v>511</v>
      </c>
      <c r="AE31" s="107" t="s">
        <v>512</v>
      </c>
      <c r="AF31" s="107" t="s">
        <v>513</v>
      </c>
      <c r="AG31" s="107"/>
      <c r="AH31" s="107"/>
      <c r="AI31" s="107"/>
      <c r="AJ31" s="107"/>
      <c r="AK31" s="107"/>
    </row>
    <row r="32" spans="1:37" x14ac:dyDescent="0.25">
      <c r="A32" s="107" t="s">
        <v>1034</v>
      </c>
      <c r="B32" s="107" t="s">
        <v>152</v>
      </c>
      <c r="C32" s="107" t="s">
        <v>2087</v>
      </c>
      <c r="D32" s="107">
        <v>19518</v>
      </c>
      <c r="E32" s="107">
        <v>3133</v>
      </c>
      <c r="F32" s="108">
        <f t="shared" si="0"/>
        <v>22651</v>
      </c>
      <c r="G32" s="108">
        <v>13</v>
      </c>
      <c r="H32" s="108">
        <v>706</v>
      </c>
      <c r="I32" s="108">
        <v>4</v>
      </c>
      <c r="J32" s="108">
        <v>63</v>
      </c>
      <c r="K32" s="108">
        <v>786</v>
      </c>
      <c r="L32" s="108">
        <v>185</v>
      </c>
      <c r="M32" s="108">
        <v>185</v>
      </c>
      <c r="N32" s="111">
        <f t="shared" si="1"/>
        <v>185</v>
      </c>
      <c r="O32" s="107">
        <v>31540</v>
      </c>
      <c r="P32" s="107">
        <v>131.11000000000001</v>
      </c>
      <c r="Q32" s="107">
        <v>60</v>
      </c>
      <c r="R32" s="107">
        <v>80</v>
      </c>
      <c r="S32" s="107">
        <v>50</v>
      </c>
      <c r="T32" s="112">
        <f t="shared" si="2"/>
        <v>60.476374045801528</v>
      </c>
      <c r="U32" s="107">
        <v>583718</v>
      </c>
      <c r="V32" s="107">
        <v>72</v>
      </c>
      <c r="W32" s="108">
        <v>2000000</v>
      </c>
      <c r="X32" s="107">
        <v>1904</v>
      </c>
      <c r="Y32" s="107" t="s">
        <v>507</v>
      </c>
      <c r="Z32" s="107" t="s">
        <v>508</v>
      </c>
      <c r="AA32" s="107"/>
      <c r="AB32" s="107" t="s">
        <v>509</v>
      </c>
      <c r="AC32" s="107" t="s">
        <v>510</v>
      </c>
      <c r="AD32" s="107" t="s">
        <v>511</v>
      </c>
      <c r="AE32" s="107" t="s">
        <v>512</v>
      </c>
      <c r="AF32" s="107" t="s">
        <v>513</v>
      </c>
      <c r="AG32" s="107"/>
      <c r="AH32" s="107"/>
      <c r="AI32" s="107"/>
      <c r="AJ32" s="107"/>
      <c r="AK32" s="107"/>
    </row>
    <row r="33" spans="1:37" x14ac:dyDescent="0.25">
      <c r="A33" s="107" t="s">
        <v>1035</v>
      </c>
      <c r="B33" s="107" t="s">
        <v>152</v>
      </c>
      <c r="C33" s="107" t="s">
        <v>75</v>
      </c>
      <c r="D33" s="107">
        <v>981</v>
      </c>
      <c r="E33" s="107">
        <v>1079</v>
      </c>
      <c r="F33" s="108">
        <f t="shared" si="0"/>
        <v>2060</v>
      </c>
      <c r="G33" s="107">
        <v>22</v>
      </c>
      <c r="H33" s="107">
        <v>29</v>
      </c>
      <c r="I33" s="107">
        <v>10</v>
      </c>
      <c r="J33" s="107">
        <v>21</v>
      </c>
      <c r="K33" s="108">
        <v>82</v>
      </c>
      <c r="L33" s="108">
        <v>155</v>
      </c>
      <c r="M33" s="108">
        <v>89</v>
      </c>
      <c r="N33" s="111">
        <f t="shared" si="1"/>
        <v>120.43009708737864</v>
      </c>
      <c r="O33" s="107">
        <v>3449</v>
      </c>
      <c r="P33" s="107">
        <v>60</v>
      </c>
      <c r="Q33" s="107">
        <v>44</v>
      </c>
      <c r="R33" s="107">
        <v>29</v>
      </c>
      <c r="S33" s="107">
        <v>28.64</v>
      </c>
      <c r="T33" s="112">
        <f t="shared" si="2"/>
        <v>42.529756097560977</v>
      </c>
      <c r="U33" s="107">
        <v>18508</v>
      </c>
      <c r="V33" s="107">
        <v>64</v>
      </c>
      <c r="W33" s="108">
        <v>30000</v>
      </c>
      <c r="X33" s="107">
        <v>1904</v>
      </c>
      <c r="Y33" s="107" t="s">
        <v>507</v>
      </c>
      <c r="Z33" s="107" t="s">
        <v>508</v>
      </c>
      <c r="AA33" s="107"/>
      <c r="AB33" s="107" t="s">
        <v>509</v>
      </c>
      <c r="AC33" s="107" t="s">
        <v>510</v>
      </c>
      <c r="AD33" s="107" t="s">
        <v>511</v>
      </c>
      <c r="AE33" s="107" t="s">
        <v>512</v>
      </c>
      <c r="AF33" s="107" t="s">
        <v>513</v>
      </c>
      <c r="AG33" s="107"/>
      <c r="AH33" s="107"/>
      <c r="AI33" s="107"/>
      <c r="AJ33" s="107"/>
      <c r="AK33" s="107"/>
    </row>
    <row r="34" spans="1:37" x14ac:dyDescent="0.25">
      <c r="A34" s="107" t="s">
        <v>1036</v>
      </c>
      <c r="B34" s="107" t="s">
        <v>152</v>
      </c>
      <c r="C34" s="107" t="s">
        <v>2088</v>
      </c>
      <c r="D34" s="107">
        <v>874</v>
      </c>
      <c r="E34" s="107">
        <v>156</v>
      </c>
      <c r="F34" s="108">
        <f t="shared" si="0"/>
        <v>1030</v>
      </c>
      <c r="G34" s="107">
        <v>5</v>
      </c>
      <c r="H34" s="107">
        <v>31</v>
      </c>
      <c r="I34" s="107">
        <v>1</v>
      </c>
      <c r="J34" s="107">
        <v>1</v>
      </c>
      <c r="K34" s="108">
        <v>38</v>
      </c>
      <c r="L34" s="108">
        <v>165</v>
      </c>
      <c r="M34" s="108">
        <v>165</v>
      </c>
      <c r="N34" s="111">
        <f t="shared" si="1"/>
        <v>165</v>
      </c>
      <c r="O34" s="107">
        <v>1241</v>
      </c>
      <c r="P34" s="107">
        <v>30</v>
      </c>
      <c r="Q34" s="107">
        <v>30</v>
      </c>
      <c r="R34" s="107">
        <v>30</v>
      </c>
      <c r="S34" s="107">
        <v>30</v>
      </c>
      <c r="T34" s="112">
        <f t="shared" si="2"/>
        <v>30</v>
      </c>
      <c r="U34" s="107">
        <v>11893</v>
      </c>
      <c r="V34" s="107">
        <v>38</v>
      </c>
      <c r="W34" s="108">
        <v>8869</v>
      </c>
      <c r="X34" s="107">
        <v>1904</v>
      </c>
      <c r="Y34" s="107" t="s">
        <v>507</v>
      </c>
      <c r="Z34" s="107" t="s">
        <v>508</v>
      </c>
      <c r="AA34" s="107"/>
      <c r="AB34" s="107" t="s">
        <v>509</v>
      </c>
      <c r="AC34" s="107" t="s">
        <v>510</v>
      </c>
      <c r="AD34" s="107" t="s">
        <v>511</v>
      </c>
      <c r="AE34" s="107" t="s">
        <v>512</v>
      </c>
      <c r="AF34" s="107" t="s">
        <v>513</v>
      </c>
      <c r="AG34" s="107"/>
      <c r="AH34" s="107"/>
      <c r="AI34" s="107"/>
      <c r="AJ34" s="107"/>
      <c r="AK34" s="107"/>
    </row>
    <row r="35" spans="1:37" x14ac:dyDescent="0.25">
      <c r="A35" s="107" t="s">
        <v>1750</v>
      </c>
      <c r="B35" s="107" t="s">
        <v>152</v>
      </c>
      <c r="C35" s="107" t="s">
        <v>255</v>
      </c>
      <c r="D35" s="107">
        <v>897</v>
      </c>
      <c r="E35" s="107">
        <v>1422</v>
      </c>
      <c r="F35" s="108">
        <f t="shared" si="0"/>
        <v>2319</v>
      </c>
      <c r="G35" s="107">
        <v>3</v>
      </c>
      <c r="H35" s="107">
        <v>52</v>
      </c>
      <c r="I35" s="107">
        <v>7</v>
      </c>
      <c r="J35" s="107">
        <v>26</v>
      </c>
      <c r="K35" s="108">
        <v>88</v>
      </c>
      <c r="L35" s="108">
        <v>170</v>
      </c>
      <c r="M35" s="108">
        <v>130</v>
      </c>
      <c r="N35" s="111">
        <f t="shared" si="1"/>
        <v>145.47218628719276</v>
      </c>
      <c r="O35" s="107">
        <v>3118</v>
      </c>
      <c r="P35" s="107">
        <v>37</v>
      </c>
      <c r="Q35" s="107">
        <v>36</v>
      </c>
      <c r="R35" s="107">
        <v>18</v>
      </c>
      <c r="S35" s="107">
        <v>19</v>
      </c>
      <c r="T35" s="112">
        <f t="shared" si="2"/>
        <v>29.579545454545453</v>
      </c>
      <c r="U35" s="107">
        <v>18719</v>
      </c>
      <c r="V35" s="107">
        <v>69</v>
      </c>
      <c r="W35" s="108">
        <v>9000</v>
      </c>
      <c r="X35" s="107">
        <v>1904</v>
      </c>
      <c r="Y35" s="107" t="s">
        <v>507</v>
      </c>
      <c r="Z35" s="107" t="s">
        <v>508</v>
      </c>
      <c r="AA35" s="107"/>
      <c r="AB35" s="107" t="s">
        <v>509</v>
      </c>
      <c r="AC35" s="107" t="s">
        <v>510</v>
      </c>
      <c r="AD35" s="107" t="s">
        <v>511</v>
      </c>
      <c r="AE35" s="107" t="s">
        <v>512</v>
      </c>
      <c r="AF35" s="107" t="s">
        <v>513</v>
      </c>
      <c r="AG35" s="107"/>
      <c r="AH35" s="107"/>
      <c r="AI35" s="107"/>
      <c r="AJ35" s="107"/>
      <c r="AK35" s="107"/>
    </row>
    <row r="36" spans="1:37" x14ac:dyDescent="0.25">
      <c r="A36" s="107" t="s">
        <v>1037</v>
      </c>
      <c r="B36" s="107" t="s">
        <v>152</v>
      </c>
      <c r="C36" s="107" t="s">
        <v>164</v>
      </c>
      <c r="D36" s="107">
        <v>2642</v>
      </c>
      <c r="E36" s="107">
        <v>1437</v>
      </c>
      <c r="F36" s="108">
        <f t="shared" si="0"/>
        <v>4079</v>
      </c>
      <c r="G36" s="108">
        <v>39</v>
      </c>
      <c r="H36" s="108">
        <v>63</v>
      </c>
      <c r="I36" s="108">
        <v>14</v>
      </c>
      <c r="J36" s="108">
        <v>17</v>
      </c>
      <c r="K36" s="108">
        <v>133</v>
      </c>
      <c r="L36" s="108">
        <v>97</v>
      </c>
      <c r="M36" s="108">
        <v>73</v>
      </c>
      <c r="N36" s="111">
        <f t="shared" si="1"/>
        <v>88.544986516303013</v>
      </c>
      <c r="O36" s="107">
        <v>6623</v>
      </c>
      <c r="P36" s="107">
        <v>44.75</v>
      </c>
      <c r="Q36" s="107">
        <v>40.71</v>
      </c>
      <c r="R36" s="107">
        <v>28.21</v>
      </c>
      <c r="S36" s="107">
        <v>25.88</v>
      </c>
      <c r="T36" s="112">
        <f t="shared" si="2"/>
        <v>38.683308270676683</v>
      </c>
      <c r="U36" s="107">
        <v>34077</v>
      </c>
      <c r="V36" s="107">
        <v>99</v>
      </c>
      <c r="W36" s="108">
        <v>100000</v>
      </c>
      <c r="X36" s="107">
        <v>1904</v>
      </c>
      <c r="Y36" s="107" t="s">
        <v>507</v>
      </c>
      <c r="Z36" s="107" t="s">
        <v>508</v>
      </c>
      <c r="AA36" s="107"/>
      <c r="AB36" s="107" t="s">
        <v>509</v>
      </c>
      <c r="AC36" s="107" t="s">
        <v>510</v>
      </c>
      <c r="AD36" s="107" t="s">
        <v>511</v>
      </c>
      <c r="AE36" s="107" t="s">
        <v>512</v>
      </c>
      <c r="AF36" s="107" t="s">
        <v>513</v>
      </c>
      <c r="AG36" s="107"/>
      <c r="AH36" s="107"/>
      <c r="AI36" s="107"/>
      <c r="AJ36" s="107"/>
      <c r="AK36" s="107"/>
    </row>
    <row r="37" spans="1:37" x14ac:dyDescent="0.25">
      <c r="A37" s="107" t="s">
        <v>1751</v>
      </c>
      <c r="B37" s="107" t="s">
        <v>152</v>
      </c>
      <c r="C37" s="107" t="s">
        <v>2089</v>
      </c>
      <c r="D37" s="107">
        <v>810</v>
      </c>
      <c r="E37" s="107">
        <v>1027</v>
      </c>
      <c r="F37" s="108">
        <f t="shared" si="0"/>
        <v>1837</v>
      </c>
      <c r="G37" s="107">
        <v>12</v>
      </c>
      <c r="H37" s="107">
        <v>20</v>
      </c>
      <c r="I37" s="107">
        <v>17</v>
      </c>
      <c r="J37" s="107">
        <v>17</v>
      </c>
      <c r="K37" s="108">
        <v>66</v>
      </c>
      <c r="L37" s="108">
        <v>100</v>
      </c>
      <c r="M37" s="108">
        <v>40</v>
      </c>
      <c r="N37" s="111">
        <f t="shared" si="1"/>
        <v>66.456178551986937</v>
      </c>
      <c r="O37" s="107">
        <v>2738</v>
      </c>
      <c r="P37" s="107">
        <v>42.91</v>
      </c>
      <c r="Q37" s="107">
        <v>37.75</v>
      </c>
      <c r="R37" s="107">
        <v>18.82</v>
      </c>
      <c r="S37" s="107">
        <v>17.64</v>
      </c>
      <c r="T37" s="112">
        <f t="shared" si="2"/>
        <v>28.632424242424246</v>
      </c>
      <c r="U37" s="107">
        <v>12865</v>
      </c>
      <c r="V37" s="107">
        <v>63</v>
      </c>
      <c r="W37" s="108">
        <v>12000</v>
      </c>
      <c r="X37" s="107">
        <v>1904</v>
      </c>
      <c r="Y37" s="107" t="s">
        <v>507</v>
      </c>
      <c r="Z37" s="107" t="s">
        <v>508</v>
      </c>
      <c r="AA37" s="107"/>
      <c r="AB37" s="107" t="s">
        <v>509</v>
      </c>
      <c r="AC37" s="107" t="s">
        <v>510</v>
      </c>
      <c r="AD37" s="107" t="s">
        <v>511</v>
      </c>
      <c r="AE37" s="107" t="s">
        <v>512</v>
      </c>
      <c r="AF37" s="107" t="s">
        <v>513</v>
      </c>
      <c r="AG37" s="107"/>
      <c r="AH37" s="107"/>
      <c r="AI37" s="107"/>
      <c r="AJ37" s="107"/>
      <c r="AK37" s="107"/>
    </row>
    <row r="38" spans="1:37" x14ac:dyDescent="0.25">
      <c r="A38" s="107" t="s">
        <v>1038</v>
      </c>
      <c r="B38" s="107" t="s">
        <v>152</v>
      </c>
      <c r="C38" s="107" t="s">
        <v>165</v>
      </c>
      <c r="D38" s="107"/>
      <c r="E38" s="107"/>
      <c r="F38" s="108"/>
      <c r="G38" s="107">
        <v>6</v>
      </c>
      <c r="H38" s="107">
        <v>35</v>
      </c>
      <c r="I38" s="107">
        <v>4</v>
      </c>
      <c r="J38" s="107">
        <v>11</v>
      </c>
      <c r="K38" s="108">
        <v>56</v>
      </c>
      <c r="L38" s="108">
        <v>148</v>
      </c>
      <c r="M38" s="108">
        <v>34</v>
      </c>
      <c r="N38" s="111">
        <f>((G38+H38)*L38+(I38+J38)*M38)/K38</f>
        <v>117.46428571428571</v>
      </c>
      <c r="O38" s="107">
        <v>2054</v>
      </c>
      <c r="P38" s="107">
        <v>79.16</v>
      </c>
      <c r="Q38" s="107">
        <v>39.94</v>
      </c>
      <c r="R38" s="107">
        <v>16.25</v>
      </c>
      <c r="S38" s="107">
        <v>18.88</v>
      </c>
      <c r="T38" s="112">
        <f t="shared" si="2"/>
        <v>38.313214285714288</v>
      </c>
      <c r="U38" s="107">
        <v>10129</v>
      </c>
      <c r="V38" s="107">
        <v>37</v>
      </c>
      <c r="W38" s="108">
        <v>4000</v>
      </c>
      <c r="X38" s="107">
        <v>1904</v>
      </c>
      <c r="Y38" s="107" t="s">
        <v>507</v>
      </c>
      <c r="Z38" s="107" t="s">
        <v>508</v>
      </c>
      <c r="AA38" s="107"/>
      <c r="AB38" s="107" t="s">
        <v>509</v>
      </c>
      <c r="AC38" s="107" t="s">
        <v>510</v>
      </c>
      <c r="AD38" s="107" t="s">
        <v>511</v>
      </c>
      <c r="AE38" s="107" t="s">
        <v>512</v>
      </c>
      <c r="AF38" s="107" t="s">
        <v>513</v>
      </c>
      <c r="AG38" s="107"/>
      <c r="AH38" s="107"/>
      <c r="AI38" s="107"/>
      <c r="AJ38" s="107"/>
      <c r="AK38" s="107"/>
    </row>
    <row r="39" spans="1:37" x14ac:dyDescent="0.25">
      <c r="A39" s="107" t="s">
        <v>1039</v>
      </c>
      <c r="B39" s="107" t="s">
        <v>152</v>
      </c>
      <c r="C39" s="107" t="s">
        <v>2090</v>
      </c>
      <c r="D39" s="107">
        <v>2370</v>
      </c>
      <c r="E39" s="107">
        <v>725</v>
      </c>
      <c r="F39" s="108">
        <f t="shared" si="0"/>
        <v>3095</v>
      </c>
      <c r="G39" s="108">
        <v>32</v>
      </c>
      <c r="H39" s="108">
        <v>48</v>
      </c>
      <c r="I39" s="108">
        <v>18</v>
      </c>
      <c r="J39" s="108">
        <v>9</v>
      </c>
      <c r="K39" s="108">
        <v>107</v>
      </c>
      <c r="L39" s="108">
        <v>80</v>
      </c>
      <c r="M39" s="108">
        <v>74</v>
      </c>
      <c r="N39" s="111">
        <f t="shared" si="1"/>
        <v>78.594507269789986</v>
      </c>
      <c r="O39" s="107">
        <v>5013</v>
      </c>
      <c r="P39" s="107">
        <v>44.3</v>
      </c>
      <c r="Q39" s="107">
        <v>40.75</v>
      </c>
      <c r="R39" s="107">
        <v>38.28</v>
      </c>
      <c r="S39" s="107">
        <v>32.61</v>
      </c>
      <c r="T39" s="112">
        <f t="shared" si="2"/>
        <v>40.711495327102803</v>
      </c>
      <c r="U39" s="107">
        <v>25950</v>
      </c>
      <c r="V39" s="107">
        <v>116</v>
      </c>
      <c r="W39" s="108">
        <v>25000</v>
      </c>
      <c r="X39" s="107">
        <v>1904</v>
      </c>
      <c r="Y39" s="107" t="s">
        <v>507</v>
      </c>
      <c r="Z39" s="107" t="s">
        <v>508</v>
      </c>
      <c r="AA39" s="107"/>
      <c r="AB39" s="107" t="s">
        <v>509</v>
      </c>
      <c r="AC39" s="107" t="s">
        <v>510</v>
      </c>
      <c r="AD39" s="107" t="s">
        <v>511</v>
      </c>
      <c r="AE39" s="107" t="s">
        <v>512</v>
      </c>
      <c r="AF39" s="107" t="s">
        <v>513</v>
      </c>
      <c r="AG39" s="107"/>
      <c r="AH39" s="107"/>
      <c r="AI39" s="107"/>
      <c r="AJ39" s="107"/>
      <c r="AK39" s="107"/>
    </row>
    <row r="40" spans="1:37" x14ac:dyDescent="0.25">
      <c r="A40" s="107" t="s">
        <v>1781</v>
      </c>
      <c r="B40" s="107" t="s">
        <v>152</v>
      </c>
      <c r="C40" s="107" t="s">
        <v>2091</v>
      </c>
      <c r="D40" s="107">
        <v>288</v>
      </c>
      <c r="E40" s="107">
        <v>53</v>
      </c>
      <c r="F40" s="108">
        <f t="shared" si="0"/>
        <v>341</v>
      </c>
      <c r="G40" s="107"/>
      <c r="H40" s="107">
        <v>5</v>
      </c>
      <c r="I40" s="107"/>
      <c r="J40" s="107">
        <v>1</v>
      </c>
      <c r="K40" s="108">
        <v>6</v>
      </c>
      <c r="L40" s="108">
        <v>188</v>
      </c>
      <c r="M40" s="108">
        <v>188</v>
      </c>
      <c r="N40" s="111">
        <f t="shared" si="1"/>
        <v>188</v>
      </c>
      <c r="O40" s="107">
        <v>509</v>
      </c>
      <c r="P40" s="107"/>
      <c r="Q40" s="107">
        <v>28.33</v>
      </c>
      <c r="R40" s="107">
        <v>30</v>
      </c>
      <c r="S40" s="107">
        <v>25</v>
      </c>
      <c r="T40" s="112">
        <f t="shared" si="2"/>
        <v>27.774999999999995</v>
      </c>
      <c r="U40" s="107">
        <v>4228</v>
      </c>
      <c r="V40" s="107">
        <v>12</v>
      </c>
      <c r="W40" s="108">
        <v>2000</v>
      </c>
      <c r="X40" s="107">
        <v>1904</v>
      </c>
      <c r="Y40" s="107" t="s">
        <v>507</v>
      </c>
      <c r="Z40" s="107" t="s">
        <v>508</v>
      </c>
      <c r="AA40" s="107"/>
      <c r="AB40" s="107" t="s">
        <v>509</v>
      </c>
      <c r="AC40" s="107" t="s">
        <v>510</v>
      </c>
      <c r="AD40" s="107" t="s">
        <v>511</v>
      </c>
      <c r="AE40" s="107" t="s">
        <v>512</v>
      </c>
      <c r="AF40" s="107" t="s">
        <v>513</v>
      </c>
      <c r="AG40" s="107"/>
      <c r="AH40" s="107"/>
      <c r="AI40" s="107"/>
      <c r="AJ40" s="107"/>
      <c r="AK40" s="107"/>
    </row>
    <row r="41" spans="1:37" x14ac:dyDescent="0.25">
      <c r="A41" s="107" t="s">
        <v>1782</v>
      </c>
      <c r="B41" s="107" t="s">
        <v>152</v>
      </c>
      <c r="C41" s="107" t="s">
        <v>2092</v>
      </c>
      <c r="D41" s="107">
        <v>372</v>
      </c>
      <c r="E41" s="107">
        <v>261</v>
      </c>
      <c r="F41" s="108">
        <f t="shared" si="0"/>
        <v>633</v>
      </c>
      <c r="G41" s="107">
        <v>1</v>
      </c>
      <c r="H41" s="107">
        <v>9</v>
      </c>
      <c r="I41" s="107"/>
      <c r="J41" s="107">
        <v>1</v>
      </c>
      <c r="K41" s="108">
        <v>11</v>
      </c>
      <c r="L41" s="108">
        <v>180</v>
      </c>
      <c r="M41" s="108">
        <v>180</v>
      </c>
      <c r="N41" s="111">
        <f t="shared" si="1"/>
        <v>180</v>
      </c>
      <c r="O41" s="107">
        <v>844</v>
      </c>
      <c r="P41" s="107">
        <v>45</v>
      </c>
      <c r="Q41" s="107">
        <v>35</v>
      </c>
      <c r="R41" s="107"/>
      <c r="S41" s="107">
        <v>30</v>
      </c>
      <c r="T41" s="112">
        <f t="shared" si="2"/>
        <v>35.454545454545453</v>
      </c>
      <c r="U41" s="107">
        <v>9901</v>
      </c>
      <c r="V41" s="107">
        <v>18</v>
      </c>
      <c r="W41" s="108">
        <v>1500</v>
      </c>
      <c r="X41" s="107">
        <v>1904</v>
      </c>
      <c r="Y41" s="107" t="s">
        <v>507</v>
      </c>
      <c r="Z41" s="107" t="s">
        <v>508</v>
      </c>
      <c r="AA41" s="107"/>
      <c r="AB41" s="107" t="s">
        <v>509</v>
      </c>
      <c r="AC41" s="107" t="s">
        <v>510</v>
      </c>
      <c r="AD41" s="107" t="s">
        <v>511</v>
      </c>
      <c r="AE41" s="107" t="s">
        <v>512</v>
      </c>
      <c r="AF41" s="107" t="s">
        <v>513</v>
      </c>
      <c r="AG41" s="107"/>
      <c r="AH41" s="107"/>
      <c r="AI41" s="107"/>
      <c r="AJ41" s="107"/>
      <c r="AK41" s="107"/>
    </row>
    <row r="42" spans="1:37" x14ac:dyDescent="0.25">
      <c r="A42" s="107" t="s">
        <v>1783</v>
      </c>
      <c r="B42" s="107" t="s">
        <v>152</v>
      </c>
      <c r="C42" s="107" t="s">
        <v>2093</v>
      </c>
      <c r="D42" s="107"/>
      <c r="E42" s="107"/>
      <c r="F42" s="108"/>
      <c r="G42" s="107">
        <v>6</v>
      </c>
      <c r="H42" s="107">
        <v>25</v>
      </c>
      <c r="I42" s="107"/>
      <c r="J42" s="107">
        <v>25</v>
      </c>
      <c r="K42" s="108">
        <v>56</v>
      </c>
      <c r="L42" s="108">
        <v>80</v>
      </c>
      <c r="M42" s="108"/>
      <c r="N42" s="111">
        <f>((G42+H42)*L42+(I42+J42)*M42)/K42</f>
        <v>44.285714285714285</v>
      </c>
      <c r="O42" s="107">
        <v>2396</v>
      </c>
      <c r="P42" s="107">
        <v>45.71</v>
      </c>
      <c r="Q42" s="107">
        <v>26.66</v>
      </c>
      <c r="R42" s="107"/>
      <c r="S42" s="107">
        <v>17.7</v>
      </c>
      <c r="T42" s="112">
        <f t="shared" si="2"/>
        <v>24.701071428571428</v>
      </c>
      <c r="U42" s="107">
        <v>5703</v>
      </c>
      <c r="V42" s="107">
        <v>56</v>
      </c>
      <c r="W42" s="108">
        <v>10000</v>
      </c>
      <c r="X42" s="107">
        <v>1904</v>
      </c>
      <c r="Y42" s="107" t="s">
        <v>507</v>
      </c>
      <c r="Z42" s="107" t="s">
        <v>508</v>
      </c>
      <c r="AA42" s="107"/>
      <c r="AB42" s="107" t="s">
        <v>509</v>
      </c>
      <c r="AC42" s="107" t="s">
        <v>510</v>
      </c>
      <c r="AD42" s="107" t="s">
        <v>511</v>
      </c>
      <c r="AE42" s="107" t="s">
        <v>512</v>
      </c>
      <c r="AF42" s="107" t="s">
        <v>513</v>
      </c>
      <c r="AG42" s="107"/>
      <c r="AH42" s="107"/>
      <c r="AI42" s="107"/>
      <c r="AJ42" s="107"/>
      <c r="AK42" s="107"/>
    </row>
    <row r="43" spans="1:37" x14ac:dyDescent="0.25">
      <c r="A43" s="107" t="s">
        <v>1784</v>
      </c>
      <c r="B43" s="107" t="s">
        <v>152</v>
      </c>
      <c r="C43" s="107" t="s">
        <v>2094</v>
      </c>
      <c r="D43" s="107">
        <v>751</v>
      </c>
      <c r="E43" s="107">
        <v>575</v>
      </c>
      <c r="F43" s="108">
        <f t="shared" si="0"/>
        <v>1326</v>
      </c>
      <c r="G43" s="107">
        <v>6</v>
      </c>
      <c r="H43" s="107">
        <v>17</v>
      </c>
      <c r="I43" s="107">
        <v>7</v>
      </c>
      <c r="J43" s="107">
        <v>1</v>
      </c>
      <c r="K43" s="108">
        <v>31</v>
      </c>
      <c r="L43" s="108">
        <v>173</v>
      </c>
      <c r="M43" s="108">
        <v>173</v>
      </c>
      <c r="N43" s="111">
        <f t="shared" si="1"/>
        <v>173</v>
      </c>
      <c r="O43" s="107">
        <v>1835</v>
      </c>
      <c r="P43" s="107">
        <v>38.880000000000003</v>
      </c>
      <c r="Q43" s="107">
        <v>38.82</v>
      </c>
      <c r="R43" s="107">
        <v>25</v>
      </c>
      <c r="S43" s="107">
        <v>25</v>
      </c>
      <c r="T43" s="112">
        <f t="shared" si="2"/>
        <v>35.265161290322581</v>
      </c>
      <c r="U43" s="107">
        <v>11380</v>
      </c>
      <c r="V43" s="107">
        <v>26</v>
      </c>
      <c r="W43" s="108">
        <v>3500</v>
      </c>
      <c r="X43" s="107">
        <v>1904</v>
      </c>
      <c r="Y43" s="107" t="s">
        <v>507</v>
      </c>
      <c r="Z43" s="107" t="s">
        <v>508</v>
      </c>
      <c r="AA43" s="107"/>
      <c r="AB43" s="107" t="s">
        <v>509</v>
      </c>
      <c r="AC43" s="107" t="s">
        <v>510</v>
      </c>
      <c r="AD43" s="107" t="s">
        <v>511</v>
      </c>
      <c r="AE43" s="107" t="s">
        <v>512</v>
      </c>
      <c r="AF43" s="107" t="s">
        <v>513</v>
      </c>
      <c r="AG43" s="107"/>
      <c r="AH43" s="107"/>
      <c r="AI43" s="107"/>
      <c r="AJ43" s="107"/>
      <c r="AK43" s="107"/>
    </row>
    <row r="44" spans="1:37" x14ac:dyDescent="0.25">
      <c r="A44" s="107" t="s">
        <v>1785</v>
      </c>
      <c r="B44" s="107" t="s">
        <v>152</v>
      </c>
      <c r="C44" s="107" t="s">
        <v>2095</v>
      </c>
      <c r="D44" s="107">
        <v>459</v>
      </c>
      <c r="E44" s="107">
        <v>278</v>
      </c>
      <c r="F44" s="108">
        <f t="shared" si="0"/>
        <v>737</v>
      </c>
      <c r="G44" s="107">
        <v>1</v>
      </c>
      <c r="H44" s="107">
        <v>4</v>
      </c>
      <c r="I44" s="107">
        <v>1</v>
      </c>
      <c r="J44" s="107">
        <v>1</v>
      </c>
      <c r="K44" s="108">
        <v>7</v>
      </c>
      <c r="L44" s="108">
        <v>140</v>
      </c>
      <c r="M44" s="108">
        <v>140</v>
      </c>
      <c r="N44" s="111">
        <f t="shared" si="1"/>
        <v>140</v>
      </c>
      <c r="O44" s="107">
        <v>867</v>
      </c>
      <c r="P44" s="107">
        <v>38.880000000000003</v>
      </c>
      <c r="Q44" s="107">
        <v>38.880000000000003</v>
      </c>
      <c r="R44" s="107">
        <v>30</v>
      </c>
      <c r="S44" s="107">
        <v>30</v>
      </c>
      <c r="T44" s="112">
        <f t="shared" si="2"/>
        <v>36.342857142857142</v>
      </c>
      <c r="U44" s="107">
        <v>6988</v>
      </c>
      <c r="V44" s="107">
        <v>23</v>
      </c>
      <c r="W44" s="108">
        <v>135</v>
      </c>
      <c r="X44" s="107">
        <v>1904</v>
      </c>
      <c r="Y44" s="107" t="s">
        <v>507</v>
      </c>
      <c r="Z44" s="107" t="s">
        <v>508</v>
      </c>
      <c r="AA44" s="107"/>
      <c r="AB44" s="107" t="s">
        <v>509</v>
      </c>
      <c r="AC44" s="107" t="s">
        <v>510</v>
      </c>
      <c r="AD44" s="107" t="s">
        <v>511</v>
      </c>
      <c r="AE44" s="107" t="s">
        <v>512</v>
      </c>
      <c r="AF44" s="107" t="s">
        <v>513</v>
      </c>
      <c r="AG44" s="107"/>
      <c r="AH44" s="107"/>
      <c r="AI44" s="107"/>
      <c r="AJ44" s="107"/>
      <c r="AK44" s="107"/>
    </row>
    <row r="45" spans="1:37" x14ac:dyDescent="0.25">
      <c r="A45" s="107" t="s">
        <v>1786</v>
      </c>
      <c r="B45" s="107" t="s">
        <v>152</v>
      </c>
      <c r="C45" s="107" t="s">
        <v>576</v>
      </c>
      <c r="D45" s="107">
        <v>3530</v>
      </c>
      <c r="E45" s="107">
        <v>1071</v>
      </c>
      <c r="F45" s="108">
        <f t="shared" si="0"/>
        <v>4601</v>
      </c>
      <c r="G45" s="108">
        <v>10</v>
      </c>
      <c r="H45" s="108">
        <v>75</v>
      </c>
      <c r="I45" s="108">
        <v>8</v>
      </c>
      <c r="J45" s="108">
        <v>13</v>
      </c>
      <c r="K45" s="108">
        <v>106</v>
      </c>
      <c r="L45" s="108">
        <v>140</v>
      </c>
      <c r="M45" s="108">
        <v>140</v>
      </c>
      <c r="N45" s="111">
        <f t="shared" si="1"/>
        <v>140</v>
      </c>
      <c r="O45" s="107">
        <v>6353</v>
      </c>
      <c r="P45" s="107">
        <v>48.71</v>
      </c>
      <c r="Q45" s="107">
        <v>37.08</v>
      </c>
      <c r="R45" s="107">
        <v>21.89</v>
      </c>
      <c r="S45" s="107">
        <v>19.7</v>
      </c>
      <c r="T45" s="112">
        <f t="shared" si="2"/>
        <v>34.899245283018864</v>
      </c>
      <c r="U45" s="107">
        <v>39024</v>
      </c>
      <c r="V45" s="107">
        <v>104</v>
      </c>
      <c r="W45" s="108">
        <v>35000</v>
      </c>
      <c r="X45" s="107">
        <v>1904</v>
      </c>
      <c r="Y45" s="107" t="s">
        <v>507</v>
      </c>
      <c r="Z45" s="107" t="s">
        <v>508</v>
      </c>
      <c r="AA45" s="107"/>
      <c r="AB45" s="107" t="s">
        <v>509</v>
      </c>
      <c r="AC45" s="107" t="s">
        <v>510</v>
      </c>
      <c r="AD45" s="107" t="s">
        <v>511</v>
      </c>
      <c r="AE45" s="107" t="s">
        <v>512</v>
      </c>
      <c r="AF45" s="107" t="s">
        <v>513</v>
      </c>
      <c r="AG45" s="107"/>
      <c r="AH45" s="107"/>
      <c r="AI45" s="107"/>
      <c r="AJ45" s="107"/>
      <c r="AK45" s="107"/>
    </row>
    <row r="46" spans="1:37" x14ac:dyDescent="0.25">
      <c r="A46" s="107" t="s">
        <v>1787</v>
      </c>
      <c r="B46" s="107" t="s">
        <v>152</v>
      </c>
      <c r="C46" s="107" t="s">
        <v>574</v>
      </c>
      <c r="D46" s="107">
        <v>1326</v>
      </c>
      <c r="E46" s="107">
        <v>311</v>
      </c>
      <c r="F46" s="108">
        <f t="shared" si="0"/>
        <v>1637</v>
      </c>
      <c r="G46" s="107">
        <v>8</v>
      </c>
      <c r="H46" s="107">
        <v>14</v>
      </c>
      <c r="I46" s="107">
        <v>3</v>
      </c>
      <c r="J46" s="107">
        <v>3</v>
      </c>
      <c r="K46" s="108">
        <v>28</v>
      </c>
      <c r="L46" s="108">
        <v>200</v>
      </c>
      <c r="M46" s="108">
        <v>160</v>
      </c>
      <c r="N46" s="111">
        <f t="shared" si="1"/>
        <v>192.40073304825901</v>
      </c>
      <c r="O46" s="107">
        <v>2322</v>
      </c>
      <c r="P46" s="107">
        <v>41</v>
      </c>
      <c r="Q46" s="107">
        <v>36.78</v>
      </c>
      <c r="R46" s="107">
        <v>30</v>
      </c>
      <c r="S46" s="107">
        <v>29.16</v>
      </c>
      <c r="T46" s="112">
        <f t="shared" si="2"/>
        <v>36.442857142857143</v>
      </c>
      <c r="U46" s="107">
        <v>23801</v>
      </c>
      <c r="V46" s="107">
        <v>28</v>
      </c>
      <c r="W46" s="108">
        <v>14258</v>
      </c>
      <c r="X46" s="107">
        <v>1904</v>
      </c>
      <c r="Y46" s="107" t="s">
        <v>507</v>
      </c>
      <c r="Z46" s="107" t="s">
        <v>508</v>
      </c>
      <c r="AA46" s="107"/>
      <c r="AB46" s="107" t="s">
        <v>509</v>
      </c>
      <c r="AC46" s="107" t="s">
        <v>510</v>
      </c>
      <c r="AD46" s="107" t="s">
        <v>511</v>
      </c>
      <c r="AE46" s="107" t="s">
        <v>512</v>
      </c>
      <c r="AF46" s="107" t="s">
        <v>513</v>
      </c>
      <c r="AG46" s="107"/>
      <c r="AH46" s="107"/>
      <c r="AI46" s="107"/>
      <c r="AJ46" s="107"/>
      <c r="AK46" s="107"/>
    </row>
    <row r="47" spans="1:37" x14ac:dyDescent="0.25">
      <c r="A47" s="107" t="s">
        <v>1788</v>
      </c>
      <c r="B47" s="107" t="s">
        <v>152</v>
      </c>
      <c r="C47" s="107" t="s">
        <v>573</v>
      </c>
      <c r="D47" s="107">
        <v>1750</v>
      </c>
      <c r="E47" s="107">
        <v>1479</v>
      </c>
      <c r="F47" s="108">
        <f t="shared" si="0"/>
        <v>3229</v>
      </c>
      <c r="G47" s="107">
        <v>7</v>
      </c>
      <c r="H47" s="107">
        <v>51</v>
      </c>
      <c r="I47" s="107"/>
      <c r="J47" s="107"/>
      <c r="K47" s="108">
        <v>58</v>
      </c>
      <c r="L47" s="108">
        <v>180</v>
      </c>
      <c r="M47" s="108">
        <v>60</v>
      </c>
      <c r="N47" s="111">
        <f t="shared" si="1"/>
        <v>125.03561474140601</v>
      </c>
      <c r="O47" s="107">
        <v>4013</v>
      </c>
      <c r="P47" s="107">
        <v>76.42</v>
      </c>
      <c r="Q47" s="107">
        <v>41.27</v>
      </c>
      <c r="R47" s="107">
        <v>25</v>
      </c>
      <c r="S47" s="107">
        <v>20</v>
      </c>
      <c r="T47" s="112">
        <f t="shared" si="2"/>
        <v>45.512241379310346</v>
      </c>
      <c r="U47" s="107">
        <v>30306</v>
      </c>
      <c r="V47" s="107">
        <v>39</v>
      </c>
      <c r="W47" s="108">
        <v>35050</v>
      </c>
      <c r="X47" s="107">
        <v>1904</v>
      </c>
      <c r="Y47" s="107" t="s">
        <v>507</v>
      </c>
      <c r="Z47" s="107" t="s">
        <v>508</v>
      </c>
      <c r="AA47" s="107"/>
      <c r="AB47" s="107" t="s">
        <v>509</v>
      </c>
      <c r="AC47" s="107" t="s">
        <v>510</v>
      </c>
      <c r="AD47" s="107" t="s">
        <v>511</v>
      </c>
      <c r="AE47" s="107" t="s">
        <v>512</v>
      </c>
      <c r="AF47" s="107" t="s">
        <v>513</v>
      </c>
      <c r="AG47" s="107"/>
      <c r="AH47" s="107"/>
      <c r="AI47" s="107"/>
      <c r="AJ47" s="107"/>
      <c r="AK47" s="107"/>
    </row>
    <row r="48" spans="1:37" x14ac:dyDescent="0.25">
      <c r="A48" s="107" t="s">
        <v>1789</v>
      </c>
      <c r="B48" s="107" t="s">
        <v>152</v>
      </c>
      <c r="C48" s="107" t="s">
        <v>2096</v>
      </c>
      <c r="D48" s="107">
        <v>1231</v>
      </c>
      <c r="E48" s="107">
        <v>346</v>
      </c>
      <c r="F48" s="108">
        <f t="shared" si="0"/>
        <v>1577</v>
      </c>
      <c r="G48" s="108">
        <v>3</v>
      </c>
      <c r="H48" s="108">
        <v>42</v>
      </c>
      <c r="I48" s="108">
        <v>2</v>
      </c>
      <c r="J48" s="108">
        <v>6</v>
      </c>
      <c r="K48" s="108">
        <v>53</v>
      </c>
      <c r="L48" s="108">
        <v>120</v>
      </c>
      <c r="M48" s="108">
        <v>80</v>
      </c>
      <c r="N48" s="111">
        <f t="shared" si="1"/>
        <v>111.22384273937857</v>
      </c>
      <c r="O48" s="107">
        <v>2159</v>
      </c>
      <c r="P48" s="107">
        <v>26.33</v>
      </c>
      <c r="Q48" s="107">
        <v>30.6</v>
      </c>
      <c r="R48" s="107">
        <v>30</v>
      </c>
      <c r="S48" s="107">
        <v>26.33</v>
      </c>
      <c r="T48" s="112">
        <f t="shared" si="2"/>
        <v>29.852264150943398</v>
      </c>
      <c r="U48" s="107">
        <v>12345</v>
      </c>
      <c r="V48" s="107">
        <v>52</v>
      </c>
      <c r="W48" s="108">
        <v>12000</v>
      </c>
      <c r="X48" s="107">
        <v>1904</v>
      </c>
      <c r="Y48" s="107" t="s">
        <v>507</v>
      </c>
      <c r="Z48" s="107" t="s">
        <v>508</v>
      </c>
      <c r="AA48" s="107"/>
      <c r="AB48" s="107" t="s">
        <v>509</v>
      </c>
      <c r="AC48" s="107" t="s">
        <v>510</v>
      </c>
      <c r="AD48" s="107" t="s">
        <v>511</v>
      </c>
      <c r="AE48" s="107" t="s">
        <v>512</v>
      </c>
      <c r="AF48" s="107" t="s">
        <v>513</v>
      </c>
      <c r="AG48" s="107"/>
      <c r="AH48" s="107"/>
      <c r="AI48" s="107"/>
      <c r="AJ48" s="107"/>
      <c r="AK48" s="107"/>
    </row>
    <row r="49" spans="1:37" x14ac:dyDescent="0.25">
      <c r="A49" s="107" t="s">
        <v>1040</v>
      </c>
      <c r="B49" s="107" t="s">
        <v>152</v>
      </c>
      <c r="C49" s="107" t="s">
        <v>2097</v>
      </c>
      <c r="D49" s="107">
        <v>2420</v>
      </c>
      <c r="E49" s="107">
        <v>570</v>
      </c>
      <c r="F49" s="108">
        <f t="shared" si="0"/>
        <v>2990</v>
      </c>
      <c r="G49" s="107">
        <v>20</v>
      </c>
      <c r="H49" s="107">
        <v>76</v>
      </c>
      <c r="I49" s="107">
        <v>7</v>
      </c>
      <c r="J49" s="107">
        <v>22</v>
      </c>
      <c r="K49" s="108">
        <v>126</v>
      </c>
      <c r="L49" s="108">
        <v>93</v>
      </c>
      <c r="M49" s="108">
        <v>80</v>
      </c>
      <c r="N49" s="111">
        <f t="shared" si="1"/>
        <v>90.521739130434781</v>
      </c>
      <c r="O49" s="107">
        <v>4636</v>
      </c>
      <c r="P49" s="107">
        <v>43.3</v>
      </c>
      <c r="Q49" s="107">
        <v>37.270000000000003</v>
      </c>
      <c r="R49" s="107">
        <v>30</v>
      </c>
      <c r="S49" s="107">
        <v>30</v>
      </c>
      <c r="T49" s="112">
        <f t="shared" si="2"/>
        <v>36.548160000000003</v>
      </c>
      <c r="U49" s="107">
        <v>20350</v>
      </c>
      <c r="V49" s="107">
        <v>87</v>
      </c>
      <c r="W49" s="108">
        <v>45000</v>
      </c>
      <c r="X49" s="107">
        <v>1904</v>
      </c>
      <c r="Y49" s="107" t="s">
        <v>507</v>
      </c>
      <c r="Z49" s="107" t="s">
        <v>508</v>
      </c>
      <c r="AA49" s="107"/>
      <c r="AB49" s="107" t="s">
        <v>509</v>
      </c>
      <c r="AC49" s="107" t="s">
        <v>510</v>
      </c>
      <c r="AD49" s="107" t="s">
        <v>511</v>
      </c>
      <c r="AE49" s="107" t="s">
        <v>512</v>
      </c>
      <c r="AF49" s="107" t="s">
        <v>513</v>
      </c>
      <c r="AG49" s="107"/>
      <c r="AH49" s="107"/>
      <c r="AI49" s="107"/>
      <c r="AJ49" s="107"/>
      <c r="AK49" s="107"/>
    </row>
    <row r="50" spans="1:37" x14ac:dyDescent="0.25">
      <c r="A50" s="107" t="s">
        <v>1041</v>
      </c>
      <c r="B50" s="107" t="s">
        <v>152</v>
      </c>
      <c r="C50" s="107" t="s">
        <v>166</v>
      </c>
      <c r="D50" s="107">
        <v>191</v>
      </c>
      <c r="E50" s="107">
        <v>1430</v>
      </c>
      <c r="F50" s="108">
        <f t="shared" si="0"/>
        <v>1621</v>
      </c>
      <c r="G50" s="108">
        <v>4</v>
      </c>
      <c r="H50" s="108">
        <v>26</v>
      </c>
      <c r="I50" s="108">
        <v>22</v>
      </c>
      <c r="J50" s="108">
        <v>17</v>
      </c>
      <c r="K50" s="108">
        <v>69</v>
      </c>
      <c r="L50" s="108">
        <v>200</v>
      </c>
      <c r="M50" s="108"/>
      <c r="N50" s="111">
        <v>200</v>
      </c>
      <c r="O50" s="107">
        <v>2606</v>
      </c>
      <c r="P50" s="107">
        <v>94.25</v>
      </c>
      <c r="Q50" s="107">
        <v>23.71</v>
      </c>
      <c r="R50" s="107">
        <v>22.91</v>
      </c>
      <c r="S50" s="107">
        <v>21.47</v>
      </c>
      <c r="T50" s="112">
        <f t="shared" si="2"/>
        <v>26.99231884057971</v>
      </c>
      <c r="U50" s="107">
        <v>15206</v>
      </c>
      <c r="V50" s="107">
        <v>61</v>
      </c>
      <c r="W50" s="108">
        <v>18225</v>
      </c>
      <c r="X50" s="107">
        <v>1904</v>
      </c>
      <c r="Y50" s="107" t="s">
        <v>507</v>
      </c>
      <c r="Z50" s="107" t="s">
        <v>508</v>
      </c>
      <c r="AA50" s="107"/>
      <c r="AB50" s="107" t="s">
        <v>509</v>
      </c>
      <c r="AC50" s="107" t="s">
        <v>510</v>
      </c>
      <c r="AD50" s="107" t="s">
        <v>511</v>
      </c>
      <c r="AE50" s="107" t="s">
        <v>512</v>
      </c>
      <c r="AF50" s="107" t="s">
        <v>513</v>
      </c>
      <c r="AG50" s="107"/>
      <c r="AH50" s="107"/>
      <c r="AI50" s="107"/>
      <c r="AJ50" s="107"/>
      <c r="AK50" s="107"/>
    </row>
    <row r="51" spans="1:37" x14ac:dyDescent="0.25">
      <c r="A51" s="107" t="s">
        <v>1042</v>
      </c>
      <c r="B51" s="107" t="s">
        <v>152</v>
      </c>
      <c r="C51" s="107" t="s">
        <v>167</v>
      </c>
      <c r="D51" s="107">
        <v>1691</v>
      </c>
      <c r="E51" s="107">
        <v>697</v>
      </c>
      <c r="F51" s="108">
        <f t="shared" si="0"/>
        <v>2388</v>
      </c>
      <c r="G51" s="108">
        <v>9</v>
      </c>
      <c r="H51" s="108">
        <v>12</v>
      </c>
      <c r="I51" s="108"/>
      <c r="J51" s="108"/>
      <c r="K51" s="108">
        <v>21</v>
      </c>
      <c r="L51" s="108">
        <v>140</v>
      </c>
      <c r="M51" s="108">
        <v>100</v>
      </c>
      <c r="N51" s="111">
        <f t="shared" si="1"/>
        <v>128.32495812395311</v>
      </c>
      <c r="O51" s="107">
        <v>3173</v>
      </c>
      <c r="P51" s="107">
        <v>40</v>
      </c>
      <c r="Q51" s="107">
        <v>37.25</v>
      </c>
      <c r="R51" s="107">
        <v>26.66</v>
      </c>
      <c r="S51" s="107">
        <v>27</v>
      </c>
      <c r="T51" s="112">
        <f t="shared" si="2"/>
        <v>38.428571428571431</v>
      </c>
      <c r="U51" s="107">
        <v>22795</v>
      </c>
      <c r="V51" s="107">
        <v>59</v>
      </c>
      <c r="W51" s="108">
        <v>9000</v>
      </c>
      <c r="X51" s="107">
        <v>1904</v>
      </c>
      <c r="Y51" s="107" t="s">
        <v>507</v>
      </c>
      <c r="Z51" s="107" t="s">
        <v>508</v>
      </c>
      <c r="AA51" s="107"/>
      <c r="AB51" s="107" t="s">
        <v>509</v>
      </c>
      <c r="AC51" s="107" t="s">
        <v>510</v>
      </c>
      <c r="AD51" s="107" t="s">
        <v>511</v>
      </c>
      <c r="AE51" s="107" t="s">
        <v>512</v>
      </c>
      <c r="AF51" s="107" t="s">
        <v>513</v>
      </c>
      <c r="AG51" s="107"/>
      <c r="AH51" s="107"/>
      <c r="AI51" s="107"/>
      <c r="AJ51" s="107"/>
      <c r="AK51" s="107"/>
    </row>
    <row r="52" spans="1:37" x14ac:dyDescent="0.25">
      <c r="A52" s="107" t="s">
        <v>1043</v>
      </c>
      <c r="B52" s="107" t="s">
        <v>152</v>
      </c>
      <c r="C52" s="107" t="s">
        <v>83</v>
      </c>
      <c r="D52" s="107">
        <v>2425</v>
      </c>
      <c r="E52" s="107">
        <v>1421</v>
      </c>
      <c r="F52" s="108">
        <f t="shared" si="0"/>
        <v>3846</v>
      </c>
      <c r="G52" s="108">
        <v>24</v>
      </c>
      <c r="H52" s="108">
        <v>36</v>
      </c>
      <c r="I52" s="108">
        <v>17</v>
      </c>
      <c r="J52" s="108">
        <v>11</v>
      </c>
      <c r="K52" s="108">
        <v>88</v>
      </c>
      <c r="L52" s="108">
        <v>80</v>
      </c>
      <c r="M52" s="108">
        <v>50</v>
      </c>
      <c r="N52" s="111">
        <f t="shared" si="1"/>
        <v>68.915756630265207</v>
      </c>
      <c r="O52" s="107">
        <v>4920</v>
      </c>
      <c r="P52" s="107">
        <v>47</v>
      </c>
      <c r="Q52" s="107">
        <v>27</v>
      </c>
      <c r="R52" s="107">
        <v>25</v>
      </c>
      <c r="S52" s="107">
        <v>28</v>
      </c>
      <c r="T52" s="112">
        <f t="shared" si="2"/>
        <v>32.19318181818182</v>
      </c>
      <c r="U52" s="107">
        <v>11891</v>
      </c>
      <c r="V52" s="107">
        <v>89</v>
      </c>
      <c r="W52" s="108">
        <v>18000</v>
      </c>
      <c r="X52" s="107">
        <v>1904</v>
      </c>
      <c r="Y52" s="107" t="s">
        <v>507</v>
      </c>
      <c r="Z52" s="107" t="s">
        <v>508</v>
      </c>
      <c r="AA52" s="107"/>
      <c r="AB52" s="107" t="s">
        <v>509</v>
      </c>
      <c r="AC52" s="107" t="s">
        <v>510</v>
      </c>
      <c r="AD52" s="107" t="s">
        <v>511</v>
      </c>
      <c r="AE52" s="107" t="s">
        <v>512</v>
      </c>
      <c r="AF52" s="107" t="s">
        <v>513</v>
      </c>
      <c r="AG52" s="107"/>
      <c r="AH52" s="107"/>
      <c r="AI52" s="107"/>
      <c r="AJ52" s="107"/>
      <c r="AK52" s="107"/>
    </row>
    <row r="53" spans="1:37" x14ac:dyDescent="0.25">
      <c r="A53" s="107" t="s">
        <v>1752</v>
      </c>
      <c r="B53" s="107" t="s">
        <v>152</v>
      </c>
      <c r="C53" s="107" t="s">
        <v>2098</v>
      </c>
      <c r="D53" s="107">
        <v>1608</v>
      </c>
      <c r="E53" s="107">
        <v>536</v>
      </c>
      <c r="F53" s="108">
        <f t="shared" si="0"/>
        <v>2144</v>
      </c>
      <c r="G53" s="107">
        <v>10</v>
      </c>
      <c r="H53" s="107">
        <v>19</v>
      </c>
      <c r="I53" s="107"/>
      <c r="J53" s="107"/>
      <c r="K53" s="108">
        <v>29</v>
      </c>
      <c r="L53" s="108">
        <v>170</v>
      </c>
      <c r="M53" s="108">
        <v>170</v>
      </c>
      <c r="N53" s="111">
        <f t="shared" si="1"/>
        <v>170</v>
      </c>
      <c r="O53" s="107">
        <v>2809</v>
      </c>
      <c r="P53" s="107">
        <v>44.17</v>
      </c>
      <c r="Q53" s="107">
        <v>36.21</v>
      </c>
      <c r="R53" s="107">
        <v>25</v>
      </c>
      <c r="S53" s="107">
        <v>25</v>
      </c>
      <c r="T53" s="112">
        <f t="shared" si="2"/>
        <v>38.954827586206896</v>
      </c>
      <c r="U53" s="107">
        <v>26957</v>
      </c>
      <c r="V53" s="107">
        <v>69</v>
      </c>
      <c r="W53" s="108">
        <v>23000</v>
      </c>
      <c r="X53" s="107">
        <v>1904</v>
      </c>
      <c r="Y53" s="107" t="s">
        <v>507</v>
      </c>
      <c r="Z53" s="107" t="s">
        <v>508</v>
      </c>
      <c r="AA53" s="107"/>
      <c r="AB53" s="107" t="s">
        <v>509</v>
      </c>
      <c r="AC53" s="107" t="s">
        <v>510</v>
      </c>
      <c r="AD53" s="107" t="s">
        <v>511</v>
      </c>
      <c r="AE53" s="107" t="s">
        <v>512</v>
      </c>
      <c r="AF53" s="107" t="s">
        <v>513</v>
      </c>
      <c r="AG53" s="107"/>
      <c r="AH53" s="107"/>
      <c r="AI53" s="107"/>
      <c r="AJ53" s="107"/>
      <c r="AK53" s="107"/>
    </row>
    <row r="54" spans="1:37" x14ac:dyDescent="0.25">
      <c r="A54" s="107" t="s">
        <v>1044</v>
      </c>
      <c r="B54" s="107" t="s">
        <v>152</v>
      </c>
      <c r="C54" s="107" t="s">
        <v>2099</v>
      </c>
      <c r="D54" s="107">
        <v>2050</v>
      </c>
      <c r="E54" s="107">
        <v>175</v>
      </c>
      <c r="F54" s="108">
        <f t="shared" si="0"/>
        <v>2225</v>
      </c>
      <c r="G54" s="107">
        <v>53</v>
      </c>
      <c r="H54" s="107">
        <v>34</v>
      </c>
      <c r="I54" s="107">
        <v>2</v>
      </c>
      <c r="J54" s="107">
        <v>4</v>
      </c>
      <c r="K54" s="108">
        <v>93</v>
      </c>
      <c r="L54" s="108">
        <v>123</v>
      </c>
      <c r="M54" s="108"/>
      <c r="N54" s="111">
        <v>123</v>
      </c>
      <c r="O54" s="107">
        <v>3141</v>
      </c>
      <c r="P54" s="107">
        <v>43.87</v>
      </c>
      <c r="Q54" s="107">
        <v>44.84</v>
      </c>
      <c r="R54" s="107">
        <v>36.659999999999997</v>
      </c>
      <c r="S54" s="107">
        <v>30</v>
      </c>
      <c r="T54" s="112">
        <f t="shared" si="2"/>
        <v>43.473010752688175</v>
      </c>
      <c r="U54" s="107">
        <v>24449</v>
      </c>
      <c r="V54" s="107">
        <v>84</v>
      </c>
      <c r="W54" s="108">
        <v>12000</v>
      </c>
      <c r="X54" s="107">
        <v>1904</v>
      </c>
      <c r="Y54" s="107" t="s">
        <v>507</v>
      </c>
      <c r="Z54" s="107" t="s">
        <v>508</v>
      </c>
      <c r="AA54" s="107"/>
      <c r="AB54" s="107" t="s">
        <v>509</v>
      </c>
      <c r="AC54" s="107" t="s">
        <v>510</v>
      </c>
      <c r="AD54" s="107" t="s">
        <v>511</v>
      </c>
      <c r="AE54" s="107" t="s">
        <v>512</v>
      </c>
      <c r="AF54" s="107" t="s">
        <v>513</v>
      </c>
      <c r="AG54" s="107"/>
      <c r="AH54" s="107"/>
      <c r="AI54" s="107"/>
      <c r="AJ54" s="107"/>
      <c r="AK54" s="107"/>
    </row>
    <row r="55" spans="1:37" x14ac:dyDescent="0.25">
      <c r="A55" s="107" t="s">
        <v>1045</v>
      </c>
      <c r="B55" s="107" t="s">
        <v>152</v>
      </c>
      <c r="C55" s="107" t="s">
        <v>56</v>
      </c>
      <c r="D55" s="107">
        <v>900</v>
      </c>
      <c r="E55" s="107">
        <v>80</v>
      </c>
      <c r="F55" s="108">
        <f t="shared" si="0"/>
        <v>980</v>
      </c>
      <c r="G55" s="108">
        <v>9</v>
      </c>
      <c r="H55" s="108">
        <v>31</v>
      </c>
      <c r="I55" s="108">
        <v>3</v>
      </c>
      <c r="J55" s="108">
        <v>4</v>
      </c>
      <c r="K55" s="108">
        <v>47</v>
      </c>
      <c r="L55" s="108">
        <v>100</v>
      </c>
      <c r="M55" s="108">
        <v>100</v>
      </c>
      <c r="N55" s="111">
        <f t="shared" si="1"/>
        <v>100</v>
      </c>
      <c r="O55" s="107">
        <v>1200</v>
      </c>
      <c r="P55" s="107">
        <v>30</v>
      </c>
      <c r="Q55" s="107">
        <v>25</v>
      </c>
      <c r="R55" s="107">
        <v>25</v>
      </c>
      <c r="S55" s="107">
        <v>20</v>
      </c>
      <c r="T55" s="112">
        <f t="shared" si="2"/>
        <v>25.531914893617021</v>
      </c>
      <c r="U55" s="107">
        <v>7331</v>
      </c>
      <c r="V55" s="107">
        <v>60</v>
      </c>
      <c r="W55" s="108">
        <v>3000</v>
      </c>
      <c r="X55" s="107">
        <v>1904</v>
      </c>
      <c r="Y55" s="107" t="s">
        <v>507</v>
      </c>
      <c r="Z55" s="107" t="s">
        <v>508</v>
      </c>
      <c r="AA55" s="107"/>
      <c r="AB55" s="107" t="s">
        <v>509</v>
      </c>
      <c r="AC55" s="107" t="s">
        <v>510</v>
      </c>
      <c r="AD55" s="107" t="s">
        <v>511</v>
      </c>
      <c r="AE55" s="107" t="s">
        <v>512</v>
      </c>
      <c r="AF55" s="107" t="s">
        <v>513</v>
      </c>
      <c r="AG55" s="107"/>
      <c r="AH55" s="107"/>
      <c r="AI55" s="107"/>
      <c r="AJ55" s="107"/>
      <c r="AK55" s="107"/>
    </row>
    <row r="56" spans="1:37" x14ac:dyDescent="0.25">
      <c r="A56" s="107" t="s">
        <v>1046</v>
      </c>
      <c r="B56" s="107" t="s">
        <v>152</v>
      </c>
      <c r="C56" s="107" t="s">
        <v>115</v>
      </c>
      <c r="D56" s="107">
        <v>1939</v>
      </c>
      <c r="E56" s="107">
        <v>1968</v>
      </c>
      <c r="F56" s="108">
        <f t="shared" si="0"/>
        <v>3907</v>
      </c>
      <c r="G56" s="108">
        <v>7</v>
      </c>
      <c r="H56" s="108">
        <v>36</v>
      </c>
      <c r="I56" s="108">
        <v>2</v>
      </c>
      <c r="J56" s="108">
        <v>9</v>
      </c>
      <c r="K56" s="108">
        <v>52</v>
      </c>
      <c r="L56" s="108">
        <v>130</v>
      </c>
      <c r="M56" s="108">
        <v>80</v>
      </c>
      <c r="N56" s="111">
        <f t="shared" si="1"/>
        <v>104.81443562835935</v>
      </c>
      <c r="O56" s="107">
        <v>4625</v>
      </c>
      <c r="P56" s="107">
        <v>40.83</v>
      </c>
      <c r="Q56" s="107">
        <v>37.57</v>
      </c>
      <c r="R56" s="107">
        <v>25</v>
      </c>
      <c r="S56" s="107">
        <v>22.5</v>
      </c>
      <c r="T56" s="112">
        <f t="shared" si="2"/>
        <v>35.01537037037037</v>
      </c>
      <c r="U56" s="107">
        <v>22335</v>
      </c>
      <c r="V56" s="107">
        <v>80</v>
      </c>
      <c r="W56" s="108">
        <v>25000</v>
      </c>
      <c r="X56" s="107">
        <v>1904</v>
      </c>
      <c r="Y56" s="107" t="s">
        <v>507</v>
      </c>
      <c r="Z56" s="107" t="s">
        <v>508</v>
      </c>
      <c r="AA56" s="107"/>
      <c r="AB56" s="107" t="s">
        <v>509</v>
      </c>
      <c r="AC56" s="107" t="s">
        <v>510</v>
      </c>
      <c r="AD56" s="107" t="s">
        <v>511</v>
      </c>
      <c r="AE56" s="107" t="s">
        <v>512</v>
      </c>
      <c r="AF56" s="107" t="s">
        <v>513</v>
      </c>
      <c r="AG56" s="107"/>
      <c r="AH56" s="107"/>
      <c r="AI56" s="107"/>
      <c r="AJ56" s="107"/>
      <c r="AK56" s="107"/>
    </row>
    <row r="57" spans="1:37" x14ac:dyDescent="0.25">
      <c r="A57" s="107" t="s">
        <v>1047</v>
      </c>
      <c r="B57" s="107" t="s">
        <v>152</v>
      </c>
      <c r="C57" s="107" t="s">
        <v>2073</v>
      </c>
      <c r="D57" s="107">
        <v>297</v>
      </c>
      <c r="E57" s="107">
        <v>470</v>
      </c>
      <c r="F57" s="108">
        <f t="shared" si="0"/>
        <v>767</v>
      </c>
      <c r="G57" s="107"/>
      <c r="H57" s="107">
        <v>17</v>
      </c>
      <c r="I57" s="107">
        <v>1</v>
      </c>
      <c r="J57" s="107">
        <v>10</v>
      </c>
      <c r="K57" s="108">
        <v>32</v>
      </c>
      <c r="L57" s="108">
        <v>160</v>
      </c>
      <c r="M57" s="108">
        <v>100</v>
      </c>
      <c r="N57" s="111">
        <f t="shared" si="1"/>
        <v>123.23337679269882</v>
      </c>
      <c r="O57" s="107">
        <v>1068</v>
      </c>
      <c r="P57" s="107">
        <v>42.75</v>
      </c>
      <c r="Q57" s="107">
        <v>42.75</v>
      </c>
      <c r="R57" s="107">
        <v>25</v>
      </c>
      <c r="S57" s="107">
        <v>25</v>
      </c>
      <c r="T57" s="112">
        <f t="shared" si="2"/>
        <v>35.776785714285715</v>
      </c>
      <c r="U57" s="107">
        <v>8152</v>
      </c>
      <c r="V57" s="107">
        <v>22</v>
      </c>
      <c r="W57" s="108">
        <v>7425</v>
      </c>
      <c r="X57" s="107">
        <v>1904</v>
      </c>
      <c r="Y57" s="107" t="s">
        <v>507</v>
      </c>
      <c r="Z57" s="107" t="s">
        <v>508</v>
      </c>
      <c r="AA57" s="107"/>
      <c r="AB57" s="107" t="s">
        <v>509</v>
      </c>
      <c r="AC57" s="107" t="s">
        <v>510</v>
      </c>
      <c r="AD57" s="107" t="s">
        <v>511</v>
      </c>
      <c r="AE57" s="107" t="s">
        <v>512</v>
      </c>
      <c r="AF57" s="107" t="s">
        <v>513</v>
      </c>
      <c r="AG57" s="107"/>
      <c r="AH57" s="107"/>
      <c r="AI57" s="107"/>
      <c r="AJ57" s="107"/>
      <c r="AK57" s="107"/>
    </row>
    <row r="58" spans="1:37" x14ac:dyDescent="0.25">
      <c r="A58" s="107" t="s">
        <v>1048</v>
      </c>
      <c r="B58" s="107" t="s">
        <v>152</v>
      </c>
      <c r="C58" s="107" t="s">
        <v>168</v>
      </c>
      <c r="D58" s="107"/>
      <c r="E58" s="107"/>
      <c r="F58" s="108"/>
      <c r="G58" s="107">
        <v>1</v>
      </c>
      <c r="H58" s="107">
        <v>12</v>
      </c>
      <c r="I58" s="107">
        <v>4</v>
      </c>
      <c r="J58" s="107">
        <v>1</v>
      </c>
      <c r="K58" s="108">
        <v>18</v>
      </c>
      <c r="L58" s="108">
        <v>92</v>
      </c>
      <c r="M58" s="108">
        <v>34</v>
      </c>
      <c r="N58" s="111">
        <f>((G58+H58)*L58+(I58+J58)*M58)/K58</f>
        <v>75.888888888888886</v>
      </c>
      <c r="O58" s="107">
        <v>753</v>
      </c>
      <c r="P58" s="107">
        <v>30</v>
      </c>
      <c r="Q58" s="107">
        <v>30</v>
      </c>
      <c r="R58" s="107">
        <v>20</v>
      </c>
      <c r="S58" s="107">
        <v>20</v>
      </c>
      <c r="T58" s="112">
        <f t="shared" si="2"/>
        <v>27.222222222222221</v>
      </c>
      <c r="U58" s="107">
        <v>1875</v>
      </c>
      <c r="V58" s="107">
        <v>48</v>
      </c>
      <c r="W58" s="108">
        <v>1500</v>
      </c>
      <c r="X58" s="107">
        <v>1904</v>
      </c>
      <c r="Y58" s="107" t="s">
        <v>507</v>
      </c>
      <c r="Z58" s="107" t="s">
        <v>508</v>
      </c>
      <c r="AA58" s="107"/>
      <c r="AB58" s="107" t="s">
        <v>509</v>
      </c>
      <c r="AC58" s="107" t="s">
        <v>510</v>
      </c>
      <c r="AD58" s="107" t="s">
        <v>511</v>
      </c>
      <c r="AE58" s="107" t="s">
        <v>512</v>
      </c>
      <c r="AF58" s="107" t="s">
        <v>513</v>
      </c>
      <c r="AG58" s="107"/>
      <c r="AH58" s="107"/>
      <c r="AI58" s="107"/>
      <c r="AJ58" s="107"/>
      <c r="AK58" s="107"/>
    </row>
    <row r="59" spans="1:37" x14ac:dyDescent="0.25">
      <c r="A59" s="107" t="s">
        <v>1049</v>
      </c>
      <c r="B59" s="107" t="s">
        <v>152</v>
      </c>
      <c r="C59" s="107" t="s">
        <v>2082</v>
      </c>
      <c r="D59" s="107">
        <v>244</v>
      </c>
      <c r="E59" s="107">
        <v>937</v>
      </c>
      <c r="F59" s="108">
        <f t="shared" si="0"/>
        <v>1181</v>
      </c>
      <c r="G59" s="107">
        <v>1</v>
      </c>
      <c r="H59" s="107">
        <v>16</v>
      </c>
      <c r="I59" s="107">
        <v>8</v>
      </c>
      <c r="J59" s="107">
        <v>13</v>
      </c>
      <c r="K59" s="108">
        <v>38</v>
      </c>
      <c r="L59" s="108">
        <v>180</v>
      </c>
      <c r="M59" s="108">
        <v>160</v>
      </c>
      <c r="N59" s="111">
        <f t="shared" si="1"/>
        <v>164.13209144792549</v>
      </c>
      <c r="O59" s="107">
        <v>1774</v>
      </c>
      <c r="P59" s="107">
        <v>100</v>
      </c>
      <c r="Q59" s="107">
        <v>35</v>
      </c>
      <c r="R59" s="107">
        <v>24.5</v>
      </c>
      <c r="S59" s="107">
        <v>20.5</v>
      </c>
      <c r="T59" s="112">
        <f t="shared" si="2"/>
        <v>29.539473684210527</v>
      </c>
      <c r="U59" s="107">
        <v>9556</v>
      </c>
      <c r="V59" s="107">
        <v>13</v>
      </c>
      <c r="W59" s="108">
        <v>6900</v>
      </c>
      <c r="X59" s="107">
        <v>1904</v>
      </c>
      <c r="Y59" s="107" t="s">
        <v>507</v>
      </c>
      <c r="Z59" s="107" t="s">
        <v>508</v>
      </c>
      <c r="AA59" s="107"/>
      <c r="AB59" s="107" t="s">
        <v>509</v>
      </c>
      <c r="AC59" s="107" t="s">
        <v>510</v>
      </c>
      <c r="AD59" s="107" t="s">
        <v>511</v>
      </c>
      <c r="AE59" s="107" t="s">
        <v>512</v>
      </c>
      <c r="AF59" s="107" t="s">
        <v>513</v>
      </c>
      <c r="AG59" s="107"/>
      <c r="AH59" s="107"/>
      <c r="AI59" s="107"/>
      <c r="AJ59" s="107"/>
      <c r="AK59" s="107"/>
    </row>
    <row r="60" spans="1:37" x14ac:dyDescent="0.25">
      <c r="A60" s="107" t="s">
        <v>1050</v>
      </c>
      <c r="B60" s="107" t="s">
        <v>152</v>
      </c>
      <c r="C60" s="107" t="s">
        <v>2100</v>
      </c>
      <c r="D60" s="107">
        <v>974</v>
      </c>
      <c r="E60" s="107">
        <v>143</v>
      </c>
      <c r="F60" s="108">
        <f t="shared" si="0"/>
        <v>1117</v>
      </c>
      <c r="G60" s="107">
        <v>18</v>
      </c>
      <c r="H60" s="107">
        <v>15</v>
      </c>
      <c r="I60" s="107">
        <v>3</v>
      </c>
      <c r="J60" s="107">
        <v>2</v>
      </c>
      <c r="K60" s="108">
        <v>38</v>
      </c>
      <c r="L60" s="108">
        <v>82</v>
      </c>
      <c r="M60" s="108">
        <v>50</v>
      </c>
      <c r="N60" s="111">
        <f t="shared" si="1"/>
        <v>77.903312444046549</v>
      </c>
      <c r="O60" s="107">
        <v>1645</v>
      </c>
      <c r="P60" s="107">
        <v>52.25</v>
      </c>
      <c r="Q60" s="107">
        <v>48.53</v>
      </c>
      <c r="R60" s="107">
        <v>25</v>
      </c>
      <c r="S60" s="107">
        <v>25</v>
      </c>
      <c r="T60" s="112">
        <f t="shared" si="2"/>
        <v>47.196052631578951</v>
      </c>
      <c r="U60" s="107">
        <v>15055</v>
      </c>
      <c r="V60" s="107">
        <v>76</v>
      </c>
      <c r="W60" s="108">
        <v>14500</v>
      </c>
      <c r="X60" s="107">
        <v>1904</v>
      </c>
      <c r="Y60" s="107" t="s">
        <v>507</v>
      </c>
      <c r="Z60" s="107" t="s">
        <v>508</v>
      </c>
      <c r="AA60" s="107"/>
      <c r="AB60" s="107" t="s">
        <v>509</v>
      </c>
      <c r="AC60" s="107" t="s">
        <v>510</v>
      </c>
      <c r="AD60" s="107" t="s">
        <v>511</v>
      </c>
      <c r="AE60" s="107" t="s">
        <v>512</v>
      </c>
      <c r="AF60" s="107" t="s">
        <v>513</v>
      </c>
      <c r="AG60" s="107"/>
      <c r="AH60" s="107"/>
      <c r="AI60" s="107"/>
      <c r="AJ60" s="107"/>
      <c r="AK60" s="107"/>
    </row>
    <row r="61" spans="1:37" x14ac:dyDescent="0.25">
      <c r="A61" s="107" t="s">
        <v>1367</v>
      </c>
      <c r="B61" s="107"/>
      <c r="C61" s="107"/>
      <c r="D61" s="107"/>
      <c r="E61" s="107"/>
      <c r="F61" s="108">
        <v>144925</v>
      </c>
      <c r="G61" s="108"/>
      <c r="H61" s="108"/>
      <c r="I61" s="108"/>
      <c r="J61" s="108"/>
      <c r="K61" s="108">
        <v>4298</v>
      </c>
      <c r="L61" s="108"/>
      <c r="M61" s="108"/>
      <c r="N61" s="107"/>
      <c r="O61" s="107">
        <v>211849</v>
      </c>
      <c r="P61" s="107"/>
      <c r="Q61" s="107"/>
      <c r="R61" s="107"/>
      <c r="S61" s="107"/>
      <c r="T61" s="107"/>
      <c r="U61" s="107">
        <v>1736353</v>
      </c>
      <c r="V61" s="107">
        <v>3545</v>
      </c>
      <c r="W61" s="108">
        <v>3396319</v>
      </c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</row>
    <row r="62" spans="1:37" x14ac:dyDescent="0.25">
      <c r="A62" s="107" t="s">
        <v>1367</v>
      </c>
      <c r="B62" s="107"/>
      <c r="C62" s="107"/>
      <c r="D62" s="107"/>
      <c r="E62" s="107"/>
      <c r="F62" s="107">
        <v>140123</v>
      </c>
      <c r="G62" s="107"/>
      <c r="H62" s="107"/>
      <c r="I62" s="107"/>
      <c r="J62" s="107"/>
      <c r="K62" s="108">
        <v>4294</v>
      </c>
      <c r="L62" s="108"/>
      <c r="M62" s="108"/>
      <c r="N62" s="107"/>
      <c r="O62" s="107">
        <v>211409</v>
      </c>
      <c r="P62" s="107"/>
      <c r="Q62" s="107"/>
      <c r="R62" s="107"/>
      <c r="S62" s="107"/>
      <c r="T62" s="107"/>
      <c r="U62" s="107">
        <v>1757943</v>
      </c>
      <c r="V62" s="107">
        <v>3540</v>
      </c>
      <c r="W62" s="108">
        <v>3396319</v>
      </c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</row>
    <row r="63" spans="1:37" x14ac:dyDescent="0.25">
      <c r="A63" s="107" t="s">
        <v>1367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8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F104"/>
  <sheetViews>
    <sheetView workbookViewId="0"/>
  </sheetViews>
  <sheetFormatPr defaultColWidth="11.42578125" defaultRowHeight="15" x14ac:dyDescent="0.25"/>
  <cols>
    <col min="1" max="1" width="21.42578125" customWidth="1"/>
    <col min="2" max="2" width="12.28515625" customWidth="1"/>
    <col min="5" max="6" width="11.42578125" style="27"/>
    <col min="8" max="9" width="11.42578125" style="27"/>
    <col min="12" max="13" width="11.42578125" style="27"/>
    <col min="17" max="17" width="13.140625" bestFit="1" customWidth="1"/>
  </cols>
  <sheetData>
    <row r="1" spans="1:32" s="20" customFormat="1" ht="60" x14ac:dyDescent="0.25">
      <c r="B1" s="20" t="s">
        <v>2</v>
      </c>
      <c r="C1" s="20" t="s">
        <v>0</v>
      </c>
      <c r="D1" s="92" t="s">
        <v>1956</v>
      </c>
      <c r="E1" s="84" t="s">
        <v>2462</v>
      </c>
      <c r="F1" s="84" t="s">
        <v>2057</v>
      </c>
      <c r="G1" s="92" t="s">
        <v>372</v>
      </c>
      <c r="H1" s="84" t="s">
        <v>2030</v>
      </c>
      <c r="I1" s="84" t="s">
        <v>2363</v>
      </c>
      <c r="J1" s="94" t="s">
        <v>357</v>
      </c>
      <c r="K1" s="94" t="s">
        <v>377</v>
      </c>
      <c r="L1" s="83" t="s">
        <v>2460</v>
      </c>
      <c r="M1" s="83" t="s">
        <v>2461</v>
      </c>
      <c r="N1" s="92" t="s">
        <v>358</v>
      </c>
      <c r="O1" s="93" t="s">
        <v>360</v>
      </c>
      <c r="P1" s="92" t="s">
        <v>374</v>
      </c>
      <c r="Q1" s="125" t="s">
        <v>375</v>
      </c>
      <c r="R1" s="20" t="s">
        <v>1</v>
      </c>
      <c r="S1" s="20" t="s">
        <v>1957</v>
      </c>
      <c r="T1" s="20" t="s">
        <v>1949</v>
      </c>
      <c r="U1" s="20" t="s">
        <v>1955</v>
      </c>
      <c r="V1" s="20" t="s">
        <v>1950</v>
      </c>
      <c r="W1" s="20" t="s">
        <v>1951</v>
      </c>
      <c r="X1" s="20" t="s">
        <v>1952</v>
      </c>
      <c r="Y1" s="20" t="s">
        <v>1953</v>
      </c>
      <c r="Z1" s="20" t="s">
        <v>1948</v>
      </c>
    </row>
    <row r="2" spans="1:32" x14ac:dyDescent="0.25">
      <c r="A2" s="27" t="s">
        <v>1132</v>
      </c>
      <c r="B2" s="27" t="str">
        <f t="shared" ref="B2:B65" si="0">LEFT(A2,FIND(";",A2)-1)</f>
        <v>North Carolina</v>
      </c>
      <c r="C2" s="27" t="str">
        <f t="shared" ref="C2:C65" si="1">MID(A2,FIND(";",A2)+1,100)</f>
        <v>Alamance</v>
      </c>
      <c r="D2" s="2">
        <v>3487</v>
      </c>
      <c r="E2" s="27">
        <v>96</v>
      </c>
      <c r="F2" s="27">
        <v>31</v>
      </c>
      <c r="G2" s="27">
        <v>135</v>
      </c>
      <c r="H2" s="2">
        <v>105</v>
      </c>
      <c r="I2" s="2">
        <v>81</v>
      </c>
      <c r="J2" s="26">
        <f>(E2*H2+F2*I2)/(E2+F2)</f>
        <v>99.141732283464563</v>
      </c>
      <c r="K2" s="2">
        <v>6142</v>
      </c>
      <c r="L2" s="2">
        <v>16483.73</v>
      </c>
      <c r="M2" s="2">
        <v>3019.09</v>
      </c>
      <c r="N2" s="2">
        <f>(L2+M2)/(E2+F2)/(J2/20)</f>
        <v>30.978984989278054</v>
      </c>
      <c r="O2" s="12">
        <v>38766.120000000003</v>
      </c>
      <c r="P2" s="27">
        <v>57</v>
      </c>
      <c r="Q2" s="12">
        <v>6247.55</v>
      </c>
      <c r="R2" s="27">
        <v>1905</v>
      </c>
      <c r="S2" s="27" t="s">
        <v>518</v>
      </c>
      <c r="T2" s="27" t="s">
        <v>519</v>
      </c>
      <c r="U2" s="27" t="s">
        <v>520</v>
      </c>
      <c r="V2" s="27" t="s">
        <v>518</v>
      </c>
      <c r="W2" s="27" t="s">
        <v>520</v>
      </c>
      <c r="X2" s="27" t="s">
        <v>521</v>
      </c>
      <c r="Y2" s="27" t="s">
        <v>522</v>
      </c>
      <c r="Z2" s="27"/>
      <c r="AA2" s="4"/>
      <c r="AB2" s="4"/>
      <c r="AC2" s="4"/>
      <c r="AD2" s="4"/>
      <c r="AE2" s="4"/>
      <c r="AF2" s="4"/>
    </row>
    <row r="3" spans="1:32" x14ac:dyDescent="0.25">
      <c r="A3" s="27" t="s">
        <v>1133</v>
      </c>
      <c r="B3" s="27" t="str">
        <f t="shared" si="0"/>
        <v>North Carolina</v>
      </c>
      <c r="C3" s="27" t="str">
        <f t="shared" si="1"/>
        <v>Alexander</v>
      </c>
      <c r="D3" s="2">
        <v>2150</v>
      </c>
      <c r="E3" s="27">
        <v>63</v>
      </c>
      <c r="F3" s="27">
        <v>7</v>
      </c>
      <c r="G3" s="27">
        <v>68</v>
      </c>
      <c r="H3" s="2">
        <v>76</v>
      </c>
      <c r="I3" s="2">
        <v>60</v>
      </c>
      <c r="J3" s="26">
        <f>(E3*H3+F3*I3)/(E3+F3)</f>
        <v>74.400000000000006</v>
      </c>
      <c r="K3" s="2">
        <v>2697</v>
      </c>
      <c r="L3" s="2">
        <v>5300.49</v>
      </c>
      <c r="M3" s="2">
        <v>419.75</v>
      </c>
      <c r="N3" s="2">
        <f>(L3+M3)/(E3+F3)/(J3/20)</f>
        <v>21.967127496159751</v>
      </c>
      <c r="O3" s="12">
        <v>7206.76</v>
      </c>
      <c r="P3" s="27">
        <v>44</v>
      </c>
      <c r="Q3" s="12">
        <v>997.35</v>
      </c>
      <c r="R3" s="27">
        <v>1905</v>
      </c>
      <c r="S3" s="27" t="s">
        <v>523</v>
      </c>
      <c r="T3" s="27" t="s">
        <v>519</v>
      </c>
      <c r="U3" s="27" t="s">
        <v>520</v>
      </c>
      <c r="V3" s="27" t="s">
        <v>523</v>
      </c>
      <c r="W3" s="27" t="s">
        <v>520</v>
      </c>
      <c r="X3" s="27" t="s">
        <v>521</v>
      </c>
      <c r="Y3" s="27" t="s">
        <v>522</v>
      </c>
      <c r="Z3" s="27"/>
      <c r="AA3" s="4"/>
      <c r="AB3" s="4"/>
      <c r="AC3" s="4"/>
      <c r="AD3" s="4"/>
      <c r="AE3" s="4"/>
      <c r="AF3" s="4"/>
    </row>
    <row r="4" spans="1:32" x14ac:dyDescent="0.25">
      <c r="A4" s="27" t="s">
        <v>1134</v>
      </c>
      <c r="B4" s="27" t="str">
        <f t="shared" si="0"/>
        <v>North Carolina</v>
      </c>
      <c r="C4" s="27" t="str">
        <f t="shared" si="1"/>
        <v>Alleghany</v>
      </c>
      <c r="D4" s="2">
        <v>1667</v>
      </c>
      <c r="E4" s="27">
        <v>53</v>
      </c>
      <c r="F4" s="27">
        <v>3</v>
      </c>
      <c r="G4" s="27">
        <v>58</v>
      </c>
      <c r="H4" s="2">
        <v>74</v>
      </c>
      <c r="I4" s="2">
        <v>74</v>
      </c>
      <c r="J4" s="26">
        <f>(E4*H4+F4*I4)/(E4+F4)</f>
        <v>74</v>
      </c>
      <c r="K4" s="2">
        <v>2800</v>
      </c>
      <c r="L4" s="2">
        <v>4843</v>
      </c>
      <c r="M4" s="2">
        <v>240</v>
      </c>
      <c r="N4" s="2">
        <f>(L4+M4)/(E4+F4)/(J4/20)</f>
        <v>24.53185328185328</v>
      </c>
      <c r="O4" s="12">
        <v>6368.2</v>
      </c>
      <c r="P4" s="27">
        <v>36</v>
      </c>
      <c r="Q4" s="12">
        <v>1313.1</v>
      </c>
      <c r="R4" s="27">
        <v>1905</v>
      </c>
      <c r="S4" s="27" t="s">
        <v>518</v>
      </c>
      <c r="T4" s="27" t="s">
        <v>519</v>
      </c>
      <c r="U4" s="27" t="s">
        <v>520</v>
      </c>
      <c r="V4" s="27" t="s">
        <v>518</v>
      </c>
      <c r="W4" s="27" t="s">
        <v>520</v>
      </c>
      <c r="X4" s="27" t="s">
        <v>521</v>
      </c>
      <c r="Y4" s="27" t="s">
        <v>522</v>
      </c>
      <c r="Z4" s="27"/>
      <c r="AA4" s="4"/>
      <c r="AB4" s="4"/>
      <c r="AC4" s="4"/>
      <c r="AD4" s="4"/>
      <c r="AE4" s="4"/>
      <c r="AF4" s="4"/>
    </row>
    <row r="5" spans="1:32" x14ac:dyDescent="0.25">
      <c r="A5" s="27" t="s">
        <v>1135</v>
      </c>
      <c r="B5" s="27" t="str">
        <f t="shared" si="0"/>
        <v>North Carolina</v>
      </c>
      <c r="C5" s="27" t="str">
        <f t="shared" si="1"/>
        <v>Anson</v>
      </c>
      <c r="D5" s="2">
        <v>3020</v>
      </c>
      <c r="E5" s="27">
        <v>54</v>
      </c>
      <c r="F5" s="27">
        <v>48</v>
      </c>
      <c r="G5" s="2">
        <v>93</v>
      </c>
      <c r="H5" s="2">
        <v>85</v>
      </c>
      <c r="I5" s="2">
        <v>78</v>
      </c>
      <c r="J5" s="26">
        <f>(E5*H5+F5*I5)/(E5+F5)</f>
        <v>81.705882352941174</v>
      </c>
      <c r="K5" s="2">
        <v>4867</v>
      </c>
      <c r="L5" s="2">
        <v>6033.93</v>
      </c>
      <c r="M5" s="2">
        <v>3631.9</v>
      </c>
      <c r="N5" s="2">
        <f>(L5+M5)/(E5+F5)/(J5/20)</f>
        <v>23.196136309095273</v>
      </c>
      <c r="O5" s="12">
        <v>16591.73</v>
      </c>
      <c r="P5" s="27">
        <v>34</v>
      </c>
      <c r="Q5" s="12">
        <v>1257.31</v>
      </c>
      <c r="R5" s="27">
        <v>1905</v>
      </c>
      <c r="S5" s="27" t="s">
        <v>523</v>
      </c>
      <c r="T5" s="27" t="s">
        <v>519</v>
      </c>
      <c r="U5" s="27" t="s">
        <v>520</v>
      </c>
      <c r="V5" s="27" t="s">
        <v>523</v>
      </c>
      <c r="W5" s="27" t="s">
        <v>520</v>
      </c>
      <c r="X5" s="27" t="s">
        <v>521</v>
      </c>
      <c r="Y5" s="27" t="s">
        <v>522</v>
      </c>
      <c r="Z5" s="27"/>
      <c r="AA5" s="4"/>
      <c r="AB5" s="4"/>
      <c r="AC5" s="4"/>
      <c r="AD5" s="4"/>
      <c r="AE5" s="4"/>
      <c r="AF5" s="4"/>
    </row>
    <row r="6" spans="1:32" x14ac:dyDescent="0.25">
      <c r="A6" s="27" t="s">
        <v>1136</v>
      </c>
      <c r="B6" s="27" t="str">
        <f t="shared" si="0"/>
        <v>North Carolina</v>
      </c>
      <c r="C6" s="27" t="str">
        <f t="shared" si="1"/>
        <v>Ashe</v>
      </c>
      <c r="D6" s="2">
        <v>2983</v>
      </c>
      <c r="E6" s="27">
        <v>110</v>
      </c>
      <c r="F6" s="27">
        <v>10</v>
      </c>
      <c r="G6" s="27">
        <v>115</v>
      </c>
      <c r="H6" s="2">
        <v>70</v>
      </c>
      <c r="I6" s="2">
        <v>70</v>
      </c>
      <c r="J6" s="26">
        <f>(E6*H6+F6*I6)/(E6+F6)</f>
        <v>70</v>
      </c>
      <c r="K6" s="2">
        <v>5407</v>
      </c>
      <c r="L6" s="2">
        <v>9523.18</v>
      </c>
      <c r="M6" s="2">
        <v>437.63</v>
      </c>
      <c r="N6" s="2">
        <f>(L6+M6)/(E6+F6)/(J6/20)</f>
        <v>23.716214285714283</v>
      </c>
      <c r="O6" s="12">
        <v>12563.39</v>
      </c>
      <c r="P6" s="27">
        <v>94</v>
      </c>
      <c r="Q6" s="12">
        <v>2072.56</v>
      </c>
      <c r="R6" s="27">
        <v>1905</v>
      </c>
      <c r="S6" s="27" t="s">
        <v>518</v>
      </c>
      <c r="T6" s="27" t="s">
        <v>519</v>
      </c>
      <c r="U6" s="27" t="s">
        <v>520</v>
      </c>
      <c r="V6" s="27" t="s">
        <v>518</v>
      </c>
      <c r="W6" s="27" t="s">
        <v>520</v>
      </c>
      <c r="X6" s="27" t="s">
        <v>521</v>
      </c>
      <c r="Y6" s="27" t="s">
        <v>522</v>
      </c>
      <c r="Z6" s="27"/>
      <c r="AA6" s="4"/>
      <c r="AB6" s="4"/>
      <c r="AC6" s="4"/>
      <c r="AD6" s="4"/>
      <c r="AE6" s="4"/>
      <c r="AF6" s="4"/>
    </row>
    <row r="7" spans="1:32" x14ac:dyDescent="0.25">
      <c r="A7" s="27" t="s">
        <v>1137</v>
      </c>
      <c r="B7" s="27" t="str">
        <f t="shared" si="0"/>
        <v>North Carolina</v>
      </c>
      <c r="C7" s="27" t="str">
        <f t="shared" si="1"/>
        <v>Avery</v>
      </c>
      <c r="D7" s="27" t="s">
        <v>383</v>
      </c>
      <c r="G7" s="27"/>
      <c r="J7" s="26"/>
      <c r="K7" s="27"/>
      <c r="N7" s="2"/>
      <c r="O7" s="2"/>
      <c r="P7" s="27"/>
      <c r="Q7" s="12"/>
      <c r="R7" s="27">
        <v>1905</v>
      </c>
      <c r="S7" s="27" t="s">
        <v>523</v>
      </c>
      <c r="T7" s="27" t="s">
        <v>519</v>
      </c>
      <c r="U7" s="27" t="s">
        <v>520</v>
      </c>
      <c r="V7" s="27" t="s">
        <v>523</v>
      </c>
      <c r="W7" s="27" t="s">
        <v>520</v>
      </c>
      <c r="X7" s="27" t="s">
        <v>521</v>
      </c>
      <c r="Y7" s="27" t="s">
        <v>522</v>
      </c>
      <c r="Z7" s="27"/>
      <c r="AA7" s="4"/>
      <c r="AB7" s="4"/>
      <c r="AC7" s="4"/>
      <c r="AD7" s="4"/>
      <c r="AE7" s="4"/>
      <c r="AF7" s="4"/>
    </row>
    <row r="8" spans="1:32" x14ac:dyDescent="0.25">
      <c r="A8" s="27" t="s">
        <v>1138</v>
      </c>
      <c r="B8" s="27" t="str">
        <f t="shared" si="0"/>
        <v>North Carolina</v>
      </c>
      <c r="C8" s="27" t="str">
        <f t="shared" si="1"/>
        <v>Beaufort</v>
      </c>
      <c r="D8" s="2">
        <v>3656</v>
      </c>
      <c r="E8" s="27">
        <v>90</v>
      </c>
      <c r="F8" s="27">
        <v>39</v>
      </c>
      <c r="G8" s="27">
        <v>141</v>
      </c>
      <c r="H8" s="2">
        <v>95</v>
      </c>
      <c r="I8" s="2">
        <v>86</v>
      </c>
      <c r="J8" s="26">
        <f t="shared" ref="J8:J47" si="2">(E8*H8+F8*I8)/(E8+F8)</f>
        <v>92.279069767441854</v>
      </c>
      <c r="K8" s="2">
        <v>6455</v>
      </c>
      <c r="L8" s="2">
        <v>16691.990000000002</v>
      </c>
      <c r="M8" s="2">
        <v>4766.63</v>
      </c>
      <c r="N8" s="2">
        <f t="shared" ref="N8:N47" si="3">(L8+M8)/(E8+F8)/(J8/20)</f>
        <v>36.052788978494632</v>
      </c>
      <c r="O8" s="12">
        <v>64578.080000000002</v>
      </c>
      <c r="P8" s="27">
        <v>72</v>
      </c>
      <c r="Q8" s="12">
        <v>9121.15</v>
      </c>
      <c r="R8" s="27">
        <v>1905</v>
      </c>
      <c r="S8" s="27" t="s">
        <v>518</v>
      </c>
      <c r="T8" s="27" t="s">
        <v>519</v>
      </c>
      <c r="U8" s="27" t="s">
        <v>520</v>
      </c>
      <c r="V8" s="27" t="s">
        <v>518</v>
      </c>
      <c r="W8" s="27" t="s">
        <v>520</v>
      </c>
      <c r="X8" s="27" t="s">
        <v>521</v>
      </c>
      <c r="Y8" s="27" t="s">
        <v>522</v>
      </c>
      <c r="Z8" s="27"/>
      <c r="AA8" s="4"/>
      <c r="AB8" s="4"/>
      <c r="AC8" s="4"/>
      <c r="AD8" s="4"/>
      <c r="AE8" s="4"/>
      <c r="AF8" s="4"/>
    </row>
    <row r="9" spans="1:32" x14ac:dyDescent="0.25">
      <c r="A9" s="27" t="s">
        <v>1139</v>
      </c>
      <c r="B9" s="27" t="str">
        <f t="shared" si="0"/>
        <v>North Carolina</v>
      </c>
      <c r="C9" s="27" t="str">
        <f t="shared" si="1"/>
        <v>Bertie</v>
      </c>
      <c r="D9" s="2">
        <v>3120</v>
      </c>
      <c r="E9" s="2">
        <v>76</v>
      </c>
      <c r="F9" s="27">
        <v>57</v>
      </c>
      <c r="G9" s="2">
        <v>139</v>
      </c>
      <c r="H9" s="2">
        <v>78</v>
      </c>
      <c r="I9" s="2">
        <v>64</v>
      </c>
      <c r="J9" s="26">
        <f t="shared" si="2"/>
        <v>72</v>
      </c>
      <c r="K9" s="2">
        <v>5388</v>
      </c>
      <c r="L9" s="2">
        <v>7881.97</v>
      </c>
      <c r="M9" s="2">
        <v>4210.67</v>
      </c>
      <c r="N9" s="2">
        <f t="shared" si="3"/>
        <v>25.256140350877189</v>
      </c>
      <c r="O9" s="12">
        <v>20927.05</v>
      </c>
      <c r="P9" s="27">
        <v>68</v>
      </c>
      <c r="Q9" s="12">
        <v>3582.63</v>
      </c>
      <c r="R9" s="27">
        <v>1905</v>
      </c>
      <c r="S9" s="27" t="s">
        <v>523</v>
      </c>
      <c r="T9" s="27" t="s">
        <v>519</v>
      </c>
      <c r="U9" s="27" t="s">
        <v>520</v>
      </c>
      <c r="V9" s="27" t="s">
        <v>523</v>
      </c>
      <c r="W9" s="27" t="s">
        <v>520</v>
      </c>
      <c r="X9" s="27" t="s">
        <v>521</v>
      </c>
      <c r="Y9" s="27" t="s">
        <v>522</v>
      </c>
      <c r="Z9" s="27"/>
      <c r="AA9" s="4"/>
      <c r="AB9" s="4"/>
      <c r="AC9" s="4"/>
      <c r="AD9" s="4"/>
      <c r="AE9" s="4"/>
      <c r="AF9" s="4"/>
    </row>
    <row r="10" spans="1:32" x14ac:dyDescent="0.25">
      <c r="A10" s="27" t="s">
        <v>1140</v>
      </c>
      <c r="B10" s="27" t="str">
        <f t="shared" si="0"/>
        <v>North Carolina</v>
      </c>
      <c r="C10" s="27" t="str">
        <f t="shared" si="1"/>
        <v>Bladen</v>
      </c>
      <c r="D10" s="2">
        <v>3146</v>
      </c>
      <c r="E10" s="2">
        <v>69</v>
      </c>
      <c r="F10" s="27">
        <v>47</v>
      </c>
      <c r="G10" s="2">
        <v>109</v>
      </c>
      <c r="H10" s="2">
        <v>70</v>
      </c>
      <c r="I10" s="2">
        <v>70</v>
      </c>
      <c r="J10" s="26">
        <f t="shared" si="2"/>
        <v>70</v>
      </c>
      <c r="K10" s="2">
        <v>4957</v>
      </c>
      <c r="L10" s="2">
        <v>7696.32</v>
      </c>
      <c r="M10" s="2">
        <v>3608.74</v>
      </c>
      <c r="N10" s="2">
        <f t="shared" si="3"/>
        <v>27.844975369458126</v>
      </c>
      <c r="O10" s="12">
        <v>15339.01</v>
      </c>
      <c r="P10" s="27">
        <v>70</v>
      </c>
      <c r="Q10" s="12">
        <v>450.18</v>
      </c>
      <c r="R10" s="27">
        <v>1905</v>
      </c>
      <c r="S10" s="27" t="s">
        <v>518</v>
      </c>
      <c r="T10" s="27" t="s">
        <v>519</v>
      </c>
      <c r="U10" s="27" t="s">
        <v>520</v>
      </c>
      <c r="V10" s="27" t="s">
        <v>518</v>
      </c>
      <c r="W10" s="27" t="s">
        <v>520</v>
      </c>
      <c r="X10" s="27" t="s">
        <v>521</v>
      </c>
      <c r="Y10" s="27" t="s">
        <v>522</v>
      </c>
      <c r="Z10" s="27"/>
      <c r="AA10" s="4"/>
      <c r="AB10" s="4"/>
      <c r="AC10" s="4"/>
      <c r="AD10" s="4"/>
      <c r="AE10" s="4"/>
      <c r="AF10" s="4"/>
    </row>
    <row r="11" spans="1:32" x14ac:dyDescent="0.25">
      <c r="A11" s="27" t="s">
        <v>1141</v>
      </c>
      <c r="B11" s="27" t="str">
        <f t="shared" si="0"/>
        <v>North Carolina</v>
      </c>
      <c r="C11" s="27" t="str">
        <f t="shared" si="1"/>
        <v>Brunswick</v>
      </c>
      <c r="D11" s="27">
        <v>1287</v>
      </c>
      <c r="E11" s="27">
        <v>43</v>
      </c>
      <c r="F11" s="27">
        <v>22</v>
      </c>
      <c r="G11" s="27">
        <v>66</v>
      </c>
      <c r="H11" s="27">
        <v>73</v>
      </c>
      <c r="I11" s="2">
        <v>65</v>
      </c>
      <c r="J11" s="26">
        <f t="shared" si="2"/>
        <v>70.292307692307688</v>
      </c>
      <c r="K11" s="2">
        <v>3458</v>
      </c>
      <c r="L11" s="2">
        <v>7869.87</v>
      </c>
      <c r="M11" s="2">
        <v>21168.1</v>
      </c>
      <c r="N11" s="2">
        <f t="shared" si="3"/>
        <v>127.10864521777194</v>
      </c>
      <c r="O11" s="12">
        <v>8831.35</v>
      </c>
      <c r="P11" s="27">
        <v>48</v>
      </c>
      <c r="Q11" s="12">
        <v>3344.91</v>
      </c>
      <c r="R11" s="27">
        <v>1905</v>
      </c>
      <c r="S11" s="27" t="s">
        <v>523</v>
      </c>
      <c r="T11" s="27" t="s">
        <v>519</v>
      </c>
      <c r="U11" s="27" t="s">
        <v>520</v>
      </c>
      <c r="V11" s="27" t="s">
        <v>523</v>
      </c>
      <c r="W11" s="27" t="s">
        <v>520</v>
      </c>
      <c r="X11" s="27" t="s">
        <v>521</v>
      </c>
      <c r="Y11" s="27" t="s">
        <v>522</v>
      </c>
      <c r="Z11" s="27"/>
      <c r="AA11" s="4"/>
      <c r="AB11" s="4"/>
      <c r="AC11" s="4"/>
      <c r="AD11" s="4"/>
      <c r="AE11" s="4"/>
      <c r="AF11" s="4"/>
    </row>
    <row r="12" spans="1:32" x14ac:dyDescent="0.25">
      <c r="A12" s="27" t="s">
        <v>1142</v>
      </c>
      <c r="B12" s="27" t="str">
        <f t="shared" si="0"/>
        <v>North Carolina</v>
      </c>
      <c r="C12" s="27" t="str">
        <f t="shared" si="1"/>
        <v>Buncombe</v>
      </c>
      <c r="D12" s="2">
        <v>6530</v>
      </c>
      <c r="E12" s="2">
        <v>162</v>
      </c>
      <c r="F12" s="27">
        <v>32</v>
      </c>
      <c r="G12" s="27">
        <v>192</v>
      </c>
      <c r="H12" s="2">
        <v>121</v>
      </c>
      <c r="I12" s="2">
        <v>125</v>
      </c>
      <c r="J12" s="26">
        <f t="shared" si="2"/>
        <v>121.65979381443299</v>
      </c>
      <c r="K12" s="2">
        <v>9406</v>
      </c>
      <c r="L12" s="2">
        <v>41933.46</v>
      </c>
      <c r="M12" s="2">
        <v>6546.86</v>
      </c>
      <c r="N12" s="2">
        <f t="shared" si="3"/>
        <v>41.081535463096344</v>
      </c>
      <c r="O12" s="12">
        <v>70592.56</v>
      </c>
      <c r="P12" s="27">
        <v>92</v>
      </c>
      <c r="Q12" s="133">
        <v>11868.35</v>
      </c>
      <c r="R12" s="27">
        <v>1905</v>
      </c>
      <c r="S12" s="27" t="s">
        <v>518</v>
      </c>
      <c r="T12" s="27" t="s">
        <v>519</v>
      </c>
      <c r="U12" s="27" t="s">
        <v>520</v>
      </c>
      <c r="V12" s="27" t="s">
        <v>518</v>
      </c>
      <c r="W12" s="27" t="s">
        <v>520</v>
      </c>
      <c r="X12" s="27" t="s">
        <v>521</v>
      </c>
      <c r="Y12" s="27" t="s">
        <v>522</v>
      </c>
      <c r="Z12" s="27"/>
      <c r="AA12" s="4"/>
      <c r="AB12" s="4"/>
      <c r="AC12" s="4"/>
      <c r="AD12" s="4"/>
      <c r="AE12" s="4"/>
      <c r="AF12" s="4"/>
    </row>
    <row r="13" spans="1:32" x14ac:dyDescent="0.25">
      <c r="A13" s="27" t="s">
        <v>1143</v>
      </c>
      <c r="B13" s="27" t="str">
        <f t="shared" si="0"/>
        <v>North Carolina</v>
      </c>
      <c r="C13" s="27" t="str">
        <f t="shared" si="1"/>
        <v>Burke</v>
      </c>
      <c r="D13" s="2">
        <v>2257</v>
      </c>
      <c r="E13" s="2">
        <v>54</v>
      </c>
      <c r="F13" s="27">
        <v>12</v>
      </c>
      <c r="G13" s="27">
        <v>73</v>
      </c>
      <c r="H13" s="2">
        <v>92</v>
      </c>
      <c r="I13" s="2">
        <v>88</v>
      </c>
      <c r="J13" s="26">
        <f t="shared" si="2"/>
        <v>91.272727272727266</v>
      </c>
      <c r="K13" s="2">
        <v>3887</v>
      </c>
      <c r="L13" s="2">
        <v>9917.67</v>
      </c>
      <c r="M13" s="2">
        <v>1302.77</v>
      </c>
      <c r="N13" s="2">
        <f t="shared" si="3"/>
        <v>37.252456839309431</v>
      </c>
      <c r="O13" s="12">
        <v>37551.31</v>
      </c>
      <c r="P13" s="27">
        <v>46</v>
      </c>
      <c r="Q13" s="12">
        <v>2577.4699999999998</v>
      </c>
      <c r="R13" s="27">
        <v>1905</v>
      </c>
      <c r="S13" s="27" t="s">
        <v>523</v>
      </c>
      <c r="T13" s="27" t="s">
        <v>519</v>
      </c>
      <c r="U13" s="27" t="s">
        <v>520</v>
      </c>
      <c r="V13" s="27" t="s">
        <v>523</v>
      </c>
      <c r="W13" s="27" t="s">
        <v>520</v>
      </c>
      <c r="X13" s="27" t="s">
        <v>521</v>
      </c>
      <c r="Y13" s="27" t="s">
        <v>522</v>
      </c>
      <c r="Z13" s="27"/>
      <c r="AA13" s="4"/>
      <c r="AB13" s="4"/>
      <c r="AC13" s="4"/>
      <c r="AD13" s="4"/>
      <c r="AE13" s="4"/>
      <c r="AF13" s="4"/>
    </row>
    <row r="14" spans="1:32" x14ac:dyDescent="0.25">
      <c r="A14" s="27" t="s">
        <v>1144</v>
      </c>
      <c r="B14" s="27" t="str">
        <f t="shared" si="0"/>
        <v>North Carolina</v>
      </c>
      <c r="C14" s="27" t="str">
        <f t="shared" si="1"/>
        <v>Cabarrus</v>
      </c>
      <c r="D14" s="2">
        <v>3553</v>
      </c>
      <c r="E14" s="2">
        <v>82</v>
      </c>
      <c r="F14" s="27">
        <v>28</v>
      </c>
      <c r="G14" s="27">
        <v>105</v>
      </c>
      <c r="H14" s="2">
        <v>109</v>
      </c>
      <c r="I14" s="2">
        <v>97</v>
      </c>
      <c r="J14" s="26">
        <f t="shared" si="2"/>
        <v>105.94545454545455</v>
      </c>
      <c r="K14" s="2">
        <v>5525</v>
      </c>
      <c r="L14" s="2">
        <v>15649.73</v>
      </c>
      <c r="M14" s="2">
        <v>3273.72</v>
      </c>
      <c r="N14" s="2">
        <f t="shared" si="3"/>
        <v>32.475459069847261</v>
      </c>
      <c r="O14" s="12">
        <v>28930.77</v>
      </c>
      <c r="P14" s="27">
        <v>45</v>
      </c>
      <c r="Q14" s="12">
        <v>4255.22</v>
      </c>
      <c r="R14" s="27">
        <v>1905</v>
      </c>
      <c r="S14" s="27" t="s">
        <v>518</v>
      </c>
      <c r="T14" s="27" t="s">
        <v>519</v>
      </c>
      <c r="U14" s="27" t="s">
        <v>520</v>
      </c>
      <c r="V14" s="27" t="s">
        <v>518</v>
      </c>
      <c r="W14" s="27" t="s">
        <v>520</v>
      </c>
      <c r="X14" s="27" t="s">
        <v>521</v>
      </c>
      <c r="Y14" s="27" t="s">
        <v>522</v>
      </c>
      <c r="Z14" s="27"/>
      <c r="AA14" s="4"/>
      <c r="AB14" s="4"/>
      <c r="AC14" s="4"/>
      <c r="AD14" s="4"/>
      <c r="AE14" s="4"/>
      <c r="AF14" s="4"/>
    </row>
    <row r="15" spans="1:32" x14ac:dyDescent="0.25">
      <c r="A15" s="27" t="s">
        <v>1145</v>
      </c>
      <c r="B15" s="27" t="str">
        <f t="shared" si="0"/>
        <v>North Carolina</v>
      </c>
      <c r="C15" s="27" t="str">
        <f t="shared" si="1"/>
        <v>Caldwell</v>
      </c>
      <c r="D15" s="2">
        <v>2403</v>
      </c>
      <c r="E15" s="2">
        <v>84</v>
      </c>
      <c r="F15" s="27">
        <v>14</v>
      </c>
      <c r="G15" s="27">
        <v>102</v>
      </c>
      <c r="H15" s="2">
        <v>94</v>
      </c>
      <c r="I15" s="2">
        <v>107</v>
      </c>
      <c r="J15" s="26">
        <f t="shared" si="2"/>
        <v>95.857142857142861</v>
      </c>
      <c r="K15" s="2">
        <v>4147</v>
      </c>
      <c r="L15" s="2">
        <v>10594.4</v>
      </c>
      <c r="M15" s="2">
        <v>1447.02</v>
      </c>
      <c r="N15" s="2">
        <f t="shared" si="3"/>
        <v>25.636406216734088</v>
      </c>
      <c r="O15" s="12">
        <v>23351.45</v>
      </c>
      <c r="P15" s="27">
        <v>64</v>
      </c>
      <c r="Q15" s="12">
        <v>3770.26</v>
      </c>
      <c r="R15" s="27">
        <v>1905</v>
      </c>
      <c r="S15" s="27" t="s">
        <v>523</v>
      </c>
      <c r="T15" s="27" t="s">
        <v>519</v>
      </c>
      <c r="U15" s="27" t="s">
        <v>520</v>
      </c>
      <c r="V15" s="27" t="s">
        <v>523</v>
      </c>
      <c r="W15" s="27" t="s">
        <v>520</v>
      </c>
      <c r="X15" s="27" t="s">
        <v>521</v>
      </c>
      <c r="Y15" s="27" t="s">
        <v>522</v>
      </c>
      <c r="Z15" s="27"/>
      <c r="AA15" s="4"/>
      <c r="AB15" s="4"/>
      <c r="AC15" s="4"/>
      <c r="AD15" s="4"/>
      <c r="AE15" s="4"/>
      <c r="AF15" s="4"/>
    </row>
    <row r="16" spans="1:32" x14ac:dyDescent="0.25">
      <c r="A16" s="27" t="s">
        <v>1146</v>
      </c>
      <c r="B16" s="27" t="str">
        <f t="shared" si="0"/>
        <v>North Carolina</v>
      </c>
      <c r="C16" s="27" t="str">
        <f t="shared" si="1"/>
        <v>Camden</v>
      </c>
      <c r="D16" s="27">
        <v>640</v>
      </c>
      <c r="E16" s="2">
        <v>22</v>
      </c>
      <c r="F16" s="27">
        <v>12</v>
      </c>
      <c r="G16" s="27">
        <v>28</v>
      </c>
      <c r="H16" s="2">
        <v>85</v>
      </c>
      <c r="I16" s="2">
        <v>96</v>
      </c>
      <c r="J16" s="26">
        <f t="shared" si="2"/>
        <v>88.882352941176464</v>
      </c>
      <c r="K16" s="27">
        <v>1128</v>
      </c>
      <c r="L16" s="2">
        <v>3727.72</v>
      </c>
      <c r="M16" s="2">
        <v>1412.5</v>
      </c>
      <c r="N16" s="2">
        <f t="shared" si="3"/>
        <v>34.018663136995364</v>
      </c>
      <c r="O16" s="12">
        <v>7687.46</v>
      </c>
      <c r="P16" s="27">
        <v>20</v>
      </c>
      <c r="Q16" s="12">
        <v>871.97</v>
      </c>
      <c r="R16" s="27">
        <v>1905</v>
      </c>
      <c r="S16" s="27" t="s">
        <v>518</v>
      </c>
      <c r="T16" s="27" t="s">
        <v>519</v>
      </c>
      <c r="U16" s="27" t="s">
        <v>520</v>
      </c>
      <c r="V16" s="27" t="s">
        <v>518</v>
      </c>
      <c r="W16" s="27" t="s">
        <v>520</v>
      </c>
      <c r="X16" s="27" t="s">
        <v>521</v>
      </c>
      <c r="Y16" s="27" t="s">
        <v>522</v>
      </c>
      <c r="Z16" s="27"/>
      <c r="AA16" s="4"/>
      <c r="AB16" s="4"/>
      <c r="AC16" s="4"/>
      <c r="AD16" s="4"/>
      <c r="AE16" s="4"/>
      <c r="AF16" s="4"/>
    </row>
    <row r="17" spans="1:32" x14ac:dyDescent="0.25">
      <c r="A17" s="27" t="s">
        <v>1147</v>
      </c>
      <c r="B17" s="27" t="str">
        <f t="shared" si="0"/>
        <v>North Carolina</v>
      </c>
      <c r="C17" s="27" t="str">
        <f t="shared" si="1"/>
        <v>Carteret</v>
      </c>
      <c r="D17" s="27">
        <v>1178</v>
      </c>
      <c r="E17" s="2">
        <v>32</v>
      </c>
      <c r="F17" s="27">
        <v>7</v>
      </c>
      <c r="G17" s="27">
        <v>38</v>
      </c>
      <c r="H17" s="2">
        <v>79</v>
      </c>
      <c r="I17" s="2">
        <v>79</v>
      </c>
      <c r="J17" s="26">
        <f t="shared" si="2"/>
        <v>79</v>
      </c>
      <c r="K17" s="2">
        <v>1936</v>
      </c>
      <c r="L17" s="2">
        <v>4502.67</v>
      </c>
      <c r="M17" s="2">
        <v>811</v>
      </c>
      <c r="N17" s="2">
        <f t="shared" si="3"/>
        <v>34.493151574164237</v>
      </c>
      <c r="O17" s="12">
        <v>8605.09</v>
      </c>
      <c r="P17" s="27">
        <v>31</v>
      </c>
      <c r="Q17" s="12">
        <v>2704.8</v>
      </c>
      <c r="R17" s="27">
        <v>1905</v>
      </c>
      <c r="S17" s="27" t="s">
        <v>523</v>
      </c>
      <c r="T17" s="27" t="s">
        <v>519</v>
      </c>
      <c r="U17" s="27" t="s">
        <v>520</v>
      </c>
      <c r="V17" s="27" t="s">
        <v>523</v>
      </c>
      <c r="W17" s="27" t="s">
        <v>520</v>
      </c>
      <c r="X17" s="27" t="s">
        <v>521</v>
      </c>
      <c r="Y17" s="27" t="s">
        <v>522</v>
      </c>
      <c r="Z17" s="27"/>
      <c r="AA17" s="4"/>
      <c r="AB17" s="4"/>
      <c r="AC17" s="4"/>
      <c r="AD17" s="4"/>
      <c r="AE17" s="4"/>
      <c r="AF17" s="4"/>
    </row>
    <row r="18" spans="1:32" x14ac:dyDescent="0.25">
      <c r="A18" s="27" t="s">
        <v>1148</v>
      </c>
      <c r="B18" s="27" t="str">
        <f t="shared" si="0"/>
        <v>North Carolina</v>
      </c>
      <c r="C18" s="27" t="str">
        <f t="shared" si="1"/>
        <v>Caswell</v>
      </c>
      <c r="D18" s="2">
        <v>2581</v>
      </c>
      <c r="E18" s="2">
        <v>44</v>
      </c>
      <c r="F18" s="27">
        <v>38</v>
      </c>
      <c r="G18" s="2">
        <v>77</v>
      </c>
      <c r="H18" s="2">
        <v>72</v>
      </c>
      <c r="I18" s="2">
        <v>66</v>
      </c>
      <c r="J18" s="26">
        <f t="shared" si="2"/>
        <v>69.219512195121951</v>
      </c>
      <c r="K18" s="2">
        <v>3932</v>
      </c>
      <c r="L18" s="2">
        <v>5492.3</v>
      </c>
      <c r="M18" s="2">
        <v>2998.13</v>
      </c>
      <c r="N18" s="2">
        <f t="shared" si="3"/>
        <v>29.916948555320651</v>
      </c>
      <c r="O18" s="12">
        <v>11759.26</v>
      </c>
      <c r="P18" s="27">
        <v>43</v>
      </c>
      <c r="Q18" s="12">
        <v>1327.05</v>
      </c>
      <c r="R18" s="27">
        <v>1905</v>
      </c>
      <c r="S18" s="27" t="s">
        <v>518</v>
      </c>
      <c r="T18" s="27" t="s">
        <v>519</v>
      </c>
      <c r="U18" s="27" t="s">
        <v>520</v>
      </c>
      <c r="V18" s="27" t="s">
        <v>518</v>
      </c>
      <c r="W18" s="27" t="s">
        <v>520</v>
      </c>
      <c r="X18" s="27" t="s">
        <v>521</v>
      </c>
      <c r="Y18" s="27" t="s">
        <v>522</v>
      </c>
      <c r="Z18" s="27"/>
      <c r="AA18" s="4"/>
      <c r="AB18" s="4"/>
      <c r="AC18" s="4"/>
      <c r="AD18" s="4"/>
      <c r="AE18" s="4"/>
      <c r="AF18" s="4"/>
    </row>
    <row r="19" spans="1:32" x14ac:dyDescent="0.25">
      <c r="A19" s="27" t="s">
        <v>1149</v>
      </c>
      <c r="B19" s="27" t="str">
        <f t="shared" si="0"/>
        <v>North Carolina</v>
      </c>
      <c r="C19" s="27" t="str">
        <f t="shared" si="1"/>
        <v>Catawba</v>
      </c>
      <c r="D19" s="2">
        <v>3643</v>
      </c>
      <c r="E19" s="2">
        <v>111</v>
      </c>
      <c r="F19" s="27">
        <v>21</v>
      </c>
      <c r="G19" s="27">
        <v>114</v>
      </c>
      <c r="H19" s="2">
        <v>91</v>
      </c>
      <c r="I19" s="2">
        <v>90</v>
      </c>
      <c r="J19" s="26">
        <f t="shared" si="2"/>
        <v>90.840909090909093</v>
      </c>
      <c r="K19" s="2">
        <v>5621</v>
      </c>
      <c r="L19" s="2">
        <v>14053</v>
      </c>
      <c r="M19" s="2">
        <v>2165.08</v>
      </c>
      <c r="N19" s="2">
        <f t="shared" si="3"/>
        <v>27.05042114919523</v>
      </c>
      <c r="O19" s="12">
        <v>26636.799999999999</v>
      </c>
      <c r="P19" s="27">
        <v>79</v>
      </c>
      <c r="Q19" s="12">
        <v>6170.65</v>
      </c>
      <c r="R19" s="27">
        <v>1905</v>
      </c>
      <c r="S19" s="27" t="s">
        <v>523</v>
      </c>
      <c r="T19" s="27" t="s">
        <v>519</v>
      </c>
      <c r="U19" s="27" t="s">
        <v>520</v>
      </c>
      <c r="V19" s="27" t="s">
        <v>523</v>
      </c>
      <c r="W19" s="27" t="s">
        <v>520</v>
      </c>
      <c r="X19" s="27" t="s">
        <v>521</v>
      </c>
      <c r="Y19" s="27" t="s">
        <v>522</v>
      </c>
      <c r="Z19" s="27"/>
      <c r="AA19" s="4"/>
      <c r="AB19" s="4"/>
      <c r="AC19" s="4"/>
      <c r="AD19" s="4"/>
      <c r="AE19" s="4"/>
      <c r="AF19" s="4"/>
    </row>
    <row r="20" spans="1:32" x14ac:dyDescent="0.25">
      <c r="A20" s="27" t="s">
        <v>1150</v>
      </c>
      <c r="B20" s="27" t="str">
        <f t="shared" si="0"/>
        <v>North Carolina</v>
      </c>
      <c r="C20" s="27" t="str">
        <f t="shared" si="1"/>
        <v>Chatham</v>
      </c>
      <c r="D20" s="2">
        <v>3658</v>
      </c>
      <c r="E20" s="2">
        <v>9</v>
      </c>
      <c r="F20" s="27">
        <v>38</v>
      </c>
      <c r="G20" s="2">
        <v>130</v>
      </c>
      <c r="H20" s="2">
        <v>75</v>
      </c>
      <c r="I20" s="2">
        <v>78</v>
      </c>
      <c r="J20" s="26">
        <f t="shared" si="2"/>
        <v>77.425531914893611</v>
      </c>
      <c r="K20" s="2">
        <v>5674</v>
      </c>
      <c r="L20" s="2">
        <v>8726.58</v>
      </c>
      <c r="M20" s="2">
        <v>3265.21</v>
      </c>
      <c r="N20" s="2">
        <f t="shared" si="3"/>
        <v>65.907062379774672</v>
      </c>
      <c r="O20" s="12">
        <v>21637.68</v>
      </c>
      <c r="P20" s="27">
        <v>79</v>
      </c>
      <c r="Q20" s="12">
        <v>1446.2</v>
      </c>
      <c r="R20" s="27">
        <v>1905</v>
      </c>
      <c r="S20" s="27" t="s">
        <v>518</v>
      </c>
      <c r="T20" s="27" t="s">
        <v>519</v>
      </c>
      <c r="U20" s="27" t="s">
        <v>520</v>
      </c>
      <c r="V20" s="27" t="s">
        <v>518</v>
      </c>
      <c r="W20" s="27" t="s">
        <v>520</v>
      </c>
      <c r="X20" s="27" t="s">
        <v>521</v>
      </c>
      <c r="Y20" s="27" t="s">
        <v>522</v>
      </c>
      <c r="Z20" s="27"/>
      <c r="AA20" s="4"/>
      <c r="AB20" s="4"/>
      <c r="AC20" s="4"/>
      <c r="AD20" s="4"/>
      <c r="AE20" s="4"/>
      <c r="AF20" s="4"/>
    </row>
    <row r="21" spans="1:32" x14ac:dyDescent="0.25">
      <c r="A21" s="27" t="s">
        <v>1151</v>
      </c>
      <c r="B21" s="27" t="str">
        <f t="shared" si="0"/>
        <v>North Carolina</v>
      </c>
      <c r="C21" s="27" t="str">
        <f t="shared" si="1"/>
        <v>Cherokee</v>
      </c>
      <c r="D21" s="2">
        <v>1812</v>
      </c>
      <c r="E21" s="2">
        <v>62</v>
      </c>
      <c r="F21" s="27">
        <v>4</v>
      </c>
      <c r="G21" s="27">
        <v>54</v>
      </c>
      <c r="H21" s="2">
        <v>84</v>
      </c>
      <c r="I21" s="2">
        <v>80</v>
      </c>
      <c r="J21" s="26">
        <f t="shared" si="2"/>
        <v>83.757575757575751</v>
      </c>
      <c r="K21" s="2">
        <v>3272</v>
      </c>
      <c r="L21" s="2">
        <v>8055.43</v>
      </c>
      <c r="M21" s="2">
        <v>180</v>
      </c>
      <c r="N21" s="2">
        <f t="shared" si="3"/>
        <v>29.795332850940667</v>
      </c>
      <c r="O21" s="12">
        <v>11883.72</v>
      </c>
      <c r="P21" s="27">
        <v>42</v>
      </c>
      <c r="Q21" s="12">
        <v>1643.2</v>
      </c>
      <c r="R21" s="27">
        <v>1905</v>
      </c>
      <c r="S21" s="27" t="s">
        <v>523</v>
      </c>
      <c r="T21" s="27" t="s">
        <v>519</v>
      </c>
      <c r="U21" s="27" t="s">
        <v>520</v>
      </c>
      <c r="V21" s="27" t="s">
        <v>523</v>
      </c>
      <c r="W21" s="27" t="s">
        <v>520</v>
      </c>
      <c r="X21" s="27" t="s">
        <v>521</v>
      </c>
      <c r="Y21" s="27" t="s">
        <v>522</v>
      </c>
      <c r="Z21" s="27"/>
      <c r="AA21" s="4"/>
      <c r="AB21" s="4"/>
      <c r="AC21" s="4"/>
      <c r="AD21" s="4"/>
      <c r="AE21" s="4"/>
      <c r="AF21" s="4"/>
    </row>
    <row r="22" spans="1:32" x14ac:dyDescent="0.25">
      <c r="A22" s="27" t="s">
        <v>1152</v>
      </c>
      <c r="B22" s="27" t="str">
        <f t="shared" si="0"/>
        <v>North Carolina</v>
      </c>
      <c r="C22" s="27" t="str">
        <f t="shared" si="1"/>
        <v>Chowan</v>
      </c>
      <c r="D22" s="27">
        <v>1338</v>
      </c>
      <c r="E22" s="2">
        <v>27</v>
      </c>
      <c r="F22" s="27">
        <v>21</v>
      </c>
      <c r="G22" s="2">
        <v>48</v>
      </c>
      <c r="H22" s="2">
        <v>153</v>
      </c>
      <c r="I22" s="2">
        <v>93</v>
      </c>
      <c r="J22" s="26">
        <f t="shared" si="2"/>
        <v>126.75</v>
      </c>
      <c r="K22" s="2">
        <v>2490</v>
      </c>
      <c r="L22" s="2">
        <v>5052.88</v>
      </c>
      <c r="M22" s="2">
        <v>2323.5</v>
      </c>
      <c r="N22" s="2">
        <f t="shared" si="3"/>
        <v>24.248454963839581</v>
      </c>
      <c r="O22" s="12">
        <v>13511.33</v>
      </c>
      <c r="P22" s="27">
        <v>20</v>
      </c>
      <c r="Q22" s="12">
        <v>3159.99</v>
      </c>
      <c r="R22" s="27">
        <v>1905</v>
      </c>
      <c r="S22" s="27" t="s">
        <v>518</v>
      </c>
      <c r="T22" s="27" t="s">
        <v>519</v>
      </c>
      <c r="U22" s="27" t="s">
        <v>520</v>
      </c>
      <c r="V22" s="27" t="s">
        <v>518</v>
      </c>
      <c r="W22" s="27" t="s">
        <v>520</v>
      </c>
      <c r="X22" s="27" t="s">
        <v>521</v>
      </c>
      <c r="Y22" s="27" t="s">
        <v>522</v>
      </c>
      <c r="Z22" s="27"/>
      <c r="AA22" s="4"/>
      <c r="AB22" s="4"/>
      <c r="AC22" s="4"/>
      <c r="AD22" s="4"/>
      <c r="AE22" s="4"/>
      <c r="AF22" s="4"/>
    </row>
    <row r="23" spans="1:32" x14ac:dyDescent="0.25">
      <c r="A23" s="27" t="s">
        <v>1153</v>
      </c>
      <c r="B23" s="27" t="str">
        <f t="shared" si="0"/>
        <v>North Carolina</v>
      </c>
      <c r="C23" s="27" t="str">
        <f t="shared" si="1"/>
        <v>Clay</v>
      </c>
      <c r="D23" s="27">
        <v>601</v>
      </c>
      <c r="E23" s="2">
        <v>20</v>
      </c>
      <c r="F23" s="27">
        <v>1</v>
      </c>
      <c r="G23" s="27">
        <v>23</v>
      </c>
      <c r="H23" s="2">
        <v>67</v>
      </c>
      <c r="I23" s="2">
        <v>69</v>
      </c>
      <c r="J23" s="26">
        <f t="shared" si="2"/>
        <v>67.095238095238102</v>
      </c>
      <c r="K23" s="2">
        <v>1150</v>
      </c>
      <c r="L23" s="2">
        <v>1681.71</v>
      </c>
      <c r="M23" s="2">
        <v>69</v>
      </c>
      <c r="N23" s="2">
        <f t="shared" si="3"/>
        <v>24.850390347764368</v>
      </c>
      <c r="O23" s="12">
        <v>2181.08</v>
      </c>
      <c r="P23" s="27">
        <v>1</v>
      </c>
      <c r="Q23" s="12">
        <v>52.5</v>
      </c>
      <c r="R23" s="27">
        <v>1905</v>
      </c>
      <c r="S23" s="27" t="s">
        <v>523</v>
      </c>
      <c r="T23" s="27" t="s">
        <v>519</v>
      </c>
      <c r="U23" s="27" t="s">
        <v>520</v>
      </c>
      <c r="V23" s="27" t="s">
        <v>523</v>
      </c>
      <c r="W23" s="27" t="s">
        <v>520</v>
      </c>
      <c r="X23" s="27" t="s">
        <v>521</v>
      </c>
      <c r="Y23" s="27" t="s">
        <v>522</v>
      </c>
      <c r="Z23" s="27"/>
      <c r="AA23" s="4"/>
      <c r="AB23" s="4"/>
      <c r="AC23" s="4"/>
      <c r="AD23" s="4"/>
      <c r="AE23" s="4"/>
      <c r="AF23" s="4"/>
    </row>
    <row r="24" spans="1:32" x14ac:dyDescent="0.25">
      <c r="A24" s="27" t="s">
        <v>1154</v>
      </c>
      <c r="B24" s="27" t="str">
        <f t="shared" si="0"/>
        <v>North Carolina</v>
      </c>
      <c r="C24" s="27" t="str">
        <f t="shared" si="1"/>
        <v>Cleveland</v>
      </c>
      <c r="D24" s="2">
        <v>4413</v>
      </c>
      <c r="E24" s="2">
        <v>130</v>
      </c>
      <c r="F24" s="2">
        <v>26</v>
      </c>
      <c r="G24" s="2">
        <v>191</v>
      </c>
      <c r="H24" s="2">
        <v>76</v>
      </c>
      <c r="I24" s="2">
        <v>82</v>
      </c>
      <c r="J24" s="26">
        <f t="shared" si="2"/>
        <v>77</v>
      </c>
      <c r="K24" s="2">
        <v>6100</v>
      </c>
      <c r="L24" s="2">
        <v>13348.43</v>
      </c>
      <c r="M24" s="2">
        <v>2023.88</v>
      </c>
      <c r="N24" s="2">
        <f t="shared" si="3"/>
        <v>25.594921744921745</v>
      </c>
      <c r="O24" s="12">
        <v>24224.16</v>
      </c>
      <c r="P24" s="27">
        <v>18</v>
      </c>
      <c r="Q24" s="12">
        <v>8602.36</v>
      </c>
      <c r="R24" s="27">
        <v>1905</v>
      </c>
      <c r="S24" s="27" t="s">
        <v>518</v>
      </c>
      <c r="T24" s="27" t="s">
        <v>519</v>
      </c>
      <c r="U24" s="27" t="s">
        <v>520</v>
      </c>
      <c r="V24" s="27" t="s">
        <v>518</v>
      </c>
      <c r="W24" s="27" t="s">
        <v>520</v>
      </c>
      <c r="X24" s="27" t="s">
        <v>521</v>
      </c>
      <c r="Y24" s="27" t="s">
        <v>522</v>
      </c>
      <c r="Z24" s="27"/>
      <c r="AA24" s="4"/>
      <c r="AB24" s="4"/>
      <c r="AC24" s="4"/>
      <c r="AD24" s="4"/>
      <c r="AE24" s="4"/>
      <c r="AF24" s="4"/>
    </row>
    <row r="25" spans="1:32" x14ac:dyDescent="0.25">
      <c r="A25" s="27" t="s">
        <v>1155</v>
      </c>
      <c r="B25" s="27" t="str">
        <f t="shared" si="0"/>
        <v>North Carolina</v>
      </c>
      <c r="C25" s="27" t="str">
        <f t="shared" si="1"/>
        <v>Columbus</v>
      </c>
      <c r="D25" s="2">
        <v>3555</v>
      </c>
      <c r="E25" s="2">
        <v>97</v>
      </c>
      <c r="F25" s="2">
        <v>36</v>
      </c>
      <c r="G25" s="2">
        <v>126</v>
      </c>
      <c r="H25" s="2">
        <v>80</v>
      </c>
      <c r="I25" s="2">
        <v>70</v>
      </c>
      <c r="J25" s="26">
        <f t="shared" si="2"/>
        <v>77.293233082706763</v>
      </c>
      <c r="K25" s="2">
        <v>6104</v>
      </c>
      <c r="L25" s="2">
        <v>11119.11</v>
      </c>
      <c r="M25" s="2">
        <v>3192.25</v>
      </c>
      <c r="N25" s="2">
        <f t="shared" si="3"/>
        <v>27.843112840466929</v>
      </c>
      <c r="O25" s="12">
        <v>19228.32</v>
      </c>
      <c r="P25" s="27">
        <v>1</v>
      </c>
      <c r="Q25" s="12">
        <v>1983.65</v>
      </c>
      <c r="R25" s="27">
        <v>1905</v>
      </c>
      <c r="S25" s="27" t="s">
        <v>523</v>
      </c>
      <c r="T25" s="27" t="s">
        <v>519</v>
      </c>
      <c r="U25" s="27" t="s">
        <v>520</v>
      </c>
      <c r="V25" s="27" t="s">
        <v>523</v>
      </c>
      <c r="W25" s="27" t="s">
        <v>520</v>
      </c>
      <c r="X25" s="27" t="s">
        <v>521</v>
      </c>
      <c r="Y25" s="27" t="s">
        <v>522</v>
      </c>
      <c r="Z25" s="27"/>
      <c r="AA25" s="4"/>
      <c r="AB25" s="4"/>
      <c r="AC25" s="4"/>
      <c r="AD25" s="4"/>
      <c r="AE25" s="4"/>
      <c r="AF25" s="4"/>
    </row>
    <row r="26" spans="1:32" x14ac:dyDescent="0.25">
      <c r="A26" s="27" t="s">
        <v>1156</v>
      </c>
      <c r="B26" s="27" t="str">
        <f t="shared" si="0"/>
        <v>North Carolina</v>
      </c>
      <c r="C26" s="27" t="str">
        <f t="shared" si="1"/>
        <v>Craven</v>
      </c>
      <c r="D26" s="2">
        <v>2608</v>
      </c>
      <c r="E26" s="2">
        <v>63</v>
      </c>
      <c r="F26" s="2">
        <v>43</v>
      </c>
      <c r="G26" s="2">
        <v>107</v>
      </c>
      <c r="H26" s="2">
        <v>105</v>
      </c>
      <c r="I26" s="2">
        <v>93</v>
      </c>
      <c r="J26" s="26">
        <f t="shared" si="2"/>
        <v>100.13207547169812</v>
      </c>
      <c r="K26" s="2">
        <v>4559</v>
      </c>
      <c r="L26" s="2">
        <v>11312.09</v>
      </c>
      <c r="M26" s="2">
        <v>5273.5</v>
      </c>
      <c r="N26" s="2">
        <f t="shared" si="3"/>
        <v>31.252289429055963</v>
      </c>
      <c r="O26" s="12">
        <v>22247.23</v>
      </c>
      <c r="P26" s="27">
        <v>90</v>
      </c>
      <c r="Q26" s="12">
        <v>12092.94</v>
      </c>
      <c r="R26" s="27">
        <v>1905</v>
      </c>
      <c r="S26" s="27" t="s">
        <v>518</v>
      </c>
      <c r="T26" s="27" t="s">
        <v>519</v>
      </c>
      <c r="U26" s="27" t="s">
        <v>520</v>
      </c>
      <c r="V26" s="27" t="s">
        <v>518</v>
      </c>
      <c r="W26" s="27" t="s">
        <v>520</v>
      </c>
      <c r="X26" s="27" t="s">
        <v>521</v>
      </c>
      <c r="Y26" s="27" t="s">
        <v>522</v>
      </c>
      <c r="Z26" s="27"/>
      <c r="AA26" s="4"/>
      <c r="AB26" s="4"/>
      <c r="AC26" s="4"/>
      <c r="AD26" s="4"/>
      <c r="AE26" s="4"/>
      <c r="AF26" s="4"/>
    </row>
    <row r="27" spans="1:32" x14ac:dyDescent="0.25">
      <c r="A27" s="27" t="s">
        <v>1157</v>
      </c>
      <c r="B27" s="27" t="str">
        <f t="shared" si="0"/>
        <v>North Carolina</v>
      </c>
      <c r="C27" s="27" t="str">
        <f t="shared" si="1"/>
        <v>Cumberland</v>
      </c>
      <c r="D27" s="2">
        <v>5330</v>
      </c>
      <c r="E27" s="2">
        <v>112</v>
      </c>
      <c r="F27" s="2">
        <v>63</v>
      </c>
      <c r="G27" s="2">
        <v>169</v>
      </c>
      <c r="H27" s="2">
        <v>94</v>
      </c>
      <c r="I27" s="2">
        <v>82</v>
      </c>
      <c r="J27" s="26">
        <f t="shared" si="2"/>
        <v>89.68</v>
      </c>
      <c r="K27" s="2">
        <v>8190</v>
      </c>
      <c r="L27" s="2">
        <v>16639.14</v>
      </c>
      <c r="M27" s="2">
        <v>5053</v>
      </c>
      <c r="N27" s="2">
        <f t="shared" si="3"/>
        <v>27.643863897030712</v>
      </c>
      <c r="O27" s="12">
        <v>34944.36</v>
      </c>
      <c r="P27" s="27">
        <v>75</v>
      </c>
      <c r="Q27" s="12">
        <v>7432.81</v>
      </c>
      <c r="R27" s="27">
        <v>1905</v>
      </c>
      <c r="S27" s="27" t="s">
        <v>523</v>
      </c>
      <c r="T27" s="27" t="s">
        <v>519</v>
      </c>
      <c r="U27" s="27" t="s">
        <v>520</v>
      </c>
      <c r="V27" s="27" t="s">
        <v>523</v>
      </c>
      <c r="W27" s="27" t="s">
        <v>520</v>
      </c>
      <c r="X27" s="27" t="s">
        <v>521</v>
      </c>
      <c r="Y27" s="27" t="s">
        <v>522</v>
      </c>
      <c r="Z27" s="27"/>
      <c r="AA27" s="4"/>
      <c r="AB27" s="4"/>
      <c r="AC27" s="4"/>
      <c r="AD27" s="4"/>
      <c r="AE27" s="4"/>
      <c r="AF27" s="4"/>
    </row>
    <row r="28" spans="1:32" x14ac:dyDescent="0.25">
      <c r="A28" s="27" t="s">
        <v>1158</v>
      </c>
      <c r="B28" s="27" t="str">
        <f t="shared" si="0"/>
        <v>North Carolina</v>
      </c>
      <c r="C28" s="27" t="str">
        <f t="shared" si="1"/>
        <v>Currituck</v>
      </c>
      <c r="D28" s="2">
        <v>1647</v>
      </c>
      <c r="E28" s="2">
        <v>39</v>
      </c>
      <c r="F28" s="2">
        <v>12</v>
      </c>
      <c r="G28" s="2">
        <v>46</v>
      </c>
      <c r="H28" s="2">
        <v>87</v>
      </c>
      <c r="I28" s="2">
        <v>80</v>
      </c>
      <c r="J28" s="26">
        <f t="shared" si="2"/>
        <v>85.352941176470594</v>
      </c>
      <c r="K28" s="2">
        <v>1841</v>
      </c>
      <c r="L28" s="2">
        <v>3735.09</v>
      </c>
      <c r="M28" s="2">
        <v>988</v>
      </c>
      <c r="N28" s="2">
        <f t="shared" si="3"/>
        <v>21.700390535263036</v>
      </c>
      <c r="O28" s="12">
        <v>6811.69</v>
      </c>
      <c r="P28" s="27">
        <v>36</v>
      </c>
      <c r="Q28" s="12">
        <v>1471.72</v>
      </c>
      <c r="R28" s="27">
        <v>1905</v>
      </c>
      <c r="S28" s="27" t="s">
        <v>518</v>
      </c>
      <c r="T28" s="27" t="s">
        <v>519</v>
      </c>
      <c r="U28" s="27" t="s">
        <v>520</v>
      </c>
      <c r="V28" s="27" t="s">
        <v>518</v>
      </c>
      <c r="W28" s="27" t="s">
        <v>520</v>
      </c>
      <c r="X28" s="27" t="s">
        <v>521</v>
      </c>
      <c r="Y28" s="27" t="s">
        <v>522</v>
      </c>
      <c r="Z28" s="27"/>
      <c r="AA28" s="4"/>
      <c r="AB28" s="4"/>
      <c r="AC28" s="4"/>
      <c r="AD28" s="4"/>
      <c r="AE28" s="4"/>
      <c r="AF28" s="4"/>
    </row>
    <row r="29" spans="1:32" x14ac:dyDescent="0.25">
      <c r="A29" s="27" t="s">
        <v>1159</v>
      </c>
      <c r="B29" s="27" t="str">
        <f t="shared" si="0"/>
        <v>North Carolina</v>
      </c>
      <c r="C29" s="27" t="str">
        <f t="shared" si="1"/>
        <v>Dare</v>
      </c>
      <c r="D29" s="27">
        <v>904</v>
      </c>
      <c r="E29" s="2">
        <v>33</v>
      </c>
      <c r="F29" s="2">
        <v>3</v>
      </c>
      <c r="G29" s="2">
        <v>28</v>
      </c>
      <c r="H29" s="2">
        <v>95</v>
      </c>
      <c r="I29" s="2">
        <v>100</v>
      </c>
      <c r="J29" s="26">
        <f t="shared" si="2"/>
        <v>95.416666666666671</v>
      </c>
      <c r="K29" s="2">
        <v>1271</v>
      </c>
      <c r="L29" s="2">
        <v>4272.1000000000004</v>
      </c>
      <c r="M29" s="2">
        <v>439.99</v>
      </c>
      <c r="N29" s="2">
        <f t="shared" si="3"/>
        <v>27.435749636098976</v>
      </c>
      <c r="O29" s="12">
        <v>5759.59</v>
      </c>
      <c r="P29" s="27">
        <v>18</v>
      </c>
      <c r="Q29" s="12">
        <v>911.42</v>
      </c>
      <c r="R29" s="27">
        <v>1905</v>
      </c>
      <c r="S29" s="27" t="s">
        <v>523</v>
      </c>
      <c r="T29" s="27" t="s">
        <v>519</v>
      </c>
      <c r="U29" s="27" t="s">
        <v>520</v>
      </c>
      <c r="V29" s="27" t="s">
        <v>523</v>
      </c>
      <c r="W29" s="27" t="s">
        <v>520</v>
      </c>
      <c r="X29" s="27" t="s">
        <v>521</v>
      </c>
      <c r="Y29" s="27" t="s">
        <v>522</v>
      </c>
      <c r="Z29" s="27"/>
      <c r="AA29" s="4"/>
      <c r="AB29" s="4"/>
      <c r="AC29" s="4"/>
      <c r="AD29" s="4"/>
      <c r="AE29" s="4"/>
      <c r="AF29" s="4"/>
    </row>
    <row r="30" spans="1:32" x14ac:dyDescent="0.25">
      <c r="A30" s="27" t="s">
        <v>1160</v>
      </c>
      <c r="B30" s="27" t="str">
        <f t="shared" si="0"/>
        <v>North Carolina</v>
      </c>
      <c r="C30" s="27" t="str">
        <f t="shared" si="1"/>
        <v>Davidson</v>
      </c>
      <c r="D30" s="2">
        <v>4058</v>
      </c>
      <c r="E30" s="2">
        <v>115</v>
      </c>
      <c r="F30" s="2">
        <v>22</v>
      </c>
      <c r="G30" s="2">
        <v>133</v>
      </c>
      <c r="H30" s="2">
        <v>83</v>
      </c>
      <c r="I30" s="2">
        <v>90</v>
      </c>
      <c r="J30" s="26">
        <f t="shared" si="2"/>
        <v>84.12408759124088</v>
      </c>
      <c r="K30" s="2">
        <v>6603</v>
      </c>
      <c r="L30" s="2">
        <v>13991.91</v>
      </c>
      <c r="M30" s="2">
        <v>2164.9899999999998</v>
      </c>
      <c r="N30" s="2">
        <f t="shared" si="3"/>
        <v>28.038004338394796</v>
      </c>
      <c r="O30" s="12">
        <v>37270</v>
      </c>
      <c r="P30" s="27">
        <v>85</v>
      </c>
      <c r="Q30" s="12">
        <v>3668.84</v>
      </c>
      <c r="R30" s="27">
        <v>1905</v>
      </c>
      <c r="S30" s="27" t="s">
        <v>518</v>
      </c>
      <c r="T30" s="27" t="s">
        <v>519</v>
      </c>
      <c r="U30" s="27" t="s">
        <v>520</v>
      </c>
      <c r="V30" s="27" t="s">
        <v>518</v>
      </c>
      <c r="W30" s="27" t="s">
        <v>520</v>
      </c>
      <c r="X30" s="27" t="s">
        <v>521</v>
      </c>
      <c r="Y30" s="27" t="s">
        <v>522</v>
      </c>
      <c r="Z30" s="27"/>
      <c r="AA30" s="4"/>
      <c r="AB30" s="4"/>
      <c r="AC30" s="4"/>
      <c r="AD30" s="4"/>
      <c r="AE30" s="4"/>
      <c r="AF30" s="4"/>
    </row>
    <row r="31" spans="1:32" x14ac:dyDescent="0.25">
      <c r="A31" s="27" t="s">
        <v>1161</v>
      </c>
      <c r="B31" s="27" t="str">
        <f t="shared" si="0"/>
        <v>North Carolina</v>
      </c>
      <c r="C31" s="27" t="str">
        <f t="shared" si="1"/>
        <v>Davie</v>
      </c>
      <c r="D31" s="2">
        <v>1594</v>
      </c>
      <c r="E31" s="2">
        <v>50</v>
      </c>
      <c r="F31" s="2">
        <v>15</v>
      </c>
      <c r="G31" s="2">
        <v>68</v>
      </c>
      <c r="H31" s="2">
        <v>83</v>
      </c>
      <c r="I31" s="2">
        <v>77</v>
      </c>
      <c r="J31" s="26">
        <f t="shared" si="2"/>
        <v>81.615384615384613</v>
      </c>
      <c r="K31" s="2">
        <v>3161</v>
      </c>
      <c r="L31" s="2">
        <v>5955.94</v>
      </c>
      <c r="M31" s="2">
        <v>1295.0899999999999</v>
      </c>
      <c r="N31" s="2">
        <f t="shared" si="3"/>
        <v>27.336588124410934</v>
      </c>
      <c r="O31" s="12">
        <v>8798.08</v>
      </c>
      <c r="P31" s="27">
        <v>39</v>
      </c>
      <c r="Q31" s="12">
        <v>652.54</v>
      </c>
      <c r="R31" s="27">
        <v>1905</v>
      </c>
      <c r="S31" s="27" t="s">
        <v>523</v>
      </c>
      <c r="T31" s="27" t="s">
        <v>519</v>
      </c>
      <c r="U31" s="27" t="s">
        <v>520</v>
      </c>
      <c r="V31" s="27" t="s">
        <v>523</v>
      </c>
      <c r="W31" s="27" t="s">
        <v>520</v>
      </c>
      <c r="X31" s="27" t="s">
        <v>521</v>
      </c>
      <c r="Y31" s="27" t="s">
        <v>522</v>
      </c>
      <c r="Z31" s="27"/>
      <c r="AA31" s="4"/>
      <c r="AB31" s="4"/>
      <c r="AC31" s="4"/>
      <c r="AD31" s="4"/>
      <c r="AE31" s="4"/>
      <c r="AF31" s="4"/>
    </row>
    <row r="32" spans="1:32" x14ac:dyDescent="0.25">
      <c r="A32" s="27" t="s">
        <v>1162</v>
      </c>
      <c r="B32" s="27" t="str">
        <f t="shared" si="0"/>
        <v>North Carolina</v>
      </c>
      <c r="C32" s="27" t="str">
        <f t="shared" si="1"/>
        <v>Duplin</v>
      </c>
      <c r="D32" s="2">
        <v>2830</v>
      </c>
      <c r="E32" s="2">
        <v>80</v>
      </c>
      <c r="F32" s="2">
        <v>42</v>
      </c>
      <c r="G32" s="2">
        <v>120</v>
      </c>
      <c r="H32" s="2">
        <v>80</v>
      </c>
      <c r="I32" s="2">
        <v>80</v>
      </c>
      <c r="J32" s="26">
        <f t="shared" si="2"/>
        <v>80</v>
      </c>
      <c r="K32" s="2">
        <v>4642</v>
      </c>
      <c r="L32" s="2">
        <v>9561.6</v>
      </c>
      <c r="M32" s="2">
        <v>3329.55</v>
      </c>
      <c r="N32" s="2">
        <f t="shared" si="3"/>
        <v>26.416290983606562</v>
      </c>
      <c r="O32" s="12">
        <v>17919.5</v>
      </c>
      <c r="P32" s="27">
        <v>73</v>
      </c>
      <c r="Q32" s="12">
        <v>3281.05</v>
      </c>
      <c r="R32" s="27">
        <v>1905</v>
      </c>
      <c r="S32" s="27" t="s">
        <v>518</v>
      </c>
      <c r="T32" s="27" t="s">
        <v>519</v>
      </c>
      <c r="U32" s="27" t="s">
        <v>520</v>
      </c>
      <c r="V32" s="27" t="s">
        <v>518</v>
      </c>
      <c r="W32" s="27" t="s">
        <v>520</v>
      </c>
      <c r="X32" s="27" t="s">
        <v>521</v>
      </c>
      <c r="Y32" s="27" t="s">
        <v>522</v>
      </c>
      <c r="Z32" s="27"/>
      <c r="AA32" s="4"/>
      <c r="AB32" s="4"/>
      <c r="AC32" s="4"/>
      <c r="AD32" s="4"/>
      <c r="AE32" s="4"/>
      <c r="AF32" s="4"/>
    </row>
    <row r="33" spans="1:32" x14ac:dyDescent="0.25">
      <c r="A33" s="27" t="s">
        <v>1163</v>
      </c>
      <c r="B33" s="27" t="str">
        <f t="shared" si="0"/>
        <v>North Carolina</v>
      </c>
      <c r="C33" s="27" t="str">
        <f t="shared" si="1"/>
        <v>Durham</v>
      </c>
      <c r="D33" s="2">
        <v>3448</v>
      </c>
      <c r="E33" s="2">
        <v>89</v>
      </c>
      <c r="F33" s="2">
        <v>37</v>
      </c>
      <c r="G33" s="2">
        <v>124</v>
      </c>
      <c r="H33" s="2">
        <v>169</v>
      </c>
      <c r="I33" s="2">
        <v>160</v>
      </c>
      <c r="J33" s="26">
        <f t="shared" si="2"/>
        <v>166.35714285714286</v>
      </c>
      <c r="K33" s="2">
        <v>5815</v>
      </c>
      <c r="L33" s="2">
        <v>34759.42</v>
      </c>
      <c r="M33" s="2">
        <v>8899.9</v>
      </c>
      <c r="N33" s="2">
        <f t="shared" si="3"/>
        <v>41.657669004341393</v>
      </c>
      <c r="O33" s="12">
        <v>110239.64</v>
      </c>
      <c r="P33" s="27">
        <v>31</v>
      </c>
      <c r="Q33" s="12">
        <v>5914.7</v>
      </c>
      <c r="R33" s="27">
        <v>1905</v>
      </c>
      <c r="S33" s="27" t="s">
        <v>523</v>
      </c>
      <c r="T33" s="27" t="s">
        <v>519</v>
      </c>
      <c r="U33" s="27" t="s">
        <v>520</v>
      </c>
      <c r="V33" s="27" t="s">
        <v>523</v>
      </c>
      <c r="W33" s="27" t="s">
        <v>520</v>
      </c>
      <c r="X33" s="27" t="s">
        <v>521</v>
      </c>
      <c r="Y33" s="27" t="s">
        <v>522</v>
      </c>
      <c r="Z33" s="27"/>
      <c r="AA33" s="4"/>
      <c r="AB33" s="4"/>
      <c r="AC33" s="4"/>
      <c r="AD33" s="4"/>
      <c r="AE33" s="4"/>
      <c r="AF33" s="4"/>
    </row>
    <row r="34" spans="1:32" x14ac:dyDescent="0.25">
      <c r="A34" s="27" t="s">
        <v>1164</v>
      </c>
      <c r="B34" s="27" t="str">
        <f t="shared" si="0"/>
        <v>North Carolina</v>
      </c>
      <c r="C34" s="27" t="str">
        <f t="shared" si="1"/>
        <v>Edgecombe</v>
      </c>
      <c r="D34" s="27">
        <v>2438</v>
      </c>
      <c r="E34" s="2">
        <v>47</v>
      </c>
      <c r="F34" s="2">
        <v>42</v>
      </c>
      <c r="G34" s="2">
        <v>93</v>
      </c>
      <c r="H34" s="2">
        <v>135</v>
      </c>
      <c r="I34" s="2">
        <v>103</v>
      </c>
      <c r="J34" s="26">
        <f t="shared" si="2"/>
        <v>119.89887640449439</v>
      </c>
      <c r="K34" s="2">
        <v>5289</v>
      </c>
      <c r="L34" s="2">
        <v>11703.9</v>
      </c>
      <c r="M34" s="2">
        <v>5755.24</v>
      </c>
      <c r="N34" s="2">
        <f t="shared" si="3"/>
        <v>32.722593946209351</v>
      </c>
      <c r="O34" s="12">
        <v>24903.75</v>
      </c>
      <c r="P34" s="27">
        <v>39</v>
      </c>
      <c r="Q34" s="12">
        <v>3778.16</v>
      </c>
      <c r="R34" s="27">
        <v>1905</v>
      </c>
      <c r="S34" s="27" t="s">
        <v>518</v>
      </c>
      <c r="T34" s="27" t="s">
        <v>519</v>
      </c>
      <c r="U34" s="27" t="s">
        <v>520</v>
      </c>
      <c r="V34" s="27" t="s">
        <v>518</v>
      </c>
      <c r="W34" s="27" t="s">
        <v>520</v>
      </c>
      <c r="X34" s="27" t="s">
        <v>521</v>
      </c>
      <c r="Y34" s="27" t="s">
        <v>522</v>
      </c>
      <c r="Z34" s="27"/>
      <c r="AA34" s="4"/>
      <c r="AB34" s="4"/>
      <c r="AC34" s="4"/>
      <c r="AD34" s="4"/>
      <c r="AE34" s="4"/>
      <c r="AF34" s="4"/>
    </row>
    <row r="35" spans="1:32" x14ac:dyDescent="0.25">
      <c r="A35" s="27" t="s">
        <v>1165</v>
      </c>
      <c r="B35" s="27" t="str">
        <f t="shared" si="0"/>
        <v>North Carolina</v>
      </c>
      <c r="C35" s="27" t="str">
        <f t="shared" si="1"/>
        <v>Forsyth</v>
      </c>
      <c r="D35" s="2">
        <v>4517</v>
      </c>
      <c r="E35" s="2">
        <v>130</v>
      </c>
      <c r="F35" s="2">
        <v>37</v>
      </c>
      <c r="G35" s="2">
        <v>164</v>
      </c>
      <c r="H35" s="2">
        <v>119</v>
      </c>
      <c r="I35" s="2">
        <v>116</v>
      </c>
      <c r="J35" s="26">
        <f t="shared" si="2"/>
        <v>118.33532934131736</v>
      </c>
      <c r="K35" s="2">
        <v>7745</v>
      </c>
      <c r="L35" s="2">
        <v>28861.9</v>
      </c>
      <c r="M35" s="2">
        <v>5529.37</v>
      </c>
      <c r="N35" s="2">
        <f t="shared" si="3"/>
        <v>34.805454913470307</v>
      </c>
      <c r="O35" s="12">
        <v>45127.56</v>
      </c>
      <c r="P35" s="27">
        <v>82</v>
      </c>
      <c r="Q35" s="12">
        <v>6690.19</v>
      </c>
      <c r="R35" s="27">
        <v>1905</v>
      </c>
      <c r="S35" s="27" t="s">
        <v>523</v>
      </c>
      <c r="T35" s="27" t="s">
        <v>519</v>
      </c>
      <c r="U35" s="27" t="s">
        <v>520</v>
      </c>
      <c r="V35" s="27" t="s">
        <v>523</v>
      </c>
      <c r="W35" s="27" t="s">
        <v>520</v>
      </c>
      <c r="X35" s="27" t="s">
        <v>521</v>
      </c>
      <c r="Y35" s="27" t="s">
        <v>522</v>
      </c>
      <c r="Z35" s="27"/>
      <c r="AA35" s="4"/>
      <c r="AB35" s="4"/>
      <c r="AC35" s="4"/>
      <c r="AD35" s="4"/>
      <c r="AE35" s="4"/>
      <c r="AF35" s="4"/>
    </row>
    <row r="36" spans="1:32" x14ac:dyDescent="0.25">
      <c r="A36" s="27" t="s">
        <v>1166</v>
      </c>
      <c r="B36" s="27" t="str">
        <f t="shared" si="0"/>
        <v>North Carolina</v>
      </c>
      <c r="C36" s="27" t="str">
        <f t="shared" si="1"/>
        <v>Franklin</v>
      </c>
      <c r="D36" s="2">
        <v>2812</v>
      </c>
      <c r="E36" s="2">
        <v>67</v>
      </c>
      <c r="F36" s="2">
        <v>49</v>
      </c>
      <c r="G36" s="2">
        <v>114</v>
      </c>
      <c r="H36" s="2">
        <v>96</v>
      </c>
      <c r="I36" s="2">
        <v>92</v>
      </c>
      <c r="J36" s="26">
        <f t="shared" si="2"/>
        <v>94.310344827586206</v>
      </c>
      <c r="K36" s="2">
        <v>4582</v>
      </c>
      <c r="L36" s="2">
        <v>10604.07</v>
      </c>
      <c r="M36" s="2">
        <v>4827.1899999999996</v>
      </c>
      <c r="N36" s="2">
        <f t="shared" si="3"/>
        <v>28.21071297989031</v>
      </c>
      <c r="O36" s="12">
        <v>40345</v>
      </c>
      <c r="P36" s="27">
        <v>43</v>
      </c>
      <c r="Q36" s="12">
        <v>2073.79</v>
      </c>
      <c r="R36" s="27">
        <v>1905</v>
      </c>
      <c r="S36" s="27" t="s">
        <v>518</v>
      </c>
      <c r="T36" s="27" t="s">
        <v>519</v>
      </c>
      <c r="U36" s="27" t="s">
        <v>520</v>
      </c>
      <c r="V36" s="27" t="s">
        <v>518</v>
      </c>
      <c r="W36" s="27" t="s">
        <v>520</v>
      </c>
      <c r="X36" s="27" t="s">
        <v>521</v>
      </c>
      <c r="Y36" s="27" t="s">
        <v>522</v>
      </c>
      <c r="Z36" s="27"/>
      <c r="AA36" s="4"/>
      <c r="AB36" s="4"/>
      <c r="AC36" s="4"/>
      <c r="AD36" s="4"/>
      <c r="AE36" s="4"/>
      <c r="AF36" s="4"/>
    </row>
    <row r="37" spans="1:32" x14ac:dyDescent="0.25">
      <c r="A37" s="27" t="s">
        <v>1167</v>
      </c>
      <c r="B37" s="27" t="str">
        <f t="shared" si="0"/>
        <v>North Carolina</v>
      </c>
      <c r="C37" s="27" t="str">
        <f t="shared" si="1"/>
        <v>Gaston</v>
      </c>
      <c r="D37" s="2">
        <v>4500</v>
      </c>
      <c r="E37" s="2">
        <v>113</v>
      </c>
      <c r="F37" s="2">
        <v>34</v>
      </c>
      <c r="G37" s="2">
        <v>140</v>
      </c>
      <c r="H37" s="2">
        <v>113</v>
      </c>
      <c r="I37" s="2">
        <v>86</v>
      </c>
      <c r="J37" s="26">
        <f t="shared" si="2"/>
        <v>106.75510204081633</v>
      </c>
      <c r="K37" s="2">
        <v>7740</v>
      </c>
      <c r="L37" s="2">
        <v>21867.9</v>
      </c>
      <c r="M37" s="2">
        <v>3040.48</v>
      </c>
      <c r="N37" s="2">
        <f t="shared" si="3"/>
        <v>31.744574013891548</v>
      </c>
      <c r="O37" s="12">
        <v>37844.85</v>
      </c>
      <c r="P37" s="27">
        <v>68</v>
      </c>
      <c r="Q37" s="12">
        <v>5787.26</v>
      </c>
      <c r="R37" s="27">
        <v>1905</v>
      </c>
      <c r="S37" s="27" t="s">
        <v>523</v>
      </c>
      <c r="T37" s="27" t="s">
        <v>519</v>
      </c>
      <c r="U37" s="27" t="s">
        <v>520</v>
      </c>
      <c r="V37" s="27" t="s">
        <v>523</v>
      </c>
      <c r="W37" s="27" t="s">
        <v>520</v>
      </c>
      <c r="X37" s="27" t="s">
        <v>521</v>
      </c>
      <c r="Y37" s="27" t="s">
        <v>522</v>
      </c>
      <c r="Z37" s="27"/>
      <c r="AA37" s="4"/>
      <c r="AB37" s="4"/>
      <c r="AC37" s="4"/>
      <c r="AD37" s="4"/>
      <c r="AE37" s="4"/>
      <c r="AF37" s="4"/>
    </row>
    <row r="38" spans="1:32" x14ac:dyDescent="0.25">
      <c r="A38" s="27" t="s">
        <v>1168</v>
      </c>
      <c r="B38" s="27" t="str">
        <f t="shared" si="0"/>
        <v>North Carolina</v>
      </c>
      <c r="C38" s="27" t="str">
        <f t="shared" si="1"/>
        <v>Gates</v>
      </c>
      <c r="D38" s="27">
        <v>1832</v>
      </c>
      <c r="E38" s="2">
        <v>37</v>
      </c>
      <c r="F38" s="2">
        <v>24</v>
      </c>
      <c r="G38" s="2">
        <v>58</v>
      </c>
      <c r="H38" s="2">
        <v>77</v>
      </c>
      <c r="I38" s="2">
        <v>74</v>
      </c>
      <c r="J38" s="26">
        <f t="shared" si="2"/>
        <v>75.819672131147541</v>
      </c>
      <c r="K38" s="2">
        <v>2731</v>
      </c>
      <c r="L38" s="2">
        <v>3636.97</v>
      </c>
      <c r="M38" s="2">
        <v>1850.12</v>
      </c>
      <c r="N38" s="2">
        <f t="shared" si="3"/>
        <v>23.727956756756761</v>
      </c>
      <c r="O38" s="12">
        <v>7799</v>
      </c>
      <c r="P38" s="27">
        <v>30</v>
      </c>
      <c r="Q38" s="12">
        <v>2336.8000000000002</v>
      </c>
      <c r="R38" s="27">
        <v>1905</v>
      </c>
      <c r="S38" s="27" t="s">
        <v>518</v>
      </c>
      <c r="T38" s="27" t="s">
        <v>519</v>
      </c>
      <c r="U38" s="27" t="s">
        <v>520</v>
      </c>
      <c r="V38" s="27" t="s">
        <v>518</v>
      </c>
      <c r="W38" s="27" t="s">
        <v>520</v>
      </c>
      <c r="X38" s="27" t="s">
        <v>521</v>
      </c>
      <c r="Y38" s="27" t="s">
        <v>522</v>
      </c>
      <c r="Z38" s="27"/>
      <c r="AA38" s="4"/>
      <c r="AB38" s="4"/>
      <c r="AC38" s="4"/>
      <c r="AD38" s="4"/>
      <c r="AE38" s="4"/>
      <c r="AF38" s="4"/>
    </row>
    <row r="39" spans="1:32" x14ac:dyDescent="0.25">
      <c r="A39" s="27" t="s">
        <v>1169</v>
      </c>
      <c r="B39" s="27" t="str">
        <f t="shared" si="0"/>
        <v>North Carolina</v>
      </c>
      <c r="C39" s="27" t="str">
        <f t="shared" si="1"/>
        <v>Graham</v>
      </c>
      <c r="D39" s="27">
        <v>593</v>
      </c>
      <c r="E39" s="2">
        <v>23</v>
      </c>
      <c r="G39" s="2">
        <v>22</v>
      </c>
      <c r="H39" s="2">
        <v>80</v>
      </c>
      <c r="I39" s="2"/>
      <c r="J39" s="26">
        <f t="shared" si="2"/>
        <v>80</v>
      </c>
      <c r="K39" s="2">
        <v>1227</v>
      </c>
      <c r="L39" s="2">
        <v>2630</v>
      </c>
      <c r="M39" s="2"/>
      <c r="N39" s="2">
        <f t="shared" si="3"/>
        <v>28.586956521739129</v>
      </c>
      <c r="O39" s="12">
        <v>3423</v>
      </c>
      <c r="P39" s="27">
        <v>19</v>
      </c>
      <c r="Q39" s="12">
        <v>117</v>
      </c>
      <c r="R39" s="27">
        <v>1905</v>
      </c>
      <c r="S39" s="27" t="s">
        <v>523</v>
      </c>
      <c r="T39" s="27" t="s">
        <v>519</v>
      </c>
      <c r="U39" s="27" t="s">
        <v>520</v>
      </c>
      <c r="V39" s="27" t="s">
        <v>523</v>
      </c>
      <c r="W39" s="27" t="s">
        <v>520</v>
      </c>
      <c r="X39" s="27" t="s">
        <v>521</v>
      </c>
      <c r="Y39" s="27" t="s">
        <v>522</v>
      </c>
      <c r="Z39" s="27"/>
      <c r="AA39" s="4"/>
      <c r="AB39" s="4"/>
      <c r="AC39" s="4"/>
      <c r="AD39" s="4"/>
      <c r="AE39" s="4"/>
      <c r="AF39" s="4"/>
    </row>
    <row r="40" spans="1:32" x14ac:dyDescent="0.25">
      <c r="A40" s="27" t="s">
        <v>1170</v>
      </c>
      <c r="B40" s="27" t="str">
        <f t="shared" si="0"/>
        <v>North Carolina</v>
      </c>
      <c r="C40" s="27" t="str">
        <f t="shared" si="1"/>
        <v>Granville</v>
      </c>
      <c r="D40" s="2">
        <v>2606</v>
      </c>
      <c r="E40" s="2">
        <v>68</v>
      </c>
      <c r="F40" s="2">
        <v>44</v>
      </c>
      <c r="G40" s="2">
        <v>110</v>
      </c>
      <c r="H40" s="2">
        <v>107</v>
      </c>
      <c r="I40" s="2">
        <v>100</v>
      </c>
      <c r="J40" s="26">
        <f t="shared" si="2"/>
        <v>104.25</v>
      </c>
      <c r="K40" s="2">
        <v>4443</v>
      </c>
      <c r="L40" s="2">
        <v>11311.71</v>
      </c>
      <c r="M40" s="2">
        <v>4532</v>
      </c>
      <c r="N40" s="2">
        <f t="shared" si="3"/>
        <v>27.138934566632408</v>
      </c>
      <c r="O40" s="12">
        <v>22521</v>
      </c>
      <c r="P40" s="27">
        <v>45</v>
      </c>
      <c r="Q40" s="12">
        <v>4366.75</v>
      </c>
      <c r="R40" s="27">
        <v>1905</v>
      </c>
      <c r="S40" s="27" t="s">
        <v>518</v>
      </c>
      <c r="T40" s="27" t="s">
        <v>519</v>
      </c>
      <c r="U40" s="27" t="s">
        <v>520</v>
      </c>
      <c r="V40" s="27" t="s">
        <v>518</v>
      </c>
      <c r="W40" s="27" t="s">
        <v>520</v>
      </c>
      <c r="X40" s="27" t="s">
        <v>521</v>
      </c>
      <c r="Y40" s="27" t="s">
        <v>522</v>
      </c>
      <c r="Z40" s="27"/>
      <c r="AA40" s="4"/>
      <c r="AB40" s="4"/>
      <c r="AC40" s="4"/>
      <c r="AD40" s="4"/>
      <c r="AE40" s="4"/>
      <c r="AF40" s="4"/>
    </row>
    <row r="41" spans="1:32" x14ac:dyDescent="0.25">
      <c r="A41" s="27" t="s">
        <v>1171</v>
      </c>
      <c r="B41" s="27" t="str">
        <f t="shared" si="0"/>
        <v>North Carolina</v>
      </c>
      <c r="C41" s="27" t="str">
        <f t="shared" si="1"/>
        <v>Greene</v>
      </c>
      <c r="D41" s="27">
        <v>1635</v>
      </c>
      <c r="E41" s="2">
        <v>36</v>
      </c>
      <c r="F41" s="2">
        <v>26</v>
      </c>
      <c r="G41" s="2">
        <v>59</v>
      </c>
      <c r="H41" s="2">
        <v>80</v>
      </c>
      <c r="I41" s="2">
        <v>72</v>
      </c>
      <c r="J41" s="26">
        <f t="shared" si="2"/>
        <v>76.645161290322577</v>
      </c>
      <c r="K41" s="2">
        <v>2854</v>
      </c>
      <c r="L41" s="2">
        <v>4606.13</v>
      </c>
      <c r="M41" s="2">
        <v>1773.69</v>
      </c>
      <c r="N41" s="2">
        <f t="shared" si="3"/>
        <v>26.851094276094276</v>
      </c>
      <c r="O41" s="12">
        <v>10223</v>
      </c>
      <c r="P41" s="27">
        <v>26</v>
      </c>
      <c r="Q41" s="12">
        <v>2017.5</v>
      </c>
      <c r="R41" s="27">
        <v>1905</v>
      </c>
      <c r="S41" s="27" t="s">
        <v>523</v>
      </c>
      <c r="T41" s="27" t="s">
        <v>519</v>
      </c>
      <c r="U41" s="27" t="s">
        <v>520</v>
      </c>
      <c r="V41" s="27" t="s">
        <v>523</v>
      </c>
      <c r="W41" s="27" t="s">
        <v>520</v>
      </c>
      <c r="X41" s="27" t="s">
        <v>521</v>
      </c>
      <c r="Y41" s="27" t="s">
        <v>522</v>
      </c>
      <c r="Z41" s="27"/>
      <c r="AA41" s="4"/>
      <c r="AB41" s="4"/>
      <c r="AC41" s="4"/>
      <c r="AD41" s="4"/>
      <c r="AE41" s="4"/>
      <c r="AF41" s="4"/>
    </row>
    <row r="42" spans="1:32" x14ac:dyDescent="0.25">
      <c r="A42" s="27" t="s">
        <v>1172</v>
      </c>
      <c r="B42" s="27" t="str">
        <f t="shared" si="0"/>
        <v>North Carolina</v>
      </c>
      <c r="C42" s="27" t="str">
        <f t="shared" si="1"/>
        <v>Guilford</v>
      </c>
      <c r="D42" s="2">
        <v>6748</v>
      </c>
      <c r="E42" s="2">
        <v>186</v>
      </c>
      <c r="F42" s="2">
        <v>56</v>
      </c>
      <c r="G42" s="2">
        <v>229</v>
      </c>
      <c r="H42" s="2">
        <v>116</v>
      </c>
      <c r="I42" s="2">
        <v>116</v>
      </c>
      <c r="J42" s="26">
        <f t="shared" si="2"/>
        <v>116</v>
      </c>
      <c r="K42" s="2">
        <v>10444</v>
      </c>
      <c r="L42" s="2">
        <v>51661.98</v>
      </c>
      <c r="M42" s="2">
        <v>7459.82</v>
      </c>
      <c r="N42" s="2">
        <f t="shared" si="3"/>
        <v>42.12154459960103</v>
      </c>
      <c r="O42" s="12">
        <v>88427</v>
      </c>
      <c r="P42" s="27">
        <v>95</v>
      </c>
      <c r="Q42" s="12">
        <v>31713.13</v>
      </c>
      <c r="R42" s="27">
        <v>1905</v>
      </c>
      <c r="S42" s="27" t="s">
        <v>518</v>
      </c>
      <c r="T42" s="27" t="s">
        <v>519</v>
      </c>
      <c r="U42" s="27" t="s">
        <v>520</v>
      </c>
      <c r="V42" s="27" t="s">
        <v>518</v>
      </c>
      <c r="W42" s="27" t="s">
        <v>520</v>
      </c>
      <c r="X42" s="27" t="s">
        <v>521</v>
      </c>
      <c r="Y42" s="27" t="s">
        <v>522</v>
      </c>
      <c r="Z42" s="27"/>
      <c r="AA42" s="4"/>
      <c r="AB42" s="4"/>
      <c r="AC42" s="4"/>
      <c r="AD42" s="4"/>
      <c r="AE42" s="4"/>
      <c r="AF42" s="4"/>
    </row>
    <row r="43" spans="1:32" x14ac:dyDescent="0.25">
      <c r="A43" s="27" t="s">
        <v>1173</v>
      </c>
      <c r="B43" s="27" t="str">
        <f t="shared" si="0"/>
        <v>North Carolina</v>
      </c>
      <c r="C43" s="27" t="str">
        <f t="shared" si="1"/>
        <v>Halifax</v>
      </c>
      <c r="D43" s="2">
        <v>3133</v>
      </c>
      <c r="E43" s="2">
        <v>86</v>
      </c>
      <c r="F43" s="2">
        <v>71</v>
      </c>
      <c r="G43" s="2">
        <v>138</v>
      </c>
      <c r="H43" s="2">
        <v>132</v>
      </c>
      <c r="I43" s="2">
        <v>104</v>
      </c>
      <c r="J43" s="26">
        <f t="shared" si="2"/>
        <v>119.33757961783439</v>
      </c>
      <c r="K43" s="2">
        <v>6507</v>
      </c>
      <c r="L43" s="2">
        <v>16355</v>
      </c>
      <c r="M43" s="2">
        <v>8439.3799999999992</v>
      </c>
      <c r="N43" s="2">
        <f t="shared" si="3"/>
        <v>26.467100768573868</v>
      </c>
      <c r="O43" s="12">
        <v>44518</v>
      </c>
      <c r="P43" s="27">
        <v>47</v>
      </c>
      <c r="Q43" s="12">
        <v>2591.0300000000002</v>
      </c>
      <c r="R43" s="27">
        <v>1905</v>
      </c>
      <c r="S43" s="27" t="s">
        <v>523</v>
      </c>
      <c r="T43" s="27" t="s">
        <v>519</v>
      </c>
      <c r="U43" s="27" t="s">
        <v>520</v>
      </c>
      <c r="V43" s="27" t="s">
        <v>523</v>
      </c>
      <c r="W43" s="27" t="s">
        <v>520</v>
      </c>
      <c r="X43" s="27" t="s">
        <v>521</v>
      </c>
      <c r="Y43" s="27" t="s">
        <v>522</v>
      </c>
      <c r="Z43" s="27"/>
      <c r="AA43" s="4"/>
      <c r="AB43" s="4"/>
      <c r="AC43" s="4"/>
      <c r="AD43" s="4"/>
      <c r="AE43" s="4"/>
      <c r="AF43" s="4"/>
    </row>
    <row r="44" spans="1:32" x14ac:dyDescent="0.25">
      <c r="A44" s="27" t="s">
        <v>1174</v>
      </c>
      <c r="B44" s="27" t="str">
        <f t="shared" si="0"/>
        <v>North Carolina</v>
      </c>
      <c r="C44" s="27" t="str">
        <f t="shared" si="1"/>
        <v>Harnett</v>
      </c>
      <c r="D44" s="2">
        <v>3014</v>
      </c>
      <c r="E44" s="2">
        <v>70</v>
      </c>
      <c r="F44" s="2">
        <v>27</v>
      </c>
      <c r="G44" s="2">
        <v>103</v>
      </c>
      <c r="H44" s="2">
        <v>80</v>
      </c>
      <c r="I44" s="2">
        <v>73</v>
      </c>
      <c r="J44" s="26">
        <f t="shared" si="2"/>
        <v>78.051546391752581</v>
      </c>
      <c r="K44" s="2">
        <v>4288</v>
      </c>
      <c r="L44" s="2">
        <v>7918.15</v>
      </c>
      <c r="M44" s="2">
        <v>1643.98</v>
      </c>
      <c r="N44" s="2">
        <f t="shared" si="3"/>
        <v>25.259886408664638</v>
      </c>
      <c r="O44" s="12">
        <v>14349</v>
      </c>
      <c r="P44" s="27">
        <v>50</v>
      </c>
      <c r="Q44" s="12">
        <v>2252.84</v>
      </c>
      <c r="R44" s="27">
        <v>1905</v>
      </c>
      <c r="S44" s="27" t="s">
        <v>518</v>
      </c>
      <c r="T44" s="27" t="s">
        <v>519</v>
      </c>
      <c r="U44" s="27" t="s">
        <v>520</v>
      </c>
      <c r="V44" s="27" t="s">
        <v>518</v>
      </c>
      <c r="W44" s="27" t="s">
        <v>520</v>
      </c>
      <c r="X44" s="27" t="s">
        <v>521</v>
      </c>
      <c r="Y44" s="27" t="s">
        <v>522</v>
      </c>
      <c r="Z44" s="27"/>
      <c r="AA44" s="4"/>
      <c r="AB44" s="4"/>
      <c r="AC44" s="4"/>
      <c r="AD44" s="4"/>
      <c r="AE44" s="4"/>
      <c r="AF44" s="4"/>
    </row>
    <row r="45" spans="1:32" x14ac:dyDescent="0.25">
      <c r="A45" s="27" t="s">
        <v>1175</v>
      </c>
      <c r="B45" s="27" t="str">
        <f t="shared" si="0"/>
        <v>North Carolina</v>
      </c>
      <c r="C45" s="27" t="str">
        <f t="shared" si="1"/>
        <v>Haywood</v>
      </c>
      <c r="D45" s="2">
        <v>2740</v>
      </c>
      <c r="E45" s="2">
        <v>77</v>
      </c>
      <c r="F45" s="2">
        <v>3</v>
      </c>
      <c r="G45" s="2">
        <v>79</v>
      </c>
      <c r="H45" s="2">
        <v>113</v>
      </c>
      <c r="I45" s="2">
        <v>170</v>
      </c>
      <c r="J45" s="26">
        <f t="shared" si="2"/>
        <v>115.1375</v>
      </c>
      <c r="K45" s="2">
        <v>5144</v>
      </c>
      <c r="L45" s="2">
        <v>14781.2</v>
      </c>
      <c r="M45" s="2">
        <v>654</v>
      </c>
      <c r="N45" s="2">
        <f t="shared" si="3"/>
        <v>33.514710672022581</v>
      </c>
      <c r="O45" s="12">
        <v>20286</v>
      </c>
      <c r="P45" s="27">
        <v>50</v>
      </c>
      <c r="Q45" s="12">
        <v>881.63</v>
      </c>
      <c r="R45" s="27">
        <v>1905</v>
      </c>
      <c r="S45" s="27" t="s">
        <v>523</v>
      </c>
      <c r="T45" s="27" t="s">
        <v>519</v>
      </c>
      <c r="U45" s="27" t="s">
        <v>520</v>
      </c>
      <c r="V45" s="27" t="s">
        <v>523</v>
      </c>
      <c r="W45" s="27" t="s">
        <v>520</v>
      </c>
      <c r="X45" s="27" t="s">
        <v>521</v>
      </c>
      <c r="Y45" s="27" t="s">
        <v>522</v>
      </c>
      <c r="Z45" s="27"/>
      <c r="AA45" s="4"/>
      <c r="AB45" s="4"/>
      <c r="AC45" s="4"/>
      <c r="AD45" s="4"/>
      <c r="AE45" s="4"/>
      <c r="AF45" s="4"/>
    </row>
    <row r="46" spans="1:32" x14ac:dyDescent="0.25">
      <c r="A46" s="27" t="s">
        <v>1176</v>
      </c>
      <c r="B46" s="27" t="str">
        <f t="shared" si="0"/>
        <v>North Carolina</v>
      </c>
      <c r="C46" s="27" t="str">
        <f t="shared" si="1"/>
        <v>Henderson</v>
      </c>
      <c r="D46" s="2">
        <v>1987</v>
      </c>
      <c r="E46" s="2">
        <v>63</v>
      </c>
      <c r="F46" s="2">
        <v>12</v>
      </c>
      <c r="G46" s="2">
        <v>73</v>
      </c>
      <c r="H46" s="2">
        <v>91</v>
      </c>
      <c r="I46" s="2">
        <v>89</v>
      </c>
      <c r="J46" s="26">
        <f t="shared" si="2"/>
        <v>90.68</v>
      </c>
      <c r="K46" s="2">
        <v>3413</v>
      </c>
      <c r="L46" s="2">
        <v>9002.7000000000007</v>
      </c>
      <c r="M46" s="2">
        <v>1177.2</v>
      </c>
      <c r="N46" s="2">
        <f t="shared" si="3"/>
        <v>29.936479929422145</v>
      </c>
      <c r="O46" s="12">
        <v>15428</v>
      </c>
      <c r="P46" s="27">
        <v>47</v>
      </c>
      <c r="Q46" s="12">
        <v>905.34</v>
      </c>
      <c r="R46" s="27">
        <v>1905</v>
      </c>
      <c r="S46" s="27" t="s">
        <v>518</v>
      </c>
      <c r="T46" s="27" t="s">
        <v>519</v>
      </c>
      <c r="U46" s="27" t="s">
        <v>520</v>
      </c>
      <c r="V46" s="27" t="s">
        <v>518</v>
      </c>
      <c r="W46" s="27" t="s">
        <v>520</v>
      </c>
      <c r="X46" s="27" t="s">
        <v>521</v>
      </c>
      <c r="Y46" s="27" t="s">
        <v>522</v>
      </c>
      <c r="Z46" s="27"/>
      <c r="AA46" s="4"/>
      <c r="AB46" s="4"/>
      <c r="AC46" s="4"/>
      <c r="AD46" s="4"/>
      <c r="AE46" s="4"/>
      <c r="AF46" s="4"/>
    </row>
    <row r="47" spans="1:32" x14ac:dyDescent="0.25">
      <c r="A47" s="27" t="s">
        <v>1177</v>
      </c>
      <c r="B47" s="27" t="str">
        <f t="shared" si="0"/>
        <v>North Carolina</v>
      </c>
      <c r="C47" s="27" t="str">
        <f t="shared" si="1"/>
        <v>Hertford</v>
      </c>
      <c r="D47" s="27">
        <v>1968</v>
      </c>
      <c r="E47" s="2">
        <v>34</v>
      </c>
      <c r="F47" s="2">
        <v>30</v>
      </c>
      <c r="G47" s="2">
        <v>77</v>
      </c>
      <c r="H47" s="2">
        <v>74</v>
      </c>
      <c r="I47" s="2">
        <v>69</v>
      </c>
      <c r="J47" s="26">
        <f t="shared" si="2"/>
        <v>71.65625</v>
      </c>
      <c r="K47" s="2">
        <v>3374</v>
      </c>
      <c r="L47" s="2">
        <v>3720.86</v>
      </c>
      <c r="M47" s="2">
        <v>1932.49</v>
      </c>
      <c r="N47" s="2">
        <f t="shared" si="3"/>
        <v>24.654819014391627</v>
      </c>
      <c r="O47" s="12">
        <v>7252</v>
      </c>
      <c r="P47" s="27">
        <v>32</v>
      </c>
      <c r="Q47" s="12">
        <v>731.65</v>
      </c>
      <c r="R47" s="27">
        <v>1905</v>
      </c>
      <c r="S47" s="27" t="s">
        <v>523</v>
      </c>
      <c r="T47" s="27" t="s">
        <v>519</v>
      </c>
      <c r="U47" s="27" t="s">
        <v>520</v>
      </c>
      <c r="V47" s="27" t="s">
        <v>523</v>
      </c>
      <c r="W47" s="27" t="s">
        <v>520</v>
      </c>
      <c r="X47" s="27" t="s">
        <v>521</v>
      </c>
      <c r="Y47" s="27" t="s">
        <v>522</v>
      </c>
      <c r="Z47" s="27"/>
      <c r="AA47" s="4"/>
      <c r="AB47" s="4"/>
      <c r="AC47" s="4"/>
      <c r="AD47" s="4"/>
      <c r="AE47" s="4"/>
      <c r="AF47" s="4"/>
    </row>
    <row r="48" spans="1:32" x14ac:dyDescent="0.25">
      <c r="A48" s="27" t="s">
        <v>1178</v>
      </c>
      <c r="B48" s="27" t="str">
        <f t="shared" si="0"/>
        <v>North Carolina</v>
      </c>
      <c r="C48" s="27" t="str">
        <f t="shared" si="1"/>
        <v>Hoke</v>
      </c>
      <c r="D48" s="27" t="s">
        <v>383</v>
      </c>
      <c r="G48" s="27"/>
      <c r="J48" s="26"/>
      <c r="K48" s="27"/>
      <c r="N48" s="2"/>
      <c r="O48" s="2"/>
      <c r="P48" s="27"/>
      <c r="Q48" s="12"/>
      <c r="R48" s="27">
        <v>1905</v>
      </c>
      <c r="S48" s="27" t="s">
        <v>518</v>
      </c>
      <c r="T48" s="27" t="s">
        <v>519</v>
      </c>
      <c r="U48" s="27" t="s">
        <v>520</v>
      </c>
      <c r="V48" s="27" t="s">
        <v>518</v>
      </c>
      <c r="W48" s="27" t="s">
        <v>520</v>
      </c>
      <c r="X48" s="27" t="s">
        <v>521</v>
      </c>
      <c r="Y48" s="27" t="s">
        <v>522</v>
      </c>
      <c r="Z48" s="27"/>
      <c r="AA48" s="4"/>
      <c r="AB48" s="4"/>
      <c r="AC48" s="4"/>
      <c r="AD48" s="4"/>
      <c r="AE48" s="4"/>
      <c r="AF48" s="4"/>
    </row>
    <row r="49" spans="1:32" x14ac:dyDescent="0.25">
      <c r="A49" s="27" t="s">
        <v>1179</v>
      </c>
      <c r="B49" s="27" t="str">
        <f t="shared" si="0"/>
        <v>North Carolina</v>
      </c>
      <c r="C49" s="27" t="str">
        <f t="shared" si="1"/>
        <v>Hyde</v>
      </c>
      <c r="D49" s="27">
        <v>1389</v>
      </c>
      <c r="E49" s="2">
        <v>36</v>
      </c>
      <c r="F49" s="2">
        <v>20</v>
      </c>
      <c r="G49" s="2">
        <v>51</v>
      </c>
      <c r="H49" s="2">
        <v>73</v>
      </c>
      <c r="I49" s="2">
        <v>60</v>
      </c>
      <c r="J49" s="26">
        <f>(E49*H49+F49*I49)/(E49+F49)</f>
        <v>68.357142857142861</v>
      </c>
      <c r="K49" s="2">
        <v>2220</v>
      </c>
      <c r="L49" s="2">
        <v>4075.3</v>
      </c>
      <c r="M49" s="2">
        <v>1603.25</v>
      </c>
      <c r="N49" s="2">
        <f>(L49+M49)/(E49+F49)/(J49/20)</f>
        <v>29.668495297805642</v>
      </c>
      <c r="O49" s="12">
        <v>9252</v>
      </c>
      <c r="P49" s="27">
        <v>30</v>
      </c>
      <c r="Q49" s="12">
        <v>841.6</v>
      </c>
      <c r="R49" s="27">
        <v>1905</v>
      </c>
      <c r="S49" s="27" t="s">
        <v>523</v>
      </c>
      <c r="T49" s="27" t="s">
        <v>519</v>
      </c>
      <c r="U49" s="27" t="s">
        <v>520</v>
      </c>
      <c r="V49" s="27" t="s">
        <v>523</v>
      </c>
      <c r="W49" s="27" t="s">
        <v>520</v>
      </c>
      <c r="X49" s="27" t="s">
        <v>521</v>
      </c>
      <c r="Y49" s="27" t="s">
        <v>522</v>
      </c>
      <c r="Z49" s="27"/>
      <c r="AA49" s="4"/>
      <c r="AB49" s="4"/>
      <c r="AC49" s="4"/>
      <c r="AD49" s="4"/>
      <c r="AE49" s="4"/>
      <c r="AF49" s="4"/>
    </row>
    <row r="50" spans="1:32" x14ac:dyDescent="0.25">
      <c r="A50" s="27" t="s">
        <v>1180</v>
      </c>
      <c r="B50" s="27" t="str">
        <f t="shared" si="0"/>
        <v>North Carolina</v>
      </c>
      <c r="C50" s="27" t="str">
        <f t="shared" si="1"/>
        <v>Iredell</v>
      </c>
      <c r="D50" s="2">
        <v>4505</v>
      </c>
      <c r="E50" s="2">
        <v>131</v>
      </c>
      <c r="F50" s="2">
        <v>40</v>
      </c>
      <c r="G50" s="2">
        <v>167</v>
      </c>
      <c r="H50" s="2">
        <v>83</v>
      </c>
      <c r="I50" s="2">
        <v>78</v>
      </c>
      <c r="J50" s="26">
        <f>(E50*H50+F50*I50)/(E50+F50)</f>
        <v>81.830409356725141</v>
      </c>
      <c r="K50" s="2">
        <v>7138</v>
      </c>
      <c r="L50" s="2">
        <v>14025.89</v>
      </c>
      <c r="M50" s="2">
        <v>3461.26</v>
      </c>
      <c r="N50" s="2">
        <f>(L50+M50)/(E50+F50)/(J50/20)</f>
        <v>24.994139927106414</v>
      </c>
      <c r="O50" s="12">
        <v>25107</v>
      </c>
      <c r="P50" s="27">
        <v>96</v>
      </c>
      <c r="Q50" s="12">
        <v>2538.9299999999998</v>
      </c>
      <c r="R50" s="27">
        <v>1905</v>
      </c>
      <c r="S50" s="27" t="s">
        <v>518</v>
      </c>
      <c r="T50" s="27" t="s">
        <v>519</v>
      </c>
      <c r="U50" s="27" t="s">
        <v>520</v>
      </c>
      <c r="V50" s="27" t="s">
        <v>518</v>
      </c>
      <c r="W50" s="27" t="s">
        <v>520</v>
      </c>
      <c r="X50" s="27" t="s">
        <v>521</v>
      </c>
      <c r="Y50" s="27" t="s">
        <v>522</v>
      </c>
      <c r="Z50" s="27"/>
      <c r="AA50" s="4"/>
      <c r="AB50" s="4"/>
      <c r="AC50" s="4"/>
      <c r="AD50" s="4"/>
      <c r="AE50" s="4"/>
      <c r="AF50" s="4"/>
    </row>
    <row r="51" spans="1:32" x14ac:dyDescent="0.25">
      <c r="A51" s="27" t="s">
        <v>1181</v>
      </c>
      <c r="B51" s="27" t="str">
        <f t="shared" si="0"/>
        <v>North Carolina</v>
      </c>
      <c r="C51" s="27" t="str">
        <f t="shared" si="1"/>
        <v>Jackson</v>
      </c>
      <c r="D51" s="2">
        <v>1555</v>
      </c>
      <c r="E51" s="2">
        <v>54</v>
      </c>
      <c r="F51" s="2">
        <v>4</v>
      </c>
      <c r="G51" s="2">
        <v>54</v>
      </c>
      <c r="H51" s="2">
        <v>84</v>
      </c>
      <c r="I51" s="2">
        <v>80</v>
      </c>
      <c r="J51" s="26">
        <f>(E51*H51+F51*I51)/(E51+F51)</f>
        <v>83.724137931034477</v>
      </c>
      <c r="K51" s="2">
        <v>2892</v>
      </c>
      <c r="L51" s="2">
        <v>6822.85</v>
      </c>
      <c r="M51" s="2">
        <v>247.12</v>
      </c>
      <c r="N51" s="2">
        <f>(L51+M51)/(E51+F51)/(J51/20)</f>
        <v>29.118492586490941</v>
      </c>
      <c r="O51" s="12">
        <v>12959</v>
      </c>
      <c r="P51" s="27">
        <v>42</v>
      </c>
      <c r="Q51" s="12">
        <v>1701.79</v>
      </c>
      <c r="R51" s="27">
        <v>1905</v>
      </c>
      <c r="S51" s="27" t="s">
        <v>523</v>
      </c>
      <c r="T51" s="27" t="s">
        <v>519</v>
      </c>
      <c r="U51" s="27" t="s">
        <v>520</v>
      </c>
      <c r="V51" s="27" t="s">
        <v>523</v>
      </c>
      <c r="W51" s="27" t="s">
        <v>520</v>
      </c>
      <c r="X51" s="27" t="s">
        <v>521</v>
      </c>
      <c r="Y51" s="27" t="s">
        <v>522</v>
      </c>
      <c r="Z51" s="27"/>
      <c r="AA51" s="4"/>
      <c r="AB51" s="4"/>
      <c r="AC51" s="4"/>
      <c r="AD51" s="4"/>
      <c r="AE51" s="4"/>
      <c r="AF51" s="4"/>
    </row>
    <row r="52" spans="1:32" x14ac:dyDescent="0.25">
      <c r="A52" s="27" t="s">
        <v>1182</v>
      </c>
      <c r="B52" s="27" t="str">
        <f t="shared" si="0"/>
        <v>North Carolina</v>
      </c>
      <c r="C52" s="27" t="str">
        <f t="shared" si="1"/>
        <v>Johnston</v>
      </c>
      <c r="D52" s="2">
        <v>4969</v>
      </c>
      <c r="E52" s="2">
        <v>132</v>
      </c>
      <c r="F52" s="2">
        <v>43</v>
      </c>
      <c r="G52" s="2">
        <v>164</v>
      </c>
      <c r="H52" s="2">
        <v>91</v>
      </c>
      <c r="I52" s="2">
        <v>89</v>
      </c>
      <c r="J52" s="26">
        <f>(E52*H52+F52*I52)/(E52+F52)</f>
        <v>90.508571428571429</v>
      </c>
      <c r="K52" s="2">
        <v>9437</v>
      </c>
      <c r="L52" s="2">
        <v>19935.28</v>
      </c>
      <c r="M52" s="2">
        <v>3665.41</v>
      </c>
      <c r="N52" s="2">
        <f>(L52+M52)/(E52+F52)/(J52/20)</f>
        <v>29.800732369467767</v>
      </c>
      <c r="O52" s="12">
        <v>37345</v>
      </c>
      <c r="P52" s="27">
        <v>108</v>
      </c>
      <c r="Q52" s="12">
        <v>8270.89</v>
      </c>
      <c r="R52" s="27">
        <v>1905</v>
      </c>
      <c r="S52" s="27" t="s">
        <v>518</v>
      </c>
      <c r="T52" s="27" t="s">
        <v>519</v>
      </c>
      <c r="U52" s="27" t="s">
        <v>520</v>
      </c>
      <c r="V52" s="27" t="s">
        <v>518</v>
      </c>
      <c r="W52" s="27" t="s">
        <v>520</v>
      </c>
      <c r="X52" s="27" t="s">
        <v>521</v>
      </c>
      <c r="Y52" s="27" t="s">
        <v>522</v>
      </c>
      <c r="Z52" s="27"/>
      <c r="AA52" s="4"/>
      <c r="AB52" s="4"/>
      <c r="AC52" s="4"/>
      <c r="AD52" s="4"/>
      <c r="AE52" s="4"/>
      <c r="AF52" s="4"/>
    </row>
    <row r="53" spans="1:32" x14ac:dyDescent="0.25">
      <c r="A53" s="27" t="s">
        <v>1183</v>
      </c>
      <c r="B53" s="27" t="str">
        <f t="shared" si="0"/>
        <v>North Carolina</v>
      </c>
      <c r="C53" s="27" t="str">
        <f t="shared" si="1"/>
        <v>Jones</v>
      </c>
      <c r="D53" s="27">
        <v>1168</v>
      </c>
      <c r="E53" s="2">
        <v>33</v>
      </c>
      <c r="F53" s="2">
        <v>17</v>
      </c>
      <c r="G53" s="2">
        <v>55</v>
      </c>
      <c r="H53" s="2">
        <v>76</v>
      </c>
      <c r="I53" s="2">
        <v>82</v>
      </c>
      <c r="J53" s="26">
        <f>(E53*H53+F53*I53)/(E53+F53)</f>
        <v>78.040000000000006</v>
      </c>
      <c r="K53" s="2">
        <v>2133</v>
      </c>
      <c r="L53" s="2">
        <v>3451.25</v>
      </c>
      <c r="M53" s="2">
        <v>1446</v>
      </c>
      <c r="N53" s="2">
        <f>(L53+M53)/(E53+F53)/(J53/20)</f>
        <v>25.101230138390566</v>
      </c>
      <c r="O53" s="12">
        <v>5998</v>
      </c>
      <c r="P53" s="27">
        <v>31</v>
      </c>
      <c r="Q53" s="12">
        <v>1757.94</v>
      </c>
      <c r="R53" s="27">
        <v>1905</v>
      </c>
      <c r="S53" s="27" t="s">
        <v>523</v>
      </c>
      <c r="T53" s="27" t="s">
        <v>519</v>
      </c>
      <c r="U53" s="27" t="s">
        <v>520</v>
      </c>
      <c r="V53" s="27" t="s">
        <v>523</v>
      </c>
      <c r="W53" s="27" t="s">
        <v>520</v>
      </c>
      <c r="X53" s="27" t="s">
        <v>521</v>
      </c>
      <c r="Y53" s="27" t="s">
        <v>522</v>
      </c>
      <c r="Z53" s="27"/>
      <c r="AA53" s="4"/>
      <c r="AB53" s="4"/>
      <c r="AC53" s="4"/>
      <c r="AD53" s="4"/>
      <c r="AE53" s="4"/>
      <c r="AF53" s="4"/>
    </row>
    <row r="54" spans="1:32" x14ac:dyDescent="0.25">
      <c r="A54" s="27" t="s">
        <v>1184</v>
      </c>
      <c r="B54" s="27" t="str">
        <f t="shared" si="0"/>
        <v>North Carolina</v>
      </c>
      <c r="C54" s="27" t="str">
        <f t="shared" si="1"/>
        <v>Lee</v>
      </c>
      <c r="D54" s="27" t="s">
        <v>383</v>
      </c>
      <c r="G54" s="27"/>
      <c r="J54" s="26"/>
      <c r="K54" s="27"/>
      <c r="N54" s="2"/>
      <c r="O54" s="2"/>
      <c r="P54" s="27"/>
      <c r="Q54" s="27"/>
      <c r="R54" s="27">
        <v>1905</v>
      </c>
      <c r="S54" s="27" t="s">
        <v>518</v>
      </c>
      <c r="T54" s="27" t="s">
        <v>519</v>
      </c>
      <c r="U54" s="27" t="s">
        <v>520</v>
      </c>
      <c r="V54" s="27" t="s">
        <v>518</v>
      </c>
      <c r="W54" s="27" t="s">
        <v>520</v>
      </c>
      <c r="X54" s="27" t="s">
        <v>521</v>
      </c>
      <c r="Y54" s="27" t="s">
        <v>522</v>
      </c>
      <c r="Z54" s="27"/>
      <c r="AA54" s="4"/>
      <c r="AB54" s="4"/>
      <c r="AC54" s="4"/>
      <c r="AD54" s="4"/>
      <c r="AE54" s="4"/>
      <c r="AF54" s="4"/>
    </row>
    <row r="55" spans="1:32" x14ac:dyDescent="0.25">
      <c r="A55" s="27" t="s">
        <v>1185</v>
      </c>
      <c r="B55" s="27" t="str">
        <f t="shared" si="0"/>
        <v>North Carolina</v>
      </c>
      <c r="C55" s="27" t="str">
        <f t="shared" si="1"/>
        <v>Lenoir</v>
      </c>
      <c r="D55" s="2">
        <v>2657</v>
      </c>
      <c r="E55" s="2">
        <v>70</v>
      </c>
      <c r="F55" s="2">
        <v>30</v>
      </c>
      <c r="G55" s="2">
        <v>94</v>
      </c>
      <c r="H55" s="2">
        <v>120</v>
      </c>
      <c r="I55" s="2">
        <v>104</v>
      </c>
      <c r="J55" s="26">
        <f t="shared" ref="J55:J101" si="4">(E55*H55+F55*I55)/(E55+F55)</f>
        <v>115.2</v>
      </c>
      <c r="K55" s="2">
        <v>5269</v>
      </c>
      <c r="L55" s="2">
        <v>14828.4</v>
      </c>
      <c r="M55" s="2">
        <v>3613.9</v>
      </c>
      <c r="N55" s="2">
        <f t="shared" ref="N55:N101" si="5">(L55+M55)/(E55+F55)/(J55/20)</f>
        <v>32.017881944444447</v>
      </c>
      <c r="O55" s="12">
        <v>30366</v>
      </c>
      <c r="P55" s="27">
        <v>41</v>
      </c>
      <c r="Q55" s="12">
        <v>3059.73</v>
      </c>
      <c r="R55" s="27">
        <v>1905</v>
      </c>
      <c r="S55" s="27" t="s">
        <v>523</v>
      </c>
      <c r="T55" s="27" t="s">
        <v>519</v>
      </c>
      <c r="U55" s="27" t="s">
        <v>520</v>
      </c>
      <c r="V55" s="27" t="s">
        <v>523</v>
      </c>
      <c r="W55" s="27" t="s">
        <v>520</v>
      </c>
      <c r="X55" s="27" t="s">
        <v>521</v>
      </c>
      <c r="Y55" s="27" t="s">
        <v>522</v>
      </c>
      <c r="Z55" s="27"/>
      <c r="AA55" s="4"/>
      <c r="AB55" s="4"/>
      <c r="AC55" s="4"/>
      <c r="AD55" s="4"/>
      <c r="AE55" s="4"/>
      <c r="AF55" s="4"/>
    </row>
    <row r="56" spans="1:32" x14ac:dyDescent="0.25">
      <c r="A56" s="27" t="s">
        <v>1186</v>
      </c>
      <c r="B56" s="27" t="str">
        <f t="shared" si="0"/>
        <v>North Carolina</v>
      </c>
      <c r="C56" s="27" t="str">
        <f t="shared" si="1"/>
        <v>Lincoln</v>
      </c>
      <c r="D56" s="2">
        <v>2478</v>
      </c>
      <c r="E56" s="2">
        <v>69</v>
      </c>
      <c r="F56" s="2">
        <v>17</v>
      </c>
      <c r="G56" s="2">
        <v>88</v>
      </c>
      <c r="H56" s="2">
        <v>82</v>
      </c>
      <c r="I56" s="2">
        <v>77</v>
      </c>
      <c r="J56" s="26">
        <f t="shared" si="4"/>
        <v>81.011627906976742</v>
      </c>
      <c r="K56" s="2">
        <v>3990</v>
      </c>
      <c r="L56" s="2">
        <v>7857.33</v>
      </c>
      <c r="M56" s="2">
        <v>1708.66</v>
      </c>
      <c r="N56" s="2">
        <f t="shared" si="5"/>
        <v>27.460858332137217</v>
      </c>
      <c r="O56" s="12">
        <v>12087</v>
      </c>
      <c r="P56" s="27">
        <v>57</v>
      </c>
      <c r="Q56" s="12">
        <v>1405.36</v>
      </c>
      <c r="R56" s="27">
        <v>1905</v>
      </c>
      <c r="S56" s="27" t="s">
        <v>518</v>
      </c>
      <c r="T56" s="27" t="s">
        <v>519</v>
      </c>
      <c r="U56" s="27" t="s">
        <v>520</v>
      </c>
      <c r="V56" s="27" t="s">
        <v>518</v>
      </c>
      <c r="W56" s="27" t="s">
        <v>520</v>
      </c>
      <c r="X56" s="27" t="s">
        <v>521</v>
      </c>
      <c r="Y56" s="27" t="s">
        <v>522</v>
      </c>
      <c r="Z56" s="27"/>
      <c r="AA56" s="4"/>
      <c r="AB56" s="4"/>
      <c r="AC56" s="4"/>
      <c r="AD56" s="4"/>
      <c r="AE56" s="4"/>
      <c r="AF56" s="4"/>
    </row>
    <row r="57" spans="1:32" x14ac:dyDescent="0.25">
      <c r="A57" s="27" t="s">
        <v>1188</v>
      </c>
      <c r="B57" s="27" t="str">
        <f t="shared" si="0"/>
        <v>North Carolina</v>
      </c>
      <c r="C57" s="27" t="str">
        <f t="shared" si="1"/>
        <v>Macon</v>
      </c>
      <c r="D57" s="2">
        <v>1776</v>
      </c>
      <c r="E57" s="2">
        <v>63</v>
      </c>
      <c r="F57" s="2">
        <v>4</v>
      </c>
      <c r="G57" s="2">
        <v>59</v>
      </c>
      <c r="H57" s="2">
        <v>77</v>
      </c>
      <c r="I57" s="2">
        <v>79</v>
      </c>
      <c r="J57" s="26">
        <f t="shared" si="4"/>
        <v>77.119402985074629</v>
      </c>
      <c r="K57" s="2">
        <v>3044</v>
      </c>
      <c r="L57" s="2">
        <v>5655.64</v>
      </c>
      <c r="M57" s="2">
        <v>315</v>
      </c>
      <c r="N57" s="2">
        <f t="shared" si="5"/>
        <v>23.110663828140122</v>
      </c>
      <c r="O57" s="12">
        <v>8239</v>
      </c>
      <c r="P57" s="27">
        <v>52</v>
      </c>
      <c r="Q57" s="12">
        <v>1714.97</v>
      </c>
      <c r="R57" s="27">
        <v>1905</v>
      </c>
      <c r="S57" s="27" t="s">
        <v>523</v>
      </c>
      <c r="T57" s="27" t="s">
        <v>519</v>
      </c>
      <c r="U57" s="27" t="s">
        <v>520</v>
      </c>
      <c r="V57" s="27" t="s">
        <v>523</v>
      </c>
      <c r="W57" s="27" t="s">
        <v>520</v>
      </c>
      <c r="X57" s="27" t="s">
        <v>521</v>
      </c>
      <c r="Y57" s="27" t="s">
        <v>522</v>
      </c>
      <c r="Z57" s="27"/>
      <c r="AA57" s="4"/>
      <c r="AB57" s="4"/>
      <c r="AC57" s="4"/>
      <c r="AD57" s="4"/>
      <c r="AE57" s="4"/>
      <c r="AF57" s="4"/>
    </row>
    <row r="58" spans="1:32" x14ac:dyDescent="0.25">
      <c r="A58" s="27" t="s">
        <v>1189</v>
      </c>
      <c r="B58" s="27" t="str">
        <f t="shared" si="0"/>
        <v>North Carolina</v>
      </c>
      <c r="C58" s="27" t="str">
        <f t="shared" si="1"/>
        <v>Madison</v>
      </c>
      <c r="D58" s="2">
        <v>2800</v>
      </c>
      <c r="E58" s="2">
        <v>76</v>
      </c>
      <c r="F58" s="2">
        <v>4</v>
      </c>
      <c r="G58" s="2">
        <v>77</v>
      </c>
      <c r="H58" s="2">
        <v>82</v>
      </c>
      <c r="I58" s="2">
        <v>77</v>
      </c>
      <c r="J58" s="26">
        <f t="shared" si="4"/>
        <v>81.75</v>
      </c>
      <c r="K58" s="2">
        <v>5198</v>
      </c>
      <c r="L58" s="2">
        <v>8813.26</v>
      </c>
      <c r="M58" s="2">
        <v>347.6</v>
      </c>
      <c r="N58" s="2">
        <f t="shared" si="5"/>
        <v>28.014862385321099</v>
      </c>
      <c r="O58" s="12">
        <v>12450</v>
      </c>
      <c r="P58" s="27">
        <v>64</v>
      </c>
      <c r="Q58" s="12">
        <v>1453.99</v>
      </c>
      <c r="R58" s="27">
        <v>1905</v>
      </c>
      <c r="S58" s="27" t="s">
        <v>518</v>
      </c>
      <c r="T58" s="27" t="s">
        <v>519</v>
      </c>
      <c r="U58" s="27" t="s">
        <v>520</v>
      </c>
      <c r="V58" s="27" t="s">
        <v>518</v>
      </c>
      <c r="W58" s="27" t="s">
        <v>520</v>
      </c>
      <c r="X58" s="27" t="s">
        <v>521</v>
      </c>
      <c r="Y58" s="27" t="s">
        <v>522</v>
      </c>
      <c r="Z58" s="27"/>
      <c r="AA58" s="4"/>
      <c r="AB58" s="4"/>
      <c r="AC58" s="4"/>
      <c r="AD58" s="4"/>
      <c r="AE58" s="4"/>
      <c r="AF58" s="4"/>
    </row>
    <row r="59" spans="1:32" x14ac:dyDescent="0.25">
      <c r="A59" s="27" t="s">
        <v>1190</v>
      </c>
      <c r="B59" s="27" t="str">
        <f t="shared" si="0"/>
        <v>North Carolina</v>
      </c>
      <c r="C59" s="27" t="str">
        <f t="shared" si="1"/>
        <v>Martin</v>
      </c>
      <c r="D59" s="2">
        <v>3152</v>
      </c>
      <c r="E59" s="2">
        <v>54</v>
      </c>
      <c r="F59" s="2">
        <v>37</v>
      </c>
      <c r="G59" s="2">
        <v>94</v>
      </c>
      <c r="H59" s="2">
        <v>91</v>
      </c>
      <c r="I59" s="2">
        <v>86</v>
      </c>
      <c r="J59" s="26">
        <f t="shared" si="4"/>
        <v>88.967032967032964</v>
      </c>
      <c r="K59" s="2">
        <v>4797</v>
      </c>
      <c r="L59" s="2">
        <v>7657.03</v>
      </c>
      <c r="M59" s="2">
        <v>3931.24</v>
      </c>
      <c r="N59" s="2">
        <f t="shared" si="5"/>
        <v>28.627149209486166</v>
      </c>
      <c r="O59" s="12">
        <v>16503</v>
      </c>
      <c r="P59" s="27">
        <v>48</v>
      </c>
      <c r="Q59" s="12">
        <v>3655.34</v>
      </c>
      <c r="R59" s="27">
        <v>1905</v>
      </c>
      <c r="S59" s="27" t="s">
        <v>523</v>
      </c>
      <c r="T59" s="27" t="s">
        <v>519</v>
      </c>
      <c r="U59" s="27" t="s">
        <v>520</v>
      </c>
      <c r="V59" s="27" t="s">
        <v>523</v>
      </c>
      <c r="W59" s="27" t="s">
        <v>520</v>
      </c>
      <c r="X59" s="27" t="s">
        <v>521</v>
      </c>
      <c r="Y59" s="27" t="s">
        <v>522</v>
      </c>
      <c r="Z59" s="27"/>
      <c r="AA59" s="4"/>
      <c r="AB59" s="4"/>
      <c r="AC59" s="4"/>
      <c r="AD59" s="4"/>
      <c r="AE59" s="4"/>
      <c r="AF59" s="4"/>
    </row>
    <row r="60" spans="1:32" x14ac:dyDescent="0.25">
      <c r="A60" s="27" t="s">
        <v>1187</v>
      </c>
      <c r="B60" s="27" t="str">
        <f t="shared" si="0"/>
        <v>North Carolina</v>
      </c>
      <c r="C60" s="27" t="str">
        <f t="shared" si="1"/>
        <v>McDowell</v>
      </c>
      <c r="D60" s="2">
        <v>2016</v>
      </c>
      <c r="E60" s="2">
        <v>52</v>
      </c>
      <c r="F60" s="2">
        <v>9</v>
      </c>
      <c r="G60" s="2">
        <v>65</v>
      </c>
      <c r="H60" s="2">
        <v>87</v>
      </c>
      <c r="I60" s="2">
        <v>75</v>
      </c>
      <c r="J60" s="26">
        <f t="shared" si="4"/>
        <v>85.229508196721312</v>
      </c>
      <c r="K60" s="2">
        <v>3431</v>
      </c>
      <c r="L60" s="2">
        <v>9163.64</v>
      </c>
      <c r="M60" s="2">
        <v>1019.72</v>
      </c>
      <c r="N60" s="2">
        <f t="shared" si="5"/>
        <v>39.174302750528945</v>
      </c>
      <c r="O60" s="12">
        <v>17675</v>
      </c>
      <c r="P60" s="27">
        <v>50</v>
      </c>
      <c r="Q60" s="12">
        <v>4615.5200000000004</v>
      </c>
      <c r="R60" s="27">
        <v>1905</v>
      </c>
      <c r="S60" s="27" t="s">
        <v>518</v>
      </c>
      <c r="T60" s="27" t="s">
        <v>519</v>
      </c>
      <c r="U60" s="27" t="s">
        <v>520</v>
      </c>
      <c r="V60" s="27" t="s">
        <v>518</v>
      </c>
      <c r="W60" s="27" t="s">
        <v>520</v>
      </c>
      <c r="X60" s="27" t="s">
        <v>521</v>
      </c>
      <c r="Y60" s="27" t="s">
        <v>522</v>
      </c>
      <c r="Z60" s="27"/>
      <c r="AA60" s="4"/>
      <c r="AB60" s="4"/>
      <c r="AC60" s="4"/>
      <c r="AD60" s="4"/>
      <c r="AE60" s="4"/>
      <c r="AF60" s="4"/>
    </row>
    <row r="61" spans="1:32" x14ac:dyDescent="0.25">
      <c r="A61" s="27" t="s">
        <v>1191</v>
      </c>
      <c r="B61" s="27" t="str">
        <f t="shared" si="0"/>
        <v>North Carolina</v>
      </c>
      <c r="C61" s="27" t="str">
        <f t="shared" si="1"/>
        <v>Mecklenburg</v>
      </c>
      <c r="D61" s="2">
        <v>8184</v>
      </c>
      <c r="E61" s="2">
        <v>167</v>
      </c>
      <c r="F61" s="2">
        <v>75</v>
      </c>
      <c r="G61" s="2">
        <v>245</v>
      </c>
      <c r="H61" s="2">
        <v>138</v>
      </c>
      <c r="I61" s="2">
        <v>102</v>
      </c>
      <c r="J61" s="26">
        <f t="shared" si="4"/>
        <v>126.84297520661157</v>
      </c>
      <c r="K61" s="2">
        <v>13920</v>
      </c>
      <c r="L61" s="2">
        <v>43918.99</v>
      </c>
      <c r="M61" s="2">
        <v>9573.91</v>
      </c>
      <c r="N61" s="2">
        <f t="shared" si="5"/>
        <v>34.853335939536095</v>
      </c>
      <c r="O61" s="12">
        <v>93284</v>
      </c>
      <c r="P61" s="27">
        <v>70</v>
      </c>
      <c r="Q61" s="12">
        <v>12548.23</v>
      </c>
      <c r="R61" s="27">
        <v>1905</v>
      </c>
      <c r="S61" s="27" t="s">
        <v>523</v>
      </c>
      <c r="T61" s="27" t="s">
        <v>519</v>
      </c>
      <c r="U61" s="27" t="s">
        <v>520</v>
      </c>
      <c r="V61" s="27" t="s">
        <v>523</v>
      </c>
      <c r="W61" s="27" t="s">
        <v>520</v>
      </c>
      <c r="X61" s="27" t="s">
        <v>521</v>
      </c>
      <c r="Y61" s="27" t="s">
        <v>522</v>
      </c>
      <c r="Z61" s="27"/>
      <c r="AA61" s="4"/>
      <c r="AB61" s="4"/>
      <c r="AC61" s="4"/>
      <c r="AD61" s="4"/>
      <c r="AE61" s="4"/>
      <c r="AF61" s="4"/>
    </row>
    <row r="62" spans="1:32" x14ac:dyDescent="0.25">
      <c r="A62" s="27" t="s">
        <v>1192</v>
      </c>
      <c r="B62" s="27" t="str">
        <f t="shared" si="0"/>
        <v>North Carolina</v>
      </c>
      <c r="C62" s="27" t="str">
        <f t="shared" si="1"/>
        <v>Mitchell</v>
      </c>
      <c r="D62" s="2">
        <v>2443</v>
      </c>
      <c r="E62" s="2">
        <v>67</v>
      </c>
      <c r="F62" s="2">
        <v>4</v>
      </c>
      <c r="G62" s="2">
        <v>72</v>
      </c>
      <c r="H62" s="2">
        <v>76</v>
      </c>
      <c r="I62" s="2">
        <v>76</v>
      </c>
      <c r="J62" s="26">
        <f t="shared" si="4"/>
        <v>76</v>
      </c>
      <c r="K62" s="2">
        <v>5331</v>
      </c>
      <c r="L62" s="2">
        <v>7055.95</v>
      </c>
      <c r="M62" s="2">
        <v>296.5</v>
      </c>
      <c r="N62" s="2">
        <f t="shared" si="5"/>
        <v>27.251482579688659</v>
      </c>
      <c r="O62" s="12">
        <v>9374</v>
      </c>
      <c r="P62" s="27">
        <v>48</v>
      </c>
      <c r="Q62" s="12">
        <v>1657.48</v>
      </c>
      <c r="R62" s="27">
        <v>1905</v>
      </c>
      <c r="S62" s="27" t="s">
        <v>518</v>
      </c>
      <c r="T62" s="27" t="s">
        <v>519</v>
      </c>
      <c r="U62" s="27" t="s">
        <v>520</v>
      </c>
      <c r="V62" s="27" t="s">
        <v>518</v>
      </c>
      <c r="W62" s="27" t="s">
        <v>520</v>
      </c>
      <c r="X62" s="27" t="s">
        <v>521</v>
      </c>
      <c r="Y62" s="27" t="s">
        <v>522</v>
      </c>
      <c r="Z62" s="27"/>
      <c r="AA62" s="4"/>
      <c r="AB62" s="4"/>
      <c r="AC62" s="4"/>
      <c r="AD62" s="4"/>
      <c r="AE62" s="4"/>
      <c r="AF62" s="4"/>
    </row>
    <row r="63" spans="1:32" x14ac:dyDescent="0.25">
      <c r="A63" s="27" t="s">
        <v>1193</v>
      </c>
      <c r="B63" s="27" t="str">
        <f t="shared" si="0"/>
        <v>North Carolina</v>
      </c>
      <c r="C63" s="27" t="str">
        <f t="shared" si="1"/>
        <v>Montgomery</v>
      </c>
      <c r="D63" s="2">
        <v>2107</v>
      </c>
      <c r="E63" s="2">
        <v>61</v>
      </c>
      <c r="F63" s="2">
        <v>21</v>
      </c>
      <c r="G63" s="2">
        <v>86</v>
      </c>
      <c r="H63" s="2">
        <v>75</v>
      </c>
      <c r="I63" s="2">
        <v>83</v>
      </c>
      <c r="J63" s="26">
        <f t="shared" si="4"/>
        <v>77.048780487804876</v>
      </c>
      <c r="K63" s="2">
        <v>3564</v>
      </c>
      <c r="L63" s="2">
        <v>6837.52</v>
      </c>
      <c r="M63" s="2">
        <v>1828.78</v>
      </c>
      <c r="N63" s="2">
        <f t="shared" si="5"/>
        <v>27.433681544792659</v>
      </c>
      <c r="O63" s="12">
        <v>11756</v>
      </c>
      <c r="P63" s="27">
        <v>57</v>
      </c>
      <c r="Q63" s="12">
        <v>1092.55</v>
      </c>
      <c r="R63" s="27">
        <v>1905</v>
      </c>
      <c r="S63" s="27" t="s">
        <v>523</v>
      </c>
      <c r="T63" s="27" t="s">
        <v>519</v>
      </c>
      <c r="U63" s="27" t="s">
        <v>520</v>
      </c>
      <c r="V63" s="27" t="s">
        <v>523</v>
      </c>
      <c r="W63" s="27" t="s">
        <v>520</v>
      </c>
      <c r="X63" s="27" t="s">
        <v>521</v>
      </c>
      <c r="Y63" s="27" t="s">
        <v>522</v>
      </c>
      <c r="Z63" s="27"/>
      <c r="AA63" s="4"/>
      <c r="AB63" s="4"/>
      <c r="AC63" s="4"/>
      <c r="AD63" s="4"/>
      <c r="AE63" s="4"/>
      <c r="AF63" s="4"/>
    </row>
    <row r="64" spans="1:32" x14ac:dyDescent="0.25">
      <c r="A64" s="27" t="s">
        <v>1194</v>
      </c>
      <c r="B64" s="27" t="str">
        <f t="shared" si="0"/>
        <v>North Carolina</v>
      </c>
      <c r="C64" s="27" t="str">
        <f t="shared" si="1"/>
        <v>Moore</v>
      </c>
      <c r="D64" s="2">
        <v>4577</v>
      </c>
      <c r="E64" s="2">
        <v>122</v>
      </c>
      <c r="F64" s="2">
        <v>43</v>
      </c>
      <c r="G64" s="2">
        <v>121</v>
      </c>
      <c r="H64" s="2">
        <v>82</v>
      </c>
      <c r="I64" s="2">
        <v>80</v>
      </c>
      <c r="J64" s="26">
        <f t="shared" si="4"/>
        <v>81.478787878787884</v>
      </c>
      <c r="K64" s="2">
        <v>6349</v>
      </c>
      <c r="L64" s="2">
        <v>13656.04</v>
      </c>
      <c r="M64" s="2">
        <v>3592.87</v>
      </c>
      <c r="N64" s="2">
        <f t="shared" si="5"/>
        <v>25.660383814340967</v>
      </c>
      <c r="O64" s="12">
        <v>23784</v>
      </c>
      <c r="P64" s="27">
        <v>88</v>
      </c>
      <c r="Q64" s="12">
        <v>1954.62</v>
      </c>
      <c r="R64" s="27">
        <v>1905</v>
      </c>
      <c r="S64" s="27" t="s">
        <v>518</v>
      </c>
      <c r="T64" s="27" t="s">
        <v>519</v>
      </c>
      <c r="U64" s="27" t="s">
        <v>520</v>
      </c>
      <c r="V64" s="27" t="s">
        <v>518</v>
      </c>
      <c r="W64" s="27" t="s">
        <v>520</v>
      </c>
      <c r="X64" s="27" t="s">
        <v>521</v>
      </c>
      <c r="Y64" s="27" t="s">
        <v>522</v>
      </c>
      <c r="Z64" s="27"/>
      <c r="AA64" s="4"/>
      <c r="AB64" s="4"/>
      <c r="AC64" s="4"/>
      <c r="AD64" s="4"/>
      <c r="AE64" s="4"/>
      <c r="AF64" s="4"/>
    </row>
    <row r="65" spans="1:32" x14ac:dyDescent="0.25">
      <c r="A65" s="27" t="s">
        <v>1195</v>
      </c>
      <c r="B65" s="27" t="str">
        <f t="shared" si="0"/>
        <v>North Carolina</v>
      </c>
      <c r="C65" s="27" t="str">
        <f t="shared" si="1"/>
        <v>Nash</v>
      </c>
      <c r="D65" s="2">
        <v>4395</v>
      </c>
      <c r="E65" s="2">
        <v>98</v>
      </c>
      <c r="F65" s="2">
        <v>44</v>
      </c>
      <c r="G65" s="2">
        <v>132</v>
      </c>
      <c r="H65" s="2">
        <v>107</v>
      </c>
      <c r="I65" s="2">
        <v>82</v>
      </c>
      <c r="J65" s="26">
        <f t="shared" si="4"/>
        <v>99.25352112676056</v>
      </c>
      <c r="K65" s="2">
        <v>6635</v>
      </c>
      <c r="L65" s="2">
        <v>15827.16</v>
      </c>
      <c r="M65" s="2">
        <v>4830.1499999999996</v>
      </c>
      <c r="N65" s="2">
        <f t="shared" si="5"/>
        <v>29.313622818220516</v>
      </c>
      <c r="O65" s="12">
        <v>31770</v>
      </c>
      <c r="P65" s="27">
        <v>58</v>
      </c>
      <c r="Q65" s="12">
        <v>6019.47</v>
      </c>
      <c r="R65" s="27">
        <v>1905</v>
      </c>
      <c r="S65" s="27" t="s">
        <v>523</v>
      </c>
      <c r="T65" s="27" t="s">
        <v>519</v>
      </c>
      <c r="U65" s="27" t="s">
        <v>520</v>
      </c>
      <c r="V65" s="27" t="s">
        <v>523</v>
      </c>
      <c r="W65" s="27" t="s">
        <v>520</v>
      </c>
      <c r="X65" s="27" t="s">
        <v>521</v>
      </c>
      <c r="Y65" s="27" t="s">
        <v>522</v>
      </c>
      <c r="Z65" s="27"/>
      <c r="AA65" s="4"/>
      <c r="AB65" s="4"/>
      <c r="AC65" s="4"/>
      <c r="AD65" s="4"/>
      <c r="AE65" s="4"/>
      <c r="AF65" s="4"/>
    </row>
    <row r="66" spans="1:32" x14ac:dyDescent="0.25">
      <c r="A66" s="27" t="s">
        <v>1196</v>
      </c>
      <c r="B66" s="27" t="str">
        <f t="shared" ref="B66:B104" si="6">LEFT(A66,FIND(";",A66)-1)</f>
        <v>North Carolina</v>
      </c>
      <c r="C66" s="27" t="str">
        <f t="shared" ref="C66:C104" si="7">MID(A66,FIND(";",A66)+1,100)</f>
        <v>New Hanover</v>
      </c>
      <c r="D66" s="2">
        <v>2682</v>
      </c>
      <c r="E66" s="2">
        <v>63</v>
      </c>
      <c r="F66" s="2">
        <v>32</v>
      </c>
      <c r="G66" s="2">
        <v>77</v>
      </c>
      <c r="H66" s="2">
        <v>154</v>
      </c>
      <c r="I66" s="2">
        <v>152</v>
      </c>
      <c r="J66" s="26">
        <f t="shared" si="4"/>
        <v>153.32631578947368</v>
      </c>
      <c r="K66" s="2">
        <v>4059</v>
      </c>
      <c r="L66" s="2">
        <v>20190</v>
      </c>
      <c r="M66" s="2">
        <v>6945</v>
      </c>
      <c r="N66" s="2">
        <f t="shared" si="5"/>
        <v>37.257998077715229</v>
      </c>
      <c r="O66" s="12">
        <v>36449.410000000003</v>
      </c>
      <c r="P66" s="27">
        <v>16</v>
      </c>
      <c r="Q66" s="12">
        <v>1425.03</v>
      </c>
      <c r="R66" s="27">
        <v>1905</v>
      </c>
      <c r="S66" s="27" t="s">
        <v>518</v>
      </c>
      <c r="T66" s="27" t="s">
        <v>519</v>
      </c>
      <c r="U66" s="27" t="s">
        <v>520</v>
      </c>
      <c r="V66" s="27" t="s">
        <v>518</v>
      </c>
      <c r="W66" s="27" t="s">
        <v>520</v>
      </c>
      <c r="X66" s="27" t="s">
        <v>521</v>
      </c>
      <c r="Y66" s="27" t="s">
        <v>522</v>
      </c>
      <c r="Z66" s="27"/>
      <c r="AA66" s="4"/>
      <c r="AB66" s="4"/>
      <c r="AC66" s="4"/>
      <c r="AD66" s="4"/>
      <c r="AE66" s="4"/>
      <c r="AF66" s="4"/>
    </row>
    <row r="67" spans="1:32" x14ac:dyDescent="0.25">
      <c r="A67" s="27" t="s">
        <v>1197</v>
      </c>
      <c r="B67" s="27" t="str">
        <f t="shared" si="6"/>
        <v>North Carolina</v>
      </c>
      <c r="C67" s="27" t="str">
        <f t="shared" si="7"/>
        <v>Northampton</v>
      </c>
      <c r="D67" s="2">
        <v>2542</v>
      </c>
      <c r="E67" s="2">
        <v>46</v>
      </c>
      <c r="F67" s="2">
        <v>48</v>
      </c>
      <c r="G67" s="2">
        <v>96</v>
      </c>
      <c r="H67" s="2">
        <v>85</v>
      </c>
      <c r="I67" s="2">
        <v>82</v>
      </c>
      <c r="J67" s="26">
        <f t="shared" si="4"/>
        <v>83.468085106382972</v>
      </c>
      <c r="K67" s="2">
        <v>4948</v>
      </c>
      <c r="L67" s="2">
        <v>8788.86</v>
      </c>
      <c r="M67" s="2">
        <v>5431.35</v>
      </c>
      <c r="N67" s="2">
        <f t="shared" si="5"/>
        <v>36.248304868722926</v>
      </c>
      <c r="O67" s="12">
        <v>18795.95</v>
      </c>
      <c r="P67" s="27">
        <v>35</v>
      </c>
      <c r="Q67" s="12">
        <v>2440.9</v>
      </c>
      <c r="R67" s="27">
        <v>1905</v>
      </c>
      <c r="S67" s="27" t="s">
        <v>523</v>
      </c>
      <c r="T67" s="27" t="s">
        <v>519</v>
      </c>
      <c r="U67" s="27" t="s">
        <v>520</v>
      </c>
      <c r="V67" s="27" t="s">
        <v>523</v>
      </c>
      <c r="W67" s="27" t="s">
        <v>520</v>
      </c>
      <c r="X67" s="27" t="s">
        <v>521</v>
      </c>
      <c r="Y67" s="27" t="s">
        <v>522</v>
      </c>
      <c r="Z67" s="27"/>
      <c r="AA67" s="4"/>
      <c r="AB67" s="4"/>
      <c r="AC67" s="4"/>
      <c r="AD67" s="4"/>
      <c r="AE67" s="4"/>
      <c r="AF67" s="4"/>
    </row>
    <row r="68" spans="1:32" x14ac:dyDescent="0.25">
      <c r="A68" s="27" t="s">
        <v>1754</v>
      </c>
      <c r="B68" s="27" t="str">
        <f t="shared" si="6"/>
        <v>North Carolina</v>
      </c>
      <c r="C68" s="27" t="str">
        <f t="shared" si="7"/>
        <v>Onslow</v>
      </c>
      <c r="D68" s="2">
        <v>1872</v>
      </c>
      <c r="E68" s="2">
        <v>43</v>
      </c>
      <c r="F68" s="2">
        <v>17</v>
      </c>
      <c r="G68" s="2">
        <v>66</v>
      </c>
      <c r="H68" s="2">
        <v>89</v>
      </c>
      <c r="I68" s="2">
        <v>80</v>
      </c>
      <c r="J68" s="26">
        <f t="shared" si="4"/>
        <v>86.45</v>
      </c>
      <c r="K68" s="2">
        <v>3287</v>
      </c>
      <c r="L68" s="2">
        <v>7636.3</v>
      </c>
      <c r="M68" s="2">
        <v>1630.45</v>
      </c>
      <c r="N68" s="2">
        <f t="shared" si="5"/>
        <v>35.730672835935991</v>
      </c>
      <c r="O68" s="12">
        <v>13271.91</v>
      </c>
      <c r="P68" s="27">
        <v>52</v>
      </c>
      <c r="Q68" s="12">
        <v>1923.82</v>
      </c>
      <c r="R68" s="27">
        <v>1905</v>
      </c>
      <c r="S68" s="27" t="s">
        <v>518</v>
      </c>
      <c r="T68" s="27" t="s">
        <v>519</v>
      </c>
      <c r="U68" s="27" t="s">
        <v>520</v>
      </c>
      <c r="V68" s="27" t="s">
        <v>518</v>
      </c>
      <c r="W68" s="27" t="s">
        <v>520</v>
      </c>
      <c r="X68" s="27" t="s">
        <v>521</v>
      </c>
      <c r="Y68" s="27" t="s">
        <v>522</v>
      </c>
      <c r="Z68" s="27"/>
      <c r="AA68" s="4"/>
      <c r="AB68" s="4"/>
      <c r="AC68" s="4"/>
      <c r="AD68" s="4"/>
      <c r="AE68" s="4"/>
      <c r="AF68" s="4"/>
    </row>
    <row r="69" spans="1:32" x14ac:dyDescent="0.25">
      <c r="A69" s="27" t="s">
        <v>1198</v>
      </c>
      <c r="B69" s="27" t="str">
        <f t="shared" si="6"/>
        <v>North Carolina</v>
      </c>
      <c r="C69" s="27" t="str">
        <f t="shared" si="7"/>
        <v>Orange</v>
      </c>
      <c r="D69" s="2">
        <v>1687</v>
      </c>
      <c r="E69" s="2">
        <v>53</v>
      </c>
      <c r="F69" s="2">
        <v>22</v>
      </c>
      <c r="G69" s="2">
        <v>76</v>
      </c>
      <c r="H69" s="2">
        <v>72</v>
      </c>
      <c r="I69" s="2">
        <v>70</v>
      </c>
      <c r="J69" s="26">
        <f t="shared" si="4"/>
        <v>71.413333333333327</v>
      </c>
      <c r="K69" s="2">
        <v>2964</v>
      </c>
      <c r="L69" s="2">
        <v>6559.75</v>
      </c>
      <c r="M69" s="2">
        <v>1962.76</v>
      </c>
      <c r="N69" s="2">
        <f t="shared" si="5"/>
        <v>31.824159820761764</v>
      </c>
      <c r="O69" s="12">
        <v>14025.06</v>
      </c>
      <c r="P69" s="27">
        <v>48</v>
      </c>
      <c r="Q69" s="12">
        <v>1947.5</v>
      </c>
      <c r="R69" s="27">
        <v>1905</v>
      </c>
      <c r="S69" s="27" t="s">
        <v>523</v>
      </c>
      <c r="T69" s="27" t="s">
        <v>519</v>
      </c>
      <c r="U69" s="27" t="s">
        <v>520</v>
      </c>
      <c r="V69" s="27" t="s">
        <v>523</v>
      </c>
      <c r="W69" s="27" t="s">
        <v>520</v>
      </c>
      <c r="X69" s="27" t="s">
        <v>521</v>
      </c>
      <c r="Y69" s="27" t="s">
        <v>522</v>
      </c>
      <c r="Z69" s="27"/>
      <c r="AA69" s="4"/>
      <c r="AB69" s="4"/>
      <c r="AC69" s="4"/>
      <c r="AD69" s="4"/>
      <c r="AE69" s="4"/>
      <c r="AF69" s="4"/>
    </row>
    <row r="70" spans="1:32" x14ac:dyDescent="0.25">
      <c r="A70" s="27" t="s">
        <v>1199</v>
      </c>
      <c r="B70" s="27" t="str">
        <f t="shared" si="6"/>
        <v>North Carolina</v>
      </c>
      <c r="C70" s="27" t="str">
        <f t="shared" si="7"/>
        <v>Pamlico</v>
      </c>
      <c r="D70" s="27">
        <v>1311</v>
      </c>
      <c r="E70" s="2">
        <v>46</v>
      </c>
      <c r="F70" s="2">
        <v>23</v>
      </c>
      <c r="G70" s="2">
        <v>55</v>
      </c>
      <c r="H70" s="2">
        <v>78</v>
      </c>
      <c r="I70" s="2">
        <v>71</v>
      </c>
      <c r="J70" s="26">
        <f t="shared" si="4"/>
        <v>75.666666666666671</v>
      </c>
      <c r="K70" s="2">
        <v>2321</v>
      </c>
      <c r="L70" s="2">
        <v>4253.8999999999996</v>
      </c>
      <c r="M70" s="2">
        <v>1382.41</v>
      </c>
      <c r="N70" s="2">
        <f t="shared" si="5"/>
        <v>21.590921279448381</v>
      </c>
      <c r="O70" s="12">
        <v>10521.49</v>
      </c>
      <c r="P70" s="27">
        <v>19</v>
      </c>
      <c r="Q70" s="12">
        <v>2821.03</v>
      </c>
      <c r="R70" s="27">
        <v>1905</v>
      </c>
      <c r="S70" s="27" t="s">
        <v>518</v>
      </c>
      <c r="T70" s="27" t="s">
        <v>519</v>
      </c>
      <c r="U70" s="27" t="s">
        <v>520</v>
      </c>
      <c r="V70" s="27" t="s">
        <v>518</v>
      </c>
      <c r="W70" s="27" t="s">
        <v>520</v>
      </c>
      <c r="X70" s="27" t="s">
        <v>521</v>
      </c>
      <c r="Y70" s="27" t="s">
        <v>522</v>
      </c>
      <c r="Z70" s="27"/>
      <c r="AA70" s="4"/>
      <c r="AB70" s="4"/>
      <c r="AC70" s="4"/>
      <c r="AD70" s="4"/>
      <c r="AE70" s="4"/>
      <c r="AF70" s="4"/>
    </row>
    <row r="71" spans="1:32" x14ac:dyDescent="0.25">
      <c r="A71" s="27" t="s">
        <v>1200</v>
      </c>
      <c r="B71" s="27" t="str">
        <f t="shared" si="6"/>
        <v>North Carolina</v>
      </c>
      <c r="C71" s="27" t="str">
        <f t="shared" si="7"/>
        <v>Pasquotank</v>
      </c>
      <c r="D71" s="27">
        <v>1759</v>
      </c>
      <c r="E71" s="2">
        <v>27</v>
      </c>
      <c r="F71" s="2">
        <v>19</v>
      </c>
      <c r="G71" s="2">
        <v>56</v>
      </c>
      <c r="H71" s="2">
        <v>101</v>
      </c>
      <c r="I71" s="2">
        <v>103</v>
      </c>
      <c r="J71" s="26">
        <f t="shared" si="4"/>
        <v>101.82608695652173</v>
      </c>
      <c r="K71" s="2">
        <v>2878</v>
      </c>
      <c r="L71" s="2">
        <v>6034.06</v>
      </c>
      <c r="M71" s="2">
        <v>3688.82</v>
      </c>
      <c r="N71" s="2">
        <f t="shared" si="5"/>
        <v>41.515286080273277</v>
      </c>
      <c r="O71" s="12">
        <v>12598.97</v>
      </c>
      <c r="P71" s="27">
        <v>22</v>
      </c>
      <c r="Q71" s="12">
        <v>1653.48</v>
      </c>
      <c r="R71" s="27">
        <v>1905</v>
      </c>
      <c r="S71" s="27" t="s">
        <v>523</v>
      </c>
      <c r="T71" s="27" t="s">
        <v>519</v>
      </c>
      <c r="U71" s="27" t="s">
        <v>520</v>
      </c>
      <c r="V71" s="27" t="s">
        <v>523</v>
      </c>
      <c r="W71" s="27" t="s">
        <v>520</v>
      </c>
      <c r="X71" s="27" t="s">
        <v>521</v>
      </c>
      <c r="Y71" s="27" t="s">
        <v>522</v>
      </c>
      <c r="Z71" s="27"/>
      <c r="AA71" s="4"/>
      <c r="AB71" s="4"/>
      <c r="AC71" s="4"/>
      <c r="AD71" s="4"/>
      <c r="AE71" s="4"/>
      <c r="AF71" s="4"/>
    </row>
    <row r="72" spans="1:32" x14ac:dyDescent="0.25">
      <c r="A72" s="27" t="s">
        <v>1201</v>
      </c>
      <c r="B72" s="27" t="str">
        <f t="shared" si="6"/>
        <v>North Carolina</v>
      </c>
      <c r="C72" s="27" t="str">
        <f t="shared" si="7"/>
        <v>Pender</v>
      </c>
      <c r="D72" s="2">
        <v>2452</v>
      </c>
      <c r="E72" s="2">
        <v>50</v>
      </c>
      <c r="F72" s="2">
        <v>42</v>
      </c>
      <c r="G72" s="2">
        <v>95</v>
      </c>
      <c r="H72" s="2">
        <v>78</v>
      </c>
      <c r="I72" s="2">
        <v>74</v>
      </c>
      <c r="J72" s="26">
        <f t="shared" si="4"/>
        <v>76.173913043478265</v>
      </c>
      <c r="K72" s="2">
        <v>3798</v>
      </c>
      <c r="L72" s="2">
        <v>6636.22</v>
      </c>
      <c r="M72" s="2">
        <v>3077.24</v>
      </c>
      <c r="N72" s="2">
        <f t="shared" si="5"/>
        <v>27.721061643835611</v>
      </c>
      <c r="O72" s="12">
        <v>12499.62</v>
      </c>
      <c r="P72" s="27">
        <v>44</v>
      </c>
      <c r="Q72" s="12">
        <v>1979.73</v>
      </c>
      <c r="R72" s="27">
        <v>1905</v>
      </c>
      <c r="S72" s="27" t="s">
        <v>518</v>
      </c>
      <c r="T72" s="27" t="s">
        <v>519</v>
      </c>
      <c r="U72" s="27" t="s">
        <v>520</v>
      </c>
      <c r="V72" s="27" t="s">
        <v>518</v>
      </c>
      <c r="W72" s="27" t="s">
        <v>520</v>
      </c>
      <c r="X72" s="27" t="s">
        <v>521</v>
      </c>
      <c r="Y72" s="27" t="s">
        <v>522</v>
      </c>
      <c r="Z72" s="27"/>
      <c r="AA72" s="4"/>
      <c r="AB72" s="4"/>
      <c r="AC72" s="4"/>
      <c r="AD72" s="4"/>
      <c r="AE72" s="4"/>
      <c r="AF72" s="4"/>
    </row>
    <row r="73" spans="1:32" x14ac:dyDescent="0.25">
      <c r="A73" s="27" t="s">
        <v>1202</v>
      </c>
      <c r="B73" s="27" t="str">
        <f t="shared" si="6"/>
        <v>North Carolina</v>
      </c>
      <c r="C73" s="27" t="str">
        <f t="shared" si="7"/>
        <v>Perquimans</v>
      </c>
      <c r="D73" s="27">
        <v>1749</v>
      </c>
      <c r="E73" s="2">
        <v>26</v>
      </c>
      <c r="F73" s="2">
        <v>21</v>
      </c>
      <c r="G73" s="2">
        <v>55</v>
      </c>
      <c r="H73" s="2">
        <v>71</v>
      </c>
      <c r="I73" s="2">
        <v>76</v>
      </c>
      <c r="J73" s="26">
        <f t="shared" si="4"/>
        <v>73.234042553191486</v>
      </c>
      <c r="K73" s="2">
        <v>2765</v>
      </c>
      <c r="L73" s="2">
        <v>2974.45</v>
      </c>
      <c r="M73" s="2">
        <v>1938.2</v>
      </c>
      <c r="N73" s="2">
        <f t="shared" si="5"/>
        <v>28.545322486926203</v>
      </c>
      <c r="O73" s="12">
        <v>6051.69</v>
      </c>
      <c r="P73" s="27">
        <v>25</v>
      </c>
      <c r="Q73" s="12">
        <v>2228.21</v>
      </c>
      <c r="R73" s="27">
        <v>1905</v>
      </c>
      <c r="S73" s="27" t="s">
        <v>523</v>
      </c>
      <c r="T73" s="27" t="s">
        <v>519</v>
      </c>
      <c r="U73" s="27" t="s">
        <v>520</v>
      </c>
      <c r="V73" s="27" t="s">
        <v>523</v>
      </c>
      <c r="W73" s="27" t="s">
        <v>520</v>
      </c>
      <c r="X73" s="27" t="s">
        <v>521</v>
      </c>
      <c r="Y73" s="27" t="s">
        <v>522</v>
      </c>
      <c r="Z73" s="27"/>
      <c r="AA73" s="4"/>
      <c r="AB73" s="4"/>
      <c r="AC73" s="4"/>
      <c r="AD73" s="4"/>
      <c r="AE73" s="4"/>
      <c r="AF73" s="4"/>
    </row>
    <row r="74" spans="1:32" x14ac:dyDescent="0.25">
      <c r="A74" s="27" t="s">
        <v>1203</v>
      </c>
      <c r="B74" s="27" t="str">
        <f t="shared" si="6"/>
        <v>North Carolina</v>
      </c>
      <c r="C74" s="27" t="str">
        <f t="shared" si="7"/>
        <v>Person</v>
      </c>
      <c r="D74" s="2">
        <v>1968</v>
      </c>
      <c r="E74" s="2">
        <v>51</v>
      </c>
      <c r="F74" s="2">
        <v>33</v>
      </c>
      <c r="G74" s="2">
        <v>86</v>
      </c>
      <c r="H74" s="2">
        <v>108</v>
      </c>
      <c r="I74" s="2">
        <v>105</v>
      </c>
      <c r="J74" s="26">
        <f t="shared" si="4"/>
        <v>106.82142857142857</v>
      </c>
      <c r="K74" s="2">
        <v>3953</v>
      </c>
      <c r="L74" s="2">
        <v>9151.0300000000007</v>
      </c>
      <c r="M74" s="2">
        <v>2862.7</v>
      </c>
      <c r="N74" s="2">
        <f t="shared" si="5"/>
        <v>26.777510308703889</v>
      </c>
      <c r="O74" s="12">
        <v>15880.23</v>
      </c>
      <c r="P74" s="27">
        <v>40</v>
      </c>
      <c r="Q74" s="12">
        <v>2018.08</v>
      </c>
      <c r="R74" s="27">
        <v>1905</v>
      </c>
      <c r="S74" s="27" t="s">
        <v>518</v>
      </c>
      <c r="T74" s="27" t="s">
        <v>519</v>
      </c>
      <c r="U74" s="27" t="s">
        <v>520</v>
      </c>
      <c r="V74" s="27" t="s">
        <v>518</v>
      </c>
      <c r="W74" s="27" t="s">
        <v>520</v>
      </c>
      <c r="X74" s="27" t="s">
        <v>521</v>
      </c>
      <c r="Y74" s="27" t="s">
        <v>522</v>
      </c>
      <c r="Z74" s="27"/>
      <c r="AA74" s="4"/>
      <c r="AB74" s="4"/>
      <c r="AC74" s="4"/>
      <c r="AD74" s="4"/>
      <c r="AE74" s="4"/>
      <c r="AF74" s="4"/>
    </row>
    <row r="75" spans="1:32" x14ac:dyDescent="0.25">
      <c r="A75" s="27" t="s">
        <v>1204</v>
      </c>
      <c r="B75" s="27" t="str">
        <f t="shared" si="6"/>
        <v>North Carolina</v>
      </c>
      <c r="C75" s="27" t="str">
        <f t="shared" si="7"/>
        <v>Pitt</v>
      </c>
      <c r="D75" s="2">
        <v>5191</v>
      </c>
      <c r="E75" s="2">
        <v>113</v>
      </c>
      <c r="F75" s="2">
        <v>57</v>
      </c>
      <c r="G75" s="2">
        <v>174</v>
      </c>
      <c r="H75" s="2">
        <v>107</v>
      </c>
      <c r="I75" s="2">
        <v>87</v>
      </c>
      <c r="J75" s="26">
        <f t="shared" si="4"/>
        <v>100.29411764705883</v>
      </c>
      <c r="K75" s="2">
        <v>8712</v>
      </c>
      <c r="L75" s="2">
        <v>23786.16</v>
      </c>
      <c r="M75" s="2">
        <v>5070.84</v>
      </c>
      <c r="N75" s="2">
        <f t="shared" si="5"/>
        <v>33.849853372434019</v>
      </c>
      <c r="O75" s="12">
        <v>40215.82</v>
      </c>
      <c r="P75" s="27">
        <v>81</v>
      </c>
      <c r="Q75" s="12">
        <v>10508.79</v>
      </c>
      <c r="R75" s="27">
        <v>1905</v>
      </c>
      <c r="S75" s="27" t="s">
        <v>523</v>
      </c>
      <c r="T75" s="27" t="s">
        <v>519</v>
      </c>
      <c r="U75" s="27" t="s">
        <v>520</v>
      </c>
      <c r="V75" s="27" t="s">
        <v>523</v>
      </c>
      <c r="W75" s="27" t="s">
        <v>520</v>
      </c>
      <c r="X75" s="27" t="s">
        <v>521</v>
      </c>
      <c r="Y75" s="27" t="s">
        <v>522</v>
      </c>
      <c r="Z75" s="27"/>
      <c r="AA75" s="4"/>
      <c r="AB75" s="4"/>
      <c r="AC75" s="4"/>
      <c r="AD75" s="4"/>
      <c r="AE75" s="4"/>
      <c r="AF75" s="4"/>
    </row>
    <row r="76" spans="1:32" x14ac:dyDescent="0.25">
      <c r="A76" s="27" t="s">
        <v>1205</v>
      </c>
      <c r="B76" s="27" t="str">
        <f t="shared" si="6"/>
        <v>North Carolina</v>
      </c>
      <c r="C76" s="27" t="str">
        <f t="shared" si="7"/>
        <v>Polk</v>
      </c>
      <c r="D76" s="27">
        <v>852</v>
      </c>
      <c r="E76" s="2">
        <v>26</v>
      </c>
      <c r="F76" s="2">
        <v>8</v>
      </c>
      <c r="G76" s="2">
        <v>43</v>
      </c>
      <c r="H76" s="2">
        <v>77</v>
      </c>
      <c r="I76" s="2">
        <v>76</v>
      </c>
      <c r="J76" s="26">
        <f t="shared" si="4"/>
        <v>76.764705882352942</v>
      </c>
      <c r="K76" s="2">
        <v>1613</v>
      </c>
      <c r="L76" s="2">
        <v>3195.09</v>
      </c>
      <c r="M76" s="2">
        <v>601.5</v>
      </c>
      <c r="N76" s="2">
        <f t="shared" si="5"/>
        <v>29.092643678160922</v>
      </c>
      <c r="O76" s="12">
        <v>4583.03</v>
      </c>
      <c r="P76" s="27">
        <v>27</v>
      </c>
      <c r="Q76" s="12">
        <v>497.52</v>
      </c>
      <c r="R76" s="27">
        <v>1905</v>
      </c>
      <c r="S76" s="27" t="s">
        <v>518</v>
      </c>
      <c r="T76" s="27" t="s">
        <v>519</v>
      </c>
      <c r="U76" s="27" t="s">
        <v>520</v>
      </c>
      <c r="V76" s="27" t="s">
        <v>518</v>
      </c>
      <c r="W76" s="27" t="s">
        <v>520</v>
      </c>
      <c r="X76" s="27" t="s">
        <v>521</v>
      </c>
      <c r="Y76" s="27" t="s">
        <v>522</v>
      </c>
      <c r="Z76" s="27"/>
      <c r="AA76" s="4"/>
      <c r="AB76" s="4"/>
      <c r="AC76" s="4"/>
      <c r="AD76" s="4"/>
      <c r="AE76" s="4"/>
      <c r="AF76" s="4"/>
    </row>
    <row r="77" spans="1:32" x14ac:dyDescent="0.25">
      <c r="A77" s="27" t="s">
        <v>1206</v>
      </c>
      <c r="B77" s="27" t="str">
        <f t="shared" si="6"/>
        <v>North Carolina</v>
      </c>
      <c r="C77" s="27" t="str">
        <f t="shared" si="7"/>
        <v>Randolph</v>
      </c>
      <c r="D77" s="2">
        <v>4185</v>
      </c>
      <c r="E77" s="2">
        <v>132</v>
      </c>
      <c r="F77" s="2">
        <v>23</v>
      </c>
      <c r="G77" s="2">
        <v>155</v>
      </c>
      <c r="H77" s="2">
        <v>90</v>
      </c>
      <c r="I77" s="2">
        <v>85</v>
      </c>
      <c r="J77" s="26">
        <f t="shared" si="4"/>
        <v>89.258064516129039</v>
      </c>
      <c r="K77" s="2">
        <v>7061</v>
      </c>
      <c r="L77" s="2">
        <v>15125.38</v>
      </c>
      <c r="M77" s="2">
        <v>1953.28</v>
      </c>
      <c r="N77" s="2">
        <f t="shared" si="5"/>
        <v>24.689063968196603</v>
      </c>
      <c r="O77" s="12">
        <v>26654.75</v>
      </c>
      <c r="P77" s="27">
        <v>100</v>
      </c>
      <c r="Q77" s="12">
        <v>7922.32</v>
      </c>
      <c r="R77" s="27">
        <v>1905</v>
      </c>
      <c r="S77" s="27" t="s">
        <v>523</v>
      </c>
      <c r="T77" s="27" t="s">
        <v>519</v>
      </c>
      <c r="U77" s="27" t="s">
        <v>520</v>
      </c>
      <c r="V77" s="27" t="s">
        <v>523</v>
      </c>
      <c r="W77" s="27" t="s">
        <v>520</v>
      </c>
      <c r="X77" s="27" t="s">
        <v>521</v>
      </c>
      <c r="Y77" s="27" t="s">
        <v>522</v>
      </c>
      <c r="Z77" s="27"/>
      <c r="AA77" s="4"/>
      <c r="AB77" s="4"/>
      <c r="AC77" s="4"/>
      <c r="AD77" s="4"/>
      <c r="AE77" s="4"/>
      <c r="AF77" s="4"/>
    </row>
    <row r="78" spans="1:32" x14ac:dyDescent="0.25">
      <c r="A78" s="27" t="s">
        <v>1207</v>
      </c>
      <c r="B78" s="27" t="str">
        <f t="shared" si="6"/>
        <v>North Carolina</v>
      </c>
      <c r="C78" s="27" t="str">
        <f t="shared" si="7"/>
        <v>Richmond</v>
      </c>
      <c r="D78" s="2">
        <v>2031</v>
      </c>
      <c r="E78" s="2">
        <v>50</v>
      </c>
      <c r="F78" s="2">
        <v>26</v>
      </c>
      <c r="G78" s="2">
        <v>87</v>
      </c>
      <c r="H78" s="2">
        <v>118</v>
      </c>
      <c r="I78" s="2">
        <v>108</v>
      </c>
      <c r="J78" s="26">
        <f t="shared" si="4"/>
        <v>114.57894736842105</v>
      </c>
      <c r="K78" s="2">
        <v>3804</v>
      </c>
      <c r="L78" s="2">
        <v>8942.07</v>
      </c>
      <c r="M78" s="2">
        <v>2875.88</v>
      </c>
      <c r="N78" s="2">
        <f t="shared" si="5"/>
        <v>27.142742305925587</v>
      </c>
      <c r="O78" s="12">
        <v>18301.150000000001</v>
      </c>
      <c r="P78" s="27">
        <v>29</v>
      </c>
      <c r="Q78" s="12">
        <v>519.42999999999995</v>
      </c>
      <c r="R78" s="27">
        <v>1905</v>
      </c>
      <c r="S78" s="27" t="s">
        <v>518</v>
      </c>
      <c r="T78" s="27" t="s">
        <v>519</v>
      </c>
      <c r="U78" s="27" t="s">
        <v>520</v>
      </c>
      <c r="V78" s="27" t="s">
        <v>518</v>
      </c>
      <c r="W78" s="27" t="s">
        <v>520</v>
      </c>
      <c r="X78" s="27" t="s">
        <v>521</v>
      </c>
      <c r="Y78" s="27" t="s">
        <v>522</v>
      </c>
      <c r="Z78" s="27"/>
      <c r="AA78" s="4"/>
      <c r="AB78" s="4"/>
      <c r="AC78" s="4"/>
      <c r="AD78" s="4"/>
      <c r="AE78" s="4"/>
      <c r="AF78" s="4"/>
    </row>
    <row r="79" spans="1:32" x14ac:dyDescent="0.25">
      <c r="A79" s="27" t="s">
        <v>1208</v>
      </c>
      <c r="B79" s="27" t="str">
        <f t="shared" si="6"/>
        <v>North Carolina</v>
      </c>
      <c r="C79" s="27" t="str">
        <f t="shared" si="7"/>
        <v>Robeson</v>
      </c>
      <c r="D79" s="2">
        <v>6294</v>
      </c>
      <c r="E79" s="2">
        <v>97</v>
      </c>
      <c r="F79" s="2">
        <v>74</v>
      </c>
      <c r="G79" s="2">
        <v>150</v>
      </c>
      <c r="H79" s="2">
        <v>74</v>
      </c>
      <c r="I79" s="2">
        <v>66</v>
      </c>
      <c r="J79" s="26">
        <f t="shared" si="4"/>
        <v>70.538011695906434</v>
      </c>
      <c r="K79" s="2">
        <v>10047</v>
      </c>
      <c r="L79" s="2">
        <v>15716.82</v>
      </c>
      <c r="M79" s="2">
        <v>9393.3700000000008</v>
      </c>
      <c r="N79" s="2">
        <f t="shared" si="5"/>
        <v>41.635201459127842</v>
      </c>
      <c r="O79" s="12">
        <v>38187.910000000003</v>
      </c>
      <c r="P79" s="27">
        <v>71</v>
      </c>
      <c r="Q79" s="12">
        <v>9595.44</v>
      </c>
      <c r="R79" s="27">
        <v>1905</v>
      </c>
      <c r="S79" s="27" t="s">
        <v>523</v>
      </c>
      <c r="T79" s="27" t="s">
        <v>519</v>
      </c>
      <c r="U79" s="27" t="s">
        <v>520</v>
      </c>
      <c r="V79" s="27" t="s">
        <v>523</v>
      </c>
      <c r="W79" s="27" t="s">
        <v>520</v>
      </c>
      <c r="X79" s="27" t="s">
        <v>521</v>
      </c>
      <c r="Y79" s="27" t="s">
        <v>522</v>
      </c>
      <c r="Z79" s="27"/>
      <c r="AA79" s="4"/>
      <c r="AB79" s="4"/>
      <c r="AC79" s="4"/>
      <c r="AD79" s="4"/>
      <c r="AE79" s="4"/>
      <c r="AF79" s="4"/>
    </row>
    <row r="80" spans="1:32" x14ac:dyDescent="0.25">
      <c r="A80" s="27" t="s">
        <v>1209</v>
      </c>
      <c r="B80" s="27" t="str">
        <f t="shared" si="6"/>
        <v>North Carolina</v>
      </c>
      <c r="C80" s="27" t="str">
        <f t="shared" si="7"/>
        <v>Rockingham</v>
      </c>
      <c r="D80" s="27">
        <v>3922</v>
      </c>
      <c r="E80" s="2">
        <v>108</v>
      </c>
      <c r="F80" s="2">
        <v>51</v>
      </c>
      <c r="G80" s="2">
        <v>154</v>
      </c>
      <c r="H80" s="2">
        <v>88</v>
      </c>
      <c r="I80" s="2">
        <v>93</v>
      </c>
      <c r="J80" s="26">
        <f t="shared" si="4"/>
        <v>89.603773584905667</v>
      </c>
      <c r="K80" s="2">
        <v>7409</v>
      </c>
      <c r="L80" s="2">
        <v>15637.8</v>
      </c>
      <c r="M80" s="2">
        <v>5144.97</v>
      </c>
      <c r="N80" s="2">
        <f t="shared" si="5"/>
        <v>29.174942093072225</v>
      </c>
      <c r="O80" s="12">
        <v>31620.41</v>
      </c>
      <c r="P80" s="27">
        <v>68</v>
      </c>
      <c r="Q80" s="12">
        <v>9109.85</v>
      </c>
      <c r="R80" s="27">
        <v>1905</v>
      </c>
      <c r="S80" s="27" t="s">
        <v>518</v>
      </c>
      <c r="T80" s="27" t="s">
        <v>519</v>
      </c>
      <c r="U80" s="27" t="s">
        <v>520</v>
      </c>
      <c r="V80" s="27" t="s">
        <v>518</v>
      </c>
      <c r="W80" s="27" t="s">
        <v>520</v>
      </c>
      <c r="X80" s="27" t="s">
        <v>521</v>
      </c>
      <c r="Y80" s="27" t="s">
        <v>522</v>
      </c>
      <c r="Z80" s="27"/>
      <c r="AA80" s="4"/>
      <c r="AB80" s="4"/>
      <c r="AC80" s="4"/>
      <c r="AD80" s="4"/>
      <c r="AE80" s="4"/>
      <c r="AF80" s="4"/>
    </row>
    <row r="81" spans="1:32" x14ac:dyDescent="0.25">
      <c r="A81" s="27" t="s">
        <v>1210</v>
      </c>
      <c r="B81" s="27" t="str">
        <f t="shared" si="6"/>
        <v>North Carolina</v>
      </c>
      <c r="C81" s="27" t="str">
        <f t="shared" si="7"/>
        <v>Rowan</v>
      </c>
      <c r="D81" s="2">
        <v>5286</v>
      </c>
      <c r="E81" s="2">
        <v>140</v>
      </c>
      <c r="F81" s="2">
        <v>44</v>
      </c>
      <c r="G81" s="2">
        <v>160</v>
      </c>
      <c r="H81" s="2">
        <v>103</v>
      </c>
      <c r="I81" s="2">
        <v>91</v>
      </c>
      <c r="J81" s="26">
        <f t="shared" si="4"/>
        <v>100.1304347826087</v>
      </c>
      <c r="K81" s="2">
        <v>7668</v>
      </c>
      <c r="L81" s="2">
        <v>26907.74</v>
      </c>
      <c r="M81" s="2">
        <v>5100.0600000000004</v>
      </c>
      <c r="N81" s="2">
        <f t="shared" si="5"/>
        <v>34.745766391663047</v>
      </c>
      <c r="O81" s="12">
        <v>49314.65</v>
      </c>
      <c r="P81" s="27">
        <v>77</v>
      </c>
      <c r="Q81" s="12">
        <v>14644.91</v>
      </c>
      <c r="R81" s="27">
        <v>1905</v>
      </c>
      <c r="S81" s="27" t="s">
        <v>523</v>
      </c>
      <c r="T81" s="27" t="s">
        <v>519</v>
      </c>
      <c r="U81" s="27" t="s">
        <v>520</v>
      </c>
      <c r="V81" s="27" t="s">
        <v>523</v>
      </c>
      <c r="W81" s="27" t="s">
        <v>520</v>
      </c>
      <c r="X81" s="27" t="s">
        <v>521</v>
      </c>
      <c r="Y81" s="27" t="s">
        <v>522</v>
      </c>
      <c r="Z81" s="27"/>
      <c r="AA81" s="4"/>
      <c r="AB81" s="4"/>
      <c r="AC81" s="4"/>
      <c r="AD81" s="4"/>
      <c r="AE81" s="4"/>
      <c r="AF81" s="4"/>
    </row>
    <row r="82" spans="1:32" x14ac:dyDescent="0.25">
      <c r="A82" s="27" t="s">
        <v>1755</v>
      </c>
      <c r="B82" s="27" t="str">
        <f t="shared" si="6"/>
        <v>North Carolina</v>
      </c>
      <c r="C82" s="27" t="str">
        <f t="shared" si="7"/>
        <v>Rutherford</v>
      </c>
      <c r="D82" s="2">
        <v>3193</v>
      </c>
      <c r="E82" s="2">
        <v>93</v>
      </c>
      <c r="F82" s="2">
        <v>20</v>
      </c>
      <c r="G82" s="2">
        <v>115</v>
      </c>
      <c r="H82" s="2">
        <v>83</v>
      </c>
      <c r="I82" s="2">
        <v>80</v>
      </c>
      <c r="J82" s="26">
        <f t="shared" si="4"/>
        <v>82.469026548672559</v>
      </c>
      <c r="K82" s="2">
        <v>6220</v>
      </c>
      <c r="L82" s="2">
        <v>10444.19</v>
      </c>
      <c r="M82" s="2">
        <v>1162.6600000000001</v>
      </c>
      <c r="N82" s="2">
        <f t="shared" si="5"/>
        <v>24.910076188432239</v>
      </c>
      <c r="O82" s="12">
        <v>16649.73</v>
      </c>
      <c r="P82" s="27">
        <v>57</v>
      </c>
      <c r="Q82" s="12">
        <v>4856.95</v>
      </c>
      <c r="R82" s="27">
        <v>1905</v>
      </c>
      <c r="S82" s="27" t="s">
        <v>518</v>
      </c>
      <c r="T82" s="27" t="s">
        <v>519</v>
      </c>
      <c r="U82" s="27" t="s">
        <v>520</v>
      </c>
      <c r="V82" s="27" t="s">
        <v>518</v>
      </c>
      <c r="W82" s="27" t="s">
        <v>520</v>
      </c>
      <c r="X82" s="27" t="s">
        <v>521</v>
      </c>
      <c r="Y82" s="27" t="s">
        <v>522</v>
      </c>
      <c r="Z82" s="27"/>
      <c r="AA82" s="4"/>
      <c r="AB82" s="4"/>
      <c r="AC82" s="4"/>
      <c r="AD82" s="4"/>
      <c r="AE82" s="4"/>
      <c r="AF82" s="4"/>
    </row>
    <row r="83" spans="1:32" x14ac:dyDescent="0.25">
      <c r="A83" s="27" t="s">
        <v>1211</v>
      </c>
      <c r="B83" s="27" t="str">
        <f t="shared" si="6"/>
        <v>North Carolina</v>
      </c>
      <c r="C83" s="27" t="str">
        <f t="shared" si="7"/>
        <v>Sampson</v>
      </c>
      <c r="D83" s="2">
        <v>3953</v>
      </c>
      <c r="E83" s="2">
        <v>106</v>
      </c>
      <c r="F83" s="2">
        <v>48</v>
      </c>
      <c r="G83" s="2">
        <v>134</v>
      </c>
      <c r="H83" s="2">
        <v>93</v>
      </c>
      <c r="I83" s="2">
        <v>97</v>
      </c>
      <c r="J83" s="26">
        <f t="shared" si="4"/>
        <v>94.246753246753244</v>
      </c>
      <c r="K83" s="2">
        <v>6486</v>
      </c>
      <c r="L83" s="2">
        <v>11844.67</v>
      </c>
      <c r="M83" s="2">
        <v>3501.02</v>
      </c>
      <c r="N83" s="2">
        <f t="shared" si="5"/>
        <v>21.146052087639521</v>
      </c>
      <c r="O83" s="12">
        <v>21737</v>
      </c>
      <c r="P83" s="27">
        <v>81</v>
      </c>
      <c r="Q83" s="12">
        <v>801.5</v>
      </c>
      <c r="R83" s="27">
        <v>1905</v>
      </c>
      <c r="S83" s="27" t="s">
        <v>523</v>
      </c>
      <c r="T83" s="27" t="s">
        <v>519</v>
      </c>
      <c r="U83" s="27" t="s">
        <v>520</v>
      </c>
      <c r="V83" s="27" t="s">
        <v>523</v>
      </c>
      <c r="W83" s="27" t="s">
        <v>520</v>
      </c>
      <c r="X83" s="27" t="s">
        <v>521</v>
      </c>
      <c r="Y83" s="27" t="s">
        <v>522</v>
      </c>
      <c r="Z83" s="27"/>
      <c r="AA83" s="4"/>
      <c r="AB83" s="4"/>
      <c r="AC83" s="4"/>
      <c r="AD83" s="4"/>
      <c r="AE83" s="4"/>
      <c r="AF83" s="4"/>
    </row>
    <row r="84" spans="1:32" x14ac:dyDescent="0.25">
      <c r="A84" s="27" t="s">
        <v>1212</v>
      </c>
      <c r="B84" s="27" t="str">
        <f t="shared" si="6"/>
        <v>North Carolina</v>
      </c>
      <c r="C84" s="27" t="str">
        <f t="shared" si="7"/>
        <v>Scotland</v>
      </c>
      <c r="D84" s="27">
        <v>1239</v>
      </c>
      <c r="E84" s="2">
        <v>25</v>
      </c>
      <c r="F84" s="2">
        <v>22</v>
      </c>
      <c r="G84" s="2">
        <v>48</v>
      </c>
      <c r="H84" s="2">
        <v>105</v>
      </c>
      <c r="I84" s="2">
        <v>90</v>
      </c>
      <c r="J84" s="26">
        <f t="shared" si="4"/>
        <v>97.978723404255319</v>
      </c>
      <c r="K84" s="27">
        <v>2526</v>
      </c>
      <c r="L84" s="2">
        <v>3948.58</v>
      </c>
      <c r="M84" s="2">
        <v>2516.4499999999998</v>
      </c>
      <c r="N84" s="2">
        <f t="shared" si="5"/>
        <v>28.078306188925083</v>
      </c>
      <c r="O84" s="12">
        <v>7837</v>
      </c>
      <c r="P84" s="27">
        <v>24</v>
      </c>
      <c r="Q84" s="12">
        <v>295.61</v>
      </c>
      <c r="R84" s="27">
        <v>1905</v>
      </c>
      <c r="S84" s="27" t="s">
        <v>518</v>
      </c>
      <c r="T84" s="27" t="s">
        <v>519</v>
      </c>
      <c r="U84" s="27" t="s">
        <v>520</v>
      </c>
      <c r="V84" s="27" t="s">
        <v>518</v>
      </c>
      <c r="W84" s="27" t="s">
        <v>520</v>
      </c>
      <c r="X84" s="27" t="s">
        <v>521</v>
      </c>
      <c r="Y84" s="27" t="s">
        <v>522</v>
      </c>
      <c r="Z84" s="27"/>
      <c r="AA84" s="4"/>
      <c r="AB84" s="4"/>
      <c r="AC84" s="4"/>
      <c r="AD84" s="4"/>
      <c r="AE84" s="4"/>
      <c r="AF84" s="4"/>
    </row>
    <row r="85" spans="1:32" x14ac:dyDescent="0.25">
      <c r="A85" s="27" t="s">
        <v>1213</v>
      </c>
      <c r="B85" s="27" t="str">
        <f t="shared" si="6"/>
        <v>North Carolina</v>
      </c>
      <c r="C85" s="27" t="str">
        <f t="shared" si="7"/>
        <v>Stanly</v>
      </c>
      <c r="D85" s="2">
        <v>3049</v>
      </c>
      <c r="E85" s="2">
        <v>85</v>
      </c>
      <c r="F85" s="2">
        <v>10</v>
      </c>
      <c r="G85" s="2">
        <v>98</v>
      </c>
      <c r="H85" s="2">
        <v>77</v>
      </c>
      <c r="I85" s="2">
        <v>71</v>
      </c>
      <c r="J85" s="26">
        <f t="shared" si="4"/>
        <v>76.368421052631575</v>
      </c>
      <c r="K85" s="2">
        <v>4650</v>
      </c>
      <c r="L85" s="2">
        <v>9836.32</v>
      </c>
      <c r="M85" s="2">
        <v>595.25</v>
      </c>
      <c r="N85" s="2">
        <f t="shared" si="5"/>
        <v>28.756912474155754</v>
      </c>
      <c r="O85" s="12">
        <v>13903</v>
      </c>
      <c r="P85" s="27">
        <v>51</v>
      </c>
      <c r="Q85" s="12">
        <v>1707.38</v>
      </c>
      <c r="R85" s="27">
        <v>1905</v>
      </c>
      <c r="S85" s="27" t="s">
        <v>523</v>
      </c>
      <c r="T85" s="27" t="s">
        <v>519</v>
      </c>
      <c r="U85" s="27" t="s">
        <v>520</v>
      </c>
      <c r="V85" s="27" t="s">
        <v>523</v>
      </c>
      <c r="W85" s="27" t="s">
        <v>520</v>
      </c>
      <c r="X85" s="27" t="s">
        <v>521</v>
      </c>
      <c r="Y85" s="27" t="s">
        <v>522</v>
      </c>
      <c r="Z85" s="27"/>
      <c r="AA85" s="4"/>
      <c r="AB85" s="4"/>
      <c r="AC85" s="4"/>
      <c r="AD85" s="4"/>
      <c r="AE85" s="4"/>
      <c r="AF85" s="4"/>
    </row>
    <row r="86" spans="1:32" x14ac:dyDescent="0.25">
      <c r="A86" s="27" t="s">
        <v>1214</v>
      </c>
      <c r="B86" s="27" t="str">
        <f t="shared" si="6"/>
        <v>North Carolina</v>
      </c>
      <c r="C86" s="27" t="str">
        <f t="shared" si="7"/>
        <v>Stokes</v>
      </c>
      <c r="D86" s="2">
        <v>2909</v>
      </c>
      <c r="E86" s="2">
        <v>76</v>
      </c>
      <c r="F86" s="2">
        <v>6</v>
      </c>
      <c r="G86" s="2">
        <v>89</v>
      </c>
      <c r="H86" s="2">
        <v>76</v>
      </c>
      <c r="I86" s="2">
        <v>66</v>
      </c>
      <c r="J86" s="26">
        <f t="shared" si="4"/>
        <v>75.268292682926827</v>
      </c>
      <c r="K86" s="2">
        <v>5091</v>
      </c>
      <c r="L86" s="2">
        <v>7312.26</v>
      </c>
      <c r="M86" s="2">
        <v>348</v>
      </c>
      <c r="N86" s="2">
        <f t="shared" si="5"/>
        <v>24.822618276085549</v>
      </c>
      <c r="O86" s="12">
        <v>12128</v>
      </c>
      <c r="P86" s="27">
        <v>64</v>
      </c>
      <c r="Q86" s="12">
        <v>2678.83</v>
      </c>
      <c r="R86" s="27">
        <v>1905</v>
      </c>
      <c r="S86" s="27" t="s">
        <v>518</v>
      </c>
      <c r="T86" s="27" t="s">
        <v>519</v>
      </c>
      <c r="U86" s="27" t="s">
        <v>520</v>
      </c>
      <c r="V86" s="27" t="s">
        <v>518</v>
      </c>
      <c r="W86" s="27" t="s">
        <v>520</v>
      </c>
      <c r="X86" s="27" t="s">
        <v>521</v>
      </c>
      <c r="Y86" s="27" t="s">
        <v>522</v>
      </c>
      <c r="Z86" s="27"/>
      <c r="AA86" s="4"/>
      <c r="AB86" s="4"/>
      <c r="AC86" s="4"/>
      <c r="AD86" s="4"/>
      <c r="AE86" s="4"/>
      <c r="AF86" s="4"/>
    </row>
    <row r="87" spans="1:32" x14ac:dyDescent="0.25">
      <c r="A87" s="27" t="s">
        <v>1215</v>
      </c>
      <c r="B87" s="27" t="str">
        <f t="shared" si="6"/>
        <v>North Carolina</v>
      </c>
      <c r="C87" s="27" t="str">
        <f t="shared" si="7"/>
        <v>Surry</v>
      </c>
      <c r="D87" s="2">
        <v>4501</v>
      </c>
      <c r="E87" s="2">
        <v>108</v>
      </c>
      <c r="F87" s="2">
        <v>12</v>
      </c>
      <c r="G87" s="2">
        <v>125</v>
      </c>
      <c r="H87" s="2">
        <v>91</v>
      </c>
      <c r="I87" s="2">
        <v>95</v>
      </c>
      <c r="J87" s="26">
        <f t="shared" si="4"/>
        <v>91.4</v>
      </c>
      <c r="K87" s="2">
        <v>7711</v>
      </c>
      <c r="L87" s="2">
        <v>13881.8</v>
      </c>
      <c r="M87" s="2">
        <v>1315.35</v>
      </c>
      <c r="N87" s="2">
        <f t="shared" si="5"/>
        <v>27.711797957695111</v>
      </c>
      <c r="O87" s="12">
        <v>22487</v>
      </c>
      <c r="P87" s="27">
        <v>71</v>
      </c>
      <c r="Q87" s="12">
        <v>4440.6499999999996</v>
      </c>
      <c r="R87" s="27">
        <v>1905</v>
      </c>
      <c r="S87" s="27" t="s">
        <v>523</v>
      </c>
      <c r="T87" s="27" t="s">
        <v>519</v>
      </c>
      <c r="U87" s="27" t="s">
        <v>520</v>
      </c>
      <c r="V87" s="27" t="s">
        <v>523</v>
      </c>
      <c r="W87" s="27" t="s">
        <v>520</v>
      </c>
      <c r="X87" s="27" t="s">
        <v>521</v>
      </c>
      <c r="Y87" s="27" t="s">
        <v>522</v>
      </c>
      <c r="Z87" s="27"/>
      <c r="AA87" s="4"/>
      <c r="AB87" s="4"/>
      <c r="AC87" s="4"/>
      <c r="AD87" s="4"/>
      <c r="AE87" s="4"/>
      <c r="AF87" s="4"/>
    </row>
    <row r="88" spans="1:32" x14ac:dyDescent="0.25">
      <c r="A88" s="27" t="s">
        <v>1216</v>
      </c>
      <c r="B88" s="27" t="str">
        <f t="shared" si="6"/>
        <v>North Carolina</v>
      </c>
      <c r="C88" s="27" t="str">
        <f t="shared" si="7"/>
        <v>Swain</v>
      </c>
      <c r="D88" s="27">
        <v>919</v>
      </c>
      <c r="E88" s="2">
        <v>47</v>
      </c>
      <c r="F88" s="2">
        <v>1</v>
      </c>
      <c r="G88" s="2">
        <v>42</v>
      </c>
      <c r="H88" s="2">
        <v>92</v>
      </c>
      <c r="I88" s="2">
        <v>92</v>
      </c>
      <c r="J88" s="26">
        <f t="shared" si="4"/>
        <v>92</v>
      </c>
      <c r="K88" s="2">
        <v>1953</v>
      </c>
      <c r="L88" s="2">
        <v>5866.61</v>
      </c>
      <c r="M88" s="2">
        <v>185.92</v>
      </c>
      <c r="N88" s="2">
        <f t="shared" si="5"/>
        <v>27.411820652173915</v>
      </c>
      <c r="O88" s="12">
        <v>9486</v>
      </c>
      <c r="P88" s="27">
        <v>38</v>
      </c>
      <c r="Q88" s="12">
        <v>4543.37</v>
      </c>
      <c r="R88" s="27">
        <v>1905</v>
      </c>
      <c r="S88" s="27" t="s">
        <v>518</v>
      </c>
      <c r="T88" s="27" t="s">
        <v>519</v>
      </c>
      <c r="U88" s="27" t="s">
        <v>520</v>
      </c>
      <c r="V88" s="27" t="s">
        <v>518</v>
      </c>
      <c r="W88" s="27" t="s">
        <v>520</v>
      </c>
      <c r="X88" s="27" t="s">
        <v>521</v>
      </c>
      <c r="Y88" s="27" t="s">
        <v>522</v>
      </c>
      <c r="Z88" s="27"/>
      <c r="AA88" s="4"/>
      <c r="AB88" s="4"/>
      <c r="AC88" s="4"/>
      <c r="AD88" s="4"/>
      <c r="AE88" s="4"/>
      <c r="AF88" s="4"/>
    </row>
    <row r="89" spans="1:32" x14ac:dyDescent="0.25">
      <c r="A89" s="27" t="s">
        <v>1217</v>
      </c>
      <c r="B89" s="27" t="str">
        <f t="shared" si="6"/>
        <v>North Carolina</v>
      </c>
      <c r="C89" s="27" t="str">
        <f t="shared" si="7"/>
        <v>Transylvania</v>
      </c>
      <c r="D89" s="2">
        <v>1095</v>
      </c>
      <c r="E89" s="2">
        <v>34</v>
      </c>
      <c r="F89" s="2">
        <v>3</v>
      </c>
      <c r="G89" s="2">
        <v>40</v>
      </c>
      <c r="H89" s="2">
        <v>80</v>
      </c>
      <c r="I89" s="2">
        <v>92</v>
      </c>
      <c r="J89" s="26">
        <f t="shared" si="4"/>
        <v>80.972972972972968</v>
      </c>
      <c r="K89" s="2">
        <v>1955</v>
      </c>
      <c r="L89" s="2">
        <v>3953</v>
      </c>
      <c r="M89" s="2">
        <v>314.2</v>
      </c>
      <c r="N89" s="2">
        <f t="shared" si="5"/>
        <v>28.485981308411212</v>
      </c>
      <c r="O89" s="12">
        <v>6053</v>
      </c>
      <c r="P89" s="27">
        <v>28</v>
      </c>
      <c r="Q89" s="12">
        <v>693.72</v>
      </c>
      <c r="R89" s="27">
        <v>1905</v>
      </c>
      <c r="S89" s="27" t="s">
        <v>523</v>
      </c>
      <c r="T89" s="27" t="s">
        <v>519</v>
      </c>
      <c r="U89" s="27" t="s">
        <v>520</v>
      </c>
      <c r="V89" s="27" t="s">
        <v>523</v>
      </c>
      <c r="W89" s="27" t="s">
        <v>520</v>
      </c>
      <c r="X89" s="27" t="s">
        <v>521</v>
      </c>
      <c r="Y89" s="27" t="s">
        <v>522</v>
      </c>
      <c r="Z89" s="27"/>
      <c r="AA89" s="4"/>
      <c r="AB89" s="4"/>
      <c r="AC89" s="4"/>
      <c r="AD89" s="4"/>
      <c r="AE89" s="4"/>
      <c r="AF89" s="4"/>
    </row>
    <row r="90" spans="1:32" x14ac:dyDescent="0.25">
      <c r="A90" s="27" t="s">
        <v>1218</v>
      </c>
      <c r="B90" s="27" t="str">
        <f t="shared" si="6"/>
        <v>North Carolina</v>
      </c>
      <c r="C90" s="27" t="str">
        <f t="shared" si="7"/>
        <v>Tyrrell</v>
      </c>
      <c r="D90" s="27">
        <v>1050</v>
      </c>
      <c r="E90" s="2">
        <v>23</v>
      </c>
      <c r="F90" s="2">
        <v>8</v>
      </c>
      <c r="G90" s="2">
        <v>27</v>
      </c>
      <c r="H90" s="2">
        <v>76</v>
      </c>
      <c r="I90" s="2">
        <v>71</v>
      </c>
      <c r="J90" s="26">
        <f t="shared" si="4"/>
        <v>74.709677419354833</v>
      </c>
      <c r="K90" s="27">
        <v>1428</v>
      </c>
      <c r="L90" s="2">
        <v>2363.21</v>
      </c>
      <c r="M90" s="2">
        <v>460.15</v>
      </c>
      <c r="N90" s="2">
        <f t="shared" si="5"/>
        <v>24.381347150259067</v>
      </c>
      <c r="O90" s="12">
        <v>4300</v>
      </c>
      <c r="P90" s="27">
        <v>27</v>
      </c>
      <c r="Q90" s="12">
        <v>310.75</v>
      </c>
      <c r="R90" s="27">
        <v>1905</v>
      </c>
      <c r="S90" s="27" t="s">
        <v>518</v>
      </c>
      <c r="T90" s="27" t="s">
        <v>519</v>
      </c>
      <c r="U90" s="27" t="s">
        <v>520</v>
      </c>
      <c r="V90" s="27" t="s">
        <v>518</v>
      </c>
      <c r="W90" s="27" t="s">
        <v>520</v>
      </c>
      <c r="X90" s="27" t="s">
        <v>521</v>
      </c>
      <c r="Y90" s="27" t="s">
        <v>522</v>
      </c>
      <c r="Z90" s="27"/>
      <c r="AA90" s="4"/>
      <c r="AB90" s="4"/>
      <c r="AC90" s="4"/>
      <c r="AD90" s="4"/>
      <c r="AE90" s="4"/>
      <c r="AF90" s="4"/>
    </row>
    <row r="91" spans="1:32" x14ac:dyDescent="0.25">
      <c r="A91" s="27" t="s">
        <v>1219</v>
      </c>
      <c r="B91" s="27" t="str">
        <f t="shared" si="6"/>
        <v>North Carolina</v>
      </c>
      <c r="C91" s="27" t="str">
        <f t="shared" si="7"/>
        <v>Union</v>
      </c>
      <c r="D91" s="2">
        <v>4798</v>
      </c>
      <c r="E91" s="2">
        <v>120</v>
      </c>
      <c r="F91" s="2">
        <v>38</v>
      </c>
      <c r="G91" s="2">
        <v>156</v>
      </c>
      <c r="H91" s="2">
        <v>91</v>
      </c>
      <c r="I91" s="2">
        <v>79</v>
      </c>
      <c r="J91" s="26">
        <f t="shared" si="4"/>
        <v>88.113924050632917</v>
      </c>
      <c r="K91" s="2">
        <v>8221</v>
      </c>
      <c r="L91" s="2">
        <v>16980.919999999998</v>
      </c>
      <c r="M91" s="2">
        <v>3858.07</v>
      </c>
      <c r="N91" s="2">
        <f t="shared" si="5"/>
        <v>29.936776325240626</v>
      </c>
      <c r="O91" s="2">
        <v>26735</v>
      </c>
      <c r="P91" s="27">
        <v>76</v>
      </c>
      <c r="Q91" s="12">
        <v>2790.88</v>
      </c>
      <c r="R91" s="27">
        <v>1905</v>
      </c>
      <c r="S91" s="27" t="s">
        <v>523</v>
      </c>
      <c r="T91" s="27" t="s">
        <v>519</v>
      </c>
      <c r="U91" s="27" t="s">
        <v>520</v>
      </c>
      <c r="V91" s="27" t="s">
        <v>523</v>
      </c>
      <c r="W91" s="27" t="s">
        <v>520</v>
      </c>
      <c r="X91" s="27" t="s">
        <v>521</v>
      </c>
      <c r="Y91" s="27" t="s">
        <v>522</v>
      </c>
      <c r="Z91" s="27"/>
      <c r="AA91" s="4"/>
      <c r="AB91" s="4"/>
      <c r="AC91" s="4"/>
      <c r="AD91" s="4"/>
      <c r="AE91" s="4"/>
      <c r="AF91" s="4"/>
    </row>
    <row r="92" spans="1:32" x14ac:dyDescent="0.25">
      <c r="A92" s="27" t="s">
        <v>1220</v>
      </c>
      <c r="B92" s="27" t="str">
        <f t="shared" si="6"/>
        <v>North Carolina</v>
      </c>
      <c r="C92" s="27" t="str">
        <f t="shared" si="7"/>
        <v>Vance</v>
      </c>
      <c r="D92" s="2">
        <v>1863</v>
      </c>
      <c r="E92" s="2">
        <v>51</v>
      </c>
      <c r="F92" s="2">
        <v>29</v>
      </c>
      <c r="G92" s="2">
        <v>71</v>
      </c>
      <c r="H92" s="2">
        <v>140</v>
      </c>
      <c r="I92" s="2">
        <v>116</v>
      </c>
      <c r="J92" s="26">
        <f t="shared" si="4"/>
        <v>131.30000000000001</v>
      </c>
      <c r="K92" s="2">
        <v>3486</v>
      </c>
      <c r="L92" s="2">
        <v>11829.15</v>
      </c>
      <c r="M92" s="2">
        <v>3502.2</v>
      </c>
      <c r="N92" s="2">
        <f t="shared" si="5"/>
        <v>29.191450875856809</v>
      </c>
      <c r="O92" s="12">
        <v>52010</v>
      </c>
      <c r="P92" s="27">
        <v>23</v>
      </c>
      <c r="Q92" s="12">
        <v>5643.43</v>
      </c>
      <c r="R92" s="27">
        <v>1905</v>
      </c>
      <c r="S92" s="27" t="s">
        <v>518</v>
      </c>
      <c r="T92" s="27" t="s">
        <v>519</v>
      </c>
      <c r="U92" s="27" t="s">
        <v>520</v>
      </c>
      <c r="V92" s="27" t="s">
        <v>518</v>
      </c>
      <c r="W92" s="27" t="s">
        <v>520</v>
      </c>
      <c r="X92" s="27" t="s">
        <v>521</v>
      </c>
      <c r="Y92" s="27" t="s">
        <v>522</v>
      </c>
      <c r="Z92" s="27"/>
      <c r="AA92" s="4"/>
      <c r="AB92" s="4"/>
      <c r="AC92" s="4"/>
      <c r="AD92" s="4"/>
      <c r="AE92" s="4"/>
      <c r="AF92" s="4"/>
    </row>
    <row r="93" spans="1:32" x14ac:dyDescent="0.25">
      <c r="A93" s="27" t="s">
        <v>1221</v>
      </c>
      <c r="B93" s="27" t="str">
        <f t="shared" si="6"/>
        <v>North Carolina</v>
      </c>
      <c r="C93" s="27" t="str">
        <f t="shared" si="7"/>
        <v>Wake</v>
      </c>
      <c r="D93" s="2">
        <v>7159</v>
      </c>
      <c r="E93" s="2">
        <v>162</v>
      </c>
      <c r="F93" s="2">
        <v>102</v>
      </c>
      <c r="G93" s="2">
        <v>259</v>
      </c>
      <c r="H93" s="2">
        <v>129</v>
      </c>
      <c r="I93" s="2">
        <v>127</v>
      </c>
      <c r="J93" s="26">
        <f t="shared" si="4"/>
        <v>128.22727272727272</v>
      </c>
      <c r="K93" s="2">
        <v>11493</v>
      </c>
      <c r="L93" s="2">
        <v>38705.269999999997</v>
      </c>
      <c r="M93" s="2">
        <v>17685.810000000001</v>
      </c>
      <c r="N93" s="2">
        <f t="shared" si="5"/>
        <v>33.316247193666555</v>
      </c>
      <c r="O93" s="12">
        <v>92965</v>
      </c>
      <c r="P93" s="27">
        <v>96</v>
      </c>
      <c r="Q93" s="12">
        <v>16910.97</v>
      </c>
      <c r="R93" s="27">
        <v>1905</v>
      </c>
      <c r="S93" s="27" t="s">
        <v>523</v>
      </c>
      <c r="T93" s="27" t="s">
        <v>519</v>
      </c>
      <c r="U93" s="27" t="s">
        <v>520</v>
      </c>
      <c r="V93" s="27" t="s">
        <v>523</v>
      </c>
      <c r="W93" s="27" t="s">
        <v>520</v>
      </c>
      <c r="X93" s="27" t="s">
        <v>521</v>
      </c>
      <c r="Y93" s="27" t="s">
        <v>522</v>
      </c>
      <c r="Z93" s="27"/>
      <c r="AA93" s="4"/>
      <c r="AB93" s="4"/>
      <c r="AC93" s="4"/>
      <c r="AD93" s="4"/>
      <c r="AE93" s="4"/>
      <c r="AF93" s="4"/>
    </row>
    <row r="94" spans="1:32" x14ac:dyDescent="0.25">
      <c r="A94" s="27" t="s">
        <v>1222</v>
      </c>
      <c r="B94" s="27" t="str">
        <f t="shared" si="6"/>
        <v>North Carolina</v>
      </c>
      <c r="C94" s="27" t="str">
        <f t="shared" si="7"/>
        <v>Warren</v>
      </c>
      <c r="D94" s="27">
        <v>2196</v>
      </c>
      <c r="E94" s="2">
        <v>46</v>
      </c>
      <c r="F94" s="2">
        <v>44</v>
      </c>
      <c r="G94" s="2">
        <v>84</v>
      </c>
      <c r="H94" s="2">
        <v>85</v>
      </c>
      <c r="I94" s="2">
        <v>92</v>
      </c>
      <c r="J94" s="26">
        <f t="shared" si="4"/>
        <v>88.422222222222217</v>
      </c>
      <c r="K94" s="2">
        <v>4122</v>
      </c>
      <c r="L94" s="2">
        <v>7594.86</v>
      </c>
      <c r="M94" s="2">
        <v>4509.5</v>
      </c>
      <c r="N94" s="2">
        <f t="shared" si="5"/>
        <v>30.420608193013322</v>
      </c>
      <c r="O94" s="12">
        <v>16315</v>
      </c>
      <c r="P94" s="27">
        <v>34</v>
      </c>
      <c r="Q94" s="12">
        <v>805.87</v>
      </c>
      <c r="R94" s="27">
        <v>1905</v>
      </c>
      <c r="S94" s="27" t="s">
        <v>518</v>
      </c>
      <c r="T94" s="27" t="s">
        <v>519</v>
      </c>
      <c r="U94" s="27" t="s">
        <v>520</v>
      </c>
      <c r="V94" s="27" t="s">
        <v>518</v>
      </c>
      <c r="W94" s="27" t="s">
        <v>520</v>
      </c>
      <c r="X94" s="27" t="s">
        <v>521</v>
      </c>
      <c r="Y94" s="27" t="s">
        <v>522</v>
      </c>
      <c r="Z94" s="27"/>
      <c r="AA94" s="4"/>
      <c r="AB94" s="4"/>
      <c r="AC94" s="4"/>
      <c r="AD94" s="4"/>
      <c r="AE94" s="4"/>
      <c r="AF94" s="4"/>
    </row>
    <row r="95" spans="1:32" x14ac:dyDescent="0.25">
      <c r="A95" s="27" t="s">
        <v>1223</v>
      </c>
      <c r="B95" s="27" t="str">
        <f t="shared" si="6"/>
        <v>North Carolina</v>
      </c>
      <c r="C95" s="27" t="str">
        <f t="shared" si="7"/>
        <v>Washington</v>
      </c>
      <c r="D95" s="27">
        <v>1590</v>
      </c>
      <c r="E95" s="2">
        <v>34</v>
      </c>
      <c r="F95" s="2">
        <v>22</v>
      </c>
      <c r="G95" s="2">
        <v>61</v>
      </c>
      <c r="H95" s="2">
        <v>140</v>
      </c>
      <c r="I95" s="2">
        <v>131</v>
      </c>
      <c r="J95" s="26">
        <f t="shared" si="4"/>
        <v>136.46428571428572</v>
      </c>
      <c r="K95" s="2">
        <v>2421</v>
      </c>
      <c r="L95" s="2">
        <v>4248.3500000000004</v>
      </c>
      <c r="M95" s="2">
        <v>2399.12</v>
      </c>
      <c r="N95" s="2">
        <f t="shared" si="5"/>
        <v>17.397199685946088</v>
      </c>
      <c r="O95" s="12">
        <v>9995</v>
      </c>
      <c r="P95" s="27">
        <v>28</v>
      </c>
      <c r="Q95" s="12">
        <v>3026.34</v>
      </c>
      <c r="R95" s="27">
        <v>1905</v>
      </c>
      <c r="S95" s="27" t="s">
        <v>523</v>
      </c>
      <c r="T95" s="27" t="s">
        <v>519</v>
      </c>
      <c r="U95" s="27" t="s">
        <v>520</v>
      </c>
      <c r="V95" s="27" t="s">
        <v>523</v>
      </c>
      <c r="W95" s="27" t="s">
        <v>520</v>
      </c>
      <c r="X95" s="27" t="s">
        <v>521</v>
      </c>
      <c r="Y95" s="27" t="s">
        <v>522</v>
      </c>
      <c r="Z95" s="27"/>
      <c r="AA95" s="4"/>
      <c r="AB95" s="4"/>
      <c r="AC95" s="4"/>
      <c r="AD95" s="4"/>
      <c r="AE95" s="4"/>
      <c r="AF95" s="4"/>
    </row>
    <row r="96" spans="1:32" x14ac:dyDescent="0.25">
      <c r="A96" s="27" t="s">
        <v>1756</v>
      </c>
      <c r="B96" s="27" t="str">
        <f t="shared" si="6"/>
        <v>North Carolina</v>
      </c>
      <c r="C96" s="27" t="str">
        <f t="shared" si="7"/>
        <v>Watauga</v>
      </c>
      <c r="D96" s="2">
        <v>2224</v>
      </c>
      <c r="E96" s="2">
        <v>80</v>
      </c>
      <c r="F96" s="2">
        <v>4</v>
      </c>
      <c r="G96" s="2">
        <v>80</v>
      </c>
      <c r="H96" s="2">
        <v>80</v>
      </c>
      <c r="I96" s="2">
        <v>80</v>
      </c>
      <c r="J96" s="26">
        <f t="shared" si="4"/>
        <v>80</v>
      </c>
      <c r="K96" s="2">
        <v>3786</v>
      </c>
      <c r="L96" s="2">
        <v>7675.01</v>
      </c>
      <c r="M96" s="2">
        <v>203</v>
      </c>
      <c r="N96" s="2">
        <f t="shared" si="5"/>
        <v>23.446458333333332</v>
      </c>
      <c r="O96" s="2">
        <v>8823</v>
      </c>
      <c r="P96" s="27">
        <v>52</v>
      </c>
      <c r="Q96" s="12">
        <v>161.66</v>
      </c>
      <c r="R96" s="27">
        <v>1905</v>
      </c>
      <c r="S96" s="27" t="s">
        <v>518</v>
      </c>
      <c r="T96" s="27" t="s">
        <v>519</v>
      </c>
      <c r="U96" s="27" t="s">
        <v>520</v>
      </c>
      <c r="V96" s="27" t="s">
        <v>518</v>
      </c>
      <c r="W96" s="27" t="s">
        <v>520</v>
      </c>
      <c r="X96" s="27" t="s">
        <v>521</v>
      </c>
      <c r="Y96" s="27" t="s">
        <v>522</v>
      </c>
      <c r="Z96" s="27"/>
      <c r="AA96" s="4"/>
      <c r="AB96" s="4"/>
      <c r="AC96" s="4"/>
      <c r="AD96" s="4"/>
      <c r="AE96" s="4"/>
      <c r="AF96" s="4"/>
    </row>
    <row r="97" spans="1:32" x14ac:dyDescent="0.25">
      <c r="A97" s="27" t="s">
        <v>1224</v>
      </c>
      <c r="B97" s="27" t="str">
        <f t="shared" si="6"/>
        <v>North Carolina</v>
      </c>
      <c r="C97" s="27" t="str">
        <f t="shared" si="7"/>
        <v>Wayne</v>
      </c>
      <c r="D97" s="2">
        <v>4757</v>
      </c>
      <c r="E97" s="2">
        <v>105</v>
      </c>
      <c r="F97" s="2">
        <v>53</v>
      </c>
      <c r="G97" s="2">
        <v>156</v>
      </c>
      <c r="H97" s="2">
        <v>106</v>
      </c>
      <c r="I97" s="2">
        <v>99</v>
      </c>
      <c r="J97" s="26">
        <f t="shared" si="4"/>
        <v>103.65189873417721</v>
      </c>
      <c r="K97" s="2">
        <v>8644</v>
      </c>
      <c r="L97" s="2">
        <v>22259.7</v>
      </c>
      <c r="M97" s="2">
        <v>6875.5</v>
      </c>
      <c r="N97" s="2">
        <f t="shared" si="5"/>
        <v>35.580631373267387</v>
      </c>
      <c r="O97" s="12">
        <v>57576</v>
      </c>
      <c r="P97" s="27">
        <v>70</v>
      </c>
      <c r="Q97" s="12">
        <v>7577.14</v>
      </c>
      <c r="R97" s="27">
        <v>1905</v>
      </c>
      <c r="S97" s="27" t="s">
        <v>523</v>
      </c>
      <c r="T97" s="27" t="s">
        <v>519</v>
      </c>
      <c r="U97" s="27" t="s">
        <v>520</v>
      </c>
      <c r="V97" s="27" t="s">
        <v>523</v>
      </c>
      <c r="W97" s="27" t="s">
        <v>520</v>
      </c>
      <c r="X97" s="27" t="s">
        <v>521</v>
      </c>
      <c r="Y97" s="27" t="s">
        <v>522</v>
      </c>
      <c r="Z97" s="27"/>
      <c r="AA97" s="4"/>
      <c r="AB97" s="4"/>
      <c r="AC97" s="4"/>
      <c r="AD97" s="4"/>
      <c r="AE97" s="4"/>
      <c r="AF97" s="4"/>
    </row>
    <row r="98" spans="1:32" x14ac:dyDescent="0.25">
      <c r="A98" s="27" t="s">
        <v>1225</v>
      </c>
      <c r="B98" s="27" t="str">
        <f t="shared" si="6"/>
        <v>North Carolina</v>
      </c>
      <c r="C98" s="27" t="str">
        <f t="shared" si="7"/>
        <v>Wilkes</v>
      </c>
      <c r="D98" s="2">
        <v>3974</v>
      </c>
      <c r="E98" s="2">
        <v>142</v>
      </c>
      <c r="F98" s="2">
        <v>17</v>
      </c>
      <c r="G98" s="2">
        <v>159</v>
      </c>
      <c r="H98" s="2">
        <v>83</v>
      </c>
      <c r="I98" s="2">
        <v>81</v>
      </c>
      <c r="J98" s="26">
        <f t="shared" si="4"/>
        <v>82.786163522012572</v>
      </c>
      <c r="K98" s="2">
        <v>7435</v>
      </c>
      <c r="L98" s="2">
        <v>15399.04</v>
      </c>
      <c r="M98" s="2">
        <v>1351.98</v>
      </c>
      <c r="N98" s="2">
        <f t="shared" si="5"/>
        <v>25.451675150041783</v>
      </c>
      <c r="O98" s="12">
        <v>23635.57</v>
      </c>
      <c r="P98" s="27">
        <v>105</v>
      </c>
      <c r="Q98" s="12">
        <v>3446.3</v>
      </c>
      <c r="R98" s="27">
        <v>1905</v>
      </c>
      <c r="S98" s="27" t="s">
        <v>518</v>
      </c>
      <c r="T98" s="27" t="s">
        <v>519</v>
      </c>
      <c r="U98" s="27" t="s">
        <v>520</v>
      </c>
      <c r="V98" s="27" t="s">
        <v>518</v>
      </c>
      <c r="W98" s="27" t="s">
        <v>520</v>
      </c>
      <c r="X98" s="27" t="s">
        <v>521</v>
      </c>
      <c r="Y98" s="27" t="s">
        <v>522</v>
      </c>
      <c r="Z98" s="27"/>
      <c r="AA98" s="4"/>
      <c r="AB98" s="4"/>
      <c r="AC98" s="4"/>
      <c r="AD98" s="4"/>
      <c r="AE98" s="4"/>
      <c r="AF98" s="4"/>
    </row>
    <row r="99" spans="1:32" x14ac:dyDescent="0.25">
      <c r="A99" s="27" t="s">
        <v>1226</v>
      </c>
      <c r="B99" s="27" t="str">
        <f t="shared" si="6"/>
        <v>North Carolina</v>
      </c>
      <c r="C99" s="27" t="str">
        <f t="shared" si="7"/>
        <v>Wilson</v>
      </c>
      <c r="D99" s="2">
        <v>3730</v>
      </c>
      <c r="E99" s="2">
        <v>86</v>
      </c>
      <c r="F99" s="2">
        <v>35</v>
      </c>
      <c r="G99" s="2">
        <v>113</v>
      </c>
      <c r="H99" s="2">
        <v>128</v>
      </c>
      <c r="I99" s="2">
        <v>124</v>
      </c>
      <c r="J99" s="26">
        <f t="shared" si="4"/>
        <v>126.84297520661157</v>
      </c>
      <c r="K99" s="2">
        <v>4333</v>
      </c>
      <c r="L99" s="2">
        <v>18868.09</v>
      </c>
      <c r="M99" s="2">
        <v>5986.64</v>
      </c>
      <c r="N99" s="2">
        <f t="shared" si="5"/>
        <v>32.388232994526973</v>
      </c>
      <c r="O99" s="12">
        <v>40280.449999999997</v>
      </c>
      <c r="P99" s="27">
        <v>46</v>
      </c>
      <c r="Q99" s="12">
        <v>8325.75</v>
      </c>
      <c r="R99" s="27">
        <v>1905</v>
      </c>
      <c r="S99" s="27" t="s">
        <v>523</v>
      </c>
      <c r="T99" s="27" t="s">
        <v>519</v>
      </c>
      <c r="U99" s="27" t="s">
        <v>520</v>
      </c>
      <c r="V99" s="27" t="s">
        <v>523</v>
      </c>
      <c r="W99" s="27" t="s">
        <v>520</v>
      </c>
      <c r="X99" s="27" t="s">
        <v>521</v>
      </c>
      <c r="Y99" s="27" t="s">
        <v>522</v>
      </c>
      <c r="Z99" s="27"/>
      <c r="AA99" s="4"/>
      <c r="AB99" s="4"/>
      <c r="AC99" s="4"/>
      <c r="AD99" s="4"/>
      <c r="AE99" s="4"/>
      <c r="AF99" s="4"/>
    </row>
    <row r="100" spans="1:32" x14ac:dyDescent="0.25">
      <c r="A100" s="27" t="s">
        <v>1227</v>
      </c>
      <c r="B100" s="27" t="str">
        <f t="shared" si="6"/>
        <v>North Carolina</v>
      </c>
      <c r="C100" s="27" t="str">
        <f t="shared" si="7"/>
        <v>Yadkin</v>
      </c>
      <c r="D100" s="2">
        <v>2317</v>
      </c>
      <c r="E100" s="2">
        <v>63</v>
      </c>
      <c r="F100" s="2">
        <v>9</v>
      </c>
      <c r="G100" s="2">
        <v>76</v>
      </c>
      <c r="H100" s="2">
        <v>109</v>
      </c>
      <c r="I100" s="2">
        <v>70</v>
      </c>
      <c r="J100" s="26">
        <f t="shared" si="4"/>
        <v>104.125</v>
      </c>
      <c r="K100" s="2">
        <v>3898</v>
      </c>
      <c r="L100" s="2">
        <v>6899.67</v>
      </c>
      <c r="M100" s="2">
        <v>683.87</v>
      </c>
      <c r="N100" s="2">
        <f t="shared" si="5"/>
        <v>20.230865679605177</v>
      </c>
      <c r="O100" s="12">
        <v>9775.25</v>
      </c>
      <c r="P100" s="27">
        <v>48</v>
      </c>
      <c r="Q100" s="12">
        <v>2589.3200000000002</v>
      </c>
      <c r="R100" s="27">
        <v>1905</v>
      </c>
      <c r="S100" s="27" t="s">
        <v>518</v>
      </c>
      <c r="T100" s="27" t="s">
        <v>519</v>
      </c>
      <c r="U100" s="27" t="s">
        <v>520</v>
      </c>
      <c r="V100" s="27" t="s">
        <v>518</v>
      </c>
      <c r="W100" s="27" t="s">
        <v>520</v>
      </c>
      <c r="X100" s="27" t="s">
        <v>521</v>
      </c>
      <c r="Y100" s="27" t="s">
        <v>522</v>
      </c>
      <c r="Z100" s="27"/>
      <c r="AA100" s="4"/>
      <c r="AB100" s="4"/>
      <c r="AC100" s="4"/>
      <c r="AD100" s="4"/>
      <c r="AE100" s="4"/>
      <c r="AF100" s="4"/>
    </row>
    <row r="101" spans="1:32" x14ac:dyDescent="0.25">
      <c r="A101" s="27" t="s">
        <v>1228</v>
      </c>
      <c r="B101" s="27" t="str">
        <f t="shared" si="6"/>
        <v>North Carolina</v>
      </c>
      <c r="C101" s="27" t="str">
        <f t="shared" si="7"/>
        <v>Yancey</v>
      </c>
      <c r="D101" s="2">
        <v>1563</v>
      </c>
      <c r="E101" s="2">
        <v>51</v>
      </c>
      <c r="F101" s="2">
        <v>4</v>
      </c>
      <c r="G101" s="2">
        <v>57</v>
      </c>
      <c r="H101" s="2">
        <v>80</v>
      </c>
      <c r="I101" s="2">
        <v>80</v>
      </c>
      <c r="J101" s="26">
        <f t="shared" si="4"/>
        <v>80</v>
      </c>
      <c r="K101" s="2">
        <v>3014</v>
      </c>
      <c r="L101" s="2">
        <v>4616.67</v>
      </c>
      <c r="M101" s="2">
        <v>143.87</v>
      </c>
      <c r="N101" s="2">
        <f t="shared" si="5"/>
        <v>21.638818181818181</v>
      </c>
      <c r="O101" s="12">
        <v>6274.88</v>
      </c>
      <c r="P101" s="27">
        <v>39</v>
      </c>
      <c r="Q101" s="12">
        <v>1488.18</v>
      </c>
      <c r="R101" s="27">
        <v>1905</v>
      </c>
      <c r="S101" s="27" t="s">
        <v>523</v>
      </c>
      <c r="T101" s="27" t="s">
        <v>519</v>
      </c>
      <c r="U101" s="27" t="s">
        <v>520</v>
      </c>
      <c r="V101" s="27" t="s">
        <v>523</v>
      </c>
      <c r="W101" s="27" t="s">
        <v>520</v>
      </c>
      <c r="X101" s="27" t="s">
        <v>521</v>
      </c>
      <c r="Y101" s="27" t="s">
        <v>522</v>
      </c>
      <c r="Z101" s="27"/>
      <c r="AA101" s="4"/>
      <c r="AB101" s="4"/>
      <c r="AC101" s="4"/>
      <c r="AD101" s="4"/>
      <c r="AE101" s="4"/>
      <c r="AF101" s="4"/>
    </row>
    <row r="102" spans="1:32" x14ac:dyDescent="0.25">
      <c r="A102" s="27" t="s">
        <v>1367</v>
      </c>
      <c r="B102" s="27" t="str">
        <f t="shared" si="6"/>
        <v/>
      </c>
      <c r="C102" s="27" t="str">
        <f t="shared" si="7"/>
        <v/>
      </c>
      <c r="D102" s="2">
        <f>SUM(D2:D101)</f>
        <v>279653</v>
      </c>
      <c r="E102" s="2"/>
      <c r="F102" s="2"/>
      <c r="G102" s="27">
        <f>SUM(G2:G101)</f>
        <v>9678</v>
      </c>
      <c r="J102" s="27"/>
      <c r="K102" s="2">
        <v>469914</v>
      </c>
      <c r="L102" s="2"/>
      <c r="M102" s="2"/>
      <c r="N102" s="2"/>
      <c r="O102" s="2">
        <f>SUM(O2:O101)</f>
        <v>2291276.8599999989</v>
      </c>
      <c r="P102" s="27">
        <f>SUM(P2:P101)</f>
        <v>4976</v>
      </c>
      <c r="Q102" s="12">
        <f>SUM(Q2:Q101)</f>
        <v>379108.54999999987</v>
      </c>
      <c r="R102" s="27"/>
      <c r="S102" s="27" t="s">
        <v>383</v>
      </c>
      <c r="T102" s="27" t="s">
        <v>383</v>
      </c>
      <c r="U102" s="27" t="s">
        <v>383</v>
      </c>
      <c r="V102" s="27" t="s">
        <v>383</v>
      </c>
      <c r="W102" s="27" t="s">
        <v>383</v>
      </c>
      <c r="X102" s="27" t="s">
        <v>383</v>
      </c>
      <c r="Y102" s="27" t="s">
        <v>383</v>
      </c>
      <c r="Z102" s="27" t="s">
        <v>383</v>
      </c>
      <c r="AA102" s="4"/>
      <c r="AB102" s="4"/>
      <c r="AC102" s="4"/>
      <c r="AD102" s="4"/>
      <c r="AE102" s="4"/>
      <c r="AF102" s="4"/>
    </row>
    <row r="103" spans="1:32" x14ac:dyDescent="0.25">
      <c r="A103" s="27" t="s">
        <v>1367</v>
      </c>
      <c r="B103" s="27" t="str">
        <f t="shared" si="6"/>
        <v/>
      </c>
      <c r="C103" s="27" t="str">
        <f t="shared" si="7"/>
        <v/>
      </c>
      <c r="D103" s="2">
        <v>280288</v>
      </c>
      <c r="E103" s="2"/>
      <c r="F103" s="2"/>
      <c r="G103" s="2">
        <v>9687</v>
      </c>
      <c r="H103" s="2"/>
      <c r="I103" s="2"/>
      <c r="J103" s="27"/>
      <c r="K103" s="2">
        <v>474111</v>
      </c>
      <c r="L103" s="2"/>
      <c r="M103" s="2"/>
      <c r="N103" s="2"/>
      <c r="O103" s="12">
        <v>2291053.15</v>
      </c>
      <c r="P103" s="27">
        <v>5115</v>
      </c>
      <c r="Q103" s="12">
        <v>379108.55</v>
      </c>
      <c r="R103" s="27"/>
      <c r="S103" s="27" t="s">
        <v>383</v>
      </c>
      <c r="T103" s="27" t="s">
        <v>383</v>
      </c>
      <c r="U103" s="27" t="s">
        <v>383</v>
      </c>
      <c r="V103" s="27" t="s">
        <v>383</v>
      </c>
      <c r="W103" s="27" t="s">
        <v>383</v>
      </c>
      <c r="X103" s="27" t="s">
        <v>383</v>
      </c>
      <c r="Y103" s="27" t="s">
        <v>383</v>
      </c>
      <c r="Z103" s="27" t="s">
        <v>383</v>
      </c>
      <c r="AA103" s="4"/>
      <c r="AB103" s="4"/>
      <c r="AC103" s="4"/>
      <c r="AD103" s="4"/>
      <c r="AE103" s="4"/>
      <c r="AF103" s="4"/>
    </row>
    <row r="104" spans="1:32" x14ac:dyDescent="0.25">
      <c r="A104" s="27" t="s">
        <v>1367</v>
      </c>
      <c r="B104" s="27" t="str">
        <f t="shared" si="6"/>
        <v/>
      </c>
      <c r="C104" s="27" t="str">
        <f t="shared" si="7"/>
        <v/>
      </c>
      <c r="D104" s="27"/>
      <c r="G104" s="27"/>
      <c r="J104" s="27"/>
      <c r="K104" s="27"/>
      <c r="N104" s="27"/>
      <c r="O104" s="2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B118"/>
  <sheetViews>
    <sheetView workbookViewId="0"/>
  </sheetViews>
  <sheetFormatPr defaultColWidth="11.42578125" defaultRowHeight="15" x14ac:dyDescent="0.25"/>
  <cols>
    <col min="1" max="1" width="23.140625" customWidth="1"/>
    <col min="2" max="2" width="12.140625" customWidth="1"/>
    <col min="4" max="6" width="11.85546875" style="27" hidden="1" customWidth="1"/>
    <col min="8" max="9" width="10.85546875" style="27" hidden="1" customWidth="1"/>
    <col min="13" max="14" width="0" style="27" hidden="1" customWidth="1"/>
    <col min="17" max="17" width="11.28515625" customWidth="1"/>
    <col min="18" max="18" width="12.42578125" style="27" hidden="1" customWidth="1"/>
  </cols>
  <sheetData>
    <row r="1" spans="1:28" s="20" customFormat="1" ht="75" x14ac:dyDescent="0.25">
      <c r="B1" s="20" t="s">
        <v>2</v>
      </c>
      <c r="C1" s="20" t="s">
        <v>0</v>
      </c>
      <c r="D1" s="20" t="s">
        <v>2465</v>
      </c>
      <c r="E1" s="20" t="s">
        <v>2466</v>
      </c>
      <c r="F1" s="20" t="s">
        <v>2467</v>
      </c>
      <c r="G1" s="92" t="s">
        <v>1956</v>
      </c>
      <c r="H1" s="84" t="s">
        <v>2044</v>
      </c>
      <c r="I1" s="84" t="s">
        <v>2045</v>
      </c>
      <c r="J1" s="92" t="s">
        <v>372</v>
      </c>
      <c r="K1" s="94" t="s">
        <v>357</v>
      </c>
      <c r="L1" s="94" t="s">
        <v>377</v>
      </c>
      <c r="M1" s="83" t="s">
        <v>2463</v>
      </c>
      <c r="N1" s="83" t="s">
        <v>2464</v>
      </c>
      <c r="O1" s="92" t="s">
        <v>358</v>
      </c>
      <c r="P1" s="93" t="s">
        <v>360</v>
      </c>
      <c r="Q1" s="92" t="s">
        <v>374</v>
      </c>
      <c r="R1" s="84" t="s">
        <v>2516</v>
      </c>
      <c r="S1" s="125" t="s">
        <v>375</v>
      </c>
      <c r="T1" s="20" t="s">
        <v>1</v>
      </c>
      <c r="U1" s="20" t="s">
        <v>1957</v>
      </c>
      <c r="V1" s="20" t="s">
        <v>1949</v>
      </c>
      <c r="W1" s="20" t="s">
        <v>1955</v>
      </c>
      <c r="X1" s="20" t="s">
        <v>1950</v>
      </c>
      <c r="Y1" s="20" t="s">
        <v>1951</v>
      </c>
      <c r="Z1" s="20" t="s">
        <v>1952</v>
      </c>
      <c r="AA1" s="20" t="s">
        <v>1953</v>
      </c>
      <c r="AB1" s="20" t="s">
        <v>1948</v>
      </c>
    </row>
    <row r="2" spans="1:28" x14ac:dyDescent="0.25">
      <c r="A2" s="27" t="s">
        <v>1229</v>
      </c>
      <c r="B2" s="27" t="str">
        <f t="shared" ref="B2:B49" si="0">LEFT(A2,FIND(";",A2)-1)</f>
        <v>South Carolina</v>
      </c>
      <c r="C2" s="27" t="str">
        <f t="shared" ref="C2:C49" si="1">MID(A2,FIND(";",A2)+1,100)</f>
        <v>Abbeville</v>
      </c>
      <c r="D2" s="27">
        <v>2150</v>
      </c>
      <c r="E2" s="27">
        <v>3715</v>
      </c>
      <c r="F2" s="27">
        <f>F51</f>
        <v>865</v>
      </c>
      <c r="G2" s="27">
        <f>D2+E2+G51</f>
        <v>6730</v>
      </c>
      <c r="H2" s="27">
        <v>82</v>
      </c>
      <c r="I2" s="27">
        <v>89</v>
      </c>
      <c r="J2" s="2">
        <f>171+J51</f>
        <v>193</v>
      </c>
      <c r="K2" s="2">
        <v>135</v>
      </c>
      <c r="L2" s="2">
        <f>8787+L51</f>
        <v>9995</v>
      </c>
      <c r="M2" s="2">
        <v>20076.439999999999</v>
      </c>
      <c r="N2" s="2">
        <v>7654.7</v>
      </c>
      <c r="O2" s="28">
        <f>(M2+N2)/J2/(K2/20)</f>
        <v>21.286616772212625</v>
      </c>
      <c r="P2" s="2">
        <v>31349</v>
      </c>
      <c r="Q2" s="27">
        <v>150</v>
      </c>
      <c r="S2" s="27">
        <v>40667.620000000003</v>
      </c>
      <c r="T2" s="27">
        <v>1905</v>
      </c>
      <c r="U2" s="27" t="s">
        <v>383</v>
      </c>
      <c r="V2" s="4" t="s">
        <v>524</v>
      </c>
      <c r="W2" s="27" t="s">
        <v>524</v>
      </c>
      <c r="X2" s="27" t="s">
        <v>524</v>
      </c>
      <c r="Y2" s="27" t="s">
        <v>383</v>
      </c>
      <c r="Z2" s="31" t="s">
        <v>383</v>
      </c>
      <c r="AA2" s="27" t="s">
        <v>524</v>
      </c>
      <c r="AB2" s="27" t="s">
        <v>383</v>
      </c>
    </row>
    <row r="3" spans="1:28" x14ac:dyDescent="0.25">
      <c r="A3" s="27" t="s">
        <v>1230</v>
      </c>
      <c r="B3" s="27" t="str">
        <f t="shared" si="0"/>
        <v>South Carolina</v>
      </c>
      <c r="C3" s="27" t="str">
        <f t="shared" si="1"/>
        <v>Aiken</v>
      </c>
      <c r="D3" s="27">
        <v>2477</v>
      </c>
      <c r="E3" s="27">
        <v>3280</v>
      </c>
      <c r="F3" s="27">
        <f>F52</f>
        <v>484</v>
      </c>
      <c r="G3" s="27">
        <f>D3+E3+G52</f>
        <v>6241</v>
      </c>
      <c r="H3" s="27">
        <v>110</v>
      </c>
      <c r="I3" s="27">
        <v>91</v>
      </c>
      <c r="J3" s="27">
        <f>201+J52</f>
        <v>214</v>
      </c>
      <c r="K3" s="2">
        <v>90</v>
      </c>
      <c r="L3" s="2">
        <f>8508+L52</f>
        <v>9325</v>
      </c>
      <c r="M3" s="2">
        <v>24004.94</v>
      </c>
      <c r="N3" s="2">
        <v>8393.35</v>
      </c>
      <c r="O3" s="28">
        <f>(M3+N3)/J3/(K3/20)</f>
        <v>33.643084112149531</v>
      </c>
      <c r="P3" s="2">
        <v>35585</v>
      </c>
      <c r="Q3" s="27">
        <v>165</v>
      </c>
      <c r="S3" s="27">
        <v>39458.06</v>
      </c>
      <c r="T3" s="27">
        <v>1905</v>
      </c>
      <c r="U3" s="27" t="s">
        <v>383</v>
      </c>
      <c r="V3" s="27" t="s">
        <v>524</v>
      </c>
      <c r="W3" s="27" t="s">
        <v>524</v>
      </c>
      <c r="X3" s="27" t="s">
        <v>524</v>
      </c>
      <c r="Y3" s="27" t="s">
        <v>383</v>
      </c>
      <c r="Z3" s="27" t="s">
        <v>383</v>
      </c>
      <c r="AA3" s="27" t="s">
        <v>524</v>
      </c>
      <c r="AB3" s="27" t="s">
        <v>383</v>
      </c>
    </row>
    <row r="4" spans="1:28" x14ac:dyDescent="0.25">
      <c r="A4" s="27" t="s">
        <v>1231</v>
      </c>
      <c r="B4" s="27" t="str">
        <f t="shared" si="0"/>
        <v>South Carolina</v>
      </c>
      <c r="C4" s="27" t="str">
        <f t="shared" si="1"/>
        <v>Allendale</v>
      </c>
      <c r="G4" s="27"/>
      <c r="J4" s="27" t="s">
        <v>383</v>
      </c>
      <c r="K4" s="2"/>
      <c r="L4" s="27"/>
      <c r="O4" s="28"/>
      <c r="P4" s="2"/>
      <c r="Q4" s="27"/>
      <c r="S4" s="27"/>
      <c r="T4" s="27">
        <v>1905</v>
      </c>
      <c r="U4" s="27" t="s">
        <v>383</v>
      </c>
      <c r="V4" s="27" t="s">
        <v>524</v>
      </c>
      <c r="W4" s="27" t="s">
        <v>524</v>
      </c>
      <c r="X4" s="27" t="s">
        <v>524</v>
      </c>
      <c r="Y4" s="27" t="s">
        <v>383</v>
      </c>
      <c r="Z4" s="27" t="s">
        <v>383</v>
      </c>
      <c r="AA4" s="27" t="s">
        <v>524</v>
      </c>
      <c r="AB4" s="27" t="s">
        <v>383</v>
      </c>
    </row>
    <row r="5" spans="1:28" x14ac:dyDescent="0.25">
      <c r="A5" s="27" t="s">
        <v>1232</v>
      </c>
      <c r="B5" s="27" t="str">
        <f t="shared" si="0"/>
        <v>South Carolina</v>
      </c>
      <c r="C5" s="27" t="str">
        <f t="shared" si="1"/>
        <v>Anderson</v>
      </c>
      <c r="D5" s="27">
        <v>4843</v>
      </c>
      <c r="E5" s="27">
        <v>3118</v>
      </c>
      <c r="F5" s="27">
        <f>F53</f>
        <v>1275</v>
      </c>
      <c r="G5" s="27">
        <f>D5+E5+G53</f>
        <v>9236</v>
      </c>
      <c r="H5" s="27">
        <v>103</v>
      </c>
      <c r="I5" s="27">
        <v>62</v>
      </c>
      <c r="J5" s="2">
        <f>165+J53+J114+J58+J102</f>
        <v>218</v>
      </c>
      <c r="K5" s="2">
        <v>110</v>
      </c>
      <c r="L5" s="2">
        <f>14257+L53+L114</f>
        <v>16492</v>
      </c>
      <c r="M5" s="2">
        <v>42189.91</v>
      </c>
      <c r="N5" s="26">
        <v>9156.4500000000007</v>
      </c>
      <c r="O5" s="28">
        <f>(M5+N5)/J5/(K5/20)</f>
        <v>42.824320266889075</v>
      </c>
      <c r="P5" s="2">
        <v>68504</v>
      </c>
      <c r="Q5" s="27">
        <v>165</v>
      </c>
      <c r="S5" s="27"/>
      <c r="T5" s="27">
        <v>1905</v>
      </c>
      <c r="U5" s="27" t="s">
        <v>383</v>
      </c>
      <c r="V5" s="27" t="s">
        <v>524</v>
      </c>
      <c r="W5" s="27" t="s">
        <v>524</v>
      </c>
      <c r="X5" s="27" t="s">
        <v>524</v>
      </c>
      <c r="Y5" s="27" t="s">
        <v>383</v>
      </c>
      <c r="Z5" s="27" t="s">
        <v>383</v>
      </c>
      <c r="AA5" s="27" t="s">
        <v>524</v>
      </c>
      <c r="AB5" s="27" t="s">
        <v>383</v>
      </c>
    </row>
    <row r="6" spans="1:28" x14ac:dyDescent="0.25">
      <c r="A6" s="27" t="s">
        <v>1233</v>
      </c>
      <c r="B6" s="27" t="str">
        <f t="shared" si="0"/>
        <v>South Carolina</v>
      </c>
      <c r="C6" s="27" t="str">
        <f t="shared" si="1"/>
        <v>Bamberg</v>
      </c>
      <c r="D6" s="27">
        <v>962</v>
      </c>
      <c r="E6" s="27">
        <v>1863</v>
      </c>
      <c r="G6" s="27">
        <f t="shared" ref="G6:G42" si="2">D6+E6</f>
        <v>2825</v>
      </c>
      <c r="H6" s="27">
        <v>49</v>
      </c>
      <c r="I6" s="27">
        <v>35</v>
      </c>
      <c r="J6" s="27">
        <f>84+J54+J71</f>
        <v>99</v>
      </c>
      <c r="K6" s="2">
        <v>97.5</v>
      </c>
      <c r="L6" s="2">
        <f>4220</f>
        <v>4220</v>
      </c>
      <c r="M6" s="2">
        <v>13443.85</v>
      </c>
      <c r="N6" s="2">
        <v>2641.75</v>
      </c>
      <c r="O6" s="28">
        <f>(M6+N6)/J6/(K6/20)</f>
        <v>33.329396529396533</v>
      </c>
      <c r="P6" s="2">
        <v>30649</v>
      </c>
      <c r="Q6" s="27">
        <v>62</v>
      </c>
      <c r="S6" s="27"/>
      <c r="T6" s="27">
        <v>1905</v>
      </c>
      <c r="U6" s="27" t="s">
        <v>383</v>
      </c>
      <c r="V6" s="27" t="s">
        <v>524</v>
      </c>
      <c r="W6" s="27" t="s">
        <v>524</v>
      </c>
      <c r="X6" s="27" t="s">
        <v>524</v>
      </c>
      <c r="Y6" s="27" t="s">
        <v>383</v>
      </c>
      <c r="Z6" s="27" t="s">
        <v>383</v>
      </c>
      <c r="AA6" s="27" t="s">
        <v>524</v>
      </c>
      <c r="AB6" s="27" t="s">
        <v>383</v>
      </c>
    </row>
    <row r="7" spans="1:28" x14ac:dyDescent="0.25">
      <c r="A7" s="27" t="s">
        <v>1234</v>
      </c>
      <c r="B7" s="27" t="str">
        <f t="shared" si="0"/>
        <v>South Carolina</v>
      </c>
      <c r="C7" s="27" t="str">
        <f t="shared" si="1"/>
        <v>Barnwell</v>
      </c>
      <c r="D7" s="27">
        <v>1637</v>
      </c>
      <c r="E7" s="27">
        <v>2558</v>
      </c>
      <c r="F7" s="27">
        <f>F55</f>
        <v>365</v>
      </c>
      <c r="G7" s="27">
        <f>D7+E7+G55</f>
        <v>4560</v>
      </c>
      <c r="H7" s="27">
        <v>81</v>
      </c>
      <c r="I7" s="27">
        <v>62</v>
      </c>
      <c r="J7" s="27">
        <f>143+J55+J61+J115</f>
        <v>163</v>
      </c>
      <c r="K7" s="2">
        <v>97.5</v>
      </c>
      <c r="L7" s="2">
        <f>6806+L55+L61+L115</f>
        <v>7876</v>
      </c>
      <c r="M7" s="2">
        <v>22712.84</v>
      </c>
      <c r="N7" s="2">
        <v>5795.32</v>
      </c>
      <c r="O7" s="28">
        <f>(M7+N7)/J7/(K7/20)</f>
        <v>35.876243511090138</v>
      </c>
      <c r="P7" s="2">
        <v>38793</v>
      </c>
      <c r="Q7" s="27">
        <v>124</v>
      </c>
      <c r="T7" s="27">
        <v>1905</v>
      </c>
      <c r="U7" s="27" t="s">
        <v>383</v>
      </c>
      <c r="V7" s="27" t="s">
        <v>524</v>
      </c>
      <c r="W7" s="27" t="s">
        <v>524</v>
      </c>
      <c r="X7" s="27" t="s">
        <v>524</v>
      </c>
      <c r="Y7" s="27" t="s">
        <v>383</v>
      </c>
      <c r="Z7" s="27" t="s">
        <v>383</v>
      </c>
      <c r="AA7" s="27" t="s">
        <v>524</v>
      </c>
      <c r="AB7" s="27" t="s">
        <v>383</v>
      </c>
    </row>
    <row r="8" spans="1:28" x14ac:dyDescent="0.25">
      <c r="A8" s="27" t="s">
        <v>1235</v>
      </c>
      <c r="B8" s="27" t="str">
        <f t="shared" si="0"/>
        <v>South Carolina</v>
      </c>
      <c r="C8" s="27" t="str">
        <f t="shared" si="1"/>
        <v>Beaufort</v>
      </c>
      <c r="D8" s="27">
        <v>260</v>
      </c>
      <c r="E8" s="27">
        <v>5618</v>
      </c>
      <c r="G8" s="27">
        <f t="shared" si="2"/>
        <v>5878</v>
      </c>
      <c r="H8" s="27">
        <v>24</v>
      </c>
      <c r="I8" s="27">
        <v>62</v>
      </c>
      <c r="J8" s="2">
        <f>86+J57</f>
        <v>91</v>
      </c>
      <c r="K8" s="2">
        <v>112.5</v>
      </c>
      <c r="L8" s="2">
        <v>3692</v>
      </c>
      <c r="M8" s="2">
        <v>7426.21</v>
      </c>
      <c r="N8" s="2">
        <v>7370.8</v>
      </c>
      <c r="O8" s="28">
        <f>(M8+N8)/J8/(K8/20)</f>
        <v>28.907467643467644</v>
      </c>
      <c r="P8" s="2">
        <v>17308</v>
      </c>
      <c r="Q8" s="27">
        <v>86</v>
      </c>
      <c r="S8" s="27">
        <v>5645.19</v>
      </c>
      <c r="T8" s="27">
        <v>1905</v>
      </c>
      <c r="U8" s="27" t="s">
        <v>383</v>
      </c>
      <c r="V8" s="27" t="s">
        <v>524</v>
      </c>
      <c r="W8" s="27" t="s">
        <v>524</v>
      </c>
      <c r="X8" s="27" t="s">
        <v>524</v>
      </c>
      <c r="Y8" s="27" t="s">
        <v>383</v>
      </c>
      <c r="Z8" s="27" t="s">
        <v>383</v>
      </c>
      <c r="AA8" s="27" t="s">
        <v>524</v>
      </c>
      <c r="AB8" s="27" t="s">
        <v>383</v>
      </c>
    </row>
    <row r="9" spans="1:28" x14ac:dyDescent="0.25">
      <c r="A9" s="27" t="s">
        <v>1236</v>
      </c>
      <c r="B9" s="27" t="str">
        <f t="shared" si="0"/>
        <v>South Carolina</v>
      </c>
      <c r="C9" s="27" t="str">
        <f t="shared" si="1"/>
        <v>Berkeley</v>
      </c>
      <c r="D9" s="27">
        <v>1521</v>
      </c>
      <c r="E9" s="27">
        <v>3461</v>
      </c>
      <c r="G9" s="27">
        <f t="shared" si="2"/>
        <v>4982</v>
      </c>
      <c r="H9" s="27">
        <v>56</v>
      </c>
      <c r="I9" s="27">
        <v>69</v>
      </c>
      <c r="J9" s="27">
        <v>125</v>
      </c>
      <c r="K9" s="2">
        <v>100</v>
      </c>
      <c r="L9" s="2">
        <v>5692</v>
      </c>
      <c r="M9" s="2">
        <v>10645.57</v>
      </c>
      <c r="N9" s="2">
        <v>4544.8599999999997</v>
      </c>
      <c r="O9" s="28">
        <f>(M9+N9)/J9/(K9/20)</f>
        <v>24.304688000000002</v>
      </c>
      <c r="P9" s="2">
        <v>15881</v>
      </c>
      <c r="Q9" s="27">
        <v>118</v>
      </c>
      <c r="S9" s="27"/>
      <c r="T9" s="27">
        <v>1905</v>
      </c>
      <c r="U9" s="27" t="s">
        <v>383</v>
      </c>
      <c r="V9" s="27" t="s">
        <v>524</v>
      </c>
      <c r="W9" s="27" t="s">
        <v>524</v>
      </c>
      <c r="X9" s="27" t="s">
        <v>524</v>
      </c>
      <c r="Y9" s="27" t="s">
        <v>383</v>
      </c>
      <c r="Z9" s="27" t="s">
        <v>383</v>
      </c>
      <c r="AA9" s="27" t="s">
        <v>524</v>
      </c>
      <c r="AB9" s="27" t="s">
        <v>383</v>
      </c>
    </row>
    <row r="10" spans="1:28" x14ac:dyDescent="0.25">
      <c r="A10" s="27" t="s">
        <v>1237</v>
      </c>
      <c r="B10" s="27" t="str">
        <f t="shared" si="0"/>
        <v>South Carolina</v>
      </c>
      <c r="C10" s="27" t="str">
        <f t="shared" si="1"/>
        <v>Calhoun</v>
      </c>
      <c r="G10" s="27"/>
      <c r="J10" s="27" t="s">
        <v>383</v>
      </c>
      <c r="K10" s="2"/>
      <c r="L10" s="27"/>
      <c r="O10" s="28"/>
      <c r="P10" s="2"/>
      <c r="Q10" s="27"/>
      <c r="S10" s="27">
        <v>19534.64</v>
      </c>
      <c r="T10" s="27">
        <v>1905</v>
      </c>
      <c r="U10" s="27" t="s">
        <v>383</v>
      </c>
      <c r="V10" s="27" t="s">
        <v>524</v>
      </c>
      <c r="W10" s="27" t="s">
        <v>524</v>
      </c>
      <c r="X10" s="27" t="s">
        <v>524</v>
      </c>
      <c r="Y10" s="27" t="s">
        <v>383</v>
      </c>
      <c r="Z10" s="27" t="s">
        <v>383</v>
      </c>
      <c r="AA10" s="27" t="s">
        <v>524</v>
      </c>
      <c r="AB10" s="27" t="s">
        <v>383</v>
      </c>
    </row>
    <row r="11" spans="1:28" x14ac:dyDescent="0.25">
      <c r="A11" s="27" t="s">
        <v>1238</v>
      </c>
      <c r="B11" s="27" t="str">
        <f t="shared" si="0"/>
        <v>South Carolina</v>
      </c>
      <c r="C11" s="27" t="str">
        <f t="shared" si="1"/>
        <v>Charleston</v>
      </c>
      <c r="D11" s="27">
        <v>3201</v>
      </c>
      <c r="E11" s="27">
        <v>5203</v>
      </c>
      <c r="F11" s="27">
        <f>F64</f>
        <v>5450</v>
      </c>
      <c r="G11" s="27">
        <f>D11+E11+G64</f>
        <v>13854</v>
      </c>
      <c r="H11" s="27">
        <v>166</v>
      </c>
      <c r="I11" s="27">
        <v>54</v>
      </c>
      <c r="J11" s="2">
        <f>220+J64</f>
        <v>244</v>
      </c>
      <c r="K11" s="2">
        <v>142.5</v>
      </c>
      <c r="L11" s="2">
        <f>13985+L64</f>
        <v>22680</v>
      </c>
      <c r="M11" s="2">
        <v>69995.25</v>
      </c>
      <c r="N11" s="2">
        <v>10625</v>
      </c>
      <c r="O11" s="28">
        <f t="shared" ref="O11:O17" si="3">(M11+N11)/J11/(K11/20)</f>
        <v>46.373454127121079</v>
      </c>
      <c r="P11" s="2">
        <v>101888</v>
      </c>
      <c r="Q11" s="27">
        <v>82</v>
      </c>
      <c r="S11" s="27"/>
      <c r="T11" s="27">
        <v>1905</v>
      </c>
      <c r="U11" s="27" t="s">
        <v>383</v>
      </c>
      <c r="V11" s="27" t="s">
        <v>524</v>
      </c>
      <c r="W11" s="27" t="s">
        <v>524</v>
      </c>
      <c r="X11" s="27" t="s">
        <v>524</v>
      </c>
      <c r="Y11" s="27" t="s">
        <v>383</v>
      </c>
      <c r="Z11" s="27" t="s">
        <v>383</v>
      </c>
      <c r="AA11" s="27" t="s">
        <v>524</v>
      </c>
      <c r="AB11" s="27" t="s">
        <v>383</v>
      </c>
    </row>
    <row r="12" spans="1:28" x14ac:dyDescent="0.25">
      <c r="A12" s="27" t="s">
        <v>1239</v>
      </c>
      <c r="B12" s="27" t="str">
        <f t="shared" si="0"/>
        <v>South Carolina</v>
      </c>
      <c r="C12" s="27" t="str">
        <f t="shared" si="1"/>
        <v>Cherokee</v>
      </c>
      <c r="D12" s="27">
        <v>3480</v>
      </c>
      <c r="E12" s="27">
        <v>959</v>
      </c>
      <c r="G12" s="27">
        <f t="shared" si="2"/>
        <v>4439</v>
      </c>
      <c r="H12" s="27">
        <v>70</v>
      </c>
      <c r="I12" s="27">
        <v>34</v>
      </c>
      <c r="J12" s="27">
        <v>104</v>
      </c>
      <c r="K12" s="2">
        <v>135</v>
      </c>
      <c r="L12" s="2">
        <f>4947+L78</f>
        <v>5746</v>
      </c>
      <c r="M12" s="2">
        <v>14864.49</v>
      </c>
      <c r="N12" s="2">
        <v>3516.6</v>
      </c>
      <c r="O12" s="28">
        <f t="shared" si="3"/>
        <v>26.183888888888891</v>
      </c>
      <c r="P12" s="2">
        <v>21778</v>
      </c>
      <c r="Q12" s="27">
        <v>89</v>
      </c>
      <c r="S12" s="27">
        <v>43550</v>
      </c>
      <c r="T12" s="27">
        <v>1905</v>
      </c>
      <c r="U12" s="27" t="s">
        <v>383</v>
      </c>
      <c r="V12" s="27" t="s">
        <v>524</v>
      </c>
      <c r="W12" s="27" t="s">
        <v>524</v>
      </c>
      <c r="X12" s="27" t="s">
        <v>524</v>
      </c>
      <c r="Y12" s="27" t="s">
        <v>383</v>
      </c>
      <c r="Z12" s="27" t="s">
        <v>383</v>
      </c>
      <c r="AA12" s="27" t="s">
        <v>524</v>
      </c>
      <c r="AB12" s="27" t="s">
        <v>383</v>
      </c>
    </row>
    <row r="13" spans="1:28" x14ac:dyDescent="0.25">
      <c r="A13" s="27" t="s">
        <v>1240</v>
      </c>
      <c r="B13" s="27" t="str">
        <f t="shared" si="0"/>
        <v>South Carolina</v>
      </c>
      <c r="C13" s="27" t="str">
        <f t="shared" si="1"/>
        <v>Chester</v>
      </c>
      <c r="D13" s="27">
        <v>1535</v>
      </c>
      <c r="E13" s="27">
        <v>2630</v>
      </c>
      <c r="F13" s="27">
        <f>F66</f>
        <v>808</v>
      </c>
      <c r="G13" s="27">
        <f>D13+E13+G66</f>
        <v>4973</v>
      </c>
      <c r="H13" s="27">
        <v>68</v>
      </c>
      <c r="I13" s="27">
        <v>53</v>
      </c>
      <c r="J13" s="2">
        <f>121+J66</f>
        <v>142</v>
      </c>
      <c r="K13" s="2">
        <v>122.5</v>
      </c>
      <c r="L13" s="2">
        <f>6481+L66</f>
        <v>7523</v>
      </c>
      <c r="M13" s="2">
        <v>18620.3</v>
      </c>
      <c r="N13" s="2">
        <v>4625.8500000000004</v>
      </c>
      <c r="O13" s="28">
        <f t="shared" si="3"/>
        <v>26.727392929002587</v>
      </c>
      <c r="P13" s="2">
        <v>28118</v>
      </c>
      <c r="Q13" s="27">
        <v>103</v>
      </c>
      <c r="S13" s="27">
        <v>60248.72</v>
      </c>
      <c r="T13" s="27">
        <v>1905</v>
      </c>
      <c r="U13" s="27" t="s">
        <v>383</v>
      </c>
      <c r="V13" s="27" t="s">
        <v>524</v>
      </c>
      <c r="W13" s="27" t="s">
        <v>524</v>
      </c>
      <c r="X13" s="27" t="s">
        <v>524</v>
      </c>
      <c r="Y13" s="27" t="s">
        <v>383</v>
      </c>
      <c r="Z13" s="27" t="s">
        <v>383</v>
      </c>
      <c r="AA13" s="27" t="s">
        <v>524</v>
      </c>
      <c r="AB13" s="27" t="s">
        <v>383</v>
      </c>
    </row>
    <row r="14" spans="1:28" x14ac:dyDescent="0.25">
      <c r="A14" s="27" t="s">
        <v>1757</v>
      </c>
      <c r="B14" s="27" t="str">
        <f t="shared" si="0"/>
        <v>South Carolina</v>
      </c>
      <c r="C14" s="27" t="str">
        <f t="shared" si="1"/>
        <v>Chesterfield</v>
      </c>
      <c r="D14" s="27">
        <v>2135</v>
      </c>
      <c r="E14" s="27">
        <v>1332</v>
      </c>
      <c r="G14" s="27">
        <f t="shared" si="2"/>
        <v>3467</v>
      </c>
      <c r="H14" s="27">
        <v>61</v>
      </c>
      <c r="I14" s="27">
        <v>23</v>
      </c>
      <c r="J14" s="27">
        <v>84</v>
      </c>
      <c r="K14" s="2">
        <v>60</v>
      </c>
      <c r="L14" s="2">
        <v>4170</v>
      </c>
      <c r="M14" s="2">
        <v>9577.73</v>
      </c>
      <c r="N14" s="2">
        <v>1768</v>
      </c>
      <c r="O14" s="28">
        <f t="shared" si="3"/>
        <v>45.02273809523809</v>
      </c>
      <c r="P14" s="2">
        <v>13235</v>
      </c>
      <c r="Q14" s="27">
        <v>87</v>
      </c>
      <c r="S14" s="27"/>
      <c r="T14" s="27">
        <v>1905</v>
      </c>
      <c r="U14" s="27" t="s">
        <v>383</v>
      </c>
      <c r="V14" s="27" t="s">
        <v>524</v>
      </c>
      <c r="W14" s="27" t="s">
        <v>524</v>
      </c>
      <c r="X14" s="27" t="s">
        <v>524</v>
      </c>
      <c r="Y14" s="27" t="s">
        <v>383</v>
      </c>
      <c r="Z14" s="27" t="s">
        <v>383</v>
      </c>
      <c r="AA14" s="27" t="s">
        <v>524</v>
      </c>
      <c r="AB14" s="27" t="s">
        <v>383</v>
      </c>
    </row>
    <row r="15" spans="1:28" x14ac:dyDescent="0.25">
      <c r="A15" s="27" t="s">
        <v>1241</v>
      </c>
      <c r="B15" s="27" t="str">
        <f t="shared" si="0"/>
        <v>South Carolina</v>
      </c>
      <c r="C15" s="27" t="str">
        <f t="shared" si="1"/>
        <v>Clarendon</v>
      </c>
      <c r="D15" s="27">
        <v>1257</v>
      </c>
      <c r="E15" s="27">
        <v>2933</v>
      </c>
      <c r="G15" s="27">
        <f t="shared" si="2"/>
        <v>4190</v>
      </c>
      <c r="H15" s="27">
        <v>70</v>
      </c>
      <c r="I15" s="27">
        <v>66</v>
      </c>
      <c r="J15" s="2">
        <f>136+J93</f>
        <v>148</v>
      </c>
      <c r="K15" s="2">
        <v>57.5</v>
      </c>
      <c r="L15" s="2">
        <v>6524</v>
      </c>
      <c r="M15" s="2">
        <v>16157.13</v>
      </c>
      <c r="N15" s="2">
        <v>5292.5</v>
      </c>
      <c r="O15" s="28">
        <f t="shared" si="3"/>
        <v>50.410411280846063</v>
      </c>
      <c r="P15" s="2">
        <v>23714</v>
      </c>
      <c r="Q15" s="27">
        <v>116</v>
      </c>
      <c r="S15" s="27">
        <v>99735</v>
      </c>
      <c r="T15" s="27">
        <v>1905</v>
      </c>
      <c r="U15" s="27" t="s">
        <v>383</v>
      </c>
      <c r="V15" s="27" t="s">
        <v>524</v>
      </c>
      <c r="W15" s="27" t="s">
        <v>524</v>
      </c>
      <c r="X15" s="27" t="s">
        <v>524</v>
      </c>
      <c r="Y15" s="27" t="s">
        <v>383</v>
      </c>
      <c r="Z15" s="27" t="s">
        <v>383</v>
      </c>
      <c r="AA15" s="27" t="s">
        <v>524</v>
      </c>
      <c r="AB15" s="27" t="s">
        <v>383</v>
      </c>
    </row>
    <row r="16" spans="1:28" x14ac:dyDescent="0.25">
      <c r="A16" s="27" t="s">
        <v>1242</v>
      </c>
      <c r="B16" s="27" t="str">
        <f t="shared" si="0"/>
        <v>South Carolina</v>
      </c>
      <c r="C16" s="27" t="str">
        <f t="shared" si="1"/>
        <v>Colleton</v>
      </c>
      <c r="D16" s="27">
        <v>3400</v>
      </c>
      <c r="E16" s="27">
        <v>2150</v>
      </c>
      <c r="G16" s="27">
        <f t="shared" si="2"/>
        <v>5550</v>
      </c>
      <c r="H16" s="27">
        <v>97</v>
      </c>
      <c r="I16" s="27">
        <v>68</v>
      </c>
      <c r="J16" s="27">
        <v>165</v>
      </c>
      <c r="K16" s="2">
        <v>92.5</v>
      </c>
      <c r="L16" s="2">
        <v>2703</v>
      </c>
      <c r="M16" s="2">
        <v>19675.349999999999</v>
      </c>
      <c r="N16" s="2">
        <v>3500.65</v>
      </c>
      <c r="O16" s="28">
        <f t="shared" si="3"/>
        <v>30.369860769860772</v>
      </c>
      <c r="P16" s="2">
        <v>24828</v>
      </c>
      <c r="Q16" s="27">
        <v>155</v>
      </c>
      <c r="S16" s="27">
        <v>9000</v>
      </c>
      <c r="T16" s="27">
        <v>1905</v>
      </c>
      <c r="U16" s="27" t="s">
        <v>383</v>
      </c>
      <c r="V16" s="27" t="s">
        <v>524</v>
      </c>
      <c r="W16" s="27" t="s">
        <v>524</v>
      </c>
      <c r="X16" s="27" t="s">
        <v>524</v>
      </c>
      <c r="Y16" s="27" t="s">
        <v>383</v>
      </c>
      <c r="Z16" s="27" t="s">
        <v>383</v>
      </c>
      <c r="AA16" s="27" t="s">
        <v>524</v>
      </c>
      <c r="AB16" s="27" t="s">
        <v>383</v>
      </c>
    </row>
    <row r="17" spans="1:28" x14ac:dyDescent="0.25">
      <c r="A17" s="27" t="s">
        <v>1243</v>
      </c>
      <c r="B17" s="27" t="str">
        <f t="shared" si="0"/>
        <v>South Carolina</v>
      </c>
      <c r="C17" s="27" t="str">
        <f t="shared" si="1"/>
        <v>Darlington</v>
      </c>
      <c r="D17" s="27">
        <v>1677</v>
      </c>
      <c r="E17" s="27">
        <v>2437</v>
      </c>
      <c r="F17" s="27">
        <f>F70</f>
        <v>685</v>
      </c>
      <c r="G17" s="27">
        <f>D17+E17+G70</f>
        <v>4799</v>
      </c>
      <c r="H17" s="27">
        <v>75</v>
      </c>
      <c r="I17" s="27">
        <v>54</v>
      </c>
      <c r="J17" s="2">
        <f>129+J70</f>
        <v>148</v>
      </c>
      <c r="K17" s="2">
        <v>120</v>
      </c>
      <c r="L17" s="2">
        <f>6642+L70</f>
        <v>7694</v>
      </c>
      <c r="M17" s="2">
        <v>17372.669999999998</v>
      </c>
      <c r="N17" s="2">
        <v>5984.27</v>
      </c>
      <c r="O17" s="28">
        <f t="shared" si="3"/>
        <v>26.302860360360359</v>
      </c>
      <c r="P17" s="2">
        <v>28121</v>
      </c>
      <c r="Q17" s="27">
        <v>80</v>
      </c>
      <c r="S17" s="27">
        <v>72275</v>
      </c>
      <c r="T17" s="27">
        <v>1905</v>
      </c>
      <c r="U17" s="27" t="s">
        <v>383</v>
      </c>
      <c r="V17" s="27" t="s">
        <v>524</v>
      </c>
      <c r="W17" s="27" t="s">
        <v>524</v>
      </c>
      <c r="X17" s="27" t="s">
        <v>524</v>
      </c>
      <c r="Y17" s="27" t="s">
        <v>383</v>
      </c>
      <c r="Z17" s="27" t="s">
        <v>383</v>
      </c>
      <c r="AA17" s="27" t="s">
        <v>524</v>
      </c>
      <c r="AB17" s="27" t="s">
        <v>383</v>
      </c>
    </row>
    <row r="18" spans="1:28" x14ac:dyDescent="0.25">
      <c r="A18" s="27" t="s">
        <v>1244</v>
      </c>
      <c r="B18" s="27" t="str">
        <f t="shared" si="0"/>
        <v>South Carolina</v>
      </c>
      <c r="C18" s="27" t="str">
        <f t="shared" si="1"/>
        <v>Dillon</v>
      </c>
      <c r="F18" s="27">
        <f>F72</f>
        <v>293</v>
      </c>
      <c r="G18" s="27">
        <v>293</v>
      </c>
      <c r="J18" s="2">
        <v>11</v>
      </c>
      <c r="K18" s="2"/>
      <c r="L18" s="27">
        <f>L72</f>
        <v>693</v>
      </c>
      <c r="O18" s="28"/>
      <c r="P18" s="2"/>
      <c r="Q18" s="27"/>
      <c r="T18" s="27">
        <v>1905</v>
      </c>
      <c r="U18" s="27" t="s">
        <v>383</v>
      </c>
      <c r="V18" s="27" t="s">
        <v>524</v>
      </c>
      <c r="W18" s="27" t="s">
        <v>524</v>
      </c>
      <c r="X18" s="27" t="s">
        <v>524</v>
      </c>
      <c r="Y18" s="27" t="s">
        <v>383</v>
      </c>
      <c r="Z18" s="27" t="s">
        <v>383</v>
      </c>
      <c r="AA18" s="27" t="s">
        <v>524</v>
      </c>
      <c r="AB18" s="27" t="s">
        <v>383</v>
      </c>
    </row>
    <row r="19" spans="1:28" x14ac:dyDescent="0.25">
      <c r="A19" s="27" t="s">
        <v>1245</v>
      </c>
      <c r="B19" s="27" t="str">
        <f t="shared" si="0"/>
        <v>South Carolina</v>
      </c>
      <c r="C19" s="27" t="str">
        <f t="shared" si="1"/>
        <v>Dorchester</v>
      </c>
      <c r="D19" s="27">
        <v>1050</v>
      </c>
      <c r="E19" s="27">
        <v>962</v>
      </c>
      <c r="G19" s="27">
        <f t="shared" si="2"/>
        <v>2012</v>
      </c>
      <c r="H19" s="27">
        <v>46</v>
      </c>
      <c r="I19" s="27">
        <v>36</v>
      </c>
      <c r="J19" s="27">
        <v>82</v>
      </c>
      <c r="K19" s="2">
        <v>87.5</v>
      </c>
      <c r="L19" s="2">
        <v>3264</v>
      </c>
      <c r="M19" s="2">
        <v>8749.5</v>
      </c>
      <c r="N19" s="2">
        <v>2576</v>
      </c>
      <c r="O19" s="28">
        <f t="shared" ref="O19:O27" si="4">(M19+N19)/J19/(K19/20)</f>
        <v>31.56933797909408</v>
      </c>
      <c r="P19" s="2">
        <v>13165</v>
      </c>
      <c r="Q19" s="27">
        <v>76</v>
      </c>
      <c r="S19" s="27">
        <v>36710</v>
      </c>
      <c r="T19" s="27">
        <v>1905</v>
      </c>
      <c r="U19" s="27" t="s">
        <v>383</v>
      </c>
      <c r="V19" s="27" t="s">
        <v>524</v>
      </c>
      <c r="W19" s="27" t="s">
        <v>524</v>
      </c>
      <c r="X19" s="27" t="s">
        <v>524</v>
      </c>
      <c r="Y19" s="27" t="s">
        <v>383</v>
      </c>
      <c r="Z19" s="27" t="s">
        <v>383</v>
      </c>
      <c r="AA19" s="27" t="s">
        <v>524</v>
      </c>
      <c r="AB19" s="27" t="s">
        <v>383</v>
      </c>
    </row>
    <row r="20" spans="1:28" x14ac:dyDescent="0.25">
      <c r="A20" s="27" t="s">
        <v>1246</v>
      </c>
      <c r="B20" s="27" t="str">
        <f t="shared" si="0"/>
        <v>South Carolina</v>
      </c>
      <c r="C20" s="27" t="str">
        <f t="shared" si="1"/>
        <v>Edgefield</v>
      </c>
      <c r="D20" s="27">
        <v>1395</v>
      </c>
      <c r="E20" s="27">
        <v>3350</v>
      </c>
      <c r="G20" s="27">
        <f t="shared" si="2"/>
        <v>4745</v>
      </c>
      <c r="H20" s="27">
        <v>71</v>
      </c>
      <c r="I20" s="27">
        <v>68</v>
      </c>
      <c r="J20" s="2">
        <v>139</v>
      </c>
      <c r="K20" s="2">
        <v>97.5</v>
      </c>
      <c r="L20" s="2">
        <v>6186</v>
      </c>
      <c r="M20" s="2">
        <v>14079.98</v>
      </c>
      <c r="N20" s="2">
        <v>4018.15</v>
      </c>
      <c r="O20" s="28">
        <f t="shared" si="4"/>
        <v>26.708179302711677</v>
      </c>
      <c r="P20" s="2">
        <v>19269</v>
      </c>
      <c r="Q20" s="27">
        <v>120</v>
      </c>
      <c r="S20" s="27"/>
      <c r="T20" s="27">
        <v>1905</v>
      </c>
      <c r="U20" s="27" t="s">
        <v>383</v>
      </c>
      <c r="V20" s="27" t="s">
        <v>524</v>
      </c>
      <c r="W20" s="27" t="s">
        <v>524</v>
      </c>
      <c r="X20" s="27" t="s">
        <v>524</v>
      </c>
      <c r="Y20" s="27" t="s">
        <v>383</v>
      </c>
      <c r="Z20" s="27" t="s">
        <v>383</v>
      </c>
      <c r="AA20" s="27" t="s">
        <v>524</v>
      </c>
      <c r="AB20" s="27" t="s">
        <v>383</v>
      </c>
    </row>
    <row r="21" spans="1:28" x14ac:dyDescent="0.25">
      <c r="A21" s="27" t="s">
        <v>1247</v>
      </c>
      <c r="B21" s="27" t="str">
        <f t="shared" si="0"/>
        <v>South Carolina</v>
      </c>
      <c r="C21" s="27" t="str">
        <f t="shared" si="1"/>
        <v>Fairfield</v>
      </c>
      <c r="D21" s="27">
        <v>1385</v>
      </c>
      <c r="E21" s="27">
        <v>4140</v>
      </c>
      <c r="G21" s="27">
        <f t="shared" si="2"/>
        <v>5525</v>
      </c>
      <c r="H21" s="27">
        <v>62</v>
      </c>
      <c r="I21" s="27">
        <v>65</v>
      </c>
      <c r="J21" s="27">
        <v>127</v>
      </c>
      <c r="K21" s="2">
        <v>117.5</v>
      </c>
      <c r="L21" s="2">
        <f>7359+L116</f>
        <v>7877</v>
      </c>
      <c r="M21" s="2">
        <v>17256.75</v>
      </c>
      <c r="N21" s="2">
        <v>3791.4</v>
      </c>
      <c r="O21" s="28">
        <f t="shared" si="4"/>
        <v>28.209951415647513</v>
      </c>
      <c r="P21" s="2">
        <v>24730</v>
      </c>
      <c r="Q21" s="27">
        <v>105</v>
      </c>
      <c r="T21" s="27">
        <v>1905</v>
      </c>
      <c r="U21" s="27" t="s">
        <v>383</v>
      </c>
      <c r="V21" s="27" t="s">
        <v>524</v>
      </c>
      <c r="W21" s="27" t="s">
        <v>524</v>
      </c>
      <c r="X21" s="27" t="s">
        <v>524</v>
      </c>
      <c r="Y21" s="27" t="s">
        <v>383</v>
      </c>
      <c r="Z21" s="27" t="s">
        <v>383</v>
      </c>
      <c r="AA21" s="27" t="s">
        <v>524</v>
      </c>
      <c r="AB21" s="27" t="s">
        <v>383</v>
      </c>
    </row>
    <row r="22" spans="1:28" x14ac:dyDescent="0.25">
      <c r="A22" s="27" t="s">
        <v>1248</v>
      </c>
      <c r="B22" s="27" t="str">
        <f t="shared" si="0"/>
        <v>South Carolina</v>
      </c>
      <c r="C22" s="27" t="str">
        <f t="shared" si="1"/>
        <v>Florence</v>
      </c>
      <c r="D22" s="27">
        <v>2748</v>
      </c>
      <c r="E22" s="27">
        <v>2934</v>
      </c>
      <c r="F22" s="27">
        <f>F75</f>
        <v>839</v>
      </c>
      <c r="G22" s="27">
        <f>D22+E22+G75</f>
        <v>6521</v>
      </c>
      <c r="H22" s="27">
        <v>87</v>
      </c>
      <c r="I22" s="27">
        <v>53</v>
      </c>
      <c r="J22" s="2">
        <f>140+J75+J111</f>
        <v>165</v>
      </c>
      <c r="K22" s="2">
        <v>95</v>
      </c>
      <c r="L22" s="2">
        <f>6561+L75+L111</f>
        <v>7768</v>
      </c>
      <c r="M22" s="2">
        <v>20353.97</v>
      </c>
      <c r="N22" s="2">
        <v>4902.25</v>
      </c>
      <c r="O22" s="28">
        <f t="shared" si="4"/>
        <v>32.224842105263157</v>
      </c>
      <c r="P22" s="2">
        <v>29789</v>
      </c>
      <c r="Q22" s="27">
        <v>104</v>
      </c>
      <c r="S22" s="27">
        <v>117450</v>
      </c>
      <c r="T22" s="27">
        <v>1905</v>
      </c>
      <c r="U22" s="27" t="s">
        <v>383</v>
      </c>
      <c r="V22" s="27" t="s">
        <v>524</v>
      </c>
      <c r="W22" s="27" t="s">
        <v>524</v>
      </c>
      <c r="X22" s="27" t="s">
        <v>524</v>
      </c>
      <c r="Y22" s="27" t="s">
        <v>383</v>
      </c>
      <c r="Z22" s="27" t="s">
        <v>383</v>
      </c>
      <c r="AA22" s="27" t="s">
        <v>524</v>
      </c>
      <c r="AB22" s="27" t="s">
        <v>383</v>
      </c>
    </row>
    <row r="23" spans="1:28" x14ac:dyDescent="0.25">
      <c r="A23" s="27" t="s">
        <v>1249</v>
      </c>
      <c r="B23" s="27" t="str">
        <f t="shared" si="0"/>
        <v>South Carolina</v>
      </c>
      <c r="C23" s="27" t="str">
        <f t="shared" si="1"/>
        <v>Georgetown</v>
      </c>
      <c r="D23" s="27">
        <v>1267</v>
      </c>
      <c r="E23" s="27">
        <v>2399</v>
      </c>
      <c r="G23" s="27">
        <f t="shared" si="2"/>
        <v>3666</v>
      </c>
      <c r="H23" s="27">
        <v>52</v>
      </c>
      <c r="I23" s="27">
        <v>43</v>
      </c>
      <c r="J23" s="27">
        <v>95</v>
      </c>
      <c r="K23" s="2">
        <f>175+J80</f>
        <v>180</v>
      </c>
      <c r="L23" s="2">
        <v>4033</v>
      </c>
      <c r="M23" s="2">
        <v>11758.8</v>
      </c>
      <c r="N23" s="2">
        <v>5968.57</v>
      </c>
      <c r="O23" s="28">
        <f t="shared" si="4"/>
        <v>20.733766081871345</v>
      </c>
      <c r="P23" s="2">
        <v>10622</v>
      </c>
      <c r="Q23" s="27">
        <v>84</v>
      </c>
      <c r="S23" s="27">
        <v>35000</v>
      </c>
      <c r="T23" s="27">
        <v>1905</v>
      </c>
      <c r="U23" s="27" t="s">
        <v>383</v>
      </c>
      <c r="V23" s="27" t="s">
        <v>524</v>
      </c>
      <c r="W23" s="27" t="s">
        <v>524</v>
      </c>
      <c r="X23" s="27" t="s">
        <v>524</v>
      </c>
      <c r="Y23" s="27" t="s">
        <v>383</v>
      </c>
      <c r="Z23" s="27" t="s">
        <v>383</v>
      </c>
      <c r="AA23" s="27" t="s">
        <v>524</v>
      </c>
      <c r="AB23" s="27" t="s">
        <v>383</v>
      </c>
    </row>
    <row r="24" spans="1:28" x14ac:dyDescent="0.25">
      <c r="A24" s="27" t="s">
        <v>1250</v>
      </c>
      <c r="B24" s="27" t="str">
        <f t="shared" si="0"/>
        <v>South Carolina</v>
      </c>
      <c r="C24" s="27" t="str">
        <f t="shared" si="1"/>
        <v>Greenville</v>
      </c>
      <c r="D24" s="27">
        <v>6198</v>
      </c>
      <c r="E24" s="27">
        <v>2736</v>
      </c>
      <c r="F24" s="27">
        <f>F82</f>
        <v>1608</v>
      </c>
      <c r="G24" s="27">
        <f>D24+E24+G77+G82</f>
        <v>10773</v>
      </c>
      <c r="H24" s="27">
        <v>187</v>
      </c>
      <c r="I24" s="27">
        <v>72</v>
      </c>
      <c r="J24" s="2">
        <f>259+J77+J82</f>
        <v>305</v>
      </c>
      <c r="K24" s="2">
        <v>90</v>
      </c>
      <c r="L24" s="2">
        <f>14023+L77+L82</f>
        <v>16745</v>
      </c>
      <c r="M24" s="2">
        <v>40848.559999999998</v>
      </c>
      <c r="N24" s="2">
        <v>8227.2099999999991</v>
      </c>
      <c r="O24" s="28">
        <f t="shared" si="4"/>
        <v>35.756480874316935</v>
      </c>
      <c r="P24" s="2">
        <v>58338</v>
      </c>
      <c r="Q24" s="27">
        <v>195</v>
      </c>
      <c r="S24" s="27">
        <v>146110</v>
      </c>
      <c r="T24" s="27">
        <v>1905</v>
      </c>
      <c r="U24" s="27" t="s">
        <v>383</v>
      </c>
      <c r="V24" s="27" t="s">
        <v>524</v>
      </c>
      <c r="W24" s="27" t="s">
        <v>524</v>
      </c>
      <c r="X24" s="27" t="s">
        <v>524</v>
      </c>
      <c r="Y24" s="27" t="s">
        <v>383</v>
      </c>
      <c r="Z24" s="27" t="s">
        <v>383</v>
      </c>
      <c r="AA24" s="27" t="s">
        <v>524</v>
      </c>
      <c r="AB24" s="27" t="s">
        <v>383</v>
      </c>
    </row>
    <row r="25" spans="1:28" x14ac:dyDescent="0.25">
      <c r="A25" s="27" t="s">
        <v>1758</v>
      </c>
      <c r="B25" s="27" t="str">
        <f t="shared" si="0"/>
        <v>South Carolina</v>
      </c>
      <c r="C25" s="27" t="str">
        <f t="shared" si="1"/>
        <v>Greenwood</v>
      </c>
      <c r="D25" s="27">
        <v>1576</v>
      </c>
      <c r="E25" s="27">
        <v>3145</v>
      </c>
      <c r="F25" s="27">
        <f>F83</f>
        <v>700</v>
      </c>
      <c r="G25" s="27">
        <f>D25+E25+G83</f>
        <v>5421</v>
      </c>
      <c r="H25" s="27">
        <v>72</v>
      </c>
      <c r="I25" s="27">
        <v>66</v>
      </c>
      <c r="J25" s="27">
        <f>138+J83+J98</f>
        <v>160</v>
      </c>
      <c r="K25" s="2">
        <v>102.5</v>
      </c>
      <c r="L25" s="2">
        <f>7312+L83</f>
        <v>8397</v>
      </c>
      <c r="M25" s="2">
        <v>22227.66</v>
      </c>
      <c r="N25" s="2">
        <v>5776.97</v>
      </c>
      <c r="O25" s="28">
        <f t="shared" si="4"/>
        <v>34.151987804878054</v>
      </c>
      <c r="P25" s="2">
        <v>30366</v>
      </c>
      <c r="Q25" s="27">
        <v>115</v>
      </c>
      <c r="S25" s="27"/>
      <c r="T25" s="27">
        <v>1905</v>
      </c>
      <c r="U25" s="27" t="s">
        <v>383</v>
      </c>
      <c r="V25" s="27" t="s">
        <v>524</v>
      </c>
      <c r="W25" s="27" t="s">
        <v>524</v>
      </c>
      <c r="X25" s="27" t="s">
        <v>524</v>
      </c>
      <c r="Y25" s="27" t="s">
        <v>383</v>
      </c>
      <c r="Z25" s="27" t="s">
        <v>383</v>
      </c>
      <c r="AA25" s="27" t="s">
        <v>524</v>
      </c>
      <c r="AB25" s="27" t="s">
        <v>383</v>
      </c>
    </row>
    <row r="26" spans="1:28" x14ac:dyDescent="0.25">
      <c r="A26" s="27" t="s">
        <v>1251</v>
      </c>
      <c r="B26" s="27" t="str">
        <f t="shared" si="0"/>
        <v>South Carolina</v>
      </c>
      <c r="C26" s="27" t="str">
        <f t="shared" si="1"/>
        <v>Hampton</v>
      </c>
      <c r="D26" s="27">
        <v>1915</v>
      </c>
      <c r="E26" s="27">
        <v>2092</v>
      </c>
      <c r="G26" s="27">
        <f t="shared" si="2"/>
        <v>4007</v>
      </c>
      <c r="H26" s="27">
        <v>79</v>
      </c>
      <c r="I26" s="27">
        <v>67</v>
      </c>
      <c r="J26" s="2">
        <f>146+J85</f>
        <v>149</v>
      </c>
      <c r="K26" s="2">
        <v>82.5</v>
      </c>
      <c r="L26" s="2">
        <v>4842</v>
      </c>
      <c r="M26" s="2">
        <v>12542.27</v>
      </c>
      <c r="N26" s="2">
        <v>4092.38</v>
      </c>
      <c r="O26" s="28">
        <f t="shared" si="4"/>
        <v>27.064714256660569</v>
      </c>
      <c r="P26" s="2">
        <v>17415</v>
      </c>
      <c r="Q26" s="27">
        <v>137</v>
      </c>
      <c r="S26" s="27">
        <v>7858.51</v>
      </c>
      <c r="T26" s="27">
        <v>1905</v>
      </c>
      <c r="U26" s="27" t="s">
        <v>383</v>
      </c>
      <c r="V26" s="27" t="s">
        <v>524</v>
      </c>
      <c r="W26" s="27" t="s">
        <v>524</v>
      </c>
      <c r="X26" s="27" t="s">
        <v>524</v>
      </c>
      <c r="Y26" s="27" t="s">
        <v>383</v>
      </c>
      <c r="Z26" s="27" t="s">
        <v>383</v>
      </c>
      <c r="AA26" s="27" t="s">
        <v>524</v>
      </c>
      <c r="AB26" s="27" t="s">
        <v>383</v>
      </c>
    </row>
    <row r="27" spans="1:28" x14ac:dyDescent="0.25">
      <c r="A27" s="27" t="s">
        <v>1252</v>
      </c>
      <c r="B27" s="27" t="str">
        <f t="shared" si="0"/>
        <v>South Carolina</v>
      </c>
      <c r="C27" s="27" t="str">
        <f t="shared" si="1"/>
        <v>Horry</v>
      </c>
      <c r="D27" s="27">
        <v>4425</v>
      </c>
      <c r="E27" s="27">
        <v>1090</v>
      </c>
      <c r="G27" s="27">
        <f>D27+E27+G69</f>
        <v>6881</v>
      </c>
      <c r="H27" s="27">
        <v>114</v>
      </c>
      <c r="I27" s="27">
        <v>28</v>
      </c>
      <c r="J27" s="27">
        <f>142+J69</f>
        <v>149</v>
      </c>
      <c r="K27" s="2">
        <v>57.5</v>
      </c>
      <c r="L27" s="2">
        <f>5782+L69</f>
        <v>6098</v>
      </c>
      <c r="M27" s="2">
        <v>12077.63</v>
      </c>
      <c r="N27" s="2">
        <v>2060.71</v>
      </c>
      <c r="O27" s="28">
        <f t="shared" si="4"/>
        <v>33.004587102421944</v>
      </c>
      <c r="P27" s="2">
        <v>15544</v>
      </c>
      <c r="Q27" s="27">
        <v>129</v>
      </c>
      <c r="S27" s="27">
        <v>32520</v>
      </c>
      <c r="T27" s="27">
        <v>1905</v>
      </c>
      <c r="U27" s="27" t="s">
        <v>383</v>
      </c>
      <c r="V27" s="27" t="s">
        <v>524</v>
      </c>
      <c r="W27" s="27" t="s">
        <v>524</v>
      </c>
      <c r="X27" s="27" t="s">
        <v>524</v>
      </c>
      <c r="Y27" s="27" t="s">
        <v>383</v>
      </c>
      <c r="Z27" s="27" t="s">
        <v>383</v>
      </c>
      <c r="AA27" s="27" t="s">
        <v>524</v>
      </c>
      <c r="AB27" s="27" t="s">
        <v>383</v>
      </c>
    </row>
    <row r="28" spans="1:28" x14ac:dyDescent="0.25">
      <c r="A28" s="27" t="s">
        <v>1253</v>
      </c>
      <c r="B28" s="27" t="str">
        <f t="shared" si="0"/>
        <v>South Carolina</v>
      </c>
      <c r="C28" s="27" t="str">
        <f t="shared" si="1"/>
        <v>Jasper</v>
      </c>
      <c r="G28" s="27"/>
      <c r="J28" s="27" t="s">
        <v>383</v>
      </c>
      <c r="K28" s="2"/>
      <c r="L28" s="2"/>
      <c r="N28" s="2"/>
      <c r="O28" s="28"/>
      <c r="P28" s="2"/>
      <c r="Q28" s="27"/>
      <c r="T28" s="27">
        <v>1905</v>
      </c>
      <c r="U28" s="27" t="s">
        <v>383</v>
      </c>
      <c r="V28" s="27" t="s">
        <v>524</v>
      </c>
      <c r="W28" s="27" t="s">
        <v>524</v>
      </c>
      <c r="X28" s="27" t="s">
        <v>524</v>
      </c>
      <c r="Y28" s="27" t="s">
        <v>383</v>
      </c>
      <c r="Z28" s="27" t="s">
        <v>383</v>
      </c>
      <c r="AA28" s="27" t="s">
        <v>524</v>
      </c>
      <c r="AB28" s="27" t="s">
        <v>383</v>
      </c>
    </row>
    <row r="29" spans="1:28" x14ac:dyDescent="0.25">
      <c r="A29" s="27" t="s">
        <v>1254</v>
      </c>
      <c r="B29" s="27" t="str">
        <f t="shared" si="0"/>
        <v>South Carolina</v>
      </c>
      <c r="C29" s="27" t="str">
        <f t="shared" si="1"/>
        <v>Kershaw</v>
      </c>
      <c r="D29" s="27">
        <v>1400</v>
      </c>
      <c r="E29" s="27">
        <v>2300</v>
      </c>
      <c r="F29" s="27">
        <f>F87</f>
        <v>327</v>
      </c>
      <c r="G29" s="27">
        <f t="shared" si="2"/>
        <v>3700</v>
      </c>
      <c r="H29" s="27">
        <v>68</v>
      </c>
      <c r="I29" s="27">
        <v>45</v>
      </c>
      <c r="J29" s="2">
        <f>113+J87+J63</f>
        <v>143</v>
      </c>
      <c r="K29" s="2">
        <v>95</v>
      </c>
      <c r="L29" s="2">
        <f>5293+L87+L63</f>
        <v>6649</v>
      </c>
      <c r="M29" s="2">
        <v>10474.32</v>
      </c>
      <c r="N29" s="2">
        <v>4216.33</v>
      </c>
      <c r="O29" s="28">
        <f t="shared" ref="O29:O35" si="5">(M29+N29)/J29/(K29/20)</f>
        <v>21.627751196172248</v>
      </c>
      <c r="P29" s="2">
        <v>24219</v>
      </c>
      <c r="Q29" s="27">
        <v>100</v>
      </c>
      <c r="S29" s="27">
        <v>43700</v>
      </c>
      <c r="T29" s="27">
        <v>1905</v>
      </c>
      <c r="U29" s="27" t="s">
        <v>383</v>
      </c>
      <c r="V29" s="27" t="s">
        <v>524</v>
      </c>
      <c r="W29" s="27" t="s">
        <v>524</v>
      </c>
      <c r="X29" s="27" t="s">
        <v>524</v>
      </c>
      <c r="Y29" s="27" t="s">
        <v>383</v>
      </c>
      <c r="Z29" s="27" t="s">
        <v>383</v>
      </c>
      <c r="AA29" s="27" t="s">
        <v>524</v>
      </c>
      <c r="AB29" s="27" t="s">
        <v>383</v>
      </c>
    </row>
    <row r="30" spans="1:28" x14ac:dyDescent="0.25">
      <c r="A30" s="27" t="s">
        <v>1255</v>
      </c>
      <c r="B30" s="27" t="str">
        <f t="shared" si="0"/>
        <v>South Carolina</v>
      </c>
      <c r="C30" s="27" t="str">
        <f t="shared" si="1"/>
        <v>Lancaster</v>
      </c>
      <c r="D30" s="27">
        <v>3130</v>
      </c>
      <c r="E30" s="27">
        <v>2601</v>
      </c>
      <c r="F30" s="27">
        <f>F89</f>
        <v>730</v>
      </c>
      <c r="G30" s="27">
        <f>D30+E30+G63+G87</f>
        <v>6538</v>
      </c>
      <c r="H30" s="27">
        <v>69</v>
      </c>
      <c r="I30" s="27">
        <v>73</v>
      </c>
      <c r="J30" s="27">
        <v>142</v>
      </c>
      <c r="K30" s="2">
        <v>80</v>
      </c>
      <c r="L30" s="2">
        <f>6641+L89</f>
        <v>7555</v>
      </c>
      <c r="M30" s="2">
        <v>15628.24</v>
      </c>
      <c r="N30" s="2">
        <v>4259.1000000000004</v>
      </c>
      <c r="O30" s="28">
        <f t="shared" si="5"/>
        <v>35.012922535211267</v>
      </c>
      <c r="P30" s="2">
        <v>20816</v>
      </c>
      <c r="Q30" s="27">
        <v>103</v>
      </c>
      <c r="S30" s="27"/>
      <c r="T30" s="27">
        <v>1905</v>
      </c>
      <c r="U30" s="27" t="s">
        <v>383</v>
      </c>
      <c r="V30" s="27" t="s">
        <v>524</v>
      </c>
      <c r="W30" s="27" t="s">
        <v>524</v>
      </c>
      <c r="X30" s="27" t="s">
        <v>524</v>
      </c>
      <c r="Y30" s="27" t="s">
        <v>383</v>
      </c>
      <c r="Z30" s="27" t="s">
        <v>383</v>
      </c>
      <c r="AA30" s="27" t="s">
        <v>524</v>
      </c>
      <c r="AB30" s="27" t="s">
        <v>383</v>
      </c>
    </row>
    <row r="31" spans="1:28" x14ac:dyDescent="0.25">
      <c r="A31" s="27" t="s">
        <v>1256</v>
      </c>
      <c r="B31" s="27" t="str">
        <f t="shared" si="0"/>
        <v>South Carolina</v>
      </c>
      <c r="C31" s="27" t="str">
        <f t="shared" si="1"/>
        <v>Laurens</v>
      </c>
      <c r="D31" s="27">
        <v>2615</v>
      </c>
      <c r="E31" s="27">
        <v>3090</v>
      </c>
      <c r="F31" s="27">
        <f>F91</f>
        <v>479</v>
      </c>
      <c r="G31" s="27">
        <f>D31+E31+G91</f>
        <v>6184</v>
      </c>
      <c r="H31" s="27">
        <v>107</v>
      </c>
      <c r="I31" s="27">
        <v>81</v>
      </c>
      <c r="J31" s="2">
        <f>188+J91</f>
        <v>203</v>
      </c>
      <c r="K31" s="2">
        <v>92.5</v>
      </c>
      <c r="L31" s="2">
        <f>8150+L91</f>
        <v>8844</v>
      </c>
      <c r="M31" s="2">
        <v>25462.38</v>
      </c>
      <c r="N31" s="2">
        <v>6156.5</v>
      </c>
      <c r="O31" s="28">
        <f t="shared" si="5"/>
        <v>33.677411796032487</v>
      </c>
      <c r="P31" s="2">
        <v>33950</v>
      </c>
      <c r="Q31" s="27">
        <v>150</v>
      </c>
      <c r="S31" s="27">
        <v>53100</v>
      </c>
      <c r="T31" s="27">
        <v>1905</v>
      </c>
      <c r="U31" s="27" t="s">
        <v>383</v>
      </c>
      <c r="V31" s="27" t="s">
        <v>524</v>
      </c>
      <c r="W31" s="27" t="s">
        <v>524</v>
      </c>
      <c r="X31" s="27" t="s">
        <v>524</v>
      </c>
      <c r="Y31" s="27" t="s">
        <v>383</v>
      </c>
      <c r="Z31" s="27" t="s">
        <v>383</v>
      </c>
      <c r="AA31" s="27" t="s">
        <v>524</v>
      </c>
      <c r="AB31" s="27" t="s">
        <v>383</v>
      </c>
    </row>
    <row r="32" spans="1:28" x14ac:dyDescent="0.25">
      <c r="A32" s="27" t="s">
        <v>1257</v>
      </c>
      <c r="B32" s="27" t="str">
        <f t="shared" si="0"/>
        <v>South Carolina</v>
      </c>
      <c r="C32" s="27" t="str">
        <f t="shared" si="1"/>
        <v>Lee</v>
      </c>
      <c r="D32" s="27">
        <v>1535</v>
      </c>
      <c r="E32" s="27">
        <v>1868</v>
      </c>
      <c r="G32" s="27">
        <f>D32+E32+G60</f>
        <v>3679</v>
      </c>
      <c r="H32" s="27">
        <v>56</v>
      </c>
      <c r="I32" s="27">
        <v>37</v>
      </c>
      <c r="J32" s="27">
        <f>93+J60</f>
        <v>101</v>
      </c>
      <c r="K32" s="2">
        <v>102.5</v>
      </c>
      <c r="L32" s="2">
        <f>4899+L60</f>
        <v>5393</v>
      </c>
      <c r="M32" s="2">
        <v>12205.88</v>
      </c>
      <c r="N32" s="2">
        <v>2783</v>
      </c>
      <c r="O32" s="28">
        <f t="shared" si="5"/>
        <v>28.957024873219027</v>
      </c>
      <c r="P32" s="2">
        <v>17999</v>
      </c>
      <c r="Q32" s="27">
        <v>85</v>
      </c>
      <c r="S32" s="27">
        <v>20903.34</v>
      </c>
      <c r="T32" s="27">
        <v>1905</v>
      </c>
      <c r="U32" s="27" t="s">
        <v>383</v>
      </c>
      <c r="V32" s="27" t="s">
        <v>524</v>
      </c>
      <c r="W32" s="27" t="s">
        <v>524</v>
      </c>
      <c r="X32" s="27" t="s">
        <v>524</v>
      </c>
      <c r="Y32" s="27" t="s">
        <v>383</v>
      </c>
      <c r="Z32" s="27" t="s">
        <v>383</v>
      </c>
      <c r="AA32" s="27" t="s">
        <v>524</v>
      </c>
      <c r="AB32" s="27" t="s">
        <v>383</v>
      </c>
    </row>
    <row r="33" spans="1:28" x14ac:dyDescent="0.25">
      <c r="A33" s="27" t="s">
        <v>1258</v>
      </c>
      <c r="B33" s="27" t="str">
        <f t="shared" si="0"/>
        <v>South Carolina</v>
      </c>
      <c r="C33" s="27" t="str">
        <f t="shared" si="1"/>
        <v>Lexington</v>
      </c>
      <c r="D33" s="27">
        <v>2659</v>
      </c>
      <c r="E33" s="27">
        <v>1381</v>
      </c>
      <c r="G33" s="27">
        <f>D33+E33+G56</f>
        <v>4236</v>
      </c>
      <c r="H33" s="27">
        <v>100</v>
      </c>
      <c r="I33" s="27">
        <v>49</v>
      </c>
      <c r="J33" s="2">
        <f>149+J56</f>
        <v>156</v>
      </c>
      <c r="K33" s="2">
        <v>77.5</v>
      </c>
      <c r="L33" s="2">
        <f>6793+L56</f>
        <v>7190</v>
      </c>
      <c r="M33" s="2">
        <v>17441.32</v>
      </c>
      <c r="N33" s="2">
        <v>2647.83</v>
      </c>
      <c r="O33" s="28">
        <f t="shared" si="5"/>
        <v>33.232671629445825</v>
      </c>
      <c r="P33" s="2">
        <v>22592</v>
      </c>
      <c r="Q33" s="27">
        <v>127</v>
      </c>
      <c r="S33" s="27">
        <v>22753</v>
      </c>
      <c r="T33" s="27">
        <v>1905</v>
      </c>
      <c r="U33" s="27" t="s">
        <v>383</v>
      </c>
      <c r="V33" s="27" t="s">
        <v>524</v>
      </c>
      <c r="W33" s="27" t="s">
        <v>524</v>
      </c>
      <c r="X33" s="27" t="s">
        <v>524</v>
      </c>
      <c r="Y33" s="27" t="s">
        <v>383</v>
      </c>
      <c r="Z33" s="27" t="s">
        <v>383</v>
      </c>
      <c r="AA33" s="27" t="s">
        <v>524</v>
      </c>
      <c r="AB33" s="27" t="s">
        <v>383</v>
      </c>
    </row>
    <row r="34" spans="1:28" x14ac:dyDescent="0.25">
      <c r="A34" s="27" t="s">
        <v>1260</v>
      </c>
      <c r="B34" s="27" t="str">
        <f t="shared" si="0"/>
        <v>South Carolina</v>
      </c>
      <c r="C34" s="27" t="str">
        <f t="shared" si="1"/>
        <v>Marion</v>
      </c>
      <c r="D34" s="27">
        <v>2856</v>
      </c>
      <c r="E34" s="27">
        <v>1996</v>
      </c>
      <c r="G34" s="27">
        <f t="shared" si="2"/>
        <v>4852</v>
      </c>
      <c r="H34" s="27">
        <v>111</v>
      </c>
      <c r="I34" s="27">
        <v>56</v>
      </c>
      <c r="J34" s="27">
        <f>167+J94</f>
        <v>179</v>
      </c>
      <c r="K34" s="2">
        <v>92.5</v>
      </c>
      <c r="L34" s="2">
        <f>8628+L94</f>
        <v>9110</v>
      </c>
      <c r="M34" s="2">
        <v>24594.2</v>
      </c>
      <c r="N34" s="2">
        <v>5428.1</v>
      </c>
      <c r="O34" s="28">
        <f t="shared" si="5"/>
        <v>36.264291106749212</v>
      </c>
      <c r="P34" s="2">
        <v>33379</v>
      </c>
      <c r="Q34" s="27">
        <v>128</v>
      </c>
      <c r="S34" s="27">
        <v>96916</v>
      </c>
      <c r="T34" s="27">
        <v>1905</v>
      </c>
      <c r="U34" s="27" t="s">
        <v>383</v>
      </c>
      <c r="V34" s="27" t="s">
        <v>524</v>
      </c>
      <c r="W34" s="27" t="s">
        <v>524</v>
      </c>
      <c r="X34" s="27" t="s">
        <v>524</v>
      </c>
      <c r="Y34" s="27" t="s">
        <v>383</v>
      </c>
      <c r="Z34" s="27" t="s">
        <v>383</v>
      </c>
      <c r="AA34" s="27" t="s">
        <v>524</v>
      </c>
      <c r="AB34" s="27" t="s">
        <v>383</v>
      </c>
    </row>
    <row r="35" spans="1:28" x14ac:dyDescent="0.25">
      <c r="A35" s="27" t="s">
        <v>1261</v>
      </c>
      <c r="B35" s="27" t="str">
        <f t="shared" si="0"/>
        <v>South Carolina</v>
      </c>
      <c r="C35" s="27" t="str">
        <f t="shared" si="1"/>
        <v>Marlboro</v>
      </c>
      <c r="D35" s="27">
        <v>1776</v>
      </c>
      <c r="E35" s="27">
        <v>2318</v>
      </c>
      <c r="G35" s="27">
        <f t="shared" si="2"/>
        <v>4094</v>
      </c>
      <c r="H35" s="27">
        <v>69</v>
      </c>
      <c r="I35" s="27">
        <v>46</v>
      </c>
      <c r="J35" s="2">
        <f>115+J59</f>
        <v>125</v>
      </c>
      <c r="K35" s="2">
        <v>95</v>
      </c>
      <c r="L35" s="2">
        <f>5714</f>
        <v>5714</v>
      </c>
      <c r="M35" s="2">
        <v>17291.41</v>
      </c>
      <c r="N35" s="2">
        <v>3807.35</v>
      </c>
      <c r="O35" s="28">
        <f t="shared" si="5"/>
        <v>35.534753684210521</v>
      </c>
      <c r="P35" s="2">
        <v>25117</v>
      </c>
      <c r="Q35" s="27">
        <v>88</v>
      </c>
      <c r="S35" s="27">
        <v>118449.59</v>
      </c>
      <c r="T35" s="27">
        <v>1905</v>
      </c>
      <c r="U35" s="27" t="s">
        <v>383</v>
      </c>
      <c r="V35" s="27" t="s">
        <v>524</v>
      </c>
      <c r="W35" s="27" t="s">
        <v>524</v>
      </c>
      <c r="X35" s="27" t="s">
        <v>524</v>
      </c>
      <c r="Y35" s="27" t="s">
        <v>383</v>
      </c>
      <c r="Z35" s="27" t="s">
        <v>383</v>
      </c>
      <c r="AA35" s="27" t="s">
        <v>524</v>
      </c>
      <c r="AB35" s="27" t="s">
        <v>383</v>
      </c>
    </row>
    <row r="36" spans="1:28" x14ac:dyDescent="0.25">
      <c r="A36" s="27" t="s">
        <v>1259</v>
      </c>
      <c r="B36" s="27" t="str">
        <f t="shared" si="0"/>
        <v>South Carolina</v>
      </c>
      <c r="C36" s="27" t="str">
        <f t="shared" si="1"/>
        <v>McCormick</v>
      </c>
      <c r="G36" s="27"/>
      <c r="J36" s="2" t="s">
        <v>383</v>
      </c>
      <c r="K36" s="2"/>
      <c r="L36" s="2"/>
      <c r="M36" s="2"/>
      <c r="N36" s="2"/>
      <c r="O36" s="28"/>
      <c r="P36" s="2"/>
      <c r="Q36" s="27"/>
      <c r="S36" s="27"/>
      <c r="T36" s="27">
        <v>1905</v>
      </c>
      <c r="U36" s="27" t="s">
        <v>383</v>
      </c>
      <c r="V36" s="27" t="s">
        <v>524</v>
      </c>
      <c r="W36" s="27" t="s">
        <v>524</v>
      </c>
      <c r="X36" s="27" t="s">
        <v>524</v>
      </c>
      <c r="Y36" s="27" t="s">
        <v>383</v>
      </c>
      <c r="Z36" s="27" t="s">
        <v>383</v>
      </c>
      <c r="AA36" s="27" t="s">
        <v>524</v>
      </c>
      <c r="AB36" s="27" t="s">
        <v>383</v>
      </c>
    </row>
    <row r="37" spans="1:28" x14ac:dyDescent="0.25">
      <c r="A37" s="27" t="s">
        <v>1262</v>
      </c>
      <c r="B37" s="27" t="str">
        <f t="shared" si="0"/>
        <v>South Carolina</v>
      </c>
      <c r="C37" s="27" t="str">
        <f t="shared" si="1"/>
        <v>Newberry</v>
      </c>
      <c r="D37" s="27">
        <v>979</v>
      </c>
      <c r="E37" s="27">
        <v>1580</v>
      </c>
      <c r="F37" s="27">
        <f>F97</f>
        <v>844</v>
      </c>
      <c r="G37" s="27">
        <f>D37+E37+G97</f>
        <v>3403</v>
      </c>
      <c r="H37" s="27">
        <v>79</v>
      </c>
      <c r="I37" s="27">
        <v>63</v>
      </c>
      <c r="J37" s="27">
        <f>142+J97</f>
        <v>161</v>
      </c>
      <c r="K37" s="2">
        <v>115</v>
      </c>
      <c r="L37" s="2">
        <f>7575+L97</f>
        <v>8588</v>
      </c>
      <c r="M37" s="2">
        <v>21142.21</v>
      </c>
      <c r="N37" s="2">
        <v>6284.8</v>
      </c>
      <c r="O37" s="28">
        <f t="shared" ref="O37:O47" si="6">(M37+N37)/J37/(K37/20)</f>
        <v>29.626799891979477</v>
      </c>
      <c r="P37" s="2">
        <v>31152</v>
      </c>
      <c r="Q37" s="27">
        <v>117</v>
      </c>
      <c r="S37" s="27">
        <v>51774</v>
      </c>
      <c r="T37" s="27">
        <v>1905</v>
      </c>
      <c r="U37" s="27" t="s">
        <v>383</v>
      </c>
      <c r="V37" s="27" t="s">
        <v>524</v>
      </c>
      <c r="W37" s="27" t="s">
        <v>524</v>
      </c>
      <c r="X37" s="27" t="s">
        <v>524</v>
      </c>
      <c r="Y37" s="27" t="s">
        <v>383</v>
      </c>
      <c r="Z37" s="27" t="s">
        <v>383</v>
      </c>
      <c r="AA37" s="27" t="s">
        <v>524</v>
      </c>
      <c r="AB37" s="27" t="s">
        <v>383</v>
      </c>
    </row>
    <row r="38" spans="1:28" x14ac:dyDescent="0.25">
      <c r="A38" s="27" t="s">
        <v>1263</v>
      </c>
      <c r="B38" s="27" t="str">
        <f t="shared" si="0"/>
        <v>South Carolina</v>
      </c>
      <c r="C38" s="27" t="str">
        <f t="shared" si="1"/>
        <v>Oconee</v>
      </c>
      <c r="D38" s="27">
        <v>2213</v>
      </c>
      <c r="E38" s="27">
        <v>604</v>
      </c>
      <c r="G38" s="27">
        <f>D38+E38+G117</f>
        <v>3014</v>
      </c>
      <c r="H38" s="27">
        <v>73</v>
      </c>
      <c r="I38" s="27">
        <v>49</v>
      </c>
      <c r="J38" s="2">
        <f>122+J117</f>
        <v>129</v>
      </c>
      <c r="K38" s="2">
        <v>87.5</v>
      </c>
      <c r="L38" s="2">
        <f>5648+L117</f>
        <v>6039</v>
      </c>
      <c r="M38" s="2">
        <v>20011.8</v>
      </c>
      <c r="N38" s="2">
        <v>1640.55</v>
      </c>
      <c r="O38" s="28">
        <f t="shared" si="6"/>
        <v>38.365182724252492</v>
      </c>
      <c r="P38" s="2">
        <v>26884</v>
      </c>
      <c r="Q38" s="27">
        <v>97</v>
      </c>
      <c r="S38" s="27">
        <v>72133.820000000007</v>
      </c>
      <c r="T38" s="27">
        <v>1905</v>
      </c>
      <c r="U38" s="27" t="s">
        <v>383</v>
      </c>
      <c r="V38" s="27" t="s">
        <v>524</v>
      </c>
      <c r="W38" s="27" t="s">
        <v>524</v>
      </c>
      <c r="X38" s="27" t="s">
        <v>524</v>
      </c>
      <c r="Y38" s="27" t="s">
        <v>383</v>
      </c>
      <c r="Z38" s="27" t="s">
        <v>383</v>
      </c>
      <c r="AA38" s="27" t="s">
        <v>524</v>
      </c>
      <c r="AB38" s="27" t="s">
        <v>383</v>
      </c>
    </row>
    <row r="39" spans="1:28" x14ac:dyDescent="0.25">
      <c r="A39" s="27" t="s">
        <v>1264</v>
      </c>
      <c r="B39" s="27" t="str">
        <f t="shared" si="0"/>
        <v>South Carolina</v>
      </c>
      <c r="C39" s="27" t="str">
        <f t="shared" si="1"/>
        <v>Orangeburg</v>
      </c>
      <c r="D39" s="27">
        <v>4492</v>
      </c>
      <c r="E39" s="27">
        <v>9206</v>
      </c>
      <c r="F39" s="27">
        <f>F100</f>
        <v>1001</v>
      </c>
      <c r="G39" s="27">
        <f>D39+E39+G100</f>
        <v>14699</v>
      </c>
      <c r="H39" s="27">
        <v>155</v>
      </c>
      <c r="I39" s="27">
        <v>128</v>
      </c>
      <c r="J39" s="27">
        <f>283+J100+J62</f>
        <v>310</v>
      </c>
      <c r="K39" s="2">
        <v>102.5</v>
      </c>
      <c r="L39" s="2">
        <f>15492+L100</f>
        <v>16800</v>
      </c>
      <c r="M39" s="2">
        <v>42984.39</v>
      </c>
      <c r="N39" s="2">
        <v>12595.91</v>
      </c>
      <c r="O39" s="28">
        <f t="shared" si="6"/>
        <v>34.98366640440598</v>
      </c>
      <c r="P39" s="2">
        <v>61780</v>
      </c>
      <c r="Q39" s="27">
        <v>223</v>
      </c>
      <c r="S39" s="27">
        <v>86671.66</v>
      </c>
      <c r="T39" s="27">
        <v>1905</v>
      </c>
      <c r="U39" s="27" t="s">
        <v>383</v>
      </c>
      <c r="V39" s="27" t="s">
        <v>524</v>
      </c>
      <c r="W39" s="27" t="s">
        <v>524</v>
      </c>
      <c r="X39" s="27" t="s">
        <v>524</v>
      </c>
      <c r="Y39" s="27" t="s">
        <v>383</v>
      </c>
      <c r="Z39" s="27" t="s">
        <v>383</v>
      </c>
      <c r="AA39" s="27" t="s">
        <v>524</v>
      </c>
      <c r="AB39" s="27" t="s">
        <v>383</v>
      </c>
    </row>
    <row r="40" spans="1:28" x14ac:dyDescent="0.25">
      <c r="A40" s="27" t="s">
        <v>1265</v>
      </c>
      <c r="B40" s="27" t="str">
        <f t="shared" si="0"/>
        <v>South Carolina</v>
      </c>
      <c r="C40" s="27" t="str">
        <f t="shared" si="1"/>
        <v>Pickens</v>
      </c>
      <c r="D40" s="27">
        <v>3444</v>
      </c>
      <c r="E40" s="27">
        <v>1203</v>
      </c>
      <c r="G40" s="27">
        <f>D40+E40+G74</f>
        <v>4811</v>
      </c>
      <c r="H40" s="27">
        <v>71</v>
      </c>
      <c r="I40" s="27">
        <v>26</v>
      </c>
      <c r="J40" s="2">
        <f>97+J74+J101</f>
        <v>106</v>
      </c>
      <c r="K40" s="2">
        <v>102.5</v>
      </c>
      <c r="L40" s="2">
        <f>5408+L74</f>
        <v>5666</v>
      </c>
      <c r="M40" s="2">
        <v>15845.7</v>
      </c>
      <c r="N40" s="2">
        <v>2160.5</v>
      </c>
      <c r="O40" s="28">
        <f t="shared" si="6"/>
        <v>33.145329038196046</v>
      </c>
      <c r="P40" s="2">
        <v>20971</v>
      </c>
      <c r="Q40" s="27">
        <v>86</v>
      </c>
      <c r="S40" s="27">
        <v>66530.19</v>
      </c>
      <c r="T40" s="27">
        <v>1905</v>
      </c>
      <c r="U40" s="27" t="s">
        <v>383</v>
      </c>
      <c r="V40" s="27" t="s">
        <v>524</v>
      </c>
      <c r="W40" s="27" t="s">
        <v>524</v>
      </c>
      <c r="X40" s="27" t="s">
        <v>524</v>
      </c>
      <c r="Y40" s="27" t="s">
        <v>383</v>
      </c>
      <c r="Z40" s="27" t="s">
        <v>383</v>
      </c>
      <c r="AA40" s="27" t="s">
        <v>524</v>
      </c>
      <c r="AB40" s="27" t="s">
        <v>383</v>
      </c>
    </row>
    <row r="41" spans="1:28" x14ac:dyDescent="0.25">
      <c r="A41" s="27" t="s">
        <v>1266</v>
      </c>
      <c r="B41" s="27" t="str">
        <f t="shared" si="0"/>
        <v>South Carolina</v>
      </c>
      <c r="C41" s="27" t="str">
        <f t="shared" si="1"/>
        <v>Richland</v>
      </c>
      <c r="D41" s="27">
        <v>2483</v>
      </c>
      <c r="E41" s="27">
        <v>3963</v>
      </c>
      <c r="G41" s="27">
        <f>D41+E41+G68</f>
        <v>8522</v>
      </c>
      <c r="H41" s="27">
        <v>91</v>
      </c>
      <c r="I41" s="27">
        <v>66</v>
      </c>
      <c r="J41" s="27">
        <f>157+J68</f>
        <v>207</v>
      </c>
      <c r="K41" s="2">
        <v>107.5</v>
      </c>
      <c r="L41" s="2">
        <f>9434+L68</f>
        <v>12364</v>
      </c>
      <c r="M41" s="2">
        <v>36247.81</v>
      </c>
      <c r="N41" s="2">
        <v>9780.98</v>
      </c>
      <c r="O41" s="28">
        <f t="shared" si="6"/>
        <v>41.369544994944384</v>
      </c>
      <c r="P41" s="2">
        <v>71256</v>
      </c>
      <c r="Q41" s="27">
        <v>98</v>
      </c>
      <c r="S41" s="27">
        <v>263860</v>
      </c>
      <c r="T41" s="27">
        <v>1905</v>
      </c>
      <c r="U41" s="27" t="s">
        <v>383</v>
      </c>
      <c r="V41" s="27" t="s">
        <v>524</v>
      </c>
      <c r="W41" s="27" t="s">
        <v>524</v>
      </c>
      <c r="X41" s="27" t="s">
        <v>524</v>
      </c>
      <c r="Y41" s="27" t="s">
        <v>383</v>
      </c>
      <c r="Z41" s="27" t="s">
        <v>383</v>
      </c>
      <c r="AA41" s="27" t="s">
        <v>524</v>
      </c>
      <c r="AB41" s="27" t="s">
        <v>383</v>
      </c>
    </row>
    <row r="42" spans="1:28" x14ac:dyDescent="0.25">
      <c r="A42" s="27" t="s">
        <v>1267</v>
      </c>
      <c r="B42" s="27" t="str">
        <f t="shared" si="0"/>
        <v>South Carolina</v>
      </c>
      <c r="C42" s="27" t="str">
        <f t="shared" si="1"/>
        <v>Saluda</v>
      </c>
      <c r="D42" s="27">
        <v>1753</v>
      </c>
      <c r="E42" s="27">
        <v>1819</v>
      </c>
      <c r="G42" s="27">
        <f t="shared" si="2"/>
        <v>3572</v>
      </c>
      <c r="H42" s="27">
        <v>62</v>
      </c>
      <c r="I42" s="27">
        <v>52</v>
      </c>
      <c r="J42" s="2">
        <v>114</v>
      </c>
      <c r="K42" s="2">
        <v>62.5</v>
      </c>
      <c r="L42" s="2">
        <f>5496</f>
        <v>5496</v>
      </c>
      <c r="M42" s="2">
        <v>9427.86</v>
      </c>
      <c r="N42" s="2">
        <v>2439.1</v>
      </c>
      <c r="O42" s="28">
        <f t="shared" si="6"/>
        <v>33.310764912280703</v>
      </c>
      <c r="P42" s="2">
        <v>12888</v>
      </c>
      <c r="Q42" s="27">
        <v>102</v>
      </c>
      <c r="S42" s="27"/>
      <c r="T42" s="27">
        <v>1905</v>
      </c>
      <c r="U42" s="27" t="s">
        <v>383</v>
      </c>
      <c r="V42" s="27" t="s">
        <v>524</v>
      </c>
      <c r="W42" s="27" t="s">
        <v>524</v>
      </c>
      <c r="X42" s="27" t="s">
        <v>524</v>
      </c>
      <c r="Y42" s="27" t="s">
        <v>383</v>
      </c>
      <c r="Z42" s="27" t="s">
        <v>383</v>
      </c>
      <c r="AA42" s="27" t="s">
        <v>524</v>
      </c>
      <c r="AB42" s="27" t="s">
        <v>383</v>
      </c>
    </row>
    <row r="43" spans="1:28" x14ac:dyDescent="0.25">
      <c r="A43" s="27" t="s">
        <v>1268</v>
      </c>
      <c r="B43" s="27" t="str">
        <f t="shared" si="0"/>
        <v>South Carolina</v>
      </c>
      <c r="C43" s="27" t="str">
        <f t="shared" si="1"/>
        <v>Spartanburg</v>
      </c>
      <c r="D43" s="27">
        <v>256</v>
      </c>
      <c r="E43" s="27">
        <v>233</v>
      </c>
      <c r="F43" s="27">
        <f>F108</f>
        <v>1768</v>
      </c>
      <c r="G43" s="27">
        <f>D43+E43+G108</f>
        <v>2257</v>
      </c>
      <c r="H43" s="27">
        <v>213</v>
      </c>
      <c r="I43" s="27">
        <v>88</v>
      </c>
      <c r="J43" s="27">
        <f>301+J108</f>
        <v>343</v>
      </c>
      <c r="K43" s="2">
        <v>107.5</v>
      </c>
      <c r="L43" s="2">
        <f>16232+L108</f>
        <v>18716</v>
      </c>
      <c r="M43" s="2">
        <v>52403.41</v>
      </c>
      <c r="N43" s="2">
        <v>11255.25</v>
      </c>
      <c r="O43" s="28">
        <f t="shared" si="6"/>
        <v>34.529071801478068</v>
      </c>
      <c r="P43" s="2">
        <v>75732</v>
      </c>
      <c r="Q43" s="27">
        <v>224</v>
      </c>
      <c r="S43" s="27"/>
      <c r="T43" s="27">
        <v>1905</v>
      </c>
      <c r="U43" s="27" t="s">
        <v>383</v>
      </c>
      <c r="V43" s="27" t="s">
        <v>524</v>
      </c>
      <c r="W43" s="27" t="s">
        <v>524</v>
      </c>
      <c r="X43" s="27" t="s">
        <v>524</v>
      </c>
      <c r="Y43" s="27" t="s">
        <v>383</v>
      </c>
      <c r="Z43" s="27" t="s">
        <v>383</v>
      </c>
      <c r="AA43" s="27" t="s">
        <v>524</v>
      </c>
      <c r="AB43" s="27" t="s">
        <v>383</v>
      </c>
    </row>
    <row r="44" spans="1:28" x14ac:dyDescent="0.25">
      <c r="A44" s="27" t="s">
        <v>1269</v>
      </c>
      <c r="B44" s="27" t="str">
        <f t="shared" si="0"/>
        <v>South Carolina</v>
      </c>
      <c r="C44" s="27" t="str">
        <f t="shared" si="1"/>
        <v>Sumter</v>
      </c>
      <c r="D44" s="27">
        <v>808</v>
      </c>
      <c r="E44" s="27">
        <v>1441</v>
      </c>
      <c r="F44" s="27">
        <f>F110</f>
        <v>1155</v>
      </c>
      <c r="G44" s="27">
        <f>D44+E44+G110</f>
        <v>3404</v>
      </c>
      <c r="H44" s="27">
        <v>75</v>
      </c>
      <c r="I44" s="27">
        <v>72</v>
      </c>
      <c r="J44" s="2">
        <f>147+J110+J95</f>
        <v>192</v>
      </c>
      <c r="K44" s="2">
        <v>127.5</v>
      </c>
      <c r="L44" s="2">
        <f>7437+L110</f>
        <v>9125</v>
      </c>
      <c r="M44" s="2">
        <v>14947.41</v>
      </c>
      <c r="N44" s="2">
        <v>4827.5</v>
      </c>
      <c r="O44" s="28">
        <f t="shared" si="6"/>
        <v>16.155972222222221</v>
      </c>
      <c r="P44" s="2">
        <v>30458</v>
      </c>
      <c r="Q44" s="27">
        <v>113</v>
      </c>
      <c r="S44" s="27">
        <v>70000</v>
      </c>
      <c r="T44" s="27">
        <v>1905</v>
      </c>
      <c r="U44" s="27" t="s">
        <v>383</v>
      </c>
      <c r="V44" s="27" t="s">
        <v>524</v>
      </c>
      <c r="W44" s="27" t="s">
        <v>524</v>
      </c>
      <c r="X44" s="27" t="s">
        <v>524</v>
      </c>
      <c r="Y44" s="27" t="s">
        <v>383</v>
      </c>
      <c r="Z44" s="27" t="s">
        <v>383</v>
      </c>
      <c r="AA44" s="27" t="s">
        <v>524</v>
      </c>
      <c r="AB44" s="27" t="s">
        <v>383</v>
      </c>
    </row>
    <row r="45" spans="1:28" x14ac:dyDescent="0.25">
      <c r="A45" s="27" t="s">
        <v>1270</v>
      </c>
      <c r="B45" s="27" t="str">
        <f t="shared" si="0"/>
        <v>South Carolina</v>
      </c>
      <c r="C45" s="27" t="str">
        <f t="shared" si="1"/>
        <v>Union</v>
      </c>
      <c r="D45" s="27">
        <v>2296</v>
      </c>
      <c r="E45" s="27">
        <v>2291</v>
      </c>
      <c r="F45" s="27">
        <f>F112</f>
        <v>1180</v>
      </c>
      <c r="G45" s="27">
        <f>D45+E45+G112</f>
        <v>5767</v>
      </c>
      <c r="H45" s="27">
        <v>77</v>
      </c>
      <c r="I45" s="27">
        <v>48</v>
      </c>
      <c r="J45" s="27">
        <f>125+J112</f>
        <v>156</v>
      </c>
      <c r="K45" s="2">
        <v>100</v>
      </c>
      <c r="L45" s="2">
        <f>6756+L112</f>
        <v>8625</v>
      </c>
      <c r="M45" s="2">
        <v>19115</v>
      </c>
      <c r="N45" s="2">
        <v>4910</v>
      </c>
      <c r="O45" s="28">
        <f t="shared" si="6"/>
        <v>30.801282051282051</v>
      </c>
      <c r="P45" s="2">
        <v>25870</v>
      </c>
      <c r="Q45" s="27">
        <v>100</v>
      </c>
      <c r="S45" s="27">
        <v>48800</v>
      </c>
      <c r="T45" s="27">
        <v>1905</v>
      </c>
      <c r="U45" s="27" t="s">
        <v>383</v>
      </c>
      <c r="V45" s="27" t="s">
        <v>524</v>
      </c>
      <c r="W45" s="27" t="s">
        <v>524</v>
      </c>
      <c r="X45" s="27" t="s">
        <v>524</v>
      </c>
      <c r="Y45" s="27" t="s">
        <v>383</v>
      </c>
      <c r="Z45" s="27" t="s">
        <v>383</v>
      </c>
      <c r="AA45" s="27" t="s">
        <v>524</v>
      </c>
      <c r="AB45" s="27" t="s">
        <v>383</v>
      </c>
    </row>
    <row r="46" spans="1:28" x14ac:dyDescent="0.25">
      <c r="A46" s="27" t="s">
        <v>1271</v>
      </c>
      <c r="B46" s="27" t="str">
        <f t="shared" si="0"/>
        <v>South Carolina</v>
      </c>
      <c r="C46" s="27" t="str">
        <f t="shared" si="1"/>
        <v>Williamsburg</v>
      </c>
      <c r="D46" s="27">
        <v>1875</v>
      </c>
      <c r="E46" s="27">
        <v>1943</v>
      </c>
      <c r="G46" s="27">
        <f>D46+E46+G88</f>
        <v>4082</v>
      </c>
      <c r="H46" s="27">
        <v>120</v>
      </c>
      <c r="I46" s="27">
        <v>74</v>
      </c>
      <c r="J46" s="2">
        <f>J88+194</f>
        <v>202</v>
      </c>
      <c r="K46" s="2">
        <v>75</v>
      </c>
      <c r="L46" s="2">
        <f>6316+L88</f>
        <v>6637</v>
      </c>
      <c r="M46" s="2">
        <v>14555.4</v>
      </c>
      <c r="N46" s="2">
        <v>4295.5</v>
      </c>
      <c r="O46" s="28">
        <f t="shared" si="6"/>
        <v>24.88567656765677</v>
      </c>
      <c r="P46" s="2">
        <v>21923</v>
      </c>
      <c r="Q46" s="27">
        <v>156</v>
      </c>
      <c r="S46" s="27">
        <v>63950</v>
      </c>
      <c r="T46" s="27">
        <v>1905</v>
      </c>
      <c r="U46" s="27" t="s">
        <v>383</v>
      </c>
      <c r="V46" s="27" t="s">
        <v>524</v>
      </c>
      <c r="W46" s="27" t="s">
        <v>524</v>
      </c>
      <c r="X46" s="27" t="s">
        <v>524</v>
      </c>
      <c r="Y46" s="27" t="s">
        <v>383</v>
      </c>
      <c r="Z46" s="27" t="s">
        <v>383</v>
      </c>
      <c r="AA46" s="27" t="s">
        <v>524</v>
      </c>
      <c r="AB46" s="27" t="s">
        <v>383</v>
      </c>
    </row>
    <row r="47" spans="1:28" x14ac:dyDescent="0.25">
      <c r="A47" s="27" t="s">
        <v>1272</v>
      </c>
      <c r="B47" s="27" t="str">
        <f t="shared" si="0"/>
        <v>South Carolina</v>
      </c>
      <c r="C47" s="27" t="str">
        <f t="shared" si="1"/>
        <v>York</v>
      </c>
      <c r="D47" s="27">
        <v>3571</v>
      </c>
      <c r="E47" s="27">
        <v>3858</v>
      </c>
      <c r="G47" s="27">
        <f>D47+E47+G104+G118</f>
        <v>8789</v>
      </c>
      <c r="H47" s="27">
        <v>124</v>
      </c>
      <c r="I47" s="27">
        <v>84</v>
      </c>
      <c r="J47" s="27">
        <f>J104+J118+208</f>
        <v>241</v>
      </c>
      <c r="K47" s="2">
        <v>107.5</v>
      </c>
      <c r="L47" s="2">
        <f>10625+L104+L118</f>
        <v>12691</v>
      </c>
      <c r="M47" s="2">
        <v>27855.200000000001</v>
      </c>
      <c r="N47" s="2">
        <v>7216.22</v>
      </c>
      <c r="O47" s="28">
        <f t="shared" si="6"/>
        <v>27.074337547042358</v>
      </c>
      <c r="P47" s="2">
        <v>39625</v>
      </c>
      <c r="Q47" s="27">
        <v>167</v>
      </c>
      <c r="S47" s="27">
        <v>63900</v>
      </c>
      <c r="T47" s="27">
        <v>1905</v>
      </c>
      <c r="U47" s="27" t="s">
        <v>383</v>
      </c>
      <c r="V47" s="27" t="s">
        <v>524</v>
      </c>
      <c r="W47" s="27" t="s">
        <v>524</v>
      </c>
      <c r="X47" s="27" t="s">
        <v>524</v>
      </c>
      <c r="Y47" s="27" t="s">
        <v>383</v>
      </c>
      <c r="Z47" s="27" t="s">
        <v>383</v>
      </c>
      <c r="AA47" s="27" t="s">
        <v>524</v>
      </c>
      <c r="AB47" s="27" t="s">
        <v>383</v>
      </c>
    </row>
    <row r="48" spans="1:28" x14ac:dyDescent="0.25">
      <c r="A48" s="27" t="s">
        <v>1367</v>
      </c>
      <c r="B48" s="27" t="str">
        <f t="shared" si="0"/>
        <v/>
      </c>
      <c r="C48" s="27" t="str">
        <f t="shared" si="1"/>
        <v/>
      </c>
      <c r="G48" s="27"/>
      <c r="J48" s="2">
        <v>6059</v>
      </c>
      <c r="K48" s="2"/>
      <c r="L48" s="2">
        <f>SUM(L2:L47)</f>
        <v>341437</v>
      </c>
      <c r="M48" s="2"/>
      <c r="N48" s="2"/>
      <c r="O48" s="27"/>
      <c r="P48" s="2">
        <f>SUM(P2:P47)</f>
        <v>1295600</v>
      </c>
      <c r="Q48" s="27">
        <f>SUM(Q2:Q47)</f>
        <v>4911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x14ac:dyDescent="0.25">
      <c r="A49" s="27" t="s">
        <v>1367</v>
      </c>
      <c r="B49" s="27" t="str">
        <f t="shared" si="0"/>
        <v/>
      </c>
      <c r="C49" s="27" t="str">
        <f t="shared" si="1"/>
        <v/>
      </c>
      <c r="G49" s="27"/>
      <c r="J49" s="1">
        <v>5059</v>
      </c>
      <c r="K49" s="2"/>
      <c r="L49" s="2">
        <v>302663</v>
      </c>
      <c r="M49" s="2"/>
      <c r="N49" s="2"/>
      <c r="O49" s="27"/>
      <c r="P49" s="2">
        <v>1304629</v>
      </c>
      <c r="Q49" s="27">
        <v>4852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1" spans="1:28" x14ac:dyDescent="0.25">
      <c r="A51" t="s">
        <v>2468</v>
      </c>
      <c r="C51" t="s">
        <v>2468</v>
      </c>
      <c r="F51" s="27">
        <v>865</v>
      </c>
      <c r="G51">
        <v>865</v>
      </c>
      <c r="J51">
        <f>2+10+3+7</f>
        <v>22</v>
      </c>
      <c r="L51" s="2">
        <v>1208</v>
      </c>
      <c r="R51" s="27">
        <v>1327454</v>
      </c>
    </row>
    <row r="52" spans="1:28" x14ac:dyDescent="0.25">
      <c r="A52" t="s">
        <v>304</v>
      </c>
      <c r="C52" t="s">
        <v>304</v>
      </c>
      <c r="F52" s="27">
        <v>484</v>
      </c>
      <c r="G52">
        <v>484</v>
      </c>
      <c r="J52">
        <f>2+7+1+3</f>
        <v>13</v>
      </c>
      <c r="L52" s="2">
        <v>817</v>
      </c>
      <c r="R52" s="27">
        <v>1898370</v>
      </c>
    </row>
    <row r="53" spans="1:28" x14ac:dyDescent="0.25">
      <c r="A53" t="s">
        <v>121</v>
      </c>
      <c r="C53" t="s">
        <v>121</v>
      </c>
      <c r="F53" s="27">
        <v>1275</v>
      </c>
      <c r="G53">
        <v>1275</v>
      </c>
      <c r="J53">
        <f>7+16+2+8</f>
        <v>33</v>
      </c>
      <c r="L53" s="2">
        <v>1796</v>
      </c>
      <c r="R53" s="27">
        <v>2480000</v>
      </c>
    </row>
    <row r="54" spans="1:28" x14ac:dyDescent="0.25">
      <c r="A54" t="s">
        <v>2469</v>
      </c>
      <c r="C54" t="s">
        <v>2469</v>
      </c>
      <c r="J54">
        <f>1+6</f>
        <v>7</v>
      </c>
      <c r="R54" s="27">
        <v>561690</v>
      </c>
    </row>
    <row r="55" spans="1:28" x14ac:dyDescent="0.25">
      <c r="A55" t="s">
        <v>2470</v>
      </c>
      <c r="C55" t="s">
        <v>2470</v>
      </c>
      <c r="F55" s="27">
        <v>365</v>
      </c>
      <c r="G55">
        <v>365</v>
      </c>
      <c r="J55">
        <f>2+4+1+3</f>
        <v>10</v>
      </c>
      <c r="L55" s="2">
        <v>512</v>
      </c>
      <c r="R55" s="27">
        <v>500000</v>
      </c>
    </row>
    <row r="56" spans="1:28" x14ac:dyDescent="0.25">
      <c r="A56" t="s">
        <v>2471</v>
      </c>
      <c r="C56" t="s">
        <v>2496</v>
      </c>
      <c r="F56" s="27">
        <v>196</v>
      </c>
      <c r="G56">
        <v>196</v>
      </c>
      <c r="J56">
        <f>2+4+1</f>
        <v>7</v>
      </c>
      <c r="L56" s="2">
        <v>397</v>
      </c>
      <c r="R56" s="27">
        <v>290000</v>
      </c>
    </row>
    <row r="57" spans="1:28" x14ac:dyDescent="0.25">
      <c r="A57" t="s">
        <v>293</v>
      </c>
      <c r="C57" t="s">
        <v>293</v>
      </c>
      <c r="J57">
        <f>1+4</f>
        <v>5</v>
      </c>
      <c r="R57" s="27">
        <v>1446755</v>
      </c>
    </row>
    <row r="58" spans="1:28" x14ac:dyDescent="0.25">
      <c r="A58" t="s">
        <v>2472</v>
      </c>
      <c r="C58" t="s">
        <v>121</v>
      </c>
      <c r="J58">
        <f>1+2</f>
        <v>3</v>
      </c>
      <c r="R58" s="27">
        <v>20000</v>
      </c>
    </row>
    <row r="59" spans="1:28" x14ac:dyDescent="0.25">
      <c r="A59" t="s">
        <v>2473</v>
      </c>
      <c r="C59" t="s">
        <v>2539</v>
      </c>
      <c r="J59">
        <f>3+7</f>
        <v>10</v>
      </c>
    </row>
    <row r="60" spans="1:28" x14ac:dyDescent="0.25">
      <c r="A60" t="s">
        <v>2474</v>
      </c>
      <c r="C60" t="s">
        <v>34</v>
      </c>
      <c r="F60" s="27">
        <v>276</v>
      </c>
      <c r="G60">
        <v>276</v>
      </c>
      <c r="J60">
        <f>1+5+1+1</f>
        <v>8</v>
      </c>
      <c r="L60">
        <v>494</v>
      </c>
      <c r="R60" s="27">
        <v>382840</v>
      </c>
    </row>
    <row r="61" spans="1:28" x14ac:dyDescent="0.25">
      <c r="A61" t="s">
        <v>2475</v>
      </c>
      <c r="C61" t="s">
        <v>2470</v>
      </c>
      <c r="J61">
        <f>1+3+1+1</f>
        <v>6</v>
      </c>
      <c r="L61">
        <v>296</v>
      </c>
    </row>
    <row r="62" spans="1:28" x14ac:dyDescent="0.25">
      <c r="A62" t="s">
        <v>2476</v>
      </c>
      <c r="C62" t="s">
        <v>299</v>
      </c>
      <c r="J62">
        <f>4</f>
        <v>4</v>
      </c>
      <c r="R62" s="27">
        <v>150000</v>
      </c>
    </row>
    <row r="63" spans="1:28" x14ac:dyDescent="0.25">
      <c r="A63" t="s">
        <v>2477</v>
      </c>
      <c r="C63" t="s">
        <v>2492</v>
      </c>
      <c r="F63" s="27">
        <v>480</v>
      </c>
      <c r="G63">
        <v>480</v>
      </c>
      <c r="J63">
        <f>3+9+1+7</f>
        <v>20</v>
      </c>
      <c r="L63">
        <v>834</v>
      </c>
      <c r="R63" s="27">
        <v>1397196</v>
      </c>
    </row>
    <row r="64" spans="1:28" x14ac:dyDescent="0.25">
      <c r="A64" t="s">
        <v>301</v>
      </c>
      <c r="C64" t="s">
        <v>301</v>
      </c>
      <c r="F64" s="27">
        <v>5450</v>
      </c>
      <c r="G64">
        <v>5450</v>
      </c>
      <c r="J64">
        <f>10+12+2</f>
        <v>24</v>
      </c>
      <c r="L64">
        <v>8695</v>
      </c>
      <c r="R64" s="27">
        <v>17390000</v>
      </c>
    </row>
    <row r="65" spans="1:18" x14ac:dyDescent="0.25">
      <c r="A65" t="s">
        <v>2478</v>
      </c>
      <c r="C65" t="s">
        <v>2540</v>
      </c>
    </row>
    <row r="66" spans="1:18" x14ac:dyDescent="0.25">
      <c r="A66" t="s">
        <v>2479</v>
      </c>
      <c r="C66" t="s">
        <v>2479</v>
      </c>
      <c r="F66" s="27">
        <v>808</v>
      </c>
      <c r="G66">
        <v>808</v>
      </c>
      <c r="J66">
        <f>4+11+2+4</f>
        <v>21</v>
      </c>
      <c r="L66">
        <v>1042</v>
      </c>
      <c r="R66" s="27">
        <v>1858376</v>
      </c>
    </row>
    <row r="67" spans="1:18" x14ac:dyDescent="0.25">
      <c r="A67" t="s">
        <v>2414</v>
      </c>
      <c r="C67" t="s">
        <v>105</v>
      </c>
    </row>
    <row r="68" spans="1:18" x14ac:dyDescent="0.25">
      <c r="A68" t="s">
        <v>2480</v>
      </c>
      <c r="C68" t="s">
        <v>165</v>
      </c>
      <c r="F68" s="27">
        <v>2076</v>
      </c>
      <c r="G68">
        <v>2076</v>
      </c>
      <c r="J68">
        <f>5+29+3+13</f>
        <v>50</v>
      </c>
      <c r="L68">
        <v>2930</v>
      </c>
      <c r="R68" s="27">
        <v>7700000</v>
      </c>
    </row>
    <row r="69" spans="1:18" x14ac:dyDescent="0.25">
      <c r="A69" t="s">
        <v>64</v>
      </c>
      <c r="C69" t="s">
        <v>308</v>
      </c>
      <c r="F69" s="27">
        <v>1366</v>
      </c>
      <c r="G69">
        <v>1366</v>
      </c>
      <c r="J69">
        <f>1+4+1+1</f>
        <v>7</v>
      </c>
      <c r="L69">
        <v>316</v>
      </c>
    </row>
    <row r="70" spans="1:18" x14ac:dyDescent="0.25">
      <c r="A70" t="s">
        <v>300</v>
      </c>
      <c r="C70" t="s">
        <v>300</v>
      </c>
      <c r="F70" s="27">
        <v>685</v>
      </c>
      <c r="G70">
        <v>685</v>
      </c>
      <c r="J70">
        <f>2+10+1+6</f>
        <v>19</v>
      </c>
      <c r="L70">
        <v>1052</v>
      </c>
    </row>
    <row r="71" spans="1:18" x14ac:dyDescent="0.25">
      <c r="A71" t="s">
        <v>2481</v>
      </c>
      <c r="C71" t="s">
        <v>2469</v>
      </c>
      <c r="J71">
        <f>1+7</f>
        <v>8</v>
      </c>
    </row>
    <row r="72" spans="1:18" x14ac:dyDescent="0.25">
      <c r="A72" t="s">
        <v>305</v>
      </c>
      <c r="C72" t="s">
        <v>305</v>
      </c>
      <c r="F72" s="27">
        <v>293</v>
      </c>
      <c r="G72">
        <v>293</v>
      </c>
      <c r="J72">
        <f>2+6+1+2</f>
        <v>11</v>
      </c>
      <c r="L72">
        <v>693</v>
      </c>
      <c r="R72" s="27">
        <v>600000</v>
      </c>
    </row>
    <row r="73" spans="1:18" x14ac:dyDescent="0.25">
      <c r="A73" t="s">
        <v>2482</v>
      </c>
      <c r="C73" t="s">
        <v>2468</v>
      </c>
    </row>
    <row r="74" spans="1:18" x14ac:dyDescent="0.25">
      <c r="A74" t="s">
        <v>2483</v>
      </c>
      <c r="C74" t="s">
        <v>47</v>
      </c>
      <c r="F74" s="27">
        <v>164</v>
      </c>
      <c r="G74">
        <v>164</v>
      </c>
      <c r="J74">
        <f>1+4+1</f>
        <v>6</v>
      </c>
      <c r="L74">
        <v>258</v>
      </c>
      <c r="R74" s="27">
        <v>374418</v>
      </c>
    </row>
    <row r="75" spans="1:18" x14ac:dyDescent="0.25">
      <c r="A75" t="s">
        <v>2484</v>
      </c>
      <c r="C75" t="s">
        <v>2484</v>
      </c>
      <c r="F75" s="27">
        <v>839</v>
      </c>
      <c r="G75">
        <v>839</v>
      </c>
      <c r="J75">
        <f>1+11+1+6</f>
        <v>19</v>
      </c>
      <c r="L75">
        <v>961</v>
      </c>
      <c r="R75" s="27">
        <v>1500000</v>
      </c>
    </row>
    <row r="76" spans="1:18" x14ac:dyDescent="0.25">
      <c r="A76" t="s">
        <v>2485</v>
      </c>
      <c r="C76" t="s">
        <v>2538</v>
      </c>
    </row>
    <row r="77" spans="1:18" x14ac:dyDescent="0.25">
      <c r="A77" t="s">
        <v>2487</v>
      </c>
      <c r="C77" t="s">
        <v>303</v>
      </c>
      <c r="F77" s="27">
        <v>231</v>
      </c>
      <c r="G77">
        <v>231</v>
      </c>
      <c r="J77">
        <f>1+4+1</f>
        <v>6</v>
      </c>
      <c r="L77">
        <v>334</v>
      </c>
      <c r="R77" s="27">
        <v>208760</v>
      </c>
    </row>
    <row r="78" spans="1:18" x14ac:dyDescent="0.25">
      <c r="A78" t="s">
        <v>2486</v>
      </c>
      <c r="C78" t="s">
        <v>92</v>
      </c>
      <c r="F78" s="27">
        <v>656</v>
      </c>
      <c r="G78">
        <v>656</v>
      </c>
      <c r="J78">
        <f>2+9+1+2</f>
        <v>14</v>
      </c>
      <c r="L78">
        <v>799</v>
      </c>
    </row>
    <row r="79" spans="1:18" x14ac:dyDescent="0.25">
      <c r="A79" t="s">
        <v>2488</v>
      </c>
      <c r="J79">
        <f>1+3</f>
        <v>4</v>
      </c>
    </row>
    <row r="80" spans="1:18" x14ac:dyDescent="0.25">
      <c r="A80" t="s">
        <v>307</v>
      </c>
      <c r="C80" t="s">
        <v>307</v>
      </c>
      <c r="J80">
        <f>1+4</f>
        <v>5</v>
      </c>
    </row>
    <row r="81" spans="1:18" x14ac:dyDescent="0.25">
      <c r="A81" t="s">
        <v>2489</v>
      </c>
      <c r="C81" t="s">
        <v>304</v>
      </c>
      <c r="R81" s="27">
        <v>522000</v>
      </c>
    </row>
    <row r="82" spans="1:18" x14ac:dyDescent="0.25">
      <c r="A82" t="s">
        <v>303</v>
      </c>
      <c r="C82" t="s">
        <v>303</v>
      </c>
      <c r="F82" s="27">
        <v>1608</v>
      </c>
      <c r="G82">
        <v>1608</v>
      </c>
      <c r="J82">
        <f>2+25+2+11</f>
        <v>40</v>
      </c>
      <c r="L82">
        <v>2388</v>
      </c>
    </row>
    <row r="83" spans="1:18" x14ac:dyDescent="0.25">
      <c r="A83" t="s">
        <v>298</v>
      </c>
      <c r="C83" t="s">
        <v>298</v>
      </c>
      <c r="F83" s="27">
        <v>700</v>
      </c>
      <c r="G83">
        <v>700</v>
      </c>
      <c r="J83">
        <f>2+12+1+3</f>
        <v>18</v>
      </c>
      <c r="L83">
        <v>1085</v>
      </c>
      <c r="R83" s="27">
        <v>1716776</v>
      </c>
    </row>
    <row r="84" spans="1:18" x14ac:dyDescent="0.25">
      <c r="A84" t="s">
        <v>2490</v>
      </c>
      <c r="C84" t="s">
        <v>121</v>
      </c>
      <c r="R84" s="27">
        <v>110980</v>
      </c>
    </row>
    <row r="85" spans="1:18" x14ac:dyDescent="0.25">
      <c r="A85" t="s">
        <v>2491</v>
      </c>
      <c r="C85" t="s">
        <v>2491</v>
      </c>
      <c r="J85">
        <f>1+2</f>
        <v>3</v>
      </c>
    </row>
    <row r="86" spans="1:18" x14ac:dyDescent="0.25">
      <c r="A86" t="s">
        <v>295</v>
      </c>
      <c r="C86" t="s">
        <v>2541</v>
      </c>
      <c r="R86" s="27">
        <v>175000</v>
      </c>
    </row>
    <row r="87" spans="1:18" x14ac:dyDescent="0.25">
      <c r="A87" t="s">
        <v>2492</v>
      </c>
      <c r="C87" t="s">
        <v>2492</v>
      </c>
      <c r="F87" s="27">
        <v>327</v>
      </c>
      <c r="G87">
        <v>327</v>
      </c>
      <c r="J87">
        <f>1+5+1+3</f>
        <v>10</v>
      </c>
      <c r="L87">
        <v>522</v>
      </c>
      <c r="R87" s="27">
        <v>550000</v>
      </c>
    </row>
    <row r="88" spans="1:18" x14ac:dyDescent="0.25">
      <c r="A88" t="s">
        <v>2493</v>
      </c>
      <c r="C88" t="s">
        <v>2542</v>
      </c>
      <c r="F88" s="27">
        <v>264</v>
      </c>
      <c r="G88">
        <v>264</v>
      </c>
      <c r="J88">
        <f>2+4+1+1</f>
        <v>8</v>
      </c>
      <c r="L88">
        <v>321</v>
      </c>
      <c r="R88" s="27">
        <v>917885</v>
      </c>
    </row>
    <row r="89" spans="1:18" x14ac:dyDescent="0.25">
      <c r="A89" t="s">
        <v>2494</v>
      </c>
      <c r="C89" t="s">
        <v>2494</v>
      </c>
      <c r="F89" s="27">
        <v>730</v>
      </c>
      <c r="G89">
        <v>730</v>
      </c>
      <c r="J89">
        <f>3+10+2+3</f>
        <v>18</v>
      </c>
      <c r="L89">
        <v>914</v>
      </c>
    </row>
    <row r="90" spans="1:18" x14ac:dyDescent="0.25">
      <c r="A90" t="s">
        <v>2495</v>
      </c>
      <c r="C90" t="s">
        <v>304</v>
      </c>
      <c r="R90" s="27">
        <v>1154293</v>
      </c>
    </row>
    <row r="91" spans="1:18" x14ac:dyDescent="0.25">
      <c r="A91" t="s">
        <v>105</v>
      </c>
      <c r="C91" t="s">
        <v>105</v>
      </c>
      <c r="F91" s="27">
        <v>479</v>
      </c>
      <c r="G91">
        <v>479</v>
      </c>
      <c r="J91">
        <f>1+11+1+2</f>
        <v>15</v>
      </c>
      <c r="L91">
        <v>694</v>
      </c>
    </row>
    <row r="92" spans="1:18" x14ac:dyDescent="0.25">
      <c r="A92" t="s">
        <v>2496</v>
      </c>
      <c r="C92" t="s">
        <v>2496</v>
      </c>
    </row>
    <row r="93" spans="1:18" x14ac:dyDescent="0.25">
      <c r="A93" t="s">
        <v>2497</v>
      </c>
      <c r="C93" t="s">
        <v>2543</v>
      </c>
      <c r="J93">
        <f>2+6+1+3</f>
        <v>12</v>
      </c>
    </row>
    <row r="94" spans="1:18" x14ac:dyDescent="0.25">
      <c r="A94" t="s">
        <v>40</v>
      </c>
      <c r="C94" t="s">
        <v>40</v>
      </c>
      <c r="J94">
        <f>3+6+1+2</f>
        <v>12</v>
      </c>
      <c r="L94">
        <v>482</v>
      </c>
    </row>
    <row r="95" spans="1:18" x14ac:dyDescent="0.25">
      <c r="A95" t="s">
        <v>2498</v>
      </c>
      <c r="C95" t="s">
        <v>51</v>
      </c>
      <c r="J95">
        <f>1+11</f>
        <v>12</v>
      </c>
    </row>
    <row r="96" spans="1:18" x14ac:dyDescent="0.25">
      <c r="A96" t="s">
        <v>2499</v>
      </c>
      <c r="C96" t="s">
        <v>40</v>
      </c>
    </row>
    <row r="97" spans="1:18" x14ac:dyDescent="0.25">
      <c r="A97" t="s">
        <v>302</v>
      </c>
      <c r="C97" t="s">
        <v>302</v>
      </c>
      <c r="F97" s="27">
        <v>844</v>
      </c>
      <c r="G97">
        <v>844</v>
      </c>
      <c r="J97">
        <f>1+14+1+3</f>
        <v>19</v>
      </c>
      <c r="L97">
        <v>1013</v>
      </c>
      <c r="R97" s="27">
        <v>1681500</v>
      </c>
    </row>
    <row r="98" spans="1:18" x14ac:dyDescent="0.25">
      <c r="A98" t="s">
        <v>2500</v>
      </c>
      <c r="C98" t="s">
        <v>298</v>
      </c>
      <c r="J98">
        <f>1+3</f>
        <v>4</v>
      </c>
    </row>
    <row r="99" spans="1:18" x14ac:dyDescent="0.25">
      <c r="A99" t="s">
        <v>2501</v>
      </c>
      <c r="C99" t="s">
        <v>304</v>
      </c>
    </row>
    <row r="100" spans="1:18" x14ac:dyDescent="0.25">
      <c r="A100" t="s">
        <v>299</v>
      </c>
      <c r="C100" t="s">
        <v>299</v>
      </c>
      <c r="F100" s="27">
        <v>1001</v>
      </c>
      <c r="G100">
        <v>1001</v>
      </c>
      <c r="J100">
        <f>2+16+1+4</f>
        <v>23</v>
      </c>
      <c r="L100">
        <v>1308</v>
      </c>
      <c r="R100" s="27">
        <v>1429470</v>
      </c>
    </row>
    <row r="101" spans="1:18" x14ac:dyDescent="0.25">
      <c r="A101" t="s">
        <v>47</v>
      </c>
      <c r="C101" t="s">
        <v>47</v>
      </c>
      <c r="J101">
        <f>1+2</f>
        <v>3</v>
      </c>
      <c r="R101" s="27">
        <v>120000</v>
      </c>
    </row>
    <row r="102" spans="1:18" x14ac:dyDescent="0.25">
      <c r="A102" t="s">
        <v>2502</v>
      </c>
      <c r="C102" t="s">
        <v>121</v>
      </c>
      <c r="J102">
        <f>1+6</f>
        <v>7</v>
      </c>
    </row>
    <row r="103" spans="1:18" x14ac:dyDescent="0.25">
      <c r="A103" t="s">
        <v>2503</v>
      </c>
      <c r="C103" t="s">
        <v>2544</v>
      </c>
    </row>
    <row r="104" spans="1:18" x14ac:dyDescent="0.25">
      <c r="A104" t="s">
        <v>2504</v>
      </c>
      <c r="C104" t="s">
        <v>2538</v>
      </c>
      <c r="F104" s="27">
        <v>1048</v>
      </c>
      <c r="G104">
        <v>1048</v>
      </c>
      <c r="J104">
        <f>2+16+4</f>
        <v>22</v>
      </c>
      <c r="L104">
        <v>1563</v>
      </c>
    </row>
    <row r="105" spans="1:18" x14ac:dyDescent="0.25">
      <c r="A105" t="s">
        <v>2505</v>
      </c>
      <c r="C105" t="s">
        <v>304</v>
      </c>
    </row>
    <row r="106" spans="1:18" x14ac:dyDescent="0.25">
      <c r="A106" t="s">
        <v>2506</v>
      </c>
      <c r="C106" t="s">
        <v>107</v>
      </c>
    </row>
    <row r="107" spans="1:18" x14ac:dyDescent="0.25">
      <c r="A107" t="s">
        <v>2507</v>
      </c>
      <c r="C107" t="s">
        <v>303</v>
      </c>
    </row>
    <row r="108" spans="1:18" x14ac:dyDescent="0.25">
      <c r="A108" t="s">
        <v>306</v>
      </c>
      <c r="C108" t="s">
        <v>306</v>
      </c>
      <c r="F108" s="27">
        <v>1768</v>
      </c>
      <c r="G108">
        <v>1768</v>
      </c>
      <c r="J108">
        <f>3+28+1+10</f>
        <v>42</v>
      </c>
      <c r="L108">
        <v>2484</v>
      </c>
      <c r="R108" s="27">
        <v>4440096</v>
      </c>
    </row>
    <row r="109" spans="1:18" x14ac:dyDescent="0.25">
      <c r="A109" t="s">
        <v>2508</v>
      </c>
      <c r="C109" t="s">
        <v>2165</v>
      </c>
      <c r="J109">
        <f>1+4</f>
        <v>5</v>
      </c>
    </row>
    <row r="110" spans="1:18" x14ac:dyDescent="0.25">
      <c r="A110" t="s">
        <v>51</v>
      </c>
      <c r="C110" t="s">
        <v>51</v>
      </c>
      <c r="F110" s="27">
        <v>1155</v>
      </c>
      <c r="G110">
        <v>1155</v>
      </c>
      <c r="J110">
        <f>3+15+4+11</f>
        <v>33</v>
      </c>
      <c r="L110">
        <v>1688</v>
      </c>
    </row>
    <row r="111" spans="1:18" x14ac:dyDescent="0.25">
      <c r="A111" t="s">
        <v>2509</v>
      </c>
      <c r="C111" t="s">
        <v>2484</v>
      </c>
      <c r="J111">
        <f>1+3+1+1</f>
        <v>6</v>
      </c>
      <c r="L111">
        <v>246</v>
      </c>
    </row>
    <row r="112" spans="1:18" x14ac:dyDescent="0.25">
      <c r="A112" t="s">
        <v>83</v>
      </c>
      <c r="C112" t="s">
        <v>83</v>
      </c>
      <c r="F112" s="27">
        <v>1180</v>
      </c>
      <c r="G112">
        <v>1180</v>
      </c>
      <c r="J112">
        <f>2+22+2+5</f>
        <v>31</v>
      </c>
      <c r="L112">
        <v>1869</v>
      </c>
      <c r="R112" s="27">
        <v>1882000</v>
      </c>
    </row>
    <row r="113" spans="1:18" x14ac:dyDescent="0.25">
      <c r="A113" t="s">
        <v>2510</v>
      </c>
      <c r="C113" t="s">
        <v>2545</v>
      </c>
      <c r="J113">
        <f>1+6+2</f>
        <v>9</v>
      </c>
      <c r="R113" s="27">
        <v>326015</v>
      </c>
    </row>
    <row r="114" spans="1:18" x14ac:dyDescent="0.25">
      <c r="A114" t="s">
        <v>2511</v>
      </c>
      <c r="C114" t="s">
        <v>121</v>
      </c>
      <c r="J114">
        <f>1+5+1+3</f>
        <v>10</v>
      </c>
      <c r="L114">
        <v>439</v>
      </c>
    </row>
    <row r="115" spans="1:18" x14ac:dyDescent="0.25">
      <c r="A115" t="s">
        <v>2512</v>
      </c>
      <c r="C115" t="s">
        <v>2470</v>
      </c>
      <c r="J115">
        <f>1+3</f>
        <v>4</v>
      </c>
      <c r="L115">
        <v>262</v>
      </c>
    </row>
    <row r="116" spans="1:18" x14ac:dyDescent="0.25">
      <c r="A116" t="s">
        <v>2513</v>
      </c>
      <c r="C116" t="s">
        <v>338</v>
      </c>
      <c r="F116" s="27">
        <v>348</v>
      </c>
      <c r="G116">
        <v>348</v>
      </c>
      <c r="J116">
        <f>2+6+1+2</f>
        <v>11</v>
      </c>
      <c r="L116">
        <v>518</v>
      </c>
      <c r="R116" s="27">
        <v>787000</v>
      </c>
    </row>
    <row r="117" spans="1:18" x14ac:dyDescent="0.25">
      <c r="A117" t="s">
        <v>2514</v>
      </c>
      <c r="C117" t="s">
        <v>107</v>
      </c>
      <c r="F117" s="27">
        <v>197</v>
      </c>
      <c r="G117">
        <v>197</v>
      </c>
      <c r="J117">
        <f>1+5+1</f>
        <v>7</v>
      </c>
      <c r="L117">
        <v>391</v>
      </c>
      <c r="R117" s="27">
        <v>320000</v>
      </c>
    </row>
    <row r="118" spans="1:18" x14ac:dyDescent="0.25">
      <c r="A118" t="s">
        <v>2515</v>
      </c>
      <c r="C118" t="s">
        <v>2538</v>
      </c>
      <c r="F118" s="27">
        <v>312</v>
      </c>
      <c r="G118">
        <v>312</v>
      </c>
      <c r="J118">
        <f>3+5+1+2</f>
        <v>11</v>
      </c>
      <c r="L118">
        <v>503</v>
      </c>
      <c r="R118" s="27">
        <v>545000</v>
      </c>
    </row>
  </sheetData>
  <hyperlinks>
    <hyperlink ref="V2" r:id="rId1"/>
  </hyperlinks>
  <pageMargins left="0.75" right="0.75" top="1" bottom="1" header="0.5" footer="0.5"/>
  <pageSetup orientation="portrait" horizontalDpi="4294967292" verticalDpi="4294967292"/>
  <ignoredErrors>
    <ignoredError sqref="G6:G7 G43" formula="1"/>
  </ignoredError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V238"/>
  <sheetViews>
    <sheetView workbookViewId="0"/>
  </sheetViews>
  <sheetFormatPr defaultColWidth="11.42578125" defaultRowHeight="15" x14ac:dyDescent="0.25"/>
  <sheetData>
    <row r="1" spans="1:22" s="20" customFormat="1" ht="60" x14ac:dyDescent="0.25">
      <c r="B1" s="20" t="s">
        <v>2</v>
      </c>
      <c r="C1" s="20" t="s">
        <v>0</v>
      </c>
      <c r="D1" s="92" t="s">
        <v>1956</v>
      </c>
      <c r="E1" s="92" t="s">
        <v>372</v>
      </c>
      <c r="F1" s="20" t="s">
        <v>1968</v>
      </c>
      <c r="G1" s="94" t="s">
        <v>357</v>
      </c>
      <c r="H1" s="21" t="s">
        <v>1969</v>
      </c>
      <c r="I1" s="94" t="s">
        <v>377</v>
      </c>
      <c r="J1" s="92" t="s">
        <v>358</v>
      </c>
      <c r="K1" s="93" t="s">
        <v>360</v>
      </c>
      <c r="L1" s="92" t="s">
        <v>374</v>
      </c>
      <c r="M1" s="125" t="s">
        <v>375</v>
      </c>
      <c r="N1" s="20" t="s">
        <v>1</v>
      </c>
      <c r="O1" s="20" t="s">
        <v>1957</v>
      </c>
      <c r="P1" s="20" t="s">
        <v>1949</v>
      </c>
      <c r="Q1" s="20" t="s">
        <v>1955</v>
      </c>
      <c r="R1" s="20" t="s">
        <v>1950</v>
      </c>
      <c r="S1" s="20" t="s">
        <v>1951</v>
      </c>
      <c r="T1" s="20" t="s">
        <v>1952</v>
      </c>
      <c r="U1" s="20" t="s">
        <v>1953</v>
      </c>
      <c r="V1" s="20" t="s">
        <v>1948</v>
      </c>
    </row>
    <row r="2" spans="1:22" x14ac:dyDescent="0.25">
      <c r="A2" s="27" t="s">
        <v>1368</v>
      </c>
      <c r="B2" s="27" t="str">
        <f t="shared" ref="B2:B65" si="0">LEFT(A2,FIND(";",A2)-1)</f>
        <v>Texas</v>
      </c>
      <c r="C2" s="27" t="str">
        <f t="shared" ref="C2:C65" si="1">MID(A2,FIND(";",A2)+1,100)</f>
        <v>Anderson</v>
      </c>
      <c r="D2" s="27">
        <v>347412</v>
      </c>
      <c r="E2" s="27">
        <v>107</v>
      </c>
      <c r="F2" s="27">
        <v>15322</v>
      </c>
      <c r="G2" s="26">
        <f t="shared" ref="G2:G44" si="2">F2/E2</f>
        <v>143.19626168224298</v>
      </c>
      <c r="H2" s="27">
        <v>21658.09</v>
      </c>
      <c r="I2" s="10">
        <v>6738</v>
      </c>
      <c r="J2" s="28">
        <f t="shared" ref="J2:J44" si="3">H2/E2/(G2/20)</f>
        <v>28.270578253491713</v>
      </c>
      <c r="K2" s="2">
        <v>22238</v>
      </c>
      <c r="L2" s="27">
        <v>77</v>
      </c>
      <c r="M2" s="2">
        <v>14767</v>
      </c>
      <c r="N2" s="27">
        <v>1905</v>
      </c>
      <c r="O2" s="27" t="s">
        <v>1965</v>
      </c>
      <c r="P2" s="27" t="s">
        <v>532</v>
      </c>
      <c r="Q2" s="27" t="s">
        <v>533</v>
      </c>
      <c r="R2" s="27" t="s">
        <v>534</v>
      </c>
      <c r="S2" s="27" t="s">
        <v>383</v>
      </c>
    </row>
    <row r="3" spans="1:22" x14ac:dyDescent="0.25">
      <c r="A3" s="27" t="s">
        <v>1371</v>
      </c>
      <c r="B3" s="27" t="str">
        <f t="shared" si="0"/>
        <v>Texas</v>
      </c>
      <c r="C3" s="27" t="str">
        <f t="shared" si="1"/>
        <v>Aransas</v>
      </c>
      <c r="D3" s="27">
        <v>4164</v>
      </c>
      <c r="E3" s="27">
        <v>3</v>
      </c>
      <c r="F3" s="27">
        <v>253</v>
      </c>
      <c r="G3" s="26">
        <f t="shared" si="2"/>
        <v>84.333333333333329</v>
      </c>
      <c r="H3" s="27">
        <v>540.47</v>
      </c>
      <c r="I3" s="10">
        <v>64</v>
      </c>
      <c r="J3" s="28">
        <f t="shared" si="3"/>
        <v>42.724901185770747</v>
      </c>
      <c r="K3" s="2">
        <v>642</v>
      </c>
      <c r="L3" s="27">
        <v>3</v>
      </c>
      <c r="M3" s="2">
        <v>585</v>
      </c>
      <c r="N3" s="27">
        <v>1905</v>
      </c>
      <c r="O3" s="27" t="s">
        <v>1965</v>
      </c>
      <c r="P3" s="27" t="s">
        <v>532</v>
      </c>
      <c r="Q3" s="27" t="s">
        <v>533</v>
      </c>
      <c r="R3" s="27" t="s">
        <v>534</v>
      </c>
      <c r="S3" s="27" t="s">
        <v>383</v>
      </c>
    </row>
    <row r="4" spans="1:22" x14ac:dyDescent="0.25">
      <c r="A4" s="27" t="s">
        <v>1372</v>
      </c>
      <c r="B4" s="27" t="str">
        <f t="shared" si="0"/>
        <v>Texas</v>
      </c>
      <c r="C4" s="27" t="str">
        <f t="shared" si="1"/>
        <v>Archer</v>
      </c>
      <c r="D4" s="27">
        <v>51178</v>
      </c>
      <c r="E4" s="27">
        <v>26</v>
      </c>
      <c r="F4" s="27">
        <v>2306</v>
      </c>
      <c r="G4" s="26">
        <f t="shared" si="2"/>
        <v>88.692307692307693</v>
      </c>
      <c r="H4" s="27">
        <v>6474.27</v>
      </c>
      <c r="I4" s="10">
        <v>774</v>
      </c>
      <c r="J4" s="28">
        <f t="shared" si="3"/>
        <v>56.151517779705117</v>
      </c>
      <c r="K4" s="2">
        <v>7546</v>
      </c>
      <c r="L4" s="27">
        <v>24</v>
      </c>
      <c r="M4" s="2">
        <v>15550</v>
      </c>
      <c r="N4" s="27">
        <v>1905</v>
      </c>
      <c r="O4" s="27" t="s">
        <v>1965</v>
      </c>
      <c r="P4" s="27" t="s">
        <v>532</v>
      </c>
      <c r="Q4" s="27" t="s">
        <v>533</v>
      </c>
      <c r="R4" s="27" t="s">
        <v>534</v>
      </c>
      <c r="S4" s="27" t="s">
        <v>383</v>
      </c>
    </row>
    <row r="5" spans="1:22" x14ac:dyDescent="0.25">
      <c r="A5" s="27" t="s">
        <v>1373</v>
      </c>
      <c r="B5" s="27" t="str">
        <f t="shared" si="0"/>
        <v>Texas</v>
      </c>
      <c r="C5" s="27" t="str">
        <f t="shared" si="1"/>
        <v>Armstrong</v>
      </c>
      <c r="D5" s="27">
        <v>29996</v>
      </c>
      <c r="E5" s="27">
        <v>14</v>
      </c>
      <c r="F5" s="27">
        <v>1309</v>
      </c>
      <c r="G5" s="26">
        <f t="shared" si="2"/>
        <v>93.5</v>
      </c>
      <c r="H5" s="27">
        <v>4970.5</v>
      </c>
      <c r="I5" s="10">
        <v>336</v>
      </c>
      <c r="J5" s="28">
        <f t="shared" si="3"/>
        <v>75.943468296409478</v>
      </c>
      <c r="K5" s="2">
        <v>5891</v>
      </c>
      <c r="L5" s="27">
        <v>10</v>
      </c>
      <c r="M5" s="2">
        <v>5565</v>
      </c>
      <c r="N5" s="27">
        <v>1905</v>
      </c>
      <c r="O5" s="27" t="s">
        <v>1965</v>
      </c>
      <c r="P5" s="27" t="s">
        <v>532</v>
      </c>
      <c r="Q5" s="27" t="s">
        <v>533</v>
      </c>
      <c r="R5" s="27" t="s">
        <v>534</v>
      </c>
      <c r="S5" s="27" t="s">
        <v>383</v>
      </c>
    </row>
    <row r="6" spans="1:22" x14ac:dyDescent="0.25">
      <c r="A6" s="27" t="s">
        <v>1374</v>
      </c>
      <c r="B6" s="27" t="str">
        <f t="shared" si="0"/>
        <v>Texas</v>
      </c>
      <c r="C6" s="27" t="str">
        <f t="shared" si="1"/>
        <v>Atascosa</v>
      </c>
      <c r="D6" s="27">
        <v>111322</v>
      </c>
      <c r="E6" s="27">
        <v>43</v>
      </c>
      <c r="F6" s="27">
        <v>5135</v>
      </c>
      <c r="G6" s="26">
        <f t="shared" si="2"/>
        <v>119.41860465116279</v>
      </c>
      <c r="H6" s="27">
        <v>11390.3</v>
      </c>
      <c r="I6" s="10">
        <v>1525</v>
      </c>
      <c r="J6" s="28">
        <f t="shared" si="3"/>
        <v>44.363388510223942</v>
      </c>
      <c r="K6" s="2">
        <v>12122</v>
      </c>
      <c r="L6" s="27">
        <v>38</v>
      </c>
      <c r="M6" s="2">
        <v>10479</v>
      </c>
      <c r="N6" s="27">
        <v>1905</v>
      </c>
      <c r="O6" s="27" t="s">
        <v>1965</v>
      </c>
      <c r="P6" s="27" t="s">
        <v>532</v>
      </c>
      <c r="Q6" s="27" t="s">
        <v>533</v>
      </c>
      <c r="R6" s="27" t="s">
        <v>534</v>
      </c>
      <c r="S6" s="27" t="s">
        <v>383</v>
      </c>
    </row>
    <row r="7" spans="1:22" x14ac:dyDescent="0.25">
      <c r="A7" s="27" t="s">
        <v>1375</v>
      </c>
      <c r="B7" s="27" t="str">
        <f t="shared" si="0"/>
        <v>Texas</v>
      </c>
      <c r="C7" s="27" t="str">
        <f t="shared" si="1"/>
        <v>Austin</v>
      </c>
      <c r="D7" s="27">
        <v>218055</v>
      </c>
      <c r="E7" s="27">
        <v>73</v>
      </c>
      <c r="F7" s="27">
        <v>7797</v>
      </c>
      <c r="G7" s="26">
        <f t="shared" si="2"/>
        <v>106.8082191780822</v>
      </c>
      <c r="H7" s="27">
        <v>18931.27</v>
      </c>
      <c r="I7" s="10">
        <v>3181</v>
      </c>
      <c r="J7" s="28">
        <f t="shared" si="3"/>
        <v>48.560395023727075</v>
      </c>
      <c r="K7" s="2">
        <v>19256</v>
      </c>
      <c r="L7" s="27">
        <v>69</v>
      </c>
      <c r="M7" s="2">
        <v>6493</v>
      </c>
      <c r="N7" s="27">
        <v>1905</v>
      </c>
      <c r="O7" s="27" t="s">
        <v>1965</v>
      </c>
      <c r="P7" s="27" t="s">
        <v>532</v>
      </c>
      <c r="Q7" s="27" t="s">
        <v>533</v>
      </c>
      <c r="R7" s="27" t="s">
        <v>534</v>
      </c>
      <c r="S7" s="27" t="s">
        <v>383</v>
      </c>
    </row>
    <row r="8" spans="1:22" x14ac:dyDescent="0.25">
      <c r="A8" s="27" t="s">
        <v>1377</v>
      </c>
      <c r="B8" s="27" t="str">
        <f t="shared" si="0"/>
        <v>Texas</v>
      </c>
      <c r="C8" s="27" t="str">
        <f t="shared" si="1"/>
        <v>Bandera</v>
      </c>
      <c r="D8" s="27">
        <v>96468</v>
      </c>
      <c r="E8" s="2">
        <v>35</v>
      </c>
      <c r="F8" s="27">
        <v>3787</v>
      </c>
      <c r="G8" s="26">
        <f t="shared" si="2"/>
        <v>108.2</v>
      </c>
      <c r="H8" s="27">
        <v>8160.55</v>
      </c>
      <c r="I8" s="10">
        <v>1324</v>
      </c>
      <c r="J8" s="28">
        <f t="shared" si="3"/>
        <v>43.097702667018751</v>
      </c>
      <c r="K8" s="2">
        <v>9075</v>
      </c>
      <c r="L8" s="27">
        <v>31</v>
      </c>
      <c r="M8" s="2">
        <v>8455</v>
      </c>
      <c r="N8" s="27">
        <v>1905</v>
      </c>
      <c r="O8" s="27" t="s">
        <v>1965</v>
      </c>
      <c r="P8" s="27" t="s">
        <v>532</v>
      </c>
      <c r="Q8" s="27" t="s">
        <v>533</v>
      </c>
      <c r="R8" s="27" t="s">
        <v>534</v>
      </c>
      <c r="S8" s="27" t="s">
        <v>383</v>
      </c>
    </row>
    <row r="9" spans="1:22" x14ac:dyDescent="0.25">
      <c r="A9" s="27" t="s">
        <v>1379</v>
      </c>
      <c r="B9" s="27" t="str">
        <f t="shared" si="0"/>
        <v>Texas</v>
      </c>
      <c r="C9" s="27" t="str">
        <f t="shared" si="1"/>
        <v>Baylor</v>
      </c>
      <c r="D9" s="27">
        <v>36071</v>
      </c>
      <c r="E9" s="2">
        <v>17</v>
      </c>
      <c r="F9" s="27">
        <v>1992</v>
      </c>
      <c r="G9" s="26">
        <f t="shared" si="2"/>
        <v>117.17647058823529</v>
      </c>
      <c r="H9" s="27">
        <v>4527.8500000000004</v>
      </c>
      <c r="I9" s="10">
        <v>588</v>
      </c>
      <c r="J9" s="28">
        <f t="shared" si="3"/>
        <v>45.460341365461858</v>
      </c>
      <c r="K9" s="2">
        <v>6768</v>
      </c>
      <c r="L9" s="27">
        <v>17</v>
      </c>
      <c r="M9" s="2">
        <v>8540</v>
      </c>
      <c r="N9" s="27">
        <v>1905</v>
      </c>
      <c r="O9" s="27" t="s">
        <v>1965</v>
      </c>
      <c r="P9" s="27" t="s">
        <v>532</v>
      </c>
      <c r="Q9" s="27" t="s">
        <v>533</v>
      </c>
      <c r="R9" s="27" t="s">
        <v>534</v>
      </c>
      <c r="S9" s="27" t="s">
        <v>383</v>
      </c>
    </row>
    <row r="10" spans="1:22" x14ac:dyDescent="0.25">
      <c r="A10" s="27" t="s">
        <v>1380</v>
      </c>
      <c r="B10" s="27" t="str">
        <f t="shared" si="0"/>
        <v>Texas</v>
      </c>
      <c r="C10" s="27" t="str">
        <f t="shared" si="1"/>
        <v>Bee</v>
      </c>
      <c r="D10" s="27">
        <v>64126</v>
      </c>
      <c r="E10" s="27">
        <v>30</v>
      </c>
      <c r="F10" s="27">
        <v>3455</v>
      </c>
      <c r="G10" s="26">
        <f t="shared" si="2"/>
        <v>115.16666666666667</v>
      </c>
      <c r="H10" s="27">
        <v>7486.65</v>
      </c>
      <c r="I10" s="10">
        <v>833</v>
      </c>
      <c r="J10" s="28">
        <f t="shared" si="3"/>
        <v>43.338060781476116</v>
      </c>
      <c r="K10" s="2">
        <v>8652</v>
      </c>
      <c r="L10" s="27">
        <v>27</v>
      </c>
      <c r="M10" s="2">
        <v>7585</v>
      </c>
      <c r="N10" s="27">
        <v>1905</v>
      </c>
      <c r="O10" s="27" t="s">
        <v>1965</v>
      </c>
      <c r="P10" s="27" t="s">
        <v>532</v>
      </c>
      <c r="Q10" s="27" t="s">
        <v>533</v>
      </c>
      <c r="R10" s="27" t="s">
        <v>534</v>
      </c>
      <c r="S10" s="27" t="s">
        <v>383</v>
      </c>
    </row>
    <row r="11" spans="1:22" x14ac:dyDescent="0.25">
      <c r="A11" s="27" t="s">
        <v>1381</v>
      </c>
      <c r="B11" s="27" t="str">
        <f t="shared" si="0"/>
        <v>Texas</v>
      </c>
      <c r="C11" s="27" t="str">
        <f t="shared" si="1"/>
        <v>Bell</v>
      </c>
      <c r="D11" s="27">
        <v>396908</v>
      </c>
      <c r="E11" s="27">
        <v>127</v>
      </c>
      <c r="F11" s="27">
        <v>12942</v>
      </c>
      <c r="G11" s="26">
        <f t="shared" si="2"/>
        <v>101.90551181102362</v>
      </c>
      <c r="H11" s="27">
        <v>30873.759999999998</v>
      </c>
      <c r="I11" s="10">
        <v>6069</v>
      </c>
      <c r="J11" s="28">
        <f t="shared" si="3"/>
        <v>47.710956575490655</v>
      </c>
      <c r="K11" s="2">
        <v>33558</v>
      </c>
      <c r="L11" s="27">
        <v>107</v>
      </c>
      <c r="M11" s="2">
        <v>47251</v>
      </c>
      <c r="N11" s="27">
        <v>1905</v>
      </c>
      <c r="O11" s="27" t="s">
        <v>1965</v>
      </c>
      <c r="P11" s="27" t="s">
        <v>532</v>
      </c>
      <c r="Q11" s="27" t="s">
        <v>533</v>
      </c>
      <c r="R11" s="27" t="s">
        <v>534</v>
      </c>
      <c r="S11" s="27" t="s">
        <v>383</v>
      </c>
    </row>
    <row r="12" spans="1:22" x14ac:dyDescent="0.25">
      <c r="A12" s="27" t="s">
        <v>1382</v>
      </c>
      <c r="B12" s="27" t="str">
        <f t="shared" si="0"/>
        <v>Texas</v>
      </c>
      <c r="C12" s="27" t="str">
        <f t="shared" si="1"/>
        <v>Bexar</v>
      </c>
      <c r="D12" s="27">
        <v>203374</v>
      </c>
      <c r="E12" s="27">
        <v>69</v>
      </c>
      <c r="F12" s="27">
        <v>9302</v>
      </c>
      <c r="G12" s="26">
        <f t="shared" si="2"/>
        <v>134.81159420289856</v>
      </c>
      <c r="H12" s="27">
        <v>21013.91</v>
      </c>
      <c r="I12" s="10">
        <v>2878</v>
      </c>
      <c r="J12" s="28">
        <f t="shared" si="3"/>
        <v>45.181487852074817</v>
      </c>
      <c r="K12" s="2">
        <v>26365</v>
      </c>
      <c r="L12" s="27">
        <v>63</v>
      </c>
      <c r="M12" s="2">
        <v>34328</v>
      </c>
      <c r="N12" s="27">
        <v>1905</v>
      </c>
      <c r="O12" s="27" t="s">
        <v>1965</v>
      </c>
      <c r="P12" s="27" t="s">
        <v>532</v>
      </c>
      <c r="Q12" s="27" t="s">
        <v>533</v>
      </c>
      <c r="R12" s="27" t="s">
        <v>534</v>
      </c>
      <c r="S12" s="27" t="s">
        <v>383</v>
      </c>
    </row>
    <row r="13" spans="1:22" x14ac:dyDescent="0.25">
      <c r="A13" s="27" t="s">
        <v>1383</v>
      </c>
      <c r="B13" s="27" t="str">
        <f t="shared" si="0"/>
        <v>Texas</v>
      </c>
      <c r="C13" s="27" t="str">
        <f t="shared" si="1"/>
        <v>Blanco</v>
      </c>
      <c r="D13" s="27">
        <v>53953</v>
      </c>
      <c r="E13" s="27">
        <v>29</v>
      </c>
      <c r="F13" s="27">
        <v>2156</v>
      </c>
      <c r="G13" s="26">
        <f t="shared" si="2"/>
        <v>74.34482758620689</v>
      </c>
      <c r="H13" s="27">
        <v>5001.1899999999996</v>
      </c>
      <c r="I13" s="10">
        <v>829</v>
      </c>
      <c r="J13" s="28">
        <f t="shared" si="3"/>
        <v>46.393228200371055</v>
      </c>
      <c r="K13" s="2">
        <v>5162</v>
      </c>
      <c r="L13" s="27">
        <v>22</v>
      </c>
      <c r="M13" s="2">
        <v>13200</v>
      </c>
      <c r="N13" s="27">
        <v>1905</v>
      </c>
      <c r="O13" s="27" t="s">
        <v>1965</v>
      </c>
      <c r="P13" s="27" t="s">
        <v>532</v>
      </c>
      <c r="Q13" s="27" t="s">
        <v>533</v>
      </c>
      <c r="R13" s="27" t="s">
        <v>534</v>
      </c>
      <c r="S13" s="27" t="s">
        <v>383</v>
      </c>
    </row>
    <row r="14" spans="1:22" x14ac:dyDescent="0.25">
      <c r="A14" s="27" t="s">
        <v>1384</v>
      </c>
      <c r="B14" s="27" t="str">
        <f t="shared" si="0"/>
        <v>Texas</v>
      </c>
      <c r="C14" s="27" t="str">
        <f t="shared" si="1"/>
        <v>Borden</v>
      </c>
      <c r="D14" s="27">
        <v>14394</v>
      </c>
      <c r="E14" s="27">
        <v>12</v>
      </c>
      <c r="F14" s="27">
        <v>908</v>
      </c>
      <c r="G14" s="26">
        <f t="shared" si="2"/>
        <v>75.666666666666671</v>
      </c>
      <c r="H14" s="27">
        <v>1800.08</v>
      </c>
      <c r="I14" s="10">
        <v>241</v>
      </c>
      <c r="J14" s="28">
        <f t="shared" si="3"/>
        <v>39.649339207048456</v>
      </c>
      <c r="K14" s="2">
        <v>2217</v>
      </c>
      <c r="L14" s="27">
        <v>10</v>
      </c>
      <c r="M14" s="2">
        <v>2510</v>
      </c>
      <c r="N14" s="27">
        <v>1905</v>
      </c>
      <c r="O14" s="27" t="s">
        <v>1965</v>
      </c>
      <c r="P14" s="27" t="s">
        <v>532</v>
      </c>
      <c r="Q14" s="27" t="s">
        <v>533</v>
      </c>
      <c r="R14" s="27" t="s">
        <v>534</v>
      </c>
      <c r="S14" s="27" t="s">
        <v>383</v>
      </c>
    </row>
    <row r="15" spans="1:22" x14ac:dyDescent="0.25">
      <c r="A15" s="27" t="s">
        <v>1385</v>
      </c>
      <c r="B15" s="27" t="str">
        <f t="shared" si="0"/>
        <v>Texas</v>
      </c>
      <c r="C15" s="27" t="str">
        <f t="shared" si="1"/>
        <v>Bosque</v>
      </c>
      <c r="D15" s="27">
        <v>194414</v>
      </c>
      <c r="E15" s="27">
        <v>81</v>
      </c>
      <c r="F15" s="27">
        <v>6639</v>
      </c>
      <c r="G15" s="26">
        <f t="shared" si="2"/>
        <v>81.962962962962962</v>
      </c>
      <c r="H15" s="27">
        <v>16502.439999999999</v>
      </c>
      <c r="I15" s="10">
        <v>3543</v>
      </c>
      <c r="J15" s="28">
        <f t="shared" si="3"/>
        <v>49.713631571019725</v>
      </c>
      <c r="K15" s="2">
        <v>17337</v>
      </c>
      <c r="L15" s="27">
        <v>71</v>
      </c>
      <c r="M15" s="2">
        <v>27765</v>
      </c>
      <c r="N15" s="27">
        <v>1905</v>
      </c>
      <c r="O15" s="27" t="s">
        <v>1965</v>
      </c>
      <c r="P15" s="27" t="s">
        <v>532</v>
      </c>
      <c r="Q15" s="27" t="s">
        <v>533</v>
      </c>
      <c r="R15" s="27" t="s">
        <v>534</v>
      </c>
      <c r="S15" s="27" t="s">
        <v>383</v>
      </c>
    </row>
    <row r="16" spans="1:22" x14ac:dyDescent="0.25">
      <c r="A16" s="27" t="s">
        <v>1386</v>
      </c>
      <c r="B16" s="27" t="str">
        <f t="shared" si="0"/>
        <v>Texas</v>
      </c>
      <c r="C16" s="27" t="str">
        <f t="shared" si="1"/>
        <v>Bowie</v>
      </c>
      <c r="D16" s="27">
        <v>311352</v>
      </c>
      <c r="E16" s="27">
        <v>118</v>
      </c>
      <c r="F16" s="27">
        <v>11533</v>
      </c>
      <c r="G16" s="26">
        <f t="shared" si="2"/>
        <v>97.737288135593218</v>
      </c>
      <c r="H16" s="27">
        <v>29899.15</v>
      </c>
      <c r="I16" s="10">
        <v>5964</v>
      </c>
      <c r="J16" s="28">
        <f t="shared" si="3"/>
        <v>51.849735541489643</v>
      </c>
      <c r="K16" s="2">
        <v>33129</v>
      </c>
      <c r="L16" s="27">
        <v>109</v>
      </c>
      <c r="M16" s="2">
        <v>27882</v>
      </c>
      <c r="N16" s="27">
        <v>1905</v>
      </c>
      <c r="O16" s="27" t="s">
        <v>1965</v>
      </c>
      <c r="P16" s="27" t="s">
        <v>532</v>
      </c>
      <c r="Q16" s="27" t="s">
        <v>533</v>
      </c>
      <c r="R16" s="27" t="s">
        <v>534</v>
      </c>
      <c r="S16" s="27" t="s">
        <v>383</v>
      </c>
    </row>
    <row r="17" spans="1:19" x14ac:dyDescent="0.25">
      <c r="A17" s="27" t="s">
        <v>1387</v>
      </c>
      <c r="B17" s="27" t="str">
        <f t="shared" si="0"/>
        <v>Texas</v>
      </c>
      <c r="C17" s="27" t="str">
        <f t="shared" si="1"/>
        <v>Brazoria</v>
      </c>
      <c r="D17" s="27">
        <v>129502</v>
      </c>
      <c r="E17" s="27">
        <v>59</v>
      </c>
      <c r="F17" s="27">
        <v>6786</v>
      </c>
      <c r="G17" s="26">
        <f t="shared" si="2"/>
        <v>115.01694915254237</v>
      </c>
      <c r="H17" s="27">
        <v>14573.09</v>
      </c>
      <c r="I17" s="10">
        <v>1998</v>
      </c>
      <c r="J17" s="28">
        <f t="shared" si="3"/>
        <v>42.95045682287062</v>
      </c>
      <c r="K17" s="2">
        <v>16451</v>
      </c>
      <c r="L17" s="27">
        <v>60</v>
      </c>
      <c r="M17" s="2">
        <v>15088</v>
      </c>
      <c r="N17" s="27">
        <v>1905</v>
      </c>
      <c r="O17" s="27" t="s">
        <v>1965</v>
      </c>
      <c r="P17" s="27" t="s">
        <v>532</v>
      </c>
      <c r="Q17" s="27" t="s">
        <v>533</v>
      </c>
      <c r="R17" s="27" t="s">
        <v>534</v>
      </c>
      <c r="S17" s="27" t="s">
        <v>383</v>
      </c>
    </row>
    <row r="18" spans="1:19" x14ac:dyDescent="0.25">
      <c r="A18" s="27" t="s">
        <v>1388</v>
      </c>
      <c r="B18" s="27" t="str">
        <f t="shared" si="0"/>
        <v>Texas</v>
      </c>
      <c r="C18" s="27" t="str">
        <f t="shared" si="1"/>
        <v>Brazos</v>
      </c>
      <c r="D18" s="27">
        <v>205250</v>
      </c>
      <c r="E18" s="27">
        <v>79</v>
      </c>
      <c r="F18" s="27">
        <v>8074</v>
      </c>
      <c r="G18" s="26">
        <f t="shared" si="2"/>
        <v>102.20253164556962</v>
      </c>
      <c r="H18" s="27">
        <v>18513.89</v>
      </c>
      <c r="I18" s="10">
        <v>3336</v>
      </c>
      <c r="J18" s="28">
        <f t="shared" si="3"/>
        <v>45.860515234084716</v>
      </c>
      <c r="K18" s="2">
        <v>19113</v>
      </c>
      <c r="L18" s="27">
        <v>73</v>
      </c>
      <c r="M18" s="2">
        <v>13885</v>
      </c>
      <c r="N18" s="27">
        <v>1905</v>
      </c>
      <c r="O18" s="27" t="s">
        <v>1965</v>
      </c>
      <c r="P18" s="27" t="s">
        <v>532</v>
      </c>
      <c r="Q18" s="27" t="s">
        <v>533</v>
      </c>
      <c r="R18" s="27" t="s">
        <v>534</v>
      </c>
      <c r="S18" s="27" t="s">
        <v>383</v>
      </c>
    </row>
    <row r="19" spans="1:19" x14ac:dyDescent="0.25">
      <c r="A19" s="27" t="s">
        <v>1389</v>
      </c>
      <c r="B19" s="27" t="str">
        <f t="shared" si="0"/>
        <v>Texas</v>
      </c>
      <c r="C19" s="27" t="str">
        <f t="shared" si="1"/>
        <v>Brewster</v>
      </c>
      <c r="D19" s="27">
        <v>46500</v>
      </c>
      <c r="E19" s="27">
        <v>11</v>
      </c>
      <c r="F19" s="27">
        <v>1802</v>
      </c>
      <c r="G19" s="26">
        <f t="shared" si="2"/>
        <v>163.81818181818181</v>
      </c>
      <c r="H19" s="27">
        <v>5330</v>
      </c>
      <c r="I19" s="10">
        <v>434</v>
      </c>
      <c r="J19" s="28">
        <f t="shared" si="3"/>
        <v>59.15649278579356</v>
      </c>
      <c r="K19" s="2">
        <v>6478</v>
      </c>
      <c r="L19" s="27">
        <v>8</v>
      </c>
      <c r="M19" s="2">
        <v>7776</v>
      </c>
      <c r="N19" s="27">
        <v>1905</v>
      </c>
      <c r="O19" s="27" t="s">
        <v>1965</v>
      </c>
      <c r="P19" s="27" t="s">
        <v>532</v>
      </c>
      <c r="Q19" s="27" t="s">
        <v>533</v>
      </c>
      <c r="R19" s="27" t="s">
        <v>534</v>
      </c>
      <c r="S19" s="27" t="s">
        <v>383</v>
      </c>
    </row>
    <row r="20" spans="1:19" x14ac:dyDescent="0.25">
      <c r="A20" s="27" t="s">
        <v>1390</v>
      </c>
      <c r="B20" s="27" t="str">
        <f t="shared" si="0"/>
        <v>Texas</v>
      </c>
      <c r="C20" s="27" t="str">
        <f t="shared" si="1"/>
        <v>Briscoe</v>
      </c>
      <c r="D20" s="27">
        <v>32516</v>
      </c>
      <c r="E20" s="27">
        <v>12</v>
      </c>
      <c r="F20" s="27">
        <v>1309</v>
      </c>
      <c r="G20" s="26">
        <f t="shared" si="2"/>
        <v>109.08333333333333</v>
      </c>
      <c r="H20" s="27">
        <v>3508.65</v>
      </c>
      <c r="I20" s="10">
        <v>453</v>
      </c>
      <c r="J20" s="28">
        <f t="shared" si="3"/>
        <v>53.608097784568372</v>
      </c>
      <c r="K20" s="2">
        <v>3700</v>
      </c>
      <c r="L20" s="27">
        <v>9</v>
      </c>
      <c r="M20" s="2">
        <v>3954</v>
      </c>
      <c r="N20" s="27">
        <v>1905</v>
      </c>
      <c r="O20" s="27" t="s">
        <v>1965</v>
      </c>
      <c r="P20" s="27" t="s">
        <v>532</v>
      </c>
      <c r="Q20" s="27" t="s">
        <v>533</v>
      </c>
      <c r="R20" s="27" t="s">
        <v>534</v>
      </c>
      <c r="S20" s="27" t="s">
        <v>383</v>
      </c>
    </row>
    <row r="21" spans="1:19" x14ac:dyDescent="0.25">
      <c r="A21" s="27" t="s">
        <v>1392</v>
      </c>
      <c r="B21" s="27" t="str">
        <f t="shared" si="0"/>
        <v>Texas</v>
      </c>
      <c r="C21" s="27" t="str">
        <f t="shared" si="1"/>
        <v>Brown</v>
      </c>
      <c r="D21" s="27"/>
      <c r="E21" s="27">
        <v>75</v>
      </c>
      <c r="F21" s="27">
        <v>6871</v>
      </c>
      <c r="G21" s="26">
        <f t="shared" si="2"/>
        <v>91.61333333333333</v>
      </c>
      <c r="H21" s="27">
        <v>16246.2</v>
      </c>
      <c r="I21" s="10"/>
      <c r="J21" s="28">
        <f t="shared" si="3"/>
        <v>47.289186435744433</v>
      </c>
      <c r="K21" s="2">
        <v>16632</v>
      </c>
      <c r="L21" s="27">
        <v>51</v>
      </c>
      <c r="M21" s="2">
        <v>29050</v>
      </c>
      <c r="N21" s="27">
        <v>1905</v>
      </c>
      <c r="O21" s="27" t="s">
        <v>1965</v>
      </c>
      <c r="P21" s="27" t="s">
        <v>532</v>
      </c>
      <c r="Q21" s="27" t="s">
        <v>533</v>
      </c>
      <c r="R21" s="27" t="s">
        <v>534</v>
      </c>
      <c r="S21" s="27" t="s">
        <v>383</v>
      </c>
    </row>
    <row r="22" spans="1:19" x14ac:dyDescent="0.25">
      <c r="A22" s="27" t="s">
        <v>1393</v>
      </c>
      <c r="B22" s="27" t="str">
        <f t="shared" si="0"/>
        <v>Texas</v>
      </c>
      <c r="C22" s="27" t="str">
        <f t="shared" si="1"/>
        <v>Burleson</v>
      </c>
      <c r="D22" s="27">
        <v>215949</v>
      </c>
      <c r="E22" s="27">
        <v>79</v>
      </c>
      <c r="F22" s="27">
        <v>8262</v>
      </c>
      <c r="G22" s="26">
        <f t="shared" si="2"/>
        <v>104.58227848101266</v>
      </c>
      <c r="H22" s="27">
        <v>18698.099999999999</v>
      </c>
      <c r="I22" s="10">
        <v>3304</v>
      </c>
      <c r="J22" s="28">
        <f t="shared" si="3"/>
        <v>45.262890341321707</v>
      </c>
      <c r="K22" s="2">
        <v>19353</v>
      </c>
      <c r="L22" s="27">
        <v>75</v>
      </c>
      <c r="M22" s="2">
        <v>5530</v>
      </c>
      <c r="N22" s="27">
        <v>1905</v>
      </c>
      <c r="O22" s="27" t="s">
        <v>1965</v>
      </c>
      <c r="P22" s="27" t="s">
        <v>532</v>
      </c>
      <c r="Q22" s="27" t="s">
        <v>533</v>
      </c>
      <c r="R22" s="27" t="s">
        <v>534</v>
      </c>
      <c r="S22" s="27" t="s">
        <v>383</v>
      </c>
    </row>
    <row r="23" spans="1:19" x14ac:dyDescent="0.25">
      <c r="A23" s="27" t="s">
        <v>1394</v>
      </c>
      <c r="B23" s="27" t="str">
        <f t="shared" si="0"/>
        <v>Texas</v>
      </c>
      <c r="C23" s="27" t="str">
        <f t="shared" si="1"/>
        <v>Burnet</v>
      </c>
      <c r="D23" s="27">
        <v>162207</v>
      </c>
      <c r="E23" s="27">
        <v>63</v>
      </c>
      <c r="F23" s="27">
        <v>6021</v>
      </c>
      <c r="G23" s="26">
        <f t="shared" si="2"/>
        <v>95.571428571428569</v>
      </c>
      <c r="H23" s="27">
        <v>12803.87</v>
      </c>
      <c r="I23" s="10">
        <v>2389</v>
      </c>
      <c r="J23" s="28">
        <f t="shared" si="3"/>
        <v>42.530709184520845</v>
      </c>
      <c r="K23" s="2">
        <v>13616</v>
      </c>
      <c r="L23" s="27">
        <v>54</v>
      </c>
      <c r="M23" s="2">
        <v>15831</v>
      </c>
      <c r="N23" s="27">
        <v>1905</v>
      </c>
      <c r="O23" s="27" t="s">
        <v>1965</v>
      </c>
      <c r="P23" s="27" t="s">
        <v>532</v>
      </c>
      <c r="Q23" s="27" t="s">
        <v>533</v>
      </c>
      <c r="R23" s="27" t="s">
        <v>534</v>
      </c>
      <c r="S23" s="27" t="s">
        <v>383</v>
      </c>
    </row>
    <row r="24" spans="1:19" x14ac:dyDescent="0.25">
      <c r="A24" s="27" t="s">
        <v>1395</v>
      </c>
      <c r="B24" s="27" t="str">
        <f t="shared" si="0"/>
        <v>Texas</v>
      </c>
      <c r="C24" s="27" t="str">
        <f t="shared" si="1"/>
        <v>Caldwell</v>
      </c>
      <c r="D24" s="27">
        <v>205224</v>
      </c>
      <c r="E24" s="27">
        <v>84</v>
      </c>
      <c r="F24" s="27">
        <v>9515</v>
      </c>
      <c r="G24" s="26">
        <f t="shared" si="2"/>
        <v>113.27380952380952</v>
      </c>
      <c r="H24" s="27">
        <v>21604.25</v>
      </c>
      <c r="I24" s="10">
        <v>3245</v>
      </c>
      <c r="J24" s="28">
        <f t="shared" si="3"/>
        <v>45.410930110352076</v>
      </c>
      <c r="K24" s="2">
        <v>22598</v>
      </c>
      <c r="L24" s="27">
        <v>69</v>
      </c>
      <c r="M24" s="2">
        <v>25582</v>
      </c>
      <c r="N24" s="27">
        <v>1905</v>
      </c>
      <c r="O24" s="27" t="s">
        <v>1965</v>
      </c>
      <c r="P24" s="27" t="s">
        <v>532</v>
      </c>
      <c r="Q24" s="27" t="s">
        <v>533</v>
      </c>
      <c r="R24" s="27" t="s">
        <v>534</v>
      </c>
      <c r="S24" s="27" t="s">
        <v>383</v>
      </c>
    </row>
    <row r="25" spans="1:19" x14ac:dyDescent="0.25">
      <c r="A25" s="27" t="s">
        <v>1396</v>
      </c>
      <c r="B25" s="27" t="str">
        <f t="shared" si="0"/>
        <v>Texas</v>
      </c>
      <c r="C25" s="27" t="str">
        <f t="shared" si="1"/>
        <v>Calhoun</v>
      </c>
      <c r="D25" s="27">
        <v>12299</v>
      </c>
      <c r="E25" s="27">
        <v>7</v>
      </c>
      <c r="F25" s="27">
        <v>680</v>
      </c>
      <c r="G25" s="26">
        <f t="shared" si="2"/>
        <v>97.142857142857139</v>
      </c>
      <c r="H25" s="27">
        <v>1497</v>
      </c>
      <c r="I25" s="10">
        <v>163</v>
      </c>
      <c r="J25" s="28">
        <f t="shared" si="3"/>
        <v>44.029411764705884</v>
      </c>
      <c r="K25" s="2">
        <v>1672</v>
      </c>
      <c r="L25" s="27">
        <v>5</v>
      </c>
      <c r="M25" s="2">
        <v>2305</v>
      </c>
      <c r="N25" s="27">
        <v>1905</v>
      </c>
      <c r="O25" s="27" t="s">
        <v>1965</v>
      </c>
      <c r="P25" s="27" t="s">
        <v>532</v>
      </c>
      <c r="Q25" s="27" t="s">
        <v>533</v>
      </c>
      <c r="R25" s="27" t="s">
        <v>534</v>
      </c>
      <c r="S25" s="27" t="s">
        <v>383</v>
      </c>
    </row>
    <row r="26" spans="1:19" x14ac:dyDescent="0.25">
      <c r="A26" s="27" t="s">
        <v>1397</v>
      </c>
      <c r="B26" s="27" t="str">
        <f t="shared" si="0"/>
        <v>Texas</v>
      </c>
      <c r="C26" s="27" t="str">
        <f t="shared" si="1"/>
        <v>Callahan</v>
      </c>
      <c r="D26" s="27">
        <v>122715</v>
      </c>
      <c r="E26" s="27">
        <v>51</v>
      </c>
      <c r="F26" s="27">
        <v>4348</v>
      </c>
      <c r="G26" s="26">
        <f t="shared" si="2"/>
        <v>85.254901960784309</v>
      </c>
      <c r="H26" s="27">
        <v>11490.75</v>
      </c>
      <c r="I26" s="10">
        <v>2110</v>
      </c>
      <c r="J26" s="28">
        <f t="shared" si="3"/>
        <v>52.855335786568538</v>
      </c>
      <c r="K26" s="2">
        <v>13007</v>
      </c>
      <c r="L26" s="27">
        <v>37</v>
      </c>
      <c r="M26" s="2">
        <v>12120</v>
      </c>
      <c r="N26" s="27">
        <v>1905</v>
      </c>
      <c r="O26" s="27" t="s">
        <v>1965</v>
      </c>
      <c r="P26" s="27" t="s">
        <v>532</v>
      </c>
      <c r="Q26" s="27" t="s">
        <v>533</v>
      </c>
      <c r="R26" s="27" t="s">
        <v>534</v>
      </c>
      <c r="S26" s="27" t="s">
        <v>383</v>
      </c>
    </row>
    <row r="27" spans="1:19" x14ac:dyDescent="0.25">
      <c r="A27" s="27" t="s">
        <v>1400</v>
      </c>
      <c r="B27" s="27" t="str">
        <f t="shared" si="0"/>
        <v>Texas</v>
      </c>
      <c r="C27" s="27" t="str">
        <f t="shared" si="1"/>
        <v>Carson</v>
      </c>
      <c r="D27" s="27">
        <v>18958</v>
      </c>
      <c r="E27" s="27">
        <v>9</v>
      </c>
      <c r="F27" s="27">
        <v>910</v>
      </c>
      <c r="G27" s="26">
        <f t="shared" si="2"/>
        <v>101.11111111111111</v>
      </c>
      <c r="H27" s="27">
        <v>2896.5</v>
      </c>
      <c r="I27" s="10">
        <v>220</v>
      </c>
      <c r="J27" s="28">
        <f t="shared" si="3"/>
        <v>63.659340659340657</v>
      </c>
      <c r="K27" s="2">
        <v>4017</v>
      </c>
      <c r="L27" s="27">
        <v>7</v>
      </c>
      <c r="M27" s="2">
        <v>3750</v>
      </c>
      <c r="N27" s="27">
        <v>1905</v>
      </c>
      <c r="O27" s="27" t="s">
        <v>1965</v>
      </c>
      <c r="P27" s="27" t="s">
        <v>532</v>
      </c>
      <c r="Q27" s="27" t="s">
        <v>533</v>
      </c>
      <c r="R27" s="27" t="s">
        <v>534</v>
      </c>
      <c r="S27" s="27" t="s">
        <v>383</v>
      </c>
    </row>
    <row r="28" spans="1:19" x14ac:dyDescent="0.25">
      <c r="A28" s="27" t="s">
        <v>1790</v>
      </c>
      <c r="B28" s="27" t="str">
        <f t="shared" si="0"/>
        <v>Texas</v>
      </c>
      <c r="C28" s="27" t="str">
        <f t="shared" si="1"/>
        <v>Cass/Davis</v>
      </c>
      <c r="D28" s="27">
        <v>344651</v>
      </c>
      <c r="E28" s="27">
        <v>120</v>
      </c>
      <c r="F28" s="27">
        <v>12897</v>
      </c>
      <c r="G28" s="26">
        <f t="shared" si="2"/>
        <v>107.47499999999999</v>
      </c>
      <c r="H28" s="27">
        <v>30231.07</v>
      </c>
      <c r="I28" s="10">
        <v>5595</v>
      </c>
      <c r="J28" s="28">
        <f t="shared" si="3"/>
        <v>46.880778475614484</v>
      </c>
      <c r="K28" s="2">
        <v>30831</v>
      </c>
      <c r="L28" s="27">
        <v>91</v>
      </c>
      <c r="M28" s="2">
        <v>17540</v>
      </c>
      <c r="N28" s="27">
        <v>1905</v>
      </c>
      <c r="O28" s="27" t="s">
        <v>1965</v>
      </c>
      <c r="P28" s="27" t="s">
        <v>532</v>
      </c>
      <c r="Q28" s="27" t="s">
        <v>533</v>
      </c>
      <c r="R28" s="27" t="s">
        <v>534</v>
      </c>
      <c r="S28" s="27" t="s">
        <v>383</v>
      </c>
    </row>
    <row r="29" spans="1:19" x14ac:dyDescent="0.25">
      <c r="A29" s="27" t="s">
        <v>1401</v>
      </c>
      <c r="B29" s="27" t="str">
        <f t="shared" si="0"/>
        <v>Texas</v>
      </c>
      <c r="C29" s="27" t="str">
        <f t="shared" si="1"/>
        <v>Castro</v>
      </c>
      <c r="D29" s="27">
        <v>23633</v>
      </c>
      <c r="E29" s="27">
        <v>11</v>
      </c>
      <c r="F29" s="27">
        <v>1257</v>
      </c>
      <c r="G29" s="26">
        <f t="shared" si="2"/>
        <v>114.27272727272727</v>
      </c>
      <c r="H29" s="27">
        <v>2897.2</v>
      </c>
      <c r="I29" s="10">
        <v>328</v>
      </c>
      <c r="J29" s="28">
        <f t="shared" si="3"/>
        <v>46.097056483691333</v>
      </c>
      <c r="K29" s="2">
        <v>3219</v>
      </c>
      <c r="L29" s="27">
        <v>10</v>
      </c>
      <c r="M29" s="2">
        <v>2350</v>
      </c>
      <c r="N29" s="27">
        <v>1905</v>
      </c>
      <c r="O29" s="27" t="s">
        <v>1965</v>
      </c>
      <c r="P29" s="27" t="s">
        <v>532</v>
      </c>
      <c r="Q29" s="27" t="s">
        <v>533</v>
      </c>
      <c r="R29" s="27" t="s">
        <v>534</v>
      </c>
      <c r="S29" s="27" t="s">
        <v>383</v>
      </c>
    </row>
    <row r="30" spans="1:19" x14ac:dyDescent="0.25">
      <c r="A30" s="27" t="s">
        <v>1402</v>
      </c>
      <c r="B30" s="27" t="str">
        <f t="shared" si="0"/>
        <v>Texas</v>
      </c>
      <c r="C30" s="27" t="str">
        <f t="shared" si="1"/>
        <v>Chambers</v>
      </c>
      <c r="D30" s="27">
        <v>55099</v>
      </c>
      <c r="E30" s="27">
        <v>24</v>
      </c>
      <c r="F30" s="27">
        <v>2431</v>
      </c>
      <c r="G30" s="26">
        <f t="shared" si="2"/>
        <v>101.29166666666667</v>
      </c>
      <c r="H30" s="27">
        <v>4910.3599999999997</v>
      </c>
      <c r="I30" s="10">
        <v>814</v>
      </c>
      <c r="J30" s="28">
        <f t="shared" si="3"/>
        <v>40.397860962566845</v>
      </c>
      <c r="K30" s="2">
        <v>5102</v>
      </c>
      <c r="L30" s="27">
        <v>21</v>
      </c>
      <c r="M30" s="2">
        <v>2865</v>
      </c>
      <c r="N30" s="27">
        <v>1905</v>
      </c>
      <c r="O30" s="27" t="s">
        <v>1965</v>
      </c>
      <c r="P30" s="27" t="s">
        <v>532</v>
      </c>
      <c r="Q30" s="27" t="s">
        <v>533</v>
      </c>
      <c r="R30" s="27" t="s">
        <v>534</v>
      </c>
      <c r="S30" s="27" t="s">
        <v>383</v>
      </c>
    </row>
    <row r="31" spans="1:19" x14ac:dyDescent="0.25">
      <c r="A31" s="27" t="s">
        <v>1403</v>
      </c>
      <c r="B31" s="27" t="str">
        <f t="shared" si="0"/>
        <v>Texas</v>
      </c>
      <c r="C31" s="27" t="str">
        <f t="shared" si="1"/>
        <v>Cherokee</v>
      </c>
      <c r="D31" s="27">
        <v>423882</v>
      </c>
      <c r="E31" s="27">
        <v>128</v>
      </c>
      <c r="F31" s="27">
        <v>13174</v>
      </c>
      <c r="G31" s="26">
        <f t="shared" si="2"/>
        <v>102.921875</v>
      </c>
      <c r="H31" s="27">
        <v>32963.550000000003</v>
      </c>
      <c r="I31" s="10">
        <v>6765</v>
      </c>
      <c r="J31" s="28">
        <f t="shared" si="3"/>
        <v>50.043342948231363</v>
      </c>
      <c r="K31" s="2">
        <v>34424</v>
      </c>
      <c r="L31" s="27">
        <v>118</v>
      </c>
      <c r="M31" s="2">
        <v>39279</v>
      </c>
      <c r="N31" s="27">
        <v>1905</v>
      </c>
      <c r="O31" s="27" t="s">
        <v>1965</v>
      </c>
      <c r="P31" s="27" t="s">
        <v>532</v>
      </c>
      <c r="Q31" s="27" t="s">
        <v>533</v>
      </c>
      <c r="R31" s="27" t="s">
        <v>534</v>
      </c>
      <c r="S31" s="27" t="s">
        <v>383</v>
      </c>
    </row>
    <row r="32" spans="1:19" x14ac:dyDescent="0.25">
      <c r="A32" s="27" t="s">
        <v>1404</v>
      </c>
      <c r="B32" s="27" t="str">
        <f t="shared" si="0"/>
        <v>Texas</v>
      </c>
      <c r="C32" s="27" t="str">
        <f t="shared" si="1"/>
        <v>Childress</v>
      </c>
      <c r="D32" s="27">
        <v>20218</v>
      </c>
      <c r="E32" s="27">
        <v>13</v>
      </c>
      <c r="F32" s="27">
        <v>1279</v>
      </c>
      <c r="G32" s="26">
        <f t="shared" si="2"/>
        <v>98.384615384615387</v>
      </c>
      <c r="H32" s="27">
        <v>3160</v>
      </c>
      <c r="I32" s="10">
        <v>373</v>
      </c>
      <c r="J32" s="28">
        <f t="shared" si="3"/>
        <v>49.413604378420636</v>
      </c>
      <c r="K32" s="2">
        <v>5436</v>
      </c>
      <c r="L32" s="27">
        <v>12</v>
      </c>
      <c r="M32" s="2">
        <v>4975</v>
      </c>
      <c r="N32" s="27">
        <v>1905</v>
      </c>
      <c r="O32" s="27" t="s">
        <v>1965</v>
      </c>
      <c r="P32" s="27" t="s">
        <v>532</v>
      </c>
      <c r="Q32" s="27" t="s">
        <v>533</v>
      </c>
      <c r="R32" s="27" t="s">
        <v>534</v>
      </c>
      <c r="S32" s="27" t="s">
        <v>383</v>
      </c>
    </row>
    <row r="33" spans="1:19" x14ac:dyDescent="0.25">
      <c r="A33" s="27" t="s">
        <v>1405</v>
      </c>
      <c r="B33" s="27" t="str">
        <f t="shared" si="0"/>
        <v>Texas</v>
      </c>
      <c r="C33" s="27" t="str">
        <f t="shared" si="1"/>
        <v>Clay</v>
      </c>
      <c r="D33" s="27">
        <v>102766</v>
      </c>
      <c r="E33" s="2">
        <v>45</v>
      </c>
      <c r="F33" s="27">
        <v>4635</v>
      </c>
      <c r="G33" s="26">
        <f t="shared" si="2"/>
        <v>103</v>
      </c>
      <c r="H33" s="27">
        <v>11065.76</v>
      </c>
      <c r="I33" s="10">
        <v>1751</v>
      </c>
      <c r="J33" s="28">
        <f t="shared" si="3"/>
        <v>47.748694714131602</v>
      </c>
      <c r="K33" s="2">
        <v>13440</v>
      </c>
      <c r="L33" s="27">
        <v>40</v>
      </c>
      <c r="M33" s="2">
        <v>17788</v>
      </c>
      <c r="N33" s="27">
        <v>1905</v>
      </c>
      <c r="O33" s="27" t="s">
        <v>1965</v>
      </c>
      <c r="P33" s="27" t="s">
        <v>532</v>
      </c>
      <c r="Q33" s="27" t="s">
        <v>533</v>
      </c>
      <c r="R33" s="27" t="s">
        <v>534</v>
      </c>
      <c r="S33" s="27" t="s">
        <v>383</v>
      </c>
    </row>
    <row r="34" spans="1:19" x14ac:dyDescent="0.25">
      <c r="A34" s="27" t="s">
        <v>1406</v>
      </c>
      <c r="B34" s="27" t="str">
        <f t="shared" si="0"/>
        <v>Texas</v>
      </c>
      <c r="C34" s="27" t="str">
        <f t="shared" si="1"/>
        <v>Coke</v>
      </c>
      <c r="D34" s="27">
        <v>69149</v>
      </c>
      <c r="E34" s="27">
        <v>29</v>
      </c>
      <c r="F34" s="27">
        <v>2996</v>
      </c>
      <c r="G34" s="26">
        <f t="shared" si="2"/>
        <v>103.31034482758621</v>
      </c>
      <c r="H34" s="27">
        <v>6911.65</v>
      </c>
      <c r="I34" s="10">
        <v>1107</v>
      </c>
      <c r="J34" s="28">
        <f t="shared" si="3"/>
        <v>46.13918558077436</v>
      </c>
      <c r="K34" s="2">
        <v>7826</v>
      </c>
      <c r="L34" s="27">
        <v>24</v>
      </c>
      <c r="M34" s="2">
        <v>10700</v>
      </c>
      <c r="N34" s="27">
        <v>1905</v>
      </c>
      <c r="O34" s="27" t="s">
        <v>1965</v>
      </c>
      <c r="P34" s="27" t="s">
        <v>532</v>
      </c>
      <c r="Q34" s="27" t="s">
        <v>533</v>
      </c>
      <c r="R34" s="27" t="s">
        <v>534</v>
      </c>
      <c r="S34" s="27" t="s">
        <v>383</v>
      </c>
    </row>
    <row r="35" spans="1:19" x14ac:dyDescent="0.25">
      <c r="A35" s="27" t="s">
        <v>1407</v>
      </c>
      <c r="B35" s="27" t="str">
        <f t="shared" si="0"/>
        <v>Texas</v>
      </c>
      <c r="C35" s="27" t="str">
        <f t="shared" si="1"/>
        <v>Coleman</v>
      </c>
      <c r="D35" s="27">
        <v>209315</v>
      </c>
      <c r="E35" s="27">
        <v>57</v>
      </c>
      <c r="F35" s="27">
        <v>9120</v>
      </c>
      <c r="G35" s="26">
        <f t="shared" si="2"/>
        <v>160</v>
      </c>
      <c r="H35" s="27">
        <v>19535.169999999998</v>
      </c>
      <c r="I35" s="10">
        <v>2924</v>
      </c>
      <c r="J35" s="28">
        <f t="shared" si="3"/>
        <v>42.840285087719295</v>
      </c>
      <c r="K35" s="2">
        <v>2248</v>
      </c>
      <c r="L35" s="27">
        <v>55</v>
      </c>
      <c r="M35" s="2">
        <v>32418</v>
      </c>
      <c r="N35" s="27">
        <v>1905</v>
      </c>
      <c r="O35" s="27" t="s">
        <v>1965</v>
      </c>
      <c r="P35" s="27" t="s">
        <v>532</v>
      </c>
      <c r="Q35" s="27" t="s">
        <v>533</v>
      </c>
      <c r="R35" s="27" t="s">
        <v>534</v>
      </c>
      <c r="S35" s="27" t="s">
        <v>383</v>
      </c>
    </row>
    <row r="36" spans="1:19" x14ac:dyDescent="0.25">
      <c r="A36" s="27" t="s">
        <v>1408</v>
      </c>
      <c r="B36" s="27" t="str">
        <f t="shared" si="0"/>
        <v>Texas</v>
      </c>
      <c r="C36" s="27" t="str">
        <f t="shared" si="1"/>
        <v>Collin</v>
      </c>
      <c r="D36" s="27">
        <v>617924</v>
      </c>
      <c r="E36" s="2">
        <v>184</v>
      </c>
      <c r="F36" s="27">
        <v>15018</v>
      </c>
      <c r="G36" s="26">
        <f t="shared" si="2"/>
        <v>81.619565217391298</v>
      </c>
      <c r="H36" s="27">
        <v>52093.36</v>
      </c>
      <c r="I36" s="10">
        <v>10402</v>
      </c>
      <c r="J36" s="28">
        <f t="shared" si="3"/>
        <v>69.374563856705294</v>
      </c>
      <c r="K36" s="2">
        <v>55647</v>
      </c>
      <c r="L36" s="27">
        <v>179</v>
      </c>
      <c r="M36" s="2">
        <v>91865</v>
      </c>
      <c r="N36" s="27">
        <v>1905</v>
      </c>
      <c r="O36" s="27" t="s">
        <v>1965</v>
      </c>
      <c r="P36" s="27" t="s">
        <v>532</v>
      </c>
      <c r="Q36" s="27" t="s">
        <v>533</v>
      </c>
      <c r="R36" s="27" t="s">
        <v>534</v>
      </c>
      <c r="S36" s="27" t="s">
        <v>383</v>
      </c>
    </row>
    <row r="37" spans="1:19" x14ac:dyDescent="0.25">
      <c r="A37" s="27" t="s">
        <v>1409</v>
      </c>
      <c r="B37" s="27" t="str">
        <f t="shared" si="0"/>
        <v>Texas</v>
      </c>
      <c r="C37" s="27" t="str">
        <f t="shared" si="1"/>
        <v>Collingsworth</v>
      </c>
      <c r="D37" s="27">
        <v>35159</v>
      </c>
      <c r="E37" s="27">
        <v>20</v>
      </c>
      <c r="F37" s="27">
        <v>1915</v>
      </c>
      <c r="G37" s="26">
        <f t="shared" si="2"/>
        <v>95.75</v>
      </c>
      <c r="H37" s="27">
        <v>5142.3500000000004</v>
      </c>
      <c r="I37" s="10">
        <v>680</v>
      </c>
      <c r="J37" s="28">
        <f t="shared" si="3"/>
        <v>53.706005221932124</v>
      </c>
      <c r="K37" s="2">
        <v>6623</v>
      </c>
      <c r="L37" s="27">
        <v>18</v>
      </c>
      <c r="M37" s="2">
        <v>7700</v>
      </c>
      <c r="N37" s="27">
        <v>1905</v>
      </c>
      <c r="O37" s="27" t="s">
        <v>1965</v>
      </c>
      <c r="P37" s="27" t="s">
        <v>532</v>
      </c>
      <c r="Q37" s="27" t="s">
        <v>533</v>
      </c>
      <c r="R37" s="27" t="s">
        <v>534</v>
      </c>
      <c r="S37" s="27" t="s">
        <v>383</v>
      </c>
    </row>
    <row r="38" spans="1:19" x14ac:dyDescent="0.25">
      <c r="A38" s="27" t="s">
        <v>1410</v>
      </c>
      <c r="B38" s="27" t="str">
        <f t="shared" si="0"/>
        <v>Texas</v>
      </c>
      <c r="C38" s="27" t="str">
        <f t="shared" si="1"/>
        <v>Colorado</v>
      </c>
      <c r="D38" s="27">
        <v>239240</v>
      </c>
      <c r="E38" s="27">
        <v>96</v>
      </c>
      <c r="F38" s="27">
        <v>9679</v>
      </c>
      <c r="G38" s="26">
        <f t="shared" si="2"/>
        <v>100.82291666666667</v>
      </c>
      <c r="H38" s="27">
        <v>21526.05</v>
      </c>
      <c r="I38" s="10">
        <v>3542</v>
      </c>
      <c r="J38" s="28">
        <f t="shared" si="3"/>
        <v>44.479904948858348</v>
      </c>
      <c r="K38" s="2">
        <v>22123</v>
      </c>
      <c r="L38" s="27">
        <v>76</v>
      </c>
      <c r="M38" s="2">
        <v>25313</v>
      </c>
      <c r="N38" s="27">
        <v>1905</v>
      </c>
      <c r="O38" s="27" t="s">
        <v>1965</v>
      </c>
      <c r="P38" s="27" t="s">
        <v>532</v>
      </c>
      <c r="Q38" s="27" t="s">
        <v>533</v>
      </c>
      <c r="R38" s="27" t="s">
        <v>534</v>
      </c>
      <c r="S38" s="27" t="s">
        <v>383</v>
      </c>
    </row>
    <row r="39" spans="1:19" x14ac:dyDescent="0.25">
      <c r="A39" s="27" t="s">
        <v>1411</v>
      </c>
      <c r="B39" s="27" t="str">
        <f t="shared" si="0"/>
        <v>Texas</v>
      </c>
      <c r="C39" s="27" t="str">
        <f t="shared" si="1"/>
        <v>Comal</v>
      </c>
      <c r="D39" s="27">
        <v>84193</v>
      </c>
      <c r="E39" s="27">
        <v>27</v>
      </c>
      <c r="F39" s="27">
        <v>4456</v>
      </c>
      <c r="G39" s="26">
        <f t="shared" si="2"/>
        <v>165.03703703703704</v>
      </c>
      <c r="H39" s="27">
        <v>8905.1299999999992</v>
      </c>
      <c r="I39" s="10">
        <v>708</v>
      </c>
      <c r="J39" s="28">
        <f t="shared" si="3"/>
        <v>39.96916517055655</v>
      </c>
      <c r="K39" s="2">
        <v>9533</v>
      </c>
      <c r="L39" s="27">
        <v>28</v>
      </c>
      <c r="M39" s="2">
        <v>12240</v>
      </c>
      <c r="N39" s="27">
        <v>1905</v>
      </c>
      <c r="O39" s="27" t="s">
        <v>1965</v>
      </c>
      <c r="P39" s="27" t="s">
        <v>532</v>
      </c>
      <c r="Q39" s="27" t="s">
        <v>533</v>
      </c>
      <c r="R39" s="27" t="s">
        <v>534</v>
      </c>
      <c r="S39" s="27" t="s">
        <v>383</v>
      </c>
    </row>
    <row r="40" spans="1:19" x14ac:dyDescent="0.25">
      <c r="A40" s="27" t="s">
        <v>1412</v>
      </c>
      <c r="B40" s="27" t="str">
        <f t="shared" si="0"/>
        <v>Texas</v>
      </c>
      <c r="C40" s="27" t="str">
        <f t="shared" si="1"/>
        <v>Comanche</v>
      </c>
      <c r="D40" s="27">
        <v>295247</v>
      </c>
      <c r="E40" s="27">
        <v>106</v>
      </c>
      <c r="F40" s="27">
        <v>9897</v>
      </c>
      <c r="G40" s="26">
        <f t="shared" si="2"/>
        <v>93.367924528301884</v>
      </c>
      <c r="H40" s="27">
        <v>23859.19</v>
      </c>
      <c r="I40" s="10">
        <v>5420</v>
      </c>
      <c r="J40" s="28">
        <f t="shared" si="3"/>
        <v>48.214994442760435</v>
      </c>
      <c r="K40" s="2">
        <v>24707</v>
      </c>
      <c r="L40" s="27">
        <v>81</v>
      </c>
      <c r="M40" s="2">
        <v>26064</v>
      </c>
      <c r="N40" s="27">
        <v>1905</v>
      </c>
      <c r="O40" s="27" t="s">
        <v>1965</v>
      </c>
      <c r="P40" s="27" t="s">
        <v>532</v>
      </c>
      <c r="Q40" s="27" t="s">
        <v>533</v>
      </c>
      <c r="R40" s="27" t="s">
        <v>534</v>
      </c>
      <c r="S40" s="27" t="s">
        <v>383</v>
      </c>
    </row>
    <row r="41" spans="1:19" x14ac:dyDescent="0.25">
      <c r="A41" s="27" t="s">
        <v>1414</v>
      </c>
      <c r="B41" s="27" t="str">
        <f t="shared" si="0"/>
        <v>Texas</v>
      </c>
      <c r="C41" s="27" t="str">
        <f t="shared" si="1"/>
        <v>Cooke</v>
      </c>
      <c r="D41" s="27">
        <v>43249</v>
      </c>
      <c r="E41" s="27">
        <v>16</v>
      </c>
      <c r="F41" s="27">
        <v>1764</v>
      </c>
      <c r="G41" s="26">
        <f t="shared" si="2"/>
        <v>110.25</v>
      </c>
      <c r="H41" s="27">
        <v>4200.4399999999996</v>
      </c>
      <c r="I41" s="10">
        <v>4394</v>
      </c>
      <c r="J41" s="28">
        <f t="shared" si="3"/>
        <v>47.62403628117913</v>
      </c>
      <c r="K41" s="2">
        <v>5016</v>
      </c>
      <c r="L41" s="27">
        <v>13</v>
      </c>
      <c r="M41" s="2">
        <v>3897</v>
      </c>
      <c r="N41" s="27">
        <v>1905</v>
      </c>
      <c r="O41" s="27" t="s">
        <v>1965</v>
      </c>
      <c r="P41" s="27" t="s">
        <v>532</v>
      </c>
      <c r="Q41" s="27" t="s">
        <v>533</v>
      </c>
      <c r="R41" s="27" t="s">
        <v>534</v>
      </c>
      <c r="S41" s="27" t="s">
        <v>383</v>
      </c>
    </row>
    <row r="42" spans="1:19" x14ac:dyDescent="0.25">
      <c r="A42" s="27" t="s">
        <v>1413</v>
      </c>
      <c r="B42" s="27" t="str">
        <f t="shared" si="0"/>
        <v>Texas</v>
      </c>
      <c r="C42" s="27" t="str">
        <f t="shared" si="1"/>
        <v>Concho</v>
      </c>
      <c r="D42" s="27">
        <v>249092</v>
      </c>
      <c r="E42" s="27">
        <v>94</v>
      </c>
      <c r="F42" s="27">
        <v>9843</v>
      </c>
      <c r="G42" s="26">
        <f t="shared" si="2"/>
        <v>104.71276595744681</v>
      </c>
      <c r="H42" s="27">
        <v>23358.23</v>
      </c>
      <c r="I42" s="10">
        <v>683</v>
      </c>
      <c r="J42" s="28">
        <f t="shared" si="3"/>
        <v>47.461607233567008</v>
      </c>
      <c r="K42" s="2">
        <v>25433</v>
      </c>
      <c r="L42" s="27">
        <v>90</v>
      </c>
      <c r="M42" s="2">
        <v>32667</v>
      </c>
      <c r="N42" s="27">
        <v>1905</v>
      </c>
      <c r="O42" s="27" t="s">
        <v>1965</v>
      </c>
      <c r="P42" s="27" t="s">
        <v>532</v>
      </c>
      <c r="Q42" s="27" t="s">
        <v>533</v>
      </c>
      <c r="R42" s="27" t="s">
        <v>534</v>
      </c>
      <c r="S42" s="27" t="s">
        <v>383</v>
      </c>
    </row>
    <row r="43" spans="1:19" x14ac:dyDescent="0.25">
      <c r="A43" s="27" t="s">
        <v>1415</v>
      </c>
      <c r="B43" s="27" t="str">
        <f t="shared" si="0"/>
        <v>Texas</v>
      </c>
      <c r="C43" s="27" t="str">
        <f t="shared" si="1"/>
        <v>Coryell</v>
      </c>
      <c r="D43" s="27">
        <v>245156</v>
      </c>
      <c r="E43" s="27">
        <v>92</v>
      </c>
      <c r="F43" s="27">
        <v>8535</v>
      </c>
      <c r="G43" s="26">
        <f t="shared" si="2"/>
        <v>92.771739130434781</v>
      </c>
      <c r="H43" s="27">
        <v>20408</v>
      </c>
      <c r="I43" s="10">
        <v>4264</v>
      </c>
      <c r="J43" s="28">
        <f t="shared" si="3"/>
        <v>47.821909783245459</v>
      </c>
      <c r="K43" s="2">
        <v>21342</v>
      </c>
      <c r="L43" s="27">
        <v>84</v>
      </c>
      <c r="M43" s="2">
        <v>19310</v>
      </c>
      <c r="N43" s="27">
        <v>1905</v>
      </c>
      <c r="O43" s="27" t="s">
        <v>1965</v>
      </c>
      <c r="P43" s="27" t="s">
        <v>532</v>
      </c>
      <c r="Q43" s="27" t="s">
        <v>533</v>
      </c>
      <c r="R43" s="27" t="s">
        <v>534</v>
      </c>
      <c r="S43" s="27" t="s">
        <v>383</v>
      </c>
    </row>
    <row r="44" spans="1:19" x14ac:dyDescent="0.25">
      <c r="A44" s="27" t="s">
        <v>1416</v>
      </c>
      <c r="B44" s="27" t="str">
        <f t="shared" si="0"/>
        <v>Texas</v>
      </c>
      <c r="C44" s="27" t="str">
        <f t="shared" si="1"/>
        <v>Cottle</v>
      </c>
      <c r="D44" s="27">
        <v>25384</v>
      </c>
      <c r="E44" s="27">
        <v>10</v>
      </c>
      <c r="F44" s="27">
        <v>1331</v>
      </c>
      <c r="G44" s="26">
        <f t="shared" si="2"/>
        <v>133.1</v>
      </c>
      <c r="H44" s="27">
        <v>3792.5</v>
      </c>
      <c r="I44" s="10">
        <v>330</v>
      </c>
      <c r="J44" s="28">
        <f t="shared" si="3"/>
        <v>56.987227648384682</v>
      </c>
      <c r="K44" s="2">
        <v>5272</v>
      </c>
      <c r="L44" s="27">
        <v>8</v>
      </c>
      <c r="M44" s="2">
        <v>5880</v>
      </c>
      <c r="N44" s="27">
        <v>1905</v>
      </c>
      <c r="O44" s="27" t="s">
        <v>1965</v>
      </c>
      <c r="P44" s="27" t="s">
        <v>532</v>
      </c>
      <c r="Q44" s="27" t="s">
        <v>533</v>
      </c>
      <c r="R44" s="27" t="s">
        <v>534</v>
      </c>
      <c r="S44" s="27" t="s">
        <v>383</v>
      </c>
    </row>
    <row r="45" spans="1:19" x14ac:dyDescent="0.25">
      <c r="A45" s="27" t="s">
        <v>1418</v>
      </c>
      <c r="B45" s="27" t="str">
        <f t="shared" si="0"/>
        <v>Texas</v>
      </c>
      <c r="C45" s="27" t="str">
        <f t="shared" si="1"/>
        <v>Crockett</v>
      </c>
      <c r="D45" s="27"/>
      <c r="E45" s="27"/>
      <c r="F45" s="27"/>
      <c r="G45" s="26"/>
      <c r="H45" s="27"/>
      <c r="I45" s="10"/>
      <c r="J45" s="28"/>
      <c r="K45" s="2"/>
      <c r="L45" s="27"/>
      <c r="M45" s="27"/>
      <c r="N45" s="27">
        <v>1905</v>
      </c>
      <c r="O45" s="27" t="s">
        <v>1965</v>
      </c>
      <c r="P45" s="27" t="s">
        <v>532</v>
      </c>
      <c r="Q45" s="27" t="s">
        <v>533</v>
      </c>
      <c r="R45" s="27" t="s">
        <v>534</v>
      </c>
      <c r="S45" s="27" t="s">
        <v>383</v>
      </c>
    </row>
    <row r="46" spans="1:19" x14ac:dyDescent="0.25">
      <c r="A46" s="27" t="s">
        <v>1419</v>
      </c>
      <c r="B46" s="27" t="str">
        <f t="shared" si="0"/>
        <v>Texas</v>
      </c>
      <c r="C46" s="27" t="str">
        <f t="shared" si="1"/>
        <v>Crosby</v>
      </c>
      <c r="D46" s="27">
        <v>25928</v>
      </c>
      <c r="E46" s="27">
        <v>13</v>
      </c>
      <c r="F46" s="27">
        <v>1434</v>
      </c>
      <c r="G46" s="26">
        <f>F46/E46</f>
        <v>110.30769230769231</v>
      </c>
      <c r="H46" s="27">
        <v>3475.75</v>
      </c>
      <c r="I46" s="10">
        <v>318</v>
      </c>
      <c r="J46" s="28">
        <f>H46/E46/(G46/20)</f>
        <v>48.476290097629018</v>
      </c>
      <c r="K46" s="2">
        <v>4583</v>
      </c>
      <c r="L46" s="27">
        <v>10</v>
      </c>
      <c r="M46" s="2">
        <v>3900</v>
      </c>
      <c r="N46" s="27">
        <v>1905</v>
      </c>
      <c r="O46" s="27" t="s">
        <v>1965</v>
      </c>
      <c r="P46" s="27" t="s">
        <v>532</v>
      </c>
      <c r="Q46" s="27" t="s">
        <v>533</v>
      </c>
      <c r="R46" s="27" t="s">
        <v>534</v>
      </c>
      <c r="S46" s="27" t="s">
        <v>383</v>
      </c>
    </row>
    <row r="47" spans="1:19" x14ac:dyDescent="0.25">
      <c r="A47" s="27" t="s">
        <v>1421</v>
      </c>
      <c r="B47" s="27" t="str">
        <f t="shared" si="0"/>
        <v>Texas</v>
      </c>
      <c r="C47" s="27" t="str">
        <f t="shared" si="1"/>
        <v>Dallam</v>
      </c>
      <c r="D47" s="27">
        <v>6144</v>
      </c>
      <c r="E47" s="27">
        <v>3</v>
      </c>
      <c r="F47" s="27">
        <v>413</v>
      </c>
      <c r="G47" s="26">
        <f>F47/E47</f>
        <v>137.66666666666666</v>
      </c>
      <c r="H47" s="27">
        <v>1222.5</v>
      </c>
      <c r="I47" s="10">
        <v>61</v>
      </c>
      <c r="J47" s="28">
        <f>H47/E47/(G47/20)</f>
        <v>59.200968523002423</v>
      </c>
      <c r="K47" s="2">
        <v>2033</v>
      </c>
      <c r="L47" s="27">
        <v>4</v>
      </c>
      <c r="M47" s="2">
        <v>1510</v>
      </c>
      <c r="N47" s="27">
        <v>1905</v>
      </c>
      <c r="O47" s="27" t="s">
        <v>1965</v>
      </c>
      <c r="P47" s="27" t="s">
        <v>532</v>
      </c>
      <c r="Q47" s="27" t="s">
        <v>533</v>
      </c>
      <c r="R47" s="27" t="s">
        <v>534</v>
      </c>
      <c r="S47" s="27" t="s">
        <v>383</v>
      </c>
    </row>
    <row r="48" spans="1:19" x14ac:dyDescent="0.25">
      <c r="A48" s="27" t="s">
        <v>1422</v>
      </c>
      <c r="B48" s="27" t="str">
        <f t="shared" si="0"/>
        <v>Texas</v>
      </c>
      <c r="C48" s="27" t="str">
        <f t="shared" si="1"/>
        <v>Dallas</v>
      </c>
      <c r="D48" s="27">
        <v>521829</v>
      </c>
      <c r="E48" s="27">
        <v>167</v>
      </c>
      <c r="F48" s="27">
        <v>18547</v>
      </c>
      <c r="G48" s="26">
        <f>F48/E48</f>
        <v>111.05988023952096</v>
      </c>
      <c r="H48" s="27">
        <v>44317.5</v>
      </c>
      <c r="I48" s="10">
        <v>8662</v>
      </c>
      <c r="J48" s="28">
        <f>H48/E48/(G48/20)</f>
        <v>47.789399902949263</v>
      </c>
      <c r="K48" s="2">
        <v>51912</v>
      </c>
      <c r="L48" s="27">
        <v>125</v>
      </c>
      <c r="M48" s="2">
        <v>83695</v>
      </c>
      <c r="N48" s="27">
        <v>1905</v>
      </c>
      <c r="O48" s="27" t="s">
        <v>1965</v>
      </c>
      <c r="P48" s="27" t="s">
        <v>532</v>
      </c>
      <c r="Q48" s="27" t="s">
        <v>533</v>
      </c>
      <c r="R48" s="27" t="s">
        <v>534</v>
      </c>
      <c r="S48" s="27" t="s">
        <v>383</v>
      </c>
    </row>
    <row r="49" spans="1:19" x14ac:dyDescent="0.25">
      <c r="A49" s="27" t="s">
        <v>1423</v>
      </c>
      <c r="B49" s="27" t="str">
        <f t="shared" si="0"/>
        <v>Texas</v>
      </c>
      <c r="C49" s="27" t="str">
        <f t="shared" si="1"/>
        <v>Dawson</v>
      </c>
      <c r="D49" s="27"/>
      <c r="E49" s="27"/>
      <c r="F49" s="27"/>
      <c r="G49" s="26"/>
      <c r="H49" s="27"/>
      <c r="I49" s="10"/>
      <c r="J49" s="28"/>
      <c r="K49" s="2"/>
      <c r="L49" s="27"/>
      <c r="M49" s="27"/>
      <c r="N49" s="27">
        <v>1905</v>
      </c>
      <c r="O49" s="27" t="s">
        <v>1965</v>
      </c>
      <c r="P49" s="27" t="s">
        <v>532</v>
      </c>
      <c r="Q49" s="27" t="s">
        <v>533</v>
      </c>
      <c r="R49" s="27" t="s">
        <v>534</v>
      </c>
      <c r="S49" s="27" t="s">
        <v>383</v>
      </c>
    </row>
    <row r="50" spans="1:19" x14ac:dyDescent="0.25">
      <c r="A50" s="27" t="s">
        <v>1424</v>
      </c>
      <c r="B50" s="27" t="str">
        <f t="shared" si="0"/>
        <v>Texas</v>
      </c>
      <c r="C50" s="27" t="str">
        <f t="shared" si="1"/>
        <v>Deaf Smith</v>
      </c>
      <c r="D50" s="27">
        <v>44056</v>
      </c>
      <c r="E50" s="27">
        <v>10</v>
      </c>
      <c r="F50" s="27">
        <v>1371</v>
      </c>
      <c r="G50" s="26">
        <f t="shared" ref="G50:G113" si="4">F50/E50</f>
        <v>137.1</v>
      </c>
      <c r="H50" s="27">
        <v>3763</v>
      </c>
      <c r="I50" s="10">
        <v>447</v>
      </c>
      <c r="J50" s="28">
        <f t="shared" ref="J50:J113" si="5">H50/E50/(G50/20)</f>
        <v>54.894237782640417</v>
      </c>
      <c r="K50" s="2">
        <v>5104</v>
      </c>
      <c r="L50" s="27">
        <v>12</v>
      </c>
      <c r="M50" s="2">
        <v>9100</v>
      </c>
      <c r="N50" s="27">
        <v>1905</v>
      </c>
      <c r="O50" s="27" t="s">
        <v>1965</v>
      </c>
      <c r="P50" s="27" t="s">
        <v>532</v>
      </c>
      <c r="Q50" s="27" t="s">
        <v>533</v>
      </c>
      <c r="R50" s="27" t="s">
        <v>534</v>
      </c>
      <c r="S50" s="27" t="s">
        <v>383</v>
      </c>
    </row>
    <row r="51" spans="1:19" x14ac:dyDescent="0.25">
      <c r="A51" s="27" t="s">
        <v>1425</v>
      </c>
      <c r="B51" s="27" t="str">
        <f t="shared" si="0"/>
        <v>Texas</v>
      </c>
      <c r="C51" s="27" t="str">
        <f t="shared" si="1"/>
        <v>Delta</v>
      </c>
      <c r="D51" s="27">
        <v>185846</v>
      </c>
      <c r="E51" s="27">
        <v>56</v>
      </c>
      <c r="F51" s="27">
        <v>5920</v>
      </c>
      <c r="G51" s="26">
        <f t="shared" si="4"/>
        <v>105.71428571428571</v>
      </c>
      <c r="H51" s="27">
        <v>15532.6</v>
      </c>
      <c r="I51" s="10">
        <v>3361</v>
      </c>
      <c r="J51" s="28">
        <f t="shared" si="5"/>
        <v>52.475000000000001</v>
      </c>
      <c r="K51" s="2">
        <v>15901</v>
      </c>
      <c r="L51" s="27">
        <v>41</v>
      </c>
      <c r="M51" s="2">
        <v>27643</v>
      </c>
      <c r="N51" s="27">
        <v>1905</v>
      </c>
      <c r="O51" s="27" t="s">
        <v>1965</v>
      </c>
      <c r="P51" s="27" t="s">
        <v>532</v>
      </c>
      <c r="Q51" s="27" t="s">
        <v>533</v>
      </c>
      <c r="R51" s="27" t="s">
        <v>534</v>
      </c>
      <c r="S51" s="27" t="s">
        <v>383</v>
      </c>
    </row>
    <row r="52" spans="1:19" x14ac:dyDescent="0.25">
      <c r="A52" s="27" t="s">
        <v>1426</v>
      </c>
      <c r="B52" s="27" t="str">
        <f t="shared" si="0"/>
        <v>Texas</v>
      </c>
      <c r="C52" s="27" t="str">
        <f t="shared" si="1"/>
        <v>Denton</v>
      </c>
      <c r="D52" s="27">
        <v>258907</v>
      </c>
      <c r="E52" s="27">
        <v>98</v>
      </c>
      <c r="F52" s="27">
        <v>9552</v>
      </c>
      <c r="G52" s="26">
        <f t="shared" si="4"/>
        <v>97.469387755102048</v>
      </c>
      <c r="H52" s="27">
        <v>22936.95</v>
      </c>
      <c r="I52" s="10">
        <v>4686</v>
      </c>
      <c r="J52" s="28">
        <f t="shared" si="5"/>
        <v>48.025439698492455</v>
      </c>
      <c r="K52" s="2">
        <v>24740</v>
      </c>
      <c r="L52" s="27">
        <v>83</v>
      </c>
      <c r="M52" s="2">
        <v>37493</v>
      </c>
      <c r="N52" s="27">
        <v>1905</v>
      </c>
      <c r="O52" s="27" t="s">
        <v>1965</v>
      </c>
      <c r="P52" s="27" t="s">
        <v>532</v>
      </c>
      <c r="Q52" s="27" t="s">
        <v>533</v>
      </c>
      <c r="R52" s="27" t="s">
        <v>534</v>
      </c>
      <c r="S52" s="27" t="s">
        <v>383</v>
      </c>
    </row>
    <row r="53" spans="1:19" x14ac:dyDescent="0.25">
      <c r="A53" s="27" t="s">
        <v>1428</v>
      </c>
      <c r="B53" s="27" t="str">
        <f t="shared" si="0"/>
        <v>Texas</v>
      </c>
      <c r="C53" s="27" t="str">
        <f t="shared" si="1"/>
        <v>Dickens</v>
      </c>
      <c r="D53" s="27">
        <v>24898</v>
      </c>
      <c r="E53" s="27">
        <v>14</v>
      </c>
      <c r="F53" s="27">
        <v>1530</v>
      </c>
      <c r="G53" s="26">
        <f t="shared" si="4"/>
        <v>109.28571428571429</v>
      </c>
      <c r="H53" s="27">
        <v>3512.65</v>
      </c>
      <c r="I53" s="10">
        <v>417</v>
      </c>
      <c r="J53" s="28">
        <f t="shared" si="5"/>
        <v>45.91699346405229</v>
      </c>
      <c r="K53" s="2">
        <v>4093</v>
      </c>
      <c r="L53" s="27">
        <v>12</v>
      </c>
      <c r="M53" s="2">
        <v>4400</v>
      </c>
      <c r="N53" s="27">
        <v>1905</v>
      </c>
      <c r="O53" s="27" t="s">
        <v>1965</v>
      </c>
      <c r="P53" s="27" t="s">
        <v>532</v>
      </c>
      <c r="Q53" s="27" t="s">
        <v>533</v>
      </c>
      <c r="R53" s="27" t="s">
        <v>534</v>
      </c>
      <c r="S53" s="27" t="s">
        <v>383</v>
      </c>
    </row>
    <row r="54" spans="1:19" x14ac:dyDescent="0.25">
      <c r="A54" s="27" t="s">
        <v>1429</v>
      </c>
      <c r="B54" s="27" t="str">
        <f t="shared" si="0"/>
        <v>Texas</v>
      </c>
      <c r="C54" s="27" t="str">
        <f t="shared" si="1"/>
        <v>Dimmit</v>
      </c>
      <c r="D54" s="27">
        <v>21386</v>
      </c>
      <c r="E54" s="27">
        <v>7</v>
      </c>
      <c r="F54" s="27">
        <v>905</v>
      </c>
      <c r="G54" s="26">
        <f t="shared" si="4"/>
        <v>129.28571428571428</v>
      </c>
      <c r="H54" s="27">
        <v>2254</v>
      </c>
      <c r="I54" s="10">
        <v>293</v>
      </c>
      <c r="J54" s="28">
        <f t="shared" si="5"/>
        <v>49.812154696132602</v>
      </c>
      <c r="K54" s="2">
        <v>7555</v>
      </c>
      <c r="L54" s="27">
        <v>6</v>
      </c>
      <c r="M54" s="2">
        <v>9220</v>
      </c>
      <c r="N54" s="27">
        <v>1905</v>
      </c>
      <c r="O54" s="27" t="s">
        <v>1965</v>
      </c>
      <c r="P54" s="27" t="s">
        <v>532</v>
      </c>
      <c r="Q54" s="27" t="s">
        <v>533</v>
      </c>
      <c r="R54" s="27" t="s">
        <v>534</v>
      </c>
      <c r="S54" s="27" t="s">
        <v>383</v>
      </c>
    </row>
    <row r="55" spans="1:19" x14ac:dyDescent="0.25">
      <c r="A55" s="27" t="s">
        <v>1430</v>
      </c>
      <c r="B55" s="27" t="str">
        <f t="shared" si="0"/>
        <v>Texas</v>
      </c>
      <c r="C55" s="27" t="str">
        <f t="shared" si="1"/>
        <v>Donley</v>
      </c>
      <c r="D55" s="27">
        <v>28088</v>
      </c>
      <c r="E55" s="27">
        <v>19</v>
      </c>
      <c r="F55" s="27">
        <v>2058</v>
      </c>
      <c r="G55" s="26">
        <f t="shared" si="4"/>
        <v>108.31578947368421</v>
      </c>
      <c r="H55" s="27">
        <v>4386.38</v>
      </c>
      <c r="I55" s="10">
        <v>435</v>
      </c>
      <c r="J55" s="28">
        <f t="shared" si="5"/>
        <v>42.627599611273084</v>
      </c>
      <c r="K55" s="2">
        <v>5454</v>
      </c>
      <c r="L55" s="27">
        <v>17</v>
      </c>
      <c r="M55" s="2">
        <v>5863</v>
      </c>
      <c r="N55" s="27">
        <v>1905</v>
      </c>
      <c r="O55" s="27" t="s">
        <v>1965</v>
      </c>
      <c r="P55" s="27" t="s">
        <v>532</v>
      </c>
      <c r="Q55" s="27" t="s">
        <v>533</v>
      </c>
      <c r="R55" s="27" t="s">
        <v>534</v>
      </c>
      <c r="S55" s="27" t="s">
        <v>383</v>
      </c>
    </row>
    <row r="56" spans="1:19" x14ac:dyDescent="0.25">
      <c r="A56" s="27" t="s">
        <v>1432</v>
      </c>
      <c r="B56" s="27" t="str">
        <f t="shared" si="0"/>
        <v>Texas</v>
      </c>
      <c r="C56" s="27" t="str">
        <f t="shared" si="1"/>
        <v>Eastland</v>
      </c>
      <c r="D56" s="27">
        <v>206305</v>
      </c>
      <c r="E56" s="27">
        <v>85</v>
      </c>
      <c r="F56" s="27">
        <v>7685</v>
      </c>
      <c r="G56" s="26">
        <f t="shared" si="4"/>
        <v>90.411764705882348</v>
      </c>
      <c r="H56" s="27">
        <v>21483.58</v>
      </c>
      <c r="I56" s="10">
        <v>3830</v>
      </c>
      <c r="J56" s="28">
        <f t="shared" si="5"/>
        <v>55.910422901756675</v>
      </c>
      <c r="K56" s="2">
        <v>24710</v>
      </c>
      <c r="L56" s="27">
        <v>73</v>
      </c>
      <c r="M56" s="2">
        <v>27836</v>
      </c>
      <c r="N56" s="27">
        <v>1905</v>
      </c>
      <c r="O56" s="27" t="s">
        <v>1965</v>
      </c>
      <c r="P56" s="27" t="s">
        <v>532</v>
      </c>
      <c r="Q56" s="27" t="s">
        <v>533</v>
      </c>
      <c r="R56" s="27" t="s">
        <v>534</v>
      </c>
      <c r="S56" s="27" t="s">
        <v>383</v>
      </c>
    </row>
    <row r="57" spans="1:19" x14ac:dyDescent="0.25">
      <c r="A57" s="27" t="s">
        <v>1433</v>
      </c>
      <c r="B57" s="27" t="str">
        <f t="shared" si="0"/>
        <v>Texas</v>
      </c>
      <c r="C57" s="27" t="str">
        <f t="shared" si="1"/>
        <v>Ector</v>
      </c>
      <c r="D57" s="27">
        <v>10066</v>
      </c>
      <c r="E57" s="27">
        <v>3</v>
      </c>
      <c r="F57" s="27">
        <v>356</v>
      </c>
      <c r="G57" s="26">
        <f t="shared" si="4"/>
        <v>118.66666666666667</v>
      </c>
      <c r="H57" s="27">
        <v>1350</v>
      </c>
      <c r="I57" s="10">
        <v>116</v>
      </c>
      <c r="J57" s="28">
        <f t="shared" si="5"/>
        <v>75.842696629213478</v>
      </c>
      <c r="K57" s="2">
        <v>1737</v>
      </c>
      <c r="L57" s="27">
        <v>2</v>
      </c>
      <c r="M57" s="2">
        <v>3600</v>
      </c>
      <c r="N57" s="27">
        <v>1905</v>
      </c>
      <c r="O57" s="27" t="s">
        <v>1965</v>
      </c>
      <c r="P57" s="27" t="s">
        <v>532</v>
      </c>
      <c r="Q57" s="27" t="s">
        <v>533</v>
      </c>
      <c r="R57" s="27" t="s">
        <v>534</v>
      </c>
      <c r="S57" s="27" t="s">
        <v>383</v>
      </c>
    </row>
    <row r="58" spans="1:19" x14ac:dyDescent="0.25">
      <c r="A58" s="27" t="s">
        <v>1434</v>
      </c>
      <c r="B58" s="27" t="str">
        <f t="shared" si="0"/>
        <v>Texas</v>
      </c>
      <c r="C58" s="27" t="str">
        <f t="shared" si="1"/>
        <v>Edwards</v>
      </c>
      <c r="D58" s="27">
        <v>52072</v>
      </c>
      <c r="E58" s="27">
        <v>24</v>
      </c>
      <c r="F58" s="27">
        <v>2680</v>
      </c>
      <c r="G58" s="26">
        <f t="shared" si="4"/>
        <v>111.66666666666667</v>
      </c>
      <c r="H58" s="27">
        <v>6297.56</v>
      </c>
      <c r="I58" s="10">
        <v>760</v>
      </c>
      <c r="J58" s="28">
        <f t="shared" si="5"/>
        <v>46.996716417910449</v>
      </c>
      <c r="K58" s="2">
        <v>7463</v>
      </c>
      <c r="L58" s="27">
        <v>17</v>
      </c>
      <c r="M58" s="2">
        <v>6115</v>
      </c>
      <c r="N58" s="27">
        <v>1905</v>
      </c>
      <c r="O58" s="27" t="s">
        <v>1965</v>
      </c>
      <c r="P58" s="27" t="s">
        <v>532</v>
      </c>
      <c r="Q58" s="27" t="s">
        <v>533</v>
      </c>
      <c r="R58" s="27" t="s">
        <v>534</v>
      </c>
      <c r="S58" s="27" t="s">
        <v>383</v>
      </c>
    </row>
    <row r="59" spans="1:19" x14ac:dyDescent="0.25">
      <c r="A59" s="27" t="s">
        <v>1436</v>
      </c>
      <c r="B59" s="27" t="str">
        <f t="shared" si="0"/>
        <v>Texas</v>
      </c>
      <c r="C59" s="27" t="str">
        <f t="shared" si="1"/>
        <v>Ellis</v>
      </c>
      <c r="D59" s="27">
        <v>614508</v>
      </c>
      <c r="E59" s="27">
        <v>181</v>
      </c>
      <c r="F59" s="27">
        <v>20290</v>
      </c>
      <c r="G59" s="26">
        <f t="shared" si="4"/>
        <v>112.09944751381215</v>
      </c>
      <c r="H59" s="27">
        <v>54005.22</v>
      </c>
      <c r="I59" s="10">
        <v>9952</v>
      </c>
      <c r="J59" s="28">
        <f t="shared" si="5"/>
        <v>53.233336619024151</v>
      </c>
      <c r="K59" s="2">
        <v>62373</v>
      </c>
      <c r="L59" s="27">
        <v>129</v>
      </c>
      <c r="M59" s="2">
        <v>145200</v>
      </c>
      <c r="N59" s="27">
        <v>1905</v>
      </c>
      <c r="O59" s="27" t="s">
        <v>1965</v>
      </c>
      <c r="P59" s="27" t="s">
        <v>532</v>
      </c>
      <c r="Q59" s="27" t="s">
        <v>533</v>
      </c>
      <c r="R59" s="27" t="s">
        <v>534</v>
      </c>
      <c r="S59" s="27" t="s">
        <v>383</v>
      </c>
    </row>
    <row r="60" spans="1:19" x14ac:dyDescent="0.25">
      <c r="A60" s="27" t="s">
        <v>1435</v>
      </c>
      <c r="B60" s="27" t="str">
        <f t="shared" si="0"/>
        <v>Texas</v>
      </c>
      <c r="C60" s="27" t="str">
        <f t="shared" si="1"/>
        <v>El Paso</v>
      </c>
      <c r="D60" s="27">
        <v>68722</v>
      </c>
      <c r="E60" s="27">
        <v>19</v>
      </c>
      <c r="F60" s="27">
        <v>3053</v>
      </c>
      <c r="G60" s="26">
        <f t="shared" si="4"/>
        <v>160.68421052631578</v>
      </c>
      <c r="H60" s="27">
        <v>8973</v>
      </c>
      <c r="I60" s="10">
        <v>961</v>
      </c>
      <c r="J60" s="28">
        <f t="shared" si="5"/>
        <v>58.781526367507368</v>
      </c>
      <c r="K60" s="2">
        <v>12111</v>
      </c>
      <c r="L60" s="27">
        <v>15</v>
      </c>
      <c r="M60" s="2">
        <v>6595</v>
      </c>
      <c r="N60" s="27">
        <v>1905</v>
      </c>
      <c r="O60" s="27" t="s">
        <v>1965</v>
      </c>
      <c r="P60" s="27" t="s">
        <v>532</v>
      </c>
      <c r="Q60" s="27" t="s">
        <v>533</v>
      </c>
      <c r="R60" s="27" t="s">
        <v>534</v>
      </c>
      <c r="S60" s="27" t="s">
        <v>383</v>
      </c>
    </row>
    <row r="61" spans="1:19" x14ac:dyDescent="0.25">
      <c r="A61" s="27" t="s">
        <v>1437</v>
      </c>
      <c r="B61" s="27" t="str">
        <f t="shared" si="0"/>
        <v>Texas</v>
      </c>
      <c r="C61" s="27" t="str">
        <f t="shared" si="1"/>
        <v>Erath</v>
      </c>
      <c r="D61" s="27">
        <v>376747</v>
      </c>
      <c r="E61" s="27">
        <v>114</v>
      </c>
      <c r="F61" s="27">
        <v>10767</v>
      </c>
      <c r="G61" s="26">
        <f t="shared" si="4"/>
        <v>94.44736842105263</v>
      </c>
      <c r="H61" s="27">
        <v>27814.47</v>
      </c>
      <c r="I61" s="10">
        <v>6024</v>
      </c>
      <c r="J61" s="28">
        <f t="shared" si="5"/>
        <v>51.666146558930066</v>
      </c>
      <c r="K61" s="2">
        <v>29713</v>
      </c>
      <c r="L61" s="27">
        <v>90</v>
      </c>
      <c r="M61" s="2">
        <v>22752</v>
      </c>
      <c r="N61" s="27">
        <v>1905</v>
      </c>
      <c r="O61" s="27" t="s">
        <v>1965</v>
      </c>
      <c r="P61" s="27" t="s">
        <v>532</v>
      </c>
      <c r="Q61" s="27" t="s">
        <v>533</v>
      </c>
      <c r="R61" s="27" t="s">
        <v>534</v>
      </c>
      <c r="S61" s="27" t="s">
        <v>383</v>
      </c>
    </row>
    <row r="62" spans="1:19" x14ac:dyDescent="0.25">
      <c r="A62" s="27" t="s">
        <v>1438</v>
      </c>
      <c r="B62" s="27" t="str">
        <f t="shared" si="0"/>
        <v>Texas</v>
      </c>
      <c r="C62" s="27" t="str">
        <f t="shared" si="1"/>
        <v>Falls</v>
      </c>
      <c r="D62" s="27">
        <v>341357</v>
      </c>
      <c r="E62" s="27">
        <v>114</v>
      </c>
      <c r="F62" s="27">
        <v>12651</v>
      </c>
      <c r="G62" s="26">
        <f t="shared" si="4"/>
        <v>110.97368421052632</v>
      </c>
      <c r="H62" s="27">
        <v>30129.53</v>
      </c>
      <c r="I62" s="10">
        <v>5649</v>
      </c>
      <c r="J62" s="28">
        <f t="shared" si="5"/>
        <v>47.631855189313093</v>
      </c>
      <c r="K62" s="2">
        <v>32685</v>
      </c>
      <c r="L62" s="27">
        <v>91</v>
      </c>
      <c r="M62" s="2">
        <v>32115</v>
      </c>
      <c r="N62" s="27">
        <v>1905</v>
      </c>
      <c r="O62" s="27" t="s">
        <v>1965</v>
      </c>
      <c r="P62" s="27" t="s">
        <v>532</v>
      </c>
      <c r="Q62" s="27" t="s">
        <v>533</v>
      </c>
      <c r="R62" s="27" t="s">
        <v>534</v>
      </c>
      <c r="S62" s="27" t="s">
        <v>383</v>
      </c>
    </row>
    <row r="63" spans="1:19" x14ac:dyDescent="0.25">
      <c r="A63" s="27" t="s">
        <v>1439</v>
      </c>
      <c r="B63" s="27" t="str">
        <f t="shared" si="0"/>
        <v>Texas</v>
      </c>
      <c r="C63" s="27" t="str">
        <f t="shared" si="1"/>
        <v>Fannin</v>
      </c>
      <c r="D63" s="27">
        <v>487167</v>
      </c>
      <c r="E63" s="27">
        <v>172</v>
      </c>
      <c r="F63" s="27">
        <v>18418</v>
      </c>
      <c r="G63" s="26">
        <f t="shared" si="4"/>
        <v>107.08139534883721</v>
      </c>
      <c r="H63" s="27">
        <v>45884.42</v>
      </c>
      <c r="I63" s="10">
        <v>9067</v>
      </c>
      <c r="J63" s="28">
        <f t="shared" si="5"/>
        <v>49.825627103920084</v>
      </c>
      <c r="K63" s="2">
        <v>48925</v>
      </c>
      <c r="L63" s="27">
        <v>142</v>
      </c>
      <c r="M63" s="2">
        <v>75315</v>
      </c>
      <c r="N63" s="27">
        <v>1905</v>
      </c>
      <c r="O63" s="27" t="s">
        <v>1965</v>
      </c>
      <c r="P63" s="27" t="s">
        <v>532</v>
      </c>
      <c r="Q63" s="27" t="s">
        <v>533</v>
      </c>
      <c r="R63" s="27" t="s">
        <v>534</v>
      </c>
      <c r="S63" s="27" t="s">
        <v>383</v>
      </c>
    </row>
    <row r="64" spans="1:19" x14ac:dyDescent="0.25">
      <c r="A64" s="27" t="s">
        <v>1441</v>
      </c>
      <c r="B64" s="27" t="str">
        <f t="shared" si="0"/>
        <v>Texas</v>
      </c>
      <c r="C64" s="27" t="str">
        <f t="shared" si="1"/>
        <v>Fisher</v>
      </c>
      <c r="D64" s="27">
        <v>64835</v>
      </c>
      <c r="E64" s="27">
        <v>30</v>
      </c>
      <c r="F64" s="27">
        <v>3063</v>
      </c>
      <c r="G64" s="26">
        <f t="shared" si="4"/>
        <v>102.1</v>
      </c>
      <c r="H64" s="27">
        <v>7792.46</v>
      </c>
      <c r="I64" s="10">
        <v>1000</v>
      </c>
      <c r="J64" s="28">
        <f t="shared" si="5"/>
        <v>50.881227554684955</v>
      </c>
      <c r="K64" s="2">
        <v>8322</v>
      </c>
      <c r="L64" s="27">
        <v>28</v>
      </c>
      <c r="M64" s="2">
        <v>9764</v>
      </c>
      <c r="N64" s="27">
        <v>1905</v>
      </c>
      <c r="O64" s="27" t="s">
        <v>1965</v>
      </c>
      <c r="P64" s="27" t="s">
        <v>532</v>
      </c>
      <c r="Q64" s="27" t="s">
        <v>533</v>
      </c>
      <c r="R64" s="27" t="s">
        <v>534</v>
      </c>
      <c r="S64" s="27" t="s">
        <v>383</v>
      </c>
    </row>
    <row r="65" spans="1:19" x14ac:dyDescent="0.25">
      <c r="A65" s="27" t="s">
        <v>1442</v>
      </c>
      <c r="B65" s="27" t="str">
        <f t="shared" si="0"/>
        <v>Texas</v>
      </c>
      <c r="C65" s="27" t="str">
        <f t="shared" si="1"/>
        <v>Floyd</v>
      </c>
      <c r="D65" s="27">
        <v>34739</v>
      </c>
      <c r="E65" s="27">
        <v>17</v>
      </c>
      <c r="F65" s="27">
        <v>1844</v>
      </c>
      <c r="G65" s="26">
        <f t="shared" si="4"/>
        <v>108.47058823529412</v>
      </c>
      <c r="H65" s="27">
        <v>4034</v>
      </c>
      <c r="I65" s="10">
        <v>601</v>
      </c>
      <c r="J65" s="28">
        <f t="shared" si="5"/>
        <v>43.752711496746201</v>
      </c>
      <c r="K65" s="2">
        <v>4669</v>
      </c>
      <c r="L65" s="27">
        <v>20</v>
      </c>
      <c r="M65" s="2">
        <v>5550</v>
      </c>
      <c r="N65" s="27">
        <v>1905</v>
      </c>
      <c r="O65" s="27" t="s">
        <v>1965</v>
      </c>
      <c r="P65" s="27" t="s">
        <v>532</v>
      </c>
      <c r="Q65" s="27" t="s">
        <v>533</v>
      </c>
      <c r="R65" s="27" t="s">
        <v>534</v>
      </c>
      <c r="S65" s="27" t="s">
        <v>383</v>
      </c>
    </row>
    <row r="66" spans="1:19" x14ac:dyDescent="0.25">
      <c r="A66" s="27" t="s">
        <v>1443</v>
      </c>
      <c r="B66" s="27" t="str">
        <f t="shared" ref="B66:B129" si="6">LEFT(A66,FIND(";",A66)-1)</f>
        <v>Texas</v>
      </c>
      <c r="C66" s="27" t="str">
        <f t="shared" ref="C66:C129" si="7">MID(A66,FIND(";",A66)+1,100)</f>
        <v>Foard</v>
      </c>
      <c r="D66" s="27">
        <v>24334</v>
      </c>
      <c r="E66" s="27">
        <v>13</v>
      </c>
      <c r="F66" s="27">
        <v>1320</v>
      </c>
      <c r="G66" s="26">
        <f t="shared" si="4"/>
        <v>101.53846153846153</v>
      </c>
      <c r="H66" s="27">
        <v>3010.95</v>
      </c>
      <c r="I66" s="10">
        <v>417</v>
      </c>
      <c r="J66" s="28">
        <f t="shared" si="5"/>
        <v>45.62045454545455</v>
      </c>
      <c r="K66" s="2">
        <v>3590</v>
      </c>
      <c r="L66" s="27">
        <v>13</v>
      </c>
      <c r="M66" s="2">
        <v>3395</v>
      </c>
      <c r="N66" s="27">
        <v>1905</v>
      </c>
      <c r="O66" s="27" t="s">
        <v>1965</v>
      </c>
      <c r="P66" s="27" t="s">
        <v>532</v>
      </c>
      <c r="Q66" s="27" t="s">
        <v>533</v>
      </c>
      <c r="R66" s="27" t="s">
        <v>534</v>
      </c>
      <c r="S66" s="27" t="s">
        <v>383</v>
      </c>
    </row>
    <row r="67" spans="1:19" x14ac:dyDescent="0.25">
      <c r="A67" s="27" t="s">
        <v>1444</v>
      </c>
      <c r="B67" s="27" t="str">
        <f t="shared" si="6"/>
        <v>Texas</v>
      </c>
      <c r="C67" s="27" t="str">
        <f t="shared" si="7"/>
        <v>Fort Bend</v>
      </c>
      <c r="D67" s="27">
        <v>163106</v>
      </c>
      <c r="E67" s="27">
        <v>61</v>
      </c>
      <c r="F67" s="27">
        <v>7188</v>
      </c>
      <c r="G67" s="26">
        <f t="shared" si="4"/>
        <v>117.8360655737705</v>
      </c>
      <c r="H67" s="27">
        <v>15681.3</v>
      </c>
      <c r="I67" s="10">
        <v>2622</v>
      </c>
      <c r="J67" s="28">
        <f t="shared" si="5"/>
        <v>43.63188647746243</v>
      </c>
      <c r="K67" s="2">
        <v>17749</v>
      </c>
      <c r="L67" s="27">
        <v>61</v>
      </c>
      <c r="M67" s="2">
        <v>9317</v>
      </c>
      <c r="N67" s="27">
        <v>1905</v>
      </c>
      <c r="O67" s="27" t="s">
        <v>1965</v>
      </c>
      <c r="P67" s="27" t="s">
        <v>532</v>
      </c>
      <c r="Q67" s="27" t="s">
        <v>533</v>
      </c>
      <c r="R67" s="27" t="s">
        <v>534</v>
      </c>
      <c r="S67" s="27" t="s">
        <v>383</v>
      </c>
    </row>
    <row r="68" spans="1:19" x14ac:dyDescent="0.25">
      <c r="A68" s="27" t="s">
        <v>1445</v>
      </c>
      <c r="B68" s="27" t="str">
        <f t="shared" si="6"/>
        <v>Texas</v>
      </c>
      <c r="C68" s="27" t="str">
        <f t="shared" si="7"/>
        <v>Franklin</v>
      </c>
      <c r="D68" s="27">
        <v>124616</v>
      </c>
      <c r="E68" s="27">
        <v>50</v>
      </c>
      <c r="F68" s="27">
        <v>4548</v>
      </c>
      <c r="G68" s="26">
        <f t="shared" si="4"/>
        <v>90.96</v>
      </c>
      <c r="H68" s="27">
        <v>11339.43</v>
      </c>
      <c r="I68" s="10">
        <v>2618</v>
      </c>
      <c r="J68" s="28">
        <f t="shared" si="5"/>
        <v>49.865567282321898</v>
      </c>
      <c r="K68" s="2">
        <v>11739</v>
      </c>
      <c r="L68" s="27">
        <v>33</v>
      </c>
      <c r="M68" s="2">
        <v>12320</v>
      </c>
      <c r="N68" s="27">
        <v>1905</v>
      </c>
      <c r="O68" s="27" t="s">
        <v>1965</v>
      </c>
      <c r="P68" s="27" t="s">
        <v>532</v>
      </c>
      <c r="Q68" s="27" t="s">
        <v>533</v>
      </c>
      <c r="R68" s="27" t="s">
        <v>534</v>
      </c>
      <c r="S68" s="27" t="s">
        <v>383</v>
      </c>
    </row>
    <row r="69" spans="1:19" x14ac:dyDescent="0.25">
      <c r="A69" s="27" t="s">
        <v>1446</v>
      </c>
      <c r="B69" s="27" t="str">
        <f t="shared" si="6"/>
        <v>Texas</v>
      </c>
      <c r="C69" s="27" t="str">
        <f t="shared" si="7"/>
        <v>Frio</v>
      </c>
      <c r="D69" s="27">
        <v>57803</v>
      </c>
      <c r="E69" s="27">
        <v>23</v>
      </c>
      <c r="F69" s="27">
        <v>2767</v>
      </c>
      <c r="G69" s="26">
        <f t="shared" si="4"/>
        <v>120.30434782608695</v>
      </c>
      <c r="H69" s="27">
        <v>6295.35</v>
      </c>
      <c r="I69" s="10">
        <v>694</v>
      </c>
      <c r="J69" s="28">
        <f t="shared" si="5"/>
        <v>45.503071919045901</v>
      </c>
      <c r="K69" s="2">
        <v>6621</v>
      </c>
      <c r="L69" s="27">
        <v>19</v>
      </c>
      <c r="M69" s="2">
        <v>3400</v>
      </c>
      <c r="N69" s="27">
        <v>1905</v>
      </c>
      <c r="O69" s="27" t="s">
        <v>1965</v>
      </c>
      <c r="P69" s="27" t="s">
        <v>532</v>
      </c>
      <c r="Q69" s="27" t="s">
        <v>533</v>
      </c>
      <c r="R69" s="27" t="s">
        <v>534</v>
      </c>
      <c r="S69" s="27" t="s">
        <v>383</v>
      </c>
    </row>
    <row r="70" spans="1:19" x14ac:dyDescent="0.25">
      <c r="A70" s="27" t="s">
        <v>1447</v>
      </c>
      <c r="B70" s="27" t="str">
        <f t="shared" si="6"/>
        <v>Texas</v>
      </c>
      <c r="C70" s="27" t="str">
        <f t="shared" si="7"/>
        <v>Gaines</v>
      </c>
      <c r="D70" s="27">
        <v>550</v>
      </c>
      <c r="E70" s="27">
        <v>2</v>
      </c>
      <c r="F70" s="27">
        <v>127</v>
      </c>
      <c r="G70" s="26">
        <f t="shared" si="4"/>
        <v>63.5</v>
      </c>
      <c r="H70" s="27">
        <v>267.5</v>
      </c>
      <c r="I70" s="10">
        <v>16</v>
      </c>
      <c r="J70" s="28">
        <f t="shared" si="5"/>
        <v>42.125984251968504</v>
      </c>
      <c r="K70" s="2">
        <v>267</v>
      </c>
      <c r="L70" s="27">
        <v>1</v>
      </c>
      <c r="M70" s="2">
        <v>200</v>
      </c>
      <c r="N70" s="27">
        <v>1905</v>
      </c>
      <c r="O70" s="27" t="s">
        <v>1965</v>
      </c>
      <c r="P70" s="27" t="s">
        <v>532</v>
      </c>
      <c r="Q70" s="27" t="s">
        <v>533</v>
      </c>
      <c r="R70" s="27" t="s">
        <v>534</v>
      </c>
      <c r="S70" s="27" t="s">
        <v>383</v>
      </c>
    </row>
    <row r="71" spans="1:19" x14ac:dyDescent="0.25">
      <c r="A71" s="27" t="s">
        <v>1448</v>
      </c>
      <c r="B71" s="27" t="str">
        <f t="shared" si="6"/>
        <v>Texas</v>
      </c>
      <c r="C71" s="27" t="str">
        <f t="shared" si="7"/>
        <v>Galveston</v>
      </c>
      <c r="D71" s="27">
        <v>65204</v>
      </c>
      <c r="E71" s="27">
        <v>24</v>
      </c>
      <c r="F71" s="27">
        <v>2895</v>
      </c>
      <c r="G71" s="26">
        <f t="shared" si="4"/>
        <v>120.625</v>
      </c>
      <c r="H71" s="27">
        <v>5988.1</v>
      </c>
      <c r="I71" s="10">
        <v>868</v>
      </c>
      <c r="J71" s="28">
        <f t="shared" si="5"/>
        <v>41.3685664939551</v>
      </c>
      <c r="K71" s="2">
        <v>8008</v>
      </c>
      <c r="L71" s="27">
        <v>18</v>
      </c>
      <c r="M71" s="2">
        <v>12205</v>
      </c>
      <c r="N71" s="27">
        <v>1905</v>
      </c>
      <c r="O71" s="27" t="s">
        <v>1965</v>
      </c>
      <c r="P71" s="27" t="s">
        <v>532</v>
      </c>
      <c r="Q71" s="27" t="s">
        <v>533</v>
      </c>
      <c r="R71" s="27" t="s">
        <v>534</v>
      </c>
      <c r="S71" s="27" t="s">
        <v>383</v>
      </c>
    </row>
    <row r="72" spans="1:19" x14ac:dyDescent="0.25">
      <c r="A72" s="27" t="s">
        <v>1449</v>
      </c>
      <c r="B72" s="27" t="str">
        <f t="shared" si="6"/>
        <v>Texas</v>
      </c>
      <c r="C72" s="27" t="str">
        <f t="shared" si="7"/>
        <v>Garza</v>
      </c>
      <c r="D72" s="27">
        <v>3117</v>
      </c>
      <c r="E72" s="27">
        <v>4</v>
      </c>
      <c r="F72" s="27">
        <v>297</v>
      </c>
      <c r="G72" s="26">
        <f t="shared" si="4"/>
        <v>74.25</v>
      </c>
      <c r="H72" s="27">
        <v>431.33</v>
      </c>
      <c r="I72" s="10">
        <v>59</v>
      </c>
      <c r="J72" s="28">
        <f t="shared" si="5"/>
        <v>29.045791245791246</v>
      </c>
      <c r="K72" s="2">
        <v>507</v>
      </c>
      <c r="L72" s="27">
        <v>2</v>
      </c>
      <c r="M72" s="2">
        <v>565</v>
      </c>
      <c r="N72" s="27">
        <v>1905</v>
      </c>
      <c r="O72" s="27" t="s">
        <v>1965</v>
      </c>
      <c r="P72" s="27" t="s">
        <v>532</v>
      </c>
      <c r="Q72" s="27" t="s">
        <v>533</v>
      </c>
      <c r="R72" s="27" t="s">
        <v>534</v>
      </c>
      <c r="S72" s="27" t="s">
        <v>383</v>
      </c>
    </row>
    <row r="73" spans="1:19" x14ac:dyDescent="0.25">
      <c r="A73" s="27" t="s">
        <v>1450</v>
      </c>
      <c r="B73" s="27" t="str">
        <f t="shared" si="6"/>
        <v>Texas</v>
      </c>
      <c r="C73" s="27" t="str">
        <f t="shared" si="7"/>
        <v>Gillespie</v>
      </c>
      <c r="D73" s="27">
        <v>135469</v>
      </c>
      <c r="E73" s="27">
        <v>43</v>
      </c>
      <c r="F73" s="27">
        <v>5614</v>
      </c>
      <c r="G73" s="26">
        <f t="shared" si="4"/>
        <v>130.55813953488371</v>
      </c>
      <c r="H73" s="27">
        <v>11417.06</v>
      </c>
      <c r="I73" s="10">
        <v>1421</v>
      </c>
      <c r="J73" s="28">
        <f t="shared" si="5"/>
        <v>40.67353045956537</v>
      </c>
      <c r="K73" s="2">
        <v>11807</v>
      </c>
      <c r="L73" s="27">
        <v>40</v>
      </c>
      <c r="M73" s="2">
        <v>30887</v>
      </c>
      <c r="N73" s="27">
        <v>1905</v>
      </c>
      <c r="O73" s="27" t="s">
        <v>1965</v>
      </c>
      <c r="P73" s="27" t="s">
        <v>532</v>
      </c>
      <c r="Q73" s="27" t="s">
        <v>533</v>
      </c>
      <c r="R73" s="27" t="s">
        <v>534</v>
      </c>
      <c r="S73" s="27" t="s">
        <v>383</v>
      </c>
    </row>
    <row r="74" spans="1:19" x14ac:dyDescent="0.25">
      <c r="A74" s="27" t="s">
        <v>1451</v>
      </c>
      <c r="B74" s="27" t="str">
        <f t="shared" si="6"/>
        <v>Texas</v>
      </c>
      <c r="C74" s="27" t="str">
        <f t="shared" si="7"/>
        <v>Glasscock</v>
      </c>
      <c r="D74" s="27">
        <v>10082</v>
      </c>
      <c r="E74" s="27">
        <v>5</v>
      </c>
      <c r="F74" s="27">
        <v>610</v>
      </c>
      <c r="G74" s="26">
        <f t="shared" si="4"/>
        <v>122</v>
      </c>
      <c r="H74" s="27">
        <v>1569</v>
      </c>
      <c r="I74" s="10">
        <v>123</v>
      </c>
      <c r="J74" s="28">
        <f t="shared" si="5"/>
        <v>51.442622950819676</v>
      </c>
      <c r="K74" s="2">
        <v>2053</v>
      </c>
      <c r="L74" s="27">
        <v>4</v>
      </c>
      <c r="M74" s="2">
        <v>924</v>
      </c>
      <c r="N74" s="27">
        <v>1905</v>
      </c>
      <c r="O74" s="27" t="s">
        <v>1965</v>
      </c>
      <c r="P74" s="27" t="s">
        <v>532</v>
      </c>
      <c r="Q74" s="27" t="s">
        <v>533</v>
      </c>
      <c r="R74" s="27" t="s">
        <v>534</v>
      </c>
      <c r="S74" s="27" t="s">
        <v>383</v>
      </c>
    </row>
    <row r="75" spans="1:19" x14ac:dyDescent="0.25">
      <c r="A75" s="27" t="s">
        <v>1452</v>
      </c>
      <c r="B75" s="27" t="str">
        <f t="shared" si="6"/>
        <v>Texas</v>
      </c>
      <c r="C75" s="27" t="str">
        <f t="shared" si="7"/>
        <v>Goliad</v>
      </c>
      <c r="D75" s="27">
        <v>130705</v>
      </c>
      <c r="E75" s="27">
        <v>52</v>
      </c>
      <c r="F75" s="27">
        <v>5320</v>
      </c>
      <c r="G75" s="26">
        <f t="shared" si="4"/>
        <v>102.30769230769231</v>
      </c>
      <c r="H75" s="27">
        <v>11949.36</v>
      </c>
      <c r="I75" s="10">
        <v>1613</v>
      </c>
      <c r="J75" s="28">
        <f t="shared" si="5"/>
        <v>44.922406015037602</v>
      </c>
      <c r="K75" s="2">
        <v>12129</v>
      </c>
      <c r="L75" s="27">
        <v>39</v>
      </c>
      <c r="M75" s="2">
        <v>15583</v>
      </c>
      <c r="N75" s="27">
        <v>1905</v>
      </c>
      <c r="O75" s="27" t="s">
        <v>1965</v>
      </c>
      <c r="P75" s="27" t="s">
        <v>532</v>
      </c>
      <c r="Q75" s="27" t="s">
        <v>533</v>
      </c>
      <c r="R75" s="27" t="s">
        <v>534</v>
      </c>
      <c r="S75" s="27" t="s">
        <v>383</v>
      </c>
    </row>
    <row r="76" spans="1:19" x14ac:dyDescent="0.25">
      <c r="A76" s="27" t="s">
        <v>1453</v>
      </c>
      <c r="B76" s="27" t="str">
        <f t="shared" si="6"/>
        <v>Texas</v>
      </c>
      <c r="C76" s="27" t="str">
        <f t="shared" si="7"/>
        <v>Gonzales</v>
      </c>
      <c r="D76" s="27">
        <v>302263</v>
      </c>
      <c r="E76" s="27">
        <v>125</v>
      </c>
      <c r="F76" s="27">
        <v>13218</v>
      </c>
      <c r="G76" s="26">
        <f t="shared" si="4"/>
        <v>105.744</v>
      </c>
      <c r="H76" s="27">
        <v>29278.69</v>
      </c>
      <c r="I76" s="10">
        <v>4624</v>
      </c>
      <c r="J76" s="28">
        <f t="shared" si="5"/>
        <v>44.301240732334691</v>
      </c>
      <c r="K76" s="2">
        <v>30371</v>
      </c>
      <c r="L76" s="27">
        <v>111</v>
      </c>
      <c r="M76" s="2">
        <v>23978</v>
      </c>
      <c r="N76" s="27">
        <v>1905</v>
      </c>
      <c r="O76" s="27" t="s">
        <v>1965</v>
      </c>
      <c r="P76" s="27" t="s">
        <v>532</v>
      </c>
      <c r="Q76" s="27" t="s">
        <v>533</v>
      </c>
      <c r="R76" s="27" t="s">
        <v>534</v>
      </c>
      <c r="S76" s="27" t="s">
        <v>383</v>
      </c>
    </row>
    <row r="77" spans="1:19" x14ac:dyDescent="0.25">
      <c r="A77" s="27" t="s">
        <v>1454</v>
      </c>
      <c r="B77" s="27" t="str">
        <f t="shared" si="6"/>
        <v>Texas</v>
      </c>
      <c r="C77" s="27" t="str">
        <f t="shared" si="7"/>
        <v>Gray</v>
      </c>
      <c r="D77" s="27">
        <v>10824</v>
      </c>
      <c r="E77" s="27">
        <v>10</v>
      </c>
      <c r="F77" s="27">
        <v>1073</v>
      </c>
      <c r="G77" s="26">
        <f t="shared" si="4"/>
        <v>107.3</v>
      </c>
      <c r="H77" s="27">
        <v>2793.5</v>
      </c>
      <c r="I77" s="10">
        <v>267</v>
      </c>
      <c r="J77" s="28">
        <f t="shared" si="5"/>
        <v>52.068965517241381</v>
      </c>
      <c r="K77" s="2">
        <v>3586</v>
      </c>
      <c r="L77" s="27">
        <v>9</v>
      </c>
      <c r="M77" s="2">
        <v>1817</v>
      </c>
      <c r="N77" s="27">
        <v>1905</v>
      </c>
      <c r="O77" s="27" t="s">
        <v>1965</v>
      </c>
      <c r="P77" s="27"/>
      <c r="Q77" s="27"/>
      <c r="R77" s="27"/>
      <c r="S77" s="27"/>
    </row>
    <row r="78" spans="1:19" x14ac:dyDescent="0.25">
      <c r="A78" s="27" t="s">
        <v>1455</v>
      </c>
      <c r="B78" s="27" t="str">
        <f t="shared" si="6"/>
        <v>Texas</v>
      </c>
      <c r="C78" s="27" t="str">
        <f t="shared" si="7"/>
        <v>Grayson</v>
      </c>
      <c r="D78" s="27">
        <v>511401</v>
      </c>
      <c r="E78" s="27">
        <v>167</v>
      </c>
      <c r="F78" s="27">
        <v>17591</v>
      </c>
      <c r="G78" s="26">
        <f t="shared" si="4"/>
        <v>105.33532934131736</v>
      </c>
      <c r="H78" s="27">
        <v>43046.49</v>
      </c>
      <c r="I78" s="10">
        <v>8445</v>
      </c>
      <c r="J78" s="28">
        <f t="shared" si="5"/>
        <v>48.941492808822687</v>
      </c>
      <c r="K78" s="2">
        <v>48467</v>
      </c>
      <c r="L78" s="27">
        <v>133</v>
      </c>
      <c r="M78" s="2">
        <v>76680</v>
      </c>
      <c r="N78" s="27">
        <v>1905</v>
      </c>
      <c r="O78" s="27" t="s">
        <v>1965</v>
      </c>
      <c r="P78" s="27"/>
      <c r="Q78" s="27"/>
      <c r="R78" s="27"/>
      <c r="S78" s="27"/>
    </row>
    <row r="79" spans="1:19" x14ac:dyDescent="0.25">
      <c r="A79" s="27" t="s">
        <v>1456</v>
      </c>
      <c r="B79" s="27" t="str">
        <f t="shared" si="6"/>
        <v>Texas</v>
      </c>
      <c r="C79" s="27" t="str">
        <f t="shared" si="7"/>
        <v>Gregg</v>
      </c>
      <c r="D79" s="27">
        <v>133995</v>
      </c>
      <c r="E79" s="27">
        <v>44</v>
      </c>
      <c r="F79" s="27">
        <v>4598</v>
      </c>
      <c r="G79" s="26">
        <f t="shared" si="4"/>
        <v>104.5</v>
      </c>
      <c r="H79" s="27">
        <v>11152.35</v>
      </c>
      <c r="I79" s="10">
        <v>2348</v>
      </c>
      <c r="J79" s="28">
        <f t="shared" si="5"/>
        <v>48.509569377990438</v>
      </c>
      <c r="K79" s="2">
        <v>12180</v>
      </c>
      <c r="L79" s="27">
        <v>39</v>
      </c>
      <c r="M79" s="2">
        <v>14240</v>
      </c>
      <c r="N79" s="27">
        <v>1905</v>
      </c>
      <c r="O79" s="27" t="s">
        <v>1965</v>
      </c>
      <c r="P79" s="27"/>
      <c r="Q79" s="27"/>
      <c r="R79" s="27"/>
      <c r="S79" s="27"/>
    </row>
    <row r="80" spans="1:19" x14ac:dyDescent="0.25">
      <c r="A80" s="27" t="s">
        <v>1457</v>
      </c>
      <c r="B80" s="27" t="str">
        <f t="shared" si="6"/>
        <v>Texas</v>
      </c>
      <c r="C80" s="27" t="str">
        <f t="shared" si="7"/>
        <v>Grimes</v>
      </c>
      <c r="D80" s="27">
        <v>292269</v>
      </c>
      <c r="E80" s="27">
        <v>96</v>
      </c>
      <c r="F80" s="27">
        <v>10070</v>
      </c>
      <c r="G80" s="26">
        <f t="shared" si="4"/>
        <v>104.89583333333333</v>
      </c>
      <c r="H80" s="27">
        <v>23461.51</v>
      </c>
      <c r="I80" s="10">
        <v>4271</v>
      </c>
      <c r="J80" s="28">
        <f t="shared" si="5"/>
        <v>46.596842105263164</v>
      </c>
      <c r="K80" s="2">
        <v>23961</v>
      </c>
      <c r="L80" s="27">
        <v>88</v>
      </c>
      <c r="M80" s="2">
        <v>10760</v>
      </c>
      <c r="N80" s="27">
        <v>1905</v>
      </c>
      <c r="O80" s="27" t="s">
        <v>1965</v>
      </c>
      <c r="P80" s="27"/>
      <c r="Q80" s="27"/>
      <c r="R80" s="27"/>
      <c r="S80" s="27"/>
    </row>
    <row r="81" spans="1:19" x14ac:dyDescent="0.25">
      <c r="A81" s="27" t="s">
        <v>1764</v>
      </c>
      <c r="B81" s="27" t="str">
        <f t="shared" si="6"/>
        <v>Texas</v>
      </c>
      <c r="C81" s="27" t="str">
        <f t="shared" si="7"/>
        <v>Guadalupe</v>
      </c>
      <c r="D81" s="27">
        <v>245492</v>
      </c>
      <c r="E81" s="27">
        <v>84</v>
      </c>
      <c r="F81" s="27">
        <v>10646</v>
      </c>
      <c r="G81" s="26">
        <f t="shared" si="4"/>
        <v>126.73809523809524</v>
      </c>
      <c r="H81" s="27">
        <v>22737.05</v>
      </c>
      <c r="I81" s="10">
        <v>3063</v>
      </c>
      <c r="J81" s="28">
        <f t="shared" si="5"/>
        <v>42.714728536539546</v>
      </c>
      <c r="K81" s="2">
        <v>24012</v>
      </c>
      <c r="L81" s="27">
        <v>79</v>
      </c>
      <c r="M81" s="2">
        <v>35232</v>
      </c>
      <c r="N81" s="27">
        <v>1905</v>
      </c>
      <c r="O81" s="27" t="s">
        <v>1965</v>
      </c>
      <c r="P81" s="27"/>
      <c r="Q81" s="27"/>
      <c r="R81" s="27"/>
      <c r="S81" s="27"/>
    </row>
    <row r="82" spans="1:19" x14ac:dyDescent="0.25">
      <c r="A82" s="27" t="s">
        <v>1458</v>
      </c>
      <c r="B82" s="27" t="str">
        <f t="shared" si="6"/>
        <v>Texas</v>
      </c>
      <c r="C82" s="27" t="str">
        <f t="shared" si="7"/>
        <v>Hale</v>
      </c>
      <c r="D82" s="27">
        <v>50361</v>
      </c>
      <c r="E82" s="27">
        <v>17</v>
      </c>
      <c r="F82" s="27">
        <v>1955</v>
      </c>
      <c r="G82" s="26">
        <f t="shared" si="4"/>
        <v>115</v>
      </c>
      <c r="H82" s="27">
        <v>4244.75</v>
      </c>
      <c r="I82" s="10">
        <v>586</v>
      </c>
      <c r="J82" s="28">
        <f t="shared" si="5"/>
        <v>43.424552429667521</v>
      </c>
      <c r="K82" s="2">
        <v>5001</v>
      </c>
      <c r="L82" s="27">
        <v>6</v>
      </c>
      <c r="M82" s="27"/>
      <c r="N82" s="27">
        <v>1905</v>
      </c>
      <c r="O82" s="27" t="s">
        <v>1965</v>
      </c>
      <c r="P82" s="27"/>
      <c r="Q82" s="27"/>
      <c r="R82" s="27"/>
      <c r="S82" s="27"/>
    </row>
    <row r="83" spans="1:19" x14ac:dyDescent="0.25">
      <c r="A83" s="27" t="s">
        <v>1459</v>
      </c>
      <c r="B83" s="27" t="str">
        <f t="shared" si="6"/>
        <v>Texas</v>
      </c>
      <c r="C83" s="27" t="str">
        <f t="shared" si="7"/>
        <v>Hall</v>
      </c>
      <c r="D83" s="27">
        <v>35028</v>
      </c>
      <c r="E83" s="27">
        <v>15</v>
      </c>
      <c r="F83" s="27">
        <v>1644</v>
      </c>
      <c r="G83" s="26">
        <f t="shared" si="4"/>
        <v>109.6</v>
      </c>
      <c r="H83" s="27">
        <v>4117.55</v>
      </c>
      <c r="I83" s="10">
        <v>460</v>
      </c>
      <c r="J83" s="28">
        <f t="shared" si="5"/>
        <v>50.091849148418497</v>
      </c>
      <c r="K83" s="2">
        <v>4864</v>
      </c>
      <c r="L83" s="27">
        <v>14</v>
      </c>
      <c r="M83" s="2">
        <v>3900</v>
      </c>
      <c r="N83" s="27">
        <v>1905</v>
      </c>
      <c r="O83" s="27" t="s">
        <v>1965</v>
      </c>
      <c r="P83" s="27"/>
      <c r="Q83" s="27"/>
      <c r="R83" s="27"/>
      <c r="S83" s="27"/>
    </row>
    <row r="84" spans="1:19" x14ac:dyDescent="0.25">
      <c r="A84" s="27" t="s">
        <v>1460</v>
      </c>
      <c r="B84" s="27" t="str">
        <f t="shared" si="6"/>
        <v>Texas</v>
      </c>
      <c r="C84" s="27" t="str">
        <f t="shared" si="7"/>
        <v>Hamilton</v>
      </c>
      <c r="D84" s="27">
        <v>165940</v>
      </c>
      <c r="E84" s="27">
        <v>59</v>
      </c>
      <c r="F84" s="27">
        <v>5519</v>
      </c>
      <c r="G84" s="26">
        <f t="shared" si="4"/>
        <v>93.542372881355931</v>
      </c>
      <c r="H84" s="27">
        <v>12873.71</v>
      </c>
      <c r="I84" s="10">
        <v>2857</v>
      </c>
      <c r="J84" s="28">
        <f t="shared" si="5"/>
        <v>46.652328320347884</v>
      </c>
      <c r="K84" s="2">
        <v>13589</v>
      </c>
      <c r="L84" s="27">
        <v>55</v>
      </c>
      <c r="M84" s="2">
        <v>16808</v>
      </c>
      <c r="N84" s="27">
        <v>1905</v>
      </c>
      <c r="O84" s="27" t="s">
        <v>1965</v>
      </c>
      <c r="P84" s="27"/>
      <c r="Q84" s="27"/>
      <c r="R84" s="27"/>
      <c r="S84" s="27"/>
    </row>
    <row r="85" spans="1:19" x14ac:dyDescent="0.25">
      <c r="A85" s="27" t="s">
        <v>1461</v>
      </c>
      <c r="B85" s="27" t="str">
        <f t="shared" si="6"/>
        <v>Texas</v>
      </c>
      <c r="C85" s="27" t="str">
        <f t="shared" si="7"/>
        <v>Hansford</v>
      </c>
      <c r="D85" s="27">
        <v>11459</v>
      </c>
      <c r="E85" s="27">
        <v>10</v>
      </c>
      <c r="F85" s="27">
        <v>1091</v>
      </c>
      <c r="G85" s="26">
        <f t="shared" si="4"/>
        <v>109.1</v>
      </c>
      <c r="H85" s="27">
        <v>2022</v>
      </c>
      <c r="I85" s="10">
        <v>174</v>
      </c>
      <c r="J85" s="28">
        <f t="shared" si="5"/>
        <v>37.066911090742437</v>
      </c>
      <c r="K85" s="2">
        <v>2593</v>
      </c>
      <c r="L85" s="27">
        <v>11</v>
      </c>
      <c r="M85" s="2">
        <v>660</v>
      </c>
      <c r="N85" s="27">
        <v>1905</v>
      </c>
      <c r="O85" s="27" t="s">
        <v>1965</v>
      </c>
      <c r="P85" s="27"/>
      <c r="Q85" s="27"/>
      <c r="R85" s="27"/>
      <c r="S85" s="27"/>
    </row>
    <row r="86" spans="1:19" x14ac:dyDescent="0.25">
      <c r="A86" s="27" t="s">
        <v>1462</v>
      </c>
      <c r="B86" s="27" t="str">
        <f t="shared" si="6"/>
        <v>Texas</v>
      </c>
      <c r="C86" s="27" t="str">
        <f t="shared" si="7"/>
        <v>Hardeman</v>
      </c>
      <c r="D86" s="27">
        <v>35111</v>
      </c>
      <c r="E86" s="27">
        <v>15</v>
      </c>
      <c r="F86" s="27">
        <v>1752</v>
      </c>
      <c r="G86" s="26">
        <f t="shared" si="4"/>
        <v>116.8</v>
      </c>
      <c r="H86" s="27">
        <v>4767.75</v>
      </c>
      <c r="I86" s="10">
        <v>547</v>
      </c>
      <c r="J86" s="28">
        <f t="shared" si="5"/>
        <v>54.426369863013704</v>
      </c>
      <c r="K86" s="2">
        <v>5992</v>
      </c>
      <c r="L86" s="27">
        <v>13</v>
      </c>
      <c r="M86" s="2">
        <v>3968</v>
      </c>
      <c r="N86" s="27">
        <v>1905</v>
      </c>
      <c r="O86" s="27" t="s">
        <v>1965</v>
      </c>
      <c r="P86" s="27"/>
      <c r="Q86" s="27"/>
      <c r="R86" s="27"/>
      <c r="S86" s="27"/>
    </row>
    <row r="87" spans="1:19" x14ac:dyDescent="0.25">
      <c r="A87" s="27" t="s">
        <v>1463</v>
      </c>
      <c r="B87" s="27" t="str">
        <f t="shared" si="6"/>
        <v>Texas</v>
      </c>
      <c r="C87" s="27" t="str">
        <f t="shared" si="7"/>
        <v>Hardin</v>
      </c>
      <c r="D87" s="27">
        <v>125063</v>
      </c>
      <c r="E87" s="27">
        <v>39</v>
      </c>
      <c r="F87" s="27">
        <v>4290</v>
      </c>
      <c r="G87" s="26">
        <f t="shared" si="4"/>
        <v>110</v>
      </c>
      <c r="H87" s="27">
        <v>11870.68</v>
      </c>
      <c r="I87" s="10">
        <v>1980</v>
      </c>
      <c r="J87" s="28">
        <f t="shared" si="5"/>
        <v>55.341165501165506</v>
      </c>
      <c r="K87" s="2">
        <v>15609</v>
      </c>
      <c r="L87" s="27">
        <v>10</v>
      </c>
      <c r="M87" s="2">
        <v>11716</v>
      </c>
      <c r="N87" s="27">
        <v>1905</v>
      </c>
      <c r="O87" s="27" t="s">
        <v>1965</v>
      </c>
      <c r="P87" s="27"/>
      <c r="Q87" s="27"/>
      <c r="R87" s="27"/>
      <c r="S87" s="27"/>
    </row>
    <row r="88" spans="1:19" x14ac:dyDescent="0.25">
      <c r="A88" s="27" t="s">
        <v>1464</v>
      </c>
      <c r="B88" s="27" t="str">
        <f t="shared" si="6"/>
        <v>Texas</v>
      </c>
      <c r="C88" s="27" t="str">
        <f t="shared" si="7"/>
        <v>Harris</v>
      </c>
      <c r="D88" s="27">
        <v>242673</v>
      </c>
      <c r="E88" s="27">
        <v>104</v>
      </c>
      <c r="F88" s="27">
        <v>11277</v>
      </c>
      <c r="G88" s="26">
        <f t="shared" si="4"/>
        <v>108.43269230769231</v>
      </c>
      <c r="H88" s="27">
        <v>24226.05</v>
      </c>
      <c r="I88" s="10">
        <v>3395</v>
      </c>
      <c r="J88" s="28">
        <f t="shared" si="5"/>
        <v>42.965416334131412</v>
      </c>
      <c r="K88" s="2">
        <v>33034</v>
      </c>
      <c r="L88" s="27">
        <v>102</v>
      </c>
      <c r="M88" s="2">
        <v>39850</v>
      </c>
      <c r="N88" s="27">
        <v>1905</v>
      </c>
      <c r="O88" s="27" t="s">
        <v>1965</v>
      </c>
      <c r="P88" s="27"/>
      <c r="Q88" s="27"/>
      <c r="R88" s="27"/>
      <c r="S88" s="27"/>
    </row>
    <row r="89" spans="1:19" x14ac:dyDescent="0.25">
      <c r="A89" s="27" t="s">
        <v>1465</v>
      </c>
      <c r="B89" s="27" t="str">
        <f t="shared" si="6"/>
        <v>Texas</v>
      </c>
      <c r="C89" s="27" t="str">
        <f t="shared" si="7"/>
        <v>Harrison</v>
      </c>
      <c r="D89" s="27">
        <v>401709</v>
      </c>
      <c r="E89" s="27">
        <v>120</v>
      </c>
      <c r="F89" s="27">
        <v>15619</v>
      </c>
      <c r="G89" s="26">
        <f t="shared" si="4"/>
        <v>130.15833333333333</v>
      </c>
      <c r="H89" s="27">
        <v>36932.629999999997</v>
      </c>
      <c r="I89" s="10">
        <v>5770</v>
      </c>
      <c r="J89" s="28">
        <f t="shared" si="5"/>
        <v>47.291926499775911</v>
      </c>
      <c r="K89" s="2">
        <v>40251</v>
      </c>
      <c r="L89" s="27">
        <v>123</v>
      </c>
      <c r="M89" s="2">
        <v>27816</v>
      </c>
      <c r="N89" s="27">
        <v>1905</v>
      </c>
      <c r="O89" s="27" t="s">
        <v>1965</v>
      </c>
      <c r="P89" s="27"/>
      <c r="Q89" s="27"/>
      <c r="R89" s="27"/>
      <c r="S89" s="27"/>
    </row>
    <row r="90" spans="1:19" x14ac:dyDescent="0.25">
      <c r="A90" s="27" t="s">
        <v>1466</v>
      </c>
      <c r="B90" s="27" t="str">
        <f t="shared" si="6"/>
        <v>Texas</v>
      </c>
      <c r="C90" s="27" t="str">
        <f t="shared" si="7"/>
        <v>Hartley</v>
      </c>
      <c r="D90" s="27">
        <v>5139</v>
      </c>
      <c r="E90" s="27">
        <v>3</v>
      </c>
      <c r="F90" s="27">
        <v>430</v>
      </c>
      <c r="G90" s="26">
        <f t="shared" si="4"/>
        <v>143.33333333333334</v>
      </c>
      <c r="H90" s="27">
        <v>1160</v>
      </c>
      <c r="I90" s="10">
        <v>54</v>
      </c>
      <c r="J90" s="28">
        <f t="shared" si="5"/>
        <v>53.953488372093027</v>
      </c>
      <c r="K90" s="2">
        <v>1257</v>
      </c>
      <c r="L90" s="27">
        <v>3</v>
      </c>
      <c r="M90" s="2">
        <v>3460</v>
      </c>
      <c r="N90" s="27">
        <v>1905</v>
      </c>
      <c r="O90" s="27" t="s">
        <v>1965</v>
      </c>
      <c r="P90" s="27"/>
      <c r="Q90" s="27"/>
      <c r="R90" s="27"/>
      <c r="S90" s="27"/>
    </row>
    <row r="91" spans="1:19" x14ac:dyDescent="0.25">
      <c r="A91" s="27" t="s">
        <v>1467</v>
      </c>
      <c r="B91" s="27" t="str">
        <f t="shared" si="6"/>
        <v>Texas</v>
      </c>
      <c r="C91" s="27" t="str">
        <f t="shared" si="7"/>
        <v>Haskell</v>
      </c>
      <c r="D91" s="27">
        <v>78418</v>
      </c>
      <c r="E91" s="27">
        <v>33</v>
      </c>
      <c r="F91" s="27">
        <v>2868</v>
      </c>
      <c r="G91" s="26">
        <f t="shared" si="4"/>
        <v>86.909090909090907</v>
      </c>
      <c r="H91" s="27">
        <v>7212.83</v>
      </c>
      <c r="I91" s="10">
        <v>1328</v>
      </c>
      <c r="J91" s="28">
        <f t="shared" si="5"/>
        <v>50.2986750348675</v>
      </c>
      <c r="K91" s="2">
        <v>13081</v>
      </c>
      <c r="L91" s="27">
        <v>29</v>
      </c>
      <c r="M91" s="2">
        <v>10865</v>
      </c>
      <c r="N91" s="27">
        <v>1905</v>
      </c>
      <c r="O91" s="27" t="s">
        <v>1965</v>
      </c>
      <c r="P91" s="27"/>
      <c r="Q91" s="27"/>
      <c r="R91" s="27"/>
      <c r="S91" s="27"/>
    </row>
    <row r="92" spans="1:19" x14ac:dyDescent="0.25">
      <c r="A92" s="27" t="s">
        <v>1468</v>
      </c>
      <c r="B92" s="27" t="str">
        <f t="shared" si="6"/>
        <v>Texas</v>
      </c>
      <c r="C92" s="27" t="str">
        <f t="shared" si="7"/>
        <v>Hays</v>
      </c>
      <c r="D92" s="27">
        <v>163785</v>
      </c>
      <c r="E92" s="27">
        <v>64</v>
      </c>
      <c r="F92" s="27">
        <v>6391</v>
      </c>
      <c r="G92" s="26">
        <f t="shared" si="4"/>
        <v>99.859375</v>
      </c>
      <c r="H92" s="27">
        <v>15158.9</v>
      </c>
      <c r="I92" s="10">
        <v>2187</v>
      </c>
      <c r="J92" s="28">
        <f t="shared" si="5"/>
        <v>47.438272570802688</v>
      </c>
      <c r="K92" s="2">
        <v>16155</v>
      </c>
      <c r="L92" s="27">
        <v>55</v>
      </c>
      <c r="M92" s="2">
        <v>34455</v>
      </c>
      <c r="N92" s="27">
        <v>1905</v>
      </c>
      <c r="O92" s="27" t="s">
        <v>1965</v>
      </c>
      <c r="P92" s="27"/>
      <c r="Q92" s="27"/>
      <c r="R92" s="27"/>
      <c r="S92" s="27"/>
    </row>
    <row r="93" spans="1:19" x14ac:dyDescent="0.25">
      <c r="A93" s="27" t="s">
        <v>1469</v>
      </c>
      <c r="B93" s="27" t="str">
        <f t="shared" si="6"/>
        <v>Texas</v>
      </c>
      <c r="C93" s="27" t="str">
        <f t="shared" si="7"/>
        <v>Hemphill</v>
      </c>
      <c r="D93" s="27">
        <v>22092</v>
      </c>
      <c r="E93" s="27">
        <v>8</v>
      </c>
      <c r="F93" s="27">
        <v>1214</v>
      </c>
      <c r="G93" s="26">
        <f t="shared" si="4"/>
        <v>151.75</v>
      </c>
      <c r="H93" s="27">
        <v>3178.75</v>
      </c>
      <c r="I93" s="10">
        <v>246</v>
      </c>
      <c r="J93" s="28">
        <f t="shared" si="5"/>
        <v>52.368204283360789</v>
      </c>
      <c r="K93" s="2">
        <v>4398</v>
      </c>
      <c r="L93" s="27">
        <v>5</v>
      </c>
      <c r="M93" s="2">
        <v>2980</v>
      </c>
      <c r="N93" s="27">
        <v>1905</v>
      </c>
      <c r="O93" s="27" t="s">
        <v>1965</v>
      </c>
      <c r="P93" s="27"/>
      <c r="Q93" s="27"/>
      <c r="R93" s="27"/>
      <c r="S93" s="27"/>
    </row>
    <row r="94" spans="1:19" x14ac:dyDescent="0.25">
      <c r="A94" s="27" t="s">
        <v>1470</v>
      </c>
      <c r="B94" s="27" t="str">
        <f t="shared" si="6"/>
        <v>Texas</v>
      </c>
      <c r="C94" s="27" t="str">
        <f t="shared" si="7"/>
        <v>Henderson</v>
      </c>
      <c r="D94" s="27">
        <v>229346</v>
      </c>
      <c r="E94" s="27">
        <v>100</v>
      </c>
      <c r="F94" s="27">
        <v>9424</v>
      </c>
      <c r="G94" s="26">
        <f t="shared" si="4"/>
        <v>94.24</v>
      </c>
      <c r="H94" s="27">
        <v>22766.5</v>
      </c>
      <c r="I94" s="10">
        <v>4704</v>
      </c>
      <c r="J94" s="28">
        <f t="shared" si="5"/>
        <v>48.316001697792871</v>
      </c>
      <c r="K94" s="2">
        <v>24458</v>
      </c>
      <c r="L94" s="27">
        <v>91</v>
      </c>
      <c r="M94" s="2">
        <v>25480</v>
      </c>
      <c r="N94" s="27">
        <v>1905</v>
      </c>
      <c r="O94" s="27" t="s">
        <v>1965</v>
      </c>
      <c r="P94" s="27"/>
      <c r="Q94" s="27"/>
      <c r="R94" s="27"/>
      <c r="S94" s="27"/>
    </row>
    <row r="95" spans="1:19" x14ac:dyDescent="0.25">
      <c r="A95" s="27" t="s">
        <v>1471</v>
      </c>
      <c r="B95" s="27" t="str">
        <f t="shared" si="6"/>
        <v>Texas</v>
      </c>
      <c r="C95" s="27" t="str">
        <f t="shared" si="7"/>
        <v>Hidalgo</v>
      </c>
      <c r="D95" s="27">
        <v>99899</v>
      </c>
      <c r="E95" s="27">
        <v>25</v>
      </c>
      <c r="F95" s="27">
        <v>3380</v>
      </c>
      <c r="G95" s="26">
        <f t="shared" si="4"/>
        <v>135.19999999999999</v>
      </c>
      <c r="H95" s="27">
        <v>10646</v>
      </c>
      <c r="I95" s="10">
        <v>820</v>
      </c>
      <c r="J95" s="28">
        <f t="shared" si="5"/>
        <v>62.994082840236686</v>
      </c>
      <c r="K95" s="2">
        <v>13777</v>
      </c>
      <c r="L95" s="27">
        <v>22</v>
      </c>
      <c r="M95" s="2">
        <v>9066</v>
      </c>
      <c r="N95" s="27">
        <v>1905</v>
      </c>
      <c r="O95" s="27" t="s">
        <v>1965</v>
      </c>
      <c r="P95" s="27"/>
      <c r="Q95" s="27"/>
      <c r="R95" s="27"/>
      <c r="S95" s="27"/>
    </row>
    <row r="96" spans="1:19" x14ac:dyDescent="0.25">
      <c r="A96" s="27" t="s">
        <v>1472</v>
      </c>
      <c r="B96" s="27" t="str">
        <f t="shared" si="6"/>
        <v>Texas</v>
      </c>
      <c r="C96" s="27" t="str">
        <f t="shared" si="7"/>
        <v>Hill</v>
      </c>
      <c r="D96" s="27">
        <v>521650</v>
      </c>
      <c r="E96" s="27">
        <v>168</v>
      </c>
      <c r="F96" s="27">
        <v>17283</v>
      </c>
      <c r="G96" s="26">
        <f t="shared" si="4"/>
        <v>102.875</v>
      </c>
      <c r="H96" s="27">
        <v>41852.660000000003</v>
      </c>
      <c r="I96" s="10">
        <v>9024</v>
      </c>
      <c r="J96" s="28">
        <f t="shared" si="5"/>
        <v>48.43217034079732</v>
      </c>
      <c r="K96" s="2">
        <v>47721</v>
      </c>
      <c r="L96" s="27">
        <v>124</v>
      </c>
      <c r="M96" s="2">
        <v>75695</v>
      </c>
      <c r="N96" s="27">
        <v>1905</v>
      </c>
      <c r="O96" s="27" t="s">
        <v>1965</v>
      </c>
      <c r="P96" s="27"/>
      <c r="Q96" s="27"/>
      <c r="R96" s="27"/>
      <c r="S96" s="27"/>
    </row>
    <row r="97" spans="1:19" x14ac:dyDescent="0.25">
      <c r="A97" s="27" t="s">
        <v>1473</v>
      </c>
      <c r="B97" s="27" t="str">
        <f t="shared" si="6"/>
        <v>Texas</v>
      </c>
      <c r="C97" s="27" t="str">
        <f t="shared" si="7"/>
        <v>Hockley</v>
      </c>
      <c r="D97" s="27">
        <v>278</v>
      </c>
      <c r="E97" s="27">
        <v>1</v>
      </c>
      <c r="F97" s="27">
        <v>26</v>
      </c>
      <c r="G97" s="26">
        <f t="shared" si="4"/>
        <v>26</v>
      </c>
      <c r="H97" s="27">
        <v>165</v>
      </c>
      <c r="I97" s="10">
        <v>12</v>
      </c>
      <c r="J97" s="28">
        <f t="shared" si="5"/>
        <v>126.92307692307692</v>
      </c>
      <c r="K97" s="2">
        <v>249</v>
      </c>
      <c r="L97" s="27"/>
      <c r="M97" s="2">
        <v>315</v>
      </c>
      <c r="N97" s="27">
        <v>1905</v>
      </c>
      <c r="O97" s="27" t="s">
        <v>1965</v>
      </c>
      <c r="P97" s="27"/>
      <c r="Q97" s="27"/>
      <c r="R97" s="27"/>
      <c r="S97" s="27"/>
    </row>
    <row r="98" spans="1:19" x14ac:dyDescent="0.25">
      <c r="A98" s="27" t="s">
        <v>1474</v>
      </c>
      <c r="B98" s="27" t="str">
        <f t="shared" si="6"/>
        <v>Texas</v>
      </c>
      <c r="C98" s="27" t="str">
        <f t="shared" si="7"/>
        <v>Hood</v>
      </c>
      <c r="D98" s="27">
        <v>96198</v>
      </c>
      <c r="E98" s="27">
        <v>40</v>
      </c>
      <c r="F98" s="27">
        <v>2968</v>
      </c>
      <c r="G98" s="26">
        <f t="shared" si="4"/>
        <v>74.2</v>
      </c>
      <c r="H98" s="27">
        <v>8903.3700000000008</v>
      </c>
      <c r="I98" s="10">
        <v>1775</v>
      </c>
      <c r="J98" s="28">
        <f t="shared" si="5"/>
        <v>59.995754716981139</v>
      </c>
      <c r="K98" s="2">
        <v>9395</v>
      </c>
      <c r="L98" s="27">
        <v>33</v>
      </c>
      <c r="M98" s="2">
        <v>10360</v>
      </c>
      <c r="N98" s="27">
        <v>1905</v>
      </c>
      <c r="O98" s="27" t="s">
        <v>1965</v>
      </c>
      <c r="P98" s="27"/>
      <c r="Q98" s="27"/>
      <c r="R98" s="27"/>
      <c r="S98" s="27"/>
    </row>
    <row r="99" spans="1:19" x14ac:dyDescent="0.25">
      <c r="A99" s="27" t="s">
        <v>1475</v>
      </c>
      <c r="B99" s="27" t="str">
        <f t="shared" si="6"/>
        <v>Texas</v>
      </c>
      <c r="C99" s="27" t="str">
        <f t="shared" si="7"/>
        <v>Hopkins</v>
      </c>
      <c r="D99" s="27">
        <v>363398</v>
      </c>
      <c r="E99" s="27">
        <v>136</v>
      </c>
      <c r="F99" s="27">
        <v>13410</v>
      </c>
      <c r="G99" s="26">
        <f t="shared" si="4"/>
        <v>98.602941176470594</v>
      </c>
      <c r="H99" s="27">
        <v>33976.339999999997</v>
      </c>
      <c r="I99" s="10">
        <v>7568</v>
      </c>
      <c r="J99" s="28">
        <f t="shared" si="5"/>
        <v>50.673139448172996</v>
      </c>
      <c r="K99" s="2">
        <v>35550</v>
      </c>
      <c r="L99" s="27">
        <v>111</v>
      </c>
      <c r="M99" s="2">
        <v>36455</v>
      </c>
      <c r="N99" s="27">
        <v>1905</v>
      </c>
      <c r="O99" s="27" t="s">
        <v>1965</v>
      </c>
      <c r="P99" s="27"/>
      <c r="Q99" s="27"/>
      <c r="R99" s="27"/>
      <c r="S99" s="27"/>
    </row>
    <row r="100" spans="1:19" x14ac:dyDescent="0.25">
      <c r="A100" s="27" t="s">
        <v>1477</v>
      </c>
      <c r="B100" s="27" t="str">
        <f t="shared" si="6"/>
        <v>Texas</v>
      </c>
      <c r="C100" s="27" t="str">
        <f t="shared" si="7"/>
        <v>Howard</v>
      </c>
      <c r="D100" s="27">
        <v>15678</v>
      </c>
      <c r="E100" s="27">
        <v>9</v>
      </c>
      <c r="F100" s="27">
        <v>1010</v>
      </c>
      <c r="G100" s="26">
        <f t="shared" si="4"/>
        <v>112.22222222222223</v>
      </c>
      <c r="H100" s="27">
        <v>2200</v>
      </c>
      <c r="I100" s="10">
        <v>264</v>
      </c>
      <c r="J100" s="28">
        <f t="shared" si="5"/>
        <v>43.56435643564356</v>
      </c>
      <c r="K100" s="2">
        <v>2501</v>
      </c>
      <c r="L100" s="27">
        <v>9</v>
      </c>
      <c r="M100" s="2">
        <v>1725</v>
      </c>
      <c r="N100" s="27">
        <v>1905</v>
      </c>
      <c r="O100" s="27" t="s">
        <v>1965</v>
      </c>
      <c r="P100" s="27"/>
      <c r="Q100" s="27"/>
      <c r="R100" s="27"/>
      <c r="S100" s="27"/>
    </row>
    <row r="101" spans="1:19" x14ac:dyDescent="0.25">
      <c r="A101" s="27" t="s">
        <v>1479</v>
      </c>
      <c r="B101" s="27" t="str">
        <f t="shared" si="6"/>
        <v>Texas</v>
      </c>
      <c r="C101" s="27" t="str">
        <f t="shared" si="7"/>
        <v>Hunt</v>
      </c>
      <c r="D101" s="27">
        <v>444201</v>
      </c>
      <c r="E101" s="27">
        <v>158</v>
      </c>
      <c r="F101" s="27">
        <v>14980</v>
      </c>
      <c r="G101" s="26">
        <f t="shared" si="4"/>
        <v>94.810126582278485</v>
      </c>
      <c r="H101" s="27">
        <v>38071.440000000002</v>
      </c>
      <c r="I101" s="10">
        <v>8110</v>
      </c>
      <c r="J101" s="28">
        <f t="shared" si="5"/>
        <v>50.829692923898527</v>
      </c>
      <c r="K101" s="2">
        <v>41109</v>
      </c>
      <c r="L101" s="27">
        <v>134</v>
      </c>
      <c r="M101" s="2">
        <v>90958</v>
      </c>
      <c r="N101" s="27">
        <v>1905</v>
      </c>
      <c r="O101" s="27" t="s">
        <v>1965</v>
      </c>
      <c r="P101" s="27"/>
      <c r="Q101" s="27"/>
      <c r="R101" s="27"/>
      <c r="S101" s="27"/>
    </row>
    <row r="102" spans="1:19" x14ac:dyDescent="0.25">
      <c r="A102" s="27" t="s">
        <v>1480</v>
      </c>
      <c r="B102" s="27" t="str">
        <f t="shared" si="6"/>
        <v>Texas</v>
      </c>
      <c r="C102" s="27" t="str">
        <f t="shared" si="7"/>
        <v>Hutchinson</v>
      </c>
      <c r="D102" s="27">
        <v>11766</v>
      </c>
      <c r="E102" s="27">
        <v>12</v>
      </c>
      <c r="F102" s="27">
        <v>985</v>
      </c>
      <c r="G102" s="26">
        <f t="shared" si="4"/>
        <v>82.083333333333329</v>
      </c>
      <c r="H102" s="27">
        <v>2389.9499999999998</v>
      </c>
      <c r="I102" s="10">
        <v>209</v>
      </c>
      <c r="J102" s="28">
        <f t="shared" si="5"/>
        <v>48.526903553299498</v>
      </c>
      <c r="K102" s="2">
        <v>2762</v>
      </c>
      <c r="L102" s="27">
        <v>9</v>
      </c>
      <c r="M102" s="2">
        <v>1660</v>
      </c>
      <c r="N102" s="27">
        <v>1905</v>
      </c>
      <c r="O102" s="27" t="s">
        <v>1965</v>
      </c>
      <c r="P102" s="27"/>
      <c r="Q102" s="27"/>
      <c r="R102" s="27"/>
      <c r="S102" s="27"/>
    </row>
    <row r="103" spans="1:19" x14ac:dyDescent="0.25">
      <c r="A103" s="27" t="s">
        <v>1481</v>
      </c>
      <c r="B103" s="27" t="str">
        <f t="shared" si="6"/>
        <v>Texas</v>
      </c>
      <c r="C103" s="27" t="str">
        <f t="shared" si="7"/>
        <v>Irion</v>
      </c>
      <c r="D103" s="27">
        <v>24064</v>
      </c>
      <c r="E103" s="27">
        <v>6</v>
      </c>
      <c r="F103" s="27">
        <v>756</v>
      </c>
      <c r="G103" s="26">
        <f t="shared" si="4"/>
        <v>126</v>
      </c>
      <c r="H103" s="27">
        <v>2080</v>
      </c>
      <c r="I103" s="10">
        <v>258</v>
      </c>
      <c r="J103" s="28">
        <f t="shared" si="5"/>
        <v>55.026455026455032</v>
      </c>
      <c r="K103" s="2">
        <v>2338</v>
      </c>
      <c r="L103" s="27">
        <v>3</v>
      </c>
      <c r="M103" s="2">
        <v>3975</v>
      </c>
      <c r="N103" s="27">
        <v>1905</v>
      </c>
      <c r="O103" s="27" t="s">
        <v>1965</v>
      </c>
      <c r="P103" s="27"/>
      <c r="Q103" s="27"/>
      <c r="R103" s="27"/>
      <c r="S103" s="27"/>
    </row>
    <row r="104" spans="1:19" x14ac:dyDescent="0.25">
      <c r="A104" s="27" t="s">
        <v>1482</v>
      </c>
      <c r="B104" s="27" t="str">
        <f t="shared" si="6"/>
        <v>Texas</v>
      </c>
      <c r="C104" s="27" t="str">
        <f t="shared" si="7"/>
        <v>Jack</v>
      </c>
      <c r="D104" s="27">
        <v>123020</v>
      </c>
      <c r="E104" s="27">
        <v>54</v>
      </c>
      <c r="F104" s="27">
        <v>5025</v>
      </c>
      <c r="G104" s="26">
        <f t="shared" si="4"/>
        <v>93.055555555555557</v>
      </c>
      <c r="H104" s="27">
        <v>11881.44</v>
      </c>
      <c r="I104" s="10">
        <v>2304</v>
      </c>
      <c r="J104" s="28">
        <f t="shared" si="5"/>
        <v>47.289313432835826</v>
      </c>
      <c r="K104" s="2">
        <v>13583</v>
      </c>
      <c r="L104" s="27">
        <v>49</v>
      </c>
      <c r="M104" s="2">
        <v>18810</v>
      </c>
      <c r="N104" s="27">
        <v>1905</v>
      </c>
      <c r="O104" s="27" t="s">
        <v>1965</v>
      </c>
      <c r="P104" s="27"/>
      <c r="Q104" s="27"/>
      <c r="R104" s="27"/>
      <c r="S104" s="27"/>
    </row>
    <row r="105" spans="1:19" x14ac:dyDescent="0.25">
      <c r="A105" s="27" t="s">
        <v>1483</v>
      </c>
      <c r="B105" s="27" t="str">
        <f t="shared" si="6"/>
        <v>Texas</v>
      </c>
      <c r="C105" s="27" t="str">
        <f t="shared" si="7"/>
        <v>Jackson</v>
      </c>
      <c r="D105" s="27">
        <v>41642</v>
      </c>
      <c r="E105" s="27">
        <v>27</v>
      </c>
      <c r="F105" s="27">
        <v>3159</v>
      </c>
      <c r="G105" s="26">
        <f t="shared" si="4"/>
        <v>117</v>
      </c>
      <c r="H105" s="27">
        <v>5733.24</v>
      </c>
      <c r="I105" s="10">
        <v>725</v>
      </c>
      <c r="J105" s="28">
        <f t="shared" si="5"/>
        <v>36.297815764482429</v>
      </c>
      <c r="K105" s="2">
        <v>6015</v>
      </c>
      <c r="L105" s="27">
        <v>29</v>
      </c>
      <c r="M105" s="2">
        <v>5505</v>
      </c>
      <c r="N105" s="27">
        <v>1905</v>
      </c>
      <c r="O105" s="27" t="s">
        <v>1965</v>
      </c>
      <c r="P105" s="27"/>
      <c r="Q105" s="27"/>
      <c r="R105" s="27"/>
      <c r="S105" s="27"/>
    </row>
    <row r="106" spans="1:19" x14ac:dyDescent="0.25">
      <c r="A106" s="27" t="s">
        <v>1484</v>
      </c>
      <c r="B106" s="27" t="str">
        <f t="shared" si="6"/>
        <v>Texas</v>
      </c>
      <c r="C106" s="27" t="str">
        <f t="shared" si="7"/>
        <v>Jasper</v>
      </c>
      <c r="D106" s="27">
        <v>170971</v>
      </c>
      <c r="E106" s="27">
        <v>81</v>
      </c>
      <c r="F106" s="27">
        <v>5896</v>
      </c>
      <c r="G106" s="26">
        <f t="shared" si="4"/>
        <v>72.790123456790127</v>
      </c>
      <c r="H106" s="27">
        <v>14552.38</v>
      </c>
      <c r="I106" s="10">
        <v>3010</v>
      </c>
      <c r="J106" s="28">
        <f t="shared" si="5"/>
        <v>49.363568521031205</v>
      </c>
      <c r="K106" s="2">
        <v>16349</v>
      </c>
      <c r="L106" s="27">
        <v>57</v>
      </c>
      <c r="M106" s="2">
        <v>12345</v>
      </c>
      <c r="N106" s="27">
        <v>1905</v>
      </c>
      <c r="O106" s="27" t="s">
        <v>1965</v>
      </c>
      <c r="P106" s="27"/>
      <c r="Q106" s="27"/>
      <c r="R106" s="27"/>
      <c r="S106" s="27"/>
    </row>
    <row r="107" spans="1:19" x14ac:dyDescent="0.25">
      <c r="A107" s="27" t="s">
        <v>1485</v>
      </c>
      <c r="B107" s="27" t="str">
        <f t="shared" si="6"/>
        <v>Texas</v>
      </c>
      <c r="C107" s="27" t="str">
        <f t="shared" si="7"/>
        <v>Jeff Davis</v>
      </c>
      <c r="D107" s="27">
        <v>10756</v>
      </c>
      <c r="E107" s="27">
        <v>6</v>
      </c>
      <c r="F107" s="27">
        <v>892</v>
      </c>
      <c r="G107" s="26">
        <f t="shared" si="4"/>
        <v>148.66666666666666</v>
      </c>
      <c r="H107" s="27">
        <v>2473.25</v>
      </c>
      <c r="I107" s="10">
        <v>129</v>
      </c>
      <c r="J107" s="28">
        <f t="shared" si="5"/>
        <v>55.454035874439462</v>
      </c>
      <c r="K107" s="2">
        <v>2765</v>
      </c>
      <c r="L107" s="27">
        <v>6</v>
      </c>
      <c r="M107" s="2">
        <v>4575</v>
      </c>
      <c r="N107" s="27">
        <v>1905</v>
      </c>
      <c r="O107" s="27" t="s">
        <v>1965</v>
      </c>
      <c r="P107" s="27"/>
      <c r="Q107" s="27"/>
      <c r="R107" s="27"/>
      <c r="S107" s="27"/>
    </row>
    <row r="108" spans="1:19" x14ac:dyDescent="0.25">
      <c r="A108" s="27" t="s">
        <v>1486</v>
      </c>
      <c r="B108" s="27" t="str">
        <f t="shared" si="6"/>
        <v>Texas</v>
      </c>
      <c r="C108" s="27" t="str">
        <f t="shared" si="7"/>
        <v>Jefferson</v>
      </c>
      <c r="D108" s="27">
        <v>101236</v>
      </c>
      <c r="E108" s="27">
        <v>27</v>
      </c>
      <c r="F108" s="27">
        <v>3853</v>
      </c>
      <c r="G108" s="26">
        <f t="shared" si="4"/>
        <v>142.7037037037037</v>
      </c>
      <c r="H108" s="27">
        <v>10010.5</v>
      </c>
      <c r="I108" s="10">
        <v>1152</v>
      </c>
      <c r="J108" s="28">
        <f t="shared" si="5"/>
        <v>51.962107448741243</v>
      </c>
      <c r="K108" s="2">
        <v>12155</v>
      </c>
      <c r="L108" s="27">
        <v>22</v>
      </c>
      <c r="M108" s="2">
        <v>8005</v>
      </c>
      <c r="N108" s="27">
        <v>1905</v>
      </c>
      <c r="O108" s="27" t="s">
        <v>1965</v>
      </c>
      <c r="P108" s="27"/>
      <c r="Q108" s="27"/>
      <c r="R108" s="27"/>
      <c r="S108" s="27"/>
    </row>
    <row r="109" spans="1:19" x14ac:dyDescent="0.25">
      <c r="A109" s="27" t="s">
        <v>1489</v>
      </c>
      <c r="B109" s="27" t="str">
        <f t="shared" si="6"/>
        <v>Texas</v>
      </c>
      <c r="C109" s="27" t="str">
        <f t="shared" si="7"/>
        <v>Johnson</v>
      </c>
      <c r="D109" s="27">
        <v>309062</v>
      </c>
      <c r="E109" s="27">
        <v>111</v>
      </c>
      <c r="F109" s="27">
        <v>9992</v>
      </c>
      <c r="G109" s="26">
        <f t="shared" si="4"/>
        <v>90.018018018018012</v>
      </c>
      <c r="H109" s="27">
        <v>25225.42</v>
      </c>
      <c r="I109" s="10">
        <v>5236</v>
      </c>
      <c r="J109" s="28">
        <f t="shared" si="5"/>
        <v>50.491232986389115</v>
      </c>
      <c r="K109" s="2">
        <v>37130</v>
      </c>
      <c r="L109" s="27">
        <v>83</v>
      </c>
      <c r="M109" s="2">
        <v>42883</v>
      </c>
      <c r="N109" s="27">
        <v>1905</v>
      </c>
      <c r="O109" s="27" t="s">
        <v>1965</v>
      </c>
      <c r="P109" s="27"/>
      <c r="Q109" s="27"/>
      <c r="R109" s="27"/>
      <c r="S109" s="27"/>
    </row>
    <row r="110" spans="1:19" x14ac:dyDescent="0.25">
      <c r="A110" s="27" t="s">
        <v>1490</v>
      </c>
      <c r="B110" s="27" t="str">
        <f t="shared" si="6"/>
        <v>Texas</v>
      </c>
      <c r="C110" s="27" t="str">
        <f t="shared" si="7"/>
        <v>Jones</v>
      </c>
      <c r="D110" s="27">
        <v>140968</v>
      </c>
      <c r="E110" s="27">
        <v>55</v>
      </c>
      <c r="F110" s="27">
        <v>5285</v>
      </c>
      <c r="G110" s="26">
        <f t="shared" si="4"/>
        <v>96.090909090909093</v>
      </c>
      <c r="H110" s="27">
        <v>12756.5</v>
      </c>
      <c r="I110" s="10">
        <v>2574</v>
      </c>
      <c r="J110" s="28">
        <f t="shared" si="5"/>
        <v>48.274361400189214</v>
      </c>
      <c r="K110" s="2">
        <v>14528</v>
      </c>
      <c r="L110" s="27">
        <v>52</v>
      </c>
      <c r="M110" s="2">
        <v>16431</v>
      </c>
      <c r="N110" s="27">
        <v>1905</v>
      </c>
      <c r="O110" s="27" t="s">
        <v>1965</v>
      </c>
      <c r="P110" s="27"/>
      <c r="Q110" s="27"/>
      <c r="R110" s="27"/>
      <c r="S110" s="27"/>
    </row>
    <row r="111" spans="1:19" x14ac:dyDescent="0.25">
      <c r="A111" s="27" t="s">
        <v>1491</v>
      </c>
      <c r="B111" s="27" t="str">
        <f t="shared" si="6"/>
        <v>Texas</v>
      </c>
      <c r="C111" s="27" t="str">
        <f t="shared" si="7"/>
        <v>Karnes</v>
      </c>
      <c r="D111" s="27">
        <v>80831</v>
      </c>
      <c r="E111" s="27">
        <v>33</v>
      </c>
      <c r="F111" s="27">
        <v>4174</v>
      </c>
      <c r="G111" s="26">
        <f t="shared" si="4"/>
        <v>126.48484848484848</v>
      </c>
      <c r="H111" s="27">
        <v>9489.74</v>
      </c>
      <c r="I111" s="10">
        <v>1060</v>
      </c>
      <c r="J111" s="28">
        <f t="shared" si="5"/>
        <v>45.470723526593197</v>
      </c>
      <c r="K111" s="2">
        <v>11007</v>
      </c>
      <c r="L111" s="27">
        <v>28</v>
      </c>
      <c r="M111" s="2">
        <v>11096</v>
      </c>
      <c r="N111" s="27">
        <v>1905</v>
      </c>
      <c r="O111" s="27" t="s">
        <v>1965</v>
      </c>
      <c r="P111" s="27"/>
      <c r="Q111" s="27"/>
      <c r="R111" s="27"/>
      <c r="S111" s="27"/>
    </row>
    <row r="112" spans="1:19" x14ac:dyDescent="0.25">
      <c r="A112" s="27" t="s">
        <v>1492</v>
      </c>
      <c r="B112" s="27" t="str">
        <f t="shared" si="6"/>
        <v>Texas</v>
      </c>
      <c r="C112" s="27" t="str">
        <f t="shared" si="7"/>
        <v>Kaufman</v>
      </c>
      <c r="D112" s="27">
        <v>268581</v>
      </c>
      <c r="E112" s="27">
        <v>101</v>
      </c>
      <c r="F112" s="27">
        <v>8978</v>
      </c>
      <c r="G112" s="26">
        <f t="shared" si="4"/>
        <v>88.89108910891089</v>
      </c>
      <c r="H112" s="27">
        <v>24250.76</v>
      </c>
      <c r="I112" s="10">
        <v>5101</v>
      </c>
      <c r="J112" s="28">
        <f t="shared" si="5"/>
        <v>54.022633103141011</v>
      </c>
      <c r="K112" s="2">
        <v>27991</v>
      </c>
      <c r="L112" s="27">
        <v>83</v>
      </c>
      <c r="M112" s="2">
        <v>38347</v>
      </c>
      <c r="N112" s="27">
        <v>1905</v>
      </c>
      <c r="O112" s="27" t="s">
        <v>1965</v>
      </c>
      <c r="P112" s="27"/>
      <c r="Q112" s="27"/>
      <c r="R112" s="27"/>
      <c r="S112" s="27"/>
    </row>
    <row r="113" spans="1:19" x14ac:dyDescent="0.25">
      <c r="A113" s="27" t="s">
        <v>1493</v>
      </c>
      <c r="B113" s="27" t="str">
        <f t="shared" si="6"/>
        <v>Texas</v>
      </c>
      <c r="C113" s="27" t="str">
        <f t="shared" si="7"/>
        <v>Kendall</v>
      </c>
      <c r="D113" s="27">
        <v>71240</v>
      </c>
      <c r="E113" s="27">
        <v>28</v>
      </c>
      <c r="F113" s="27">
        <v>2636</v>
      </c>
      <c r="G113" s="26">
        <f t="shared" si="4"/>
        <v>94.142857142857139</v>
      </c>
      <c r="H113" s="27">
        <v>7394.92</v>
      </c>
      <c r="I113" s="10">
        <v>826</v>
      </c>
      <c r="J113" s="28">
        <f t="shared" si="5"/>
        <v>56.107132018209406</v>
      </c>
      <c r="K113" s="2">
        <v>7981</v>
      </c>
      <c r="L113" s="27">
        <v>23</v>
      </c>
      <c r="M113" s="2">
        <v>15250</v>
      </c>
      <c r="N113" s="27">
        <v>1905</v>
      </c>
      <c r="O113" s="27" t="s">
        <v>1965</v>
      </c>
      <c r="P113" s="27"/>
      <c r="Q113" s="27"/>
      <c r="R113" s="27"/>
      <c r="S113" s="27"/>
    </row>
    <row r="114" spans="1:19" x14ac:dyDescent="0.25">
      <c r="A114" s="27" t="s">
        <v>1495</v>
      </c>
      <c r="B114" s="27" t="str">
        <f t="shared" si="6"/>
        <v>Texas</v>
      </c>
      <c r="C114" s="27" t="str">
        <f t="shared" si="7"/>
        <v>Kent</v>
      </c>
      <c r="D114" s="27">
        <v>21087</v>
      </c>
      <c r="E114" s="27">
        <v>14</v>
      </c>
      <c r="F114" s="27">
        <v>1493</v>
      </c>
      <c r="G114" s="26">
        <f t="shared" ref="G114:G157" si="8">F114/E114</f>
        <v>106.64285714285714</v>
      </c>
      <c r="H114" s="27">
        <v>3760</v>
      </c>
      <c r="I114" s="10">
        <v>367</v>
      </c>
      <c r="J114" s="28">
        <f t="shared" ref="J114:J157" si="9">H114/E114/(G114/20)</f>
        <v>50.368385800401867</v>
      </c>
      <c r="K114" s="2">
        <v>4271</v>
      </c>
      <c r="L114" s="27">
        <v>15</v>
      </c>
      <c r="M114" s="2">
        <v>1865</v>
      </c>
      <c r="N114" s="27">
        <v>1905</v>
      </c>
      <c r="O114" s="27" t="s">
        <v>1965</v>
      </c>
      <c r="P114" s="27"/>
      <c r="Q114" s="27"/>
      <c r="R114" s="27"/>
      <c r="S114" s="27"/>
    </row>
    <row r="115" spans="1:19" x14ac:dyDescent="0.25">
      <c r="A115" s="27" t="s">
        <v>1496</v>
      </c>
      <c r="B115" s="27" t="str">
        <f t="shared" si="6"/>
        <v>Texas</v>
      </c>
      <c r="C115" s="27" t="str">
        <f t="shared" si="7"/>
        <v>Kerr</v>
      </c>
      <c r="D115" s="27">
        <v>34558</v>
      </c>
      <c r="E115" s="27">
        <v>17</v>
      </c>
      <c r="F115" s="27">
        <v>1872</v>
      </c>
      <c r="G115" s="26">
        <f t="shared" si="8"/>
        <v>110.11764705882354</v>
      </c>
      <c r="H115" s="27">
        <v>3533.53</v>
      </c>
      <c r="I115" s="10">
        <v>469</v>
      </c>
      <c r="J115" s="28">
        <f t="shared" si="9"/>
        <v>37.75138888888889</v>
      </c>
      <c r="K115" s="2">
        <v>3815</v>
      </c>
      <c r="L115" s="27">
        <v>15</v>
      </c>
      <c r="M115" s="2">
        <v>2833</v>
      </c>
      <c r="N115" s="27">
        <v>1905</v>
      </c>
      <c r="O115" s="27" t="s">
        <v>1965</v>
      </c>
      <c r="P115" s="27"/>
      <c r="Q115" s="27"/>
      <c r="R115" s="27"/>
      <c r="S115" s="27"/>
    </row>
    <row r="116" spans="1:19" x14ac:dyDescent="0.25">
      <c r="A116" s="27" t="s">
        <v>1497</v>
      </c>
      <c r="B116" s="27" t="str">
        <f t="shared" si="6"/>
        <v>Texas</v>
      </c>
      <c r="C116" s="27" t="str">
        <f t="shared" si="7"/>
        <v>Kimble</v>
      </c>
      <c r="D116" s="27">
        <v>51560</v>
      </c>
      <c r="E116" s="27">
        <v>26</v>
      </c>
      <c r="F116" s="27">
        <v>2543</v>
      </c>
      <c r="G116" s="26">
        <f t="shared" si="8"/>
        <v>97.807692307692307</v>
      </c>
      <c r="H116" s="27">
        <v>5432.75</v>
      </c>
      <c r="I116" s="10">
        <v>747</v>
      </c>
      <c r="J116" s="28">
        <f t="shared" si="9"/>
        <v>42.727093983484075</v>
      </c>
      <c r="K116" s="2">
        <v>6122</v>
      </c>
      <c r="L116" s="27">
        <v>22</v>
      </c>
      <c r="M116" s="2">
        <v>9350</v>
      </c>
      <c r="N116" s="27">
        <v>1905</v>
      </c>
      <c r="O116" s="27" t="s">
        <v>1965</v>
      </c>
      <c r="P116" s="27"/>
      <c r="Q116" s="27"/>
      <c r="R116" s="27"/>
      <c r="S116" s="27"/>
    </row>
    <row r="117" spans="1:19" x14ac:dyDescent="0.25">
      <c r="A117" s="27" t="s">
        <v>1498</v>
      </c>
      <c r="B117" s="27" t="str">
        <f t="shared" si="6"/>
        <v>Texas</v>
      </c>
      <c r="C117" s="27" t="str">
        <f t="shared" si="7"/>
        <v>King</v>
      </c>
      <c r="D117" s="27">
        <v>6368</v>
      </c>
      <c r="E117" s="27">
        <v>3</v>
      </c>
      <c r="F117" s="27">
        <v>300</v>
      </c>
      <c r="G117" s="26">
        <f t="shared" si="8"/>
        <v>100</v>
      </c>
      <c r="H117" s="27">
        <v>768.5</v>
      </c>
      <c r="I117" s="10">
        <v>82</v>
      </c>
      <c r="J117" s="28">
        <f t="shared" si="9"/>
        <v>51.233333333333334</v>
      </c>
      <c r="K117" s="2">
        <v>823</v>
      </c>
      <c r="L117" s="27">
        <v>3</v>
      </c>
      <c r="M117" s="2">
        <v>1455</v>
      </c>
      <c r="N117" s="27">
        <v>1905</v>
      </c>
      <c r="O117" s="27" t="s">
        <v>1965</v>
      </c>
      <c r="P117" s="27"/>
      <c r="Q117" s="27"/>
      <c r="R117" s="27"/>
      <c r="S117" s="27"/>
    </row>
    <row r="118" spans="1:19" x14ac:dyDescent="0.25">
      <c r="A118" s="27" t="s">
        <v>1499</v>
      </c>
      <c r="B118" s="27" t="str">
        <f t="shared" si="6"/>
        <v>Texas</v>
      </c>
      <c r="C118" s="27" t="str">
        <f t="shared" si="7"/>
        <v>Kinney</v>
      </c>
      <c r="D118" s="27">
        <v>39928</v>
      </c>
      <c r="E118" s="27">
        <v>12</v>
      </c>
      <c r="F118" s="27">
        <v>1732</v>
      </c>
      <c r="G118" s="26">
        <f t="shared" si="8"/>
        <v>144.33333333333334</v>
      </c>
      <c r="H118" s="27">
        <v>4825</v>
      </c>
      <c r="I118" s="10">
        <v>358</v>
      </c>
      <c r="J118" s="28">
        <f t="shared" si="9"/>
        <v>55.715935334872974</v>
      </c>
      <c r="K118" s="2">
        <v>5244</v>
      </c>
      <c r="L118" s="27">
        <v>7</v>
      </c>
      <c r="M118" s="2">
        <v>3255</v>
      </c>
      <c r="N118" s="27">
        <v>1905</v>
      </c>
      <c r="O118" s="27" t="s">
        <v>1965</v>
      </c>
      <c r="P118" s="27"/>
      <c r="Q118" s="27"/>
      <c r="R118" s="27"/>
      <c r="S118" s="27"/>
    </row>
    <row r="119" spans="1:19" x14ac:dyDescent="0.25">
      <c r="A119" s="27" t="s">
        <v>1501</v>
      </c>
      <c r="B119" s="27" t="str">
        <f t="shared" si="6"/>
        <v>Texas</v>
      </c>
      <c r="C119" s="27" t="str">
        <f t="shared" si="7"/>
        <v>Knox</v>
      </c>
      <c r="D119" s="27">
        <v>70536</v>
      </c>
      <c r="E119" s="27">
        <v>24</v>
      </c>
      <c r="F119" s="27">
        <v>2771</v>
      </c>
      <c r="G119" s="26">
        <f t="shared" si="8"/>
        <v>115.45833333333333</v>
      </c>
      <c r="H119" s="27">
        <v>7693.14</v>
      </c>
      <c r="I119" s="10">
        <v>1076</v>
      </c>
      <c r="J119" s="28">
        <f t="shared" si="9"/>
        <v>55.526091663659336</v>
      </c>
      <c r="K119" s="2">
        <v>8977</v>
      </c>
      <c r="L119" s="27">
        <v>15</v>
      </c>
      <c r="M119" s="2">
        <v>4848</v>
      </c>
      <c r="N119" s="27">
        <v>1905</v>
      </c>
      <c r="O119" s="27" t="s">
        <v>1965</v>
      </c>
      <c r="P119" s="27"/>
      <c r="Q119" s="27"/>
      <c r="R119" s="27"/>
      <c r="S119" s="27"/>
    </row>
    <row r="120" spans="1:19" x14ac:dyDescent="0.25">
      <c r="A120" s="27" t="s">
        <v>1502</v>
      </c>
      <c r="B120" s="27" t="str">
        <f t="shared" si="6"/>
        <v>Texas</v>
      </c>
      <c r="C120" s="27" t="str">
        <f t="shared" si="7"/>
        <v>Lamar</v>
      </c>
      <c r="D120" s="27">
        <v>503402</v>
      </c>
      <c r="E120" s="27">
        <v>188</v>
      </c>
      <c r="F120" s="27">
        <v>20136</v>
      </c>
      <c r="G120" s="26">
        <f t="shared" si="8"/>
        <v>107.1063829787234</v>
      </c>
      <c r="H120" s="27">
        <v>47857.75</v>
      </c>
      <c r="I120" s="10">
        <v>981</v>
      </c>
      <c r="J120" s="28">
        <f t="shared" si="9"/>
        <v>47.534515295987291</v>
      </c>
      <c r="K120" s="2">
        <v>51034</v>
      </c>
      <c r="L120" s="27">
        <v>160</v>
      </c>
      <c r="M120" s="2">
        <v>60552</v>
      </c>
      <c r="N120" s="27">
        <v>1905</v>
      </c>
      <c r="O120" s="27" t="s">
        <v>1965</v>
      </c>
      <c r="P120" s="27"/>
      <c r="Q120" s="27"/>
      <c r="R120" s="27"/>
      <c r="S120" s="27"/>
    </row>
    <row r="121" spans="1:19" x14ac:dyDescent="0.25">
      <c r="A121" s="27" t="s">
        <v>1503</v>
      </c>
      <c r="B121" s="27" t="str">
        <f t="shared" si="6"/>
        <v>Texas</v>
      </c>
      <c r="C121" s="27" t="str">
        <f t="shared" si="7"/>
        <v>Lamb</v>
      </c>
      <c r="D121" s="27">
        <v>558</v>
      </c>
      <c r="E121" s="27">
        <v>1</v>
      </c>
      <c r="F121" s="27">
        <v>55</v>
      </c>
      <c r="G121" s="26">
        <f t="shared" si="8"/>
        <v>55</v>
      </c>
      <c r="H121" s="27">
        <v>814</v>
      </c>
      <c r="I121" s="10">
        <v>17</v>
      </c>
      <c r="J121" s="28">
        <f t="shared" si="9"/>
        <v>296</v>
      </c>
      <c r="K121" s="2">
        <v>879</v>
      </c>
      <c r="L121" s="27"/>
      <c r="M121" s="2"/>
      <c r="N121" s="27">
        <v>1905</v>
      </c>
      <c r="O121" s="27" t="s">
        <v>1965</v>
      </c>
      <c r="P121" s="27"/>
      <c r="Q121" s="27"/>
      <c r="R121" s="27"/>
      <c r="S121" s="27"/>
    </row>
    <row r="122" spans="1:19" x14ac:dyDescent="0.25">
      <c r="A122" s="27" t="s">
        <v>1504</v>
      </c>
      <c r="B122" s="27" t="str">
        <f t="shared" si="6"/>
        <v>Texas</v>
      </c>
      <c r="C122" s="27" t="str">
        <f t="shared" si="7"/>
        <v>Lampasas</v>
      </c>
      <c r="D122" s="27">
        <v>103110</v>
      </c>
      <c r="E122" s="27">
        <v>41</v>
      </c>
      <c r="F122" s="27">
        <v>3931</v>
      </c>
      <c r="G122" s="26">
        <f t="shared" si="8"/>
        <v>95.878048780487802</v>
      </c>
      <c r="H122" s="27">
        <v>8667.26</v>
      </c>
      <c r="I122" s="10">
        <v>1689</v>
      </c>
      <c r="J122" s="28">
        <f t="shared" si="9"/>
        <v>44.096972780462991</v>
      </c>
      <c r="K122" s="2">
        <v>9185</v>
      </c>
      <c r="L122" s="27">
        <v>36</v>
      </c>
      <c r="M122" s="2">
        <v>16175</v>
      </c>
      <c r="N122" s="27">
        <v>1905</v>
      </c>
      <c r="O122" s="27" t="s">
        <v>1965</v>
      </c>
      <c r="P122" s="27"/>
      <c r="Q122" s="27"/>
      <c r="R122" s="27"/>
      <c r="S122" s="27"/>
    </row>
    <row r="123" spans="1:19" x14ac:dyDescent="0.25">
      <c r="A123" s="27" t="s">
        <v>1505</v>
      </c>
      <c r="B123" s="27" t="str">
        <f t="shared" si="6"/>
        <v>Texas</v>
      </c>
      <c r="C123" s="27" t="str">
        <f t="shared" si="7"/>
        <v>La Salle</v>
      </c>
      <c r="D123" s="27">
        <v>45512</v>
      </c>
      <c r="E123" s="27">
        <v>9</v>
      </c>
      <c r="F123" s="27">
        <v>1239</v>
      </c>
      <c r="G123" s="26">
        <f t="shared" si="8"/>
        <v>137.66666666666666</v>
      </c>
      <c r="H123" s="27">
        <v>3675.5</v>
      </c>
      <c r="I123" s="10">
        <v>425</v>
      </c>
      <c r="J123" s="28">
        <f t="shared" si="9"/>
        <v>59.330104923325273</v>
      </c>
      <c r="K123" s="2">
        <v>4345</v>
      </c>
      <c r="L123" s="27">
        <v>6</v>
      </c>
      <c r="M123" s="2">
        <v>2821</v>
      </c>
      <c r="N123" s="27">
        <v>1905</v>
      </c>
      <c r="O123" s="27" t="s">
        <v>1965</v>
      </c>
      <c r="P123" s="27"/>
      <c r="Q123" s="27"/>
      <c r="R123" s="27"/>
      <c r="S123" s="27"/>
    </row>
    <row r="124" spans="1:19" x14ac:dyDescent="0.25">
      <c r="A124" s="27" t="s">
        <v>1506</v>
      </c>
      <c r="B124" s="27" t="str">
        <f t="shared" si="6"/>
        <v>Texas</v>
      </c>
      <c r="C124" s="27" t="str">
        <f t="shared" si="7"/>
        <v>Lavaca</v>
      </c>
      <c r="D124" s="27">
        <v>356436</v>
      </c>
      <c r="E124" s="27">
        <v>108</v>
      </c>
      <c r="F124" s="27">
        <v>12154</v>
      </c>
      <c r="G124" s="26">
        <f t="shared" si="8"/>
        <v>112.53703703703704</v>
      </c>
      <c r="H124" s="27">
        <v>29743.65</v>
      </c>
      <c r="I124" s="10">
        <v>5043</v>
      </c>
      <c r="J124" s="28">
        <f t="shared" si="9"/>
        <v>48.944627283198955</v>
      </c>
      <c r="K124" s="2">
        <v>32699</v>
      </c>
      <c r="L124" s="27">
        <v>91</v>
      </c>
      <c r="M124" s="2">
        <v>43161</v>
      </c>
      <c r="N124" s="27">
        <v>1905</v>
      </c>
      <c r="O124" s="27" t="s">
        <v>1965</v>
      </c>
      <c r="P124" s="27"/>
      <c r="Q124" s="27"/>
      <c r="R124" s="27"/>
      <c r="S124" s="27"/>
    </row>
    <row r="125" spans="1:19" x14ac:dyDescent="0.25">
      <c r="A125" s="27" t="s">
        <v>1508</v>
      </c>
      <c r="B125" s="27" t="str">
        <f t="shared" si="6"/>
        <v>Texas</v>
      </c>
      <c r="C125" s="27" t="str">
        <f t="shared" si="7"/>
        <v>Leon</v>
      </c>
      <c r="D125" s="27">
        <v>237665</v>
      </c>
      <c r="E125" s="27">
        <v>105</v>
      </c>
      <c r="F125" s="27">
        <v>9326</v>
      </c>
      <c r="G125" s="26">
        <f t="shared" si="8"/>
        <v>88.819047619047623</v>
      </c>
      <c r="H125" s="27">
        <v>20592.38</v>
      </c>
      <c r="I125" s="10">
        <v>3914</v>
      </c>
      <c r="J125" s="28">
        <f t="shared" si="9"/>
        <v>44.161226678104228</v>
      </c>
      <c r="K125" s="2">
        <v>21057</v>
      </c>
      <c r="L125" s="27">
        <v>99</v>
      </c>
      <c r="M125" s="2">
        <v>13703</v>
      </c>
      <c r="N125" s="27">
        <v>1905</v>
      </c>
      <c r="O125" s="27" t="s">
        <v>1965</v>
      </c>
      <c r="P125" s="27"/>
      <c r="Q125" s="27"/>
      <c r="R125" s="27"/>
      <c r="S125" s="27"/>
    </row>
    <row r="126" spans="1:19" x14ac:dyDescent="0.25">
      <c r="A126" s="27" t="s">
        <v>1509</v>
      </c>
      <c r="B126" s="27" t="str">
        <f t="shared" si="6"/>
        <v>Texas</v>
      </c>
      <c r="C126" s="27" t="str">
        <f t="shared" si="7"/>
        <v>Liberty</v>
      </c>
      <c r="D126" s="27">
        <v>93454</v>
      </c>
      <c r="E126" s="27">
        <v>56</v>
      </c>
      <c r="F126" s="27">
        <v>4289</v>
      </c>
      <c r="G126" s="26">
        <f t="shared" si="8"/>
        <v>76.589285714285708</v>
      </c>
      <c r="H126" s="27">
        <v>10055.280000000001</v>
      </c>
      <c r="I126" s="10">
        <v>1568</v>
      </c>
      <c r="J126" s="28">
        <f t="shared" si="9"/>
        <v>46.88869200279786</v>
      </c>
      <c r="K126" s="2">
        <v>10904</v>
      </c>
      <c r="L126" s="27">
        <v>46</v>
      </c>
      <c r="M126" s="2">
        <v>8067</v>
      </c>
      <c r="N126" s="27">
        <v>1905</v>
      </c>
      <c r="O126" s="27" t="s">
        <v>1965</v>
      </c>
      <c r="P126" s="27"/>
      <c r="Q126" s="27"/>
      <c r="R126" s="27"/>
      <c r="S126" s="27"/>
    </row>
    <row r="127" spans="1:19" x14ac:dyDescent="0.25">
      <c r="A127" s="27" t="s">
        <v>1511</v>
      </c>
      <c r="B127" s="27" t="str">
        <f t="shared" si="6"/>
        <v>Texas</v>
      </c>
      <c r="C127" s="27" t="str">
        <f t="shared" si="7"/>
        <v>Lipscomb</v>
      </c>
      <c r="D127" s="27">
        <v>13307</v>
      </c>
      <c r="E127" s="27">
        <v>10</v>
      </c>
      <c r="F127" s="27">
        <v>1439</v>
      </c>
      <c r="G127" s="26">
        <f t="shared" si="8"/>
        <v>143.9</v>
      </c>
      <c r="H127" s="27">
        <v>3255</v>
      </c>
      <c r="I127" s="10">
        <v>269</v>
      </c>
      <c r="J127" s="28">
        <f t="shared" si="9"/>
        <v>45.239749826268238</v>
      </c>
      <c r="K127" s="2">
        <v>4002</v>
      </c>
      <c r="L127" s="27">
        <v>10</v>
      </c>
      <c r="M127" s="2">
        <v>3190</v>
      </c>
      <c r="N127" s="27">
        <v>1905</v>
      </c>
      <c r="O127" s="27" t="s">
        <v>1965</v>
      </c>
      <c r="P127" s="27"/>
      <c r="Q127" s="27"/>
      <c r="R127" s="27"/>
      <c r="S127" s="27"/>
    </row>
    <row r="128" spans="1:19" x14ac:dyDescent="0.25">
      <c r="A128" s="27" t="s">
        <v>1512</v>
      </c>
      <c r="B128" s="27" t="str">
        <f t="shared" si="6"/>
        <v>Texas</v>
      </c>
      <c r="C128" s="27" t="str">
        <f t="shared" si="7"/>
        <v>Live Oak</v>
      </c>
      <c r="D128" s="27">
        <v>20181</v>
      </c>
      <c r="E128" s="27">
        <v>15</v>
      </c>
      <c r="F128" s="27">
        <v>1401</v>
      </c>
      <c r="G128" s="26">
        <f t="shared" si="8"/>
        <v>93.4</v>
      </c>
      <c r="H128" s="27">
        <v>2864</v>
      </c>
      <c r="I128" s="10">
        <v>294</v>
      </c>
      <c r="J128" s="28">
        <f t="shared" si="9"/>
        <v>40.885082084225552</v>
      </c>
      <c r="K128" s="2">
        <v>2983</v>
      </c>
      <c r="L128" s="27">
        <v>15</v>
      </c>
      <c r="M128" s="2">
        <v>2118</v>
      </c>
      <c r="N128" s="27">
        <v>1905</v>
      </c>
      <c r="O128" s="27" t="s">
        <v>1965</v>
      </c>
      <c r="P128" s="27"/>
      <c r="Q128" s="27"/>
      <c r="R128" s="27"/>
      <c r="S128" s="27"/>
    </row>
    <row r="129" spans="1:19" x14ac:dyDescent="0.25">
      <c r="A129" s="27" t="s">
        <v>1513</v>
      </c>
      <c r="B129" s="27" t="str">
        <f t="shared" si="6"/>
        <v>Texas</v>
      </c>
      <c r="C129" s="27" t="str">
        <f t="shared" si="7"/>
        <v>Llano</v>
      </c>
      <c r="D129" s="27">
        <v>61681</v>
      </c>
      <c r="E129" s="27">
        <v>33</v>
      </c>
      <c r="F129" s="27">
        <v>2911</v>
      </c>
      <c r="G129" s="26">
        <f t="shared" si="8"/>
        <v>88.212121212121218</v>
      </c>
      <c r="H129" s="27">
        <v>5914.45</v>
      </c>
      <c r="I129" s="10">
        <v>1122</v>
      </c>
      <c r="J129" s="28">
        <f t="shared" si="9"/>
        <v>40.63517691514943</v>
      </c>
      <c r="K129" s="2">
        <v>6206</v>
      </c>
      <c r="L129" s="27">
        <v>33</v>
      </c>
      <c r="M129" s="2">
        <v>7257</v>
      </c>
      <c r="N129" s="27">
        <v>1905</v>
      </c>
      <c r="O129" s="27" t="s">
        <v>1965</v>
      </c>
      <c r="P129" s="27"/>
      <c r="Q129" s="27"/>
      <c r="R129" s="27"/>
      <c r="S129" s="27"/>
    </row>
    <row r="130" spans="1:19" x14ac:dyDescent="0.25">
      <c r="A130" s="27" t="s">
        <v>1515</v>
      </c>
      <c r="B130" s="27" t="str">
        <f t="shared" ref="B130:B193" si="10">LEFT(A130,FIND(";",A130)-1)</f>
        <v>Texas</v>
      </c>
      <c r="C130" s="27" t="str">
        <f t="shared" ref="C130:C193" si="11">MID(A130,FIND(";",A130)+1,100)</f>
        <v>Lubbock</v>
      </c>
      <c r="D130" s="27">
        <v>29189</v>
      </c>
      <c r="E130" s="27">
        <v>12</v>
      </c>
      <c r="F130" s="27">
        <v>1573</v>
      </c>
      <c r="G130" s="26">
        <f t="shared" si="8"/>
        <v>131.08333333333334</v>
      </c>
      <c r="H130" s="27">
        <v>4078.6</v>
      </c>
      <c r="I130" s="10">
        <v>358</v>
      </c>
      <c r="J130" s="28">
        <f t="shared" si="9"/>
        <v>51.857596948506036</v>
      </c>
      <c r="K130" s="2">
        <v>4665</v>
      </c>
      <c r="L130" s="27">
        <v>11</v>
      </c>
      <c r="M130" s="2">
        <v>5170</v>
      </c>
      <c r="N130" s="27">
        <v>1905</v>
      </c>
      <c r="O130" s="27" t="s">
        <v>1965</v>
      </c>
      <c r="P130" s="27"/>
      <c r="Q130" s="27"/>
      <c r="R130" s="27"/>
      <c r="S130" s="27"/>
    </row>
    <row r="131" spans="1:19" x14ac:dyDescent="0.25">
      <c r="A131" s="27" t="s">
        <v>1516</v>
      </c>
      <c r="B131" s="27" t="str">
        <f t="shared" si="10"/>
        <v>Texas</v>
      </c>
      <c r="C131" s="27" t="str">
        <f t="shared" si="11"/>
        <v>Lynn</v>
      </c>
      <c r="D131" s="27">
        <v>16171</v>
      </c>
      <c r="E131" s="27">
        <v>9</v>
      </c>
      <c r="F131" s="27">
        <v>1063</v>
      </c>
      <c r="G131" s="26">
        <f t="shared" si="8"/>
        <v>118.11111111111111</v>
      </c>
      <c r="H131" s="27">
        <v>2146.1</v>
      </c>
      <c r="I131" s="10">
        <v>224</v>
      </c>
      <c r="J131" s="28">
        <f t="shared" si="9"/>
        <v>40.378174976481652</v>
      </c>
      <c r="K131" s="2">
        <v>2839</v>
      </c>
      <c r="L131" s="27">
        <v>7</v>
      </c>
      <c r="M131" s="2">
        <v>2507</v>
      </c>
      <c r="N131" s="27">
        <v>1905</v>
      </c>
      <c r="O131" s="27" t="s">
        <v>1965</v>
      </c>
      <c r="P131" s="27"/>
      <c r="Q131" s="27"/>
      <c r="R131" s="27"/>
      <c r="S131" s="27"/>
    </row>
    <row r="132" spans="1:19" x14ac:dyDescent="0.25">
      <c r="A132" s="27" t="s">
        <v>1520</v>
      </c>
      <c r="B132" s="27" t="str">
        <f t="shared" si="10"/>
        <v>Texas</v>
      </c>
      <c r="C132" s="27" t="str">
        <f t="shared" si="11"/>
        <v>Madison</v>
      </c>
      <c r="D132" s="27">
        <v>111457</v>
      </c>
      <c r="E132" s="27">
        <v>48</v>
      </c>
      <c r="F132" s="27">
        <v>4196</v>
      </c>
      <c r="G132" s="26">
        <f t="shared" si="8"/>
        <v>87.416666666666671</v>
      </c>
      <c r="H132" s="27">
        <v>9343.24</v>
      </c>
      <c r="I132" s="10">
        <v>2111</v>
      </c>
      <c r="J132" s="28">
        <f t="shared" si="9"/>
        <v>44.534032411820782</v>
      </c>
      <c r="K132" s="2">
        <v>9883</v>
      </c>
      <c r="L132" s="27">
        <v>43</v>
      </c>
      <c r="M132" s="2">
        <v>4785</v>
      </c>
      <c r="N132" s="27">
        <v>1905</v>
      </c>
      <c r="O132" s="27" t="s">
        <v>1965</v>
      </c>
      <c r="P132" s="27"/>
      <c r="Q132" s="27"/>
      <c r="R132" s="27"/>
      <c r="S132" s="27"/>
    </row>
    <row r="133" spans="1:19" x14ac:dyDescent="0.25">
      <c r="A133" s="27" t="s">
        <v>1521</v>
      </c>
      <c r="B133" s="27" t="str">
        <f t="shared" si="10"/>
        <v>Texas</v>
      </c>
      <c r="C133" s="27" t="str">
        <f t="shared" si="11"/>
        <v>Marion</v>
      </c>
      <c r="D133" s="27">
        <v>184495</v>
      </c>
      <c r="E133" s="27">
        <v>63</v>
      </c>
      <c r="F133" s="27">
        <v>7602</v>
      </c>
      <c r="G133" s="26">
        <f t="shared" si="8"/>
        <v>120.66666666666667</v>
      </c>
      <c r="H133" s="27">
        <v>16776.349999999999</v>
      </c>
      <c r="I133" s="10">
        <v>2819</v>
      </c>
      <c r="J133" s="28">
        <f t="shared" si="9"/>
        <v>44.136674559326487</v>
      </c>
      <c r="K133" s="2">
        <v>18416</v>
      </c>
      <c r="L133" s="27">
        <v>53</v>
      </c>
      <c r="M133" s="2">
        <v>16985</v>
      </c>
      <c r="N133" s="27">
        <v>1905</v>
      </c>
      <c r="O133" s="27" t="s">
        <v>1965</v>
      </c>
      <c r="P133" s="27"/>
      <c r="Q133" s="27"/>
      <c r="R133" s="27"/>
      <c r="S133" s="27"/>
    </row>
    <row r="134" spans="1:19" x14ac:dyDescent="0.25">
      <c r="A134" s="27" t="s">
        <v>1522</v>
      </c>
      <c r="B134" s="27" t="str">
        <f t="shared" si="10"/>
        <v>Texas</v>
      </c>
      <c r="C134" s="27" t="str">
        <f t="shared" si="11"/>
        <v>Martin</v>
      </c>
      <c r="D134" s="27">
        <v>9210</v>
      </c>
      <c r="E134" s="27">
        <v>4</v>
      </c>
      <c r="F134" s="27">
        <v>320</v>
      </c>
      <c r="G134" s="26">
        <f t="shared" si="8"/>
        <v>80</v>
      </c>
      <c r="H134" s="27">
        <v>972</v>
      </c>
      <c r="I134" s="10">
        <v>90</v>
      </c>
      <c r="J134" s="28">
        <f t="shared" si="9"/>
        <v>60.75</v>
      </c>
      <c r="K134" s="2">
        <v>1424</v>
      </c>
      <c r="L134" s="27">
        <v>1</v>
      </c>
      <c r="M134" s="2">
        <v>1330</v>
      </c>
      <c r="N134" s="27">
        <v>1905</v>
      </c>
      <c r="O134" s="27" t="s">
        <v>1965</v>
      </c>
      <c r="P134" s="27"/>
      <c r="Q134" s="27"/>
      <c r="R134" s="27"/>
      <c r="S134" s="27"/>
    </row>
    <row r="135" spans="1:19" x14ac:dyDescent="0.25">
      <c r="A135" s="27" t="s">
        <v>1523</v>
      </c>
      <c r="B135" s="27" t="str">
        <f t="shared" si="10"/>
        <v>Texas</v>
      </c>
      <c r="C135" s="27" t="str">
        <f t="shared" si="11"/>
        <v>Mason</v>
      </c>
      <c r="D135" s="27">
        <v>61783</v>
      </c>
      <c r="E135" s="27">
        <v>32</v>
      </c>
      <c r="F135" s="27">
        <v>2688</v>
      </c>
      <c r="G135" s="26">
        <f t="shared" si="8"/>
        <v>84</v>
      </c>
      <c r="H135" s="27">
        <v>5885.73</v>
      </c>
      <c r="I135" s="10">
        <v>1050</v>
      </c>
      <c r="J135" s="28">
        <f t="shared" si="9"/>
        <v>43.792633928571426</v>
      </c>
      <c r="K135" s="2">
        <v>6574</v>
      </c>
      <c r="L135" s="27">
        <v>28</v>
      </c>
      <c r="M135" s="2">
        <v>8525</v>
      </c>
      <c r="N135" s="27">
        <v>1905</v>
      </c>
      <c r="O135" s="27" t="s">
        <v>1965</v>
      </c>
      <c r="P135" s="27"/>
      <c r="Q135" s="27"/>
      <c r="R135" s="27"/>
      <c r="S135" s="27"/>
    </row>
    <row r="136" spans="1:19" x14ac:dyDescent="0.25">
      <c r="A136" s="27" t="s">
        <v>1525</v>
      </c>
      <c r="B136" s="27" t="str">
        <f t="shared" si="10"/>
        <v>Texas</v>
      </c>
      <c r="C136" s="27" t="str">
        <f t="shared" si="11"/>
        <v>Maverick</v>
      </c>
      <c r="D136" s="27">
        <v>1977</v>
      </c>
      <c r="E136" s="27">
        <v>2</v>
      </c>
      <c r="F136" s="27">
        <v>147</v>
      </c>
      <c r="G136" s="26">
        <f t="shared" si="8"/>
        <v>73.5</v>
      </c>
      <c r="H136" s="27">
        <v>756.91</v>
      </c>
      <c r="I136" s="10">
        <v>26</v>
      </c>
      <c r="J136" s="28">
        <f t="shared" si="9"/>
        <v>102.98095238095239</v>
      </c>
      <c r="K136" s="2">
        <v>1056</v>
      </c>
      <c r="L136" s="27">
        <v>1</v>
      </c>
      <c r="M136" s="2">
        <v>400</v>
      </c>
      <c r="N136" s="27">
        <v>1905</v>
      </c>
      <c r="O136" s="27" t="s">
        <v>1965</v>
      </c>
      <c r="P136" s="27"/>
      <c r="Q136" s="27"/>
      <c r="R136" s="27"/>
      <c r="S136" s="27"/>
    </row>
    <row r="137" spans="1:19" x14ac:dyDescent="0.25">
      <c r="A137" s="27" t="s">
        <v>1517</v>
      </c>
      <c r="B137" s="27" t="str">
        <f t="shared" si="10"/>
        <v>Texas</v>
      </c>
      <c r="C137" s="27" t="str">
        <f t="shared" si="11"/>
        <v>McCulloch</v>
      </c>
      <c r="D137" s="27">
        <v>88381</v>
      </c>
      <c r="E137" s="27">
        <v>34</v>
      </c>
      <c r="F137" s="27">
        <v>3907</v>
      </c>
      <c r="G137" s="26">
        <f t="shared" si="8"/>
        <v>114.91176470588235</v>
      </c>
      <c r="H137" s="27">
        <v>8756</v>
      </c>
      <c r="I137" s="10">
        <v>1475</v>
      </c>
      <c r="J137" s="28">
        <f t="shared" si="9"/>
        <v>44.822114154082414</v>
      </c>
      <c r="K137" s="2">
        <v>10754</v>
      </c>
      <c r="L137" s="27">
        <v>26</v>
      </c>
      <c r="M137" s="2">
        <v>26405</v>
      </c>
      <c r="N137" s="27">
        <v>1905</v>
      </c>
      <c r="O137" s="27" t="s">
        <v>1965</v>
      </c>
      <c r="P137" s="27"/>
      <c r="Q137" s="27"/>
      <c r="R137" s="27"/>
      <c r="S137" s="27"/>
    </row>
    <row r="138" spans="1:19" x14ac:dyDescent="0.25">
      <c r="A138" s="27" t="s">
        <v>1518</v>
      </c>
      <c r="B138" s="27" t="str">
        <f t="shared" si="10"/>
        <v>Texas</v>
      </c>
      <c r="C138" s="27" t="str">
        <f t="shared" si="11"/>
        <v>McLennan</v>
      </c>
      <c r="D138" s="27">
        <v>395719</v>
      </c>
      <c r="E138" s="27">
        <v>128</v>
      </c>
      <c r="F138" s="27">
        <v>13630</v>
      </c>
      <c r="G138" s="26">
        <f t="shared" si="8"/>
        <v>106.484375</v>
      </c>
      <c r="H138" s="27">
        <v>31626.42</v>
      </c>
      <c r="I138" s="10">
        <v>6529</v>
      </c>
      <c r="J138" s="28">
        <f t="shared" si="9"/>
        <v>46.407072633895815</v>
      </c>
      <c r="K138" s="2">
        <v>33848</v>
      </c>
      <c r="L138" s="27">
        <v>112</v>
      </c>
      <c r="M138" s="2">
        <v>40500</v>
      </c>
      <c r="N138" s="27">
        <v>1905</v>
      </c>
      <c r="O138" s="27" t="s">
        <v>1965</v>
      </c>
      <c r="P138" s="27"/>
      <c r="Q138" s="27"/>
      <c r="R138" s="27"/>
      <c r="S138" s="27"/>
    </row>
    <row r="139" spans="1:19" x14ac:dyDescent="0.25">
      <c r="A139" s="27" t="s">
        <v>1519</v>
      </c>
      <c r="B139" s="27" t="str">
        <f t="shared" si="10"/>
        <v>Texas</v>
      </c>
      <c r="C139" s="27" t="str">
        <f t="shared" si="11"/>
        <v>McMullen</v>
      </c>
      <c r="D139" s="27">
        <v>15058</v>
      </c>
      <c r="E139" s="27">
        <v>7</v>
      </c>
      <c r="F139" s="27">
        <v>820</v>
      </c>
      <c r="G139" s="26">
        <f t="shared" si="8"/>
        <v>117.14285714285714</v>
      </c>
      <c r="H139" s="27">
        <v>1793</v>
      </c>
      <c r="I139" s="10">
        <v>174</v>
      </c>
      <c r="J139" s="28">
        <f t="shared" si="9"/>
        <v>43.73170731707318</v>
      </c>
      <c r="K139" s="2">
        <v>1993</v>
      </c>
      <c r="L139" s="27">
        <v>4</v>
      </c>
      <c r="M139" s="2">
        <v>1208</v>
      </c>
      <c r="N139" s="27">
        <v>1905</v>
      </c>
      <c r="O139" s="27" t="s">
        <v>1965</v>
      </c>
      <c r="P139" s="27"/>
      <c r="Q139" s="27"/>
      <c r="R139" s="27"/>
      <c r="S139" s="27"/>
    </row>
    <row r="140" spans="1:19" x14ac:dyDescent="0.25">
      <c r="A140" s="27" t="s">
        <v>1526</v>
      </c>
      <c r="B140" s="27" t="str">
        <f t="shared" si="10"/>
        <v>Texas</v>
      </c>
      <c r="C140" s="27" t="str">
        <f t="shared" si="11"/>
        <v>Medina</v>
      </c>
      <c r="D140" s="27">
        <v>118182</v>
      </c>
      <c r="E140" s="27">
        <v>35</v>
      </c>
      <c r="F140" s="27">
        <v>4594</v>
      </c>
      <c r="G140" s="26">
        <f t="shared" si="8"/>
        <v>131.25714285714287</v>
      </c>
      <c r="H140" s="27">
        <v>9737.75</v>
      </c>
      <c r="I140" s="10">
        <v>1175</v>
      </c>
      <c r="J140" s="28">
        <f t="shared" si="9"/>
        <v>42.393339138006098</v>
      </c>
      <c r="K140" s="2">
        <v>10358</v>
      </c>
      <c r="L140" s="27">
        <v>35</v>
      </c>
      <c r="M140" s="2">
        <v>5975</v>
      </c>
      <c r="N140" s="27">
        <v>1905</v>
      </c>
      <c r="O140" s="27" t="s">
        <v>1965</v>
      </c>
      <c r="P140" s="27"/>
      <c r="Q140" s="27"/>
      <c r="R140" s="27"/>
      <c r="S140" s="27"/>
    </row>
    <row r="141" spans="1:19" x14ac:dyDescent="0.25">
      <c r="A141" s="27" t="s">
        <v>1527</v>
      </c>
      <c r="B141" s="27" t="str">
        <f t="shared" si="10"/>
        <v>Texas</v>
      </c>
      <c r="C141" s="27" t="str">
        <f t="shared" si="11"/>
        <v>Menard</v>
      </c>
      <c r="D141" s="27">
        <v>19855</v>
      </c>
      <c r="E141" s="27">
        <v>13</v>
      </c>
      <c r="F141" s="27">
        <v>1339</v>
      </c>
      <c r="G141" s="26">
        <f t="shared" si="8"/>
        <v>103</v>
      </c>
      <c r="H141" s="27">
        <v>2637.36</v>
      </c>
      <c r="I141" s="10">
        <v>363</v>
      </c>
      <c r="J141" s="28">
        <f t="shared" si="9"/>
        <v>39.392979835698277</v>
      </c>
      <c r="K141" s="2">
        <v>2816</v>
      </c>
      <c r="L141" s="27">
        <v>12</v>
      </c>
      <c r="M141" s="2">
        <v>2348</v>
      </c>
      <c r="N141" s="27">
        <v>1905</v>
      </c>
      <c r="O141" s="27" t="s">
        <v>1965</v>
      </c>
      <c r="P141" s="27"/>
      <c r="Q141" s="27"/>
      <c r="R141" s="27"/>
      <c r="S141" s="27"/>
    </row>
    <row r="142" spans="1:19" x14ac:dyDescent="0.25">
      <c r="A142" s="27" t="s">
        <v>1528</v>
      </c>
      <c r="B142" s="27" t="str">
        <f t="shared" si="10"/>
        <v>Texas</v>
      </c>
      <c r="C142" s="27" t="str">
        <f t="shared" si="11"/>
        <v>Midland</v>
      </c>
      <c r="D142" s="27">
        <v>45157</v>
      </c>
      <c r="E142" s="27">
        <v>8</v>
      </c>
      <c r="F142" s="27">
        <v>176</v>
      </c>
      <c r="G142" s="26">
        <f t="shared" si="8"/>
        <v>22</v>
      </c>
      <c r="H142" s="27">
        <v>4320</v>
      </c>
      <c r="I142" s="10">
        <v>339</v>
      </c>
      <c r="J142" s="28">
        <f t="shared" si="9"/>
        <v>490.90909090909088</v>
      </c>
      <c r="K142" s="2">
        <v>4878</v>
      </c>
      <c r="L142" s="27">
        <v>1</v>
      </c>
      <c r="M142" s="2">
        <v>10700</v>
      </c>
      <c r="N142" s="27">
        <v>1905</v>
      </c>
      <c r="O142" s="27" t="s">
        <v>1965</v>
      </c>
      <c r="P142" s="27"/>
      <c r="Q142" s="27"/>
      <c r="R142" s="27"/>
      <c r="S142" s="27"/>
    </row>
    <row r="143" spans="1:19" x14ac:dyDescent="0.25">
      <c r="A143" s="27" t="s">
        <v>1529</v>
      </c>
      <c r="B143" s="27" t="str">
        <f t="shared" si="10"/>
        <v>Texas</v>
      </c>
      <c r="C143" s="27" t="str">
        <f t="shared" si="11"/>
        <v>Milam</v>
      </c>
      <c r="D143" s="27">
        <v>459026</v>
      </c>
      <c r="E143" s="27">
        <v>151</v>
      </c>
      <c r="F143" s="27">
        <v>3038</v>
      </c>
      <c r="G143" s="26">
        <f t="shared" si="8"/>
        <v>20.119205298013245</v>
      </c>
      <c r="H143" s="27">
        <v>40005.14</v>
      </c>
      <c r="I143" s="10">
        <v>7357</v>
      </c>
      <c r="J143" s="28">
        <f t="shared" si="9"/>
        <v>263.36497695852535</v>
      </c>
      <c r="K143" s="2">
        <v>42541</v>
      </c>
      <c r="L143" s="27">
        <v>127</v>
      </c>
      <c r="M143" s="2">
        <v>46774</v>
      </c>
      <c r="N143" s="27">
        <v>1905</v>
      </c>
      <c r="O143" s="27" t="s">
        <v>1965</v>
      </c>
      <c r="P143" s="27"/>
      <c r="Q143" s="27"/>
      <c r="R143" s="27"/>
      <c r="S143" s="27"/>
    </row>
    <row r="144" spans="1:19" x14ac:dyDescent="0.25">
      <c r="A144" s="27" t="s">
        <v>1530</v>
      </c>
      <c r="B144" s="27" t="str">
        <f t="shared" si="10"/>
        <v>Texas</v>
      </c>
      <c r="C144" s="27" t="str">
        <f t="shared" si="11"/>
        <v>Mills</v>
      </c>
      <c r="D144" s="27">
        <v>99062</v>
      </c>
      <c r="E144" s="27">
        <v>45</v>
      </c>
      <c r="F144" s="27">
        <v>4004</v>
      </c>
      <c r="G144" s="26">
        <f t="shared" si="8"/>
        <v>88.977777777777774</v>
      </c>
      <c r="H144" s="27">
        <v>8381.84</v>
      </c>
      <c r="I144" s="10">
        <v>1751</v>
      </c>
      <c r="J144" s="28">
        <f t="shared" si="9"/>
        <v>41.867332667332668</v>
      </c>
      <c r="K144" s="2">
        <v>8732</v>
      </c>
      <c r="L144" s="27">
        <v>39</v>
      </c>
      <c r="M144" s="2">
        <v>9775</v>
      </c>
      <c r="N144" s="27">
        <v>1905</v>
      </c>
      <c r="O144" s="27" t="s">
        <v>1965</v>
      </c>
      <c r="P144" s="27"/>
      <c r="Q144" s="27"/>
      <c r="R144" s="27"/>
      <c r="S144" s="27"/>
    </row>
    <row r="145" spans="1:19" x14ac:dyDescent="0.25">
      <c r="A145" s="27" t="s">
        <v>1531</v>
      </c>
      <c r="B145" s="27" t="str">
        <f t="shared" si="10"/>
        <v>Texas</v>
      </c>
      <c r="C145" s="27" t="str">
        <f t="shared" si="11"/>
        <v>Mitchell</v>
      </c>
      <c r="D145" s="27">
        <v>65545</v>
      </c>
      <c r="E145" s="27">
        <v>23</v>
      </c>
      <c r="F145" s="27">
        <v>1660</v>
      </c>
      <c r="G145" s="26">
        <f t="shared" si="8"/>
        <v>72.173913043478265</v>
      </c>
      <c r="H145" s="27">
        <v>7630</v>
      </c>
      <c r="I145" s="10">
        <v>809</v>
      </c>
      <c r="J145" s="28">
        <f t="shared" si="9"/>
        <v>91.927710843373504</v>
      </c>
      <c r="K145" s="2">
        <v>8868</v>
      </c>
      <c r="L145" s="27">
        <v>17</v>
      </c>
      <c r="M145" s="2">
        <v>13730</v>
      </c>
      <c r="N145" s="27">
        <v>1905</v>
      </c>
      <c r="O145" s="27" t="s">
        <v>1965</v>
      </c>
      <c r="P145" s="27"/>
      <c r="Q145" s="27"/>
      <c r="R145" s="27"/>
      <c r="S145" s="27"/>
    </row>
    <row r="146" spans="1:19" x14ac:dyDescent="0.25">
      <c r="A146" s="27" t="s">
        <v>1532</v>
      </c>
      <c r="B146" s="27" t="str">
        <f t="shared" si="10"/>
        <v>Texas</v>
      </c>
      <c r="C146" s="27" t="str">
        <f t="shared" si="11"/>
        <v>Montague</v>
      </c>
      <c r="D146" s="27">
        <v>261805</v>
      </c>
      <c r="E146" s="27">
        <v>120</v>
      </c>
      <c r="F146" s="27">
        <v>9683</v>
      </c>
      <c r="G146" s="26">
        <f t="shared" si="8"/>
        <v>80.691666666666663</v>
      </c>
      <c r="H146" s="27">
        <v>23236.15</v>
      </c>
      <c r="I146" s="10">
        <v>5176</v>
      </c>
      <c r="J146" s="28">
        <f t="shared" si="9"/>
        <v>47.993700299493966</v>
      </c>
      <c r="K146" s="2">
        <v>27273</v>
      </c>
      <c r="L146" s="27">
        <v>97</v>
      </c>
      <c r="M146" s="2">
        <v>44574</v>
      </c>
      <c r="N146" s="27">
        <v>1905</v>
      </c>
      <c r="O146" s="27" t="s">
        <v>1965</v>
      </c>
      <c r="P146" s="27"/>
      <c r="Q146" s="27"/>
      <c r="R146" s="27"/>
      <c r="S146" s="27"/>
    </row>
    <row r="147" spans="1:19" x14ac:dyDescent="0.25">
      <c r="A147" s="27" t="s">
        <v>1534</v>
      </c>
      <c r="B147" s="27" t="str">
        <f t="shared" si="10"/>
        <v>Texas</v>
      </c>
      <c r="C147" s="27" t="str">
        <f t="shared" si="11"/>
        <v>Moore</v>
      </c>
      <c r="D147" s="27">
        <v>8451</v>
      </c>
      <c r="E147" s="27">
        <v>9</v>
      </c>
      <c r="F147" s="27">
        <v>867</v>
      </c>
      <c r="G147" s="26">
        <f t="shared" si="8"/>
        <v>96.333333333333329</v>
      </c>
      <c r="H147" s="27">
        <v>1759</v>
      </c>
      <c r="I147" s="10">
        <v>156</v>
      </c>
      <c r="J147" s="28">
        <f t="shared" si="9"/>
        <v>40.576701268742795</v>
      </c>
      <c r="K147" s="2">
        <v>1946</v>
      </c>
      <c r="L147" s="27">
        <v>11</v>
      </c>
      <c r="M147" s="2">
        <v>1765</v>
      </c>
      <c r="N147" s="27">
        <v>1905</v>
      </c>
      <c r="O147" s="27" t="s">
        <v>1965</v>
      </c>
      <c r="P147" s="27"/>
      <c r="Q147" s="27"/>
      <c r="R147" s="27"/>
      <c r="S147" s="27"/>
    </row>
    <row r="148" spans="1:19" x14ac:dyDescent="0.25">
      <c r="A148" s="27" t="s">
        <v>1536</v>
      </c>
      <c r="B148" s="27" t="str">
        <f t="shared" si="10"/>
        <v>Texas</v>
      </c>
      <c r="C148" s="27" t="str">
        <f t="shared" si="11"/>
        <v>Motley</v>
      </c>
      <c r="D148" s="27">
        <v>41449</v>
      </c>
      <c r="E148" s="27">
        <v>14</v>
      </c>
      <c r="F148" s="27">
        <v>1600</v>
      </c>
      <c r="G148" s="26">
        <f t="shared" si="8"/>
        <v>114.28571428571429</v>
      </c>
      <c r="H148" s="27">
        <v>4238</v>
      </c>
      <c r="I148" s="10">
        <v>504</v>
      </c>
      <c r="J148" s="28">
        <f t="shared" si="9"/>
        <v>52.975000000000001</v>
      </c>
      <c r="K148" s="2">
        <v>4952</v>
      </c>
      <c r="L148" s="27">
        <v>12</v>
      </c>
      <c r="M148" s="2">
        <v>1745</v>
      </c>
      <c r="N148" s="27">
        <v>1905</v>
      </c>
      <c r="O148" s="27" t="s">
        <v>1965</v>
      </c>
      <c r="P148" s="27"/>
      <c r="Q148" s="27"/>
      <c r="R148" s="27"/>
      <c r="S148" s="27"/>
    </row>
    <row r="149" spans="1:19" x14ac:dyDescent="0.25">
      <c r="A149" s="27" t="s">
        <v>1538</v>
      </c>
      <c r="B149" s="27" t="str">
        <f t="shared" si="10"/>
        <v>Texas</v>
      </c>
      <c r="C149" s="27" t="str">
        <f t="shared" si="11"/>
        <v>Navarro</v>
      </c>
      <c r="D149" s="27">
        <v>478311</v>
      </c>
      <c r="E149" s="27">
        <v>179</v>
      </c>
      <c r="F149" s="27">
        <v>17155</v>
      </c>
      <c r="G149" s="26">
        <f t="shared" si="8"/>
        <v>95.837988826815646</v>
      </c>
      <c r="H149" s="27">
        <v>50117.69</v>
      </c>
      <c r="I149" s="10">
        <v>8995</v>
      </c>
      <c r="J149" s="28">
        <f t="shared" si="9"/>
        <v>58.429250947245698</v>
      </c>
      <c r="K149" s="2">
        <v>56775</v>
      </c>
      <c r="L149" s="27">
        <v>131</v>
      </c>
      <c r="M149" s="2">
        <v>86298</v>
      </c>
      <c r="N149" s="27">
        <v>1905</v>
      </c>
      <c r="O149" s="27" t="s">
        <v>1965</v>
      </c>
      <c r="P149" s="27"/>
      <c r="Q149" s="27"/>
      <c r="R149" s="27"/>
      <c r="S149" s="27"/>
    </row>
    <row r="150" spans="1:19" x14ac:dyDescent="0.25">
      <c r="A150" s="27" t="s">
        <v>1539</v>
      </c>
      <c r="B150" s="27" t="str">
        <f t="shared" si="10"/>
        <v>Texas</v>
      </c>
      <c r="C150" s="27" t="str">
        <f t="shared" si="11"/>
        <v>Newton</v>
      </c>
      <c r="D150" s="27">
        <v>109186</v>
      </c>
      <c r="E150" s="27">
        <v>52</v>
      </c>
      <c r="F150" s="27">
        <v>4036</v>
      </c>
      <c r="G150" s="26">
        <f t="shared" si="8"/>
        <v>77.615384615384613</v>
      </c>
      <c r="H150" s="27">
        <v>9320.5</v>
      </c>
      <c r="I150" s="10">
        <v>1859</v>
      </c>
      <c r="J150" s="28">
        <f t="shared" si="9"/>
        <v>46.186818632309219</v>
      </c>
      <c r="K150" s="2">
        <v>9826</v>
      </c>
      <c r="L150" s="27">
        <v>51</v>
      </c>
      <c r="M150" s="2">
        <v>7782</v>
      </c>
      <c r="N150" s="27">
        <v>1905</v>
      </c>
      <c r="O150" s="27" t="s">
        <v>1965</v>
      </c>
      <c r="P150" s="27"/>
      <c r="Q150" s="27"/>
      <c r="R150" s="27"/>
      <c r="S150" s="27"/>
    </row>
    <row r="151" spans="1:19" x14ac:dyDescent="0.25">
      <c r="A151" s="27" t="s">
        <v>1540</v>
      </c>
      <c r="B151" s="27" t="str">
        <f t="shared" si="10"/>
        <v>Texas</v>
      </c>
      <c r="C151" s="27" t="str">
        <f t="shared" si="11"/>
        <v>Nolan</v>
      </c>
      <c r="D151" s="27">
        <v>44361</v>
      </c>
      <c r="E151" s="27">
        <v>21</v>
      </c>
      <c r="F151" s="27">
        <v>2065</v>
      </c>
      <c r="G151" s="26">
        <f t="shared" si="8"/>
        <v>98.333333333333329</v>
      </c>
      <c r="H151" s="27">
        <v>4474.88</v>
      </c>
      <c r="I151" s="10">
        <v>721</v>
      </c>
      <c r="J151" s="28">
        <f t="shared" si="9"/>
        <v>43.34024213075061</v>
      </c>
      <c r="K151" s="2">
        <v>5629</v>
      </c>
      <c r="L151" s="27">
        <v>21</v>
      </c>
      <c r="M151" s="2">
        <v>7127</v>
      </c>
      <c r="N151" s="27">
        <v>1905</v>
      </c>
      <c r="O151" s="27" t="s">
        <v>1965</v>
      </c>
      <c r="P151" s="27"/>
      <c r="Q151" s="27"/>
      <c r="R151" s="27"/>
      <c r="S151" s="27"/>
    </row>
    <row r="152" spans="1:19" x14ac:dyDescent="0.25">
      <c r="A152" s="27" t="s">
        <v>1541</v>
      </c>
      <c r="B152" s="27" t="str">
        <f t="shared" si="10"/>
        <v>Texas</v>
      </c>
      <c r="C152" s="27" t="str">
        <f t="shared" si="11"/>
        <v>Nueces</v>
      </c>
      <c r="D152" s="27">
        <v>38265</v>
      </c>
      <c r="E152" s="27">
        <v>25</v>
      </c>
      <c r="F152" s="27">
        <v>2291</v>
      </c>
      <c r="G152" s="26">
        <f t="shared" si="8"/>
        <v>91.64</v>
      </c>
      <c r="H152" s="27">
        <v>5584.68</v>
      </c>
      <c r="I152" s="10">
        <v>695</v>
      </c>
      <c r="J152" s="28">
        <f t="shared" si="9"/>
        <v>48.753208206023572</v>
      </c>
      <c r="K152" s="2">
        <v>7097</v>
      </c>
      <c r="L152" s="27">
        <v>10</v>
      </c>
      <c r="M152" s="2">
        <v>9485</v>
      </c>
      <c r="N152" s="27">
        <v>1905</v>
      </c>
      <c r="O152" s="27" t="s">
        <v>1965</v>
      </c>
      <c r="P152" s="27"/>
      <c r="Q152" s="27"/>
      <c r="R152" s="27"/>
      <c r="S152" s="27"/>
    </row>
    <row r="153" spans="1:19" x14ac:dyDescent="0.25">
      <c r="A153" s="27" t="s">
        <v>1542</v>
      </c>
      <c r="B153" s="27" t="str">
        <f t="shared" si="10"/>
        <v>Texas</v>
      </c>
      <c r="C153" s="27" t="str">
        <f t="shared" si="11"/>
        <v>Ochiltree</v>
      </c>
      <c r="D153" s="27">
        <v>11762</v>
      </c>
      <c r="E153" s="27">
        <v>11</v>
      </c>
      <c r="F153" s="27">
        <v>1084</v>
      </c>
      <c r="G153" s="26">
        <f t="shared" si="8"/>
        <v>98.545454545454547</v>
      </c>
      <c r="H153" s="27">
        <v>2088.25</v>
      </c>
      <c r="I153" s="10">
        <v>201</v>
      </c>
      <c r="J153" s="28">
        <f t="shared" si="9"/>
        <v>38.528597785977858</v>
      </c>
      <c r="K153" s="2">
        <v>2163</v>
      </c>
      <c r="L153" s="27">
        <v>11</v>
      </c>
      <c r="M153" s="2">
        <v>1568</v>
      </c>
      <c r="N153" s="27">
        <v>1905</v>
      </c>
      <c r="O153" s="27" t="s">
        <v>1965</v>
      </c>
      <c r="P153" s="27"/>
      <c r="Q153" s="27"/>
      <c r="R153" s="27"/>
      <c r="S153" s="27"/>
    </row>
    <row r="154" spans="1:19" x14ac:dyDescent="0.25">
      <c r="A154" s="27" t="s">
        <v>1543</v>
      </c>
      <c r="B154" s="27" t="str">
        <f t="shared" si="10"/>
        <v>Texas</v>
      </c>
      <c r="C154" s="27" t="str">
        <f t="shared" si="11"/>
        <v>Oldham</v>
      </c>
      <c r="D154" s="27">
        <v>6871</v>
      </c>
      <c r="E154" s="27">
        <v>4</v>
      </c>
      <c r="F154" s="27">
        <v>497</v>
      </c>
      <c r="G154" s="26">
        <f t="shared" si="8"/>
        <v>124.25</v>
      </c>
      <c r="H154" s="27">
        <v>1199.25</v>
      </c>
      <c r="I154" s="10">
        <v>81</v>
      </c>
      <c r="J154" s="28">
        <f t="shared" si="9"/>
        <v>48.259557344064383</v>
      </c>
      <c r="K154" s="2">
        <v>1710</v>
      </c>
      <c r="L154" s="27">
        <v>4</v>
      </c>
      <c r="M154" s="2">
        <v>3180</v>
      </c>
      <c r="N154" s="27">
        <v>1905</v>
      </c>
      <c r="O154" s="27" t="s">
        <v>1965</v>
      </c>
      <c r="P154" s="27"/>
      <c r="Q154" s="27"/>
      <c r="R154" s="27"/>
      <c r="S154" s="27"/>
    </row>
    <row r="155" spans="1:19" x14ac:dyDescent="0.25">
      <c r="A155" s="27" t="s">
        <v>1544</v>
      </c>
      <c r="B155" s="27" t="str">
        <f t="shared" si="10"/>
        <v>Texas</v>
      </c>
      <c r="C155" s="27" t="str">
        <f t="shared" si="11"/>
        <v>Orange</v>
      </c>
      <c r="D155" s="27">
        <v>51761</v>
      </c>
      <c r="E155" s="27">
        <v>17</v>
      </c>
      <c r="F155" s="27">
        <v>2351</v>
      </c>
      <c r="G155" s="26">
        <f t="shared" si="8"/>
        <v>138.29411764705881</v>
      </c>
      <c r="H155" s="27">
        <v>5489</v>
      </c>
      <c r="I155" s="10">
        <v>663</v>
      </c>
      <c r="J155" s="28">
        <f t="shared" si="9"/>
        <v>46.6950233943003</v>
      </c>
      <c r="K155" s="2">
        <v>7402</v>
      </c>
      <c r="L155" s="27">
        <v>16</v>
      </c>
      <c r="M155" s="2">
        <v>6975</v>
      </c>
      <c r="N155" s="27">
        <v>1905</v>
      </c>
      <c r="O155" s="27" t="s">
        <v>1965</v>
      </c>
      <c r="P155" s="27"/>
      <c r="Q155" s="27"/>
      <c r="R155" s="27"/>
      <c r="S155" s="27"/>
    </row>
    <row r="156" spans="1:19" x14ac:dyDescent="0.25">
      <c r="A156" s="27" t="s">
        <v>1545</v>
      </c>
      <c r="B156" s="27" t="str">
        <f t="shared" si="10"/>
        <v>Texas</v>
      </c>
      <c r="C156" s="27" t="str">
        <f t="shared" si="11"/>
        <v>Palo Pinto</v>
      </c>
      <c r="D156" s="27">
        <v>114452</v>
      </c>
      <c r="E156" s="27">
        <v>49</v>
      </c>
      <c r="F156" s="27">
        <v>3982</v>
      </c>
      <c r="G156" s="26">
        <f t="shared" si="8"/>
        <v>81.265306122448976</v>
      </c>
      <c r="H156" s="27">
        <v>10316.950000000001</v>
      </c>
      <c r="I156" s="10">
        <v>2156</v>
      </c>
      <c r="J156" s="28">
        <f t="shared" si="9"/>
        <v>51.817930688096439</v>
      </c>
      <c r="K156" s="2">
        <v>11108</v>
      </c>
      <c r="L156" s="27">
        <v>45</v>
      </c>
      <c r="M156" s="2">
        <v>14265</v>
      </c>
      <c r="N156" s="27">
        <v>1905</v>
      </c>
      <c r="O156" s="27" t="s">
        <v>1965</v>
      </c>
      <c r="P156" s="27"/>
      <c r="Q156" s="27"/>
      <c r="R156" s="27"/>
      <c r="S156" s="27"/>
    </row>
    <row r="157" spans="1:19" x14ac:dyDescent="0.25">
      <c r="A157" s="27" t="s">
        <v>1547</v>
      </c>
      <c r="B157" s="27" t="str">
        <f t="shared" si="10"/>
        <v>Texas</v>
      </c>
      <c r="C157" s="27" t="str">
        <f t="shared" si="11"/>
        <v>Parker</v>
      </c>
      <c r="D157" s="27">
        <v>247292</v>
      </c>
      <c r="E157" s="27">
        <v>92</v>
      </c>
      <c r="F157" s="27">
        <v>8841</v>
      </c>
      <c r="G157" s="26">
        <f t="shared" si="8"/>
        <v>96.097826086956516</v>
      </c>
      <c r="H157" s="27">
        <v>20698.25</v>
      </c>
      <c r="I157" s="10">
        <v>4836</v>
      </c>
      <c r="J157" s="28">
        <f t="shared" si="9"/>
        <v>46.823323153489426</v>
      </c>
      <c r="K157" s="2">
        <v>21250</v>
      </c>
      <c r="L157" s="27">
        <v>90</v>
      </c>
      <c r="M157" s="2">
        <v>18100</v>
      </c>
      <c r="N157" s="27">
        <v>1905</v>
      </c>
      <c r="O157" s="27" t="s">
        <v>1965</v>
      </c>
      <c r="P157" s="27"/>
      <c r="Q157" s="27"/>
      <c r="R157" s="27"/>
      <c r="S157" s="27"/>
    </row>
    <row r="158" spans="1:19" x14ac:dyDescent="0.25">
      <c r="A158" s="27" t="s">
        <v>1548</v>
      </c>
      <c r="B158" s="27" t="str">
        <f t="shared" si="10"/>
        <v>Texas</v>
      </c>
      <c r="C158" s="27" t="str">
        <f t="shared" si="11"/>
        <v>Parmer</v>
      </c>
      <c r="D158" s="27"/>
      <c r="E158" s="27"/>
      <c r="F158" s="27"/>
      <c r="G158" s="26"/>
      <c r="H158" s="27"/>
      <c r="I158" s="10"/>
      <c r="J158" s="28"/>
      <c r="K158" s="2"/>
      <c r="L158" s="27"/>
      <c r="M158" s="2"/>
      <c r="N158" s="27">
        <v>1905</v>
      </c>
      <c r="O158" s="27" t="s">
        <v>1965</v>
      </c>
      <c r="P158" s="27"/>
      <c r="Q158" s="27"/>
      <c r="R158" s="27"/>
      <c r="S158" s="27"/>
    </row>
    <row r="159" spans="1:19" x14ac:dyDescent="0.25">
      <c r="A159" s="27" t="s">
        <v>1549</v>
      </c>
      <c r="B159" s="27" t="str">
        <f t="shared" si="10"/>
        <v>Texas</v>
      </c>
      <c r="C159" s="27" t="str">
        <f t="shared" si="11"/>
        <v>Pecos</v>
      </c>
      <c r="D159" s="27">
        <v>24246</v>
      </c>
      <c r="E159" s="27">
        <v>8</v>
      </c>
      <c r="F159" s="27">
        <v>1262</v>
      </c>
      <c r="G159" s="26">
        <f>F159/E159</f>
        <v>157.75</v>
      </c>
      <c r="H159" s="27">
        <v>3449</v>
      </c>
      <c r="I159" s="10">
        <v>260</v>
      </c>
      <c r="J159" s="28">
        <f>H159/E159/(G159/20)</f>
        <v>54.659270998415209</v>
      </c>
      <c r="K159" s="2">
        <v>4028</v>
      </c>
      <c r="L159" s="27">
        <v>6</v>
      </c>
      <c r="M159" s="2">
        <v>4750</v>
      </c>
      <c r="N159" s="27">
        <v>1905</v>
      </c>
      <c r="O159" s="27" t="s">
        <v>1965</v>
      </c>
      <c r="P159" s="27"/>
      <c r="Q159" s="27"/>
      <c r="R159" s="27"/>
      <c r="S159" s="27"/>
    </row>
    <row r="160" spans="1:19" x14ac:dyDescent="0.25">
      <c r="A160" s="27" t="s">
        <v>1550</v>
      </c>
      <c r="B160" s="27" t="str">
        <f t="shared" si="10"/>
        <v>Texas</v>
      </c>
      <c r="C160" s="27" t="str">
        <f t="shared" si="11"/>
        <v>Polk</v>
      </c>
      <c r="D160" s="27">
        <v>156812</v>
      </c>
      <c r="E160" s="27">
        <v>99</v>
      </c>
      <c r="F160" s="27">
        <v>7454</v>
      </c>
      <c r="G160" s="26">
        <f>F160/E160</f>
        <v>75.292929292929287</v>
      </c>
      <c r="H160" s="27">
        <v>13928.42</v>
      </c>
      <c r="I160" s="10">
        <v>3309</v>
      </c>
      <c r="J160" s="28">
        <f>H160/E160/(G160/20)</f>
        <v>37.371666219479472</v>
      </c>
      <c r="K160" s="2">
        <v>14489</v>
      </c>
      <c r="L160" s="27">
        <v>73</v>
      </c>
      <c r="M160" s="2">
        <v>1980</v>
      </c>
      <c r="N160" s="27">
        <v>1905</v>
      </c>
      <c r="O160" s="27" t="s">
        <v>1965</v>
      </c>
      <c r="P160" s="27"/>
      <c r="Q160" s="27"/>
      <c r="R160" s="27"/>
      <c r="S160" s="27"/>
    </row>
    <row r="161" spans="1:19" x14ac:dyDescent="0.25">
      <c r="A161" s="27" t="s">
        <v>1551</v>
      </c>
      <c r="B161" s="27" t="str">
        <f t="shared" si="10"/>
        <v>Texas</v>
      </c>
      <c r="C161" s="27" t="str">
        <f t="shared" si="11"/>
        <v>Potter</v>
      </c>
      <c r="D161" s="27">
        <v>85263</v>
      </c>
      <c r="E161" s="27">
        <v>19</v>
      </c>
      <c r="F161" s="27">
        <v>2564</v>
      </c>
      <c r="G161" s="26">
        <f>F161/E161</f>
        <v>134.94736842105263</v>
      </c>
      <c r="H161" s="27">
        <v>7664.1</v>
      </c>
      <c r="I161" s="10">
        <v>872</v>
      </c>
      <c r="J161" s="28">
        <f>H161/E161/(G161/20)</f>
        <v>59.782371294851799</v>
      </c>
      <c r="K161" s="2">
        <v>10599</v>
      </c>
      <c r="L161" s="27">
        <v>8</v>
      </c>
      <c r="M161" s="2">
        <v>5500</v>
      </c>
      <c r="N161" s="27">
        <v>1905</v>
      </c>
      <c r="O161" s="27" t="s">
        <v>1965</v>
      </c>
      <c r="P161" s="27"/>
      <c r="Q161" s="27"/>
      <c r="R161" s="27"/>
      <c r="S161" s="27"/>
    </row>
    <row r="162" spans="1:19" x14ac:dyDescent="0.25">
      <c r="A162" s="27" t="s">
        <v>1552</v>
      </c>
      <c r="B162" s="27" t="str">
        <f t="shared" si="10"/>
        <v>Texas</v>
      </c>
      <c r="C162" s="27" t="str">
        <f t="shared" si="11"/>
        <v>Presidio</v>
      </c>
      <c r="D162" s="27">
        <v>49296</v>
      </c>
      <c r="E162" s="27">
        <v>13</v>
      </c>
      <c r="F162" s="27">
        <v>2130</v>
      </c>
      <c r="G162" s="26">
        <f>F162/E162</f>
        <v>163.84615384615384</v>
      </c>
      <c r="H162" s="27">
        <v>7073.5</v>
      </c>
      <c r="I162" s="10">
        <v>323</v>
      </c>
      <c r="J162" s="28">
        <f>H162/E162/(G162/20)</f>
        <v>66.417840375586863</v>
      </c>
      <c r="K162" s="2">
        <v>9050</v>
      </c>
      <c r="L162" s="27">
        <v>10</v>
      </c>
      <c r="M162" s="2">
        <v>12223</v>
      </c>
      <c r="N162" s="27">
        <v>1905</v>
      </c>
      <c r="O162" s="27" t="s">
        <v>1965</v>
      </c>
      <c r="P162" s="27"/>
      <c r="Q162" s="27"/>
      <c r="R162" s="27"/>
      <c r="S162" s="27"/>
    </row>
    <row r="163" spans="1:19" x14ac:dyDescent="0.25">
      <c r="A163" s="27" t="s">
        <v>1553</v>
      </c>
      <c r="B163" s="27" t="str">
        <f t="shared" si="10"/>
        <v>Texas</v>
      </c>
      <c r="C163" s="27" t="str">
        <f t="shared" si="11"/>
        <v>Rains</v>
      </c>
      <c r="D163" s="27"/>
      <c r="E163" s="27"/>
      <c r="F163" s="27"/>
      <c r="G163" s="26"/>
      <c r="H163" s="27">
        <v>9544.86</v>
      </c>
      <c r="I163" s="10"/>
      <c r="J163" s="28"/>
      <c r="K163" s="2">
        <v>10194</v>
      </c>
      <c r="L163" s="27"/>
      <c r="M163" s="2"/>
      <c r="N163" s="27">
        <v>1905</v>
      </c>
      <c r="O163" s="27" t="s">
        <v>1965</v>
      </c>
      <c r="P163" s="27"/>
      <c r="Q163" s="27"/>
      <c r="R163" s="27"/>
      <c r="S163" s="27"/>
    </row>
    <row r="164" spans="1:19" x14ac:dyDescent="0.25">
      <c r="A164" s="27" t="s">
        <v>1554</v>
      </c>
      <c r="B164" s="27" t="str">
        <f t="shared" si="10"/>
        <v>Texas</v>
      </c>
      <c r="C164" s="27" t="str">
        <f t="shared" si="11"/>
        <v>Randall</v>
      </c>
      <c r="D164" s="27">
        <v>18027</v>
      </c>
      <c r="E164" s="27">
        <v>12</v>
      </c>
      <c r="F164" s="27">
        <v>1259</v>
      </c>
      <c r="G164" s="26">
        <f t="shared" ref="G164:G208" si="12">F164/E164</f>
        <v>104.91666666666667</v>
      </c>
      <c r="H164" s="27">
        <v>3229.67</v>
      </c>
      <c r="I164" s="10">
        <v>245</v>
      </c>
      <c r="J164" s="28">
        <f t="shared" ref="J164:J208" si="13">H164/E164/(G164/20)</f>
        <v>51.305321683876087</v>
      </c>
      <c r="K164" s="2">
        <v>3885</v>
      </c>
      <c r="L164" s="27">
        <v>12</v>
      </c>
      <c r="M164" s="2">
        <v>3465</v>
      </c>
      <c r="N164" s="27">
        <v>1905</v>
      </c>
      <c r="O164" s="27" t="s">
        <v>1965</v>
      </c>
      <c r="P164" s="27"/>
      <c r="Q164" s="27"/>
      <c r="R164" s="27"/>
      <c r="S164" s="27"/>
    </row>
    <row r="165" spans="1:19" x14ac:dyDescent="0.25">
      <c r="A165" s="27" t="s">
        <v>1555</v>
      </c>
      <c r="B165" s="27" t="str">
        <f t="shared" si="10"/>
        <v>Texas</v>
      </c>
      <c r="C165" s="27" t="str">
        <f t="shared" si="11"/>
        <v>Reagan</v>
      </c>
      <c r="D165" s="27">
        <v>10795</v>
      </c>
      <c r="E165" s="27">
        <v>6</v>
      </c>
      <c r="F165" s="27">
        <v>777</v>
      </c>
      <c r="G165" s="26">
        <f t="shared" si="12"/>
        <v>129.5</v>
      </c>
      <c r="H165" s="27">
        <v>1755</v>
      </c>
      <c r="I165" s="10">
        <v>123</v>
      </c>
      <c r="J165" s="28">
        <f t="shared" si="13"/>
        <v>45.173745173745175</v>
      </c>
      <c r="K165" s="2">
        <v>2245</v>
      </c>
      <c r="L165" s="27">
        <v>6</v>
      </c>
      <c r="M165" s="2">
        <v>1655</v>
      </c>
      <c r="N165" s="27">
        <v>1905</v>
      </c>
      <c r="O165" s="27" t="s">
        <v>1965</v>
      </c>
      <c r="P165" s="27"/>
      <c r="Q165" s="27"/>
      <c r="R165" s="27"/>
      <c r="S165" s="27"/>
    </row>
    <row r="166" spans="1:19" x14ac:dyDescent="0.25">
      <c r="A166" s="27" t="s">
        <v>1557</v>
      </c>
      <c r="B166" s="27" t="str">
        <f t="shared" si="10"/>
        <v>Texas</v>
      </c>
      <c r="C166" s="27" t="str">
        <f t="shared" si="11"/>
        <v>Red River</v>
      </c>
      <c r="D166" s="27">
        <v>403850</v>
      </c>
      <c r="E166" s="27">
        <v>160</v>
      </c>
      <c r="F166" s="27">
        <v>15874</v>
      </c>
      <c r="G166" s="26">
        <f t="shared" si="12"/>
        <v>99.212500000000006</v>
      </c>
      <c r="H166" s="27">
        <v>39223.129999999997</v>
      </c>
      <c r="I166" s="10">
        <v>7867</v>
      </c>
      <c r="J166" s="28">
        <f t="shared" si="13"/>
        <v>49.41807987904749</v>
      </c>
      <c r="K166" s="2">
        <v>40231</v>
      </c>
      <c r="L166" s="27">
        <v>147</v>
      </c>
      <c r="M166" s="2">
        <v>33445</v>
      </c>
      <c r="N166" s="27">
        <v>1905</v>
      </c>
      <c r="O166" s="27" t="s">
        <v>1965</v>
      </c>
      <c r="P166" s="27"/>
      <c r="Q166" s="27"/>
      <c r="R166" s="27"/>
      <c r="S166" s="27"/>
    </row>
    <row r="167" spans="1:19" x14ac:dyDescent="0.25">
      <c r="A167" s="27" t="s">
        <v>1558</v>
      </c>
      <c r="B167" s="27" t="str">
        <f t="shared" si="10"/>
        <v>Texas</v>
      </c>
      <c r="C167" s="27" t="str">
        <f t="shared" si="11"/>
        <v>Reeves</v>
      </c>
      <c r="D167" s="27">
        <v>35897</v>
      </c>
      <c r="E167" s="27">
        <v>12</v>
      </c>
      <c r="F167" s="27">
        <v>1749</v>
      </c>
      <c r="G167" s="26">
        <f t="shared" si="12"/>
        <v>145.75</v>
      </c>
      <c r="H167" s="27">
        <v>5195.75</v>
      </c>
      <c r="I167" s="10">
        <v>363</v>
      </c>
      <c r="J167" s="28">
        <f t="shared" si="13"/>
        <v>59.413950829045177</v>
      </c>
      <c r="K167" s="2">
        <v>5996</v>
      </c>
      <c r="L167" s="27">
        <v>11</v>
      </c>
      <c r="M167" s="2">
        <v>7215</v>
      </c>
      <c r="N167" s="27">
        <v>1905</v>
      </c>
      <c r="O167" s="27" t="s">
        <v>1965</v>
      </c>
      <c r="P167" s="27"/>
      <c r="Q167" s="27"/>
      <c r="R167" s="27"/>
      <c r="S167" s="27"/>
    </row>
    <row r="168" spans="1:19" x14ac:dyDescent="0.25">
      <c r="A168" s="27" t="s">
        <v>1559</v>
      </c>
      <c r="B168" s="27" t="str">
        <f t="shared" si="10"/>
        <v>Texas</v>
      </c>
      <c r="C168" s="27" t="str">
        <f t="shared" si="11"/>
        <v>Refugio</v>
      </c>
      <c r="D168" s="27">
        <v>25871</v>
      </c>
      <c r="E168" s="27">
        <v>14</v>
      </c>
      <c r="F168" s="27">
        <v>1380</v>
      </c>
      <c r="G168" s="26">
        <f t="shared" si="12"/>
        <v>98.571428571428569</v>
      </c>
      <c r="H168" s="27">
        <v>3303.12</v>
      </c>
      <c r="I168" s="10">
        <v>298</v>
      </c>
      <c r="J168" s="28">
        <f t="shared" si="13"/>
        <v>47.871304347826083</v>
      </c>
      <c r="K168" s="2">
        <v>3678</v>
      </c>
      <c r="L168" s="27">
        <v>13</v>
      </c>
      <c r="M168" s="2">
        <v>1460</v>
      </c>
      <c r="N168" s="27">
        <v>1905</v>
      </c>
      <c r="O168" s="27" t="s">
        <v>1965</v>
      </c>
      <c r="P168" s="27"/>
      <c r="Q168" s="27"/>
      <c r="R168" s="27"/>
      <c r="S168" s="27"/>
    </row>
    <row r="169" spans="1:19" x14ac:dyDescent="0.25">
      <c r="A169" s="27" t="s">
        <v>1560</v>
      </c>
      <c r="B169" s="27" t="str">
        <f t="shared" si="10"/>
        <v>Texas</v>
      </c>
      <c r="C169" s="27" t="str">
        <f t="shared" si="11"/>
        <v>Roberts</v>
      </c>
      <c r="D169" s="27">
        <v>17512</v>
      </c>
      <c r="E169" s="27">
        <v>11</v>
      </c>
      <c r="F169" s="27">
        <v>1134</v>
      </c>
      <c r="G169" s="26">
        <f t="shared" si="12"/>
        <v>103.09090909090909</v>
      </c>
      <c r="H169" s="27">
        <v>2747.96</v>
      </c>
      <c r="I169" s="10">
        <v>130</v>
      </c>
      <c r="J169" s="28">
        <f t="shared" si="13"/>
        <v>48.464902998236333</v>
      </c>
      <c r="K169" s="2">
        <v>2977</v>
      </c>
      <c r="L169" s="27">
        <v>7</v>
      </c>
      <c r="M169" s="2">
        <v>1250</v>
      </c>
      <c r="N169" s="27">
        <v>1905</v>
      </c>
      <c r="O169" s="27" t="s">
        <v>1965</v>
      </c>
      <c r="P169" s="27"/>
      <c r="Q169" s="27"/>
      <c r="R169" s="27"/>
      <c r="S169" s="27"/>
    </row>
    <row r="170" spans="1:19" x14ac:dyDescent="0.25">
      <c r="A170" s="27" t="s">
        <v>1562</v>
      </c>
      <c r="B170" s="27" t="str">
        <f t="shared" si="10"/>
        <v>Texas</v>
      </c>
      <c r="C170" s="27" t="str">
        <f t="shared" si="11"/>
        <v>Rockwall</v>
      </c>
      <c r="D170" s="27">
        <v>112523</v>
      </c>
      <c r="E170" s="27">
        <v>38</v>
      </c>
      <c r="F170" s="27">
        <v>4151</v>
      </c>
      <c r="G170" s="26">
        <f t="shared" si="12"/>
        <v>109.23684210526316</v>
      </c>
      <c r="H170" s="27">
        <v>11609.96</v>
      </c>
      <c r="I170" s="10">
        <v>1788</v>
      </c>
      <c r="J170" s="28">
        <f t="shared" si="13"/>
        <v>55.938135389062865</v>
      </c>
      <c r="K170" s="2">
        <v>13016</v>
      </c>
      <c r="L170" s="27">
        <v>22</v>
      </c>
      <c r="M170" s="2">
        <v>16328</v>
      </c>
      <c r="N170" s="27">
        <v>1905</v>
      </c>
      <c r="O170" s="27" t="s">
        <v>1965</v>
      </c>
      <c r="P170" s="27"/>
      <c r="Q170" s="27"/>
      <c r="R170" s="27"/>
      <c r="S170" s="27"/>
    </row>
    <row r="171" spans="1:19" x14ac:dyDescent="0.25">
      <c r="A171" s="27" t="s">
        <v>1563</v>
      </c>
      <c r="B171" s="27" t="str">
        <f t="shared" si="10"/>
        <v>Texas</v>
      </c>
      <c r="C171" s="27" t="str">
        <f t="shared" si="11"/>
        <v>Runnels</v>
      </c>
      <c r="D171" s="27">
        <v>199918</v>
      </c>
      <c r="E171" s="27">
        <v>57</v>
      </c>
      <c r="F171" s="27">
        <v>6657</v>
      </c>
      <c r="G171" s="26">
        <f t="shared" si="12"/>
        <v>116.78947368421052</v>
      </c>
      <c r="H171" s="27">
        <v>10730.25</v>
      </c>
      <c r="I171" s="10">
        <v>2858</v>
      </c>
      <c r="J171" s="28">
        <f t="shared" si="13"/>
        <v>32.237494366831903</v>
      </c>
      <c r="K171" s="2">
        <v>14764</v>
      </c>
      <c r="L171" s="27">
        <v>41</v>
      </c>
      <c r="M171" s="2">
        <v>38060</v>
      </c>
      <c r="N171" s="27">
        <v>1905</v>
      </c>
      <c r="O171" s="27" t="s">
        <v>1965</v>
      </c>
      <c r="P171" s="27"/>
      <c r="Q171" s="27"/>
      <c r="R171" s="27"/>
      <c r="S171" s="27"/>
    </row>
    <row r="172" spans="1:19" x14ac:dyDescent="0.25">
      <c r="A172" s="27" t="s">
        <v>1566</v>
      </c>
      <c r="B172" s="27" t="str">
        <f t="shared" si="10"/>
        <v>Texas</v>
      </c>
      <c r="C172" s="27" t="str">
        <f t="shared" si="11"/>
        <v>San Augustine</v>
      </c>
      <c r="D172" s="27">
        <v>114384</v>
      </c>
      <c r="E172" s="27">
        <v>64</v>
      </c>
      <c r="F172" s="27">
        <v>4919</v>
      </c>
      <c r="G172" s="26">
        <f t="shared" si="12"/>
        <v>76.859375</v>
      </c>
      <c r="H172" s="27">
        <v>11664.82</v>
      </c>
      <c r="I172" s="10">
        <v>2396</v>
      </c>
      <c r="J172" s="28">
        <f t="shared" si="13"/>
        <v>47.427607237243343</v>
      </c>
      <c r="K172" s="2">
        <v>12315</v>
      </c>
      <c r="L172" s="27">
        <v>63</v>
      </c>
      <c r="M172" s="2">
        <v>8070</v>
      </c>
      <c r="N172" s="27">
        <v>1905</v>
      </c>
      <c r="O172" s="27" t="s">
        <v>1965</v>
      </c>
      <c r="P172" s="27"/>
      <c r="Q172" s="27"/>
      <c r="R172" s="27"/>
      <c r="S172" s="27"/>
    </row>
    <row r="173" spans="1:19" x14ac:dyDescent="0.25">
      <c r="A173" s="27" t="s">
        <v>1567</v>
      </c>
      <c r="B173" s="27" t="str">
        <f t="shared" si="10"/>
        <v>Texas</v>
      </c>
      <c r="C173" s="27" t="str">
        <f t="shared" si="11"/>
        <v>San Jacinto</v>
      </c>
      <c r="D173" s="27">
        <v>132193</v>
      </c>
      <c r="E173" s="27">
        <v>66</v>
      </c>
      <c r="F173" s="27">
        <v>6306</v>
      </c>
      <c r="G173" s="26">
        <f t="shared" si="12"/>
        <v>95.545454545454547</v>
      </c>
      <c r="H173" s="27">
        <v>12546.62</v>
      </c>
      <c r="I173" s="10">
        <v>2421</v>
      </c>
      <c r="J173" s="28">
        <f t="shared" si="13"/>
        <v>39.79264192832224</v>
      </c>
      <c r="K173" s="2">
        <v>13021</v>
      </c>
      <c r="L173" s="27">
        <v>62</v>
      </c>
      <c r="M173" s="2">
        <v>6554</v>
      </c>
      <c r="N173" s="27">
        <v>1905</v>
      </c>
      <c r="O173" s="27" t="s">
        <v>1965</v>
      </c>
      <c r="P173" s="27"/>
      <c r="Q173" s="27"/>
      <c r="R173" s="27"/>
      <c r="S173" s="27"/>
    </row>
    <row r="174" spans="1:19" x14ac:dyDescent="0.25">
      <c r="A174" s="27" t="s">
        <v>1568</v>
      </c>
      <c r="B174" s="27" t="str">
        <f t="shared" si="10"/>
        <v>Texas</v>
      </c>
      <c r="C174" s="27" t="str">
        <f t="shared" si="11"/>
        <v>San Patricio</v>
      </c>
      <c r="D174" s="27">
        <v>23884</v>
      </c>
      <c r="E174" s="27">
        <v>12</v>
      </c>
      <c r="F174" s="27">
        <v>1558</v>
      </c>
      <c r="G174" s="26">
        <f t="shared" si="12"/>
        <v>129.83333333333334</v>
      </c>
      <c r="H174" s="27">
        <v>3800</v>
      </c>
      <c r="I174" s="10">
        <v>376</v>
      </c>
      <c r="J174" s="28">
        <f t="shared" si="13"/>
        <v>48.780487804878049</v>
      </c>
      <c r="K174" s="2">
        <v>4426</v>
      </c>
      <c r="L174" s="27">
        <v>12</v>
      </c>
      <c r="M174" s="2">
        <v>5700</v>
      </c>
      <c r="N174" s="27">
        <v>1905</v>
      </c>
      <c r="O174" s="27" t="s">
        <v>1965</v>
      </c>
      <c r="P174" s="27"/>
      <c r="Q174" s="27"/>
      <c r="R174" s="27"/>
      <c r="S174" s="27"/>
    </row>
    <row r="175" spans="1:19" x14ac:dyDescent="0.25">
      <c r="A175" s="27" t="s">
        <v>1569</v>
      </c>
      <c r="B175" s="27" t="str">
        <f t="shared" si="10"/>
        <v>Texas</v>
      </c>
      <c r="C175" s="27" t="str">
        <f t="shared" si="11"/>
        <v>San Saba</v>
      </c>
      <c r="D175" s="27">
        <v>129724</v>
      </c>
      <c r="E175" s="27">
        <v>49</v>
      </c>
      <c r="F175" s="27">
        <v>7934</v>
      </c>
      <c r="G175" s="26">
        <f t="shared" si="12"/>
        <v>161.91836734693877</v>
      </c>
      <c r="H175" s="27">
        <v>10867.15</v>
      </c>
      <c r="I175" s="10">
        <v>1960</v>
      </c>
      <c r="J175" s="28">
        <f t="shared" si="13"/>
        <v>27.393874464330729</v>
      </c>
      <c r="K175" s="2">
        <v>12092</v>
      </c>
      <c r="L175" s="27">
        <v>44</v>
      </c>
      <c r="M175" s="2">
        <v>17120</v>
      </c>
      <c r="N175" s="27">
        <v>1905</v>
      </c>
      <c r="O175" s="27" t="s">
        <v>1965</v>
      </c>
      <c r="P175" s="27"/>
      <c r="Q175" s="27"/>
      <c r="R175" s="27"/>
      <c r="S175" s="27"/>
    </row>
    <row r="176" spans="1:19" x14ac:dyDescent="0.25">
      <c r="A176" s="27" t="s">
        <v>1570</v>
      </c>
      <c r="B176" s="27" t="str">
        <f t="shared" si="10"/>
        <v>Texas</v>
      </c>
      <c r="C176" s="27" t="str">
        <f t="shared" si="11"/>
        <v>Schleicher</v>
      </c>
      <c r="D176" s="27">
        <v>20477</v>
      </c>
      <c r="E176" s="27">
        <v>9</v>
      </c>
      <c r="F176" s="27">
        <v>1212</v>
      </c>
      <c r="G176" s="26">
        <f t="shared" si="12"/>
        <v>134.66666666666666</v>
      </c>
      <c r="H176" s="27">
        <v>2665.85</v>
      </c>
      <c r="I176" s="10">
        <v>231</v>
      </c>
      <c r="J176" s="28">
        <f t="shared" si="13"/>
        <v>43.990924092409244</v>
      </c>
      <c r="K176" s="2">
        <v>3694</v>
      </c>
      <c r="L176" s="27">
        <v>6</v>
      </c>
      <c r="M176" s="2">
        <v>1965</v>
      </c>
      <c r="N176" s="27">
        <v>1905</v>
      </c>
      <c r="O176" s="27" t="s">
        <v>1965</v>
      </c>
      <c r="P176" s="27"/>
      <c r="Q176" s="27"/>
      <c r="R176" s="27"/>
      <c r="S176" s="27"/>
    </row>
    <row r="177" spans="1:19" x14ac:dyDescent="0.25">
      <c r="A177" s="27" t="s">
        <v>1571</v>
      </c>
      <c r="B177" s="27" t="str">
        <f t="shared" si="10"/>
        <v>Texas</v>
      </c>
      <c r="C177" s="27" t="str">
        <f t="shared" si="11"/>
        <v>Scurry</v>
      </c>
      <c r="D177" s="27">
        <v>72129</v>
      </c>
      <c r="E177" s="27">
        <v>26</v>
      </c>
      <c r="F177" s="27">
        <v>2471</v>
      </c>
      <c r="G177" s="26">
        <f t="shared" si="12"/>
        <v>95.038461538461533</v>
      </c>
      <c r="H177" s="27">
        <v>6337.66</v>
      </c>
      <c r="I177" s="10">
        <v>1153</v>
      </c>
      <c r="J177" s="28">
        <f t="shared" si="13"/>
        <v>51.296317280453259</v>
      </c>
      <c r="K177" s="2">
        <v>6564</v>
      </c>
      <c r="L177" s="27">
        <v>25</v>
      </c>
      <c r="M177" s="2">
        <v>2690</v>
      </c>
      <c r="N177" s="27">
        <v>1905</v>
      </c>
      <c r="O177" s="27" t="s">
        <v>1965</v>
      </c>
      <c r="P177" s="27"/>
      <c r="Q177" s="27"/>
      <c r="R177" s="27"/>
      <c r="S177" s="27"/>
    </row>
    <row r="178" spans="1:19" x14ac:dyDescent="0.25">
      <c r="A178" s="27" t="s">
        <v>1573</v>
      </c>
      <c r="B178" s="27" t="str">
        <f t="shared" si="10"/>
        <v>Texas</v>
      </c>
      <c r="C178" s="27" t="str">
        <f t="shared" si="11"/>
        <v>Shelby</v>
      </c>
      <c r="D178" s="27">
        <v>259556</v>
      </c>
      <c r="E178" s="27">
        <v>94</v>
      </c>
      <c r="F178" s="27">
        <v>11376</v>
      </c>
      <c r="G178" s="26">
        <f t="shared" si="12"/>
        <v>121.02127659574468</v>
      </c>
      <c r="H178" s="27">
        <v>26126.14</v>
      </c>
      <c r="I178" s="10">
        <v>5367</v>
      </c>
      <c r="J178" s="28">
        <f t="shared" si="13"/>
        <v>45.932032348804498</v>
      </c>
      <c r="K178" s="2">
        <v>28092</v>
      </c>
      <c r="L178" s="27">
        <v>48</v>
      </c>
      <c r="M178" s="2">
        <v>18975</v>
      </c>
      <c r="N178" s="27">
        <v>1905</v>
      </c>
      <c r="O178" s="27" t="s">
        <v>1965</v>
      </c>
      <c r="P178" s="27"/>
      <c r="Q178" s="27"/>
      <c r="R178" s="27"/>
      <c r="S178" s="27"/>
    </row>
    <row r="179" spans="1:19" x14ac:dyDescent="0.25">
      <c r="A179" s="27" t="s">
        <v>1574</v>
      </c>
      <c r="B179" s="27" t="str">
        <f t="shared" si="10"/>
        <v>Texas</v>
      </c>
      <c r="C179" s="27" t="str">
        <f t="shared" si="11"/>
        <v>Sherman</v>
      </c>
      <c r="D179" s="27">
        <v>6580</v>
      </c>
      <c r="E179" s="27">
        <v>7</v>
      </c>
      <c r="F179" s="27">
        <v>608</v>
      </c>
      <c r="G179" s="26">
        <f t="shared" si="12"/>
        <v>86.857142857142861</v>
      </c>
      <c r="H179" s="27">
        <v>1453.18</v>
      </c>
      <c r="I179" s="10">
        <v>88</v>
      </c>
      <c r="J179" s="28">
        <f t="shared" si="13"/>
        <v>47.801973684210523</v>
      </c>
      <c r="K179" s="2">
        <v>1845</v>
      </c>
      <c r="L179" s="27">
        <v>7</v>
      </c>
      <c r="M179" s="2">
        <v>102</v>
      </c>
      <c r="N179" s="27">
        <v>1905</v>
      </c>
      <c r="O179" s="27" t="s">
        <v>1965</v>
      </c>
      <c r="P179" s="27"/>
      <c r="Q179" s="27"/>
      <c r="R179" s="27"/>
      <c r="S179" s="27"/>
    </row>
    <row r="180" spans="1:19" x14ac:dyDescent="0.25">
      <c r="A180" s="27" t="s">
        <v>1575</v>
      </c>
      <c r="B180" s="27" t="str">
        <f t="shared" si="10"/>
        <v>Texas</v>
      </c>
      <c r="C180" s="27" t="str">
        <f t="shared" si="11"/>
        <v>Smith</v>
      </c>
      <c r="D180" s="27">
        <v>408585</v>
      </c>
      <c r="E180" s="27">
        <v>147</v>
      </c>
      <c r="F180" s="27">
        <v>14827</v>
      </c>
      <c r="G180" s="26">
        <f t="shared" si="12"/>
        <v>100.8639455782313</v>
      </c>
      <c r="H180" s="27">
        <v>34870.54</v>
      </c>
      <c r="I180" s="10">
        <v>7877</v>
      </c>
      <c r="J180" s="28">
        <f t="shared" si="13"/>
        <v>47.036541444661765</v>
      </c>
      <c r="K180" s="2">
        <v>37027</v>
      </c>
      <c r="L180" s="27">
        <v>126</v>
      </c>
      <c r="M180" s="2">
        <v>34788</v>
      </c>
      <c r="N180" s="27">
        <v>1905</v>
      </c>
      <c r="O180" s="27" t="s">
        <v>1965</v>
      </c>
      <c r="P180" s="27"/>
      <c r="Q180" s="27"/>
      <c r="R180" s="27"/>
      <c r="S180" s="27"/>
    </row>
    <row r="181" spans="1:19" x14ac:dyDescent="0.25">
      <c r="A181" s="27" t="s">
        <v>1576</v>
      </c>
      <c r="B181" s="27" t="str">
        <f t="shared" si="10"/>
        <v>Texas</v>
      </c>
      <c r="C181" s="27" t="str">
        <f t="shared" si="11"/>
        <v>Somervell</v>
      </c>
      <c r="D181" s="27">
        <v>51167</v>
      </c>
      <c r="E181" s="27">
        <v>17</v>
      </c>
      <c r="F181" s="27">
        <v>1796</v>
      </c>
      <c r="G181" s="26">
        <f t="shared" si="12"/>
        <v>105.64705882352941</v>
      </c>
      <c r="H181" s="27">
        <v>4268.2</v>
      </c>
      <c r="I181" s="10">
        <v>986</v>
      </c>
      <c r="J181" s="28">
        <f t="shared" si="13"/>
        <v>47.530066815144764</v>
      </c>
      <c r="K181" s="2">
        <v>4589</v>
      </c>
      <c r="L181" s="27">
        <v>19</v>
      </c>
      <c r="M181" s="2">
        <v>2080</v>
      </c>
      <c r="N181" s="27">
        <v>1905</v>
      </c>
      <c r="O181" s="27" t="s">
        <v>1965</v>
      </c>
      <c r="P181" s="27"/>
      <c r="Q181" s="27"/>
      <c r="R181" s="27"/>
      <c r="S181" s="27"/>
    </row>
    <row r="182" spans="1:19" x14ac:dyDescent="0.25">
      <c r="A182" s="27" t="s">
        <v>1792</v>
      </c>
      <c r="B182" s="27" t="str">
        <f t="shared" si="10"/>
        <v>Texas</v>
      </c>
      <c r="C182" s="27" t="str">
        <f t="shared" si="11"/>
        <v>Stephens/Buchanan</v>
      </c>
      <c r="D182" s="27">
        <v>99395</v>
      </c>
      <c r="E182" s="27">
        <v>49</v>
      </c>
      <c r="F182" s="27">
        <v>4572</v>
      </c>
      <c r="G182" s="26">
        <f t="shared" si="12"/>
        <v>93.306122448979593</v>
      </c>
      <c r="H182" s="27">
        <v>9491.9699999999993</v>
      </c>
      <c r="I182" s="10">
        <v>1599</v>
      </c>
      <c r="J182" s="28">
        <f t="shared" si="13"/>
        <v>41.522178477690282</v>
      </c>
      <c r="K182" s="2">
        <v>9936</v>
      </c>
      <c r="L182" s="27">
        <v>42</v>
      </c>
      <c r="M182" s="2">
        <v>8776</v>
      </c>
      <c r="N182" s="27">
        <v>1905</v>
      </c>
      <c r="O182" s="27" t="s">
        <v>1965</v>
      </c>
      <c r="P182" s="27"/>
      <c r="Q182" s="27"/>
      <c r="R182" s="27"/>
      <c r="S182" s="27"/>
    </row>
    <row r="183" spans="1:19" x14ac:dyDescent="0.25">
      <c r="A183" s="27" t="s">
        <v>1578</v>
      </c>
      <c r="B183" s="27" t="str">
        <f t="shared" si="10"/>
        <v>Texas</v>
      </c>
      <c r="C183" s="27" t="str">
        <f t="shared" si="11"/>
        <v>Sterling</v>
      </c>
      <c r="D183" s="27">
        <v>12148</v>
      </c>
      <c r="E183" s="27">
        <v>10</v>
      </c>
      <c r="F183" s="27">
        <v>1272</v>
      </c>
      <c r="G183" s="26">
        <f t="shared" si="12"/>
        <v>127.2</v>
      </c>
      <c r="H183" s="27">
        <v>2688.25</v>
      </c>
      <c r="I183" s="10">
        <v>164</v>
      </c>
      <c r="J183" s="28">
        <f t="shared" si="13"/>
        <v>42.268081761006286</v>
      </c>
      <c r="K183" s="2">
        <v>3502</v>
      </c>
      <c r="L183" s="27">
        <v>12</v>
      </c>
      <c r="M183" s="2">
        <v>2571</v>
      </c>
      <c r="N183" s="27">
        <v>1905</v>
      </c>
      <c r="O183" s="27" t="s">
        <v>1965</v>
      </c>
      <c r="P183" s="27"/>
      <c r="Q183" s="27"/>
      <c r="R183" s="27"/>
      <c r="S183" s="27"/>
    </row>
    <row r="184" spans="1:19" x14ac:dyDescent="0.25">
      <c r="A184" s="27" t="s">
        <v>1579</v>
      </c>
      <c r="B184" s="27" t="str">
        <f t="shared" si="10"/>
        <v>Texas</v>
      </c>
      <c r="C184" s="27" t="str">
        <f t="shared" si="11"/>
        <v>Stonewall</v>
      </c>
      <c r="D184" s="27">
        <v>38998</v>
      </c>
      <c r="E184" s="27">
        <v>25</v>
      </c>
      <c r="F184" s="27">
        <v>2375</v>
      </c>
      <c r="G184" s="26">
        <f t="shared" si="12"/>
        <v>95</v>
      </c>
      <c r="H184" s="27">
        <v>5793.17</v>
      </c>
      <c r="I184" s="10">
        <v>680</v>
      </c>
      <c r="J184" s="28">
        <f t="shared" si="13"/>
        <v>48.784589473684207</v>
      </c>
      <c r="K184" s="2">
        <v>6669</v>
      </c>
      <c r="L184" s="27">
        <v>25</v>
      </c>
      <c r="M184" s="2">
        <v>6125</v>
      </c>
      <c r="N184" s="27">
        <v>1905</v>
      </c>
      <c r="O184" s="27" t="s">
        <v>1965</v>
      </c>
      <c r="P184" s="27"/>
      <c r="Q184" s="27"/>
      <c r="R184" s="27"/>
      <c r="S184" s="27"/>
    </row>
    <row r="185" spans="1:19" x14ac:dyDescent="0.25">
      <c r="A185" s="27" t="s">
        <v>1580</v>
      </c>
      <c r="B185" s="27" t="str">
        <f t="shared" si="10"/>
        <v>Texas</v>
      </c>
      <c r="C185" s="27" t="str">
        <f t="shared" si="11"/>
        <v>Sutton</v>
      </c>
      <c r="D185" s="27">
        <v>3169</v>
      </c>
      <c r="E185" s="27">
        <v>4</v>
      </c>
      <c r="F185" s="27">
        <v>400</v>
      </c>
      <c r="G185" s="26">
        <f t="shared" si="12"/>
        <v>100</v>
      </c>
      <c r="H185" s="27">
        <v>660</v>
      </c>
      <c r="I185" s="10">
        <v>69</v>
      </c>
      <c r="J185" s="28">
        <f t="shared" si="13"/>
        <v>33</v>
      </c>
      <c r="K185" s="2">
        <v>660</v>
      </c>
      <c r="L185" s="27">
        <v>5</v>
      </c>
      <c r="M185" s="2">
        <v>1225</v>
      </c>
      <c r="N185" s="27">
        <v>1905</v>
      </c>
      <c r="O185" s="27" t="s">
        <v>1965</v>
      </c>
      <c r="P185" s="27"/>
      <c r="Q185" s="27"/>
      <c r="R185" s="27"/>
      <c r="S185" s="27"/>
    </row>
    <row r="186" spans="1:19" x14ac:dyDescent="0.25">
      <c r="A186" s="27" t="s">
        <v>1581</v>
      </c>
      <c r="B186" s="27" t="str">
        <f t="shared" si="10"/>
        <v>Texas</v>
      </c>
      <c r="C186" s="27" t="str">
        <f t="shared" si="11"/>
        <v>Swisher</v>
      </c>
      <c r="D186" s="27">
        <v>28334</v>
      </c>
      <c r="E186" s="27">
        <v>12</v>
      </c>
      <c r="F186" s="27">
        <v>1252</v>
      </c>
      <c r="G186" s="26">
        <f t="shared" si="12"/>
        <v>104.33333333333333</v>
      </c>
      <c r="H186" s="27">
        <v>3276.73</v>
      </c>
      <c r="I186" s="10">
        <v>412</v>
      </c>
      <c r="J186" s="28">
        <f t="shared" si="13"/>
        <v>52.34392971246006</v>
      </c>
      <c r="K186" s="2">
        <v>3870</v>
      </c>
      <c r="L186" s="27">
        <v>9</v>
      </c>
      <c r="M186" s="2">
        <v>3542</v>
      </c>
      <c r="N186" s="27">
        <v>1905</v>
      </c>
      <c r="O186" s="27" t="s">
        <v>1965</v>
      </c>
      <c r="P186" s="27"/>
      <c r="Q186" s="27"/>
      <c r="R186" s="27"/>
      <c r="S186" s="27"/>
    </row>
    <row r="187" spans="1:19" x14ac:dyDescent="0.25">
      <c r="A187" s="27" t="s">
        <v>1582</v>
      </c>
      <c r="B187" s="27" t="str">
        <f t="shared" si="10"/>
        <v>Texas</v>
      </c>
      <c r="C187" s="27" t="str">
        <f t="shared" si="11"/>
        <v>Tarrant</v>
      </c>
      <c r="D187" s="27">
        <v>482502</v>
      </c>
      <c r="E187" s="27">
        <v>142</v>
      </c>
      <c r="F187" s="27">
        <v>17069</v>
      </c>
      <c r="G187" s="26">
        <f t="shared" si="12"/>
        <v>120.20422535211267</v>
      </c>
      <c r="H187" s="27">
        <v>42194.400000000001</v>
      </c>
      <c r="I187" s="10">
        <v>7529</v>
      </c>
      <c r="J187" s="28">
        <f t="shared" si="13"/>
        <v>49.439803151912834</v>
      </c>
      <c r="K187" s="2">
        <v>53742</v>
      </c>
      <c r="L187" s="27">
        <v>106</v>
      </c>
      <c r="M187" s="2">
        <v>46104</v>
      </c>
      <c r="N187" s="27">
        <v>1905</v>
      </c>
      <c r="O187" s="27" t="s">
        <v>1965</v>
      </c>
      <c r="P187" s="27"/>
      <c r="Q187" s="27"/>
      <c r="R187" s="27"/>
      <c r="S187" s="27"/>
    </row>
    <row r="188" spans="1:19" x14ac:dyDescent="0.25">
      <c r="A188" s="27" t="s">
        <v>1583</v>
      </c>
      <c r="B188" s="27" t="str">
        <f t="shared" si="10"/>
        <v>Texas</v>
      </c>
      <c r="C188" s="27" t="str">
        <f t="shared" si="11"/>
        <v>Taylor</v>
      </c>
      <c r="D188" s="27">
        <v>125696</v>
      </c>
      <c r="E188" s="27">
        <v>50</v>
      </c>
      <c r="F188" s="27">
        <v>4632</v>
      </c>
      <c r="G188" s="26">
        <f t="shared" si="12"/>
        <v>92.64</v>
      </c>
      <c r="H188" s="27">
        <v>13416.79</v>
      </c>
      <c r="I188" s="10">
        <v>2352</v>
      </c>
      <c r="J188" s="28">
        <f t="shared" si="13"/>
        <v>57.930872193436969</v>
      </c>
      <c r="K188" s="2">
        <v>14593</v>
      </c>
      <c r="L188" s="27">
        <v>43</v>
      </c>
      <c r="M188" s="2">
        <v>13750</v>
      </c>
      <c r="N188" s="27">
        <v>1905</v>
      </c>
      <c r="O188" s="27" t="s">
        <v>1965</v>
      </c>
      <c r="P188" s="27"/>
      <c r="Q188" s="27"/>
      <c r="R188" s="27"/>
      <c r="S188" s="27"/>
    </row>
    <row r="189" spans="1:19" x14ac:dyDescent="0.25">
      <c r="A189" s="27" t="s">
        <v>1585</v>
      </c>
      <c r="B189" s="27" t="str">
        <f t="shared" si="10"/>
        <v>Texas</v>
      </c>
      <c r="C189" s="27" t="str">
        <f t="shared" si="11"/>
        <v>Terry</v>
      </c>
      <c r="D189" s="27"/>
      <c r="E189" s="27">
        <v>5</v>
      </c>
      <c r="F189" s="27">
        <v>418</v>
      </c>
      <c r="G189" s="26">
        <f t="shared" si="12"/>
        <v>83.6</v>
      </c>
      <c r="H189" s="27">
        <v>930.5</v>
      </c>
      <c r="I189" s="10"/>
      <c r="J189" s="28">
        <f t="shared" si="13"/>
        <v>44.52153110047847</v>
      </c>
      <c r="K189" s="2">
        <v>1070</v>
      </c>
      <c r="L189" s="27">
        <v>5</v>
      </c>
      <c r="M189" s="2">
        <v>3470</v>
      </c>
      <c r="N189" s="27">
        <v>1905</v>
      </c>
      <c r="O189" s="27" t="s">
        <v>1965</v>
      </c>
      <c r="P189" s="27"/>
      <c r="Q189" s="27"/>
      <c r="R189" s="27"/>
      <c r="S189" s="27"/>
    </row>
    <row r="190" spans="1:19" x14ac:dyDescent="0.25">
      <c r="A190" s="27" t="s">
        <v>1586</v>
      </c>
      <c r="B190" s="27" t="str">
        <f t="shared" si="10"/>
        <v>Texas</v>
      </c>
      <c r="C190" s="27" t="str">
        <f t="shared" si="11"/>
        <v>Throckmorton</v>
      </c>
      <c r="D190" s="27">
        <v>31672</v>
      </c>
      <c r="E190" s="27">
        <v>18</v>
      </c>
      <c r="F190" s="27">
        <v>1879</v>
      </c>
      <c r="G190" s="26">
        <f t="shared" si="12"/>
        <v>104.38888888888889</v>
      </c>
      <c r="H190" s="27">
        <v>5022.38</v>
      </c>
      <c r="I190" s="10">
        <v>535</v>
      </c>
      <c r="J190" s="28">
        <f t="shared" si="13"/>
        <v>53.458009579563601</v>
      </c>
      <c r="K190" s="2">
        <v>6155</v>
      </c>
      <c r="L190" s="27">
        <v>15</v>
      </c>
      <c r="M190" s="2">
        <v>4016</v>
      </c>
      <c r="N190" s="27">
        <v>1905</v>
      </c>
      <c r="O190" s="27" t="s">
        <v>1965</v>
      </c>
      <c r="P190" s="27"/>
      <c r="Q190" s="27"/>
      <c r="R190" s="27"/>
      <c r="S190" s="27"/>
    </row>
    <row r="191" spans="1:19" x14ac:dyDescent="0.25">
      <c r="A191" s="27" t="s">
        <v>1587</v>
      </c>
      <c r="B191" s="27" t="str">
        <f t="shared" si="10"/>
        <v>Texas</v>
      </c>
      <c r="C191" s="27" t="str">
        <f t="shared" si="11"/>
        <v>Titus</v>
      </c>
      <c r="D191" s="27">
        <v>138649</v>
      </c>
      <c r="E191" s="27">
        <v>52</v>
      </c>
      <c r="F191" s="27">
        <v>2506</v>
      </c>
      <c r="G191" s="26">
        <f t="shared" si="12"/>
        <v>48.192307692307693</v>
      </c>
      <c r="H191" s="27">
        <v>12773.26</v>
      </c>
      <c r="I191" s="10">
        <v>2705</v>
      </c>
      <c r="J191" s="28">
        <f t="shared" si="13"/>
        <v>101.94142059058261</v>
      </c>
      <c r="K191" s="2">
        <v>13901</v>
      </c>
      <c r="L191" s="27">
        <v>12</v>
      </c>
      <c r="M191" s="2">
        <v>6838</v>
      </c>
      <c r="N191" s="27">
        <v>1905</v>
      </c>
      <c r="O191" s="27" t="s">
        <v>1965</v>
      </c>
      <c r="P191" s="27"/>
      <c r="Q191" s="27"/>
      <c r="R191" s="27"/>
      <c r="S191" s="27"/>
    </row>
    <row r="192" spans="1:19" x14ac:dyDescent="0.25">
      <c r="A192" s="27" t="s">
        <v>1588</v>
      </c>
      <c r="B192" s="27" t="str">
        <f t="shared" si="10"/>
        <v>Texas</v>
      </c>
      <c r="C192" s="27" t="str">
        <f t="shared" si="11"/>
        <v>Tom Green</v>
      </c>
      <c r="D192" s="27">
        <v>55832</v>
      </c>
      <c r="E192" s="27">
        <v>22</v>
      </c>
      <c r="F192" s="27">
        <v>2747</v>
      </c>
      <c r="G192" s="26">
        <f t="shared" si="12"/>
        <v>124.86363636363636</v>
      </c>
      <c r="H192" s="27">
        <v>7341.5</v>
      </c>
      <c r="I192" s="10">
        <v>832</v>
      </c>
      <c r="J192" s="28">
        <f t="shared" si="13"/>
        <v>53.451037495449576</v>
      </c>
      <c r="K192" s="2">
        <v>7566</v>
      </c>
      <c r="L192" s="27">
        <v>19</v>
      </c>
      <c r="M192" s="2">
        <v>3890</v>
      </c>
      <c r="N192" s="27">
        <v>1905</v>
      </c>
      <c r="O192" s="27" t="s">
        <v>1965</v>
      </c>
      <c r="P192" s="27"/>
      <c r="Q192" s="27"/>
      <c r="R192" s="27"/>
      <c r="S192" s="27"/>
    </row>
    <row r="193" spans="1:19" x14ac:dyDescent="0.25">
      <c r="A193" s="27" t="s">
        <v>1589</v>
      </c>
      <c r="B193" s="27" t="str">
        <f t="shared" si="10"/>
        <v>Texas</v>
      </c>
      <c r="C193" s="27" t="str">
        <f t="shared" si="11"/>
        <v>Travis</v>
      </c>
      <c r="D193" s="27">
        <v>290337</v>
      </c>
      <c r="E193" s="27">
        <v>104</v>
      </c>
      <c r="F193" s="27">
        <v>11255</v>
      </c>
      <c r="G193" s="26">
        <f t="shared" si="12"/>
        <v>108.22115384615384</v>
      </c>
      <c r="H193" s="27">
        <v>25583.27</v>
      </c>
      <c r="I193" s="10">
        <v>4421</v>
      </c>
      <c r="J193" s="28">
        <f t="shared" si="13"/>
        <v>45.461163927143495</v>
      </c>
      <c r="K193" s="2">
        <v>28249</v>
      </c>
      <c r="L193" s="27">
        <v>93</v>
      </c>
      <c r="M193" s="2">
        <v>31054</v>
      </c>
      <c r="N193" s="27">
        <v>1905</v>
      </c>
      <c r="O193" s="27" t="s">
        <v>1965</v>
      </c>
      <c r="P193" s="27"/>
      <c r="Q193" s="27"/>
      <c r="R193" s="27"/>
      <c r="S193" s="27"/>
    </row>
    <row r="194" spans="1:19" x14ac:dyDescent="0.25">
      <c r="A194" s="27" t="s">
        <v>1591</v>
      </c>
      <c r="B194" s="27" t="str">
        <f t="shared" ref="B194:B238" si="14">LEFT(A194,FIND(";",A194)-1)</f>
        <v>Texas</v>
      </c>
      <c r="C194" s="27" t="str">
        <f t="shared" ref="C194:C238" si="15">MID(A194,FIND(";",A194)+1,100)</f>
        <v>Tyler</v>
      </c>
      <c r="D194" s="27">
        <v>150779</v>
      </c>
      <c r="E194" s="27">
        <v>79</v>
      </c>
      <c r="F194" s="27">
        <v>5260</v>
      </c>
      <c r="G194" s="26">
        <f t="shared" si="12"/>
        <v>66.582278481012665</v>
      </c>
      <c r="H194" s="27">
        <v>12756.25</v>
      </c>
      <c r="I194" s="10">
        <v>2528</v>
      </c>
      <c r="J194" s="28">
        <f t="shared" si="13"/>
        <v>48.502851711026608</v>
      </c>
      <c r="K194" s="2">
        <v>13575</v>
      </c>
      <c r="L194" s="27">
        <v>55</v>
      </c>
      <c r="M194" s="2">
        <v>3903</v>
      </c>
      <c r="N194" s="27">
        <v>1905</v>
      </c>
      <c r="O194" s="27" t="s">
        <v>1965</v>
      </c>
      <c r="P194" s="27"/>
      <c r="Q194" s="27"/>
      <c r="R194" s="27"/>
      <c r="S194" s="27"/>
    </row>
    <row r="195" spans="1:19" x14ac:dyDescent="0.25">
      <c r="A195" s="27" t="s">
        <v>1592</v>
      </c>
      <c r="B195" s="27" t="str">
        <f t="shared" si="14"/>
        <v>Texas</v>
      </c>
      <c r="C195" s="27" t="str">
        <f t="shared" si="15"/>
        <v>Upshur</v>
      </c>
      <c r="D195" s="27">
        <v>170779</v>
      </c>
      <c r="E195" s="27">
        <v>84</v>
      </c>
      <c r="F195" s="27">
        <v>6314</v>
      </c>
      <c r="G195" s="26">
        <f t="shared" si="12"/>
        <v>75.166666666666671</v>
      </c>
      <c r="H195" s="27">
        <v>19341.68</v>
      </c>
      <c r="I195" s="10">
        <v>4119</v>
      </c>
      <c r="J195" s="28">
        <f t="shared" si="13"/>
        <v>61.266012036743739</v>
      </c>
      <c r="K195" s="2">
        <v>20107</v>
      </c>
      <c r="L195" s="27">
        <v>77</v>
      </c>
      <c r="M195" s="2">
        <v>16060</v>
      </c>
      <c r="N195" s="27">
        <v>1905</v>
      </c>
      <c r="O195" s="27" t="s">
        <v>1965</v>
      </c>
      <c r="P195" s="27"/>
      <c r="Q195" s="27"/>
      <c r="R195" s="27"/>
      <c r="S195" s="27"/>
    </row>
    <row r="196" spans="1:19" x14ac:dyDescent="0.25">
      <c r="A196" s="27" t="s">
        <v>1594</v>
      </c>
      <c r="B196" s="27" t="str">
        <f t="shared" si="14"/>
        <v>Texas</v>
      </c>
      <c r="C196" s="27" t="str">
        <f t="shared" si="15"/>
        <v>Uvalde</v>
      </c>
      <c r="D196" s="27">
        <v>102878</v>
      </c>
      <c r="E196" s="27">
        <v>32</v>
      </c>
      <c r="F196" s="27">
        <v>4442</v>
      </c>
      <c r="G196" s="26">
        <f t="shared" si="12"/>
        <v>138.8125</v>
      </c>
      <c r="H196" s="27">
        <v>9184</v>
      </c>
      <c r="I196" s="10">
        <v>1068</v>
      </c>
      <c r="J196" s="28">
        <f t="shared" si="13"/>
        <v>41.350742908599734</v>
      </c>
      <c r="K196" s="2">
        <v>12270</v>
      </c>
      <c r="L196" s="27">
        <v>21</v>
      </c>
      <c r="M196" s="2">
        <v>20166</v>
      </c>
      <c r="N196" s="27">
        <v>1905</v>
      </c>
      <c r="O196" s="27" t="s">
        <v>1965</v>
      </c>
      <c r="P196" s="27"/>
      <c r="Q196" s="27"/>
      <c r="R196" s="27"/>
      <c r="S196" s="27"/>
    </row>
    <row r="197" spans="1:19" x14ac:dyDescent="0.25">
      <c r="A197" s="27" t="s">
        <v>1765</v>
      </c>
      <c r="B197" s="27" t="str">
        <f t="shared" si="14"/>
        <v>Texas</v>
      </c>
      <c r="C197" s="27" t="str">
        <f t="shared" si="15"/>
        <v>Val Verde</v>
      </c>
      <c r="D197" s="27">
        <v>21566</v>
      </c>
      <c r="E197" s="27">
        <v>7</v>
      </c>
      <c r="F197" s="27">
        <v>830</v>
      </c>
      <c r="G197" s="26">
        <f t="shared" si="12"/>
        <v>118.57142857142857</v>
      </c>
      <c r="H197" s="27">
        <v>2505</v>
      </c>
      <c r="I197" s="10">
        <v>321</v>
      </c>
      <c r="J197" s="28">
        <f t="shared" si="13"/>
        <v>60.361445783132524</v>
      </c>
      <c r="K197" s="2">
        <v>3375</v>
      </c>
      <c r="L197" s="27">
        <v>6</v>
      </c>
      <c r="M197" s="2">
        <v>2700</v>
      </c>
      <c r="N197" s="27">
        <v>1905</v>
      </c>
      <c r="O197" s="27" t="s">
        <v>1965</v>
      </c>
      <c r="P197" s="27"/>
      <c r="Q197" s="27"/>
      <c r="R197" s="27"/>
      <c r="S197" s="27"/>
    </row>
    <row r="198" spans="1:19" x14ac:dyDescent="0.25">
      <c r="A198" s="27" t="s">
        <v>1596</v>
      </c>
      <c r="B198" s="27" t="str">
        <f t="shared" si="14"/>
        <v>Texas</v>
      </c>
      <c r="C198" s="27" t="str">
        <f t="shared" si="15"/>
        <v>Victoria</v>
      </c>
      <c r="D198" s="27">
        <v>81868</v>
      </c>
      <c r="E198" s="27">
        <v>42</v>
      </c>
      <c r="F198" s="27">
        <v>4441</v>
      </c>
      <c r="G198" s="26">
        <f t="shared" si="12"/>
        <v>105.73809523809524</v>
      </c>
      <c r="H198" s="27">
        <v>8854.9699999999993</v>
      </c>
      <c r="I198" s="10">
        <v>1251</v>
      </c>
      <c r="J198" s="28">
        <f t="shared" si="13"/>
        <v>39.878270659761313</v>
      </c>
      <c r="K198" s="2">
        <v>9331</v>
      </c>
      <c r="L198" s="27">
        <v>41</v>
      </c>
      <c r="M198" s="2">
        <v>5657</v>
      </c>
      <c r="N198" s="27">
        <v>1905</v>
      </c>
      <c r="O198" s="27" t="s">
        <v>1965</v>
      </c>
      <c r="P198" s="27"/>
      <c r="Q198" s="27"/>
      <c r="R198" s="27"/>
      <c r="S198" s="27"/>
    </row>
    <row r="199" spans="1:19" x14ac:dyDescent="0.25">
      <c r="A199" s="27" t="s">
        <v>1597</v>
      </c>
      <c r="B199" s="27" t="str">
        <f t="shared" si="14"/>
        <v>Texas</v>
      </c>
      <c r="C199" s="27" t="str">
        <f t="shared" si="15"/>
        <v>Walker</v>
      </c>
      <c r="D199" s="27">
        <v>209788</v>
      </c>
      <c r="E199" s="27">
        <v>75</v>
      </c>
      <c r="F199" s="27">
        <v>8802</v>
      </c>
      <c r="G199" s="26">
        <f t="shared" si="12"/>
        <v>117.36</v>
      </c>
      <c r="H199" s="27">
        <v>16476.18</v>
      </c>
      <c r="I199" s="10">
        <v>3314</v>
      </c>
      <c r="J199" s="28">
        <f t="shared" si="13"/>
        <v>37.4373551465576</v>
      </c>
      <c r="K199" s="2">
        <v>17805</v>
      </c>
      <c r="L199" s="27">
        <v>73</v>
      </c>
      <c r="M199" s="2">
        <v>13810</v>
      </c>
      <c r="N199" s="27">
        <v>1905</v>
      </c>
      <c r="O199" s="27" t="s">
        <v>1965</v>
      </c>
      <c r="P199" s="27"/>
      <c r="Q199" s="27"/>
      <c r="R199" s="27"/>
      <c r="S199" s="27"/>
    </row>
    <row r="200" spans="1:19" x14ac:dyDescent="0.25">
      <c r="A200" s="27" t="s">
        <v>1598</v>
      </c>
      <c r="B200" s="27" t="str">
        <f t="shared" si="14"/>
        <v>Texas</v>
      </c>
      <c r="C200" s="27" t="str">
        <f t="shared" si="15"/>
        <v>Waller</v>
      </c>
      <c r="D200" s="27">
        <v>157536</v>
      </c>
      <c r="E200" s="27">
        <v>58</v>
      </c>
      <c r="F200" s="27">
        <v>6018</v>
      </c>
      <c r="G200" s="26">
        <f t="shared" si="12"/>
        <v>103.75862068965517</v>
      </c>
      <c r="H200" s="27">
        <v>12684.87</v>
      </c>
      <c r="I200" s="10">
        <v>2597</v>
      </c>
      <c r="J200" s="28">
        <f t="shared" si="13"/>
        <v>42.156430707876368</v>
      </c>
      <c r="K200" s="2">
        <v>13695</v>
      </c>
      <c r="L200" s="27">
        <v>53</v>
      </c>
      <c r="M200" s="2">
        <v>7495</v>
      </c>
      <c r="N200" s="27">
        <v>1905</v>
      </c>
      <c r="O200" s="27" t="s">
        <v>1965</v>
      </c>
      <c r="P200" s="27"/>
      <c r="Q200" s="27"/>
      <c r="R200" s="27"/>
      <c r="S200" s="27"/>
    </row>
    <row r="201" spans="1:19" x14ac:dyDescent="0.25">
      <c r="A201" s="27" t="s">
        <v>1599</v>
      </c>
      <c r="B201" s="27" t="str">
        <f t="shared" si="14"/>
        <v>Texas</v>
      </c>
      <c r="C201" s="27" t="str">
        <f t="shared" si="15"/>
        <v>Ward</v>
      </c>
      <c r="D201" s="27">
        <v>22174</v>
      </c>
      <c r="E201" s="27">
        <v>5</v>
      </c>
      <c r="F201" s="27">
        <v>960</v>
      </c>
      <c r="G201" s="26">
        <f t="shared" si="12"/>
        <v>192</v>
      </c>
      <c r="H201" s="27">
        <v>3460</v>
      </c>
      <c r="I201" s="10">
        <v>278</v>
      </c>
      <c r="J201" s="28">
        <f t="shared" si="13"/>
        <v>72.083333333333343</v>
      </c>
      <c r="K201" s="2">
        <v>5816</v>
      </c>
      <c r="L201" s="27">
        <v>2</v>
      </c>
      <c r="M201" s="2">
        <v>8535</v>
      </c>
      <c r="N201" s="27">
        <v>1905</v>
      </c>
      <c r="O201" s="27" t="s">
        <v>1965</v>
      </c>
      <c r="P201" s="27"/>
      <c r="Q201" s="27"/>
      <c r="R201" s="27"/>
      <c r="S201" s="27"/>
    </row>
    <row r="202" spans="1:19" x14ac:dyDescent="0.25">
      <c r="A202" s="27" t="s">
        <v>1603</v>
      </c>
      <c r="B202" s="27" t="str">
        <f t="shared" si="14"/>
        <v>Texas</v>
      </c>
      <c r="C202" s="27" t="str">
        <f t="shared" si="15"/>
        <v>Wheeler</v>
      </c>
      <c r="D202" s="27">
        <v>23068</v>
      </c>
      <c r="E202" s="27">
        <v>13</v>
      </c>
      <c r="F202" s="27">
        <v>1403</v>
      </c>
      <c r="G202" s="26">
        <f t="shared" si="12"/>
        <v>107.92307692307692</v>
      </c>
      <c r="H202" s="27">
        <v>3260</v>
      </c>
      <c r="I202" s="10">
        <v>385</v>
      </c>
      <c r="J202" s="28">
        <f t="shared" si="13"/>
        <v>46.471846044191025</v>
      </c>
      <c r="K202" s="2">
        <v>4049</v>
      </c>
      <c r="L202" s="27">
        <v>12</v>
      </c>
      <c r="M202" s="2">
        <v>7310</v>
      </c>
      <c r="N202" s="27">
        <v>1905</v>
      </c>
      <c r="O202" s="27" t="s">
        <v>1965</v>
      </c>
      <c r="P202" s="27"/>
      <c r="Q202" s="27"/>
      <c r="R202" s="27"/>
      <c r="S202" s="27"/>
    </row>
    <row r="203" spans="1:19" x14ac:dyDescent="0.25">
      <c r="A203" s="27" t="s">
        <v>1604</v>
      </c>
      <c r="B203" s="27" t="str">
        <f t="shared" si="14"/>
        <v>Texas</v>
      </c>
      <c r="C203" s="27" t="str">
        <f t="shared" si="15"/>
        <v>Wichita</v>
      </c>
      <c r="D203" s="27">
        <v>30554</v>
      </c>
      <c r="E203" s="27">
        <v>16</v>
      </c>
      <c r="F203" s="27">
        <v>1772</v>
      </c>
      <c r="G203" s="26">
        <f t="shared" si="12"/>
        <v>110.75</v>
      </c>
      <c r="H203" s="27">
        <v>4402.75</v>
      </c>
      <c r="I203" s="10">
        <v>443</v>
      </c>
      <c r="J203" s="28">
        <f t="shared" si="13"/>
        <v>49.692437923250566</v>
      </c>
      <c r="K203" s="2">
        <v>5376</v>
      </c>
      <c r="L203" s="27">
        <v>16</v>
      </c>
      <c r="M203" s="2">
        <v>9395</v>
      </c>
      <c r="N203" s="27">
        <v>1905</v>
      </c>
      <c r="O203" s="27" t="s">
        <v>1965</v>
      </c>
      <c r="P203" s="27"/>
      <c r="Q203" s="27"/>
      <c r="R203" s="27"/>
      <c r="S203" s="27"/>
    </row>
    <row r="204" spans="1:19" x14ac:dyDescent="0.25">
      <c r="A204" s="27" t="s">
        <v>1605</v>
      </c>
      <c r="B204" s="27" t="str">
        <f t="shared" si="14"/>
        <v>Texas</v>
      </c>
      <c r="C204" s="27" t="str">
        <f t="shared" si="15"/>
        <v>Wilbarger</v>
      </c>
      <c r="D204" s="27">
        <v>57878</v>
      </c>
      <c r="E204" s="27">
        <v>27</v>
      </c>
      <c r="F204" s="27">
        <v>3009</v>
      </c>
      <c r="G204" s="26">
        <f t="shared" si="12"/>
        <v>111.44444444444444</v>
      </c>
      <c r="H204" s="27">
        <v>7757.37</v>
      </c>
      <c r="I204" s="10">
        <v>868</v>
      </c>
      <c r="J204" s="28">
        <f t="shared" si="13"/>
        <v>51.561116650049854</v>
      </c>
      <c r="K204" s="2">
        <v>9670</v>
      </c>
      <c r="L204" s="27">
        <v>25</v>
      </c>
      <c r="M204" s="2">
        <v>10915</v>
      </c>
      <c r="N204" s="27">
        <v>1905</v>
      </c>
      <c r="O204" s="27" t="s">
        <v>1965</v>
      </c>
      <c r="P204" s="27"/>
      <c r="Q204" s="27"/>
      <c r="R204" s="27"/>
      <c r="S204" s="27"/>
    </row>
    <row r="205" spans="1:19" x14ac:dyDescent="0.25">
      <c r="A205" s="27" t="s">
        <v>1607</v>
      </c>
      <c r="B205" s="27" t="str">
        <f t="shared" si="14"/>
        <v>Texas</v>
      </c>
      <c r="C205" s="27" t="str">
        <f t="shared" si="15"/>
        <v>Williamson</v>
      </c>
      <c r="D205" s="27">
        <v>335348</v>
      </c>
      <c r="E205" s="27">
        <v>121</v>
      </c>
      <c r="F205" s="27">
        <v>11823</v>
      </c>
      <c r="G205" s="26">
        <f t="shared" si="12"/>
        <v>97.710743801652896</v>
      </c>
      <c r="H205" s="27">
        <v>30238.54</v>
      </c>
      <c r="I205" s="10">
        <v>5291</v>
      </c>
      <c r="J205" s="28">
        <f t="shared" si="13"/>
        <v>51.152059544954746</v>
      </c>
      <c r="K205" s="2">
        <v>32136</v>
      </c>
      <c r="L205" s="27">
        <v>102</v>
      </c>
      <c r="M205" s="2">
        <v>49699</v>
      </c>
      <c r="N205" s="27">
        <v>1905</v>
      </c>
      <c r="O205" s="27" t="s">
        <v>1965</v>
      </c>
      <c r="P205" s="27"/>
      <c r="Q205" s="27"/>
      <c r="R205" s="27"/>
      <c r="S205" s="27"/>
    </row>
    <row r="206" spans="1:19" x14ac:dyDescent="0.25">
      <c r="A206" s="27" t="s">
        <v>1608</v>
      </c>
      <c r="B206" s="27" t="str">
        <f t="shared" si="14"/>
        <v>Texas</v>
      </c>
      <c r="C206" s="27" t="str">
        <f t="shared" si="15"/>
        <v>Wilson</v>
      </c>
      <c r="D206" s="27">
        <v>156411</v>
      </c>
      <c r="E206" s="27">
        <v>63</v>
      </c>
      <c r="F206" s="27">
        <v>6301</v>
      </c>
      <c r="G206" s="26">
        <f t="shared" si="12"/>
        <v>100.01587301587301</v>
      </c>
      <c r="H206" s="27">
        <v>16585.900000000001</v>
      </c>
      <c r="I206" s="10">
        <v>2280</v>
      </c>
      <c r="J206" s="28">
        <f t="shared" si="13"/>
        <v>52.64529439771465</v>
      </c>
      <c r="K206" s="2">
        <v>17298</v>
      </c>
      <c r="L206" s="27">
        <v>56</v>
      </c>
      <c r="M206" s="2">
        <v>17855</v>
      </c>
      <c r="N206" s="27">
        <v>1905</v>
      </c>
      <c r="O206" s="27" t="s">
        <v>1965</v>
      </c>
      <c r="P206" s="27"/>
      <c r="Q206" s="27"/>
      <c r="R206" s="27"/>
      <c r="S206" s="27"/>
    </row>
    <row r="207" spans="1:19" x14ac:dyDescent="0.25">
      <c r="A207" s="27" t="s">
        <v>1610</v>
      </c>
      <c r="B207" s="27" t="str">
        <f t="shared" si="14"/>
        <v>Texas</v>
      </c>
      <c r="C207" s="27" t="str">
        <f t="shared" si="15"/>
        <v>Wise</v>
      </c>
      <c r="D207" s="27">
        <v>327158</v>
      </c>
      <c r="E207" s="27">
        <v>129</v>
      </c>
      <c r="F207" s="27">
        <v>9483</v>
      </c>
      <c r="G207" s="26">
        <f t="shared" si="12"/>
        <v>73.511627906976742</v>
      </c>
      <c r="H207" s="27">
        <v>27505.52</v>
      </c>
      <c r="I207" s="10">
        <v>6260</v>
      </c>
      <c r="J207" s="28">
        <f t="shared" si="13"/>
        <v>58.010165559422127</v>
      </c>
      <c r="K207" s="2">
        <v>29097</v>
      </c>
      <c r="L207" s="27">
        <v>106</v>
      </c>
      <c r="M207" s="2">
        <v>39176</v>
      </c>
      <c r="N207" s="27">
        <v>1905</v>
      </c>
      <c r="O207" s="27" t="s">
        <v>1965</v>
      </c>
      <c r="P207" s="27"/>
      <c r="Q207" s="27"/>
      <c r="R207" s="27"/>
      <c r="S207" s="27"/>
    </row>
    <row r="208" spans="1:19" x14ac:dyDescent="0.25">
      <c r="A208" s="27" t="s">
        <v>1611</v>
      </c>
      <c r="B208" s="27" t="str">
        <f t="shared" si="14"/>
        <v>Texas</v>
      </c>
      <c r="C208" s="27" t="str">
        <f t="shared" si="15"/>
        <v>Wood</v>
      </c>
      <c r="D208" s="27">
        <v>242797</v>
      </c>
      <c r="E208" s="27">
        <v>91</v>
      </c>
      <c r="F208" s="27">
        <v>6515</v>
      </c>
      <c r="G208" s="26">
        <f t="shared" si="12"/>
        <v>71.593406593406598</v>
      </c>
      <c r="H208" s="27">
        <v>21052.76</v>
      </c>
      <c r="I208" s="10">
        <v>4980</v>
      </c>
      <c r="J208" s="28">
        <f t="shared" si="13"/>
        <v>64.628580199539513</v>
      </c>
      <c r="K208" s="2">
        <v>21614</v>
      </c>
      <c r="L208" s="27">
        <v>68</v>
      </c>
      <c r="M208" s="2">
        <v>33689</v>
      </c>
      <c r="N208" s="27">
        <v>1905</v>
      </c>
      <c r="O208" s="27" t="s">
        <v>1965</v>
      </c>
      <c r="P208" s="27"/>
      <c r="Q208" s="27"/>
      <c r="R208" s="27"/>
      <c r="S208" s="27"/>
    </row>
    <row r="209" spans="1:19" x14ac:dyDescent="0.25">
      <c r="A209" s="27" t="s">
        <v>1612</v>
      </c>
      <c r="B209" s="27" t="str">
        <f t="shared" si="14"/>
        <v>Texas</v>
      </c>
      <c r="C209" s="27" t="str">
        <f t="shared" si="15"/>
        <v>Yoakum</v>
      </c>
      <c r="D209" s="27"/>
      <c r="E209" s="27"/>
      <c r="F209" s="27"/>
      <c r="G209" s="26"/>
      <c r="H209" s="27"/>
      <c r="I209" s="10"/>
      <c r="J209" s="28"/>
      <c r="K209" s="2"/>
      <c r="L209" s="27"/>
      <c r="M209" s="2"/>
      <c r="N209" s="27">
        <v>1905</v>
      </c>
      <c r="O209" s="27" t="s">
        <v>1965</v>
      </c>
      <c r="P209" s="27"/>
      <c r="Q209" s="27"/>
      <c r="R209" s="27"/>
      <c r="S209" s="27"/>
    </row>
    <row r="210" spans="1:19" x14ac:dyDescent="0.25">
      <c r="A210" s="27" t="s">
        <v>1613</v>
      </c>
      <c r="B210" s="27" t="str">
        <f t="shared" si="14"/>
        <v>Texas</v>
      </c>
      <c r="C210" s="27" t="str">
        <f t="shared" si="15"/>
        <v>Young</v>
      </c>
      <c r="D210" s="27">
        <v>90836</v>
      </c>
      <c r="E210" s="27">
        <v>50</v>
      </c>
      <c r="F210" s="27">
        <v>4454</v>
      </c>
      <c r="G210" s="26">
        <f>F210/E210</f>
        <v>89.08</v>
      </c>
      <c r="H210" s="27">
        <v>10034.9</v>
      </c>
      <c r="I210" s="10">
        <v>1613</v>
      </c>
      <c r="J210" s="28">
        <f>H210/E210/(G210/20)</f>
        <v>45.060170633138746</v>
      </c>
      <c r="K210" s="2">
        <v>11260</v>
      </c>
      <c r="L210" s="27">
        <v>45</v>
      </c>
      <c r="M210" s="2">
        <v>15935</v>
      </c>
      <c r="N210" s="27">
        <v>1905</v>
      </c>
      <c r="O210" s="27" t="s">
        <v>1965</v>
      </c>
      <c r="P210" s="27"/>
      <c r="Q210" s="27"/>
      <c r="R210" s="27"/>
      <c r="S210" s="27"/>
    </row>
    <row r="211" spans="1:19" x14ac:dyDescent="0.25">
      <c r="A211" s="27" t="s">
        <v>1614</v>
      </c>
      <c r="B211" s="27" t="str">
        <f t="shared" si="14"/>
        <v>Texas</v>
      </c>
      <c r="C211" s="27" t="str">
        <f t="shared" si="15"/>
        <v>Zapata</v>
      </c>
      <c r="D211" s="27">
        <v>113440</v>
      </c>
      <c r="E211" s="27">
        <v>18</v>
      </c>
      <c r="F211" s="27">
        <v>2620</v>
      </c>
      <c r="G211" s="26">
        <f>F211/E211</f>
        <v>145.55555555555554</v>
      </c>
      <c r="H211" s="27">
        <v>5849.5</v>
      </c>
      <c r="I211" s="10">
        <v>826</v>
      </c>
      <c r="J211" s="28">
        <f>H211/E211/(G211/20)</f>
        <v>44.652671755725201</v>
      </c>
      <c r="K211" s="2">
        <v>8204</v>
      </c>
      <c r="L211" s="27">
        <v>14</v>
      </c>
      <c r="M211" s="2">
        <v>5720</v>
      </c>
      <c r="N211" s="27">
        <v>1905</v>
      </c>
      <c r="O211" s="27" t="s">
        <v>1965</v>
      </c>
      <c r="P211" s="27"/>
      <c r="Q211" s="27"/>
      <c r="R211" s="27"/>
      <c r="S211" s="27"/>
    </row>
    <row r="212" spans="1:19" x14ac:dyDescent="0.25">
      <c r="A212" s="27" t="s">
        <v>1615</v>
      </c>
      <c r="B212" s="27" t="str">
        <f t="shared" si="14"/>
        <v>Texas</v>
      </c>
      <c r="C212" s="27" t="str">
        <f t="shared" si="15"/>
        <v>Zavalla</v>
      </c>
      <c r="D212" s="27">
        <v>15770</v>
      </c>
      <c r="E212" s="27">
        <v>8</v>
      </c>
      <c r="F212" s="27">
        <v>960</v>
      </c>
      <c r="G212" s="26">
        <f>F212/E212</f>
        <v>120</v>
      </c>
      <c r="H212" s="27">
        <v>2147.5</v>
      </c>
      <c r="I212" s="10">
        <v>218</v>
      </c>
      <c r="J212" s="28">
        <f>H212/E212/(G212/20)</f>
        <v>44.739583333333336</v>
      </c>
      <c r="K212" s="2">
        <v>2764</v>
      </c>
      <c r="L212" s="27">
        <v>5</v>
      </c>
      <c r="M212" s="2">
        <v>2525</v>
      </c>
      <c r="N212" s="27">
        <v>1905</v>
      </c>
      <c r="O212" s="27" t="s">
        <v>1965</v>
      </c>
      <c r="P212" s="27"/>
      <c r="Q212" s="27"/>
      <c r="R212" s="27"/>
      <c r="S212" s="27"/>
    </row>
    <row r="213" spans="1:19" x14ac:dyDescent="0.25">
      <c r="A213" s="27" t="s">
        <v>1370</v>
      </c>
      <c r="B213" s="27" t="str">
        <f>LEFT(A213,FIND(";",A213)-1)</f>
        <v>Texas</v>
      </c>
      <c r="C213" s="27" t="str">
        <f>MID(A213,FIND(";",A213)+1,100)</f>
        <v>Angelina</v>
      </c>
      <c r="D213" s="27"/>
      <c r="E213" s="27"/>
      <c r="F213" s="27"/>
      <c r="G213" s="26"/>
      <c r="H213" s="27"/>
      <c r="I213" s="10"/>
      <c r="J213" s="28"/>
      <c r="K213" s="2"/>
      <c r="L213" s="27"/>
      <c r="M213" s="2"/>
      <c r="N213" s="27">
        <v>1905</v>
      </c>
      <c r="O213" s="27" t="s">
        <v>1967</v>
      </c>
      <c r="P213" s="27"/>
      <c r="Q213" s="27"/>
      <c r="R213" s="27"/>
      <c r="S213" s="27"/>
    </row>
    <row r="214" spans="1:19" x14ac:dyDescent="0.25">
      <c r="A214" s="27" t="s">
        <v>1378</v>
      </c>
      <c r="B214" s="27" t="str">
        <f t="shared" si="14"/>
        <v>Texas</v>
      </c>
      <c r="C214" s="27" t="str">
        <f t="shared" si="15"/>
        <v>Bastrop</v>
      </c>
      <c r="D214" s="27">
        <v>218154</v>
      </c>
      <c r="E214" s="27">
        <v>107</v>
      </c>
      <c r="F214" s="27">
        <v>8559</v>
      </c>
      <c r="G214" s="26">
        <f t="shared" ref="G214:G238" si="16">F214/E214</f>
        <v>79.99065420560747</v>
      </c>
      <c r="H214" s="27">
        <v>20765.939999999999</v>
      </c>
      <c r="I214" s="10">
        <v>4017</v>
      </c>
      <c r="J214" s="28">
        <f t="shared" ref="J214:J238" si="17">H214/E214/(G214/20)</f>
        <v>48.524220119172796</v>
      </c>
      <c r="K214" s="12">
        <v>21365.94</v>
      </c>
      <c r="L214" s="27">
        <v>98</v>
      </c>
      <c r="M214" s="2">
        <v>15895.35</v>
      </c>
      <c r="N214" s="27">
        <v>1905</v>
      </c>
      <c r="O214" s="27" t="s">
        <v>1967</v>
      </c>
      <c r="P214" s="27"/>
      <c r="Q214" s="27"/>
      <c r="R214" s="27"/>
      <c r="S214" s="27"/>
    </row>
    <row r="215" spans="1:19" x14ac:dyDescent="0.25">
      <c r="A215" s="27" t="s">
        <v>1398</v>
      </c>
      <c r="B215" s="27" t="str">
        <f t="shared" si="14"/>
        <v>Texas</v>
      </c>
      <c r="C215" s="27" t="str">
        <f t="shared" si="15"/>
        <v>Cameron</v>
      </c>
      <c r="D215" s="27">
        <v>190768</v>
      </c>
      <c r="E215" s="27">
        <v>51</v>
      </c>
      <c r="F215" s="27">
        <v>8480</v>
      </c>
      <c r="G215" s="26">
        <f t="shared" si="16"/>
        <v>166.27450980392157</v>
      </c>
      <c r="H215" s="27">
        <v>17670</v>
      </c>
      <c r="I215" s="10">
        <v>1433</v>
      </c>
      <c r="J215" s="28">
        <f t="shared" si="17"/>
        <v>41.674528301886795</v>
      </c>
      <c r="K215" s="12">
        <v>18870</v>
      </c>
      <c r="L215" s="27">
        <v>58</v>
      </c>
      <c r="M215" s="2">
        <v>325</v>
      </c>
      <c r="N215" s="27">
        <v>1905</v>
      </c>
      <c r="O215" s="27" t="s">
        <v>1967</v>
      </c>
      <c r="P215" s="27"/>
      <c r="Q215" s="27"/>
      <c r="R215" s="27"/>
      <c r="S215" s="27"/>
    </row>
    <row r="216" spans="1:19" x14ac:dyDescent="0.25">
      <c r="A216" s="27" t="s">
        <v>1399</v>
      </c>
      <c r="B216" s="27" t="str">
        <f t="shared" si="14"/>
        <v>Texas</v>
      </c>
      <c r="C216" s="27" t="str">
        <f t="shared" si="15"/>
        <v>Camp</v>
      </c>
      <c r="D216" s="27">
        <v>116061</v>
      </c>
      <c r="E216" s="27">
        <v>45</v>
      </c>
      <c r="F216" s="27">
        <v>3797</v>
      </c>
      <c r="G216" s="26">
        <f t="shared" si="16"/>
        <v>84.37777777777778</v>
      </c>
      <c r="H216" s="27">
        <v>10328.5</v>
      </c>
      <c r="I216" s="10">
        <v>2272</v>
      </c>
      <c r="J216" s="28">
        <f t="shared" si="17"/>
        <v>54.403476428759539</v>
      </c>
      <c r="K216" s="12">
        <v>10628.5</v>
      </c>
      <c r="L216" s="27">
        <v>39</v>
      </c>
      <c r="M216" s="2">
        <v>10210</v>
      </c>
      <c r="N216" s="27">
        <v>1905</v>
      </c>
      <c r="O216" s="27" t="s">
        <v>1967</v>
      </c>
      <c r="P216" s="27"/>
      <c r="Q216" s="27"/>
      <c r="R216" s="27"/>
      <c r="S216" s="27"/>
    </row>
    <row r="217" spans="1:19" x14ac:dyDescent="0.25">
      <c r="A217" s="27" t="s">
        <v>1966</v>
      </c>
      <c r="B217" s="27" t="str">
        <f t="shared" si="14"/>
        <v>Texas</v>
      </c>
      <c r="C217" s="27" t="str">
        <f t="shared" si="15"/>
        <v>Dewitt</v>
      </c>
      <c r="D217" s="27">
        <v>224971</v>
      </c>
      <c r="E217" s="27">
        <v>73</v>
      </c>
      <c r="F217" s="27">
        <v>9104</v>
      </c>
      <c r="G217" s="26">
        <f t="shared" si="16"/>
        <v>124.71232876712328</v>
      </c>
      <c r="H217" s="27">
        <v>20439.47</v>
      </c>
      <c r="I217" s="10">
        <v>2874</v>
      </c>
      <c r="J217" s="28">
        <f t="shared" si="17"/>
        <v>44.90217486818981</v>
      </c>
      <c r="K217" s="12">
        <v>21066.78</v>
      </c>
      <c r="L217" s="27">
        <v>63</v>
      </c>
      <c r="M217" s="2">
        <v>19792</v>
      </c>
      <c r="N217" s="27">
        <v>1905</v>
      </c>
      <c r="O217" s="27" t="s">
        <v>1967</v>
      </c>
      <c r="P217" s="27"/>
      <c r="Q217" s="27"/>
      <c r="R217" s="27"/>
      <c r="S217" s="27"/>
    </row>
    <row r="218" spans="1:19" x14ac:dyDescent="0.25">
      <c r="A218" s="27" t="s">
        <v>1431</v>
      </c>
      <c r="B218" s="27" t="str">
        <f t="shared" si="14"/>
        <v>Texas</v>
      </c>
      <c r="C218" s="27" t="str">
        <f t="shared" si="15"/>
        <v>Duval</v>
      </c>
      <c r="D218" s="27">
        <v>118163</v>
      </c>
      <c r="E218" s="27">
        <v>26</v>
      </c>
      <c r="F218" s="27">
        <v>2721</v>
      </c>
      <c r="G218" s="26">
        <f t="shared" si="16"/>
        <v>104.65384615384616</v>
      </c>
      <c r="H218" s="27">
        <v>9266.25</v>
      </c>
      <c r="I218" s="10">
        <v>1072</v>
      </c>
      <c r="J218" s="28">
        <f t="shared" si="17"/>
        <v>68.109151047409028</v>
      </c>
      <c r="K218" s="12">
        <v>10183.129999999999</v>
      </c>
      <c r="L218" s="27">
        <v>12</v>
      </c>
      <c r="M218" s="2">
        <v>15990</v>
      </c>
      <c r="N218" s="27">
        <v>1905</v>
      </c>
      <c r="O218" s="27" t="s">
        <v>1967</v>
      </c>
      <c r="P218" s="27"/>
      <c r="Q218" s="27"/>
      <c r="R218" s="27"/>
      <c r="S218" s="27"/>
    </row>
    <row r="219" spans="1:19" x14ac:dyDescent="0.25">
      <c r="A219" s="27" t="s">
        <v>1440</v>
      </c>
      <c r="B219" s="27" t="str">
        <f t="shared" si="14"/>
        <v>Texas</v>
      </c>
      <c r="C219" s="27" t="str">
        <f t="shared" si="15"/>
        <v>Fayette</v>
      </c>
      <c r="D219" s="27">
        <v>456158</v>
      </c>
      <c r="E219" s="27">
        <v>148</v>
      </c>
      <c r="F219" s="27">
        <v>14390</v>
      </c>
      <c r="G219" s="26">
        <f t="shared" si="16"/>
        <v>97.229729729729726</v>
      </c>
      <c r="H219" s="27">
        <v>40002.1</v>
      </c>
      <c r="I219" s="10">
        <v>6097</v>
      </c>
      <c r="J219" s="28">
        <f t="shared" si="17"/>
        <v>55.597081306462826</v>
      </c>
      <c r="K219" s="12">
        <v>41202.1</v>
      </c>
      <c r="L219" s="27">
        <v>132</v>
      </c>
      <c r="M219" s="2">
        <v>56328</v>
      </c>
      <c r="N219" s="27">
        <v>1905</v>
      </c>
      <c r="O219" s="27" t="s">
        <v>1967</v>
      </c>
      <c r="P219" s="27"/>
      <c r="Q219" s="27"/>
      <c r="R219" s="27"/>
      <c r="S219" s="27"/>
    </row>
    <row r="220" spans="1:19" x14ac:dyDescent="0.25">
      <c r="A220" s="27" t="s">
        <v>1763</v>
      </c>
      <c r="B220" s="27" t="str">
        <f t="shared" si="14"/>
        <v>Texas</v>
      </c>
      <c r="C220" s="27" t="str">
        <f t="shared" si="15"/>
        <v>Freestone</v>
      </c>
      <c r="D220" s="27">
        <v>218482</v>
      </c>
      <c r="E220" s="27">
        <v>103</v>
      </c>
      <c r="F220" s="27">
        <v>9115</v>
      </c>
      <c r="G220" s="26">
        <f t="shared" si="16"/>
        <v>88.495145631067956</v>
      </c>
      <c r="H220" s="27">
        <v>19555.689999999999</v>
      </c>
      <c r="I220" s="10">
        <v>3770</v>
      </c>
      <c r="J220" s="28">
        <f t="shared" si="17"/>
        <v>42.908809654415798</v>
      </c>
      <c r="K220" s="12">
        <v>20055.689999999999</v>
      </c>
      <c r="L220" s="27">
        <v>104</v>
      </c>
      <c r="M220" s="2">
        <v>19569</v>
      </c>
      <c r="N220" s="27">
        <v>1905</v>
      </c>
      <c r="O220" s="27" t="s">
        <v>1967</v>
      </c>
      <c r="P220" s="27"/>
      <c r="Q220" s="27"/>
      <c r="R220" s="27"/>
      <c r="S220" s="27"/>
    </row>
    <row r="221" spans="1:19" x14ac:dyDescent="0.25">
      <c r="A221" s="27" t="s">
        <v>1476</v>
      </c>
      <c r="B221" s="27" t="str">
        <f t="shared" si="14"/>
        <v>Texas</v>
      </c>
      <c r="C221" s="27" t="str">
        <f t="shared" si="15"/>
        <v>Houston</v>
      </c>
      <c r="D221" s="27">
        <v>389575</v>
      </c>
      <c r="E221" s="27">
        <v>161</v>
      </c>
      <c r="F221" s="27">
        <v>14954</v>
      </c>
      <c r="G221" s="26">
        <f t="shared" si="16"/>
        <v>92.881987577639748</v>
      </c>
      <c r="H221" s="27">
        <v>35519.5</v>
      </c>
      <c r="I221" s="10">
        <v>6252</v>
      </c>
      <c r="J221" s="28">
        <f t="shared" si="17"/>
        <v>47.505015380500197</v>
      </c>
      <c r="K221" s="12">
        <v>36364.78</v>
      </c>
      <c r="L221" s="27">
        <v>150</v>
      </c>
      <c r="M221" s="2">
        <v>16121.5</v>
      </c>
      <c r="N221" s="27">
        <v>1905</v>
      </c>
      <c r="O221" s="27" t="s">
        <v>1967</v>
      </c>
      <c r="P221" s="27"/>
      <c r="Q221" s="27"/>
      <c r="R221" s="27"/>
      <c r="S221" s="27"/>
    </row>
    <row r="222" spans="1:19" x14ac:dyDescent="0.25">
      <c r="A222" s="27" t="s">
        <v>1507</v>
      </c>
      <c r="B222" s="27" t="str">
        <f t="shared" si="14"/>
        <v>Texas</v>
      </c>
      <c r="C222" s="27" t="str">
        <f t="shared" si="15"/>
        <v>Lee</v>
      </c>
      <c r="D222" s="27">
        <v>119495</v>
      </c>
      <c r="E222" s="27">
        <v>61</v>
      </c>
      <c r="F222" s="27">
        <v>5954</v>
      </c>
      <c r="G222" s="26">
        <f t="shared" si="16"/>
        <v>97.606557377049185</v>
      </c>
      <c r="H222" s="27">
        <v>13104.48</v>
      </c>
      <c r="I222" s="10">
        <v>2077</v>
      </c>
      <c r="J222" s="28">
        <f t="shared" si="17"/>
        <v>44.019079610345983</v>
      </c>
      <c r="K222" s="12">
        <v>13524.48</v>
      </c>
      <c r="L222" s="27">
        <v>58</v>
      </c>
      <c r="M222" s="2">
        <v>10310</v>
      </c>
      <c r="N222" s="27">
        <v>1905</v>
      </c>
      <c r="O222" s="27" t="s">
        <v>1967</v>
      </c>
      <c r="P222" s="27"/>
      <c r="Q222" s="27"/>
      <c r="R222" s="27"/>
      <c r="S222" s="27"/>
    </row>
    <row r="223" spans="1:19" x14ac:dyDescent="0.25">
      <c r="A223" s="27" t="s">
        <v>1510</v>
      </c>
      <c r="B223" s="27" t="str">
        <f t="shared" si="14"/>
        <v>Texas</v>
      </c>
      <c r="C223" s="27" t="str">
        <f t="shared" si="15"/>
        <v>Limestone</v>
      </c>
      <c r="D223" s="27">
        <v>375419</v>
      </c>
      <c r="E223" s="27">
        <v>126</v>
      </c>
      <c r="F223" s="27">
        <v>12206</v>
      </c>
      <c r="G223" s="26">
        <f t="shared" si="16"/>
        <v>96.873015873015873</v>
      </c>
      <c r="H223" s="27">
        <v>35560.18</v>
      </c>
      <c r="I223" s="10">
        <v>5783</v>
      </c>
      <c r="J223" s="28">
        <f t="shared" si="17"/>
        <v>58.266721284614128</v>
      </c>
      <c r="K223" s="12">
        <v>37708.07</v>
      </c>
      <c r="L223" s="27">
        <v>103</v>
      </c>
      <c r="M223" s="2">
        <v>40725</v>
      </c>
      <c r="N223" s="27">
        <v>1905</v>
      </c>
      <c r="O223" s="27" t="s">
        <v>1967</v>
      </c>
      <c r="P223" s="27"/>
      <c r="Q223" s="27"/>
      <c r="R223" s="27"/>
      <c r="S223" s="27"/>
    </row>
    <row r="224" spans="1:19" x14ac:dyDescent="0.25">
      <c r="A224" s="27" t="s">
        <v>1524</v>
      </c>
      <c r="B224" s="27" t="str">
        <f t="shared" si="14"/>
        <v>Texas</v>
      </c>
      <c r="C224" s="27" t="str">
        <f t="shared" si="15"/>
        <v>Matagorda</v>
      </c>
      <c r="D224" s="27">
        <v>72246</v>
      </c>
      <c r="E224" s="27">
        <v>32</v>
      </c>
      <c r="F224" s="27">
        <v>3138</v>
      </c>
      <c r="G224" s="26">
        <f t="shared" si="16"/>
        <v>98.0625</v>
      </c>
      <c r="H224" s="27">
        <f>4259.45+2669.94</f>
        <v>6929.3899999999994</v>
      </c>
      <c r="I224" s="10">
        <v>1156</v>
      </c>
      <c r="J224" s="28">
        <f t="shared" si="17"/>
        <v>44.164372211599741</v>
      </c>
      <c r="K224" s="12">
        <v>7229.39</v>
      </c>
      <c r="L224" s="27">
        <v>31</v>
      </c>
      <c r="M224" s="2">
        <v>2240</v>
      </c>
      <c r="N224" s="27">
        <v>1905</v>
      </c>
      <c r="O224" s="27" t="s">
        <v>1967</v>
      </c>
      <c r="P224" s="27"/>
      <c r="Q224" s="27"/>
      <c r="R224" s="27"/>
      <c r="S224" s="27"/>
    </row>
    <row r="225" spans="1:19" x14ac:dyDescent="0.25">
      <c r="A225" s="27" t="s">
        <v>1533</v>
      </c>
      <c r="B225" s="27" t="str">
        <f t="shared" si="14"/>
        <v>Texas</v>
      </c>
      <c r="C225" s="27" t="str">
        <f t="shared" si="15"/>
        <v>Montgomery</v>
      </c>
      <c r="D225" s="27">
        <v>162630</v>
      </c>
      <c r="E225" s="27">
        <v>104</v>
      </c>
      <c r="F225" s="27">
        <v>7507</v>
      </c>
      <c r="G225" s="26">
        <f t="shared" si="16"/>
        <v>72.182692307692307</v>
      </c>
      <c r="H225" s="27">
        <v>15215.35</v>
      </c>
      <c r="I225" s="10">
        <v>3367</v>
      </c>
      <c r="J225" s="28">
        <f t="shared" si="17"/>
        <v>40.536432662848007</v>
      </c>
      <c r="K225" s="12">
        <v>15815.35</v>
      </c>
      <c r="L225" s="27">
        <v>101</v>
      </c>
      <c r="M225" s="2">
        <v>60</v>
      </c>
      <c r="N225" s="27">
        <v>1905</v>
      </c>
      <c r="O225" s="27" t="s">
        <v>1967</v>
      </c>
      <c r="P225" s="27"/>
      <c r="Q225" s="27"/>
      <c r="R225" s="27"/>
      <c r="S225" s="27"/>
    </row>
    <row r="226" spans="1:19" x14ac:dyDescent="0.25">
      <c r="A226" s="27" t="s">
        <v>1535</v>
      </c>
      <c r="B226" s="27" t="str">
        <f t="shared" si="14"/>
        <v>Texas</v>
      </c>
      <c r="C226" s="27" t="str">
        <f t="shared" si="15"/>
        <v>Morris</v>
      </c>
      <c r="D226" s="27">
        <v>95293</v>
      </c>
      <c r="E226" s="27">
        <v>40</v>
      </c>
      <c r="F226" s="27">
        <v>3544</v>
      </c>
      <c r="G226" s="26">
        <f t="shared" si="16"/>
        <v>88.6</v>
      </c>
      <c r="H226" s="27">
        <v>8888.86</v>
      </c>
      <c r="I226" s="10">
        <v>1989</v>
      </c>
      <c r="J226" s="28">
        <f t="shared" si="17"/>
        <v>50.162866817155766</v>
      </c>
      <c r="K226" s="12">
        <v>9388.86</v>
      </c>
      <c r="L226" s="27">
        <v>36</v>
      </c>
      <c r="M226" s="2">
        <v>10488.5</v>
      </c>
      <c r="N226" s="27">
        <v>1905</v>
      </c>
      <c r="O226" s="27" t="s">
        <v>1967</v>
      </c>
      <c r="P226" s="27"/>
      <c r="Q226" s="27"/>
      <c r="R226" s="27"/>
      <c r="S226" s="27"/>
    </row>
    <row r="227" spans="1:19" x14ac:dyDescent="0.25">
      <c r="A227" s="27" t="s">
        <v>1537</v>
      </c>
      <c r="B227" s="27" t="str">
        <f t="shared" si="14"/>
        <v>Texas</v>
      </c>
      <c r="C227" s="27" t="str">
        <f t="shared" si="15"/>
        <v>Nacogdoches</v>
      </c>
      <c r="D227" s="27">
        <v>293496</v>
      </c>
      <c r="E227" s="27">
        <v>118</v>
      </c>
      <c r="F227" s="27">
        <v>11743</v>
      </c>
      <c r="G227" s="26">
        <f t="shared" si="16"/>
        <v>99.516949152542367</v>
      </c>
      <c r="H227" s="27">
        <v>28620.18</v>
      </c>
      <c r="I227" s="10">
        <v>5597</v>
      </c>
      <c r="J227" s="28">
        <f t="shared" si="17"/>
        <v>48.74423912117858</v>
      </c>
      <c r="K227" s="12">
        <v>29820.18</v>
      </c>
      <c r="L227" s="27">
        <v>112</v>
      </c>
      <c r="M227" s="2">
        <v>18185</v>
      </c>
      <c r="N227" s="27">
        <v>1905</v>
      </c>
      <c r="O227" s="27" t="s">
        <v>1967</v>
      </c>
      <c r="P227" s="27"/>
      <c r="Q227" s="27"/>
      <c r="R227" s="27"/>
      <c r="S227" s="27"/>
    </row>
    <row r="228" spans="1:19" x14ac:dyDescent="0.25">
      <c r="A228" s="27" t="s">
        <v>1546</v>
      </c>
      <c r="B228" s="27" t="str">
        <f t="shared" si="14"/>
        <v>Texas</v>
      </c>
      <c r="C228" s="27" t="str">
        <f t="shared" si="15"/>
        <v>Panola</v>
      </c>
      <c r="D228" s="27">
        <v>283523</v>
      </c>
      <c r="E228" s="27">
        <v>120</v>
      </c>
      <c r="F228" s="27">
        <v>20619</v>
      </c>
      <c r="G228" s="26">
        <f t="shared" si="16"/>
        <v>171.82499999999999</v>
      </c>
      <c r="H228" s="27">
        <v>25482.73</v>
      </c>
      <c r="I228" s="10">
        <v>5267</v>
      </c>
      <c r="J228" s="28">
        <f t="shared" si="17"/>
        <v>24.717716669091615</v>
      </c>
      <c r="K228" s="12">
        <v>26625.33</v>
      </c>
      <c r="L228" s="27">
        <v>101</v>
      </c>
      <c r="M228" s="2">
        <v>19744</v>
      </c>
      <c r="N228" s="27">
        <v>1905</v>
      </c>
      <c r="O228" s="27" t="s">
        <v>1967</v>
      </c>
      <c r="P228" s="27"/>
      <c r="Q228" s="27"/>
      <c r="R228" s="27"/>
      <c r="S228" s="27"/>
    </row>
    <row r="229" spans="1:19" x14ac:dyDescent="0.25">
      <c r="A229" s="27" t="s">
        <v>1561</v>
      </c>
      <c r="B229" s="27" t="str">
        <f t="shared" si="14"/>
        <v>Texas</v>
      </c>
      <c r="C229" s="27" t="str">
        <f t="shared" si="15"/>
        <v>Robertson</v>
      </c>
      <c r="D229" s="27">
        <v>271527</v>
      </c>
      <c r="E229" s="27">
        <v>101</v>
      </c>
      <c r="F229" s="27">
        <v>10245</v>
      </c>
      <c r="G229" s="26">
        <f t="shared" si="16"/>
        <v>101.43564356435644</v>
      </c>
      <c r="H229" s="27">
        <v>23515.1</v>
      </c>
      <c r="I229" s="10">
        <v>4500</v>
      </c>
      <c r="J229" s="28">
        <f t="shared" si="17"/>
        <v>45.905514885309906</v>
      </c>
      <c r="K229" s="12">
        <v>25090.28</v>
      </c>
      <c r="L229" s="27">
        <v>92</v>
      </c>
      <c r="M229" s="2">
        <v>23274</v>
      </c>
      <c r="N229" s="27">
        <v>1905</v>
      </c>
      <c r="O229" s="27" t="s">
        <v>1967</v>
      </c>
      <c r="P229" s="27"/>
      <c r="Q229" s="27"/>
      <c r="R229" s="27"/>
      <c r="S229" s="27"/>
    </row>
    <row r="230" spans="1:19" x14ac:dyDescent="0.25">
      <c r="A230" s="27" t="s">
        <v>1564</v>
      </c>
      <c r="B230" s="27" t="str">
        <f t="shared" si="14"/>
        <v>Texas</v>
      </c>
      <c r="C230" s="27" t="str">
        <f t="shared" si="15"/>
        <v>Rusk</v>
      </c>
      <c r="D230" s="27">
        <v>407619</v>
      </c>
      <c r="E230" s="27">
        <v>147</v>
      </c>
      <c r="F230" s="27">
        <v>14980</v>
      </c>
      <c r="G230" s="26">
        <f t="shared" si="16"/>
        <v>101.9047619047619</v>
      </c>
      <c r="H230" s="27">
        <v>33633.949999999997</v>
      </c>
      <c r="I230" s="27">
        <v>6214</v>
      </c>
      <c r="J230" s="28">
        <f t="shared" si="17"/>
        <v>44.905140186915887</v>
      </c>
      <c r="K230" s="12">
        <v>34166.65</v>
      </c>
      <c r="L230" s="27">
        <v>132</v>
      </c>
      <c r="M230" s="2">
        <v>25350</v>
      </c>
      <c r="N230" s="27">
        <v>1905</v>
      </c>
      <c r="O230" s="27" t="s">
        <v>1967</v>
      </c>
      <c r="P230" s="27"/>
      <c r="Q230" s="27"/>
      <c r="R230" s="27"/>
      <c r="S230" s="27"/>
    </row>
    <row r="231" spans="1:19" x14ac:dyDescent="0.25">
      <c r="A231" s="27" t="s">
        <v>1565</v>
      </c>
      <c r="B231" s="27" t="str">
        <f t="shared" si="14"/>
        <v>Texas</v>
      </c>
      <c r="C231" s="27" t="str">
        <f t="shared" si="15"/>
        <v>Sabine</v>
      </c>
      <c r="D231" s="27">
        <v>115070</v>
      </c>
      <c r="E231" s="27">
        <v>82</v>
      </c>
      <c r="F231" s="27">
        <v>4476</v>
      </c>
      <c r="G231" s="26">
        <f t="shared" si="16"/>
        <v>54.585365853658537</v>
      </c>
      <c r="H231" s="27">
        <v>9602.7000000000007</v>
      </c>
      <c r="I231" s="10">
        <v>2046</v>
      </c>
      <c r="J231" s="28">
        <f t="shared" si="17"/>
        <v>42.907506702412867</v>
      </c>
      <c r="K231" s="12">
        <v>9913.9500000000007</v>
      </c>
      <c r="L231" s="27">
        <v>54</v>
      </c>
      <c r="M231" s="2">
        <v>3760</v>
      </c>
      <c r="N231" s="27">
        <v>1905</v>
      </c>
      <c r="O231" s="27" t="s">
        <v>1967</v>
      </c>
      <c r="P231" s="27"/>
      <c r="Q231" s="27"/>
      <c r="R231" s="27"/>
      <c r="S231" s="27"/>
    </row>
    <row r="232" spans="1:19" x14ac:dyDescent="0.25">
      <c r="A232" s="27" t="s">
        <v>1572</v>
      </c>
      <c r="B232" s="27" t="str">
        <f t="shared" si="14"/>
        <v>Texas</v>
      </c>
      <c r="C232" s="27" t="str">
        <f t="shared" si="15"/>
        <v>Shackelford</v>
      </c>
      <c r="D232" s="27">
        <v>2303</v>
      </c>
      <c r="E232" s="27">
        <v>11</v>
      </c>
      <c r="F232" s="27">
        <v>919</v>
      </c>
      <c r="G232" s="26">
        <f t="shared" si="16"/>
        <v>83.545454545454547</v>
      </c>
      <c r="H232" s="27">
        <v>3795.8</v>
      </c>
      <c r="I232" s="10">
        <v>346</v>
      </c>
      <c r="J232" s="28">
        <f t="shared" si="17"/>
        <v>82.607181719260055</v>
      </c>
      <c r="K232" s="12">
        <v>3945.8</v>
      </c>
      <c r="L232" s="27">
        <v>10</v>
      </c>
      <c r="M232" s="2">
        <v>2625</v>
      </c>
      <c r="N232" s="27">
        <v>1905</v>
      </c>
      <c r="O232" s="27" t="s">
        <v>1967</v>
      </c>
      <c r="P232" s="27"/>
      <c r="Q232" s="27"/>
      <c r="R232" s="27"/>
      <c r="S232" s="27"/>
    </row>
    <row r="233" spans="1:19" x14ac:dyDescent="0.25">
      <c r="A233" s="27" t="s">
        <v>1577</v>
      </c>
      <c r="B233" s="27" t="str">
        <f t="shared" si="14"/>
        <v>Texas</v>
      </c>
      <c r="C233" s="27" t="str">
        <f t="shared" si="15"/>
        <v>Starr</v>
      </c>
      <c r="D233" s="27">
        <v>89735</v>
      </c>
      <c r="E233" s="27">
        <v>33</v>
      </c>
      <c r="F233" s="27">
        <v>4040</v>
      </c>
      <c r="G233" s="26">
        <f t="shared" si="16"/>
        <v>122.42424242424242</v>
      </c>
      <c r="H233" s="27">
        <v>14438.25</v>
      </c>
      <c r="I233" s="10">
        <v>906</v>
      </c>
      <c r="J233" s="28">
        <f t="shared" si="17"/>
        <v>71.476485148514854</v>
      </c>
      <c r="K233" s="12">
        <v>15102.88</v>
      </c>
      <c r="L233" s="27">
        <v>12</v>
      </c>
      <c r="M233" s="2">
        <v>570</v>
      </c>
      <c r="N233" s="27">
        <v>1905</v>
      </c>
      <c r="O233" s="27" t="s">
        <v>1967</v>
      </c>
      <c r="P233" s="27"/>
      <c r="Q233" s="27"/>
      <c r="R233" s="27"/>
      <c r="S233" s="27"/>
    </row>
    <row r="234" spans="1:19" x14ac:dyDescent="0.25">
      <c r="A234" s="27" t="s">
        <v>1590</v>
      </c>
      <c r="B234" s="27" t="str">
        <f t="shared" si="14"/>
        <v>Texas</v>
      </c>
      <c r="C234" s="27" t="str">
        <f t="shared" si="15"/>
        <v>Trinity</v>
      </c>
      <c r="D234" s="27">
        <v>32835</v>
      </c>
      <c r="E234" s="27">
        <v>52</v>
      </c>
      <c r="F234" s="27">
        <v>4007</v>
      </c>
      <c r="G234" s="26">
        <f t="shared" si="16"/>
        <v>77.057692307692307</v>
      </c>
      <c r="H234" s="27">
        <v>8769.39</v>
      </c>
      <c r="I234" s="10">
        <v>1881</v>
      </c>
      <c r="J234" s="28">
        <f t="shared" si="17"/>
        <v>43.770351884202647</v>
      </c>
      <c r="K234" s="12">
        <v>8782.42</v>
      </c>
      <c r="L234" s="27">
        <v>49</v>
      </c>
      <c r="M234" s="2">
        <v>1650</v>
      </c>
      <c r="N234" s="27">
        <v>1905</v>
      </c>
      <c r="O234" s="27" t="s">
        <v>1967</v>
      </c>
      <c r="P234" s="27"/>
      <c r="Q234" s="27"/>
      <c r="R234" s="27"/>
      <c r="S234" s="27"/>
    </row>
    <row r="235" spans="1:19" x14ac:dyDescent="0.25">
      <c r="A235" s="27" t="s">
        <v>1595</v>
      </c>
      <c r="B235" s="27" t="str">
        <f t="shared" si="14"/>
        <v>Texas</v>
      </c>
      <c r="C235" s="27" t="str">
        <f t="shared" si="15"/>
        <v>Van Zandt</v>
      </c>
      <c r="D235" s="27">
        <v>298022</v>
      </c>
      <c r="E235" s="27">
        <v>105</v>
      </c>
      <c r="F235" s="27">
        <v>10512</v>
      </c>
      <c r="G235" s="26">
        <f t="shared" si="16"/>
        <v>100.11428571428571</v>
      </c>
      <c r="H235" s="27">
        <v>27243.89</v>
      </c>
      <c r="I235" s="10">
        <v>5760</v>
      </c>
      <c r="J235" s="28">
        <f t="shared" si="17"/>
        <v>51.833885083713852</v>
      </c>
      <c r="K235" s="12">
        <v>27793.29</v>
      </c>
      <c r="L235" s="27">
        <v>90</v>
      </c>
      <c r="M235" s="2">
        <v>30442.5</v>
      </c>
      <c r="N235" s="27">
        <v>1905</v>
      </c>
      <c r="O235" s="27" t="s">
        <v>1967</v>
      </c>
      <c r="P235" s="27"/>
      <c r="Q235" s="27"/>
      <c r="R235" s="27"/>
      <c r="S235" s="27"/>
    </row>
    <row r="236" spans="1:19" x14ac:dyDescent="0.25">
      <c r="A236" s="27" t="s">
        <v>1600</v>
      </c>
      <c r="B236" s="27" t="str">
        <f t="shared" si="14"/>
        <v>Texas</v>
      </c>
      <c r="C236" s="27" t="str">
        <f t="shared" si="15"/>
        <v>Washington</v>
      </c>
      <c r="D236" s="27">
        <v>505664</v>
      </c>
      <c r="E236" s="27">
        <v>109</v>
      </c>
      <c r="F236" s="27">
        <v>16395</v>
      </c>
      <c r="G236" s="26">
        <f t="shared" si="16"/>
        <v>150.41284403669724</v>
      </c>
      <c r="H236" s="27">
        <v>42855.35</v>
      </c>
      <c r="I236" s="10">
        <v>5586</v>
      </c>
      <c r="J236" s="28">
        <f t="shared" si="17"/>
        <v>52.278560536749012</v>
      </c>
      <c r="K236" s="12">
        <v>43455.35</v>
      </c>
      <c r="L236" s="27"/>
      <c r="M236" s="2">
        <v>5316</v>
      </c>
      <c r="N236" s="27">
        <v>1905</v>
      </c>
      <c r="O236" s="27" t="s">
        <v>1967</v>
      </c>
      <c r="P236" s="27"/>
      <c r="Q236" s="27"/>
      <c r="R236" s="27"/>
      <c r="S236" s="27"/>
    </row>
    <row r="237" spans="1:19" x14ac:dyDescent="0.25">
      <c r="A237" s="27" t="s">
        <v>1601</v>
      </c>
      <c r="B237" s="27" t="str">
        <f t="shared" si="14"/>
        <v>Texas</v>
      </c>
      <c r="C237" s="27" t="str">
        <f t="shared" si="15"/>
        <v>Webb</v>
      </c>
      <c r="D237" s="27">
        <v>84533</v>
      </c>
      <c r="E237" s="27">
        <v>26</v>
      </c>
      <c r="F237" s="27">
        <v>4160</v>
      </c>
      <c r="G237" s="26">
        <f t="shared" si="16"/>
        <v>160</v>
      </c>
      <c r="H237" s="27">
        <v>11080</v>
      </c>
      <c r="I237" s="10">
        <v>886</v>
      </c>
      <c r="J237" s="28">
        <f t="shared" si="17"/>
        <v>53.269230769230766</v>
      </c>
      <c r="K237" s="12">
        <v>14113.6</v>
      </c>
      <c r="L237" s="27">
        <v>25</v>
      </c>
      <c r="M237" s="2">
        <v>893</v>
      </c>
      <c r="N237" s="27">
        <v>1905</v>
      </c>
      <c r="O237" s="27" t="s">
        <v>1967</v>
      </c>
      <c r="P237" s="27"/>
      <c r="Q237" s="27"/>
      <c r="R237" s="27"/>
      <c r="S237" s="27"/>
    </row>
    <row r="238" spans="1:19" x14ac:dyDescent="0.25">
      <c r="A238" s="27" t="s">
        <v>1602</v>
      </c>
      <c r="B238" s="27" t="str">
        <f t="shared" si="14"/>
        <v>Texas</v>
      </c>
      <c r="C238" s="27" t="str">
        <f t="shared" si="15"/>
        <v>Wharton</v>
      </c>
      <c r="D238" s="27">
        <v>216858</v>
      </c>
      <c r="E238" s="27">
        <v>81</v>
      </c>
      <c r="F238" s="27">
        <v>9218</v>
      </c>
      <c r="G238" s="26">
        <f t="shared" si="16"/>
        <v>113.80246913580247</v>
      </c>
      <c r="H238" s="27">
        <v>22271.279999999999</v>
      </c>
      <c r="I238" s="10">
        <v>3162</v>
      </c>
      <c r="J238" s="28">
        <f t="shared" si="17"/>
        <v>48.321284443480145</v>
      </c>
      <c r="K238" s="12">
        <v>24526.93</v>
      </c>
      <c r="L238" s="27">
        <v>65</v>
      </c>
      <c r="M238" s="2">
        <v>20157</v>
      </c>
      <c r="N238" s="27">
        <v>1905</v>
      </c>
      <c r="O238" s="27" t="s">
        <v>1967</v>
      </c>
      <c r="P238" s="27"/>
      <c r="Q238" s="27"/>
      <c r="R238" s="27"/>
      <c r="S238" s="27"/>
    </row>
  </sheetData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M124"/>
  <sheetViews>
    <sheetView workbookViewId="0"/>
  </sheetViews>
  <sheetFormatPr defaultColWidth="11.42578125" defaultRowHeight="15" x14ac:dyDescent="0.25"/>
  <cols>
    <col min="1" max="1" width="22.28515625" customWidth="1"/>
    <col min="5" max="8" width="11.42578125" style="27"/>
    <col min="12" max="15" width="11.42578125" style="12"/>
    <col min="18" max="18" width="11.28515625" customWidth="1"/>
    <col min="20" max="22" width="11.42578125" style="27"/>
  </cols>
  <sheetData>
    <row r="1" spans="1:39" ht="75" x14ac:dyDescent="0.25">
      <c r="A1" s="134"/>
      <c r="B1" s="134" t="s">
        <v>2</v>
      </c>
      <c r="C1" s="134" t="s">
        <v>0</v>
      </c>
      <c r="D1" s="131" t="s">
        <v>1956</v>
      </c>
      <c r="E1" s="138" t="s">
        <v>2518</v>
      </c>
      <c r="F1" s="138" t="s">
        <v>2517</v>
      </c>
      <c r="G1" s="138" t="s">
        <v>2519</v>
      </c>
      <c r="H1" s="138" t="s">
        <v>2520</v>
      </c>
      <c r="I1" s="131" t="s">
        <v>372</v>
      </c>
      <c r="J1" s="135" t="s">
        <v>357</v>
      </c>
      <c r="K1" s="135" t="s">
        <v>377</v>
      </c>
      <c r="L1" s="95" t="s">
        <v>2521</v>
      </c>
      <c r="M1" s="95" t="s">
        <v>2522</v>
      </c>
      <c r="N1" s="95" t="s">
        <v>2523</v>
      </c>
      <c r="O1" s="95" t="s">
        <v>2524</v>
      </c>
      <c r="P1" s="131" t="s">
        <v>358</v>
      </c>
      <c r="Q1" s="136" t="s">
        <v>360</v>
      </c>
      <c r="R1" s="131" t="s">
        <v>374</v>
      </c>
      <c r="S1" s="137" t="s">
        <v>375</v>
      </c>
      <c r="T1" s="146" t="s">
        <v>2605</v>
      </c>
      <c r="U1" s="146" t="s">
        <v>2606</v>
      </c>
      <c r="V1" s="146" t="s">
        <v>2607</v>
      </c>
      <c r="W1" s="134" t="s">
        <v>1</v>
      </c>
      <c r="X1" s="134" t="s">
        <v>1957</v>
      </c>
      <c r="Y1" s="134" t="s">
        <v>1949</v>
      </c>
      <c r="Z1" s="134" t="s">
        <v>1955</v>
      </c>
      <c r="AA1" s="134" t="s">
        <v>1950</v>
      </c>
      <c r="AB1" s="134" t="s">
        <v>1951</v>
      </c>
      <c r="AC1" s="134" t="s">
        <v>1952</v>
      </c>
      <c r="AD1" s="134" t="s">
        <v>1953</v>
      </c>
      <c r="AE1" s="134" t="s">
        <v>1948</v>
      </c>
      <c r="AF1" s="134"/>
      <c r="AG1" s="134"/>
      <c r="AH1" s="134"/>
      <c r="AI1" s="134"/>
      <c r="AJ1" s="134"/>
      <c r="AK1" s="134"/>
      <c r="AL1" s="134"/>
      <c r="AM1" s="134"/>
    </row>
    <row r="2" spans="1:39" x14ac:dyDescent="0.25">
      <c r="A2" s="27" t="s">
        <v>1766</v>
      </c>
      <c r="B2" s="27" t="str">
        <f t="shared" ref="B2:B65" si="0">LEFT(A2,FIND(";",A2)-1)</f>
        <v>Virginia</v>
      </c>
      <c r="C2" s="27" t="str">
        <f t="shared" ref="C2:C65" si="1">MID(A2,FIND(";",A2)+1,100)</f>
        <v>Accomack</v>
      </c>
      <c r="D2" s="2">
        <v>8681</v>
      </c>
      <c r="E2" s="2">
        <v>24</v>
      </c>
      <c r="F2" s="2">
        <v>95</v>
      </c>
      <c r="G2" s="2">
        <v>11</v>
      </c>
      <c r="H2" s="2">
        <v>20</v>
      </c>
      <c r="I2" s="2">
        <f>SUM(E2:H2)</f>
        <v>150</v>
      </c>
      <c r="J2" s="27">
        <v>130</v>
      </c>
      <c r="K2" s="2">
        <v>6679</v>
      </c>
      <c r="L2" s="12">
        <v>45.38</v>
      </c>
      <c r="M2" s="12">
        <v>25.16</v>
      </c>
      <c r="N2" s="12">
        <v>24.19</v>
      </c>
      <c r="O2" s="12">
        <v>17.29</v>
      </c>
      <c r="P2" s="28">
        <f t="shared" ref="P2:P33" si="2">(E2*L2+F2*M2+G2*N2+H2*O2)/I2</f>
        <v>27.274733333333334</v>
      </c>
      <c r="Q2" s="2">
        <v>35062.080000000002</v>
      </c>
      <c r="R2" s="27">
        <v>150</v>
      </c>
      <c r="S2" s="27">
        <v>20000</v>
      </c>
      <c r="T2" s="27">
        <v>22354</v>
      </c>
      <c r="U2" s="27">
        <v>980</v>
      </c>
      <c r="V2" s="27">
        <f>(T2+U2)/S2</f>
        <v>1.1667000000000001</v>
      </c>
      <c r="W2" s="27">
        <v>1905</v>
      </c>
      <c r="X2" s="27" t="s">
        <v>538</v>
      </c>
      <c r="Y2" s="1" t="s">
        <v>539</v>
      </c>
      <c r="Z2" s="27" t="s">
        <v>540</v>
      </c>
      <c r="AA2" s="27" t="s">
        <v>541</v>
      </c>
      <c r="AB2" s="27" t="s">
        <v>542</v>
      </c>
      <c r="AC2" s="1" t="s">
        <v>543</v>
      </c>
      <c r="AD2" s="1" t="s">
        <v>544</v>
      </c>
      <c r="AE2" s="1" t="s">
        <v>545</v>
      </c>
      <c r="AF2" s="4"/>
      <c r="AG2" s="4"/>
      <c r="AH2" s="4"/>
      <c r="AI2" s="4"/>
      <c r="AJ2" s="4"/>
      <c r="AK2" s="4"/>
    </row>
    <row r="3" spans="1:39" x14ac:dyDescent="0.25">
      <c r="A3" s="27" t="s">
        <v>1616</v>
      </c>
      <c r="B3" s="27" t="str">
        <f t="shared" si="0"/>
        <v>Virginia</v>
      </c>
      <c r="C3" s="27" t="str">
        <f t="shared" si="1"/>
        <v>Albemarle</v>
      </c>
      <c r="D3" s="27">
        <v>3048</v>
      </c>
      <c r="E3" s="27">
        <v>14</v>
      </c>
      <c r="F3" s="27">
        <v>83</v>
      </c>
      <c r="G3" s="27">
        <v>22</v>
      </c>
      <c r="H3" s="27">
        <v>30</v>
      </c>
      <c r="I3" s="2">
        <f t="shared" ref="I3:I51" si="3">SUM(E3:H3)</f>
        <v>149</v>
      </c>
      <c r="J3" s="27">
        <v>118</v>
      </c>
      <c r="K3" s="27">
        <v>5019</v>
      </c>
      <c r="L3" s="12">
        <v>43.63</v>
      </c>
      <c r="M3" s="12">
        <v>29.59</v>
      </c>
      <c r="N3" s="12">
        <v>21.16</v>
      </c>
      <c r="O3" s="12">
        <v>22.54</v>
      </c>
      <c r="P3" s="28">
        <f t="shared" si="2"/>
        <v>28.24503355704698</v>
      </c>
      <c r="Q3" s="2">
        <v>29041.46</v>
      </c>
      <c r="R3" s="27">
        <v>149</v>
      </c>
      <c r="S3" s="27">
        <v>38485</v>
      </c>
      <c r="T3" s="27">
        <v>30015</v>
      </c>
      <c r="V3" s="27">
        <f t="shared" ref="V3:V65" si="4">(T3+U3)/S3</f>
        <v>0.77991425230609324</v>
      </c>
      <c r="W3" s="27">
        <v>1905</v>
      </c>
      <c r="X3" s="27" t="s">
        <v>538</v>
      </c>
      <c r="Y3" s="1" t="s">
        <v>539</v>
      </c>
      <c r="Z3" s="27" t="s">
        <v>540</v>
      </c>
      <c r="AA3" s="27" t="s">
        <v>541</v>
      </c>
      <c r="AB3" s="27" t="s">
        <v>542</v>
      </c>
      <c r="AC3" s="1" t="s">
        <v>543</v>
      </c>
      <c r="AD3" s="1" t="s">
        <v>544</v>
      </c>
      <c r="AE3" s="1" t="s">
        <v>545</v>
      </c>
      <c r="AF3" s="4"/>
      <c r="AG3" s="4"/>
      <c r="AH3" s="4"/>
      <c r="AI3" s="4"/>
      <c r="AJ3" s="4"/>
      <c r="AK3" s="4"/>
    </row>
    <row r="4" spans="1:39" x14ac:dyDescent="0.25">
      <c r="A4" s="27" t="s">
        <v>1767</v>
      </c>
      <c r="B4" s="27" t="str">
        <f t="shared" si="0"/>
        <v>Virginia</v>
      </c>
      <c r="C4" s="27" t="str">
        <f t="shared" si="1"/>
        <v>Alexandria City</v>
      </c>
      <c r="D4" s="2">
        <v>1480</v>
      </c>
      <c r="E4" s="2">
        <v>3</v>
      </c>
      <c r="F4" s="2">
        <v>19</v>
      </c>
      <c r="G4" s="2">
        <v>5</v>
      </c>
      <c r="H4" s="2">
        <v>6</v>
      </c>
      <c r="I4" s="2">
        <f t="shared" si="3"/>
        <v>33</v>
      </c>
      <c r="J4" s="27">
        <v>197</v>
      </c>
      <c r="K4" s="2">
        <v>1861</v>
      </c>
      <c r="L4" s="12">
        <v>96.5</v>
      </c>
      <c r="M4" s="12">
        <v>51.05</v>
      </c>
      <c r="N4" s="12">
        <v>54.74</v>
      </c>
      <c r="O4" s="12">
        <v>46.49</v>
      </c>
      <c r="P4" s="28">
        <f t="shared" si="2"/>
        <v>54.911818181818177</v>
      </c>
      <c r="Q4" s="2">
        <v>23596.31</v>
      </c>
      <c r="R4" s="27">
        <v>36</v>
      </c>
      <c r="S4" s="27">
        <v>35000</v>
      </c>
      <c r="W4" s="27">
        <v>1905</v>
      </c>
      <c r="X4" s="27" t="s">
        <v>538</v>
      </c>
      <c r="Y4" s="1" t="s">
        <v>539</v>
      </c>
      <c r="Z4" s="27" t="s">
        <v>540</v>
      </c>
      <c r="AA4" s="27" t="s">
        <v>541</v>
      </c>
      <c r="AB4" s="27" t="s">
        <v>542</v>
      </c>
      <c r="AC4" s="1" t="s">
        <v>543</v>
      </c>
      <c r="AD4" s="1" t="s">
        <v>544</v>
      </c>
      <c r="AE4" s="1" t="s">
        <v>545</v>
      </c>
      <c r="AF4" s="4"/>
      <c r="AG4" s="4"/>
      <c r="AH4" s="4"/>
      <c r="AI4" s="4"/>
      <c r="AJ4" s="4"/>
      <c r="AK4" s="4"/>
    </row>
    <row r="5" spans="1:39" x14ac:dyDescent="0.25">
      <c r="A5" s="27" t="s">
        <v>1793</v>
      </c>
      <c r="B5" s="27" t="str">
        <f t="shared" si="0"/>
        <v>Virginia</v>
      </c>
      <c r="C5" s="27" t="str">
        <f t="shared" si="1"/>
        <v>Arlington/Alexandria</v>
      </c>
      <c r="D5" s="27">
        <v>506</v>
      </c>
      <c r="E5" s="27">
        <v>4</v>
      </c>
      <c r="F5" s="27">
        <v>10</v>
      </c>
      <c r="G5" s="27">
        <v>2</v>
      </c>
      <c r="H5" s="27">
        <v>4</v>
      </c>
      <c r="I5" s="2">
        <f t="shared" si="3"/>
        <v>20</v>
      </c>
      <c r="J5" s="27">
        <v>162</v>
      </c>
      <c r="K5" s="27">
        <v>949</v>
      </c>
      <c r="L5" s="12">
        <v>46.87</v>
      </c>
      <c r="M5" s="12">
        <v>32.28</v>
      </c>
      <c r="N5" s="12">
        <v>37.5</v>
      </c>
      <c r="O5" s="12">
        <v>32.5</v>
      </c>
      <c r="P5" s="28">
        <f t="shared" si="2"/>
        <v>35.763999999999996</v>
      </c>
      <c r="Q5" s="2">
        <v>21762.3</v>
      </c>
      <c r="R5" s="27">
        <v>20</v>
      </c>
      <c r="S5" s="27">
        <v>44200</v>
      </c>
      <c r="T5" s="27">
        <v>7247</v>
      </c>
      <c r="U5" s="27">
        <v>1800</v>
      </c>
      <c r="V5" s="27">
        <f t="shared" si="4"/>
        <v>0.20468325791855205</v>
      </c>
      <c r="W5" s="27">
        <v>1905</v>
      </c>
      <c r="X5" s="27" t="s">
        <v>538</v>
      </c>
      <c r="Y5" s="1" t="s">
        <v>539</v>
      </c>
      <c r="Z5" s="27" t="s">
        <v>540</v>
      </c>
      <c r="AA5" s="27" t="s">
        <v>541</v>
      </c>
      <c r="AB5" s="27" t="s">
        <v>542</v>
      </c>
      <c r="AC5" s="1" t="s">
        <v>543</v>
      </c>
      <c r="AD5" s="1" t="s">
        <v>544</v>
      </c>
      <c r="AE5" s="1" t="s">
        <v>545</v>
      </c>
      <c r="AF5" s="4"/>
      <c r="AG5" s="4"/>
      <c r="AH5" s="4"/>
      <c r="AI5" s="4"/>
      <c r="AJ5" s="4"/>
      <c r="AK5" s="4"/>
    </row>
    <row r="6" spans="1:39" x14ac:dyDescent="0.25">
      <c r="A6" s="27" t="s">
        <v>1617</v>
      </c>
      <c r="B6" s="27" t="str">
        <f t="shared" si="0"/>
        <v>Virginia</v>
      </c>
      <c r="C6" s="27" t="str">
        <f t="shared" si="1"/>
        <v>Alleghany</v>
      </c>
      <c r="D6" s="2">
        <v>1689</v>
      </c>
      <c r="E6" s="2">
        <v>7</v>
      </c>
      <c r="F6" s="2">
        <v>44</v>
      </c>
      <c r="G6" s="2">
        <v>5</v>
      </c>
      <c r="H6" s="2">
        <v>4</v>
      </c>
      <c r="I6" s="2">
        <f t="shared" si="3"/>
        <v>60</v>
      </c>
      <c r="J6" s="27">
        <v>131</v>
      </c>
      <c r="K6" s="2">
        <v>2647</v>
      </c>
      <c r="L6" s="12">
        <v>52.63</v>
      </c>
      <c r="M6" s="12">
        <v>31.41</v>
      </c>
      <c r="N6" s="12">
        <v>29.58</v>
      </c>
      <c r="O6" s="12">
        <v>21.78</v>
      </c>
      <c r="P6" s="28">
        <f t="shared" si="2"/>
        <v>33.091166666666666</v>
      </c>
      <c r="Q6" s="2">
        <v>14724.26</v>
      </c>
      <c r="R6" s="27">
        <v>60</v>
      </c>
      <c r="S6" s="27">
        <v>33700</v>
      </c>
      <c r="T6" s="27">
        <v>13483</v>
      </c>
      <c r="V6" s="27">
        <f t="shared" si="4"/>
        <v>0.40008902077151337</v>
      </c>
      <c r="W6" s="27">
        <v>1905</v>
      </c>
      <c r="X6" s="27" t="s">
        <v>538</v>
      </c>
      <c r="Y6" s="1" t="s">
        <v>539</v>
      </c>
      <c r="Z6" s="27" t="s">
        <v>540</v>
      </c>
      <c r="AA6" s="27" t="s">
        <v>541</v>
      </c>
      <c r="AB6" s="27" t="s">
        <v>542</v>
      </c>
      <c r="AC6" s="1" t="s">
        <v>543</v>
      </c>
      <c r="AD6" s="1" t="s">
        <v>544</v>
      </c>
      <c r="AE6" s="1" t="s">
        <v>545</v>
      </c>
      <c r="AF6" s="4"/>
      <c r="AG6" s="4"/>
      <c r="AH6" s="4"/>
      <c r="AI6" s="4"/>
      <c r="AJ6" s="4"/>
      <c r="AK6" s="4"/>
    </row>
    <row r="7" spans="1:39" x14ac:dyDescent="0.25">
      <c r="A7" s="27" t="s">
        <v>1618</v>
      </c>
      <c r="B7" s="27" t="str">
        <f t="shared" si="0"/>
        <v>Virginia</v>
      </c>
      <c r="C7" s="27" t="str">
        <f t="shared" si="1"/>
        <v>Amelia</v>
      </c>
      <c r="D7" s="27">
        <v>960</v>
      </c>
      <c r="E7" s="27">
        <v>2</v>
      </c>
      <c r="F7" s="27">
        <v>23</v>
      </c>
      <c r="G7" s="27">
        <v>5</v>
      </c>
      <c r="H7" s="27">
        <v>17</v>
      </c>
      <c r="I7" s="2">
        <f t="shared" si="3"/>
        <v>47</v>
      </c>
      <c r="J7" s="27">
        <v>126</v>
      </c>
      <c r="K7" s="2">
        <v>1700</v>
      </c>
      <c r="L7" s="12">
        <v>32.5</v>
      </c>
      <c r="M7" s="12">
        <v>30.13</v>
      </c>
      <c r="N7" s="12">
        <v>23.22</v>
      </c>
      <c r="O7" s="12">
        <v>22.33</v>
      </c>
      <c r="P7" s="28">
        <f t="shared" si="2"/>
        <v>26.674468085106383</v>
      </c>
      <c r="Q7" s="2">
        <v>8431.92</v>
      </c>
      <c r="R7" s="27">
        <v>7</v>
      </c>
      <c r="S7" s="27">
        <v>4844.5</v>
      </c>
      <c r="T7" s="27">
        <v>9745</v>
      </c>
      <c r="V7" s="27">
        <f t="shared" si="4"/>
        <v>2.0115595004644442</v>
      </c>
      <c r="W7" s="27">
        <v>1905</v>
      </c>
      <c r="X7" s="27" t="s">
        <v>538</v>
      </c>
      <c r="Y7" s="1" t="s">
        <v>539</v>
      </c>
      <c r="Z7" s="27" t="s">
        <v>540</v>
      </c>
      <c r="AA7" s="27" t="s">
        <v>541</v>
      </c>
      <c r="AB7" s="27" t="s">
        <v>542</v>
      </c>
      <c r="AC7" s="1" t="s">
        <v>543</v>
      </c>
      <c r="AD7" s="1" t="s">
        <v>544</v>
      </c>
      <c r="AE7" s="1" t="s">
        <v>545</v>
      </c>
      <c r="AF7" s="4"/>
      <c r="AG7" s="4"/>
      <c r="AH7" s="4"/>
      <c r="AI7" s="4"/>
      <c r="AJ7" s="4"/>
      <c r="AK7" s="4"/>
    </row>
    <row r="8" spans="1:39" x14ac:dyDescent="0.25">
      <c r="A8" s="27" t="s">
        <v>1619</v>
      </c>
      <c r="B8" s="27" t="str">
        <f t="shared" si="0"/>
        <v>Virginia</v>
      </c>
      <c r="C8" s="27" t="str">
        <f t="shared" si="1"/>
        <v>Amherst</v>
      </c>
      <c r="D8" s="2">
        <v>1957</v>
      </c>
      <c r="E8" s="2">
        <v>13</v>
      </c>
      <c r="F8" s="2">
        <v>67</v>
      </c>
      <c r="G8" s="2">
        <v>9</v>
      </c>
      <c r="H8" s="2">
        <v>23</v>
      </c>
      <c r="I8" s="2">
        <f t="shared" si="3"/>
        <v>112</v>
      </c>
      <c r="J8" s="27">
        <v>109</v>
      </c>
      <c r="K8" s="27">
        <v>3569</v>
      </c>
      <c r="L8" s="12">
        <v>27.73</v>
      </c>
      <c r="M8" s="12">
        <v>25.41</v>
      </c>
      <c r="N8" s="12">
        <v>21.25</v>
      </c>
      <c r="O8" s="12">
        <v>19.75</v>
      </c>
      <c r="P8" s="28">
        <f t="shared" si="2"/>
        <v>24.182678571428571</v>
      </c>
      <c r="Q8" s="2">
        <v>15353.51</v>
      </c>
      <c r="R8" s="27">
        <v>112</v>
      </c>
      <c r="S8" s="27">
        <v>18600</v>
      </c>
      <c r="T8" s="27">
        <v>15963</v>
      </c>
      <c r="V8" s="27">
        <f t="shared" si="4"/>
        <v>0.85822580645161295</v>
      </c>
      <c r="W8" s="27">
        <v>1905</v>
      </c>
      <c r="X8" s="27" t="s">
        <v>538</v>
      </c>
      <c r="Y8" s="1" t="s">
        <v>539</v>
      </c>
      <c r="Z8" s="27" t="s">
        <v>540</v>
      </c>
      <c r="AA8" s="27" t="s">
        <v>541</v>
      </c>
      <c r="AB8" s="27" t="s">
        <v>542</v>
      </c>
      <c r="AC8" s="1" t="s">
        <v>543</v>
      </c>
      <c r="AD8" s="1" t="s">
        <v>544</v>
      </c>
      <c r="AE8" s="1" t="s">
        <v>545</v>
      </c>
      <c r="AF8" s="4"/>
      <c r="AG8" s="4"/>
      <c r="AH8" s="4"/>
      <c r="AI8" s="4"/>
      <c r="AJ8" s="4"/>
      <c r="AK8" s="4"/>
    </row>
    <row r="9" spans="1:39" x14ac:dyDescent="0.25">
      <c r="A9" s="27" t="s">
        <v>1620</v>
      </c>
      <c r="B9" s="27" t="str">
        <f t="shared" si="0"/>
        <v>Virginia</v>
      </c>
      <c r="C9" s="27" t="str">
        <f t="shared" si="1"/>
        <v>Appomattox</v>
      </c>
      <c r="D9" s="27">
        <v>822</v>
      </c>
      <c r="E9" s="27">
        <v>2</v>
      </c>
      <c r="F9" s="27">
        <v>38</v>
      </c>
      <c r="G9" s="27">
        <v>3</v>
      </c>
      <c r="H9" s="27">
        <v>2</v>
      </c>
      <c r="I9" s="2">
        <f t="shared" si="3"/>
        <v>45</v>
      </c>
      <c r="J9" s="27">
        <v>101</v>
      </c>
      <c r="K9" s="2">
        <v>1656</v>
      </c>
      <c r="L9" s="12">
        <v>32.770000000000003</v>
      </c>
      <c r="M9" s="12">
        <v>27.88</v>
      </c>
      <c r="N9" s="12">
        <v>28.33</v>
      </c>
      <c r="O9" s="12">
        <v>27.5</v>
      </c>
      <c r="P9" s="28">
        <f t="shared" si="2"/>
        <v>28.110444444444447</v>
      </c>
      <c r="Q9" s="2">
        <v>7942.32</v>
      </c>
      <c r="R9" s="27">
        <v>45</v>
      </c>
      <c r="S9" s="27">
        <v>5850</v>
      </c>
      <c r="T9" s="27">
        <v>7659</v>
      </c>
      <c r="V9" s="27">
        <f t="shared" si="4"/>
        <v>1.3092307692307692</v>
      </c>
      <c r="W9" s="27">
        <v>1905</v>
      </c>
      <c r="X9" s="27" t="s">
        <v>538</v>
      </c>
      <c r="Y9" s="1" t="s">
        <v>539</v>
      </c>
      <c r="Z9" s="27" t="s">
        <v>540</v>
      </c>
      <c r="AA9" s="27" t="s">
        <v>541</v>
      </c>
      <c r="AB9" s="27" t="s">
        <v>542</v>
      </c>
      <c r="AC9" s="1" t="s">
        <v>543</v>
      </c>
      <c r="AD9" s="1" t="s">
        <v>544</v>
      </c>
      <c r="AE9" s="1" t="s">
        <v>545</v>
      </c>
      <c r="AF9" s="4"/>
      <c r="AG9" s="4"/>
      <c r="AH9" s="4"/>
      <c r="AI9" s="4"/>
      <c r="AJ9" s="4"/>
      <c r="AK9" s="4"/>
    </row>
    <row r="10" spans="1:39" x14ac:dyDescent="0.25">
      <c r="A10" s="27" t="s">
        <v>1621</v>
      </c>
      <c r="B10" s="27" t="str">
        <f t="shared" si="0"/>
        <v>Virginia</v>
      </c>
      <c r="C10" s="27" t="str">
        <f t="shared" si="1"/>
        <v>Augusta</v>
      </c>
      <c r="D10" s="2">
        <v>4496</v>
      </c>
      <c r="E10" s="2">
        <v>43</v>
      </c>
      <c r="F10" s="2">
        <v>150</v>
      </c>
      <c r="G10" s="2">
        <v>16</v>
      </c>
      <c r="H10" s="2">
        <v>16</v>
      </c>
      <c r="I10" s="2">
        <f t="shared" si="3"/>
        <v>225</v>
      </c>
      <c r="J10" s="27">
        <v>109</v>
      </c>
      <c r="K10" s="27">
        <v>6823</v>
      </c>
      <c r="L10" s="12">
        <v>31.43</v>
      </c>
      <c r="M10" s="12">
        <v>29.49</v>
      </c>
      <c r="N10" s="12">
        <v>24.57</v>
      </c>
      <c r="O10" s="12">
        <v>22.88</v>
      </c>
      <c r="P10" s="28">
        <f t="shared" si="2"/>
        <v>29.040844444444442</v>
      </c>
      <c r="Q10" s="2">
        <v>39934.160000000003</v>
      </c>
      <c r="R10" s="27">
        <v>225</v>
      </c>
      <c r="S10" s="27">
        <v>96100</v>
      </c>
      <c r="T10" s="27">
        <v>42146</v>
      </c>
      <c r="V10" s="27">
        <f t="shared" si="4"/>
        <v>0.43856399583766909</v>
      </c>
      <c r="W10" s="27">
        <v>1905</v>
      </c>
      <c r="X10" s="27" t="s">
        <v>538</v>
      </c>
      <c r="Y10" s="1" t="s">
        <v>539</v>
      </c>
      <c r="Z10" s="27" t="s">
        <v>540</v>
      </c>
      <c r="AA10" s="27" t="s">
        <v>541</v>
      </c>
      <c r="AB10" s="27" t="s">
        <v>542</v>
      </c>
      <c r="AC10" s="1" t="s">
        <v>543</v>
      </c>
      <c r="AD10" s="1" t="s">
        <v>544</v>
      </c>
      <c r="AE10" s="1" t="s">
        <v>545</v>
      </c>
      <c r="AF10" s="4"/>
      <c r="AG10" s="4"/>
      <c r="AH10" s="4"/>
      <c r="AI10" s="4"/>
      <c r="AJ10" s="4"/>
      <c r="AK10" s="4"/>
    </row>
    <row r="11" spans="1:39" x14ac:dyDescent="0.25">
      <c r="A11" s="27" t="s">
        <v>1622</v>
      </c>
      <c r="B11" s="27" t="str">
        <f t="shared" si="0"/>
        <v>Virginia</v>
      </c>
      <c r="C11" s="27" t="str">
        <f t="shared" si="1"/>
        <v>Bath</v>
      </c>
      <c r="D11" s="27">
        <v>673</v>
      </c>
      <c r="E11" s="27">
        <v>6</v>
      </c>
      <c r="F11" s="27">
        <v>30</v>
      </c>
      <c r="G11" s="27">
        <v>3</v>
      </c>
      <c r="H11" s="27">
        <v>1</v>
      </c>
      <c r="I11" s="2">
        <f t="shared" si="3"/>
        <v>40</v>
      </c>
      <c r="J11" s="27">
        <v>108</v>
      </c>
      <c r="K11" s="2">
        <v>1199</v>
      </c>
      <c r="L11" s="12">
        <v>33.770000000000003</v>
      </c>
      <c r="M11" s="12">
        <v>32.04</v>
      </c>
      <c r="N11" s="12">
        <v>29.82</v>
      </c>
      <c r="O11" s="12">
        <v>27</v>
      </c>
      <c r="P11" s="28">
        <f t="shared" si="2"/>
        <v>32.006999999999998</v>
      </c>
      <c r="Q11" s="2">
        <v>9589.5300000000007</v>
      </c>
      <c r="R11" s="27">
        <v>40</v>
      </c>
      <c r="S11" s="27">
        <v>17899</v>
      </c>
      <c r="T11" s="27">
        <v>9741</v>
      </c>
      <c r="V11" s="27">
        <f t="shared" si="4"/>
        <v>0.54422034750544723</v>
      </c>
      <c r="W11" s="27">
        <v>1905</v>
      </c>
      <c r="X11" s="27" t="s">
        <v>538</v>
      </c>
      <c r="Y11" s="1" t="s">
        <v>539</v>
      </c>
      <c r="Z11" s="27" t="s">
        <v>540</v>
      </c>
      <c r="AA11" s="27" t="s">
        <v>541</v>
      </c>
      <c r="AB11" s="27" t="s">
        <v>542</v>
      </c>
      <c r="AC11" s="1" t="s">
        <v>543</v>
      </c>
      <c r="AD11" s="1" t="s">
        <v>544</v>
      </c>
      <c r="AE11" s="1" t="s">
        <v>545</v>
      </c>
      <c r="AF11" s="4"/>
      <c r="AG11" s="4"/>
      <c r="AH11" s="4"/>
      <c r="AI11" s="4"/>
      <c r="AJ11" s="4"/>
      <c r="AK11" s="4"/>
    </row>
    <row r="12" spans="1:39" x14ac:dyDescent="0.25">
      <c r="A12" s="27" t="s">
        <v>1623</v>
      </c>
      <c r="B12" s="27" t="str">
        <f t="shared" si="0"/>
        <v>Virginia</v>
      </c>
      <c r="C12" s="27" t="str">
        <f t="shared" si="1"/>
        <v>Bedford</v>
      </c>
      <c r="D12" s="2">
        <v>3731</v>
      </c>
      <c r="E12" s="2">
        <v>13</v>
      </c>
      <c r="F12" s="2">
        <v>116</v>
      </c>
      <c r="G12" s="2">
        <v>9</v>
      </c>
      <c r="H12" s="2">
        <v>36</v>
      </c>
      <c r="I12" s="2">
        <f t="shared" si="3"/>
        <v>174</v>
      </c>
      <c r="J12" s="27">
        <v>106</v>
      </c>
      <c r="K12" s="2">
        <v>6477</v>
      </c>
      <c r="L12" s="12">
        <v>40.43</v>
      </c>
      <c r="M12" s="12">
        <v>27.42</v>
      </c>
      <c r="N12" s="12">
        <v>30.14</v>
      </c>
      <c r="O12" s="12">
        <v>18.5</v>
      </c>
      <c r="P12" s="28">
        <f t="shared" si="2"/>
        <v>26.687183908045981</v>
      </c>
      <c r="Q12" s="2">
        <v>27314.13</v>
      </c>
      <c r="R12" s="27">
        <v>174</v>
      </c>
      <c r="S12" s="27">
        <v>51460</v>
      </c>
      <c r="T12" s="27">
        <v>25697</v>
      </c>
      <c r="V12" s="27">
        <f t="shared" si="4"/>
        <v>0.49935872522347452</v>
      </c>
      <c r="W12" s="27">
        <v>1905</v>
      </c>
      <c r="X12" s="27" t="s">
        <v>538</v>
      </c>
      <c r="Y12" s="1" t="s">
        <v>539</v>
      </c>
      <c r="Z12" s="27" t="s">
        <v>540</v>
      </c>
      <c r="AA12" s="27" t="s">
        <v>541</v>
      </c>
      <c r="AB12" s="27" t="s">
        <v>542</v>
      </c>
      <c r="AC12" s="1" t="s">
        <v>543</v>
      </c>
      <c r="AD12" s="1" t="s">
        <v>544</v>
      </c>
      <c r="AE12" s="1" t="s">
        <v>545</v>
      </c>
      <c r="AF12" s="4"/>
      <c r="AG12" s="4"/>
      <c r="AH12" s="4"/>
      <c r="AI12" s="4"/>
      <c r="AJ12" s="4"/>
      <c r="AK12" s="4"/>
    </row>
    <row r="13" spans="1:39" x14ac:dyDescent="0.25">
      <c r="A13" s="27" t="s">
        <v>1624</v>
      </c>
      <c r="B13" s="27" t="str">
        <f t="shared" si="0"/>
        <v>Virginia</v>
      </c>
      <c r="C13" s="27" t="str">
        <f t="shared" si="1"/>
        <v>Bland</v>
      </c>
      <c r="D13" s="27">
        <v>841</v>
      </c>
      <c r="E13" s="27">
        <v>12</v>
      </c>
      <c r="F13" s="27">
        <v>29</v>
      </c>
      <c r="I13" s="2">
        <f t="shared" si="3"/>
        <v>41</v>
      </c>
      <c r="J13" s="27">
        <v>89</v>
      </c>
      <c r="K13" s="27">
        <v>1400</v>
      </c>
      <c r="L13" s="12">
        <v>24.1</v>
      </c>
      <c r="M13" s="12">
        <v>22.53</v>
      </c>
      <c r="P13" s="28">
        <f t="shared" si="2"/>
        <v>22.989512195121954</v>
      </c>
      <c r="Q13" s="2">
        <v>5540.03</v>
      </c>
      <c r="R13" s="27">
        <v>41</v>
      </c>
      <c r="S13" s="27">
        <v>8600</v>
      </c>
      <c r="T13" s="27">
        <v>4134</v>
      </c>
      <c r="V13" s="27">
        <f t="shared" si="4"/>
        <v>0.48069767441860467</v>
      </c>
      <c r="W13" s="27">
        <v>1905</v>
      </c>
      <c r="X13" s="27" t="s">
        <v>538</v>
      </c>
      <c r="Y13" s="1" t="s">
        <v>539</v>
      </c>
      <c r="Z13" s="27" t="s">
        <v>540</v>
      </c>
      <c r="AA13" s="27" t="s">
        <v>541</v>
      </c>
      <c r="AB13" s="27" t="s">
        <v>542</v>
      </c>
      <c r="AC13" s="1" t="s">
        <v>543</v>
      </c>
      <c r="AD13" s="1" t="s">
        <v>544</v>
      </c>
      <c r="AE13" s="1" t="s">
        <v>545</v>
      </c>
      <c r="AF13" s="4"/>
      <c r="AG13" s="4"/>
      <c r="AH13" s="4"/>
      <c r="AI13" s="4"/>
      <c r="AJ13" s="4"/>
      <c r="AK13" s="4"/>
    </row>
    <row r="14" spans="1:39" x14ac:dyDescent="0.25">
      <c r="A14" s="27" t="s">
        <v>1625</v>
      </c>
      <c r="B14" s="27" t="str">
        <f t="shared" si="0"/>
        <v>Virginia</v>
      </c>
      <c r="C14" s="27" t="str">
        <f t="shared" si="1"/>
        <v>Botetourt</v>
      </c>
      <c r="D14" s="2">
        <v>2555</v>
      </c>
      <c r="E14" s="2">
        <v>16</v>
      </c>
      <c r="F14" s="2">
        <v>71</v>
      </c>
      <c r="G14" s="2">
        <v>10</v>
      </c>
      <c r="H14" s="2">
        <v>14</v>
      </c>
      <c r="I14" s="2">
        <f t="shared" si="3"/>
        <v>111</v>
      </c>
      <c r="J14" s="27">
        <v>111</v>
      </c>
      <c r="K14" s="2">
        <v>3912</v>
      </c>
      <c r="L14" s="12">
        <v>31.84</v>
      </c>
      <c r="M14" s="12">
        <v>28.22</v>
      </c>
      <c r="N14" s="12">
        <v>26.05</v>
      </c>
      <c r="O14" s="12">
        <v>22.74</v>
      </c>
      <c r="P14" s="28">
        <f t="shared" si="2"/>
        <v>27.855135135135136</v>
      </c>
      <c r="Q14" s="2">
        <v>23303.15</v>
      </c>
      <c r="R14" s="27">
        <v>111</v>
      </c>
      <c r="S14" s="27">
        <v>37449.74</v>
      </c>
      <c r="T14" s="27">
        <v>17209</v>
      </c>
      <c r="V14" s="27">
        <f t="shared" si="4"/>
        <v>0.45952254942223902</v>
      </c>
      <c r="W14" s="27">
        <v>1905</v>
      </c>
      <c r="X14" s="27" t="s">
        <v>538</v>
      </c>
      <c r="Y14" s="1" t="s">
        <v>539</v>
      </c>
      <c r="Z14" s="27" t="s">
        <v>540</v>
      </c>
      <c r="AA14" s="27" t="s">
        <v>541</v>
      </c>
      <c r="AB14" s="27" t="s">
        <v>542</v>
      </c>
      <c r="AC14" s="1" t="s">
        <v>543</v>
      </c>
      <c r="AD14" s="1" t="s">
        <v>544</v>
      </c>
      <c r="AE14" s="1" t="s">
        <v>545</v>
      </c>
      <c r="AF14" s="4"/>
      <c r="AG14" s="4"/>
      <c r="AH14" s="4"/>
      <c r="AI14" s="4"/>
      <c r="AJ14" s="4"/>
      <c r="AK14" s="4"/>
    </row>
    <row r="15" spans="1:39" x14ac:dyDescent="0.25">
      <c r="A15" s="27" t="s">
        <v>1723</v>
      </c>
      <c r="B15" s="27" t="str">
        <f t="shared" si="0"/>
        <v>Virginia</v>
      </c>
      <c r="C15" s="27" t="str">
        <f t="shared" si="1"/>
        <v>Bristol</v>
      </c>
      <c r="D15" s="27">
        <v>563</v>
      </c>
      <c r="E15" s="27">
        <v>2</v>
      </c>
      <c r="F15" s="27">
        <v>11</v>
      </c>
      <c r="G15" s="27">
        <v>1</v>
      </c>
      <c r="H15" s="27">
        <v>1</v>
      </c>
      <c r="I15" s="2">
        <f t="shared" si="3"/>
        <v>15</v>
      </c>
      <c r="J15" s="27">
        <v>176</v>
      </c>
      <c r="K15" s="27">
        <v>912</v>
      </c>
      <c r="L15" s="12">
        <v>83.06</v>
      </c>
      <c r="M15" s="12">
        <v>43.03</v>
      </c>
      <c r="N15" s="12">
        <v>30</v>
      </c>
      <c r="O15" s="12">
        <v>24</v>
      </c>
      <c r="P15" s="28">
        <f t="shared" si="2"/>
        <v>46.230000000000004</v>
      </c>
      <c r="Q15" s="2">
        <v>8014.84</v>
      </c>
      <c r="R15" s="27">
        <v>13</v>
      </c>
      <c r="S15" s="27">
        <v>36000</v>
      </c>
      <c r="W15" s="27">
        <v>1905</v>
      </c>
      <c r="X15" s="27" t="s">
        <v>538</v>
      </c>
      <c r="Y15" s="1" t="s">
        <v>539</v>
      </c>
      <c r="Z15" s="27" t="s">
        <v>540</v>
      </c>
      <c r="AA15" s="27" t="s">
        <v>541</v>
      </c>
      <c r="AB15" s="27" t="s">
        <v>542</v>
      </c>
      <c r="AC15" s="1" t="s">
        <v>543</v>
      </c>
      <c r="AD15" s="1" t="s">
        <v>544</v>
      </c>
      <c r="AE15" s="1" t="s">
        <v>545</v>
      </c>
      <c r="AF15" s="4"/>
      <c r="AG15" s="4"/>
      <c r="AH15" s="4"/>
      <c r="AI15" s="4"/>
      <c r="AJ15" s="4"/>
      <c r="AK15" s="4"/>
    </row>
    <row r="16" spans="1:39" x14ac:dyDescent="0.25">
      <c r="A16" s="27" t="s">
        <v>1626</v>
      </c>
      <c r="B16" s="27" t="str">
        <f t="shared" si="0"/>
        <v>Virginia</v>
      </c>
      <c r="C16" s="27" t="str">
        <f t="shared" si="1"/>
        <v>Brunswick</v>
      </c>
      <c r="D16" s="2">
        <v>1584</v>
      </c>
      <c r="E16" s="2">
        <v>7</v>
      </c>
      <c r="F16" s="2">
        <v>51</v>
      </c>
      <c r="G16" s="2">
        <v>9</v>
      </c>
      <c r="H16" s="2">
        <v>27</v>
      </c>
      <c r="I16" s="2">
        <f t="shared" si="3"/>
        <v>94</v>
      </c>
      <c r="J16" s="27">
        <v>111</v>
      </c>
      <c r="K16" s="2">
        <v>3355</v>
      </c>
      <c r="L16" s="12">
        <v>28.28</v>
      </c>
      <c r="M16" s="12">
        <v>28.31</v>
      </c>
      <c r="N16" s="12">
        <v>21.05</v>
      </c>
      <c r="O16" s="12">
        <v>19.309999999999999</v>
      </c>
      <c r="P16" s="28">
        <f t="shared" si="2"/>
        <v>25.027553191489364</v>
      </c>
      <c r="Q16" s="2">
        <v>15905.6</v>
      </c>
      <c r="R16" s="27">
        <v>94</v>
      </c>
      <c r="S16" s="27">
        <v>6613.9</v>
      </c>
      <c r="T16" s="27">
        <v>14342</v>
      </c>
      <c r="V16" s="27">
        <f t="shared" si="4"/>
        <v>2.1684633877137545</v>
      </c>
      <c r="W16" s="27">
        <v>1905</v>
      </c>
      <c r="X16" s="27" t="s">
        <v>538</v>
      </c>
      <c r="Y16" s="1" t="s">
        <v>539</v>
      </c>
      <c r="Z16" s="27" t="s">
        <v>540</v>
      </c>
      <c r="AA16" s="27" t="s">
        <v>541</v>
      </c>
      <c r="AB16" s="27" t="s">
        <v>542</v>
      </c>
      <c r="AC16" s="1" t="s">
        <v>543</v>
      </c>
      <c r="AD16" s="1" t="s">
        <v>544</v>
      </c>
      <c r="AE16" s="1" t="s">
        <v>545</v>
      </c>
      <c r="AF16" s="4"/>
      <c r="AG16" s="4"/>
      <c r="AH16" s="4"/>
      <c r="AI16" s="4"/>
      <c r="AJ16" s="4"/>
      <c r="AK16" s="4"/>
    </row>
    <row r="17" spans="1:37" x14ac:dyDescent="0.25">
      <c r="A17" s="27" t="s">
        <v>1627</v>
      </c>
      <c r="B17" s="27" t="str">
        <f t="shared" si="0"/>
        <v>Virginia</v>
      </c>
      <c r="C17" s="27" t="str">
        <f t="shared" si="1"/>
        <v>Buchanan</v>
      </c>
      <c r="D17" s="2">
        <v>1300</v>
      </c>
      <c r="E17" s="2">
        <v>41</v>
      </c>
      <c r="F17" s="2">
        <v>20</v>
      </c>
      <c r="G17" s="2"/>
      <c r="H17" s="2"/>
      <c r="I17" s="2">
        <f t="shared" si="3"/>
        <v>61</v>
      </c>
      <c r="J17" s="27">
        <v>90</v>
      </c>
      <c r="K17" s="2">
        <v>2627</v>
      </c>
      <c r="L17" s="12">
        <v>33.93</v>
      </c>
      <c r="M17" s="12">
        <v>27.75</v>
      </c>
      <c r="P17" s="28">
        <f t="shared" si="2"/>
        <v>31.903770491803275</v>
      </c>
      <c r="Q17" s="2">
        <v>12571.63</v>
      </c>
      <c r="R17" s="27">
        <v>61</v>
      </c>
      <c r="S17" s="27">
        <v>13391.72</v>
      </c>
      <c r="T17" s="27">
        <v>12760</v>
      </c>
      <c r="V17" s="27">
        <f t="shared" si="4"/>
        <v>0.9528275680793804</v>
      </c>
      <c r="W17" s="27">
        <v>1905</v>
      </c>
      <c r="X17" s="27" t="s">
        <v>538</v>
      </c>
      <c r="Y17" s="1" t="s">
        <v>539</v>
      </c>
      <c r="Z17" s="27" t="s">
        <v>540</v>
      </c>
      <c r="AA17" s="27" t="s">
        <v>541</v>
      </c>
      <c r="AB17" s="27" t="s">
        <v>542</v>
      </c>
      <c r="AC17" s="1" t="s">
        <v>543</v>
      </c>
      <c r="AD17" s="1" t="s">
        <v>544</v>
      </c>
      <c r="AE17" s="1" t="s">
        <v>545</v>
      </c>
      <c r="AF17" s="4"/>
      <c r="AG17" s="4"/>
      <c r="AH17" s="4"/>
      <c r="AI17" s="4"/>
      <c r="AJ17" s="4"/>
      <c r="AK17" s="4"/>
    </row>
    <row r="18" spans="1:37" x14ac:dyDescent="0.25">
      <c r="A18" s="27" t="s">
        <v>1628</v>
      </c>
      <c r="B18" s="27" t="str">
        <f t="shared" si="0"/>
        <v>Virginia</v>
      </c>
      <c r="C18" s="27" t="str">
        <f t="shared" si="1"/>
        <v>Buckingham</v>
      </c>
      <c r="D18" s="2">
        <v>1353</v>
      </c>
      <c r="E18" s="2">
        <v>5</v>
      </c>
      <c r="F18" s="2">
        <v>48</v>
      </c>
      <c r="G18" s="2">
        <v>1</v>
      </c>
      <c r="H18" s="2">
        <v>23</v>
      </c>
      <c r="I18" s="2">
        <f t="shared" si="3"/>
        <v>77</v>
      </c>
      <c r="J18" s="27">
        <v>106</v>
      </c>
      <c r="K18" s="2">
        <v>2483</v>
      </c>
      <c r="L18" s="12">
        <v>35.46</v>
      </c>
      <c r="M18" s="12">
        <v>26.22</v>
      </c>
      <c r="N18" s="12">
        <v>30</v>
      </c>
      <c r="O18" s="12">
        <v>21</v>
      </c>
      <c r="P18" s="28">
        <f t="shared" si="2"/>
        <v>25.309870129870127</v>
      </c>
      <c r="Q18" s="2">
        <v>12984.39</v>
      </c>
      <c r="R18" s="27">
        <v>77</v>
      </c>
      <c r="S18" s="27">
        <v>7525</v>
      </c>
      <c r="T18" s="27">
        <v>12883</v>
      </c>
      <c r="V18" s="27">
        <f t="shared" si="4"/>
        <v>1.7120265780730897</v>
      </c>
      <c r="W18" s="27">
        <v>1905</v>
      </c>
      <c r="X18" s="27" t="s">
        <v>538</v>
      </c>
      <c r="Y18" s="1" t="s">
        <v>539</v>
      </c>
      <c r="Z18" s="27" t="s">
        <v>540</v>
      </c>
      <c r="AA18" s="27" t="s">
        <v>541</v>
      </c>
      <c r="AB18" s="27" t="s">
        <v>542</v>
      </c>
      <c r="AC18" s="1" t="s">
        <v>543</v>
      </c>
      <c r="AD18" s="1" t="s">
        <v>544</v>
      </c>
      <c r="AE18" s="1" t="s">
        <v>545</v>
      </c>
      <c r="AF18" s="4"/>
      <c r="AG18" s="4"/>
      <c r="AH18" s="4"/>
      <c r="AI18" s="4"/>
      <c r="AJ18" s="4"/>
      <c r="AK18" s="4"/>
    </row>
    <row r="19" spans="1:37" x14ac:dyDescent="0.25">
      <c r="A19" s="27" t="s">
        <v>1794</v>
      </c>
      <c r="B19" s="27" t="str">
        <f t="shared" si="0"/>
        <v>Virginia</v>
      </c>
      <c r="C19" s="27" t="str">
        <f t="shared" si="1"/>
        <v>Buena Vista</v>
      </c>
      <c r="D19" s="27">
        <v>261</v>
      </c>
      <c r="E19" s="2">
        <v>1</v>
      </c>
      <c r="F19" s="2">
        <v>7</v>
      </c>
      <c r="G19" s="2">
        <v>1</v>
      </c>
      <c r="I19" s="2">
        <f t="shared" si="3"/>
        <v>9</v>
      </c>
      <c r="J19" s="27">
        <v>174</v>
      </c>
      <c r="K19" s="27">
        <v>422</v>
      </c>
      <c r="L19" s="12">
        <v>60</v>
      </c>
      <c r="M19" s="12">
        <v>30</v>
      </c>
      <c r="N19" s="12">
        <v>30</v>
      </c>
      <c r="P19" s="28">
        <f t="shared" si="2"/>
        <v>33.333333333333336</v>
      </c>
      <c r="Q19" s="2">
        <v>3133.56</v>
      </c>
      <c r="R19" s="27">
        <v>9</v>
      </c>
      <c r="S19" s="27">
        <v>7945</v>
      </c>
      <c r="W19" s="27">
        <v>1905</v>
      </c>
      <c r="X19" s="27" t="s">
        <v>538</v>
      </c>
      <c r="Y19" s="1" t="s">
        <v>539</v>
      </c>
      <c r="Z19" s="27" t="s">
        <v>540</v>
      </c>
      <c r="AA19" s="27" t="s">
        <v>541</v>
      </c>
      <c r="AB19" s="27" t="s">
        <v>542</v>
      </c>
      <c r="AC19" s="1" t="s">
        <v>543</v>
      </c>
      <c r="AD19" s="1" t="s">
        <v>544</v>
      </c>
      <c r="AE19" s="1" t="s">
        <v>545</v>
      </c>
      <c r="AF19" s="4"/>
      <c r="AG19" s="4"/>
      <c r="AH19" s="4"/>
      <c r="AI19" s="4"/>
      <c r="AJ19" s="4"/>
      <c r="AK19" s="4"/>
    </row>
    <row r="20" spans="1:37" x14ac:dyDescent="0.25">
      <c r="A20" s="27" t="s">
        <v>1629</v>
      </c>
      <c r="B20" s="27" t="str">
        <f t="shared" si="0"/>
        <v>Virginia</v>
      </c>
      <c r="C20" s="27" t="str">
        <f t="shared" si="1"/>
        <v>Campbell</v>
      </c>
      <c r="D20" s="2">
        <v>2430</v>
      </c>
      <c r="E20" s="2">
        <v>6</v>
      </c>
      <c r="F20" s="2">
        <v>74</v>
      </c>
      <c r="G20" s="2">
        <v>13</v>
      </c>
      <c r="H20" s="2">
        <v>19</v>
      </c>
      <c r="I20" s="2">
        <f t="shared" si="3"/>
        <v>112</v>
      </c>
      <c r="J20" s="27">
        <v>121</v>
      </c>
      <c r="K20" s="2">
        <v>4490</v>
      </c>
      <c r="L20" s="12">
        <v>41</v>
      </c>
      <c r="M20" s="12">
        <v>28.64</v>
      </c>
      <c r="N20" s="12">
        <v>25.77</v>
      </c>
      <c r="O20" s="12">
        <v>22.94</v>
      </c>
      <c r="P20" s="28">
        <f t="shared" si="2"/>
        <v>28.002053571428572</v>
      </c>
      <c r="Q20" s="2">
        <v>24221.25</v>
      </c>
      <c r="R20" s="27">
        <v>112</v>
      </c>
      <c r="S20" s="27">
        <v>35721</v>
      </c>
      <c r="T20" s="27">
        <v>23076</v>
      </c>
      <c r="V20" s="27">
        <f t="shared" si="4"/>
        <v>0.64600655076845548</v>
      </c>
      <c r="W20" s="27">
        <v>1905</v>
      </c>
      <c r="X20" s="27" t="s">
        <v>538</v>
      </c>
      <c r="Y20" s="1" t="s">
        <v>539</v>
      </c>
      <c r="Z20" s="27" t="s">
        <v>540</v>
      </c>
      <c r="AA20" s="27" t="s">
        <v>541</v>
      </c>
      <c r="AB20" s="27" t="s">
        <v>542</v>
      </c>
      <c r="AC20" s="1" t="s">
        <v>543</v>
      </c>
      <c r="AD20" s="1" t="s">
        <v>544</v>
      </c>
      <c r="AE20" s="1" t="s">
        <v>545</v>
      </c>
      <c r="AF20" s="4"/>
      <c r="AG20" s="4"/>
      <c r="AH20" s="4"/>
      <c r="AI20" s="4"/>
      <c r="AJ20" s="4"/>
      <c r="AK20" s="4"/>
    </row>
    <row r="21" spans="1:37" x14ac:dyDescent="0.25">
      <c r="A21" s="27" t="s">
        <v>1630</v>
      </c>
      <c r="B21" s="27" t="str">
        <f t="shared" si="0"/>
        <v>Virginia</v>
      </c>
      <c r="C21" s="27" t="str">
        <f t="shared" si="1"/>
        <v>Caroline</v>
      </c>
      <c r="D21" s="2">
        <v>1775</v>
      </c>
      <c r="E21" s="2">
        <v>4</v>
      </c>
      <c r="F21" s="2">
        <v>45</v>
      </c>
      <c r="G21" s="2">
        <v>4</v>
      </c>
      <c r="H21" s="2">
        <v>27</v>
      </c>
      <c r="I21" s="2">
        <f t="shared" si="3"/>
        <v>80</v>
      </c>
      <c r="J21" s="27">
        <v>128</v>
      </c>
      <c r="K21" s="2">
        <v>3104</v>
      </c>
      <c r="L21" s="12">
        <v>24.5</v>
      </c>
      <c r="M21" s="12">
        <v>24.31</v>
      </c>
      <c r="N21" s="12">
        <v>20.329999999999998</v>
      </c>
      <c r="O21" s="12">
        <v>21.31</v>
      </c>
      <c r="P21" s="28">
        <f t="shared" si="2"/>
        <v>23.107999999999997</v>
      </c>
      <c r="Q21" s="2">
        <v>13297.02</v>
      </c>
      <c r="R21" s="27">
        <v>80</v>
      </c>
      <c r="S21" s="27">
        <v>12300</v>
      </c>
      <c r="T21" s="27">
        <v>13020</v>
      </c>
      <c r="V21" s="27">
        <f t="shared" si="4"/>
        <v>1.0585365853658537</v>
      </c>
      <c r="W21" s="27">
        <v>1905</v>
      </c>
      <c r="X21" s="27" t="s">
        <v>538</v>
      </c>
      <c r="Y21" s="1" t="s">
        <v>539</v>
      </c>
      <c r="Z21" s="27" t="s">
        <v>540</v>
      </c>
      <c r="AA21" s="27" t="s">
        <v>541</v>
      </c>
      <c r="AB21" s="27" t="s">
        <v>542</v>
      </c>
      <c r="AC21" s="1" t="s">
        <v>543</v>
      </c>
      <c r="AD21" s="1" t="s">
        <v>544</v>
      </c>
      <c r="AE21" s="1" t="s">
        <v>545</v>
      </c>
      <c r="AF21" s="4"/>
      <c r="AG21" s="4"/>
      <c r="AH21" s="4"/>
      <c r="AI21" s="4"/>
      <c r="AJ21" s="4"/>
      <c r="AK21" s="4"/>
    </row>
    <row r="22" spans="1:37" x14ac:dyDescent="0.25">
      <c r="A22" s="27" t="s">
        <v>1631</v>
      </c>
      <c r="B22" s="27" t="str">
        <f t="shared" si="0"/>
        <v>Virginia</v>
      </c>
      <c r="C22" s="27" t="str">
        <f t="shared" si="1"/>
        <v>Carroll</v>
      </c>
      <c r="D22" s="2">
        <v>3052</v>
      </c>
      <c r="E22" s="2">
        <v>65</v>
      </c>
      <c r="F22" s="2">
        <v>42</v>
      </c>
      <c r="G22" s="2"/>
      <c r="H22" s="2">
        <v>1</v>
      </c>
      <c r="I22" s="2">
        <f t="shared" si="3"/>
        <v>108</v>
      </c>
      <c r="J22" s="27">
        <v>94</v>
      </c>
      <c r="K22" s="2">
        <v>5473</v>
      </c>
      <c r="L22" s="12">
        <v>24.56</v>
      </c>
      <c r="M22" s="12">
        <v>20</v>
      </c>
      <c r="O22" s="12">
        <v>19</v>
      </c>
      <c r="P22" s="28">
        <f t="shared" si="2"/>
        <v>22.735185185185181</v>
      </c>
      <c r="Q22" s="2">
        <v>12633.95</v>
      </c>
      <c r="R22" s="27">
        <v>110</v>
      </c>
      <c r="S22" s="27">
        <v>10038</v>
      </c>
      <c r="T22" s="27">
        <v>12546</v>
      </c>
      <c r="V22" s="27">
        <f t="shared" si="4"/>
        <v>1.2498505678421996</v>
      </c>
      <c r="W22" s="27">
        <v>1905</v>
      </c>
      <c r="X22" s="27" t="s">
        <v>538</v>
      </c>
      <c r="Y22" s="1" t="s">
        <v>539</v>
      </c>
      <c r="Z22" s="27" t="s">
        <v>540</v>
      </c>
      <c r="AA22" s="27" t="s">
        <v>541</v>
      </c>
      <c r="AB22" s="27" t="s">
        <v>542</v>
      </c>
      <c r="AC22" s="1" t="s">
        <v>543</v>
      </c>
      <c r="AD22" s="1" t="s">
        <v>544</v>
      </c>
      <c r="AE22" s="1" t="s">
        <v>545</v>
      </c>
      <c r="AF22" s="4"/>
      <c r="AG22" s="4"/>
      <c r="AH22" s="4"/>
      <c r="AI22" s="4"/>
      <c r="AJ22" s="4"/>
      <c r="AK22" s="4"/>
    </row>
    <row r="23" spans="1:37" x14ac:dyDescent="0.25">
      <c r="A23" s="27" t="s">
        <v>1632</v>
      </c>
      <c r="B23" s="27" t="str">
        <f t="shared" si="0"/>
        <v>Virginia</v>
      </c>
      <c r="C23" s="27" t="str">
        <f t="shared" si="1"/>
        <v>Charles City</v>
      </c>
      <c r="D23" s="27">
        <v>455</v>
      </c>
      <c r="F23" s="2">
        <v>14</v>
      </c>
      <c r="G23" s="2">
        <v>5</v>
      </c>
      <c r="H23" s="2">
        <v>7</v>
      </c>
      <c r="I23" s="2">
        <f t="shared" si="3"/>
        <v>26</v>
      </c>
      <c r="J23" s="27">
        <v>129</v>
      </c>
      <c r="K23" s="27">
        <v>860</v>
      </c>
      <c r="M23" s="12">
        <v>25</v>
      </c>
      <c r="N23" s="12">
        <v>25</v>
      </c>
      <c r="O23" s="12">
        <v>25</v>
      </c>
      <c r="P23" s="28">
        <f t="shared" si="2"/>
        <v>25</v>
      </c>
      <c r="Q23" s="2">
        <v>4909.91</v>
      </c>
      <c r="R23" s="27">
        <v>26</v>
      </c>
      <c r="S23" s="27">
        <v>3400</v>
      </c>
      <c r="T23" s="27">
        <v>3211</v>
      </c>
      <c r="V23" s="27">
        <f t="shared" si="4"/>
        <v>0.94441176470588239</v>
      </c>
      <c r="W23" s="27">
        <v>1905</v>
      </c>
      <c r="X23" s="27" t="s">
        <v>538</v>
      </c>
      <c r="Y23" s="1" t="s">
        <v>539</v>
      </c>
      <c r="Z23" s="27" t="s">
        <v>540</v>
      </c>
      <c r="AA23" s="27" t="s">
        <v>541</v>
      </c>
      <c r="AB23" s="27" t="s">
        <v>542</v>
      </c>
      <c r="AC23" s="1" t="s">
        <v>543</v>
      </c>
      <c r="AD23" s="1" t="s">
        <v>544</v>
      </c>
      <c r="AE23" s="1" t="s">
        <v>545</v>
      </c>
      <c r="AF23" s="4"/>
      <c r="AG23" s="4"/>
      <c r="AH23" s="4"/>
      <c r="AI23" s="4"/>
      <c r="AJ23" s="4"/>
      <c r="AK23" s="4"/>
    </row>
    <row r="24" spans="1:37" x14ac:dyDescent="0.25">
      <c r="A24" s="27" t="s">
        <v>1633</v>
      </c>
      <c r="B24" s="27" t="str">
        <f t="shared" si="0"/>
        <v>Virginia</v>
      </c>
      <c r="C24" s="27" t="str">
        <f t="shared" si="1"/>
        <v>Charlotte</v>
      </c>
      <c r="D24" s="2">
        <v>1701</v>
      </c>
      <c r="E24" s="2">
        <v>3</v>
      </c>
      <c r="F24" s="2">
        <v>55</v>
      </c>
      <c r="G24" s="2">
        <v>15</v>
      </c>
      <c r="H24" s="2">
        <v>15</v>
      </c>
      <c r="I24" s="2">
        <f t="shared" si="3"/>
        <v>88</v>
      </c>
      <c r="J24" s="27">
        <v>105</v>
      </c>
      <c r="K24" s="2">
        <v>3091</v>
      </c>
      <c r="L24" s="12">
        <v>40.78</v>
      </c>
      <c r="M24" s="12">
        <v>25.53</v>
      </c>
      <c r="N24" s="12">
        <v>20.55</v>
      </c>
      <c r="O24" s="12">
        <v>18.61</v>
      </c>
      <c r="P24" s="28">
        <f t="shared" si="2"/>
        <v>24.021477272727271</v>
      </c>
      <c r="Q24" s="2">
        <v>9807.0499999999993</v>
      </c>
      <c r="R24" s="27">
        <v>88</v>
      </c>
      <c r="S24" s="27">
        <v>26515</v>
      </c>
      <c r="T24" s="27">
        <v>14880</v>
      </c>
      <c r="V24" s="27">
        <f t="shared" si="4"/>
        <v>0.56119177823873279</v>
      </c>
      <c r="W24" s="27">
        <v>1905</v>
      </c>
      <c r="X24" s="27" t="s">
        <v>538</v>
      </c>
      <c r="Y24" s="1" t="s">
        <v>539</v>
      </c>
      <c r="Z24" s="27" t="s">
        <v>540</v>
      </c>
      <c r="AA24" s="27" t="s">
        <v>541</v>
      </c>
      <c r="AB24" s="27" t="s">
        <v>542</v>
      </c>
      <c r="AC24" s="1" t="s">
        <v>543</v>
      </c>
      <c r="AD24" s="1" t="s">
        <v>544</v>
      </c>
      <c r="AE24" s="1" t="s">
        <v>545</v>
      </c>
      <c r="AF24" s="4"/>
      <c r="AG24" s="4"/>
      <c r="AH24" s="4"/>
      <c r="AI24" s="4"/>
      <c r="AJ24" s="4"/>
      <c r="AK24" s="4"/>
    </row>
    <row r="25" spans="1:37" x14ac:dyDescent="0.25">
      <c r="A25" s="27" t="s">
        <v>1724</v>
      </c>
      <c r="B25" s="27" t="str">
        <f t="shared" si="0"/>
        <v>Virginia</v>
      </c>
      <c r="C25" s="27" t="str">
        <f t="shared" si="1"/>
        <v>Charlottesville</v>
      </c>
      <c r="D25" s="2">
        <v>1353</v>
      </c>
      <c r="E25" s="2">
        <v>2</v>
      </c>
      <c r="F25" s="2">
        <v>23</v>
      </c>
      <c r="G25" s="2">
        <v>4</v>
      </c>
      <c r="H25" s="2">
        <v>4</v>
      </c>
      <c r="I25" s="2">
        <f t="shared" si="3"/>
        <v>33</v>
      </c>
      <c r="J25" s="27">
        <v>182</v>
      </c>
      <c r="K25" s="2">
        <v>1719</v>
      </c>
      <c r="L25" s="12">
        <v>105.83</v>
      </c>
      <c r="M25" s="12">
        <v>34.979999999999997</v>
      </c>
      <c r="N25" s="12">
        <v>35.409999999999997</v>
      </c>
      <c r="O25" s="12">
        <v>23.02</v>
      </c>
      <c r="P25" s="28">
        <f t="shared" si="2"/>
        <v>37.876363636363635</v>
      </c>
      <c r="Q25" s="2">
        <v>18915.61</v>
      </c>
      <c r="R25" s="27">
        <v>33</v>
      </c>
      <c r="S25" s="27">
        <v>60000</v>
      </c>
      <c r="W25" s="27">
        <v>1905</v>
      </c>
      <c r="X25" s="27" t="s">
        <v>538</v>
      </c>
      <c r="Y25" s="1" t="s">
        <v>539</v>
      </c>
      <c r="Z25" s="27" t="s">
        <v>540</v>
      </c>
      <c r="AA25" s="27" t="s">
        <v>541</v>
      </c>
      <c r="AB25" s="27" t="s">
        <v>542</v>
      </c>
      <c r="AC25" s="1" t="s">
        <v>543</v>
      </c>
      <c r="AD25" s="1" t="s">
        <v>544</v>
      </c>
      <c r="AE25" s="1" t="s">
        <v>545</v>
      </c>
      <c r="AF25" s="4"/>
      <c r="AG25" s="4"/>
      <c r="AH25" s="4"/>
      <c r="AI25" s="4"/>
      <c r="AJ25" s="4"/>
      <c r="AK25" s="4"/>
    </row>
    <row r="26" spans="1:37" x14ac:dyDescent="0.25">
      <c r="A26" s="27" t="s">
        <v>1634</v>
      </c>
      <c r="B26" s="27" t="str">
        <f t="shared" si="0"/>
        <v>Virginia</v>
      </c>
      <c r="C26" s="27" t="str">
        <f t="shared" si="1"/>
        <v>Chesterfield</v>
      </c>
      <c r="D26" s="2">
        <v>1883</v>
      </c>
      <c r="E26" s="2">
        <v>2</v>
      </c>
      <c r="F26" s="2">
        <v>58</v>
      </c>
      <c r="G26" s="2">
        <v>1</v>
      </c>
      <c r="H26" s="2">
        <v>28</v>
      </c>
      <c r="I26" s="2">
        <f t="shared" si="3"/>
        <v>89</v>
      </c>
      <c r="J26" s="27">
        <v>132</v>
      </c>
      <c r="K26" s="2">
        <v>3116</v>
      </c>
      <c r="L26" s="12">
        <v>30</v>
      </c>
      <c r="M26" s="12">
        <v>29.41</v>
      </c>
      <c r="N26" s="12">
        <v>25</v>
      </c>
      <c r="O26" s="12">
        <v>24.72</v>
      </c>
      <c r="P26" s="28">
        <f t="shared" si="2"/>
        <v>27.898202247191012</v>
      </c>
      <c r="Q26" s="2">
        <v>21251.279999999999</v>
      </c>
      <c r="R26" s="27">
        <v>89</v>
      </c>
      <c r="S26" s="27">
        <v>29000</v>
      </c>
      <c r="T26" s="27">
        <v>14181</v>
      </c>
      <c r="U26" s="27">
        <v>1550</v>
      </c>
      <c r="V26" s="27">
        <f t="shared" si="4"/>
        <v>0.54244827586206901</v>
      </c>
      <c r="W26" s="27">
        <v>1905</v>
      </c>
      <c r="X26" s="27" t="s">
        <v>538</v>
      </c>
      <c r="Y26" s="1" t="s">
        <v>539</v>
      </c>
      <c r="Z26" s="27" t="s">
        <v>540</v>
      </c>
      <c r="AA26" s="27" t="s">
        <v>541</v>
      </c>
      <c r="AB26" s="27" t="s">
        <v>542</v>
      </c>
      <c r="AC26" s="1" t="s">
        <v>543</v>
      </c>
      <c r="AD26" s="1" t="s">
        <v>544</v>
      </c>
      <c r="AE26" s="1" t="s">
        <v>545</v>
      </c>
      <c r="AF26" s="4"/>
      <c r="AG26" s="4"/>
      <c r="AH26" s="4"/>
      <c r="AI26" s="4"/>
      <c r="AJ26" s="4"/>
      <c r="AK26" s="4"/>
    </row>
    <row r="27" spans="1:37" x14ac:dyDescent="0.25">
      <c r="A27" s="27" t="s">
        <v>1635</v>
      </c>
      <c r="B27" s="27" t="str">
        <f t="shared" si="0"/>
        <v>Virginia</v>
      </c>
      <c r="C27" s="27" t="str">
        <f t="shared" si="1"/>
        <v>Clarke</v>
      </c>
      <c r="D27" s="27">
        <v>746</v>
      </c>
      <c r="E27" s="2">
        <v>8</v>
      </c>
      <c r="F27" s="2">
        <v>22</v>
      </c>
      <c r="G27" s="2">
        <v>4</v>
      </c>
      <c r="H27" s="2">
        <v>7</v>
      </c>
      <c r="I27" s="2">
        <f t="shared" si="3"/>
        <v>41</v>
      </c>
      <c r="J27" s="27">
        <v>124</v>
      </c>
      <c r="K27" s="2">
        <v>1381</v>
      </c>
      <c r="L27" s="12">
        <v>29.62</v>
      </c>
      <c r="M27" s="12">
        <v>25.25</v>
      </c>
      <c r="N27" s="12">
        <v>27.5</v>
      </c>
      <c r="O27" s="12">
        <v>24.57</v>
      </c>
      <c r="P27" s="28">
        <f t="shared" si="2"/>
        <v>26.206097560975611</v>
      </c>
      <c r="Q27" s="2">
        <v>10437.1</v>
      </c>
      <c r="R27" s="27">
        <v>41</v>
      </c>
      <c r="S27" s="27">
        <v>24123</v>
      </c>
      <c r="T27" s="27">
        <v>9425</v>
      </c>
      <c r="V27" s="27">
        <f t="shared" si="4"/>
        <v>0.3907059652613688</v>
      </c>
      <c r="W27" s="27">
        <v>1905</v>
      </c>
      <c r="X27" s="27" t="s">
        <v>538</v>
      </c>
      <c r="Y27" s="1" t="s">
        <v>539</v>
      </c>
      <c r="Z27" s="27" t="s">
        <v>540</v>
      </c>
      <c r="AA27" s="27" t="s">
        <v>541</v>
      </c>
      <c r="AB27" s="27" t="s">
        <v>542</v>
      </c>
      <c r="AC27" s="1" t="s">
        <v>543</v>
      </c>
      <c r="AD27" s="1" t="s">
        <v>544</v>
      </c>
      <c r="AE27" s="1" t="s">
        <v>545</v>
      </c>
      <c r="AF27" s="4"/>
      <c r="AG27" s="4"/>
      <c r="AH27" s="4"/>
      <c r="AI27" s="4"/>
      <c r="AJ27" s="4"/>
      <c r="AK27" s="4"/>
    </row>
    <row r="28" spans="1:37" x14ac:dyDescent="0.25">
      <c r="A28" s="27" t="s">
        <v>1636</v>
      </c>
      <c r="B28" s="27" t="str">
        <f t="shared" si="0"/>
        <v>Virginia</v>
      </c>
      <c r="C28" s="27" t="str">
        <f t="shared" si="1"/>
        <v>Craig</v>
      </c>
      <c r="D28" s="27">
        <v>646</v>
      </c>
      <c r="E28" s="2">
        <v>12</v>
      </c>
      <c r="F28" s="2">
        <v>19</v>
      </c>
      <c r="G28" s="2">
        <v>1</v>
      </c>
      <c r="I28" s="2">
        <f t="shared" si="3"/>
        <v>32</v>
      </c>
      <c r="J28" s="27">
        <v>92</v>
      </c>
      <c r="K28" s="27">
        <v>980</v>
      </c>
      <c r="L28" s="12">
        <v>28.66</v>
      </c>
      <c r="M28" s="12">
        <v>25.17</v>
      </c>
      <c r="N28" s="12">
        <v>15</v>
      </c>
      <c r="P28" s="28">
        <f t="shared" si="2"/>
        <v>26.160937500000003</v>
      </c>
      <c r="Q28" s="2">
        <v>5165.37</v>
      </c>
      <c r="R28" s="27">
        <v>32</v>
      </c>
      <c r="S28" s="27">
        <v>10000</v>
      </c>
      <c r="T28" s="27">
        <v>4402</v>
      </c>
      <c r="V28" s="27">
        <f t="shared" si="4"/>
        <v>0.44019999999999998</v>
      </c>
      <c r="W28" s="27">
        <v>1905</v>
      </c>
      <c r="X28" s="27" t="s">
        <v>538</v>
      </c>
      <c r="Y28" s="1" t="s">
        <v>539</v>
      </c>
      <c r="Z28" s="27" t="s">
        <v>540</v>
      </c>
      <c r="AA28" s="27" t="s">
        <v>541</v>
      </c>
      <c r="AB28" s="27" t="s">
        <v>542</v>
      </c>
      <c r="AC28" s="1" t="s">
        <v>543</v>
      </c>
      <c r="AD28" s="1" t="s">
        <v>544</v>
      </c>
      <c r="AE28" s="1" t="s">
        <v>545</v>
      </c>
      <c r="AF28" s="4"/>
      <c r="AG28" s="4"/>
      <c r="AH28" s="4"/>
      <c r="AI28" s="4"/>
      <c r="AJ28" s="4"/>
      <c r="AK28" s="4"/>
    </row>
    <row r="29" spans="1:37" x14ac:dyDescent="0.25">
      <c r="A29" s="27" t="s">
        <v>1637</v>
      </c>
      <c r="B29" s="27" t="str">
        <f t="shared" si="0"/>
        <v>Virginia</v>
      </c>
      <c r="C29" s="27" t="str">
        <f t="shared" si="1"/>
        <v>Culpeper</v>
      </c>
      <c r="D29" s="2">
        <v>1486</v>
      </c>
      <c r="E29" s="2">
        <v>3</v>
      </c>
      <c r="F29" s="2">
        <v>47</v>
      </c>
      <c r="G29" s="2">
        <v>12</v>
      </c>
      <c r="H29" s="2">
        <v>19</v>
      </c>
      <c r="I29" s="2">
        <f t="shared" si="3"/>
        <v>81</v>
      </c>
      <c r="J29" s="27">
        <v>121</v>
      </c>
      <c r="K29" s="2">
        <v>2559</v>
      </c>
      <c r="L29" s="12">
        <v>40.5</v>
      </c>
      <c r="M29" s="12">
        <v>25.73</v>
      </c>
      <c r="N29" s="12">
        <v>26.38</v>
      </c>
      <c r="O29" s="12">
        <v>22.11</v>
      </c>
      <c r="P29" s="28">
        <f t="shared" si="2"/>
        <v>25.5241975308642</v>
      </c>
      <c r="Q29" s="2">
        <v>17232.04</v>
      </c>
      <c r="R29" s="27">
        <v>81</v>
      </c>
      <c r="S29" s="27">
        <v>31187.72</v>
      </c>
      <c r="T29" s="27">
        <v>15285</v>
      </c>
      <c r="V29" s="27">
        <f t="shared" si="4"/>
        <v>0.49009674320533847</v>
      </c>
      <c r="W29" s="27">
        <v>1905</v>
      </c>
      <c r="X29" s="27" t="s">
        <v>538</v>
      </c>
      <c r="Y29" s="1" t="s">
        <v>539</v>
      </c>
      <c r="Z29" s="27" t="s">
        <v>540</v>
      </c>
      <c r="AA29" s="27" t="s">
        <v>541</v>
      </c>
      <c r="AB29" s="27" t="s">
        <v>542</v>
      </c>
      <c r="AC29" s="1" t="s">
        <v>543</v>
      </c>
      <c r="AD29" s="1" t="s">
        <v>544</v>
      </c>
      <c r="AE29" s="1" t="s">
        <v>545</v>
      </c>
      <c r="AF29" s="4"/>
      <c r="AG29" s="4"/>
      <c r="AH29" s="4"/>
      <c r="AI29" s="4"/>
      <c r="AJ29" s="4"/>
      <c r="AK29" s="4"/>
    </row>
    <row r="30" spans="1:37" x14ac:dyDescent="0.25">
      <c r="A30" s="27" t="s">
        <v>1638</v>
      </c>
      <c r="B30" s="27" t="str">
        <f t="shared" si="0"/>
        <v>Virginia</v>
      </c>
      <c r="C30" s="27" t="str">
        <f t="shared" si="1"/>
        <v>Cumberland</v>
      </c>
      <c r="D30" s="27">
        <v>815</v>
      </c>
      <c r="E30" s="2">
        <v>1</v>
      </c>
      <c r="F30" s="2">
        <v>21</v>
      </c>
      <c r="G30" s="2">
        <v>6</v>
      </c>
      <c r="H30" s="2">
        <v>13</v>
      </c>
      <c r="I30" s="2">
        <f t="shared" si="3"/>
        <v>41</v>
      </c>
      <c r="J30" s="27">
        <v>120</v>
      </c>
      <c r="K30" s="2">
        <v>1537</v>
      </c>
      <c r="L30" s="12">
        <v>30</v>
      </c>
      <c r="M30" s="12">
        <v>27.38</v>
      </c>
      <c r="N30" s="12">
        <v>20</v>
      </c>
      <c r="O30" s="12">
        <v>19.38</v>
      </c>
      <c r="P30" s="28">
        <f t="shared" si="2"/>
        <v>23.827317073170732</v>
      </c>
      <c r="Q30" s="2">
        <v>7196.81</v>
      </c>
      <c r="R30" s="27">
        <v>41</v>
      </c>
      <c r="S30" s="27">
        <v>12600</v>
      </c>
      <c r="T30" s="27">
        <v>6494</v>
      </c>
      <c r="V30" s="27">
        <f t="shared" si="4"/>
        <v>0.51539682539682541</v>
      </c>
      <c r="W30" s="27">
        <v>1905</v>
      </c>
      <c r="X30" s="27" t="s">
        <v>538</v>
      </c>
      <c r="Y30" s="1" t="s">
        <v>539</v>
      </c>
      <c r="Z30" s="27" t="s">
        <v>540</v>
      </c>
      <c r="AA30" s="27" t="s">
        <v>541</v>
      </c>
      <c r="AB30" s="27" t="s">
        <v>542</v>
      </c>
      <c r="AC30" s="1" t="s">
        <v>543</v>
      </c>
      <c r="AD30" s="1" t="s">
        <v>544</v>
      </c>
      <c r="AE30" s="1" t="s">
        <v>545</v>
      </c>
      <c r="AF30" s="4"/>
      <c r="AG30" s="4"/>
      <c r="AH30" s="4"/>
      <c r="AI30" s="4"/>
      <c r="AJ30" s="4"/>
      <c r="AK30" s="4"/>
    </row>
    <row r="31" spans="1:37" x14ac:dyDescent="0.25">
      <c r="A31" s="27" t="s">
        <v>1726</v>
      </c>
      <c r="B31" s="27" t="str">
        <f t="shared" si="0"/>
        <v>Virginia</v>
      </c>
      <c r="C31" s="27" t="str">
        <f t="shared" si="1"/>
        <v>Danville</v>
      </c>
      <c r="D31" s="2">
        <v>1858</v>
      </c>
      <c r="E31" s="2">
        <v>3</v>
      </c>
      <c r="F31" s="2">
        <v>36</v>
      </c>
      <c r="G31" s="2">
        <v>3</v>
      </c>
      <c r="H31" s="2">
        <v>14</v>
      </c>
      <c r="I31" s="2">
        <f t="shared" si="3"/>
        <v>56</v>
      </c>
      <c r="J31" s="27">
        <v>176</v>
      </c>
      <c r="K31" s="2">
        <v>2627</v>
      </c>
      <c r="L31" s="12">
        <v>96.84</v>
      </c>
      <c r="M31" s="12">
        <v>43</v>
      </c>
      <c r="N31" s="12">
        <v>43.33</v>
      </c>
      <c r="O31" s="12">
        <v>30</v>
      </c>
      <c r="P31" s="28">
        <f t="shared" si="2"/>
        <v>42.651964285714293</v>
      </c>
      <c r="Q31" s="2">
        <v>24643.77</v>
      </c>
      <c r="R31" s="27">
        <v>55</v>
      </c>
      <c r="S31" s="27">
        <v>49000</v>
      </c>
      <c r="W31" s="27">
        <v>1905</v>
      </c>
      <c r="X31" s="27" t="s">
        <v>538</v>
      </c>
      <c r="Y31" s="1" t="s">
        <v>539</v>
      </c>
      <c r="Z31" s="27" t="s">
        <v>540</v>
      </c>
      <c r="AA31" s="27" t="s">
        <v>541</v>
      </c>
      <c r="AB31" s="27" t="s">
        <v>542</v>
      </c>
      <c r="AC31" s="1" t="s">
        <v>543</v>
      </c>
      <c r="AD31" s="1" t="s">
        <v>544</v>
      </c>
      <c r="AE31" s="1" t="s">
        <v>545</v>
      </c>
      <c r="AF31" s="4"/>
      <c r="AG31" s="4"/>
      <c r="AH31" s="4"/>
      <c r="AI31" s="4"/>
      <c r="AJ31" s="4"/>
      <c r="AK31" s="4"/>
    </row>
    <row r="32" spans="1:37" x14ac:dyDescent="0.25">
      <c r="A32" s="27" t="s">
        <v>1639</v>
      </c>
      <c r="B32" s="27" t="str">
        <f t="shared" si="0"/>
        <v>Virginia</v>
      </c>
      <c r="C32" s="27" t="str">
        <f t="shared" si="1"/>
        <v>Dickenson</v>
      </c>
      <c r="D32" s="2">
        <v>1118</v>
      </c>
      <c r="E32" s="2">
        <v>28</v>
      </c>
      <c r="F32" s="2">
        <v>7</v>
      </c>
      <c r="G32" s="2"/>
      <c r="H32" s="2"/>
      <c r="I32" s="2">
        <f t="shared" si="3"/>
        <v>35</v>
      </c>
      <c r="J32" s="27">
        <v>92</v>
      </c>
      <c r="K32" s="2">
        <v>238</v>
      </c>
      <c r="L32" s="12">
        <v>36.049999999999997</v>
      </c>
      <c r="M32" s="12">
        <v>29.9</v>
      </c>
      <c r="P32" s="28">
        <f t="shared" si="2"/>
        <v>34.819999999999993</v>
      </c>
      <c r="Q32" s="2">
        <v>6222.94</v>
      </c>
      <c r="R32" s="27">
        <v>35</v>
      </c>
      <c r="S32" s="27">
        <v>15400</v>
      </c>
      <c r="T32" s="27">
        <v>7117</v>
      </c>
      <c r="V32" s="27">
        <f t="shared" si="4"/>
        <v>0.46214285714285713</v>
      </c>
      <c r="W32" s="27">
        <v>1905</v>
      </c>
      <c r="X32" s="27" t="s">
        <v>538</v>
      </c>
      <c r="Y32" s="1" t="s">
        <v>539</v>
      </c>
      <c r="Z32" s="27" t="s">
        <v>540</v>
      </c>
      <c r="AA32" s="27" t="s">
        <v>541</v>
      </c>
      <c r="AB32" s="27" t="s">
        <v>542</v>
      </c>
      <c r="AC32" s="1" t="s">
        <v>543</v>
      </c>
      <c r="AD32" s="1" t="s">
        <v>544</v>
      </c>
      <c r="AE32" s="1" t="s">
        <v>545</v>
      </c>
      <c r="AF32" s="4"/>
      <c r="AG32" s="4"/>
      <c r="AH32" s="4"/>
      <c r="AI32" s="4"/>
      <c r="AJ32" s="4"/>
      <c r="AK32" s="4"/>
    </row>
    <row r="33" spans="1:37" x14ac:dyDescent="0.25">
      <c r="A33" s="27" t="s">
        <v>1640</v>
      </c>
      <c r="B33" s="27" t="str">
        <f t="shared" si="0"/>
        <v>Virginia</v>
      </c>
      <c r="C33" s="27" t="str">
        <f t="shared" si="1"/>
        <v>Dinwiddie</v>
      </c>
      <c r="D33" s="2">
        <v>1330</v>
      </c>
      <c r="E33" s="2">
        <v>5</v>
      </c>
      <c r="F33" s="2">
        <v>48</v>
      </c>
      <c r="G33" s="2">
        <v>6</v>
      </c>
      <c r="H33" s="2">
        <v>20</v>
      </c>
      <c r="I33" s="2">
        <f t="shared" si="3"/>
        <v>79</v>
      </c>
      <c r="J33" s="27">
        <v>122</v>
      </c>
      <c r="K33" s="2">
        <v>2501</v>
      </c>
      <c r="L33" s="12">
        <v>30</v>
      </c>
      <c r="M33" s="12">
        <v>28.02</v>
      </c>
      <c r="N33" s="12">
        <v>22.64</v>
      </c>
      <c r="O33" s="12">
        <v>21.88</v>
      </c>
      <c r="P33" s="28">
        <f t="shared" si="2"/>
        <v>26.182278481012659</v>
      </c>
      <c r="Q33" s="2">
        <v>13724.14</v>
      </c>
      <c r="R33" s="27">
        <v>79</v>
      </c>
      <c r="S33" s="27">
        <v>8200</v>
      </c>
      <c r="T33" s="27">
        <v>9898</v>
      </c>
      <c r="U33" s="27">
        <v>1585</v>
      </c>
      <c r="V33" s="27">
        <f t="shared" si="4"/>
        <v>1.4003658536585366</v>
      </c>
      <c r="W33" s="27">
        <v>1905</v>
      </c>
      <c r="X33" s="27" t="s">
        <v>538</v>
      </c>
      <c r="Y33" s="1" t="s">
        <v>539</v>
      </c>
      <c r="Z33" s="27" t="s">
        <v>540</v>
      </c>
      <c r="AA33" s="27" t="s">
        <v>541</v>
      </c>
      <c r="AB33" s="27" t="s">
        <v>542</v>
      </c>
      <c r="AC33" s="1" t="s">
        <v>543</v>
      </c>
      <c r="AD33" s="1" t="s">
        <v>544</v>
      </c>
      <c r="AE33" s="1" t="s">
        <v>545</v>
      </c>
      <c r="AF33" s="4"/>
      <c r="AG33" s="4"/>
      <c r="AH33" s="4"/>
      <c r="AI33" s="4"/>
      <c r="AJ33" s="4"/>
      <c r="AK33" s="4"/>
    </row>
    <row r="34" spans="1:37" x14ac:dyDescent="0.25">
      <c r="A34" s="27" t="s">
        <v>1641</v>
      </c>
      <c r="B34" s="27" t="str">
        <f t="shared" si="0"/>
        <v>Virginia</v>
      </c>
      <c r="C34" s="27" t="str">
        <f t="shared" si="1"/>
        <v>Elizabeth City</v>
      </c>
      <c r="D34" s="2">
        <v>1918</v>
      </c>
      <c r="E34" s="2">
        <v>4</v>
      </c>
      <c r="F34" s="2">
        <v>37</v>
      </c>
      <c r="G34" s="2">
        <v>2</v>
      </c>
      <c r="H34" s="2">
        <v>20</v>
      </c>
      <c r="I34" s="2">
        <f t="shared" si="3"/>
        <v>63</v>
      </c>
      <c r="J34" s="27">
        <v>159</v>
      </c>
      <c r="K34" s="2">
        <v>2759</v>
      </c>
      <c r="L34" s="12">
        <v>56.68</v>
      </c>
      <c r="M34" s="12">
        <v>35.47</v>
      </c>
      <c r="N34" s="12">
        <v>31.25</v>
      </c>
      <c r="O34" s="12">
        <v>20.91</v>
      </c>
      <c r="P34" s="28">
        <f t="shared" ref="P34:P65" si="5">(E34*L34+F34*M34+G34*N34+H34*O34)/I34</f>
        <v>32.060476190476187</v>
      </c>
      <c r="Q34" s="2">
        <v>30028.76</v>
      </c>
      <c r="R34" s="27">
        <v>60</v>
      </c>
      <c r="S34" s="27">
        <v>50000</v>
      </c>
      <c r="T34" s="27">
        <v>15452</v>
      </c>
      <c r="U34" s="27">
        <v>2780</v>
      </c>
      <c r="V34" s="27">
        <f t="shared" si="4"/>
        <v>0.36464000000000002</v>
      </c>
      <c r="W34" s="27">
        <v>1905</v>
      </c>
      <c r="X34" s="27" t="s">
        <v>538</v>
      </c>
      <c r="Y34" s="1" t="s">
        <v>539</v>
      </c>
      <c r="Z34" s="27" t="s">
        <v>540</v>
      </c>
      <c r="AA34" s="27" t="s">
        <v>541</v>
      </c>
      <c r="AB34" s="27" t="s">
        <v>542</v>
      </c>
      <c r="AC34" s="1" t="s">
        <v>543</v>
      </c>
      <c r="AD34" s="1" t="s">
        <v>544</v>
      </c>
      <c r="AE34" s="1" t="s">
        <v>545</v>
      </c>
      <c r="AF34" s="4"/>
      <c r="AG34" s="4"/>
      <c r="AH34" s="4"/>
      <c r="AI34" s="4"/>
      <c r="AJ34" s="4"/>
      <c r="AK34" s="4"/>
    </row>
    <row r="35" spans="1:37" x14ac:dyDescent="0.25">
      <c r="A35" s="27" t="s">
        <v>1642</v>
      </c>
      <c r="B35" s="27" t="str">
        <f t="shared" si="0"/>
        <v>Virginia</v>
      </c>
      <c r="C35" s="27" t="str">
        <f t="shared" si="1"/>
        <v>Essex</v>
      </c>
      <c r="D35" s="2">
        <v>1004</v>
      </c>
      <c r="E35" s="2">
        <v>3</v>
      </c>
      <c r="F35" s="2">
        <v>25</v>
      </c>
      <c r="G35" s="2">
        <v>8</v>
      </c>
      <c r="H35" s="2">
        <v>15</v>
      </c>
      <c r="I35" s="2">
        <f t="shared" si="3"/>
        <v>51</v>
      </c>
      <c r="J35" s="27">
        <v>120</v>
      </c>
      <c r="K35" s="2">
        <v>1867</v>
      </c>
      <c r="L35" s="12">
        <v>30.25</v>
      </c>
      <c r="M35" s="12">
        <v>33.21</v>
      </c>
      <c r="N35" s="12">
        <v>25.47</v>
      </c>
      <c r="O35" s="12">
        <v>19.649999999999999</v>
      </c>
      <c r="P35" s="28">
        <f t="shared" si="5"/>
        <v>27.833529411764705</v>
      </c>
      <c r="Q35" s="2">
        <v>9841.06</v>
      </c>
      <c r="R35" s="27">
        <v>51</v>
      </c>
      <c r="S35" s="27">
        <v>7983.31</v>
      </c>
      <c r="T35" s="27">
        <v>7789</v>
      </c>
      <c r="V35" s="27">
        <f t="shared" si="4"/>
        <v>0.9756604716589985</v>
      </c>
      <c r="W35" s="27">
        <v>1905</v>
      </c>
      <c r="X35" s="27" t="s">
        <v>538</v>
      </c>
      <c r="Y35" s="1" t="s">
        <v>539</v>
      </c>
      <c r="Z35" s="27" t="s">
        <v>540</v>
      </c>
      <c r="AA35" s="27" t="s">
        <v>541</v>
      </c>
      <c r="AB35" s="27" t="s">
        <v>542</v>
      </c>
      <c r="AC35" s="1" t="s">
        <v>543</v>
      </c>
      <c r="AD35" s="1" t="s">
        <v>544</v>
      </c>
      <c r="AE35" s="1" t="s">
        <v>545</v>
      </c>
      <c r="AF35" s="4"/>
      <c r="AG35" s="4"/>
      <c r="AH35" s="4"/>
      <c r="AI35" s="4"/>
      <c r="AJ35" s="4"/>
      <c r="AK35" s="4"/>
    </row>
    <row r="36" spans="1:37" x14ac:dyDescent="0.25">
      <c r="A36" s="27" t="s">
        <v>1643</v>
      </c>
      <c r="B36" s="27" t="str">
        <f t="shared" si="0"/>
        <v>Virginia</v>
      </c>
      <c r="C36" s="27" t="str">
        <f t="shared" si="1"/>
        <v>Fairfax</v>
      </c>
      <c r="D36" s="2">
        <v>2168</v>
      </c>
      <c r="E36" s="2">
        <v>13</v>
      </c>
      <c r="F36" s="2">
        <v>62</v>
      </c>
      <c r="G36" s="2">
        <v>8</v>
      </c>
      <c r="H36" s="2">
        <v>13</v>
      </c>
      <c r="I36" s="2">
        <f t="shared" si="3"/>
        <v>96</v>
      </c>
      <c r="J36" s="27">
        <v>129</v>
      </c>
      <c r="K36" s="27">
        <v>3703</v>
      </c>
      <c r="L36" s="12">
        <v>40.68</v>
      </c>
      <c r="M36" s="12">
        <v>32.83</v>
      </c>
      <c r="N36" s="12">
        <v>29.3</v>
      </c>
      <c r="O36" s="12">
        <v>26.86</v>
      </c>
      <c r="P36" s="28">
        <f t="shared" si="5"/>
        <v>32.790416666666665</v>
      </c>
      <c r="Q36" s="2">
        <v>23816.67</v>
      </c>
      <c r="R36" s="27">
        <v>96</v>
      </c>
      <c r="S36" s="27">
        <v>63950</v>
      </c>
      <c r="T36" s="27">
        <v>20222</v>
      </c>
      <c r="U36" s="27">
        <v>1800</v>
      </c>
      <c r="V36" s="27">
        <f t="shared" si="4"/>
        <v>0.34436278342455046</v>
      </c>
      <c r="W36" s="27">
        <v>1905</v>
      </c>
      <c r="X36" s="27" t="s">
        <v>538</v>
      </c>
      <c r="Y36" s="1" t="s">
        <v>539</v>
      </c>
      <c r="Z36" s="27" t="s">
        <v>540</v>
      </c>
      <c r="AA36" s="27" t="s">
        <v>541</v>
      </c>
      <c r="AB36" s="27" t="s">
        <v>542</v>
      </c>
      <c r="AC36" s="1" t="s">
        <v>543</v>
      </c>
      <c r="AD36" s="1" t="s">
        <v>544</v>
      </c>
      <c r="AE36" s="1" t="s">
        <v>545</v>
      </c>
      <c r="AF36" s="4"/>
      <c r="AG36" s="4"/>
      <c r="AH36" s="4"/>
      <c r="AI36" s="4"/>
      <c r="AJ36" s="4"/>
      <c r="AK36" s="4"/>
    </row>
    <row r="37" spans="1:37" x14ac:dyDescent="0.25">
      <c r="A37" s="27" t="s">
        <v>1644</v>
      </c>
      <c r="B37" s="27" t="str">
        <f t="shared" si="0"/>
        <v>Virginia</v>
      </c>
      <c r="C37" s="27" t="str">
        <f t="shared" si="1"/>
        <v>Fauquier</v>
      </c>
      <c r="D37" s="2">
        <v>2252</v>
      </c>
      <c r="E37" s="2">
        <v>20</v>
      </c>
      <c r="F37" s="2">
        <v>53</v>
      </c>
      <c r="G37" s="2">
        <v>23</v>
      </c>
      <c r="H37" s="2">
        <v>13</v>
      </c>
      <c r="I37" s="2">
        <f t="shared" si="3"/>
        <v>109</v>
      </c>
      <c r="J37" s="27">
        <v>133</v>
      </c>
      <c r="K37" s="2">
        <v>4143</v>
      </c>
      <c r="L37" s="12">
        <v>39.380000000000003</v>
      </c>
      <c r="M37" s="12">
        <v>27.79</v>
      </c>
      <c r="N37" s="12">
        <v>24.27</v>
      </c>
      <c r="O37" s="12">
        <v>22.1</v>
      </c>
      <c r="P37" s="28">
        <f t="shared" si="5"/>
        <v>28.495229357798166</v>
      </c>
      <c r="Q37" s="2">
        <v>26225.81</v>
      </c>
      <c r="R37" s="27">
        <v>109</v>
      </c>
      <c r="S37" s="27">
        <v>39020</v>
      </c>
      <c r="T37" s="27">
        <v>27071</v>
      </c>
      <c r="V37" s="27">
        <f t="shared" si="4"/>
        <v>0.69377242439774478</v>
      </c>
      <c r="W37" s="27">
        <v>1905</v>
      </c>
      <c r="X37" s="27" t="s">
        <v>538</v>
      </c>
      <c r="Y37" s="1" t="s">
        <v>539</v>
      </c>
      <c r="Z37" s="27" t="s">
        <v>540</v>
      </c>
      <c r="AA37" s="27" t="s">
        <v>541</v>
      </c>
      <c r="AB37" s="27" t="s">
        <v>542</v>
      </c>
      <c r="AC37" s="1" t="s">
        <v>543</v>
      </c>
      <c r="AD37" s="1" t="s">
        <v>544</v>
      </c>
      <c r="AE37" s="1" t="s">
        <v>545</v>
      </c>
      <c r="AF37" s="4"/>
      <c r="AG37" s="4"/>
      <c r="AH37" s="4"/>
      <c r="AI37" s="4"/>
      <c r="AJ37" s="4"/>
      <c r="AK37" s="4"/>
    </row>
    <row r="38" spans="1:37" x14ac:dyDescent="0.25">
      <c r="A38" s="27" t="s">
        <v>1645</v>
      </c>
      <c r="B38" s="27" t="str">
        <f t="shared" si="0"/>
        <v>Virginia</v>
      </c>
      <c r="C38" s="27" t="str">
        <f t="shared" si="1"/>
        <v>Floyd</v>
      </c>
      <c r="D38" s="2">
        <v>2490</v>
      </c>
      <c r="E38" s="2">
        <v>35</v>
      </c>
      <c r="F38" s="2">
        <v>67</v>
      </c>
      <c r="G38" s="2">
        <v>1</v>
      </c>
      <c r="H38" s="2"/>
      <c r="I38" s="2">
        <f t="shared" si="3"/>
        <v>103</v>
      </c>
      <c r="J38" s="27">
        <v>96</v>
      </c>
      <c r="K38" s="2">
        <v>4021</v>
      </c>
      <c r="L38" s="12">
        <v>23.63</v>
      </c>
      <c r="M38" s="12">
        <v>22.57</v>
      </c>
      <c r="N38" s="12">
        <v>21.33</v>
      </c>
      <c r="P38" s="28">
        <f t="shared" si="5"/>
        <v>22.918155339805821</v>
      </c>
      <c r="Q38" s="2">
        <v>12952.35</v>
      </c>
      <c r="R38" s="27">
        <v>108</v>
      </c>
      <c r="S38" s="27">
        <v>31000</v>
      </c>
      <c r="T38" s="27">
        <v>14200</v>
      </c>
      <c r="V38" s="27">
        <f t="shared" si="4"/>
        <v>0.45806451612903226</v>
      </c>
      <c r="W38" s="27">
        <v>1905</v>
      </c>
      <c r="X38" s="27" t="s">
        <v>538</v>
      </c>
      <c r="Y38" s="1" t="s">
        <v>539</v>
      </c>
      <c r="Z38" s="27" t="s">
        <v>540</v>
      </c>
      <c r="AA38" s="27" t="s">
        <v>541</v>
      </c>
      <c r="AB38" s="27" t="s">
        <v>542</v>
      </c>
      <c r="AC38" s="1" t="s">
        <v>543</v>
      </c>
      <c r="AD38" s="1" t="s">
        <v>544</v>
      </c>
      <c r="AE38" s="1" t="s">
        <v>545</v>
      </c>
      <c r="AF38" s="4"/>
      <c r="AG38" s="4"/>
      <c r="AH38" s="4"/>
      <c r="AI38" s="4"/>
      <c r="AJ38" s="4"/>
      <c r="AK38" s="4"/>
    </row>
    <row r="39" spans="1:37" x14ac:dyDescent="0.25">
      <c r="A39" s="27" t="s">
        <v>1646</v>
      </c>
      <c r="B39" s="27" t="str">
        <f t="shared" si="0"/>
        <v>Virginia</v>
      </c>
      <c r="C39" s="27" t="str">
        <f t="shared" si="1"/>
        <v>Fluvanna</v>
      </c>
      <c r="D39" s="27">
        <v>8481</v>
      </c>
      <c r="E39" s="2">
        <v>4</v>
      </c>
      <c r="F39" s="2">
        <v>32</v>
      </c>
      <c r="G39" s="2">
        <v>4</v>
      </c>
      <c r="H39" s="2">
        <v>12</v>
      </c>
      <c r="I39" s="2">
        <f t="shared" si="3"/>
        <v>52</v>
      </c>
      <c r="J39" s="27">
        <v>100</v>
      </c>
      <c r="K39" s="2">
        <v>1434</v>
      </c>
      <c r="L39" s="12">
        <v>23.82</v>
      </c>
      <c r="M39" s="12">
        <v>25.78</v>
      </c>
      <c r="N39" s="12">
        <v>20.88</v>
      </c>
      <c r="O39" s="12">
        <v>19.71</v>
      </c>
      <c r="P39" s="28">
        <f t="shared" si="5"/>
        <v>23.85153846153846</v>
      </c>
      <c r="Q39" s="2">
        <v>7342.65</v>
      </c>
      <c r="R39" s="27">
        <v>49</v>
      </c>
      <c r="S39" s="27">
        <v>4550</v>
      </c>
      <c r="T39" s="27">
        <v>6840</v>
      </c>
      <c r="V39" s="27">
        <f t="shared" si="4"/>
        <v>1.5032967032967033</v>
      </c>
      <c r="W39" s="27">
        <v>1905</v>
      </c>
      <c r="X39" s="27" t="s">
        <v>538</v>
      </c>
      <c r="Y39" s="1" t="s">
        <v>539</v>
      </c>
      <c r="Z39" s="27" t="s">
        <v>540</v>
      </c>
      <c r="AA39" s="27" t="s">
        <v>541</v>
      </c>
      <c r="AB39" s="27" t="s">
        <v>542</v>
      </c>
      <c r="AC39" s="1" t="s">
        <v>543</v>
      </c>
      <c r="AD39" s="1" t="s">
        <v>544</v>
      </c>
      <c r="AE39" s="1" t="s">
        <v>545</v>
      </c>
      <c r="AF39" s="4"/>
      <c r="AG39" s="4"/>
      <c r="AH39" s="4"/>
      <c r="AI39" s="4"/>
      <c r="AJ39" s="4"/>
      <c r="AK39" s="4"/>
    </row>
    <row r="40" spans="1:37" x14ac:dyDescent="0.25">
      <c r="A40" s="27" t="s">
        <v>1647</v>
      </c>
      <c r="B40" s="27" t="str">
        <f t="shared" si="0"/>
        <v>Virginia</v>
      </c>
      <c r="C40" s="27" t="str">
        <f t="shared" si="1"/>
        <v>Franklin</v>
      </c>
      <c r="D40" s="2">
        <v>3341</v>
      </c>
      <c r="E40" s="2">
        <v>23</v>
      </c>
      <c r="F40" s="2">
        <v>121</v>
      </c>
      <c r="G40" s="2">
        <v>3</v>
      </c>
      <c r="H40" s="2">
        <v>21</v>
      </c>
      <c r="I40" s="2">
        <f t="shared" si="3"/>
        <v>168</v>
      </c>
      <c r="J40" s="27">
        <v>100</v>
      </c>
      <c r="K40" s="27">
        <v>6557</v>
      </c>
      <c r="L40" s="12">
        <v>25.51</v>
      </c>
      <c r="M40" s="12">
        <v>21.69</v>
      </c>
      <c r="N40" s="12">
        <v>21.5</v>
      </c>
      <c r="O40" s="12">
        <v>15.43</v>
      </c>
      <c r="P40" s="28">
        <f t="shared" si="5"/>
        <v>21.427083333333332</v>
      </c>
      <c r="Q40" s="2">
        <v>20461.330000000002</v>
      </c>
      <c r="R40" s="27">
        <v>168</v>
      </c>
      <c r="S40" s="27">
        <v>17951.5</v>
      </c>
      <c r="T40" s="27">
        <v>19839</v>
      </c>
      <c r="V40" s="27">
        <f t="shared" si="4"/>
        <v>1.1051444169010947</v>
      </c>
      <c r="W40" s="27">
        <v>1905</v>
      </c>
      <c r="X40" s="27" t="s">
        <v>538</v>
      </c>
      <c r="Y40" s="1" t="s">
        <v>539</v>
      </c>
      <c r="Z40" s="27" t="s">
        <v>540</v>
      </c>
      <c r="AA40" s="27" t="s">
        <v>541</v>
      </c>
      <c r="AB40" s="27" t="s">
        <v>542</v>
      </c>
      <c r="AC40" s="1" t="s">
        <v>543</v>
      </c>
      <c r="AD40" s="1" t="s">
        <v>544</v>
      </c>
      <c r="AE40" s="1" t="s">
        <v>545</v>
      </c>
      <c r="AF40" s="4"/>
      <c r="AG40" s="4"/>
      <c r="AH40" s="4"/>
      <c r="AI40" s="4"/>
      <c r="AJ40" s="4"/>
      <c r="AK40" s="4"/>
    </row>
    <row r="41" spans="1:37" x14ac:dyDescent="0.25">
      <c r="A41" s="27" t="s">
        <v>1648</v>
      </c>
      <c r="B41" s="27" t="str">
        <f t="shared" si="0"/>
        <v>Virginia</v>
      </c>
      <c r="C41" s="27" t="str">
        <f t="shared" si="1"/>
        <v>Frederick</v>
      </c>
      <c r="D41" s="2">
        <v>1539</v>
      </c>
      <c r="E41" s="2">
        <v>35</v>
      </c>
      <c r="F41" s="2">
        <v>44</v>
      </c>
      <c r="G41" s="2">
        <v>1</v>
      </c>
      <c r="H41" s="2">
        <v>3</v>
      </c>
      <c r="I41" s="2">
        <f t="shared" si="3"/>
        <v>83</v>
      </c>
      <c r="J41" s="27">
        <v>110</v>
      </c>
      <c r="K41" s="2">
        <v>2535</v>
      </c>
      <c r="L41" s="12">
        <v>26.47</v>
      </c>
      <c r="M41" s="12">
        <v>26.58</v>
      </c>
      <c r="N41" s="12">
        <v>25</v>
      </c>
      <c r="O41" s="12">
        <v>25.62</v>
      </c>
      <c r="P41" s="28">
        <f t="shared" si="5"/>
        <v>26.479879518072288</v>
      </c>
      <c r="Q41" s="2">
        <v>15495.48</v>
      </c>
      <c r="R41" s="27">
        <v>83</v>
      </c>
      <c r="S41" s="27">
        <v>24000</v>
      </c>
      <c r="T41" s="27">
        <v>15446</v>
      </c>
      <c r="V41" s="27">
        <f t="shared" si="4"/>
        <v>0.64358333333333329</v>
      </c>
      <c r="W41" s="27">
        <v>1905</v>
      </c>
      <c r="X41" s="27" t="s">
        <v>538</v>
      </c>
      <c r="Y41" s="1" t="s">
        <v>539</v>
      </c>
      <c r="Z41" s="27" t="s">
        <v>540</v>
      </c>
      <c r="AA41" s="27" t="s">
        <v>541</v>
      </c>
      <c r="AB41" s="27" t="s">
        <v>542</v>
      </c>
      <c r="AC41" s="1" t="s">
        <v>543</v>
      </c>
      <c r="AD41" s="1" t="s">
        <v>544</v>
      </c>
      <c r="AE41" s="1" t="s">
        <v>545</v>
      </c>
      <c r="AF41" s="4"/>
      <c r="AG41" s="4"/>
      <c r="AH41" s="4"/>
      <c r="AI41" s="4"/>
      <c r="AJ41" s="4"/>
      <c r="AK41" s="4"/>
    </row>
    <row r="42" spans="1:37" x14ac:dyDescent="0.25">
      <c r="A42" s="27" t="s">
        <v>1727</v>
      </c>
      <c r="B42" s="27" t="str">
        <f t="shared" si="0"/>
        <v>Virginia</v>
      </c>
      <c r="C42" s="27" t="str">
        <f t="shared" si="1"/>
        <v>Fredericksburg</v>
      </c>
      <c r="D42" s="27">
        <v>563</v>
      </c>
      <c r="E42" s="2">
        <v>1</v>
      </c>
      <c r="F42" s="2">
        <v>9</v>
      </c>
      <c r="G42" s="2">
        <v>3</v>
      </c>
      <c r="I42" s="2">
        <f t="shared" si="3"/>
        <v>13</v>
      </c>
      <c r="J42" s="27">
        <v>181</v>
      </c>
      <c r="K42" s="27">
        <v>735</v>
      </c>
      <c r="L42" s="12">
        <v>50</v>
      </c>
      <c r="M42" s="12">
        <v>29.59</v>
      </c>
      <c r="N42" s="12">
        <v>29.88</v>
      </c>
      <c r="P42" s="28">
        <f t="shared" si="5"/>
        <v>31.226923076923075</v>
      </c>
      <c r="Q42" s="2">
        <v>5479.88</v>
      </c>
      <c r="R42" s="27">
        <v>15</v>
      </c>
      <c r="S42" s="27">
        <v>12575</v>
      </c>
      <c r="W42" s="27">
        <v>1905</v>
      </c>
      <c r="X42" s="27" t="s">
        <v>538</v>
      </c>
      <c r="Y42" s="1" t="s">
        <v>539</v>
      </c>
      <c r="Z42" s="27" t="s">
        <v>540</v>
      </c>
      <c r="AA42" s="27" t="s">
        <v>541</v>
      </c>
      <c r="AB42" s="27" t="s">
        <v>542</v>
      </c>
      <c r="AC42" s="1" t="s">
        <v>543</v>
      </c>
      <c r="AD42" s="1" t="s">
        <v>544</v>
      </c>
      <c r="AE42" s="1" t="s">
        <v>545</v>
      </c>
      <c r="AF42" s="4"/>
      <c r="AG42" s="4"/>
      <c r="AH42" s="4"/>
      <c r="AI42" s="4"/>
      <c r="AJ42" s="4"/>
      <c r="AK42" s="4"/>
    </row>
    <row r="43" spans="1:37" x14ac:dyDescent="0.25">
      <c r="A43" s="27" t="s">
        <v>1649</v>
      </c>
      <c r="B43" s="27" t="str">
        <f t="shared" si="0"/>
        <v>Virginia</v>
      </c>
      <c r="C43" s="27" t="str">
        <f t="shared" si="1"/>
        <v>Giles</v>
      </c>
      <c r="D43" s="2">
        <v>1616</v>
      </c>
      <c r="E43" s="2">
        <v>25</v>
      </c>
      <c r="F43" s="2">
        <v>42</v>
      </c>
      <c r="G43" s="2">
        <v>3</v>
      </c>
      <c r="H43" s="2">
        <v>1</v>
      </c>
      <c r="I43" s="2">
        <f t="shared" si="3"/>
        <v>71</v>
      </c>
      <c r="J43" s="27">
        <v>112</v>
      </c>
      <c r="K43" s="2">
        <v>2676</v>
      </c>
      <c r="L43" s="12">
        <v>33.43</v>
      </c>
      <c r="M43" s="12">
        <v>27.86</v>
      </c>
      <c r="N43" s="12">
        <v>21.88</v>
      </c>
      <c r="O43" s="12">
        <v>20</v>
      </c>
      <c r="P43" s="28">
        <f t="shared" si="5"/>
        <v>29.457887323943659</v>
      </c>
      <c r="Q43" s="2">
        <v>13454.99</v>
      </c>
      <c r="R43" s="27">
        <v>71</v>
      </c>
      <c r="S43" s="27">
        <v>21825</v>
      </c>
      <c r="T43" s="27">
        <v>11536</v>
      </c>
      <c r="V43" s="27">
        <f t="shared" si="4"/>
        <v>0.52856815578465066</v>
      </c>
      <c r="W43" s="27">
        <v>1905</v>
      </c>
      <c r="X43" s="27" t="s">
        <v>538</v>
      </c>
      <c r="Y43" s="1" t="s">
        <v>539</v>
      </c>
      <c r="Z43" s="27" t="s">
        <v>540</v>
      </c>
      <c r="AA43" s="27" t="s">
        <v>541</v>
      </c>
      <c r="AB43" s="27" t="s">
        <v>542</v>
      </c>
      <c r="AC43" s="1" t="s">
        <v>543</v>
      </c>
      <c r="AD43" s="1" t="s">
        <v>544</v>
      </c>
      <c r="AE43" s="1" t="s">
        <v>545</v>
      </c>
      <c r="AF43" s="4"/>
      <c r="AG43" s="4"/>
      <c r="AH43" s="4"/>
      <c r="AI43" s="4"/>
      <c r="AJ43" s="4"/>
      <c r="AK43" s="4"/>
    </row>
    <row r="44" spans="1:37" x14ac:dyDescent="0.25">
      <c r="A44" s="27" t="s">
        <v>1650</v>
      </c>
      <c r="B44" s="27" t="str">
        <f t="shared" si="0"/>
        <v>Virginia</v>
      </c>
      <c r="C44" s="27" t="str">
        <f t="shared" si="1"/>
        <v>Gloucester</v>
      </c>
      <c r="D44" s="2">
        <v>1456</v>
      </c>
      <c r="E44" s="2">
        <v>2</v>
      </c>
      <c r="F44" s="2">
        <v>29</v>
      </c>
      <c r="G44" s="2">
        <v>6</v>
      </c>
      <c r="H44" s="2">
        <v>24</v>
      </c>
      <c r="I44" s="2">
        <f t="shared" si="3"/>
        <v>61</v>
      </c>
      <c r="J44" s="27">
        <v>111</v>
      </c>
      <c r="K44" s="2">
        <v>2319</v>
      </c>
      <c r="L44" s="12">
        <v>50</v>
      </c>
      <c r="M44" s="12">
        <v>25.67</v>
      </c>
      <c r="N44" s="12">
        <v>25.5</v>
      </c>
      <c r="O44" s="12">
        <v>22.08</v>
      </c>
      <c r="P44" s="28">
        <f t="shared" si="5"/>
        <v>25.038524590163934</v>
      </c>
      <c r="Q44" s="2">
        <v>10483.94</v>
      </c>
      <c r="R44" s="27">
        <v>61</v>
      </c>
      <c r="S44" s="27">
        <v>14926</v>
      </c>
      <c r="T44" s="27">
        <v>7173</v>
      </c>
      <c r="U44" s="27">
        <v>350</v>
      </c>
      <c r="V44" s="27">
        <f t="shared" si="4"/>
        <v>0.50401983116709104</v>
      </c>
      <c r="W44" s="27">
        <v>1905</v>
      </c>
      <c r="X44" s="27" t="s">
        <v>538</v>
      </c>
      <c r="Y44" s="1" t="s">
        <v>539</v>
      </c>
      <c r="Z44" s="27" t="s">
        <v>540</v>
      </c>
      <c r="AA44" s="27" t="s">
        <v>541</v>
      </c>
      <c r="AB44" s="27" t="s">
        <v>542</v>
      </c>
      <c r="AC44" s="1" t="s">
        <v>543</v>
      </c>
      <c r="AD44" s="1" t="s">
        <v>544</v>
      </c>
      <c r="AE44" s="1" t="s">
        <v>545</v>
      </c>
      <c r="AF44" s="4"/>
      <c r="AG44" s="4"/>
      <c r="AH44" s="4"/>
      <c r="AI44" s="4"/>
      <c r="AJ44" s="4"/>
      <c r="AK44" s="4"/>
    </row>
    <row r="45" spans="1:37" x14ac:dyDescent="0.25">
      <c r="A45" s="27" t="s">
        <v>1651</v>
      </c>
      <c r="B45" s="27" t="str">
        <f t="shared" si="0"/>
        <v>Virginia</v>
      </c>
      <c r="C45" s="27" t="str">
        <f t="shared" si="1"/>
        <v>Goochland</v>
      </c>
      <c r="D45" s="27">
        <v>990</v>
      </c>
      <c r="E45" s="2">
        <v>5</v>
      </c>
      <c r="F45" s="2">
        <v>35</v>
      </c>
      <c r="G45" s="2">
        <v>6</v>
      </c>
      <c r="H45" s="2">
        <v>19</v>
      </c>
      <c r="I45" s="2">
        <f t="shared" si="3"/>
        <v>65</v>
      </c>
      <c r="J45" s="27">
        <v>108</v>
      </c>
      <c r="K45" s="2">
        <v>1980</v>
      </c>
      <c r="L45" s="12">
        <v>22.2</v>
      </c>
      <c r="M45" s="12">
        <v>23.36</v>
      </c>
      <c r="N45" s="12">
        <v>23.33</v>
      </c>
      <c r="O45" s="12">
        <v>20.3</v>
      </c>
      <c r="P45" s="28">
        <f t="shared" si="5"/>
        <v>22.373538461538462</v>
      </c>
      <c r="Q45" s="2">
        <v>10515.3</v>
      </c>
      <c r="R45" s="27">
        <v>65</v>
      </c>
      <c r="S45" s="27">
        <v>10511.75</v>
      </c>
      <c r="T45" s="27">
        <v>10399</v>
      </c>
      <c r="V45" s="27">
        <f t="shared" si="4"/>
        <v>0.98927390776987656</v>
      </c>
      <c r="W45" s="27">
        <v>1905</v>
      </c>
      <c r="X45" s="27" t="s">
        <v>538</v>
      </c>
      <c r="Y45" s="1" t="s">
        <v>539</v>
      </c>
      <c r="Z45" s="27" t="s">
        <v>540</v>
      </c>
      <c r="AA45" s="27" t="s">
        <v>541</v>
      </c>
      <c r="AB45" s="27" t="s">
        <v>542</v>
      </c>
      <c r="AC45" s="1" t="s">
        <v>543</v>
      </c>
      <c r="AD45" s="1" t="s">
        <v>544</v>
      </c>
      <c r="AE45" s="1" t="s">
        <v>545</v>
      </c>
      <c r="AF45" s="4"/>
      <c r="AG45" s="4"/>
      <c r="AH45" s="4"/>
      <c r="AI45" s="4"/>
      <c r="AJ45" s="4"/>
      <c r="AK45" s="4"/>
    </row>
    <row r="46" spans="1:37" x14ac:dyDescent="0.25">
      <c r="A46" s="27" t="s">
        <v>1652</v>
      </c>
      <c r="B46" s="27" t="str">
        <f t="shared" si="0"/>
        <v>Virginia</v>
      </c>
      <c r="C46" s="27" t="str">
        <f t="shared" si="1"/>
        <v>Grayson</v>
      </c>
      <c r="D46" s="2">
        <v>3014</v>
      </c>
      <c r="E46" s="2">
        <v>38</v>
      </c>
      <c r="F46" s="2">
        <v>61</v>
      </c>
      <c r="G46" s="2">
        <v>4</v>
      </c>
      <c r="H46" s="2"/>
      <c r="I46" s="2">
        <f t="shared" si="3"/>
        <v>103</v>
      </c>
      <c r="J46" s="27">
        <v>94</v>
      </c>
      <c r="K46" s="2">
        <v>4923</v>
      </c>
      <c r="L46" s="12">
        <v>24.87</v>
      </c>
      <c r="M46" s="12">
        <v>21.81</v>
      </c>
      <c r="N46" s="12">
        <v>15.44</v>
      </c>
      <c r="P46" s="28">
        <f t="shared" si="5"/>
        <v>22.691553398058254</v>
      </c>
      <c r="Q46" s="2">
        <v>12239.56</v>
      </c>
      <c r="R46" s="27">
        <v>103</v>
      </c>
      <c r="S46" s="27">
        <v>26000</v>
      </c>
      <c r="T46" s="27">
        <v>11154</v>
      </c>
      <c r="V46" s="27">
        <f t="shared" si="4"/>
        <v>0.42899999999999999</v>
      </c>
      <c r="W46" s="27">
        <v>1905</v>
      </c>
      <c r="X46" s="27" t="s">
        <v>538</v>
      </c>
      <c r="Y46" s="1" t="s">
        <v>539</v>
      </c>
      <c r="Z46" s="27" t="s">
        <v>540</v>
      </c>
      <c r="AA46" s="27" t="s">
        <v>541</v>
      </c>
      <c r="AB46" s="27" t="s">
        <v>542</v>
      </c>
      <c r="AC46" s="1" t="s">
        <v>543</v>
      </c>
      <c r="AD46" s="1" t="s">
        <v>544</v>
      </c>
      <c r="AE46" s="1" t="s">
        <v>545</v>
      </c>
      <c r="AF46" s="4"/>
      <c r="AG46" s="4"/>
      <c r="AH46" s="4"/>
      <c r="AI46" s="4"/>
      <c r="AJ46" s="4"/>
      <c r="AK46" s="4"/>
    </row>
    <row r="47" spans="1:37" x14ac:dyDescent="0.25">
      <c r="A47" s="27" t="s">
        <v>1653</v>
      </c>
      <c r="B47" s="27" t="str">
        <f t="shared" si="0"/>
        <v>Virginia</v>
      </c>
      <c r="C47" s="27" t="str">
        <f t="shared" si="1"/>
        <v>Greene</v>
      </c>
      <c r="D47" s="2">
        <v>666</v>
      </c>
      <c r="E47" s="2">
        <v>5</v>
      </c>
      <c r="F47" s="2">
        <v>23</v>
      </c>
      <c r="G47" s="2">
        <v>3</v>
      </c>
      <c r="H47" s="2">
        <v>3</v>
      </c>
      <c r="I47" s="2">
        <f t="shared" si="3"/>
        <v>34</v>
      </c>
      <c r="J47" s="27">
        <v>100</v>
      </c>
      <c r="K47" s="2">
        <v>1241</v>
      </c>
      <c r="L47" s="12">
        <v>30</v>
      </c>
      <c r="M47" s="12">
        <v>22.38</v>
      </c>
      <c r="N47" s="12">
        <v>20</v>
      </c>
      <c r="O47" s="12">
        <v>20</v>
      </c>
      <c r="P47" s="28">
        <f t="shared" si="5"/>
        <v>23.080588235294119</v>
      </c>
      <c r="Q47" s="2">
        <v>5214.63</v>
      </c>
      <c r="R47" s="27">
        <v>33</v>
      </c>
      <c r="S47" s="27">
        <v>4775</v>
      </c>
      <c r="T47" s="27">
        <v>4612</v>
      </c>
      <c r="V47" s="27">
        <f t="shared" si="4"/>
        <v>0.96586387434554977</v>
      </c>
      <c r="W47" s="27">
        <v>1905</v>
      </c>
      <c r="X47" s="27" t="s">
        <v>538</v>
      </c>
      <c r="Y47" s="1" t="s">
        <v>539</v>
      </c>
      <c r="Z47" s="27" t="s">
        <v>540</v>
      </c>
      <c r="AA47" s="27" t="s">
        <v>541</v>
      </c>
      <c r="AB47" s="27" t="s">
        <v>542</v>
      </c>
      <c r="AC47" s="1" t="s">
        <v>543</v>
      </c>
      <c r="AD47" s="1" t="s">
        <v>544</v>
      </c>
      <c r="AE47" s="1" t="s">
        <v>545</v>
      </c>
      <c r="AF47" s="4"/>
      <c r="AG47" s="4"/>
      <c r="AH47" s="4"/>
      <c r="AI47" s="4"/>
      <c r="AJ47" s="4"/>
      <c r="AK47" s="4"/>
    </row>
    <row r="48" spans="1:37" x14ac:dyDescent="0.25">
      <c r="A48" s="27" t="s">
        <v>1654</v>
      </c>
      <c r="B48" s="27" t="str">
        <f t="shared" si="0"/>
        <v>Virginia</v>
      </c>
      <c r="C48" s="27" t="str">
        <f t="shared" si="1"/>
        <v>Greensville</v>
      </c>
      <c r="D48" s="2">
        <v>690</v>
      </c>
      <c r="E48" s="2">
        <v>2</v>
      </c>
      <c r="F48" s="2">
        <v>23</v>
      </c>
      <c r="G48" s="2">
        <v>3</v>
      </c>
      <c r="H48" s="2">
        <v>10</v>
      </c>
      <c r="I48" s="2">
        <f t="shared" si="3"/>
        <v>38</v>
      </c>
      <c r="J48" s="27">
        <v>120</v>
      </c>
      <c r="K48" s="2">
        <v>1340</v>
      </c>
      <c r="L48" s="12">
        <v>65</v>
      </c>
      <c r="M48" s="12">
        <v>27.77</v>
      </c>
      <c r="N48" s="12">
        <v>26.25</v>
      </c>
      <c r="O48" s="12">
        <v>23.75</v>
      </c>
      <c r="P48" s="28">
        <f t="shared" si="5"/>
        <v>28.551578947368423</v>
      </c>
      <c r="Q48" s="2">
        <v>9490.34</v>
      </c>
      <c r="R48" s="27">
        <v>38</v>
      </c>
      <c r="S48" s="27">
        <v>6138.66</v>
      </c>
      <c r="T48" s="27">
        <v>7037</v>
      </c>
      <c r="V48" s="27">
        <f t="shared" si="4"/>
        <v>1.1463413839502432</v>
      </c>
      <c r="W48" s="27">
        <v>1905</v>
      </c>
      <c r="X48" s="27" t="s">
        <v>538</v>
      </c>
      <c r="Y48" s="1" t="s">
        <v>539</v>
      </c>
      <c r="Z48" s="27" t="s">
        <v>540</v>
      </c>
      <c r="AA48" s="27" t="s">
        <v>541</v>
      </c>
      <c r="AB48" s="27" t="s">
        <v>542</v>
      </c>
      <c r="AC48" s="1" t="s">
        <v>543</v>
      </c>
      <c r="AD48" s="1" t="s">
        <v>544</v>
      </c>
      <c r="AE48" s="1" t="s">
        <v>545</v>
      </c>
      <c r="AF48" s="4"/>
      <c r="AG48" s="4"/>
      <c r="AH48" s="4"/>
      <c r="AI48" s="4"/>
      <c r="AJ48" s="4"/>
      <c r="AK48" s="4"/>
    </row>
    <row r="49" spans="1:37" x14ac:dyDescent="0.25">
      <c r="A49" s="27" t="s">
        <v>1655</v>
      </c>
      <c r="B49" s="27" t="str">
        <f t="shared" si="0"/>
        <v>Virginia</v>
      </c>
      <c r="C49" s="27" t="str">
        <f t="shared" si="1"/>
        <v>Halifax</v>
      </c>
      <c r="D49" s="2">
        <v>4315</v>
      </c>
      <c r="E49" s="2">
        <v>9</v>
      </c>
      <c r="F49" s="2">
        <v>116</v>
      </c>
      <c r="G49" s="2">
        <v>30</v>
      </c>
      <c r="H49" s="2">
        <v>46</v>
      </c>
      <c r="I49" s="2">
        <f t="shared" si="3"/>
        <v>201</v>
      </c>
      <c r="J49" s="27">
        <v>104</v>
      </c>
      <c r="K49" s="2">
        <v>7228</v>
      </c>
      <c r="L49" s="12">
        <v>52.88</v>
      </c>
      <c r="M49" s="12">
        <v>29.42</v>
      </c>
      <c r="N49" s="12">
        <v>24.02</v>
      </c>
      <c r="O49" s="12">
        <v>21.72</v>
      </c>
      <c r="P49" s="28">
        <f t="shared" si="5"/>
        <v>27.902288557213932</v>
      </c>
      <c r="Q49" s="2">
        <v>30654.18</v>
      </c>
      <c r="R49" s="27">
        <v>201</v>
      </c>
      <c r="S49" s="27">
        <v>37525</v>
      </c>
      <c r="T49" s="27">
        <v>27169</v>
      </c>
      <c r="V49" s="27">
        <f t="shared" si="4"/>
        <v>0.72402398401065959</v>
      </c>
      <c r="W49" s="27">
        <v>1905</v>
      </c>
      <c r="X49" s="27" t="s">
        <v>538</v>
      </c>
      <c r="Y49" s="1" t="s">
        <v>539</v>
      </c>
      <c r="Z49" s="27" t="s">
        <v>540</v>
      </c>
      <c r="AA49" s="27" t="s">
        <v>541</v>
      </c>
      <c r="AB49" s="27" t="s">
        <v>542</v>
      </c>
      <c r="AC49" s="1" t="s">
        <v>543</v>
      </c>
      <c r="AD49" s="1" t="s">
        <v>544</v>
      </c>
      <c r="AE49" s="1" t="s">
        <v>545</v>
      </c>
      <c r="AF49" s="4"/>
      <c r="AG49" s="4"/>
      <c r="AH49" s="4"/>
      <c r="AI49" s="4"/>
      <c r="AJ49" s="4"/>
      <c r="AK49" s="4"/>
    </row>
    <row r="50" spans="1:37" x14ac:dyDescent="0.25">
      <c r="A50" s="27" t="s">
        <v>1656</v>
      </c>
      <c r="B50" s="27" t="str">
        <f t="shared" si="0"/>
        <v>Virginia</v>
      </c>
      <c r="C50" s="27" t="str">
        <f t="shared" si="1"/>
        <v>Hanover</v>
      </c>
      <c r="D50" s="2">
        <v>1585</v>
      </c>
      <c r="E50" s="2">
        <v>3</v>
      </c>
      <c r="F50" s="2">
        <v>54</v>
      </c>
      <c r="G50" s="2">
        <v>6</v>
      </c>
      <c r="H50" s="2">
        <v>26</v>
      </c>
      <c r="I50" s="2">
        <f t="shared" si="3"/>
        <v>89</v>
      </c>
      <c r="J50" s="27">
        <v>120</v>
      </c>
      <c r="K50" s="2">
        <v>2919</v>
      </c>
      <c r="L50" s="12">
        <v>45.2</v>
      </c>
      <c r="M50" s="12">
        <v>25.83</v>
      </c>
      <c r="N50" s="12">
        <v>22.11</v>
      </c>
      <c r="O50" s="12">
        <v>21.1</v>
      </c>
      <c r="P50" s="28">
        <f t="shared" si="5"/>
        <v>24.850337078651688</v>
      </c>
      <c r="Q50" s="2">
        <v>15379.55</v>
      </c>
      <c r="R50" s="27">
        <v>89</v>
      </c>
      <c r="S50" s="27">
        <v>15850</v>
      </c>
      <c r="T50" s="27">
        <v>10137</v>
      </c>
      <c r="V50" s="27">
        <f t="shared" si="4"/>
        <v>0.63955835962145113</v>
      </c>
      <c r="W50" s="27">
        <v>1905</v>
      </c>
      <c r="X50" s="27" t="s">
        <v>538</v>
      </c>
      <c r="Y50" s="1" t="s">
        <v>539</v>
      </c>
      <c r="Z50" s="27" t="s">
        <v>540</v>
      </c>
      <c r="AA50" s="27" t="s">
        <v>541</v>
      </c>
      <c r="AB50" s="27" t="s">
        <v>542</v>
      </c>
      <c r="AC50" s="1" t="s">
        <v>543</v>
      </c>
      <c r="AD50" s="1" t="s">
        <v>544</v>
      </c>
      <c r="AE50" s="1" t="s">
        <v>545</v>
      </c>
      <c r="AF50" s="4"/>
      <c r="AG50" s="4"/>
      <c r="AH50" s="4"/>
      <c r="AI50" s="4"/>
      <c r="AJ50" s="4"/>
      <c r="AK50" s="4"/>
    </row>
    <row r="51" spans="1:37" x14ac:dyDescent="0.25">
      <c r="A51" s="27" t="s">
        <v>1657</v>
      </c>
      <c r="B51" s="27" t="str">
        <f t="shared" si="0"/>
        <v>Virginia</v>
      </c>
      <c r="C51" s="27" t="str">
        <f t="shared" si="1"/>
        <v>Henrico</v>
      </c>
      <c r="D51" s="2">
        <v>3422</v>
      </c>
      <c r="E51" s="2">
        <v>3</v>
      </c>
      <c r="F51" s="2">
        <v>81</v>
      </c>
      <c r="G51" s="2">
        <v>3</v>
      </c>
      <c r="H51" s="2">
        <v>36</v>
      </c>
      <c r="I51" s="2">
        <f t="shared" si="3"/>
        <v>123</v>
      </c>
      <c r="J51" s="27">
        <v>168</v>
      </c>
      <c r="K51" s="2">
        <v>4961</v>
      </c>
      <c r="L51" s="12">
        <v>59.17</v>
      </c>
      <c r="M51" s="12">
        <v>35.22</v>
      </c>
      <c r="N51" s="12">
        <v>30</v>
      </c>
      <c r="O51" s="12">
        <v>27.33</v>
      </c>
      <c r="P51" s="28">
        <f t="shared" si="5"/>
        <v>33.367560975609756</v>
      </c>
      <c r="Q51" s="2">
        <v>50023.71</v>
      </c>
      <c r="R51" s="27">
        <v>64</v>
      </c>
      <c r="S51" s="27">
        <v>67350</v>
      </c>
      <c r="T51" s="27">
        <v>42170</v>
      </c>
      <c r="V51" s="27">
        <f t="shared" si="4"/>
        <v>0.62613214550853746</v>
      </c>
      <c r="W51" s="27">
        <v>1905</v>
      </c>
      <c r="X51" s="27" t="s">
        <v>538</v>
      </c>
      <c r="Y51" s="1" t="s">
        <v>539</v>
      </c>
      <c r="Z51" s="27" t="s">
        <v>540</v>
      </c>
      <c r="AA51" s="27" t="s">
        <v>541</v>
      </c>
      <c r="AB51" s="27" t="s">
        <v>542</v>
      </c>
      <c r="AC51" s="1" t="s">
        <v>543</v>
      </c>
      <c r="AD51" s="1" t="s">
        <v>544</v>
      </c>
      <c r="AE51" s="1" t="s">
        <v>545</v>
      </c>
      <c r="AF51" s="4"/>
      <c r="AG51" s="4"/>
      <c r="AH51" s="4"/>
      <c r="AI51" s="4"/>
      <c r="AJ51" s="4"/>
      <c r="AK51" s="4"/>
    </row>
    <row r="52" spans="1:37" x14ac:dyDescent="0.25">
      <c r="A52" s="27" t="s">
        <v>1658</v>
      </c>
      <c r="B52" s="27" t="str">
        <f t="shared" si="0"/>
        <v>Virginia</v>
      </c>
      <c r="C52" s="27" t="str">
        <f t="shared" si="1"/>
        <v>Henry</v>
      </c>
      <c r="D52" s="2">
        <v>2899</v>
      </c>
      <c r="E52" s="2">
        <v>10</v>
      </c>
      <c r="F52" s="2">
        <v>65</v>
      </c>
      <c r="G52" s="2">
        <v>17</v>
      </c>
      <c r="H52" s="2">
        <v>18</v>
      </c>
      <c r="I52" s="27">
        <v>110</v>
      </c>
      <c r="J52" s="27">
        <v>104</v>
      </c>
      <c r="K52" s="2">
        <v>4347</v>
      </c>
      <c r="L52" s="12">
        <v>46.36</v>
      </c>
      <c r="M52" s="12">
        <v>27.37</v>
      </c>
      <c r="N52" s="12">
        <v>21.28</v>
      </c>
      <c r="O52" s="12">
        <v>20.66</v>
      </c>
      <c r="P52" s="28">
        <f t="shared" si="5"/>
        <v>27.057181818181817</v>
      </c>
      <c r="Q52" s="2">
        <v>16481.150000000001</v>
      </c>
      <c r="R52" s="27">
        <v>110</v>
      </c>
      <c r="S52" s="27">
        <v>10585</v>
      </c>
      <c r="T52" s="27">
        <v>14744</v>
      </c>
      <c r="V52" s="27">
        <f t="shared" si="4"/>
        <v>1.3929145016532829</v>
      </c>
      <c r="W52" s="27">
        <v>1905</v>
      </c>
      <c r="X52" s="27" t="s">
        <v>538</v>
      </c>
      <c r="Y52" s="1" t="s">
        <v>539</v>
      </c>
      <c r="Z52" s="27" t="s">
        <v>540</v>
      </c>
      <c r="AA52" s="27" t="s">
        <v>541</v>
      </c>
      <c r="AB52" s="27" t="s">
        <v>542</v>
      </c>
      <c r="AC52" s="1" t="s">
        <v>543</v>
      </c>
      <c r="AD52" s="1" t="s">
        <v>544</v>
      </c>
      <c r="AE52" s="1" t="s">
        <v>545</v>
      </c>
      <c r="AF52" s="4"/>
      <c r="AG52" s="4"/>
      <c r="AH52" s="4"/>
      <c r="AI52" s="4"/>
      <c r="AJ52" s="4"/>
      <c r="AK52" s="4"/>
    </row>
    <row r="53" spans="1:37" x14ac:dyDescent="0.25">
      <c r="A53" s="27" t="s">
        <v>1659</v>
      </c>
      <c r="B53" s="27" t="str">
        <f t="shared" si="0"/>
        <v>Virginia</v>
      </c>
      <c r="C53" s="27" t="str">
        <f t="shared" si="1"/>
        <v>Highland</v>
      </c>
      <c r="D53" s="2">
        <v>955</v>
      </c>
      <c r="E53" s="2">
        <v>16</v>
      </c>
      <c r="F53" s="2">
        <v>28</v>
      </c>
      <c r="G53" s="2"/>
      <c r="H53" s="2"/>
      <c r="I53" s="27">
        <v>44</v>
      </c>
      <c r="J53" s="27">
        <v>88</v>
      </c>
      <c r="K53" s="2">
        <v>1235</v>
      </c>
      <c r="L53" s="12">
        <v>30</v>
      </c>
      <c r="M53" s="12">
        <v>25.29</v>
      </c>
      <c r="P53" s="28">
        <f t="shared" si="5"/>
        <v>27.00272727272727</v>
      </c>
      <c r="Q53" s="2">
        <v>5544.28</v>
      </c>
      <c r="R53" s="27">
        <v>44</v>
      </c>
      <c r="S53" s="27">
        <v>20610</v>
      </c>
      <c r="T53" s="27">
        <v>6202</v>
      </c>
      <c r="V53" s="27">
        <f t="shared" si="4"/>
        <v>0.30092188258127123</v>
      </c>
      <c r="W53" s="27">
        <v>1905</v>
      </c>
      <c r="X53" s="27" t="s">
        <v>538</v>
      </c>
      <c r="Y53" s="1" t="s">
        <v>539</v>
      </c>
      <c r="Z53" s="27" t="s">
        <v>540</v>
      </c>
      <c r="AA53" s="27" t="s">
        <v>541</v>
      </c>
      <c r="AB53" s="27" t="s">
        <v>542</v>
      </c>
      <c r="AC53" s="1" t="s">
        <v>543</v>
      </c>
      <c r="AD53" s="1" t="s">
        <v>544</v>
      </c>
      <c r="AE53" s="1" t="s">
        <v>545</v>
      </c>
      <c r="AF53" s="4"/>
      <c r="AG53" s="4"/>
      <c r="AH53" s="4"/>
      <c r="AI53" s="4"/>
      <c r="AJ53" s="4"/>
      <c r="AK53" s="4"/>
    </row>
    <row r="54" spans="1:37" x14ac:dyDescent="0.25">
      <c r="A54" s="27" t="s">
        <v>1768</v>
      </c>
      <c r="B54" s="27" t="str">
        <f t="shared" si="0"/>
        <v>Virginia</v>
      </c>
      <c r="C54" s="27" t="str">
        <f t="shared" si="1"/>
        <v>Isle Of Wight</v>
      </c>
      <c r="D54" s="2">
        <v>1382</v>
      </c>
      <c r="E54" s="2">
        <v>6</v>
      </c>
      <c r="F54" s="2">
        <v>39</v>
      </c>
      <c r="G54" s="2">
        <v>2</v>
      </c>
      <c r="H54" s="2">
        <v>22</v>
      </c>
      <c r="I54" s="27">
        <v>69</v>
      </c>
      <c r="J54" s="27">
        <v>124</v>
      </c>
      <c r="K54" s="2">
        <v>2588</v>
      </c>
      <c r="L54" s="12">
        <v>47.29</v>
      </c>
      <c r="M54" s="12">
        <v>27.62</v>
      </c>
      <c r="N54" s="12">
        <v>25</v>
      </c>
      <c r="O54" s="12">
        <v>19.649999999999999</v>
      </c>
      <c r="P54" s="28">
        <f t="shared" si="5"/>
        <v>26.713333333333335</v>
      </c>
      <c r="Q54" s="2">
        <v>11110.65</v>
      </c>
      <c r="R54" s="27">
        <v>69</v>
      </c>
      <c r="S54" s="27">
        <v>5985.04</v>
      </c>
      <c r="T54" s="27">
        <v>7841</v>
      </c>
      <c r="V54" s="27">
        <f t="shared" si="4"/>
        <v>1.3100998489567321</v>
      </c>
      <c r="W54" s="27">
        <v>1905</v>
      </c>
      <c r="X54" s="27" t="s">
        <v>538</v>
      </c>
      <c r="Y54" s="1" t="s">
        <v>539</v>
      </c>
      <c r="Z54" s="27" t="s">
        <v>540</v>
      </c>
      <c r="AA54" s="27" t="s">
        <v>541</v>
      </c>
      <c r="AB54" s="27" t="s">
        <v>542</v>
      </c>
      <c r="AC54" s="1" t="s">
        <v>543</v>
      </c>
      <c r="AD54" s="1" t="s">
        <v>544</v>
      </c>
      <c r="AE54" s="1" t="s">
        <v>545</v>
      </c>
      <c r="AF54" s="4"/>
      <c r="AG54" s="4"/>
      <c r="AH54" s="4"/>
      <c r="AI54" s="4"/>
      <c r="AJ54" s="4"/>
      <c r="AK54" s="4"/>
    </row>
    <row r="55" spans="1:37" x14ac:dyDescent="0.25">
      <c r="A55" s="27" t="s">
        <v>1661</v>
      </c>
      <c r="B55" s="27" t="str">
        <f t="shared" si="0"/>
        <v>Virginia</v>
      </c>
      <c r="C55" s="27" t="str">
        <f t="shared" si="1"/>
        <v>James City</v>
      </c>
      <c r="D55" s="2">
        <v>296</v>
      </c>
      <c r="E55" s="2">
        <v>2</v>
      </c>
      <c r="F55" s="2">
        <v>8</v>
      </c>
      <c r="G55" s="2">
        <v>4</v>
      </c>
      <c r="H55" s="2">
        <v>4</v>
      </c>
      <c r="I55" s="27">
        <v>18</v>
      </c>
      <c r="J55" s="27">
        <v>115</v>
      </c>
      <c r="K55" s="2">
        <v>545</v>
      </c>
      <c r="L55" s="12">
        <v>38.299999999999997</v>
      </c>
      <c r="M55" s="12">
        <v>27.12</v>
      </c>
      <c r="N55" s="12">
        <v>22.48</v>
      </c>
      <c r="O55" s="12">
        <v>24</v>
      </c>
      <c r="P55" s="28">
        <f t="shared" si="5"/>
        <v>26.637777777777778</v>
      </c>
      <c r="Q55" s="2">
        <v>3968</v>
      </c>
      <c r="R55" s="27">
        <v>18</v>
      </c>
      <c r="S55" s="27">
        <v>3000</v>
      </c>
      <c r="T55" s="27">
        <v>2869</v>
      </c>
      <c r="V55" s="27">
        <f t="shared" si="4"/>
        <v>0.95633333333333337</v>
      </c>
      <c r="W55" s="27">
        <v>1905</v>
      </c>
      <c r="X55" s="27" t="s">
        <v>538</v>
      </c>
      <c r="Y55" s="1" t="s">
        <v>539</v>
      </c>
      <c r="Z55" s="27" t="s">
        <v>540</v>
      </c>
      <c r="AA55" s="27" t="s">
        <v>541</v>
      </c>
      <c r="AB55" s="27" t="s">
        <v>542</v>
      </c>
      <c r="AC55" s="1" t="s">
        <v>543</v>
      </c>
      <c r="AD55" s="1" t="s">
        <v>544</v>
      </c>
      <c r="AE55" s="1" t="s">
        <v>545</v>
      </c>
      <c r="AF55" s="4"/>
      <c r="AG55" s="4"/>
      <c r="AH55" s="4"/>
      <c r="AI55" s="4"/>
      <c r="AJ55" s="4"/>
      <c r="AK55" s="4"/>
    </row>
    <row r="56" spans="1:37" x14ac:dyDescent="0.25">
      <c r="A56" s="27" t="s">
        <v>1769</v>
      </c>
      <c r="B56" s="27" t="str">
        <f t="shared" si="0"/>
        <v>Virginia</v>
      </c>
      <c r="C56" s="27" t="str">
        <f t="shared" si="1"/>
        <v>King And Queen</v>
      </c>
      <c r="D56" s="2">
        <v>944</v>
      </c>
      <c r="E56" s="2">
        <v>2</v>
      </c>
      <c r="F56" s="2">
        <v>27</v>
      </c>
      <c r="G56" s="2">
        <v>5</v>
      </c>
      <c r="H56" s="2">
        <v>16</v>
      </c>
      <c r="I56" s="27">
        <v>50</v>
      </c>
      <c r="J56" s="27">
        <v>109</v>
      </c>
      <c r="K56" s="2">
        <v>1827</v>
      </c>
      <c r="L56" s="12">
        <v>22.5</v>
      </c>
      <c r="M56" s="12">
        <v>24.03</v>
      </c>
      <c r="N56" s="12">
        <v>21.38</v>
      </c>
      <c r="O56" s="12">
        <v>22.05</v>
      </c>
      <c r="P56" s="28">
        <f t="shared" si="5"/>
        <v>23.0702</v>
      </c>
      <c r="Q56" s="2">
        <v>6511.32</v>
      </c>
      <c r="R56" s="27">
        <v>50</v>
      </c>
      <c r="S56" s="27">
        <v>9233.75</v>
      </c>
      <c r="T56" s="27">
        <v>6255</v>
      </c>
      <c r="U56" s="27">
        <v>329</v>
      </c>
      <c r="V56" s="27">
        <f t="shared" si="4"/>
        <v>0.71303641532421824</v>
      </c>
      <c r="W56" s="27">
        <v>1905</v>
      </c>
      <c r="X56" s="27" t="s">
        <v>538</v>
      </c>
      <c r="Y56" s="1" t="s">
        <v>539</v>
      </c>
      <c r="Z56" s="27" t="s">
        <v>540</v>
      </c>
      <c r="AA56" s="27" t="s">
        <v>541</v>
      </c>
      <c r="AB56" s="27" t="s">
        <v>542</v>
      </c>
      <c r="AC56" s="1" t="s">
        <v>543</v>
      </c>
      <c r="AD56" s="1" t="s">
        <v>544</v>
      </c>
      <c r="AE56" s="1" t="s">
        <v>545</v>
      </c>
      <c r="AF56" s="4"/>
      <c r="AG56" s="4"/>
      <c r="AH56" s="4"/>
      <c r="AI56" s="4"/>
      <c r="AJ56" s="4"/>
      <c r="AK56" s="4"/>
    </row>
    <row r="57" spans="1:37" x14ac:dyDescent="0.25">
      <c r="A57" s="27" t="s">
        <v>1663</v>
      </c>
      <c r="B57" s="27" t="str">
        <f t="shared" si="0"/>
        <v>Virginia</v>
      </c>
      <c r="C57" s="27" t="str">
        <f t="shared" si="1"/>
        <v>King George</v>
      </c>
      <c r="D57" s="2">
        <v>675</v>
      </c>
      <c r="E57" s="2">
        <v>8</v>
      </c>
      <c r="F57" s="2">
        <v>14</v>
      </c>
      <c r="G57" s="2">
        <v>6</v>
      </c>
      <c r="H57" s="2">
        <v>6</v>
      </c>
      <c r="I57" s="27">
        <v>34</v>
      </c>
      <c r="J57" s="27">
        <v>129</v>
      </c>
      <c r="K57" s="2">
        <v>1413</v>
      </c>
      <c r="L57" s="12">
        <v>25</v>
      </c>
      <c r="M57" s="12">
        <v>25</v>
      </c>
      <c r="N57" s="12">
        <v>22.92</v>
      </c>
      <c r="O57" s="12">
        <v>23.75</v>
      </c>
      <c r="P57" s="28">
        <f t="shared" si="5"/>
        <v>24.412352941176469</v>
      </c>
      <c r="Q57" s="2">
        <v>5939.19</v>
      </c>
      <c r="R57" s="27">
        <v>34</v>
      </c>
      <c r="S57" s="27">
        <v>5700</v>
      </c>
      <c r="T57" s="27">
        <v>5825</v>
      </c>
      <c r="V57" s="27">
        <f t="shared" si="4"/>
        <v>1.0219298245614035</v>
      </c>
      <c r="W57" s="27">
        <v>1905</v>
      </c>
      <c r="X57" s="27" t="s">
        <v>538</v>
      </c>
      <c r="Y57" s="1" t="s">
        <v>539</v>
      </c>
      <c r="Z57" s="27" t="s">
        <v>540</v>
      </c>
      <c r="AA57" s="27" t="s">
        <v>541</v>
      </c>
      <c r="AB57" s="27" t="s">
        <v>542</v>
      </c>
      <c r="AC57" s="1" t="s">
        <v>543</v>
      </c>
      <c r="AD57" s="1" t="s">
        <v>544</v>
      </c>
      <c r="AE57" s="1" t="s">
        <v>545</v>
      </c>
      <c r="AF57" s="4"/>
      <c r="AG57" s="4"/>
      <c r="AH57" s="4"/>
      <c r="AI57" s="4"/>
      <c r="AJ57" s="4"/>
      <c r="AK57" s="4"/>
    </row>
    <row r="58" spans="1:37" x14ac:dyDescent="0.25">
      <c r="A58" s="27" t="s">
        <v>1664</v>
      </c>
      <c r="B58" s="27" t="str">
        <f t="shared" si="0"/>
        <v>Virginia</v>
      </c>
      <c r="C58" s="27" t="str">
        <f t="shared" si="1"/>
        <v>King William</v>
      </c>
      <c r="D58" s="2">
        <v>899</v>
      </c>
      <c r="E58" s="2">
        <v>1</v>
      </c>
      <c r="F58" s="2">
        <v>22</v>
      </c>
      <c r="G58" s="2">
        <v>3</v>
      </c>
      <c r="H58" s="2">
        <v>17</v>
      </c>
      <c r="I58" s="27">
        <v>43</v>
      </c>
      <c r="J58" s="27">
        <v>130</v>
      </c>
      <c r="K58" s="2">
        <v>1645</v>
      </c>
      <c r="L58" s="12">
        <v>25</v>
      </c>
      <c r="M58" s="12">
        <v>27.39</v>
      </c>
      <c r="N58" s="12">
        <v>24.25</v>
      </c>
      <c r="O58" s="12">
        <v>20</v>
      </c>
      <c r="P58" s="28">
        <f t="shared" si="5"/>
        <v>24.193720930232555</v>
      </c>
      <c r="Q58" s="2">
        <v>8470.7900000000009</v>
      </c>
      <c r="R58" s="27">
        <v>43</v>
      </c>
      <c r="S58" s="27">
        <v>9000</v>
      </c>
      <c r="T58" s="27">
        <v>7004</v>
      </c>
      <c r="V58" s="27">
        <f t="shared" si="4"/>
        <v>0.77822222222222226</v>
      </c>
      <c r="W58" s="27">
        <v>1905</v>
      </c>
      <c r="X58" s="27" t="s">
        <v>538</v>
      </c>
      <c r="Y58" s="1" t="s">
        <v>539</v>
      </c>
      <c r="Z58" s="27" t="s">
        <v>540</v>
      </c>
      <c r="AA58" s="27" t="s">
        <v>541</v>
      </c>
      <c r="AB58" s="27" t="s">
        <v>542</v>
      </c>
      <c r="AC58" s="1" t="s">
        <v>543</v>
      </c>
      <c r="AD58" s="1" t="s">
        <v>544</v>
      </c>
      <c r="AE58" s="1" t="s">
        <v>545</v>
      </c>
      <c r="AF58" s="4"/>
      <c r="AG58" s="4"/>
      <c r="AH58" s="4"/>
      <c r="AI58" s="4"/>
      <c r="AJ58" s="4"/>
      <c r="AK58" s="4"/>
    </row>
    <row r="59" spans="1:37" x14ac:dyDescent="0.25">
      <c r="A59" s="27" t="s">
        <v>1665</v>
      </c>
      <c r="B59" s="27" t="str">
        <f t="shared" si="0"/>
        <v>Virginia</v>
      </c>
      <c r="C59" s="27" t="str">
        <f t="shared" si="1"/>
        <v>Lancaster</v>
      </c>
      <c r="D59" s="2">
        <v>939</v>
      </c>
      <c r="E59" s="2">
        <v>2</v>
      </c>
      <c r="F59" s="2">
        <v>25</v>
      </c>
      <c r="G59" s="2">
        <v>3</v>
      </c>
      <c r="H59" s="2">
        <v>12</v>
      </c>
      <c r="I59" s="27">
        <v>42</v>
      </c>
      <c r="J59" s="27">
        <v>120</v>
      </c>
      <c r="K59" s="2">
        <v>1735</v>
      </c>
      <c r="L59" s="12">
        <v>27.5</v>
      </c>
      <c r="M59" s="12">
        <v>27.5</v>
      </c>
      <c r="N59" s="12">
        <v>27.5</v>
      </c>
      <c r="O59" s="12">
        <v>25.62</v>
      </c>
      <c r="P59" s="28">
        <f t="shared" si="5"/>
        <v>26.962857142857143</v>
      </c>
      <c r="Q59" s="2">
        <v>7296.84</v>
      </c>
      <c r="R59" s="27">
        <v>37</v>
      </c>
      <c r="S59" s="27">
        <v>8050</v>
      </c>
      <c r="T59" s="27">
        <v>5881</v>
      </c>
      <c r="U59" s="27">
        <v>321</v>
      </c>
      <c r="V59" s="27">
        <f t="shared" si="4"/>
        <v>0.77043478260869569</v>
      </c>
      <c r="W59" s="27">
        <v>1905</v>
      </c>
      <c r="X59" s="27" t="s">
        <v>538</v>
      </c>
      <c r="Y59" s="1" t="s">
        <v>539</v>
      </c>
      <c r="Z59" s="27" t="s">
        <v>540</v>
      </c>
      <c r="AA59" s="27" t="s">
        <v>541</v>
      </c>
      <c r="AB59" s="27" t="s">
        <v>542</v>
      </c>
      <c r="AC59" s="1" t="s">
        <v>543</v>
      </c>
      <c r="AD59" s="1" t="s">
        <v>544</v>
      </c>
      <c r="AE59" s="1" t="s">
        <v>545</v>
      </c>
      <c r="AF59" s="4"/>
      <c r="AG59" s="4"/>
      <c r="AH59" s="4"/>
      <c r="AI59" s="4"/>
      <c r="AJ59" s="4"/>
      <c r="AK59" s="4"/>
    </row>
    <row r="60" spans="1:37" x14ac:dyDescent="0.25">
      <c r="A60" s="27" t="s">
        <v>1666</v>
      </c>
      <c r="B60" s="27" t="str">
        <f t="shared" si="0"/>
        <v>Virginia</v>
      </c>
      <c r="C60" s="27" t="str">
        <f t="shared" si="1"/>
        <v>Lee</v>
      </c>
      <c r="D60" s="2">
        <v>2608</v>
      </c>
      <c r="E60" s="2">
        <v>42</v>
      </c>
      <c r="F60" s="2">
        <v>44</v>
      </c>
      <c r="G60" s="2"/>
      <c r="H60" s="2">
        <v>4</v>
      </c>
      <c r="I60" s="27">
        <v>90</v>
      </c>
      <c r="J60" s="27">
        <v>124</v>
      </c>
      <c r="K60" s="2">
        <v>4925</v>
      </c>
      <c r="L60" s="12">
        <v>27</v>
      </c>
      <c r="M60" s="12">
        <v>26.2</v>
      </c>
      <c r="O60" s="12">
        <v>20.25</v>
      </c>
      <c r="P60" s="28">
        <f t="shared" si="5"/>
        <v>26.308888888888891</v>
      </c>
      <c r="Q60" s="2">
        <v>15398.69</v>
      </c>
      <c r="R60" s="27">
        <v>90</v>
      </c>
      <c r="S60" s="27">
        <v>27550</v>
      </c>
      <c r="T60" s="27">
        <v>15188</v>
      </c>
      <c r="V60" s="27">
        <f t="shared" si="4"/>
        <v>0.55128856624319422</v>
      </c>
      <c r="W60" s="27">
        <v>1905</v>
      </c>
      <c r="X60" s="27" t="s">
        <v>538</v>
      </c>
      <c r="Y60" s="1" t="s">
        <v>539</v>
      </c>
      <c r="Z60" s="27" t="s">
        <v>540</v>
      </c>
      <c r="AA60" s="27" t="s">
        <v>541</v>
      </c>
      <c r="AB60" s="27" t="s">
        <v>542</v>
      </c>
      <c r="AC60" s="1" t="s">
        <v>543</v>
      </c>
      <c r="AD60" s="1" t="s">
        <v>544</v>
      </c>
      <c r="AE60" s="1" t="s">
        <v>545</v>
      </c>
      <c r="AF60" s="4"/>
      <c r="AG60" s="4"/>
      <c r="AH60" s="4"/>
      <c r="AI60" s="4"/>
      <c r="AJ60" s="4"/>
      <c r="AK60" s="4"/>
    </row>
    <row r="61" spans="1:37" x14ac:dyDescent="0.25">
      <c r="A61" s="27" t="s">
        <v>1667</v>
      </c>
      <c r="B61" s="27" t="str">
        <f t="shared" si="0"/>
        <v>Virginia</v>
      </c>
      <c r="C61" s="27" t="str">
        <f t="shared" si="1"/>
        <v>Loudoun</v>
      </c>
      <c r="D61" s="2">
        <v>2300</v>
      </c>
      <c r="E61" s="2">
        <v>23</v>
      </c>
      <c r="F61" s="2">
        <v>69</v>
      </c>
      <c r="G61" s="2">
        <v>14</v>
      </c>
      <c r="H61" s="2">
        <v>14</v>
      </c>
      <c r="I61" s="27">
        <v>120</v>
      </c>
      <c r="J61" s="27">
        <v>143</v>
      </c>
      <c r="K61" s="2">
        <v>4064</v>
      </c>
      <c r="L61" s="12">
        <v>39.68</v>
      </c>
      <c r="M61" s="12">
        <v>33.200000000000003</v>
      </c>
      <c r="N61" s="12">
        <v>26.6</v>
      </c>
      <c r="O61" s="12">
        <v>24.45</v>
      </c>
      <c r="P61" s="28">
        <f t="shared" si="5"/>
        <v>32.651166666666668</v>
      </c>
      <c r="Q61" s="2">
        <v>33597.49</v>
      </c>
      <c r="R61" s="27">
        <v>120</v>
      </c>
      <c r="S61" s="27">
        <v>55700</v>
      </c>
      <c r="T61" s="27">
        <v>33110</v>
      </c>
      <c r="V61" s="27">
        <f t="shared" si="4"/>
        <v>0.5944344703770198</v>
      </c>
      <c r="W61" s="27">
        <v>1905</v>
      </c>
      <c r="X61" s="27" t="s">
        <v>538</v>
      </c>
      <c r="Y61" s="1" t="s">
        <v>539</v>
      </c>
      <c r="Z61" s="27" t="s">
        <v>540</v>
      </c>
      <c r="AA61" s="27" t="s">
        <v>541</v>
      </c>
      <c r="AB61" s="27" t="s">
        <v>542</v>
      </c>
      <c r="AC61" s="1" t="s">
        <v>543</v>
      </c>
      <c r="AD61" s="1" t="s">
        <v>544</v>
      </c>
      <c r="AE61" s="1" t="s">
        <v>545</v>
      </c>
      <c r="AF61" s="4"/>
      <c r="AG61" s="4"/>
      <c r="AH61" s="4"/>
      <c r="AI61" s="4"/>
      <c r="AJ61" s="4"/>
      <c r="AK61" s="4"/>
    </row>
    <row r="62" spans="1:37" x14ac:dyDescent="0.25">
      <c r="A62" s="27" t="s">
        <v>1668</v>
      </c>
      <c r="B62" s="27" t="str">
        <f t="shared" si="0"/>
        <v>Virginia</v>
      </c>
      <c r="C62" s="27" t="str">
        <f t="shared" si="1"/>
        <v>Louisa</v>
      </c>
      <c r="D62" s="2">
        <v>1394</v>
      </c>
      <c r="E62" s="2">
        <v>9</v>
      </c>
      <c r="F62" s="2">
        <v>75</v>
      </c>
      <c r="G62" s="2">
        <v>1</v>
      </c>
      <c r="H62" s="2">
        <v>19</v>
      </c>
      <c r="I62" s="27">
        <v>104</v>
      </c>
      <c r="J62" s="27">
        <v>117</v>
      </c>
      <c r="K62" s="2">
        <v>2759</v>
      </c>
      <c r="L62" s="12">
        <v>22.26</v>
      </c>
      <c r="M62" s="12">
        <v>20.260000000000002</v>
      </c>
      <c r="N62" s="12">
        <v>22</v>
      </c>
      <c r="O62" s="12">
        <v>18.899999999999999</v>
      </c>
      <c r="P62" s="28">
        <f t="shared" si="5"/>
        <v>20.201346153846153</v>
      </c>
      <c r="Q62" s="2">
        <v>12877.7</v>
      </c>
      <c r="R62" s="27">
        <v>104</v>
      </c>
      <c r="S62" s="27">
        <v>5400</v>
      </c>
      <c r="T62" s="27">
        <v>12858</v>
      </c>
      <c r="V62" s="27">
        <f t="shared" si="4"/>
        <v>2.3811111111111112</v>
      </c>
      <c r="W62" s="27">
        <v>1905</v>
      </c>
      <c r="X62" s="27" t="s">
        <v>538</v>
      </c>
      <c r="Y62" s="1" t="s">
        <v>539</v>
      </c>
      <c r="Z62" s="27" t="s">
        <v>540</v>
      </c>
      <c r="AA62" s="27" t="s">
        <v>541</v>
      </c>
      <c r="AB62" s="27" t="s">
        <v>542</v>
      </c>
      <c r="AC62" s="1" t="s">
        <v>543</v>
      </c>
      <c r="AD62" s="1" t="s">
        <v>544</v>
      </c>
      <c r="AE62" s="1" t="s">
        <v>545</v>
      </c>
      <c r="AF62" s="4"/>
      <c r="AG62" s="4"/>
      <c r="AH62" s="4"/>
      <c r="AI62" s="4"/>
      <c r="AJ62" s="4"/>
      <c r="AK62" s="4"/>
    </row>
    <row r="63" spans="1:37" x14ac:dyDescent="0.25">
      <c r="A63" s="27" t="s">
        <v>1669</v>
      </c>
      <c r="B63" s="27" t="str">
        <f t="shared" si="0"/>
        <v>Virginia</v>
      </c>
      <c r="C63" s="27" t="str">
        <f t="shared" si="1"/>
        <v>Lunenburg</v>
      </c>
      <c r="D63" s="2">
        <v>1227</v>
      </c>
      <c r="E63" s="2"/>
      <c r="F63" s="2">
        <v>40</v>
      </c>
      <c r="G63" s="2">
        <v>3</v>
      </c>
      <c r="H63" s="2">
        <v>19</v>
      </c>
      <c r="I63" s="27">
        <v>62</v>
      </c>
      <c r="J63" s="27">
        <v>104</v>
      </c>
      <c r="K63" s="2">
        <v>2378</v>
      </c>
      <c r="M63" s="12">
        <v>24.67</v>
      </c>
      <c r="N63" s="12">
        <v>20.329999999999998</v>
      </c>
      <c r="O63" s="12">
        <v>19.899999999999999</v>
      </c>
      <c r="P63" s="28">
        <f t="shared" si="5"/>
        <v>22.998225806451611</v>
      </c>
      <c r="Q63" s="2">
        <v>8624.91</v>
      </c>
      <c r="R63" s="27">
        <v>62</v>
      </c>
      <c r="S63" s="27">
        <v>4252.46</v>
      </c>
      <c r="T63" s="27">
        <v>9051</v>
      </c>
      <c r="V63" s="27">
        <f t="shared" si="4"/>
        <v>2.1284150820936589</v>
      </c>
      <c r="W63" s="27">
        <v>1905</v>
      </c>
      <c r="X63" s="27" t="s">
        <v>538</v>
      </c>
      <c r="Y63" s="1" t="s">
        <v>539</v>
      </c>
      <c r="Z63" s="27" t="s">
        <v>540</v>
      </c>
      <c r="AA63" s="27" t="s">
        <v>541</v>
      </c>
      <c r="AB63" s="27" t="s">
        <v>542</v>
      </c>
      <c r="AC63" s="1" t="s">
        <v>543</v>
      </c>
      <c r="AD63" s="1" t="s">
        <v>544</v>
      </c>
      <c r="AE63" s="1" t="s">
        <v>545</v>
      </c>
      <c r="AF63" s="4"/>
      <c r="AG63" s="4"/>
      <c r="AH63" s="4"/>
      <c r="AI63" s="4"/>
      <c r="AJ63" s="4"/>
      <c r="AK63" s="4"/>
    </row>
    <row r="64" spans="1:37" x14ac:dyDescent="0.25">
      <c r="A64" s="27" t="s">
        <v>1731</v>
      </c>
      <c r="B64" s="27" t="str">
        <f t="shared" si="0"/>
        <v>Virginia</v>
      </c>
      <c r="C64" s="27" t="str">
        <f t="shared" si="1"/>
        <v>Lynchburg</v>
      </c>
      <c r="D64" s="2">
        <v>2824</v>
      </c>
      <c r="E64" s="2">
        <v>7</v>
      </c>
      <c r="F64" s="2">
        <v>50</v>
      </c>
      <c r="G64" s="2">
        <v>1</v>
      </c>
      <c r="H64" s="2">
        <v>19</v>
      </c>
      <c r="I64" s="27">
        <v>77</v>
      </c>
      <c r="J64" s="27">
        <v>185</v>
      </c>
      <c r="K64" s="2">
        <v>3544</v>
      </c>
      <c r="L64" s="12">
        <v>99.41</v>
      </c>
      <c r="M64" s="12">
        <v>50.43</v>
      </c>
      <c r="N64" s="12">
        <v>36</v>
      </c>
      <c r="O64" s="12">
        <v>36.71</v>
      </c>
      <c r="P64" s="28">
        <f t="shared" si="5"/>
        <v>51.309870129870127</v>
      </c>
      <c r="Q64" s="2">
        <v>46588.21</v>
      </c>
      <c r="R64" s="27">
        <v>69</v>
      </c>
      <c r="S64" s="27">
        <v>130000</v>
      </c>
      <c r="W64" s="27">
        <v>1905</v>
      </c>
      <c r="X64" s="27" t="s">
        <v>538</v>
      </c>
      <c r="Y64" s="1" t="s">
        <v>539</v>
      </c>
      <c r="Z64" s="27" t="s">
        <v>540</v>
      </c>
      <c r="AA64" s="27" t="s">
        <v>541</v>
      </c>
      <c r="AB64" s="27" t="s">
        <v>542</v>
      </c>
      <c r="AC64" s="1" t="s">
        <v>543</v>
      </c>
      <c r="AD64" s="1" t="s">
        <v>544</v>
      </c>
      <c r="AE64" s="1" t="s">
        <v>545</v>
      </c>
      <c r="AF64" s="4"/>
      <c r="AG64" s="4"/>
      <c r="AH64" s="4"/>
      <c r="AI64" s="4"/>
      <c r="AJ64" s="4"/>
      <c r="AK64" s="4"/>
    </row>
    <row r="65" spans="1:37" x14ac:dyDescent="0.25">
      <c r="A65" s="27" t="s">
        <v>1670</v>
      </c>
      <c r="B65" s="27" t="str">
        <f t="shared" si="0"/>
        <v>Virginia</v>
      </c>
      <c r="C65" s="27" t="str">
        <f t="shared" si="1"/>
        <v>Madison</v>
      </c>
      <c r="D65" s="2">
        <v>1271</v>
      </c>
      <c r="E65" s="2">
        <v>12</v>
      </c>
      <c r="F65" s="2">
        <v>36</v>
      </c>
      <c r="G65" s="2">
        <v>7</v>
      </c>
      <c r="H65" s="2">
        <v>13</v>
      </c>
      <c r="I65" s="27">
        <v>68</v>
      </c>
      <c r="J65" s="27">
        <v>100</v>
      </c>
      <c r="K65" s="2">
        <v>2250</v>
      </c>
      <c r="L65" s="12">
        <v>21.5</v>
      </c>
      <c r="M65" s="12">
        <v>21.41</v>
      </c>
      <c r="N65" s="12">
        <v>21</v>
      </c>
      <c r="O65" s="12">
        <v>16.5</v>
      </c>
      <c r="P65" s="28">
        <f t="shared" si="5"/>
        <v>20.445</v>
      </c>
      <c r="Q65" s="2">
        <v>8274.99</v>
      </c>
      <c r="R65" s="27">
        <v>68</v>
      </c>
      <c r="S65" s="27">
        <v>2600</v>
      </c>
      <c r="T65" s="27">
        <v>7966</v>
      </c>
      <c r="V65" s="27">
        <f t="shared" si="4"/>
        <v>3.0638461538461539</v>
      </c>
      <c r="W65" s="27">
        <v>1905</v>
      </c>
      <c r="X65" s="27" t="s">
        <v>538</v>
      </c>
      <c r="Y65" s="1" t="s">
        <v>539</v>
      </c>
      <c r="Z65" s="27" t="s">
        <v>540</v>
      </c>
      <c r="AA65" s="27" t="s">
        <v>541</v>
      </c>
      <c r="AB65" s="27" t="s">
        <v>542</v>
      </c>
      <c r="AC65" s="1" t="s">
        <v>543</v>
      </c>
      <c r="AD65" s="1" t="s">
        <v>544</v>
      </c>
      <c r="AE65" s="1" t="s">
        <v>545</v>
      </c>
      <c r="AF65" s="4"/>
      <c r="AG65" s="4"/>
      <c r="AH65" s="4"/>
      <c r="AI65" s="4"/>
      <c r="AJ65" s="4"/>
      <c r="AK65" s="4"/>
    </row>
    <row r="66" spans="1:37" x14ac:dyDescent="0.25">
      <c r="A66" s="27" t="s">
        <v>1770</v>
      </c>
      <c r="B66" s="27" t="str">
        <f t="shared" ref="B66:B122" si="6">LEFT(A66,FIND(";",A66)-1)</f>
        <v>Virginia</v>
      </c>
      <c r="C66" s="27" t="str">
        <f t="shared" ref="C66:C122" si="7">MID(A66,FIND(";",A66)+1,100)</f>
        <v>Manchester</v>
      </c>
      <c r="D66" s="2">
        <v>1158</v>
      </c>
      <c r="E66" s="2">
        <v>2</v>
      </c>
      <c r="F66" s="2">
        <v>16</v>
      </c>
      <c r="G66" s="2">
        <v>2</v>
      </c>
      <c r="H66" s="2">
        <v>7</v>
      </c>
      <c r="I66" s="27">
        <v>27</v>
      </c>
      <c r="J66" s="27">
        <v>180</v>
      </c>
      <c r="K66" s="2">
        <v>1502</v>
      </c>
      <c r="L66" s="12">
        <v>78.88</v>
      </c>
      <c r="M66" s="12">
        <v>32.08</v>
      </c>
      <c r="N66" s="12">
        <v>55.3</v>
      </c>
      <c r="O66" s="12">
        <v>33.08</v>
      </c>
      <c r="P66" s="28">
        <f t="shared" ref="P66:P97" si="8">(E66*L66+F66*M66+G66*N66+H66*O66)/I66</f>
        <v>37.525925925925925</v>
      </c>
      <c r="Q66" s="2">
        <v>13201.65</v>
      </c>
      <c r="R66" s="27">
        <v>26</v>
      </c>
      <c r="S66" s="27">
        <v>41723</v>
      </c>
      <c r="W66" s="27">
        <v>1905</v>
      </c>
      <c r="X66" s="27" t="s">
        <v>538</v>
      </c>
      <c r="Y66" s="1" t="s">
        <v>539</v>
      </c>
      <c r="Z66" s="27" t="s">
        <v>540</v>
      </c>
      <c r="AA66" s="27" t="s">
        <v>541</v>
      </c>
      <c r="AB66" s="27" t="s">
        <v>542</v>
      </c>
      <c r="AC66" s="1" t="s">
        <v>543</v>
      </c>
      <c r="AD66" s="1" t="s">
        <v>544</v>
      </c>
      <c r="AE66" s="1" t="s">
        <v>545</v>
      </c>
      <c r="AF66" s="4"/>
      <c r="AG66" s="4"/>
      <c r="AH66" s="4"/>
      <c r="AI66" s="4"/>
      <c r="AJ66" s="4"/>
      <c r="AK66" s="4"/>
    </row>
    <row r="67" spans="1:37" x14ac:dyDescent="0.25">
      <c r="A67" s="27" t="s">
        <v>1671</v>
      </c>
      <c r="B67" s="27" t="str">
        <f t="shared" si="6"/>
        <v>Virginia</v>
      </c>
      <c r="C67" s="27" t="str">
        <f t="shared" si="7"/>
        <v>Mathews</v>
      </c>
      <c r="D67" s="2">
        <v>900</v>
      </c>
      <c r="E67" s="2">
        <v>1</v>
      </c>
      <c r="F67" s="2">
        <v>27</v>
      </c>
      <c r="G67" s="2">
        <v>2</v>
      </c>
      <c r="H67" s="2">
        <v>10</v>
      </c>
      <c r="I67" s="27">
        <v>40</v>
      </c>
      <c r="J67" s="27">
        <v>114</v>
      </c>
      <c r="K67" s="2">
        <v>1523</v>
      </c>
      <c r="L67" s="12">
        <v>27.5</v>
      </c>
      <c r="M67" s="12">
        <v>28.65</v>
      </c>
      <c r="N67" s="12">
        <v>21.01</v>
      </c>
      <c r="O67" s="12">
        <v>18.93</v>
      </c>
      <c r="P67" s="28">
        <f t="shared" si="8"/>
        <v>25.809249999999999</v>
      </c>
      <c r="Q67" s="2">
        <v>6483.79</v>
      </c>
      <c r="R67" s="27">
        <v>40</v>
      </c>
      <c r="S67" s="27">
        <v>10400</v>
      </c>
      <c r="T67" s="27">
        <v>5832</v>
      </c>
      <c r="V67" s="27">
        <f t="shared" ref="V67:V119" si="9">(T67+U67)/S67</f>
        <v>0.5607692307692308</v>
      </c>
      <c r="W67" s="27">
        <v>1905</v>
      </c>
      <c r="X67" s="27" t="s">
        <v>538</v>
      </c>
      <c r="Y67" s="1" t="s">
        <v>539</v>
      </c>
      <c r="Z67" s="27" t="s">
        <v>540</v>
      </c>
      <c r="AA67" s="27" t="s">
        <v>541</v>
      </c>
      <c r="AB67" s="27" t="s">
        <v>542</v>
      </c>
      <c r="AC67" s="1" t="s">
        <v>543</v>
      </c>
      <c r="AD67" s="1" t="s">
        <v>544</v>
      </c>
      <c r="AE67" s="1" t="s">
        <v>545</v>
      </c>
      <c r="AF67" s="4"/>
      <c r="AG67" s="4"/>
      <c r="AH67" s="4"/>
      <c r="AI67" s="4"/>
      <c r="AJ67" s="4"/>
      <c r="AK67" s="4"/>
    </row>
    <row r="68" spans="1:37" x14ac:dyDescent="0.25">
      <c r="A68" s="27" t="s">
        <v>1771</v>
      </c>
      <c r="B68" s="27" t="str">
        <f t="shared" si="6"/>
        <v>Virginia</v>
      </c>
      <c r="C68" s="27" t="str">
        <f t="shared" si="7"/>
        <v>Mecklenburg</v>
      </c>
      <c r="D68" s="2">
        <v>2732</v>
      </c>
      <c r="E68" s="2">
        <v>8</v>
      </c>
      <c r="F68" s="2">
        <v>60</v>
      </c>
      <c r="G68" s="2">
        <v>25</v>
      </c>
      <c r="H68" s="2">
        <v>24</v>
      </c>
      <c r="I68" s="27">
        <v>117</v>
      </c>
      <c r="J68" s="27">
        <v>117</v>
      </c>
      <c r="K68" s="2">
        <v>5403</v>
      </c>
      <c r="L68" s="12">
        <v>48</v>
      </c>
      <c r="M68" s="12">
        <v>29.43</v>
      </c>
      <c r="N68" s="12">
        <v>21.54</v>
      </c>
      <c r="O68" s="12">
        <v>19.239999999999998</v>
      </c>
      <c r="P68" s="28">
        <f t="shared" si="8"/>
        <v>26.923589743589748</v>
      </c>
      <c r="Q68" s="2">
        <v>22068.19</v>
      </c>
      <c r="R68" s="27">
        <v>108</v>
      </c>
      <c r="S68" s="27">
        <v>28180</v>
      </c>
      <c r="T68" s="27">
        <v>22996</v>
      </c>
      <c r="V68" s="27">
        <f t="shared" si="9"/>
        <v>0.81603974449964511</v>
      </c>
      <c r="W68" s="27">
        <v>1905</v>
      </c>
      <c r="X68" s="27" t="s">
        <v>538</v>
      </c>
      <c r="Y68" s="1" t="s">
        <v>539</v>
      </c>
      <c r="Z68" s="27" t="s">
        <v>540</v>
      </c>
      <c r="AA68" s="27" t="s">
        <v>541</v>
      </c>
      <c r="AB68" s="27" t="s">
        <v>542</v>
      </c>
      <c r="AC68" s="1" t="s">
        <v>543</v>
      </c>
      <c r="AD68" s="1" t="s">
        <v>544</v>
      </c>
      <c r="AE68" s="1" t="s">
        <v>545</v>
      </c>
      <c r="AF68" s="4"/>
      <c r="AG68" s="4"/>
      <c r="AH68" s="4"/>
      <c r="AI68" s="4"/>
      <c r="AJ68" s="4"/>
      <c r="AK68" s="4"/>
    </row>
    <row r="69" spans="1:37" x14ac:dyDescent="0.25">
      <c r="A69" s="27" t="s">
        <v>1672</v>
      </c>
      <c r="B69" s="27" t="str">
        <f t="shared" si="6"/>
        <v>Virginia</v>
      </c>
      <c r="C69" s="27" t="str">
        <f t="shared" si="7"/>
        <v>Middlesex</v>
      </c>
      <c r="D69" s="2">
        <v>843</v>
      </c>
      <c r="E69" s="2">
        <v>1</v>
      </c>
      <c r="F69" s="2">
        <v>22</v>
      </c>
      <c r="G69" s="2">
        <v>4</v>
      </c>
      <c r="H69" s="2">
        <v>9</v>
      </c>
      <c r="I69" s="27">
        <v>36</v>
      </c>
      <c r="J69" s="27">
        <v>130</v>
      </c>
      <c r="K69" s="2">
        <v>1630</v>
      </c>
      <c r="L69" s="12">
        <v>25</v>
      </c>
      <c r="M69" s="12">
        <v>25.14</v>
      </c>
      <c r="N69" s="12">
        <v>23.09</v>
      </c>
      <c r="O69" s="12">
        <v>22.68</v>
      </c>
      <c r="P69" s="28">
        <f t="shared" si="8"/>
        <v>24.293333333333337</v>
      </c>
      <c r="Q69" s="2">
        <v>6763.24</v>
      </c>
      <c r="R69" s="27">
        <v>36</v>
      </c>
      <c r="S69" s="27">
        <v>7100</v>
      </c>
      <c r="T69" s="27">
        <v>4861</v>
      </c>
      <c r="U69" s="27">
        <v>270</v>
      </c>
      <c r="V69" s="27">
        <f t="shared" si="9"/>
        <v>0.72267605633802812</v>
      </c>
      <c r="W69" s="27">
        <v>1905</v>
      </c>
      <c r="X69" s="27" t="s">
        <v>538</v>
      </c>
      <c r="Y69" s="1" t="s">
        <v>539</v>
      </c>
      <c r="Z69" s="27" t="s">
        <v>540</v>
      </c>
      <c r="AA69" s="27" t="s">
        <v>541</v>
      </c>
      <c r="AB69" s="27" t="s">
        <v>542</v>
      </c>
      <c r="AC69" s="1" t="s">
        <v>543</v>
      </c>
      <c r="AD69" s="1" t="s">
        <v>544</v>
      </c>
      <c r="AE69" s="1" t="s">
        <v>545</v>
      </c>
      <c r="AF69" s="4"/>
      <c r="AG69" s="4"/>
      <c r="AH69" s="4"/>
      <c r="AI69" s="4"/>
      <c r="AJ69" s="4"/>
      <c r="AK69" s="4"/>
    </row>
    <row r="70" spans="1:37" x14ac:dyDescent="0.25">
      <c r="A70" s="27" t="s">
        <v>1673</v>
      </c>
      <c r="B70" s="27" t="str">
        <f t="shared" si="6"/>
        <v>Virginia</v>
      </c>
      <c r="C70" s="27" t="str">
        <f t="shared" si="7"/>
        <v>Montgomery</v>
      </c>
      <c r="D70" s="2">
        <v>2118</v>
      </c>
      <c r="E70" s="2">
        <v>21</v>
      </c>
      <c r="F70" s="2">
        <v>54</v>
      </c>
      <c r="G70" s="2">
        <v>5</v>
      </c>
      <c r="H70" s="2">
        <v>9</v>
      </c>
      <c r="I70" s="27">
        <v>89</v>
      </c>
      <c r="J70" s="27">
        <v>116</v>
      </c>
      <c r="K70" s="2">
        <v>3622</v>
      </c>
      <c r="L70" s="12">
        <v>37.89</v>
      </c>
      <c r="M70" s="12">
        <v>28.62</v>
      </c>
      <c r="N70" s="12">
        <v>30.35</v>
      </c>
      <c r="O70" s="12">
        <v>23.43</v>
      </c>
      <c r="P70" s="28">
        <f t="shared" si="8"/>
        <v>30.379662921348313</v>
      </c>
      <c r="Q70" s="2">
        <v>18103.57</v>
      </c>
      <c r="R70" s="27">
        <v>89</v>
      </c>
      <c r="S70" s="27">
        <v>31250</v>
      </c>
      <c r="T70" s="27">
        <v>14963</v>
      </c>
      <c r="V70" s="27">
        <f t="shared" si="9"/>
        <v>0.47881600000000002</v>
      </c>
      <c r="W70" s="27">
        <v>1905</v>
      </c>
      <c r="X70" s="27" t="s">
        <v>538</v>
      </c>
      <c r="Y70" s="1" t="s">
        <v>539</v>
      </c>
      <c r="Z70" s="27" t="s">
        <v>540</v>
      </c>
      <c r="AA70" s="27" t="s">
        <v>541</v>
      </c>
      <c r="AB70" s="27" t="s">
        <v>542</v>
      </c>
      <c r="AC70" s="1" t="s">
        <v>543</v>
      </c>
      <c r="AD70" s="1" t="s">
        <v>544</v>
      </c>
      <c r="AE70" s="1" t="s">
        <v>545</v>
      </c>
      <c r="AF70" s="4"/>
      <c r="AG70" s="4"/>
      <c r="AH70" s="4"/>
      <c r="AI70" s="4"/>
      <c r="AJ70" s="4"/>
      <c r="AK70" s="4"/>
    </row>
    <row r="71" spans="1:37" x14ac:dyDescent="0.25">
      <c r="A71" s="27" t="s">
        <v>1674</v>
      </c>
      <c r="B71" s="27" t="str">
        <f t="shared" si="6"/>
        <v>Virginia</v>
      </c>
      <c r="C71" s="27" t="str">
        <f t="shared" si="7"/>
        <v>Nansemond</v>
      </c>
      <c r="D71" s="2">
        <v>2166</v>
      </c>
      <c r="E71" s="2">
        <v>2</v>
      </c>
      <c r="F71" s="2">
        <v>60</v>
      </c>
      <c r="G71" s="2">
        <v>11</v>
      </c>
      <c r="H71" s="2">
        <v>17</v>
      </c>
      <c r="I71" s="27">
        <v>90</v>
      </c>
      <c r="J71" s="27">
        <v>125</v>
      </c>
      <c r="K71" s="2">
        <v>3830</v>
      </c>
      <c r="L71" s="12">
        <v>74.7</v>
      </c>
      <c r="M71" s="12">
        <v>30.46</v>
      </c>
      <c r="N71" s="12">
        <v>27.72</v>
      </c>
      <c r="O71" s="12">
        <v>26</v>
      </c>
      <c r="P71" s="28">
        <f t="shared" si="8"/>
        <v>30.265777777777778</v>
      </c>
      <c r="Q71" s="2">
        <v>20151.84</v>
      </c>
      <c r="R71" s="27">
        <v>90</v>
      </c>
      <c r="S71" s="27">
        <v>30050</v>
      </c>
      <c r="T71" s="27">
        <v>16558</v>
      </c>
      <c r="V71" s="27">
        <f t="shared" si="9"/>
        <v>0.55101497504159735</v>
      </c>
      <c r="W71" s="27">
        <v>1905</v>
      </c>
      <c r="X71" s="27" t="s">
        <v>538</v>
      </c>
      <c r="Y71" s="1" t="s">
        <v>539</v>
      </c>
      <c r="Z71" s="27" t="s">
        <v>540</v>
      </c>
      <c r="AA71" s="27" t="s">
        <v>541</v>
      </c>
      <c r="AB71" s="27" t="s">
        <v>542</v>
      </c>
      <c r="AC71" s="1" t="s">
        <v>543</v>
      </c>
      <c r="AD71" s="1" t="s">
        <v>544</v>
      </c>
      <c r="AE71" s="1" t="s">
        <v>545</v>
      </c>
      <c r="AF71" s="4"/>
      <c r="AG71" s="4"/>
      <c r="AH71" s="4"/>
      <c r="AI71" s="4"/>
      <c r="AJ71" s="4"/>
      <c r="AK71" s="4"/>
    </row>
    <row r="72" spans="1:37" x14ac:dyDescent="0.25">
      <c r="A72" s="27" t="s">
        <v>1675</v>
      </c>
      <c r="B72" s="27" t="str">
        <f t="shared" si="6"/>
        <v>Virginia</v>
      </c>
      <c r="C72" s="27" t="str">
        <f t="shared" si="7"/>
        <v>Nelson</v>
      </c>
      <c r="D72" s="2">
        <v>1610</v>
      </c>
      <c r="E72" s="2">
        <v>7</v>
      </c>
      <c r="F72" s="2">
        <v>63</v>
      </c>
      <c r="G72" s="2">
        <v>6</v>
      </c>
      <c r="H72" s="2">
        <v>18</v>
      </c>
      <c r="I72" s="27">
        <v>94</v>
      </c>
      <c r="J72" s="27">
        <v>119</v>
      </c>
      <c r="K72" s="2">
        <v>3116</v>
      </c>
      <c r="L72" s="12">
        <v>37.43</v>
      </c>
      <c r="M72" s="12">
        <v>27.06</v>
      </c>
      <c r="N72" s="12">
        <v>20</v>
      </c>
      <c r="O72" s="12">
        <v>21.11</v>
      </c>
      <c r="P72" s="28">
        <f t="shared" si="8"/>
        <v>26.242234042553193</v>
      </c>
      <c r="Q72" s="2">
        <v>14809.3</v>
      </c>
      <c r="R72" s="27">
        <v>87</v>
      </c>
      <c r="S72" s="27">
        <v>10000</v>
      </c>
      <c r="T72" s="27">
        <v>13542</v>
      </c>
      <c r="V72" s="27">
        <f t="shared" si="9"/>
        <v>1.3542000000000001</v>
      </c>
      <c r="W72" s="27">
        <v>1905</v>
      </c>
      <c r="X72" s="27" t="s">
        <v>538</v>
      </c>
      <c r="Y72" s="1" t="s">
        <v>539</v>
      </c>
      <c r="Z72" s="27" t="s">
        <v>540</v>
      </c>
      <c r="AA72" s="27" t="s">
        <v>541</v>
      </c>
      <c r="AB72" s="27" t="s">
        <v>542</v>
      </c>
      <c r="AC72" s="1" t="s">
        <v>543</v>
      </c>
      <c r="AD72" s="1" t="s">
        <v>544</v>
      </c>
      <c r="AE72" s="1" t="s">
        <v>545</v>
      </c>
      <c r="AF72" s="4"/>
      <c r="AG72" s="4"/>
      <c r="AH72" s="4"/>
      <c r="AI72" s="4"/>
      <c r="AJ72" s="4"/>
      <c r="AK72" s="4"/>
    </row>
    <row r="73" spans="1:37" x14ac:dyDescent="0.25">
      <c r="A73" s="27" t="s">
        <v>1676</v>
      </c>
      <c r="B73" s="27" t="str">
        <f t="shared" si="6"/>
        <v>Virginia</v>
      </c>
      <c r="C73" s="27" t="str">
        <f t="shared" si="7"/>
        <v>New Kent</v>
      </c>
      <c r="D73" s="2">
        <v>461</v>
      </c>
      <c r="E73" s="2">
        <v>1</v>
      </c>
      <c r="F73" s="2">
        <v>15</v>
      </c>
      <c r="G73" s="2">
        <v>7</v>
      </c>
      <c r="H73" s="2">
        <v>6</v>
      </c>
      <c r="I73" s="27">
        <v>29</v>
      </c>
      <c r="J73" s="27">
        <v>114</v>
      </c>
      <c r="K73" s="2">
        <v>825</v>
      </c>
      <c r="L73" s="12">
        <v>25</v>
      </c>
      <c r="M73" s="12">
        <v>25</v>
      </c>
      <c r="N73" s="12">
        <v>20.3</v>
      </c>
      <c r="O73" s="12">
        <v>20</v>
      </c>
      <c r="P73" s="28">
        <f t="shared" si="8"/>
        <v>22.831034482758621</v>
      </c>
      <c r="Q73" s="2">
        <v>5151.49</v>
      </c>
      <c r="R73" s="27">
        <v>29</v>
      </c>
      <c r="S73" s="27">
        <v>3150</v>
      </c>
      <c r="T73" s="27">
        <v>3480</v>
      </c>
      <c r="V73" s="27">
        <f t="shared" si="9"/>
        <v>1.1047619047619048</v>
      </c>
      <c r="W73" s="27">
        <v>1905</v>
      </c>
      <c r="X73" s="27" t="s">
        <v>538</v>
      </c>
      <c r="Y73" s="1" t="s">
        <v>539</v>
      </c>
      <c r="Z73" s="27" t="s">
        <v>540</v>
      </c>
      <c r="AA73" s="27" t="s">
        <v>541</v>
      </c>
      <c r="AB73" s="27" t="s">
        <v>542</v>
      </c>
      <c r="AC73" s="1" t="s">
        <v>543</v>
      </c>
      <c r="AD73" s="1" t="s">
        <v>544</v>
      </c>
      <c r="AE73" s="1" t="s">
        <v>545</v>
      </c>
      <c r="AF73" s="4"/>
      <c r="AG73" s="4"/>
      <c r="AH73" s="4"/>
      <c r="AI73" s="4"/>
      <c r="AJ73" s="4"/>
      <c r="AK73" s="4"/>
    </row>
    <row r="74" spans="1:37" x14ac:dyDescent="0.25">
      <c r="A74" s="27" t="s">
        <v>1733</v>
      </c>
      <c r="B74" s="27" t="str">
        <f t="shared" si="6"/>
        <v>Virginia</v>
      </c>
      <c r="C74" s="27" t="str">
        <f t="shared" si="7"/>
        <v>Newport News</v>
      </c>
      <c r="D74" s="2">
        <v>1860</v>
      </c>
      <c r="E74" s="2">
        <v>4</v>
      </c>
      <c r="F74" s="2">
        <v>41</v>
      </c>
      <c r="G74" s="2">
        <v>2</v>
      </c>
      <c r="H74" s="2">
        <v>8</v>
      </c>
      <c r="I74" s="27">
        <v>55</v>
      </c>
      <c r="J74" s="27">
        <v>182</v>
      </c>
      <c r="K74" s="2">
        <v>2568</v>
      </c>
      <c r="L74" s="12">
        <v>106.94</v>
      </c>
      <c r="M74" s="12">
        <v>48.48</v>
      </c>
      <c r="N74" s="12">
        <v>57.5</v>
      </c>
      <c r="O74" s="12">
        <v>35</v>
      </c>
      <c r="P74" s="28">
        <f t="shared" si="8"/>
        <v>51.098909090909082</v>
      </c>
      <c r="Q74" s="2">
        <v>35535.69</v>
      </c>
      <c r="R74" s="27">
        <v>50</v>
      </c>
      <c r="S74" s="27">
        <v>125000</v>
      </c>
      <c r="W74" s="27">
        <v>1905</v>
      </c>
      <c r="X74" s="27" t="s">
        <v>538</v>
      </c>
      <c r="Y74" s="1" t="s">
        <v>539</v>
      </c>
      <c r="Z74" s="27" t="s">
        <v>540</v>
      </c>
      <c r="AA74" s="27" t="s">
        <v>541</v>
      </c>
      <c r="AB74" s="27" t="s">
        <v>542</v>
      </c>
      <c r="AC74" s="1" t="s">
        <v>543</v>
      </c>
      <c r="AD74" s="1" t="s">
        <v>544</v>
      </c>
      <c r="AE74" s="1" t="s">
        <v>545</v>
      </c>
      <c r="AF74" s="4"/>
      <c r="AG74" s="4"/>
      <c r="AH74" s="4"/>
      <c r="AI74" s="4"/>
      <c r="AJ74" s="4"/>
      <c r="AK74" s="4"/>
    </row>
    <row r="75" spans="1:37" x14ac:dyDescent="0.25">
      <c r="A75" s="27" t="s">
        <v>1734</v>
      </c>
      <c r="B75" s="27" t="str">
        <f t="shared" si="6"/>
        <v>Virginia</v>
      </c>
      <c r="C75" s="27" t="str">
        <f t="shared" si="7"/>
        <v>Norfolk City</v>
      </c>
      <c r="D75" s="2">
        <v>440</v>
      </c>
      <c r="E75" s="2">
        <v>14</v>
      </c>
      <c r="F75" s="2">
        <v>81</v>
      </c>
      <c r="G75" s="2">
        <v>2</v>
      </c>
      <c r="H75" s="2">
        <v>13</v>
      </c>
      <c r="I75" s="27">
        <v>110</v>
      </c>
      <c r="J75" s="27">
        <v>201</v>
      </c>
      <c r="K75" s="2">
        <v>5268</v>
      </c>
      <c r="L75" s="12">
        <v>120.32</v>
      </c>
      <c r="M75" s="12">
        <v>52</v>
      </c>
      <c r="N75" s="12">
        <v>62.5</v>
      </c>
      <c r="O75" s="12">
        <v>36.299999999999997</v>
      </c>
      <c r="P75" s="28">
        <f t="shared" si="8"/>
        <v>59.030727272727269</v>
      </c>
      <c r="Q75" s="2">
        <v>78621.600000000006</v>
      </c>
      <c r="R75" s="27">
        <v>108</v>
      </c>
      <c r="S75" s="27">
        <v>400000</v>
      </c>
      <c r="W75" s="27">
        <v>1905</v>
      </c>
      <c r="X75" s="27" t="s">
        <v>538</v>
      </c>
      <c r="Y75" s="1" t="s">
        <v>539</v>
      </c>
      <c r="Z75" s="27" t="s">
        <v>540</v>
      </c>
      <c r="AA75" s="27" t="s">
        <v>541</v>
      </c>
      <c r="AB75" s="27" t="s">
        <v>542</v>
      </c>
      <c r="AC75" s="1" t="s">
        <v>543</v>
      </c>
      <c r="AD75" s="1" t="s">
        <v>544</v>
      </c>
      <c r="AE75" s="1" t="s">
        <v>545</v>
      </c>
      <c r="AF75" s="4"/>
      <c r="AG75" s="4"/>
      <c r="AH75" s="4"/>
      <c r="AI75" s="4"/>
      <c r="AJ75" s="4"/>
      <c r="AK75" s="4"/>
    </row>
    <row r="76" spans="1:37" x14ac:dyDescent="0.25">
      <c r="A76" s="27" t="s">
        <v>1677</v>
      </c>
      <c r="B76" s="27" t="str">
        <f t="shared" si="6"/>
        <v>Virginia</v>
      </c>
      <c r="C76" s="27" t="str">
        <f t="shared" si="7"/>
        <v>Norfolk</v>
      </c>
      <c r="D76" s="2">
        <v>4835</v>
      </c>
      <c r="E76" s="2">
        <v>9</v>
      </c>
      <c r="F76" s="2">
        <v>82</v>
      </c>
      <c r="G76" s="2">
        <v>17</v>
      </c>
      <c r="H76" s="2">
        <v>38</v>
      </c>
      <c r="I76" s="27">
        <v>146</v>
      </c>
      <c r="J76" s="27">
        <v>176</v>
      </c>
      <c r="K76" s="2">
        <v>8053</v>
      </c>
      <c r="L76" s="12">
        <v>75</v>
      </c>
      <c r="M76" s="12">
        <v>40.42</v>
      </c>
      <c r="N76" s="12">
        <v>33.82</v>
      </c>
      <c r="O76" s="12">
        <v>26.15</v>
      </c>
      <c r="P76" s="28">
        <f t="shared" si="8"/>
        <v>38.069041095890412</v>
      </c>
      <c r="Q76" s="2">
        <v>71890.789999999994</v>
      </c>
      <c r="R76" s="27">
        <v>146</v>
      </c>
      <c r="S76" s="27">
        <v>145000</v>
      </c>
      <c r="T76" s="27">
        <v>34994</v>
      </c>
      <c r="U76" s="27">
        <v>9350</v>
      </c>
      <c r="V76" s="27">
        <f t="shared" si="9"/>
        <v>0.3058206896551724</v>
      </c>
      <c r="W76" s="27">
        <v>1905</v>
      </c>
      <c r="X76" s="27" t="s">
        <v>538</v>
      </c>
      <c r="Y76" s="1" t="s">
        <v>539</v>
      </c>
      <c r="Z76" s="27" t="s">
        <v>540</v>
      </c>
      <c r="AA76" s="27" t="s">
        <v>541</v>
      </c>
      <c r="AB76" s="27" t="s">
        <v>542</v>
      </c>
      <c r="AC76" s="1" t="s">
        <v>543</v>
      </c>
      <c r="AD76" s="1" t="s">
        <v>544</v>
      </c>
      <c r="AE76" s="1" t="s">
        <v>545</v>
      </c>
      <c r="AF76" s="4"/>
      <c r="AG76" s="4"/>
      <c r="AH76" s="4"/>
      <c r="AI76" s="4"/>
      <c r="AJ76" s="4"/>
      <c r="AK76" s="4"/>
    </row>
    <row r="77" spans="1:37" x14ac:dyDescent="0.25">
      <c r="A77" s="27" t="s">
        <v>1678</v>
      </c>
      <c r="B77" s="27" t="str">
        <f t="shared" si="6"/>
        <v>Virginia</v>
      </c>
      <c r="C77" s="27" t="str">
        <f t="shared" si="7"/>
        <v>Northampton</v>
      </c>
      <c r="D77" s="2">
        <v>1129</v>
      </c>
      <c r="E77" s="2">
        <v>3</v>
      </c>
      <c r="F77" s="2">
        <v>33</v>
      </c>
      <c r="G77" s="2">
        <v>6</v>
      </c>
      <c r="H77" s="2">
        <v>12</v>
      </c>
      <c r="I77" s="27">
        <v>54</v>
      </c>
      <c r="J77" s="27">
        <v>141</v>
      </c>
      <c r="K77" s="2">
        <v>2201</v>
      </c>
      <c r="L77" s="12">
        <v>59.56</v>
      </c>
      <c r="M77" s="12">
        <v>32.659999999999997</v>
      </c>
      <c r="N77" s="12">
        <v>20</v>
      </c>
      <c r="O77" s="12">
        <v>20.77</v>
      </c>
      <c r="P77" s="28">
        <f t="shared" si="8"/>
        <v>30.105555555555558</v>
      </c>
      <c r="Q77" s="2">
        <v>14221.64</v>
      </c>
      <c r="R77" s="27">
        <v>54</v>
      </c>
      <c r="S77" s="27">
        <v>11100</v>
      </c>
      <c r="T77" s="27">
        <v>9047</v>
      </c>
      <c r="U77" s="27">
        <v>480</v>
      </c>
      <c r="V77" s="27">
        <f t="shared" si="9"/>
        <v>0.85828828828828829</v>
      </c>
      <c r="W77" s="27">
        <v>1905</v>
      </c>
      <c r="X77" s="27" t="s">
        <v>538</v>
      </c>
      <c r="Y77" s="1" t="s">
        <v>539</v>
      </c>
      <c r="Z77" s="27" t="s">
        <v>540</v>
      </c>
      <c r="AA77" s="27" t="s">
        <v>541</v>
      </c>
      <c r="AB77" s="27" t="s">
        <v>542</v>
      </c>
      <c r="AC77" s="1" t="s">
        <v>543</v>
      </c>
      <c r="AD77" s="1" t="s">
        <v>544</v>
      </c>
      <c r="AE77" s="1" t="s">
        <v>545</v>
      </c>
      <c r="AF77" s="4"/>
      <c r="AG77" s="4"/>
      <c r="AH77" s="4"/>
      <c r="AI77" s="4"/>
      <c r="AJ77" s="4"/>
      <c r="AK77" s="4"/>
    </row>
    <row r="78" spans="1:37" x14ac:dyDescent="0.25">
      <c r="A78" s="27" t="s">
        <v>1679</v>
      </c>
      <c r="B78" s="27" t="str">
        <f t="shared" si="6"/>
        <v>Virginia</v>
      </c>
      <c r="C78" s="27" t="str">
        <f t="shared" si="7"/>
        <v>Northumberland</v>
      </c>
      <c r="D78" s="2">
        <v>1082</v>
      </c>
      <c r="E78" s="2">
        <v>4</v>
      </c>
      <c r="F78" s="2">
        <v>31</v>
      </c>
      <c r="G78" s="2">
        <v>3</v>
      </c>
      <c r="H78" s="2">
        <v>13</v>
      </c>
      <c r="I78" s="27">
        <v>51</v>
      </c>
      <c r="J78" s="27">
        <v>109</v>
      </c>
      <c r="K78" s="2">
        <v>1917</v>
      </c>
      <c r="L78" s="12">
        <v>28</v>
      </c>
      <c r="M78" s="12">
        <v>25.6</v>
      </c>
      <c r="N78" s="12">
        <v>25.64</v>
      </c>
      <c r="O78" s="12">
        <v>23.98</v>
      </c>
      <c r="P78" s="28">
        <f t="shared" si="8"/>
        <v>25.377647058823531</v>
      </c>
      <c r="Q78" s="2">
        <v>11376.72</v>
      </c>
      <c r="R78" s="27">
        <v>51</v>
      </c>
      <c r="S78" s="27">
        <v>14483.66</v>
      </c>
      <c r="T78" s="27">
        <v>6033</v>
      </c>
      <c r="V78" s="27">
        <f t="shared" si="9"/>
        <v>0.41653836116009352</v>
      </c>
      <c r="W78" s="27">
        <v>1905</v>
      </c>
      <c r="X78" s="27" t="s">
        <v>538</v>
      </c>
      <c r="Y78" s="1" t="s">
        <v>539</v>
      </c>
      <c r="Z78" s="27" t="s">
        <v>540</v>
      </c>
      <c r="AA78" s="27" t="s">
        <v>541</v>
      </c>
      <c r="AB78" s="27" t="s">
        <v>542</v>
      </c>
      <c r="AC78" s="1" t="s">
        <v>543</v>
      </c>
      <c r="AD78" s="1" t="s">
        <v>544</v>
      </c>
      <c r="AE78" s="1" t="s">
        <v>545</v>
      </c>
      <c r="AF78" s="4"/>
      <c r="AG78" s="4"/>
      <c r="AH78" s="4"/>
      <c r="AI78" s="4"/>
      <c r="AJ78" s="4"/>
      <c r="AK78" s="4"/>
    </row>
    <row r="79" spans="1:37" x14ac:dyDescent="0.25">
      <c r="A79" s="27" t="s">
        <v>1680</v>
      </c>
      <c r="B79" s="27" t="str">
        <f t="shared" si="6"/>
        <v>Virginia</v>
      </c>
      <c r="C79" s="27" t="str">
        <f t="shared" si="7"/>
        <v>Nottoway</v>
      </c>
      <c r="D79" s="2">
        <v>1304</v>
      </c>
      <c r="E79" s="2">
        <v>2</v>
      </c>
      <c r="F79" s="2">
        <v>35</v>
      </c>
      <c r="G79" s="2">
        <v>5</v>
      </c>
      <c r="H79" s="2">
        <v>20</v>
      </c>
      <c r="I79" s="27">
        <v>62</v>
      </c>
      <c r="J79" s="27">
        <v>127</v>
      </c>
      <c r="K79" s="2">
        <v>2162</v>
      </c>
      <c r="L79" s="12">
        <v>48.33</v>
      </c>
      <c r="M79" s="12">
        <v>24.75</v>
      </c>
      <c r="N79" s="12">
        <v>22.68</v>
      </c>
      <c r="O79" s="12">
        <v>19</v>
      </c>
      <c r="P79" s="28">
        <f t="shared" si="8"/>
        <v>23.488870967741935</v>
      </c>
      <c r="Q79" s="2">
        <v>11700.6</v>
      </c>
      <c r="R79" s="27">
        <v>63</v>
      </c>
      <c r="S79" s="27">
        <v>11750</v>
      </c>
      <c r="T79" s="27">
        <v>11954</v>
      </c>
      <c r="V79" s="27">
        <f t="shared" si="9"/>
        <v>1.0173617021276595</v>
      </c>
      <c r="W79" s="27">
        <v>1905</v>
      </c>
      <c r="X79" s="27" t="s">
        <v>538</v>
      </c>
      <c r="Y79" s="1" t="s">
        <v>539</v>
      </c>
      <c r="Z79" s="27" t="s">
        <v>540</v>
      </c>
      <c r="AA79" s="27" t="s">
        <v>541</v>
      </c>
      <c r="AB79" s="27" t="s">
        <v>542</v>
      </c>
      <c r="AC79" s="1" t="s">
        <v>543</v>
      </c>
      <c r="AD79" s="1" t="s">
        <v>544</v>
      </c>
      <c r="AE79" s="1" t="s">
        <v>545</v>
      </c>
      <c r="AF79" s="4"/>
      <c r="AG79" s="4"/>
      <c r="AH79" s="4"/>
      <c r="AI79" s="4"/>
      <c r="AJ79" s="4"/>
      <c r="AK79" s="4"/>
    </row>
    <row r="80" spans="1:37" x14ac:dyDescent="0.25">
      <c r="A80" s="27" t="s">
        <v>1681</v>
      </c>
      <c r="B80" s="27" t="str">
        <f t="shared" si="6"/>
        <v>Virginia</v>
      </c>
      <c r="C80" s="27" t="str">
        <f t="shared" si="7"/>
        <v>Orange</v>
      </c>
      <c r="D80" s="29">
        <v>2255</v>
      </c>
      <c r="E80" s="29">
        <v>13</v>
      </c>
      <c r="F80" s="29">
        <v>39</v>
      </c>
      <c r="G80" s="29">
        <v>10</v>
      </c>
      <c r="H80" s="29">
        <v>16</v>
      </c>
      <c r="I80" s="27">
        <v>78</v>
      </c>
      <c r="J80" s="7">
        <v>114</v>
      </c>
      <c r="K80" s="29">
        <v>3102</v>
      </c>
      <c r="L80" s="106">
        <v>29.18</v>
      </c>
      <c r="M80" s="106">
        <v>25.9</v>
      </c>
      <c r="N80" s="106">
        <v>22.81</v>
      </c>
      <c r="O80" s="106">
        <v>21.43</v>
      </c>
      <c r="P80" s="28">
        <f t="shared" si="8"/>
        <v>25.133589743589738</v>
      </c>
      <c r="Q80" s="2">
        <v>12245.6</v>
      </c>
      <c r="R80" s="27">
        <v>69</v>
      </c>
      <c r="S80" s="27">
        <v>17750</v>
      </c>
      <c r="T80" s="27">
        <v>11979</v>
      </c>
      <c r="V80" s="27">
        <f t="shared" si="9"/>
        <v>0.6748732394366197</v>
      </c>
      <c r="W80" s="27">
        <v>1905</v>
      </c>
      <c r="X80" s="27" t="s">
        <v>538</v>
      </c>
      <c r="Y80" s="1" t="s">
        <v>539</v>
      </c>
      <c r="Z80" s="27" t="s">
        <v>540</v>
      </c>
      <c r="AA80" s="27" t="s">
        <v>541</v>
      </c>
      <c r="AB80" s="27" t="s">
        <v>542</v>
      </c>
      <c r="AC80" s="1" t="s">
        <v>543</v>
      </c>
      <c r="AD80" s="1" t="s">
        <v>544</v>
      </c>
      <c r="AE80" s="1" t="s">
        <v>545</v>
      </c>
      <c r="AF80" s="4"/>
      <c r="AG80" s="4"/>
      <c r="AH80" s="4"/>
      <c r="AI80" s="4"/>
      <c r="AJ80" s="4"/>
      <c r="AK80" s="4"/>
    </row>
    <row r="81" spans="1:37" x14ac:dyDescent="0.25">
      <c r="A81" s="27" t="s">
        <v>1682</v>
      </c>
      <c r="B81" s="27" t="str">
        <f t="shared" si="6"/>
        <v>Virginia</v>
      </c>
      <c r="C81" s="27" t="str">
        <f t="shared" si="7"/>
        <v>Page</v>
      </c>
      <c r="D81" s="29">
        <v>1848</v>
      </c>
      <c r="E81" s="29">
        <v>37</v>
      </c>
      <c r="F81" s="29">
        <v>38</v>
      </c>
      <c r="G81" s="29">
        <v>3</v>
      </c>
      <c r="H81" s="29">
        <v>5</v>
      </c>
      <c r="I81" s="27">
        <v>83</v>
      </c>
      <c r="J81" s="7">
        <v>119</v>
      </c>
      <c r="K81" s="29">
        <v>2788</v>
      </c>
      <c r="L81" s="106">
        <v>26.06</v>
      </c>
      <c r="M81" s="106">
        <v>23.59</v>
      </c>
      <c r="N81" s="106">
        <v>22.18</v>
      </c>
      <c r="O81" s="106">
        <v>20.21</v>
      </c>
      <c r="P81" s="28">
        <f t="shared" si="8"/>
        <v>24.436506024096381</v>
      </c>
      <c r="Q81" s="2">
        <v>14965.85</v>
      </c>
      <c r="R81" s="27">
        <v>83</v>
      </c>
      <c r="S81" s="27">
        <v>22525</v>
      </c>
      <c r="T81" s="27">
        <v>14430</v>
      </c>
      <c r="V81" s="27">
        <f t="shared" si="9"/>
        <v>0.64062153163152058</v>
      </c>
      <c r="W81" s="27">
        <v>1905</v>
      </c>
      <c r="X81" s="27" t="s">
        <v>538</v>
      </c>
      <c r="Y81" s="1" t="s">
        <v>539</v>
      </c>
      <c r="Z81" s="27" t="s">
        <v>540</v>
      </c>
      <c r="AA81" s="27" t="s">
        <v>541</v>
      </c>
      <c r="AB81" s="27" t="s">
        <v>542</v>
      </c>
      <c r="AC81" s="1" t="s">
        <v>543</v>
      </c>
      <c r="AD81" s="1" t="s">
        <v>544</v>
      </c>
      <c r="AE81" s="1" t="s">
        <v>545</v>
      </c>
      <c r="AF81" s="4"/>
      <c r="AG81" s="4"/>
      <c r="AH81" s="4"/>
      <c r="AI81" s="4"/>
      <c r="AJ81" s="4"/>
      <c r="AK81" s="4"/>
    </row>
    <row r="82" spans="1:37" x14ac:dyDescent="0.25">
      <c r="A82" s="27" t="s">
        <v>1683</v>
      </c>
      <c r="B82" s="27" t="str">
        <f t="shared" si="6"/>
        <v>Virginia</v>
      </c>
      <c r="C82" s="27" t="str">
        <f t="shared" si="7"/>
        <v>Patrick</v>
      </c>
      <c r="D82" s="29">
        <v>2173</v>
      </c>
      <c r="E82" s="29">
        <v>29</v>
      </c>
      <c r="F82" s="29">
        <v>62</v>
      </c>
      <c r="G82" s="29">
        <v>1</v>
      </c>
      <c r="H82" s="29">
        <v>10</v>
      </c>
      <c r="I82" s="27">
        <v>102</v>
      </c>
      <c r="J82" s="7">
        <v>100</v>
      </c>
      <c r="K82" s="29">
        <v>4232</v>
      </c>
      <c r="L82" s="106">
        <v>21.12</v>
      </c>
      <c r="M82" s="106">
        <v>20.81</v>
      </c>
      <c r="N82" s="106">
        <v>16</v>
      </c>
      <c r="O82" s="106">
        <v>16.8</v>
      </c>
      <c r="P82" s="28">
        <f t="shared" si="8"/>
        <v>20.457843137254901</v>
      </c>
      <c r="Q82" s="2">
        <v>11358.89</v>
      </c>
      <c r="R82" s="27">
        <v>102</v>
      </c>
      <c r="S82" s="27">
        <v>8650</v>
      </c>
      <c r="T82" s="27">
        <v>11464</v>
      </c>
      <c r="V82" s="27">
        <f t="shared" si="9"/>
        <v>1.3253179190751445</v>
      </c>
      <c r="W82" s="27">
        <v>1905</v>
      </c>
      <c r="X82" s="27" t="s">
        <v>538</v>
      </c>
      <c r="Y82" s="1" t="s">
        <v>539</v>
      </c>
      <c r="Z82" s="27" t="s">
        <v>540</v>
      </c>
      <c r="AA82" s="27" t="s">
        <v>541</v>
      </c>
      <c r="AB82" s="27" t="s">
        <v>542</v>
      </c>
      <c r="AC82" s="1" t="s">
        <v>543</v>
      </c>
      <c r="AD82" s="1" t="s">
        <v>544</v>
      </c>
      <c r="AE82" s="1" t="s">
        <v>545</v>
      </c>
      <c r="AF82" s="4"/>
      <c r="AG82" s="4"/>
      <c r="AH82" s="4"/>
      <c r="AI82" s="4"/>
      <c r="AJ82" s="4"/>
      <c r="AK82" s="4"/>
    </row>
    <row r="83" spans="1:37" x14ac:dyDescent="0.25">
      <c r="A83" s="27" t="s">
        <v>1735</v>
      </c>
      <c r="B83" s="27" t="str">
        <f t="shared" si="6"/>
        <v>Virginia</v>
      </c>
      <c r="C83" s="27" t="str">
        <f t="shared" si="7"/>
        <v>Petersburg</v>
      </c>
      <c r="D83" s="29">
        <v>2379</v>
      </c>
      <c r="E83" s="29"/>
      <c r="F83" s="29">
        <v>30</v>
      </c>
      <c r="G83" s="29">
        <v>2</v>
      </c>
      <c r="H83" s="29">
        <v>22</v>
      </c>
      <c r="I83" s="27">
        <v>54</v>
      </c>
      <c r="J83" s="7">
        <v>180</v>
      </c>
      <c r="K83" s="29">
        <v>3059</v>
      </c>
      <c r="L83" s="106"/>
      <c r="M83" s="106">
        <v>41</v>
      </c>
      <c r="N83" s="106">
        <v>56.25</v>
      </c>
      <c r="O83" s="106">
        <v>31.7</v>
      </c>
      <c r="P83" s="28">
        <f t="shared" si="8"/>
        <v>37.775925925925925</v>
      </c>
      <c r="Q83" s="2">
        <v>24597.26</v>
      </c>
      <c r="R83" s="27">
        <v>63</v>
      </c>
      <c r="S83" s="27">
        <v>75000</v>
      </c>
      <c r="W83" s="27">
        <v>1905</v>
      </c>
      <c r="X83" s="27" t="s">
        <v>538</v>
      </c>
      <c r="Y83" s="1" t="s">
        <v>539</v>
      </c>
      <c r="Z83" s="27" t="s">
        <v>540</v>
      </c>
      <c r="AA83" s="27" t="s">
        <v>541</v>
      </c>
      <c r="AB83" s="27" t="s">
        <v>542</v>
      </c>
      <c r="AC83" s="1" t="s">
        <v>543</v>
      </c>
      <c r="AD83" s="1" t="s">
        <v>544</v>
      </c>
      <c r="AE83" s="1" t="s">
        <v>545</v>
      </c>
      <c r="AF83" s="4"/>
      <c r="AG83" s="4"/>
      <c r="AH83" s="4"/>
      <c r="AI83" s="4"/>
      <c r="AJ83" s="4"/>
      <c r="AK83" s="4"/>
    </row>
    <row r="84" spans="1:37" x14ac:dyDescent="0.25">
      <c r="A84" s="27" t="s">
        <v>1684</v>
      </c>
      <c r="B84" s="27" t="str">
        <f t="shared" si="6"/>
        <v>Virginia</v>
      </c>
      <c r="C84" s="27" t="str">
        <f t="shared" si="7"/>
        <v>Pittsylvania</v>
      </c>
      <c r="D84" s="29">
        <v>5279</v>
      </c>
      <c r="E84" s="29">
        <v>7</v>
      </c>
      <c r="F84" s="29">
        <v>163</v>
      </c>
      <c r="G84" s="29">
        <v>18</v>
      </c>
      <c r="H84" s="29">
        <v>61</v>
      </c>
      <c r="I84" s="27">
        <v>249</v>
      </c>
      <c r="J84" s="7">
        <v>103</v>
      </c>
      <c r="K84" s="29">
        <v>9748</v>
      </c>
      <c r="L84" s="106">
        <v>48.1</v>
      </c>
      <c r="M84" s="106">
        <v>25.49</v>
      </c>
      <c r="N84" s="106">
        <v>25.11</v>
      </c>
      <c r="O84" s="106">
        <v>20.74</v>
      </c>
      <c r="P84" s="28">
        <f t="shared" si="8"/>
        <v>24.934497991967866</v>
      </c>
      <c r="Q84" s="2">
        <v>38057.620000000003</v>
      </c>
      <c r="R84" s="27">
        <v>249</v>
      </c>
      <c r="S84" s="27">
        <v>50852</v>
      </c>
      <c r="T84" s="27">
        <v>36834</v>
      </c>
      <c r="V84" s="27">
        <f t="shared" si="9"/>
        <v>0.72433729253520018</v>
      </c>
      <c r="W84" s="27">
        <v>1905</v>
      </c>
      <c r="X84" s="27" t="s">
        <v>538</v>
      </c>
      <c r="Y84" s="1" t="s">
        <v>539</v>
      </c>
      <c r="Z84" s="27" t="s">
        <v>540</v>
      </c>
      <c r="AA84" s="27" t="s">
        <v>541</v>
      </c>
      <c r="AB84" s="27" t="s">
        <v>542</v>
      </c>
      <c r="AC84" s="1" t="s">
        <v>543</v>
      </c>
      <c r="AD84" s="1" t="s">
        <v>544</v>
      </c>
      <c r="AE84" s="1" t="s">
        <v>545</v>
      </c>
      <c r="AF84" s="4"/>
      <c r="AG84" s="4"/>
      <c r="AH84" s="4"/>
      <c r="AI84" s="4"/>
      <c r="AJ84" s="4"/>
      <c r="AK84" s="4"/>
    </row>
    <row r="85" spans="1:37" x14ac:dyDescent="0.25">
      <c r="A85" s="27" t="s">
        <v>1736</v>
      </c>
      <c r="B85" s="27" t="str">
        <f t="shared" si="6"/>
        <v>Virginia</v>
      </c>
      <c r="C85" s="27" t="str">
        <f t="shared" si="7"/>
        <v>Portsmouth</v>
      </c>
      <c r="D85" s="29">
        <v>1916</v>
      </c>
      <c r="E85" s="29">
        <v>2</v>
      </c>
      <c r="F85" s="29">
        <v>31</v>
      </c>
      <c r="G85" s="29">
        <v>1</v>
      </c>
      <c r="H85" s="29">
        <v>7</v>
      </c>
      <c r="I85" s="27">
        <v>41</v>
      </c>
      <c r="J85" s="7">
        <v>188</v>
      </c>
      <c r="K85" s="29">
        <v>2346</v>
      </c>
      <c r="L85" s="106">
        <v>125</v>
      </c>
      <c r="M85" s="106">
        <v>45.84</v>
      </c>
      <c r="N85" s="106">
        <v>75</v>
      </c>
      <c r="O85" s="106">
        <v>32.86</v>
      </c>
      <c r="P85" s="28">
        <f t="shared" si="8"/>
        <v>48.196585365853664</v>
      </c>
      <c r="Q85" s="2">
        <v>22800.54</v>
      </c>
      <c r="R85" s="27">
        <v>41</v>
      </c>
      <c r="S85" s="27">
        <v>47000</v>
      </c>
      <c r="W85" s="27">
        <v>1905</v>
      </c>
      <c r="X85" s="27" t="s">
        <v>538</v>
      </c>
      <c r="Y85" s="1" t="s">
        <v>539</v>
      </c>
      <c r="Z85" s="27" t="s">
        <v>540</v>
      </c>
      <c r="AA85" s="27" t="s">
        <v>541</v>
      </c>
      <c r="AB85" s="27" t="s">
        <v>542</v>
      </c>
      <c r="AC85" s="1" t="s">
        <v>543</v>
      </c>
      <c r="AD85" s="1" t="s">
        <v>544</v>
      </c>
      <c r="AE85" s="1" t="s">
        <v>545</v>
      </c>
      <c r="AF85" s="4"/>
      <c r="AG85" s="4"/>
      <c r="AH85" s="4"/>
      <c r="AI85" s="4"/>
      <c r="AJ85" s="4"/>
      <c r="AK85" s="4"/>
    </row>
    <row r="86" spans="1:37" x14ac:dyDescent="0.25">
      <c r="A86" s="27" t="s">
        <v>1685</v>
      </c>
      <c r="B86" s="27" t="str">
        <f t="shared" si="6"/>
        <v>Virginia</v>
      </c>
      <c r="C86" s="27" t="str">
        <f t="shared" si="7"/>
        <v>Powhatan</v>
      </c>
      <c r="D86" s="29">
        <v>679</v>
      </c>
      <c r="E86" s="29">
        <v>2</v>
      </c>
      <c r="F86" s="29">
        <v>16</v>
      </c>
      <c r="G86" s="29">
        <v>6</v>
      </c>
      <c r="H86" s="29">
        <v>8</v>
      </c>
      <c r="I86" s="27">
        <v>32</v>
      </c>
      <c r="J86" s="7">
        <v>107</v>
      </c>
      <c r="K86" s="29">
        <v>1204</v>
      </c>
      <c r="L86" s="106">
        <v>30</v>
      </c>
      <c r="M86" s="106">
        <v>29.7</v>
      </c>
      <c r="N86" s="106">
        <v>25</v>
      </c>
      <c r="O86" s="106">
        <v>23.6</v>
      </c>
      <c r="P86" s="28">
        <f t="shared" si="8"/>
        <v>27.3125</v>
      </c>
      <c r="Q86" s="2">
        <v>5723.19</v>
      </c>
      <c r="R86" s="27">
        <v>32</v>
      </c>
      <c r="S86" s="27">
        <v>6243.55</v>
      </c>
      <c r="T86" s="27">
        <v>6093</v>
      </c>
      <c r="V86" s="27">
        <f t="shared" si="9"/>
        <v>0.97588711550319929</v>
      </c>
      <c r="W86" s="27">
        <v>1905</v>
      </c>
      <c r="X86" s="27" t="s">
        <v>538</v>
      </c>
      <c r="Y86" s="1" t="s">
        <v>539</v>
      </c>
      <c r="Z86" s="27" t="s">
        <v>540</v>
      </c>
      <c r="AA86" s="27" t="s">
        <v>541</v>
      </c>
      <c r="AB86" s="27" t="s">
        <v>542</v>
      </c>
      <c r="AC86" s="1" t="s">
        <v>543</v>
      </c>
      <c r="AD86" s="1" t="s">
        <v>544</v>
      </c>
      <c r="AE86" s="1" t="s">
        <v>545</v>
      </c>
      <c r="AF86" s="4"/>
      <c r="AG86" s="4"/>
      <c r="AH86" s="4"/>
      <c r="AI86" s="4"/>
      <c r="AJ86" s="4"/>
      <c r="AK86" s="4"/>
    </row>
    <row r="87" spans="1:37" x14ac:dyDescent="0.25">
      <c r="A87" s="27" t="s">
        <v>1686</v>
      </c>
      <c r="B87" s="27" t="str">
        <f t="shared" si="6"/>
        <v>Virginia</v>
      </c>
      <c r="C87" s="27" t="str">
        <f t="shared" si="7"/>
        <v>Prince Edward</v>
      </c>
      <c r="D87" s="29">
        <v>1562</v>
      </c>
      <c r="E87" s="29">
        <v>3</v>
      </c>
      <c r="F87" s="29">
        <v>28</v>
      </c>
      <c r="G87" s="29">
        <v>10</v>
      </c>
      <c r="H87" s="29">
        <v>26</v>
      </c>
      <c r="I87" s="27">
        <v>67</v>
      </c>
      <c r="J87" s="7">
        <v>123</v>
      </c>
      <c r="K87" s="29">
        <v>2787</v>
      </c>
      <c r="L87" s="106">
        <v>50</v>
      </c>
      <c r="M87" s="106">
        <v>32.159999999999997</v>
      </c>
      <c r="N87" s="106">
        <v>23.47</v>
      </c>
      <c r="O87" s="106">
        <v>19.829999999999998</v>
      </c>
      <c r="P87" s="28">
        <f t="shared" si="8"/>
        <v>26.877014925373135</v>
      </c>
      <c r="Q87" s="2">
        <v>16023.19</v>
      </c>
      <c r="R87" s="27">
        <v>67</v>
      </c>
      <c r="S87" s="27">
        <v>10100</v>
      </c>
      <c r="T87" s="27">
        <v>15136</v>
      </c>
      <c r="V87" s="27">
        <f t="shared" si="9"/>
        <v>1.4986138613861386</v>
      </c>
      <c r="W87" s="27">
        <v>1905</v>
      </c>
      <c r="X87" s="27" t="s">
        <v>538</v>
      </c>
      <c r="Y87" s="1" t="s">
        <v>539</v>
      </c>
      <c r="Z87" s="27" t="s">
        <v>540</v>
      </c>
      <c r="AA87" s="27" t="s">
        <v>541</v>
      </c>
      <c r="AB87" s="27" t="s">
        <v>542</v>
      </c>
      <c r="AC87" s="1" t="s">
        <v>543</v>
      </c>
      <c r="AD87" s="1" t="s">
        <v>544</v>
      </c>
      <c r="AE87" s="1" t="s">
        <v>545</v>
      </c>
      <c r="AF87" s="4"/>
      <c r="AG87" s="4"/>
      <c r="AH87" s="4"/>
      <c r="AI87" s="4"/>
      <c r="AJ87" s="4"/>
      <c r="AK87" s="4"/>
    </row>
    <row r="88" spans="1:37" x14ac:dyDescent="0.25">
      <c r="A88" s="27" t="s">
        <v>1687</v>
      </c>
      <c r="B88" s="27" t="str">
        <f t="shared" si="6"/>
        <v>Virginia</v>
      </c>
      <c r="C88" s="27" t="str">
        <f t="shared" si="7"/>
        <v>Prince George</v>
      </c>
      <c r="D88" s="29">
        <v>627</v>
      </c>
      <c r="E88" s="29"/>
      <c r="F88" s="29">
        <v>20</v>
      </c>
      <c r="G88" s="29">
        <v>3</v>
      </c>
      <c r="H88" s="29">
        <v>16</v>
      </c>
      <c r="I88" s="27">
        <v>39</v>
      </c>
      <c r="J88" s="7">
        <v>117</v>
      </c>
      <c r="K88" s="29">
        <v>1424</v>
      </c>
      <c r="L88" s="106"/>
      <c r="M88" s="106">
        <v>30.65</v>
      </c>
      <c r="N88" s="106">
        <v>20</v>
      </c>
      <c r="O88" s="106">
        <v>20</v>
      </c>
      <c r="P88" s="28">
        <f t="shared" si="8"/>
        <v>25.46153846153846</v>
      </c>
      <c r="Q88" s="2">
        <v>7294.86</v>
      </c>
      <c r="R88" s="27">
        <v>39</v>
      </c>
      <c r="S88" s="27">
        <v>6000</v>
      </c>
      <c r="T88" s="27">
        <v>6381</v>
      </c>
      <c r="V88" s="27">
        <f t="shared" si="9"/>
        <v>1.0634999999999999</v>
      </c>
      <c r="W88" s="27">
        <v>1905</v>
      </c>
      <c r="X88" s="27" t="s">
        <v>538</v>
      </c>
      <c r="Y88" s="1" t="s">
        <v>539</v>
      </c>
      <c r="Z88" s="27" t="s">
        <v>540</v>
      </c>
      <c r="AA88" s="27" t="s">
        <v>541</v>
      </c>
      <c r="AB88" s="27" t="s">
        <v>542</v>
      </c>
      <c r="AC88" s="1" t="s">
        <v>543</v>
      </c>
      <c r="AD88" s="1" t="s">
        <v>544</v>
      </c>
      <c r="AE88" s="1" t="s">
        <v>545</v>
      </c>
      <c r="AF88" s="4"/>
      <c r="AG88" s="4"/>
      <c r="AH88" s="4"/>
      <c r="AI88" s="4"/>
      <c r="AJ88" s="4"/>
      <c r="AK88" s="4"/>
    </row>
    <row r="89" spans="1:37" x14ac:dyDescent="0.25">
      <c r="A89" s="27" t="s">
        <v>1688</v>
      </c>
      <c r="B89" s="27" t="str">
        <f t="shared" si="6"/>
        <v>Virginia</v>
      </c>
      <c r="C89" s="27" t="str">
        <f t="shared" si="7"/>
        <v>Princess Anne</v>
      </c>
      <c r="D89" s="29">
        <v>1217</v>
      </c>
      <c r="E89" s="29">
        <v>4</v>
      </c>
      <c r="F89" s="29">
        <v>29</v>
      </c>
      <c r="G89" s="29"/>
      <c r="H89" s="29">
        <v>14</v>
      </c>
      <c r="I89" s="27">
        <v>47</v>
      </c>
      <c r="J89" s="7">
        <v>140</v>
      </c>
      <c r="K89" s="29">
        <v>1929</v>
      </c>
      <c r="L89" s="106">
        <v>35</v>
      </c>
      <c r="M89" s="106">
        <v>31.5</v>
      </c>
      <c r="N89" s="106"/>
      <c r="O89" s="106">
        <v>22.36</v>
      </c>
      <c r="P89" s="28">
        <f t="shared" si="8"/>
        <v>29.07531914893617</v>
      </c>
      <c r="Q89" s="2">
        <v>10804.46</v>
      </c>
      <c r="R89" s="27">
        <v>47</v>
      </c>
      <c r="S89" s="27">
        <v>18000</v>
      </c>
      <c r="T89" s="27">
        <v>8930</v>
      </c>
      <c r="V89" s="27">
        <f t="shared" si="9"/>
        <v>0.49611111111111111</v>
      </c>
      <c r="W89" s="27">
        <v>1905</v>
      </c>
      <c r="X89" s="27" t="s">
        <v>538</v>
      </c>
      <c r="Y89" s="1" t="s">
        <v>539</v>
      </c>
      <c r="Z89" s="27" t="s">
        <v>540</v>
      </c>
      <c r="AA89" s="27" t="s">
        <v>541</v>
      </c>
      <c r="AB89" s="27" t="s">
        <v>542</v>
      </c>
      <c r="AC89" s="1" t="s">
        <v>543</v>
      </c>
      <c r="AD89" s="1" t="s">
        <v>544</v>
      </c>
      <c r="AE89" s="1" t="s">
        <v>545</v>
      </c>
      <c r="AF89" s="4"/>
      <c r="AG89" s="4"/>
      <c r="AH89" s="4"/>
      <c r="AI89" s="4"/>
      <c r="AJ89" s="4"/>
      <c r="AK89" s="4"/>
    </row>
    <row r="90" spans="1:37" x14ac:dyDescent="0.25">
      <c r="A90" s="27" t="s">
        <v>1689</v>
      </c>
      <c r="B90" s="27" t="str">
        <f t="shared" si="6"/>
        <v>Virginia</v>
      </c>
      <c r="C90" s="27" t="str">
        <f t="shared" si="7"/>
        <v>Prince William</v>
      </c>
      <c r="D90" s="29">
        <v>1210</v>
      </c>
      <c r="E90" s="29">
        <v>6</v>
      </c>
      <c r="F90" s="29">
        <v>40</v>
      </c>
      <c r="G90" s="29">
        <v>9</v>
      </c>
      <c r="H90" s="29">
        <v>3</v>
      </c>
      <c r="I90" s="27">
        <v>58</v>
      </c>
      <c r="J90" s="7">
        <v>124</v>
      </c>
      <c r="K90" s="29">
        <v>2222</v>
      </c>
      <c r="L90" s="106">
        <v>30.14</v>
      </c>
      <c r="M90" s="106">
        <v>28.97</v>
      </c>
      <c r="N90" s="106">
        <v>22.95</v>
      </c>
      <c r="O90" s="106">
        <v>23.98</v>
      </c>
      <c r="P90" s="28">
        <f t="shared" si="8"/>
        <v>27.898793103448273</v>
      </c>
      <c r="Q90" s="2">
        <v>12137.3</v>
      </c>
      <c r="R90" s="27">
        <v>57</v>
      </c>
      <c r="S90" s="27">
        <v>17860</v>
      </c>
      <c r="T90" s="27">
        <v>12172</v>
      </c>
      <c r="V90" s="27">
        <f t="shared" si="9"/>
        <v>0.68152295632698767</v>
      </c>
      <c r="W90" s="27">
        <v>1905</v>
      </c>
      <c r="X90" s="27" t="s">
        <v>538</v>
      </c>
      <c r="Y90" s="1" t="s">
        <v>539</v>
      </c>
      <c r="Z90" s="27" t="s">
        <v>540</v>
      </c>
      <c r="AA90" s="27" t="s">
        <v>541</v>
      </c>
      <c r="AB90" s="27" t="s">
        <v>542</v>
      </c>
      <c r="AC90" s="1" t="s">
        <v>543</v>
      </c>
      <c r="AD90" s="1" t="s">
        <v>544</v>
      </c>
      <c r="AE90" s="1" t="s">
        <v>545</v>
      </c>
      <c r="AF90" s="4"/>
      <c r="AG90" s="4"/>
      <c r="AH90" s="4"/>
      <c r="AI90" s="4"/>
      <c r="AJ90" s="4"/>
      <c r="AK90" s="4"/>
    </row>
    <row r="91" spans="1:37" x14ac:dyDescent="0.25">
      <c r="A91" s="27" t="s">
        <v>1690</v>
      </c>
      <c r="B91" s="27" t="str">
        <f t="shared" si="6"/>
        <v>Virginia</v>
      </c>
      <c r="C91" s="27" t="str">
        <f t="shared" si="7"/>
        <v>Pulaski</v>
      </c>
      <c r="D91" s="29">
        <v>1876</v>
      </c>
      <c r="E91" s="29">
        <v>7</v>
      </c>
      <c r="F91" s="29">
        <v>54</v>
      </c>
      <c r="G91" s="29">
        <v>2</v>
      </c>
      <c r="H91" s="29">
        <v>11</v>
      </c>
      <c r="I91" s="27">
        <v>74</v>
      </c>
      <c r="J91" s="7">
        <v>123</v>
      </c>
      <c r="K91" s="29">
        <v>3060</v>
      </c>
      <c r="L91" s="106">
        <v>36.5</v>
      </c>
      <c r="M91" s="106">
        <v>33.15</v>
      </c>
      <c r="N91" s="106">
        <v>27.59</v>
      </c>
      <c r="O91" s="106">
        <v>24.5</v>
      </c>
      <c r="P91" s="28">
        <f t="shared" si="8"/>
        <v>32.030810810810806</v>
      </c>
      <c r="Q91" s="2">
        <v>17002.23</v>
      </c>
      <c r="R91" s="27">
        <v>74</v>
      </c>
      <c r="S91" s="27">
        <v>49640</v>
      </c>
      <c r="T91" s="27">
        <v>15843</v>
      </c>
      <c r="V91" s="27">
        <f t="shared" si="9"/>
        <v>0.31915793714746171</v>
      </c>
      <c r="W91" s="27">
        <v>1905</v>
      </c>
      <c r="X91" s="27" t="s">
        <v>538</v>
      </c>
      <c r="Y91" s="1" t="s">
        <v>539</v>
      </c>
      <c r="Z91" s="27" t="s">
        <v>540</v>
      </c>
      <c r="AA91" s="27" t="s">
        <v>541</v>
      </c>
      <c r="AB91" s="27" t="s">
        <v>542</v>
      </c>
      <c r="AC91" s="1" t="s">
        <v>543</v>
      </c>
      <c r="AD91" s="1" t="s">
        <v>544</v>
      </c>
      <c r="AE91" s="1" t="s">
        <v>545</v>
      </c>
      <c r="AF91" s="4"/>
      <c r="AG91" s="4"/>
      <c r="AH91" s="4"/>
      <c r="AI91" s="4"/>
      <c r="AJ91" s="4"/>
      <c r="AK91" s="4"/>
    </row>
    <row r="92" spans="1:37" x14ac:dyDescent="0.25">
      <c r="A92" s="27" t="s">
        <v>1737</v>
      </c>
      <c r="B92" s="27" t="str">
        <f t="shared" si="6"/>
        <v>Virginia</v>
      </c>
      <c r="C92" s="27" t="str">
        <f t="shared" si="7"/>
        <v>Radford</v>
      </c>
      <c r="D92" s="29">
        <v>411</v>
      </c>
      <c r="E92" s="29">
        <v>2</v>
      </c>
      <c r="F92" s="29">
        <v>9</v>
      </c>
      <c r="G92" s="29">
        <v>1</v>
      </c>
      <c r="H92" s="29"/>
      <c r="I92" s="27">
        <v>12</v>
      </c>
      <c r="J92" s="7">
        <v>151</v>
      </c>
      <c r="K92" s="29">
        <v>678</v>
      </c>
      <c r="L92" s="106">
        <v>71.66</v>
      </c>
      <c r="M92" s="106">
        <v>40</v>
      </c>
      <c r="N92" s="106">
        <v>35</v>
      </c>
      <c r="O92" s="106"/>
      <c r="P92" s="28">
        <f t="shared" si="8"/>
        <v>44.859999999999992</v>
      </c>
      <c r="Q92" s="2">
        <v>5120.75</v>
      </c>
      <c r="R92" s="27">
        <v>12</v>
      </c>
      <c r="S92" s="27">
        <v>10000</v>
      </c>
      <c r="W92" s="27">
        <v>1905</v>
      </c>
      <c r="X92" s="27" t="s">
        <v>538</v>
      </c>
      <c r="Y92" s="1" t="s">
        <v>539</v>
      </c>
      <c r="Z92" s="27" t="s">
        <v>540</v>
      </c>
      <c r="AA92" s="27" t="s">
        <v>541</v>
      </c>
      <c r="AB92" s="27" t="s">
        <v>542</v>
      </c>
      <c r="AC92" s="1" t="s">
        <v>543</v>
      </c>
      <c r="AD92" s="1" t="s">
        <v>544</v>
      </c>
      <c r="AE92" s="1" t="s">
        <v>545</v>
      </c>
      <c r="AF92" s="4"/>
      <c r="AG92" s="4"/>
      <c r="AH92" s="4"/>
      <c r="AI92" s="4"/>
      <c r="AJ92" s="4"/>
      <c r="AK92" s="4"/>
    </row>
    <row r="93" spans="1:37" x14ac:dyDescent="0.25">
      <c r="A93" s="27" t="s">
        <v>1691</v>
      </c>
      <c r="B93" s="27" t="str">
        <f t="shared" si="6"/>
        <v>Virginia</v>
      </c>
      <c r="C93" s="27" t="str">
        <f t="shared" si="7"/>
        <v>Rappahannock</v>
      </c>
      <c r="D93" s="29">
        <v>849</v>
      </c>
      <c r="E93" s="29">
        <v>7</v>
      </c>
      <c r="F93" s="29">
        <v>30</v>
      </c>
      <c r="G93" s="29">
        <v>3</v>
      </c>
      <c r="H93" s="29">
        <v>9</v>
      </c>
      <c r="I93" s="27">
        <v>49</v>
      </c>
      <c r="J93" s="7">
        <v>117</v>
      </c>
      <c r="K93" s="29">
        <v>1625</v>
      </c>
      <c r="L93" s="106">
        <v>29.56</v>
      </c>
      <c r="M93" s="106">
        <v>23.91</v>
      </c>
      <c r="N93" s="106">
        <v>24.16</v>
      </c>
      <c r="O93" s="106">
        <v>20.94</v>
      </c>
      <c r="P93" s="28">
        <f t="shared" si="8"/>
        <v>24.1869387755102</v>
      </c>
      <c r="Q93" s="2">
        <v>8677.49</v>
      </c>
      <c r="R93" s="27">
        <v>49</v>
      </c>
      <c r="S93" s="27">
        <v>9950</v>
      </c>
      <c r="T93" s="27">
        <v>9120</v>
      </c>
      <c r="V93" s="27">
        <f t="shared" si="9"/>
        <v>0.91658291457286434</v>
      </c>
      <c r="W93" s="27">
        <v>1905</v>
      </c>
      <c r="X93" s="27" t="s">
        <v>538</v>
      </c>
      <c r="Y93" s="1" t="s">
        <v>539</v>
      </c>
      <c r="Z93" s="27" t="s">
        <v>540</v>
      </c>
      <c r="AA93" s="27" t="s">
        <v>541</v>
      </c>
      <c r="AB93" s="27" t="s">
        <v>542</v>
      </c>
      <c r="AC93" s="1" t="s">
        <v>543</v>
      </c>
      <c r="AD93" s="1" t="s">
        <v>544</v>
      </c>
      <c r="AE93" s="1" t="s">
        <v>545</v>
      </c>
      <c r="AF93" s="4"/>
      <c r="AG93" s="4"/>
      <c r="AH93" s="4"/>
      <c r="AI93" s="4"/>
      <c r="AJ93" s="4"/>
      <c r="AK93" s="4"/>
    </row>
    <row r="94" spans="1:37" x14ac:dyDescent="0.25">
      <c r="A94" s="27" t="s">
        <v>1738</v>
      </c>
      <c r="B94" s="27" t="str">
        <f t="shared" si="6"/>
        <v>Virginia</v>
      </c>
      <c r="C94" s="27" t="str">
        <f t="shared" si="7"/>
        <v>Richmond City</v>
      </c>
      <c r="D94" s="29">
        <v>10121</v>
      </c>
      <c r="E94" s="29">
        <v>25</v>
      </c>
      <c r="F94" s="29">
        <v>195</v>
      </c>
      <c r="G94" s="29">
        <v>7</v>
      </c>
      <c r="H94" s="29">
        <v>74</v>
      </c>
      <c r="I94" s="27">
        <v>301</v>
      </c>
      <c r="J94" s="7">
        <v>180</v>
      </c>
      <c r="K94" s="29">
        <v>12481</v>
      </c>
      <c r="L94" s="106">
        <v>153.99</v>
      </c>
      <c r="M94" s="106">
        <v>46.14</v>
      </c>
      <c r="N94" s="106">
        <v>47.14</v>
      </c>
      <c r="O94" s="106">
        <v>47.53</v>
      </c>
      <c r="P94" s="28">
        <f t="shared" si="8"/>
        <v>55.462624584717609</v>
      </c>
      <c r="Q94" s="2">
        <v>182986.18</v>
      </c>
      <c r="R94" s="27">
        <v>278</v>
      </c>
      <c r="S94" s="27">
        <v>510745.5</v>
      </c>
      <c r="W94" s="27">
        <v>1905</v>
      </c>
      <c r="X94" s="27" t="s">
        <v>538</v>
      </c>
      <c r="Y94" s="1" t="s">
        <v>539</v>
      </c>
      <c r="Z94" s="27" t="s">
        <v>540</v>
      </c>
      <c r="AA94" s="27" t="s">
        <v>541</v>
      </c>
      <c r="AB94" s="27" t="s">
        <v>542</v>
      </c>
      <c r="AC94" s="1" t="s">
        <v>543</v>
      </c>
      <c r="AD94" s="1" t="s">
        <v>544</v>
      </c>
      <c r="AE94" s="1" t="s">
        <v>545</v>
      </c>
      <c r="AF94" s="4"/>
      <c r="AG94" s="4"/>
      <c r="AH94" s="4"/>
      <c r="AI94" s="4"/>
      <c r="AJ94" s="4"/>
      <c r="AK94" s="4"/>
    </row>
    <row r="95" spans="1:37" x14ac:dyDescent="0.25">
      <c r="A95" s="27" t="s">
        <v>1692</v>
      </c>
      <c r="B95" s="27" t="str">
        <f t="shared" si="6"/>
        <v>Virginia</v>
      </c>
      <c r="C95" s="27" t="str">
        <f t="shared" si="7"/>
        <v>Richmond</v>
      </c>
      <c r="D95" s="29">
        <v>719</v>
      </c>
      <c r="E95" s="29">
        <v>5</v>
      </c>
      <c r="F95" s="29">
        <v>21</v>
      </c>
      <c r="G95" s="29">
        <v>5</v>
      </c>
      <c r="H95" s="29">
        <v>6</v>
      </c>
      <c r="I95" s="27">
        <v>37</v>
      </c>
      <c r="J95" s="7">
        <v>99</v>
      </c>
      <c r="K95" s="29">
        <v>1374</v>
      </c>
      <c r="L95" s="106">
        <v>26.65</v>
      </c>
      <c r="M95" s="106">
        <v>24.76</v>
      </c>
      <c r="N95" s="106">
        <v>26.5</v>
      </c>
      <c r="O95" s="106">
        <v>25.5</v>
      </c>
      <c r="P95" s="28">
        <f t="shared" si="8"/>
        <v>25.370540540540542</v>
      </c>
      <c r="Q95" s="2">
        <v>6276.94</v>
      </c>
      <c r="R95" s="27">
        <v>37</v>
      </c>
      <c r="S95" s="27">
        <v>7600</v>
      </c>
      <c r="T95" s="27">
        <v>4685</v>
      </c>
      <c r="V95" s="27">
        <f t="shared" si="9"/>
        <v>0.61644736842105263</v>
      </c>
      <c r="W95" s="27">
        <v>1905</v>
      </c>
      <c r="X95" s="27" t="s">
        <v>538</v>
      </c>
      <c r="Y95" s="1" t="s">
        <v>539</v>
      </c>
      <c r="Z95" s="27" t="s">
        <v>540</v>
      </c>
      <c r="AA95" s="27" t="s">
        <v>541</v>
      </c>
      <c r="AB95" s="27" t="s">
        <v>542</v>
      </c>
      <c r="AC95" s="1" t="s">
        <v>543</v>
      </c>
      <c r="AD95" s="1" t="s">
        <v>544</v>
      </c>
      <c r="AE95" s="1" t="s">
        <v>545</v>
      </c>
      <c r="AF95" s="4"/>
      <c r="AG95" s="4"/>
      <c r="AH95" s="4"/>
      <c r="AI95" s="4"/>
      <c r="AJ95" s="4"/>
      <c r="AK95" s="4"/>
    </row>
    <row r="96" spans="1:37" x14ac:dyDescent="0.25">
      <c r="A96" s="27" t="s">
        <v>1739</v>
      </c>
      <c r="B96" s="27" t="str">
        <f t="shared" si="6"/>
        <v>Virginia</v>
      </c>
      <c r="C96" s="27" t="str">
        <f t="shared" si="7"/>
        <v>Roanoke City</v>
      </c>
      <c r="D96" s="29">
        <v>2166</v>
      </c>
      <c r="E96" s="29">
        <v>9</v>
      </c>
      <c r="F96" s="29">
        <v>57</v>
      </c>
      <c r="G96" s="29">
        <v>2</v>
      </c>
      <c r="H96" s="29">
        <v>12</v>
      </c>
      <c r="I96" s="27">
        <v>80</v>
      </c>
      <c r="J96" s="7">
        <v>174</v>
      </c>
      <c r="K96" s="29">
        <v>4534</v>
      </c>
      <c r="L96" s="106">
        <v>99.59</v>
      </c>
      <c r="M96" s="106">
        <v>46.1</v>
      </c>
      <c r="N96" s="106">
        <v>70</v>
      </c>
      <c r="O96" s="106">
        <v>31.83</v>
      </c>
      <c r="P96" s="28">
        <f t="shared" si="8"/>
        <v>50.574625000000005</v>
      </c>
      <c r="Q96" s="2">
        <v>42418.35</v>
      </c>
      <c r="R96" s="27">
        <v>80</v>
      </c>
      <c r="S96" s="27">
        <v>150000</v>
      </c>
      <c r="W96" s="27">
        <v>1905</v>
      </c>
      <c r="X96" s="27" t="s">
        <v>538</v>
      </c>
      <c r="Y96" s="1" t="s">
        <v>539</v>
      </c>
      <c r="Z96" s="27" t="s">
        <v>540</v>
      </c>
      <c r="AA96" s="27" t="s">
        <v>541</v>
      </c>
      <c r="AB96" s="27" t="s">
        <v>542</v>
      </c>
      <c r="AC96" s="1" t="s">
        <v>543</v>
      </c>
      <c r="AD96" s="1" t="s">
        <v>544</v>
      </c>
      <c r="AE96" s="1" t="s">
        <v>545</v>
      </c>
      <c r="AF96" s="4"/>
      <c r="AG96" s="4"/>
      <c r="AH96" s="4"/>
      <c r="AI96" s="4"/>
      <c r="AJ96" s="4"/>
      <c r="AK96" s="4"/>
    </row>
    <row r="97" spans="1:37" x14ac:dyDescent="0.25">
      <c r="A97" s="27" t="s">
        <v>1693</v>
      </c>
      <c r="B97" s="27" t="str">
        <f t="shared" si="6"/>
        <v>Virginia</v>
      </c>
      <c r="C97" s="27" t="str">
        <f t="shared" si="7"/>
        <v>Roanoke</v>
      </c>
      <c r="D97" s="29">
        <v>2224</v>
      </c>
      <c r="E97" s="29">
        <v>10</v>
      </c>
      <c r="F97" s="29">
        <v>60</v>
      </c>
      <c r="G97" s="29">
        <v>12</v>
      </c>
      <c r="H97" s="29">
        <v>7</v>
      </c>
      <c r="I97" s="27">
        <v>89</v>
      </c>
      <c r="J97" s="7">
        <v>116</v>
      </c>
      <c r="K97" s="29">
        <v>3414</v>
      </c>
      <c r="L97" s="106">
        <v>33.1</v>
      </c>
      <c r="M97" s="106">
        <v>32.9</v>
      </c>
      <c r="N97" s="106">
        <v>29.41</v>
      </c>
      <c r="O97" s="106">
        <v>28.28</v>
      </c>
      <c r="P97" s="28">
        <f t="shared" si="8"/>
        <v>32.088539325842696</v>
      </c>
      <c r="Q97" s="2">
        <v>22948.98</v>
      </c>
      <c r="R97" s="27">
        <v>88</v>
      </c>
      <c r="S97" s="27">
        <v>54100</v>
      </c>
      <c r="T97" s="27">
        <v>23175</v>
      </c>
      <c r="V97" s="27">
        <f t="shared" si="9"/>
        <v>0.42837338262476893</v>
      </c>
      <c r="W97" s="27">
        <v>1905</v>
      </c>
      <c r="X97" s="27" t="s">
        <v>538</v>
      </c>
      <c r="Y97" s="1" t="s">
        <v>539</v>
      </c>
      <c r="Z97" s="27" t="s">
        <v>540</v>
      </c>
      <c r="AA97" s="27" t="s">
        <v>541</v>
      </c>
      <c r="AB97" s="27" t="s">
        <v>542</v>
      </c>
      <c r="AC97" s="1" t="s">
        <v>543</v>
      </c>
      <c r="AD97" s="1" t="s">
        <v>544</v>
      </c>
      <c r="AE97" s="1" t="s">
        <v>545</v>
      </c>
      <c r="AF97" s="4"/>
      <c r="AG97" s="4"/>
      <c r="AH97" s="4"/>
      <c r="AI97" s="4"/>
      <c r="AJ97" s="4"/>
      <c r="AK97" s="4"/>
    </row>
    <row r="98" spans="1:37" x14ac:dyDescent="0.25">
      <c r="A98" s="27" t="s">
        <v>1694</v>
      </c>
      <c r="B98" s="27" t="str">
        <f t="shared" si="6"/>
        <v>Virginia</v>
      </c>
      <c r="C98" s="27" t="str">
        <f t="shared" si="7"/>
        <v>Rockbridge</v>
      </c>
      <c r="D98" s="29">
        <v>3069</v>
      </c>
      <c r="E98" s="29">
        <v>15</v>
      </c>
      <c r="F98" s="29">
        <v>102</v>
      </c>
      <c r="G98" s="29">
        <v>7</v>
      </c>
      <c r="H98" s="29">
        <v>16</v>
      </c>
      <c r="I98" s="27">
        <v>140</v>
      </c>
      <c r="J98" s="7">
        <v>117</v>
      </c>
      <c r="K98" s="29">
        <v>4494</v>
      </c>
      <c r="L98" s="106">
        <v>37.35</v>
      </c>
      <c r="M98" s="106">
        <v>26.63</v>
      </c>
      <c r="N98" s="106">
        <v>29.49</v>
      </c>
      <c r="O98" s="106">
        <v>24.54</v>
      </c>
      <c r="P98" s="28">
        <f t="shared" ref="P98:P119" si="10">(E98*L98+F98*M98+G98*N98+H98*O98)/I98</f>
        <v>27.682714285714283</v>
      </c>
      <c r="Q98" s="2">
        <v>22629.8</v>
      </c>
      <c r="R98" s="27">
        <v>125</v>
      </c>
      <c r="S98" s="27">
        <v>39400</v>
      </c>
      <c r="T98" s="27">
        <v>21309</v>
      </c>
      <c r="V98" s="27">
        <f t="shared" si="9"/>
        <v>0.54083756345177669</v>
      </c>
      <c r="W98" s="27">
        <v>1905</v>
      </c>
      <c r="X98" s="27" t="s">
        <v>538</v>
      </c>
      <c r="Y98" s="1" t="s">
        <v>539</v>
      </c>
      <c r="Z98" s="27" t="s">
        <v>540</v>
      </c>
      <c r="AA98" s="27" t="s">
        <v>541</v>
      </c>
      <c r="AB98" s="27" t="s">
        <v>542</v>
      </c>
      <c r="AC98" s="1" t="s">
        <v>543</v>
      </c>
      <c r="AD98" s="1" t="s">
        <v>544</v>
      </c>
      <c r="AE98" s="1" t="s">
        <v>545</v>
      </c>
      <c r="AF98" s="4"/>
      <c r="AG98" s="4"/>
      <c r="AH98" s="4"/>
      <c r="AI98" s="4"/>
      <c r="AJ98" s="4"/>
      <c r="AK98" s="4"/>
    </row>
    <row r="99" spans="1:37" x14ac:dyDescent="0.25">
      <c r="A99" s="27" t="s">
        <v>1695</v>
      </c>
      <c r="B99" s="27" t="str">
        <f t="shared" si="6"/>
        <v>Virginia</v>
      </c>
      <c r="C99" s="27" t="str">
        <f t="shared" si="7"/>
        <v>Rockingham</v>
      </c>
      <c r="D99" s="29">
        <v>4855</v>
      </c>
      <c r="E99" s="29">
        <v>88</v>
      </c>
      <c r="F99" s="29">
        <v>127</v>
      </c>
      <c r="G99" s="29">
        <v>9</v>
      </c>
      <c r="H99" s="29">
        <v>4</v>
      </c>
      <c r="I99" s="27">
        <v>228</v>
      </c>
      <c r="J99" s="7">
        <v>112</v>
      </c>
      <c r="K99" s="29">
        <v>7639</v>
      </c>
      <c r="L99" s="106">
        <v>33.43</v>
      </c>
      <c r="M99" s="106">
        <v>28.41</v>
      </c>
      <c r="N99" s="106">
        <v>26.73</v>
      </c>
      <c r="O99" s="106">
        <v>23.35</v>
      </c>
      <c r="P99" s="28">
        <f t="shared" si="10"/>
        <v>30.192456140350874</v>
      </c>
      <c r="Q99" s="2">
        <v>46857.56</v>
      </c>
      <c r="R99" s="27">
        <v>228</v>
      </c>
      <c r="S99" s="27">
        <v>103555.73</v>
      </c>
      <c r="T99" s="27">
        <v>39788</v>
      </c>
      <c r="V99" s="27">
        <f t="shared" si="9"/>
        <v>0.38421823688558809</v>
      </c>
      <c r="W99" s="27">
        <v>1905</v>
      </c>
      <c r="X99" s="27" t="s">
        <v>538</v>
      </c>
      <c r="Y99" s="1" t="s">
        <v>539</v>
      </c>
      <c r="Z99" s="27" t="s">
        <v>540</v>
      </c>
      <c r="AA99" s="27" t="s">
        <v>541</v>
      </c>
      <c r="AB99" s="27" t="s">
        <v>542</v>
      </c>
      <c r="AC99" s="1" t="s">
        <v>543</v>
      </c>
      <c r="AD99" s="1" t="s">
        <v>544</v>
      </c>
      <c r="AE99" s="1" t="s">
        <v>545</v>
      </c>
      <c r="AF99" s="4"/>
      <c r="AG99" s="4"/>
      <c r="AH99" s="4"/>
      <c r="AI99" s="4"/>
      <c r="AJ99" s="4"/>
      <c r="AK99" s="4"/>
    </row>
    <row r="100" spans="1:37" x14ac:dyDescent="0.25">
      <c r="A100" s="27" t="s">
        <v>1696</v>
      </c>
      <c r="B100" s="27" t="str">
        <f t="shared" si="6"/>
        <v>Virginia</v>
      </c>
      <c r="C100" s="27" t="str">
        <f t="shared" si="7"/>
        <v>Russell</v>
      </c>
      <c r="D100" s="29">
        <v>2830</v>
      </c>
      <c r="E100" s="29">
        <v>40</v>
      </c>
      <c r="F100" s="29">
        <v>53</v>
      </c>
      <c r="G100" s="29">
        <v>2</v>
      </c>
      <c r="H100" s="29">
        <v>1</v>
      </c>
      <c r="I100" s="27">
        <v>96</v>
      </c>
      <c r="J100" s="7">
        <v>99</v>
      </c>
      <c r="K100" s="29">
        <v>5222</v>
      </c>
      <c r="L100" s="106">
        <v>28.15</v>
      </c>
      <c r="M100" s="106">
        <v>25.25</v>
      </c>
      <c r="N100" s="106">
        <v>20</v>
      </c>
      <c r="O100" s="106">
        <v>20</v>
      </c>
      <c r="P100" s="28">
        <f t="shared" si="10"/>
        <v>26.294270833333332</v>
      </c>
      <c r="Q100" s="2">
        <v>15280.07</v>
      </c>
      <c r="R100" s="27">
        <v>88</v>
      </c>
      <c r="S100" s="27">
        <v>30750</v>
      </c>
      <c r="T100" s="27">
        <v>14582</v>
      </c>
      <c r="V100" s="27">
        <f t="shared" si="9"/>
        <v>0.47421138211382113</v>
      </c>
      <c r="W100" s="27">
        <v>1905</v>
      </c>
      <c r="X100" s="27" t="s">
        <v>538</v>
      </c>
      <c r="Y100" s="1" t="s">
        <v>539</v>
      </c>
      <c r="Z100" s="27" t="s">
        <v>540</v>
      </c>
      <c r="AA100" s="27" t="s">
        <v>541</v>
      </c>
      <c r="AB100" s="27" t="s">
        <v>542</v>
      </c>
      <c r="AC100" s="1" t="s">
        <v>543</v>
      </c>
      <c r="AD100" s="1" t="s">
        <v>544</v>
      </c>
      <c r="AE100" s="1" t="s">
        <v>545</v>
      </c>
      <c r="AF100" s="4"/>
      <c r="AG100" s="4"/>
      <c r="AH100" s="4"/>
      <c r="AI100" s="4"/>
      <c r="AJ100" s="4"/>
      <c r="AK100" s="4"/>
    </row>
    <row r="101" spans="1:37" x14ac:dyDescent="0.25">
      <c r="A101" s="27" t="s">
        <v>1697</v>
      </c>
      <c r="B101" s="27" t="str">
        <f t="shared" si="6"/>
        <v>Virginia</v>
      </c>
      <c r="C101" s="27" t="str">
        <f t="shared" si="7"/>
        <v>Scott</v>
      </c>
      <c r="D101" s="29">
        <v>4250</v>
      </c>
      <c r="E101" s="29">
        <v>70</v>
      </c>
      <c r="F101" s="29">
        <v>29</v>
      </c>
      <c r="G101" s="29">
        <v>1</v>
      </c>
      <c r="H101" s="29"/>
      <c r="I101" s="27">
        <v>100</v>
      </c>
      <c r="J101" s="7">
        <v>100</v>
      </c>
      <c r="K101" s="29">
        <v>7410</v>
      </c>
      <c r="L101" s="106">
        <v>34.15</v>
      </c>
      <c r="M101" s="106">
        <v>32.06</v>
      </c>
      <c r="N101" s="106">
        <v>24</v>
      </c>
      <c r="O101" s="106"/>
      <c r="P101" s="28">
        <f t="shared" si="10"/>
        <v>33.442399999999999</v>
      </c>
      <c r="Q101" s="2">
        <v>17576.64</v>
      </c>
      <c r="R101" s="27">
        <v>100</v>
      </c>
      <c r="S101" s="27">
        <v>74000</v>
      </c>
      <c r="T101" s="27">
        <v>16905</v>
      </c>
      <c r="V101" s="27">
        <f t="shared" si="9"/>
        <v>0.22844594594594594</v>
      </c>
      <c r="W101" s="27">
        <v>1905</v>
      </c>
      <c r="X101" s="27" t="s">
        <v>538</v>
      </c>
      <c r="Y101" s="1" t="s">
        <v>539</v>
      </c>
      <c r="Z101" s="27" t="s">
        <v>540</v>
      </c>
      <c r="AA101" s="27" t="s">
        <v>541</v>
      </c>
      <c r="AB101" s="27" t="s">
        <v>542</v>
      </c>
      <c r="AC101" s="1" t="s">
        <v>543</v>
      </c>
      <c r="AD101" s="1" t="s">
        <v>544</v>
      </c>
      <c r="AE101" s="1" t="s">
        <v>545</v>
      </c>
      <c r="AF101" s="4"/>
      <c r="AG101" s="4"/>
      <c r="AH101" s="4"/>
      <c r="AI101" s="4"/>
      <c r="AJ101" s="4"/>
      <c r="AK101" s="4"/>
    </row>
    <row r="102" spans="1:37" x14ac:dyDescent="0.25">
      <c r="A102" s="27" t="s">
        <v>1698</v>
      </c>
      <c r="B102" s="27" t="str">
        <f t="shared" si="6"/>
        <v>Virginia</v>
      </c>
      <c r="C102" s="27" t="str">
        <f t="shared" si="7"/>
        <v>Shenandoah</v>
      </c>
      <c r="D102" s="29">
        <v>2851</v>
      </c>
      <c r="E102" s="29">
        <v>61</v>
      </c>
      <c r="F102" s="29">
        <v>57</v>
      </c>
      <c r="G102" s="29"/>
      <c r="H102" s="29">
        <v>4</v>
      </c>
      <c r="I102" s="27">
        <v>122</v>
      </c>
      <c r="J102" s="7">
        <v>100</v>
      </c>
      <c r="K102" s="29">
        <v>4193</v>
      </c>
      <c r="L102" s="106">
        <v>26.53</v>
      </c>
      <c r="M102" s="106">
        <v>24.69</v>
      </c>
      <c r="N102" s="106"/>
      <c r="O102" s="106">
        <v>23.06</v>
      </c>
      <c r="P102" s="28">
        <f t="shared" si="10"/>
        <v>25.556557377049181</v>
      </c>
      <c r="Q102" s="2">
        <v>17902.439999999999</v>
      </c>
      <c r="R102" s="27">
        <v>122</v>
      </c>
      <c r="S102" s="27">
        <v>52200</v>
      </c>
      <c r="T102" s="27">
        <v>20095</v>
      </c>
      <c r="V102" s="27">
        <f t="shared" si="9"/>
        <v>0.38496168582375478</v>
      </c>
      <c r="W102" s="27">
        <v>1905</v>
      </c>
      <c r="X102" s="27" t="s">
        <v>538</v>
      </c>
      <c r="Y102" s="1" t="s">
        <v>539</v>
      </c>
      <c r="Z102" s="27" t="s">
        <v>540</v>
      </c>
      <c r="AA102" s="27" t="s">
        <v>541</v>
      </c>
      <c r="AB102" s="27" t="s">
        <v>542</v>
      </c>
      <c r="AC102" s="1" t="s">
        <v>543</v>
      </c>
      <c r="AD102" s="1" t="s">
        <v>544</v>
      </c>
      <c r="AE102" s="1" t="s">
        <v>545</v>
      </c>
      <c r="AF102" s="4"/>
      <c r="AG102" s="4"/>
      <c r="AH102" s="4"/>
      <c r="AI102" s="4"/>
      <c r="AJ102" s="4"/>
      <c r="AK102" s="4"/>
    </row>
    <row r="103" spans="1:37" x14ac:dyDescent="0.25">
      <c r="A103" s="27" t="s">
        <v>1699</v>
      </c>
      <c r="B103" s="27" t="str">
        <f t="shared" si="6"/>
        <v>Virginia</v>
      </c>
      <c r="C103" s="27" t="str">
        <f t="shared" si="7"/>
        <v>Smyth</v>
      </c>
      <c r="D103" s="29">
        <v>2005</v>
      </c>
      <c r="E103" s="29">
        <v>25</v>
      </c>
      <c r="F103" s="29">
        <v>51</v>
      </c>
      <c r="G103" s="29">
        <v>3</v>
      </c>
      <c r="H103" s="29">
        <v>3</v>
      </c>
      <c r="I103" s="27">
        <v>82</v>
      </c>
      <c r="J103" s="7">
        <v>123</v>
      </c>
      <c r="K103" s="29">
        <v>3536</v>
      </c>
      <c r="L103" s="106">
        <v>35.35</v>
      </c>
      <c r="M103" s="106">
        <v>26.24</v>
      </c>
      <c r="N103" s="106">
        <v>29</v>
      </c>
      <c r="O103" s="106">
        <v>22.53</v>
      </c>
      <c r="P103" s="28">
        <f t="shared" si="10"/>
        <v>28.982682926829266</v>
      </c>
      <c r="Q103" s="2">
        <v>14261.95</v>
      </c>
      <c r="R103" s="27">
        <v>82</v>
      </c>
      <c r="S103" s="27">
        <v>46161.26</v>
      </c>
      <c r="T103" s="27">
        <v>13051</v>
      </c>
      <c r="V103" s="27">
        <f t="shared" si="9"/>
        <v>0.28272625140648239</v>
      </c>
      <c r="W103" s="27">
        <v>1905</v>
      </c>
      <c r="X103" s="27" t="s">
        <v>538</v>
      </c>
      <c r="Y103" s="1" t="s">
        <v>539</v>
      </c>
      <c r="Z103" s="27" t="s">
        <v>540</v>
      </c>
      <c r="AA103" s="27" t="s">
        <v>541</v>
      </c>
      <c r="AB103" s="27" t="s">
        <v>542</v>
      </c>
      <c r="AC103" s="1" t="s">
        <v>543</v>
      </c>
      <c r="AD103" s="1" t="s">
        <v>544</v>
      </c>
      <c r="AE103" s="1" t="s">
        <v>545</v>
      </c>
      <c r="AF103" s="4"/>
      <c r="AG103" s="4"/>
      <c r="AH103" s="4"/>
      <c r="AI103" s="4"/>
      <c r="AJ103" s="4"/>
      <c r="AK103" s="4"/>
    </row>
    <row r="104" spans="1:37" x14ac:dyDescent="0.25">
      <c r="A104" s="27" t="s">
        <v>1700</v>
      </c>
      <c r="B104" s="27" t="str">
        <f t="shared" si="6"/>
        <v>Virginia</v>
      </c>
      <c r="C104" s="27" t="str">
        <f t="shared" si="7"/>
        <v>Southampton</v>
      </c>
      <c r="D104" s="29">
        <v>2333</v>
      </c>
      <c r="E104" s="29">
        <v>7</v>
      </c>
      <c r="F104" s="29">
        <v>60</v>
      </c>
      <c r="G104" s="29">
        <v>7</v>
      </c>
      <c r="H104" s="29">
        <v>40</v>
      </c>
      <c r="I104" s="27">
        <v>114</v>
      </c>
      <c r="J104" s="7">
        <v>120</v>
      </c>
      <c r="K104" s="29">
        <v>4752</v>
      </c>
      <c r="L104" s="106">
        <v>60.19</v>
      </c>
      <c r="M104" s="106">
        <v>31.17</v>
      </c>
      <c r="N104" s="106">
        <v>27.13</v>
      </c>
      <c r="O104" s="106">
        <v>23.75</v>
      </c>
      <c r="P104" s="28">
        <f t="shared" si="10"/>
        <v>30.100350877192984</v>
      </c>
      <c r="Q104" s="2">
        <v>22398.93</v>
      </c>
      <c r="R104" s="27">
        <v>114</v>
      </c>
      <c r="S104" s="27">
        <v>19200</v>
      </c>
      <c r="T104" s="27">
        <v>19723</v>
      </c>
      <c r="V104" s="27">
        <f t="shared" si="9"/>
        <v>1.0272395833333334</v>
      </c>
      <c r="W104" s="27">
        <v>1905</v>
      </c>
      <c r="X104" s="27" t="s">
        <v>538</v>
      </c>
      <c r="Y104" s="1" t="s">
        <v>539</v>
      </c>
      <c r="Z104" s="27" t="s">
        <v>540</v>
      </c>
      <c r="AA104" s="27" t="s">
        <v>541</v>
      </c>
      <c r="AB104" s="27" t="s">
        <v>542</v>
      </c>
      <c r="AC104" s="1" t="s">
        <v>543</v>
      </c>
      <c r="AD104" s="1" t="s">
        <v>544</v>
      </c>
      <c r="AE104" s="1" t="s">
        <v>545</v>
      </c>
      <c r="AF104" s="4"/>
      <c r="AG104" s="4"/>
      <c r="AH104" s="4"/>
      <c r="AI104" s="4"/>
      <c r="AJ104" s="4"/>
      <c r="AK104" s="4"/>
    </row>
    <row r="105" spans="1:37" x14ac:dyDescent="0.25">
      <c r="A105" s="27" t="s">
        <v>1701</v>
      </c>
      <c r="B105" s="27" t="str">
        <f t="shared" si="6"/>
        <v>Virginia</v>
      </c>
      <c r="C105" s="27" t="str">
        <f t="shared" si="7"/>
        <v>Spotsylvania</v>
      </c>
      <c r="D105" s="29">
        <v>858</v>
      </c>
      <c r="E105" s="29">
        <v>7</v>
      </c>
      <c r="F105" s="29">
        <v>34</v>
      </c>
      <c r="G105" s="29">
        <v>2</v>
      </c>
      <c r="H105" s="29">
        <v>12</v>
      </c>
      <c r="I105" s="27">
        <v>55</v>
      </c>
      <c r="J105" s="7">
        <v>99</v>
      </c>
      <c r="K105" s="29">
        <v>1605</v>
      </c>
      <c r="L105" s="106">
        <v>20.51</v>
      </c>
      <c r="M105" s="106">
        <v>21.16</v>
      </c>
      <c r="N105" s="106">
        <v>22.3</v>
      </c>
      <c r="O105" s="106">
        <v>20.54</v>
      </c>
      <c r="P105" s="28">
        <f t="shared" si="10"/>
        <v>20.983454545454549</v>
      </c>
      <c r="Q105" s="2">
        <v>7435.8</v>
      </c>
      <c r="R105" s="27">
        <v>55</v>
      </c>
      <c r="S105" s="27">
        <v>1625</v>
      </c>
      <c r="T105" s="27">
        <v>7331</v>
      </c>
      <c r="V105" s="27">
        <f t="shared" si="9"/>
        <v>4.5113846153846158</v>
      </c>
      <c r="W105" s="27">
        <v>1905</v>
      </c>
      <c r="X105" s="27" t="s">
        <v>538</v>
      </c>
      <c r="Y105" s="1" t="s">
        <v>539</v>
      </c>
      <c r="Z105" s="27" t="s">
        <v>540</v>
      </c>
      <c r="AA105" s="27" t="s">
        <v>541</v>
      </c>
      <c r="AB105" s="27" t="s">
        <v>542</v>
      </c>
      <c r="AC105" s="1" t="s">
        <v>543</v>
      </c>
      <c r="AD105" s="1" t="s">
        <v>544</v>
      </c>
      <c r="AE105" s="1" t="s">
        <v>545</v>
      </c>
      <c r="AF105" s="4"/>
      <c r="AG105" s="4"/>
      <c r="AH105" s="4"/>
      <c r="AI105" s="4"/>
      <c r="AJ105" s="4"/>
      <c r="AK105" s="4"/>
    </row>
    <row r="106" spans="1:37" x14ac:dyDescent="0.25">
      <c r="A106" s="27" t="s">
        <v>1702</v>
      </c>
      <c r="B106" s="27" t="str">
        <f t="shared" si="6"/>
        <v>Virginia</v>
      </c>
      <c r="C106" s="27" t="str">
        <f t="shared" si="7"/>
        <v>Stafford</v>
      </c>
      <c r="D106" s="29">
        <v>754</v>
      </c>
      <c r="E106" s="29">
        <v>9</v>
      </c>
      <c r="F106" s="29">
        <v>25</v>
      </c>
      <c r="G106" s="29">
        <v>2</v>
      </c>
      <c r="H106" s="29">
        <v>5</v>
      </c>
      <c r="I106" s="27">
        <v>41</v>
      </c>
      <c r="J106" s="7">
        <v>114</v>
      </c>
      <c r="K106" s="29">
        <v>1471</v>
      </c>
      <c r="L106" s="106">
        <v>25.78</v>
      </c>
      <c r="M106" s="106">
        <v>23.91</v>
      </c>
      <c r="N106" s="106">
        <v>24</v>
      </c>
      <c r="O106" s="106">
        <v>22</v>
      </c>
      <c r="P106" s="28">
        <f t="shared" si="10"/>
        <v>24.091951219512193</v>
      </c>
      <c r="Q106" s="2">
        <v>7017.72</v>
      </c>
      <c r="R106" s="27">
        <v>41</v>
      </c>
      <c r="S106" s="27">
        <v>9123</v>
      </c>
      <c r="T106" s="27">
        <v>6230</v>
      </c>
      <c r="V106" s="27">
        <f t="shared" si="9"/>
        <v>0.68288940041652968</v>
      </c>
      <c r="W106" s="27">
        <v>1905</v>
      </c>
      <c r="X106" s="27" t="s">
        <v>538</v>
      </c>
      <c r="Y106" s="1" t="s">
        <v>539</v>
      </c>
      <c r="Z106" s="27" t="s">
        <v>540</v>
      </c>
      <c r="AA106" s="27" t="s">
        <v>541</v>
      </c>
      <c r="AB106" s="27" t="s">
        <v>542</v>
      </c>
      <c r="AC106" s="1" t="s">
        <v>543</v>
      </c>
      <c r="AD106" s="1" t="s">
        <v>544</v>
      </c>
      <c r="AE106" s="1" t="s">
        <v>545</v>
      </c>
      <c r="AF106" s="4"/>
      <c r="AG106" s="4"/>
      <c r="AH106" s="4"/>
      <c r="AI106" s="4"/>
      <c r="AJ106" s="4"/>
      <c r="AK106" s="4"/>
    </row>
    <row r="107" spans="1:37" x14ac:dyDescent="0.25">
      <c r="A107" s="27" t="s">
        <v>1741</v>
      </c>
      <c r="B107" s="27" t="str">
        <f t="shared" si="6"/>
        <v>Virginia</v>
      </c>
      <c r="C107" s="27" t="str">
        <f t="shared" si="7"/>
        <v>Staunton</v>
      </c>
      <c r="D107" s="29">
        <v>763</v>
      </c>
      <c r="E107" s="29">
        <v>2</v>
      </c>
      <c r="F107" s="29">
        <v>16</v>
      </c>
      <c r="G107" s="29">
        <v>2</v>
      </c>
      <c r="H107" s="29">
        <v>6</v>
      </c>
      <c r="I107" s="27">
        <v>26</v>
      </c>
      <c r="J107" s="7">
        <v>182</v>
      </c>
      <c r="K107" s="29">
        <v>919</v>
      </c>
      <c r="L107" s="106">
        <v>72.52</v>
      </c>
      <c r="M107" s="106">
        <v>41.84</v>
      </c>
      <c r="N107" s="106">
        <v>40.76</v>
      </c>
      <c r="O107" s="106">
        <v>28.27</v>
      </c>
      <c r="P107" s="28">
        <f t="shared" si="10"/>
        <v>40.985384615384611</v>
      </c>
      <c r="Q107" s="2">
        <v>12133.7</v>
      </c>
      <c r="R107" s="27">
        <v>27</v>
      </c>
      <c r="S107" s="27">
        <v>57200</v>
      </c>
      <c r="W107" s="27">
        <v>1905</v>
      </c>
      <c r="X107" s="27" t="s">
        <v>538</v>
      </c>
      <c r="Y107" s="1" t="s">
        <v>539</v>
      </c>
      <c r="Z107" s="27" t="s">
        <v>540</v>
      </c>
      <c r="AA107" s="27" t="s">
        <v>541</v>
      </c>
      <c r="AB107" s="27" t="s">
        <v>542</v>
      </c>
      <c r="AC107" s="1" t="s">
        <v>543</v>
      </c>
      <c r="AD107" s="1" t="s">
        <v>544</v>
      </c>
      <c r="AE107" s="1" t="s">
        <v>545</v>
      </c>
      <c r="AF107" s="4"/>
      <c r="AG107" s="4"/>
      <c r="AH107" s="4"/>
      <c r="AI107" s="4"/>
      <c r="AJ107" s="4"/>
      <c r="AK107" s="4"/>
    </row>
    <row r="108" spans="1:37" x14ac:dyDescent="0.25">
      <c r="A108" s="27" t="s">
        <v>1703</v>
      </c>
      <c r="B108" s="27" t="str">
        <f t="shared" si="6"/>
        <v>Virginia</v>
      </c>
      <c r="C108" s="27" t="str">
        <f t="shared" si="7"/>
        <v>Surry</v>
      </c>
      <c r="D108" s="29">
        <v>717</v>
      </c>
      <c r="E108" s="29">
        <v>1</v>
      </c>
      <c r="F108" s="29">
        <v>22</v>
      </c>
      <c r="G108" s="29">
        <v>3</v>
      </c>
      <c r="H108" s="29">
        <v>12</v>
      </c>
      <c r="I108" s="27">
        <v>38</v>
      </c>
      <c r="J108" s="7">
        <v>109</v>
      </c>
      <c r="K108" s="29">
        <v>1425</v>
      </c>
      <c r="L108" s="106">
        <v>25</v>
      </c>
      <c r="M108" s="106">
        <v>27.96</v>
      </c>
      <c r="N108" s="106">
        <v>28.23</v>
      </c>
      <c r="O108" s="106">
        <v>25.62</v>
      </c>
      <c r="P108" s="28">
        <f t="shared" si="10"/>
        <v>27.164473684210527</v>
      </c>
      <c r="Q108" s="2">
        <v>7257.65</v>
      </c>
      <c r="R108" s="27">
        <v>38</v>
      </c>
      <c r="S108" s="27">
        <v>11797</v>
      </c>
      <c r="T108" s="27">
        <v>5822</v>
      </c>
      <c r="V108" s="27">
        <f t="shared" si="9"/>
        <v>0.49351530050012715</v>
      </c>
      <c r="W108" s="27">
        <v>1905</v>
      </c>
      <c r="X108" s="27" t="s">
        <v>538</v>
      </c>
      <c r="Y108" s="1" t="s">
        <v>539</v>
      </c>
      <c r="Z108" s="27" t="s">
        <v>540</v>
      </c>
      <c r="AA108" s="27" t="s">
        <v>541</v>
      </c>
      <c r="AB108" s="27" t="s">
        <v>542</v>
      </c>
      <c r="AC108" s="1" t="s">
        <v>543</v>
      </c>
      <c r="AD108" s="1" t="s">
        <v>544</v>
      </c>
      <c r="AE108" s="1" t="s">
        <v>545</v>
      </c>
      <c r="AF108" s="4"/>
      <c r="AG108" s="4"/>
      <c r="AH108" s="4"/>
      <c r="AI108" s="4"/>
      <c r="AJ108" s="4"/>
      <c r="AK108" s="4"/>
    </row>
    <row r="109" spans="1:37" x14ac:dyDescent="0.25">
      <c r="A109" s="27" t="s">
        <v>1704</v>
      </c>
      <c r="B109" s="27" t="str">
        <f t="shared" si="6"/>
        <v>Virginia</v>
      </c>
      <c r="C109" s="27" t="str">
        <f t="shared" si="7"/>
        <v>Sussex</v>
      </c>
      <c r="D109" s="29">
        <v>951</v>
      </c>
      <c r="E109" s="29">
        <v>2</v>
      </c>
      <c r="F109" s="29">
        <v>30</v>
      </c>
      <c r="G109" s="29">
        <v>2</v>
      </c>
      <c r="H109" s="29">
        <v>23</v>
      </c>
      <c r="I109" s="27">
        <v>57</v>
      </c>
      <c r="J109" s="7">
        <v>117</v>
      </c>
      <c r="K109" s="29">
        <v>2206</v>
      </c>
      <c r="L109" s="106">
        <v>40</v>
      </c>
      <c r="M109" s="106">
        <v>27.38</v>
      </c>
      <c r="N109" s="106">
        <v>26.75</v>
      </c>
      <c r="O109" s="106">
        <v>23.13</v>
      </c>
      <c r="P109" s="28">
        <f t="shared" si="10"/>
        <v>26.085789473684208</v>
      </c>
      <c r="Q109" s="2">
        <v>10371.26</v>
      </c>
      <c r="R109" s="27">
        <v>57</v>
      </c>
      <c r="S109" s="27">
        <v>14200</v>
      </c>
      <c r="T109" s="27">
        <v>8453</v>
      </c>
      <c r="V109" s="27">
        <f t="shared" si="9"/>
        <v>0.59528169014084509</v>
      </c>
      <c r="W109" s="27">
        <v>1905</v>
      </c>
      <c r="X109" s="27" t="s">
        <v>538</v>
      </c>
      <c r="Y109" s="1" t="s">
        <v>539</v>
      </c>
      <c r="Z109" s="27" t="s">
        <v>540</v>
      </c>
      <c r="AA109" s="27" t="s">
        <v>541</v>
      </c>
      <c r="AB109" s="27" t="s">
        <v>542</v>
      </c>
      <c r="AC109" s="1" t="s">
        <v>543</v>
      </c>
      <c r="AD109" s="1" t="s">
        <v>544</v>
      </c>
      <c r="AE109" s="1" t="s">
        <v>545</v>
      </c>
      <c r="AF109" s="4"/>
      <c r="AG109" s="4"/>
      <c r="AH109" s="4"/>
      <c r="AI109" s="4"/>
      <c r="AJ109" s="4"/>
      <c r="AK109" s="4"/>
    </row>
    <row r="110" spans="1:37" x14ac:dyDescent="0.25">
      <c r="A110" s="27" t="s">
        <v>1705</v>
      </c>
      <c r="B110" s="27" t="str">
        <f t="shared" si="6"/>
        <v>Virginia</v>
      </c>
      <c r="C110" s="27" t="str">
        <f t="shared" si="7"/>
        <v>Tazewell</v>
      </c>
      <c r="D110" s="29">
        <v>2931</v>
      </c>
      <c r="E110" s="29">
        <v>24</v>
      </c>
      <c r="F110" s="29">
        <v>90</v>
      </c>
      <c r="G110" s="29">
        <v>7</v>
      </c>
      <c r="H110" s="29">
        <v>5</v>
      </c>
      <c r="I110" s="27">
        <v>126</v>
      </c>
      <c r="J110" s="7">
        <v>110</v>
      </c>
      <c r="K110" s="29">
        <v>5085</v>
      </c>
      <c r="L110" s="106">
        <v>30.53</v>
      </c>
      <c r="M110" s="106">
        <v>28.49</v>
      </c>
      <c r="N110" s="106">
        <v>28.96</v>
      </c>
      <c r="O110" s="106">
        <v>27.53</v>
      </c>
      <c r="P110" s="28">
        <f t="shared" si="10"/>
        <v>28.866587301587298</v>
      </c>
      <c r="Q110" s="2">
        <v>20228.27</v>
      </c>
      <c r="R110" s="27">
        <v>126</v>
      </c>
      <c r="S110" s="27">
        <v>52669</v>
      </c>
      <c r="T110" s="27">
        <v>20901</v>
      </c>
      <c r="V110" s="27">
        <f t="shared" si="9"/>
        <v>0.39683684900036076</v>
      </c>
      <c r="W110" s="27">
        <v>1905</v>
      </c>
      <c r="X110" s="27" t="s">
        <v>538</v>
      </c>
      <c r="Y110" s="1" t="s">
        <v>539</v>
      </c>
      <c r="Z110" s="27" t="s">
        <v>540</v>
      </c>
      <c r="AA110" s="27" t="s">
        <v>541</v>
      </c>
      <c r="AB110" s="27" t="s">
        <v>542</v>
      </c>
      <c r="AC110" s="1" t="s">
        <v>543</v>
      </c>
      <c r="AD110" s="1" t="s">
        <v>544</v>
      </c>
      <c r="AE110" s="1" t="s">
        <v>545</v>
      </c>
      <c r="AF110" s="4"/>
      <c r="AG110" s="4"/>
      <c r="AH110" s="4"/>
      <c r="AI110" s="4"/>
      <c r="AJ110" s="4"/>
      <c r="AK110" s="4"/>
    </row>
    <row r="111" spans="1:37" x14ac:dyDescent="0.25">
      <c r="A111" s="27" t="s">
        <v>1706</v>
      </c>
      <c r="B111" s="27" t="str">
        <f t="shared" si="6"/>
        <v>Virginia</v>
      </c>
      <c r="C111" s="27" t="str">
        <f t="shared" si="7"/>
        <v>Warren</v>
      </c>
      <c r="D111" s="29">
        <v>1145</v>
      </c>
      <c r="E111" s="29">
        <v>5</v>
      </c>
      <c r="F111" s="29">
        <v>40</v>
      </c>
      <c r="G111" s="29">
        <v>2</v>
      </c>
      <c r="H111" s="29">
        <v>6</v>
      </c>
      <c r="I111" s="27">
        <v>53</v>
      </c>
      <c r="J111" s="7">
        <v>119</v>
      </c>
      <c r="K111" s="29">
        <v>1871</v>
      </c>
      <c r="L111" s="106">
        <v>38.630000000000003</v>
      </c>
      <c r="M111" s="106">
        <v>25.21</v>
      </c>
      <c r="N111" s="106">
        <v>22.27</v>
      </c>
      <c r="O111" s="106">
        <v>23.7</v>
      </c>
      <c r="P111" s="28">
        <f t="shared" si="10"/>
        <v>26.194150943396231</v>
      </c>
      <c r="Q111" s="2">
        <v>11310.41</v>
      </c>
      <c r="R111" s="27">
        <v>53</v>
      </c>
      <c r="S111" s="27">
        <v>20150</v>
      </c>
      <c r="T111" s="27">
        <v>12238</v>
      </c>
      <c r="V111" s="27">
        <f t="shared" si="9"/>
        <v>0.60734491315136474</v>
      </c>
      <c r="W111" s="27">
        <v>1905</v>
      </c>
      <c r="X111" s="27" t="s">
        <v>538</v>
      </c>
      <c r="Y111" s="1" t="s">
        <v>539</v>
      </c>
      <c r="Z111" s="27" t="s">
        <v>540</v>
      </c>
      <c r="AA111" s="27" t="s">
        <v>541</v>
      </c>
      <c r="AB111" s="27" t="s">
        <v>542</v>
      </c>
      <c r="AC111" s="1" t="s">
        <v>543</v>
      </c>
      <c r="AD111" s="1" t="s">
        <v>544</v>
      </c>
      <c r="AE111" s="1" t="s">
        <v>545</v>
      </c>
      <c r="AF111" s="4"/>
      <c r="AG111" s="4"/>
      <c r="AH111" s="4"/>
      <c r="AI111" s="4"/>
      <c r="AJ111" s="4"/>
      <c r="AK111" s="4"/>
    </row>
    <row r="112" spans="1:37" x14ac:dyDescent="0.25">
      <c r="A112" s="27" t="s">
        <v>1707</v>
      </c>
      <c r="B112" s="27" t="str">
        <f t="shared" si="6"/>
        <v>Virginia</v>
      </c>
      <c r="C112" s="27" t="str">
        <f t="shared" si="7"/>
        <v>Warwick</v>
      </c>
      <c r="D112" s="29">
        <v>413</v>
      </c>
      <c r="E112" s="29">
        <v>1</v>
      </c>
      <c r="F112" s="29">
        <v>13</v>
      </c>
      <c r="G112" s="29">
        <v>2</v>
      </c>
      <c r="H112" s="29">
        <v>9</v>
      </c>
      <c r="I112" s="27">
        <v>25</v>
      </c>
      <c r="J112" s="7">
        <v>128</v>
      </c>
      <c r="K112" s="29">
        <v>754</v>
      </c>
      <c r="L112" s="106">
        <v>35</v>
      </c>
      <c r="M112" s="106">
        <v>35.19</v>
      </c>
      <c r="N112" s="106">
        <v>25</v>
      </c>
      <c r="O112" s="106">
        <v>22.77</v>
      </c>
      <c r="P112" s="28">
        <f t="shared" si="10"/>
        <v>29.896000000000004</v>
      </c>
      <c r="Q112" s="2">
        <v>6729.01</v>
      </c>
      <c r="R112" s="27">
        <v>25</v>
      </c>
      <c r="S112" s="27">
        <v>4500</v>
      </c>
      <c r="T112" s="27">
        <v>4987</v>
      </c>
      <c r="V112" s="27">
        <f t="shared" si="9"/>
        <v>1.1082222222222222</v>
      </c>
      <c r="W112" s="27">
        <v>1905</v>
      </c>
      <c r="X112" s="27" t="s">
        <v>538</v>
      </c>
      <c r="Y112" s="1" t="s">
        <v>539</v>
      </c>
      <c r="Z112" s="27" t="s">
        <v>540</v>
      </c>
      <c r="AA112" s="27" t="s">
        <v>541</v>
      </c>
      <c r="AB112" s="27" t="s">
        <v>542</v>
      </c>
      <c r="AC112" s="1" t="s">
        <v>543</v>
      </c>
      <c r="AD112" s="1" t="s">
        <v>544</v>
      </c>
      <c r="AE112" s="1" t="s">
        <v>545</v>
      </c>
      <c r="AF112" s="4"/>
      <c r="AG112" s="4"/>
      <c r="AH112" s="4"/>
      <c r="AI112" s="4"/>
      <c r="AJ112" s="4"/>
      <c r="AK112" s="4"/>
    </row>
    <row r="113" spans="1:37" x14ac:dyDescent="0.25">
      <c r="A113" s="27" t="s">
        <v>1708</v>
      </c>
      <c r="B113" s="27" t="str">
        <f t="shared" si="6"/>
        <v>Virginia</v>
      </c>
      <c r="C113" s="27" t="str">
        <f t="shared" si="7"/>
        <v>Washington</v>
      </c>
      <c r="D113" s="29">
        <v>3537</v>
      </c>
      <c r="E113" s="29">
        <v>38</v>
      </c>
      <c r="F113" s="29">
        <v>88</v>
      </c>
      <c r="G113" s="29">
        <v>4</v>
      </c>
      <c r="H113" s="29">
        <v>8</v>
      </c>
      <c r="I113" s="27">
        <v>138</v>
      </c>
      <c r="J113" s="7">
        <v>114</v>
      </c>
      <c r="K113" s="29">
        <v>6505</v>
      </c>
      <c r="L113" s="106">
        <v>33.619999999999997</v>
      </c>
      <c r="M113" s="106">
        <v>26.68</v>
      </c>
      <c r="N113" s="106">
        <v>29.66</v>
      </c>
      <c r="O113" s="106">
        <v>22.88</v>
      </c>
      <c r="P113" s="28">
        <f t="shared" si="10"/>
        <v>28.457101449275363</v>
      </c>
      <c r="Q113" s="2">
        <v>26995.96</v>
      </c>
      <c r="R113" s="27">
        <v>138</v>
      </c>
      <c r="S113" s="27">
        <v>62200</v>
      </c>
      <c r="T113" s="27">
        <v>28705</v>
      </c>
      <c r="V113" s="27">
        <f t="shared" si="9"/>
        <v>0.46149517684887459</v>
      </c>
      <c r="W113" s="27">
        <v>1905</v>
      </c>
      <c r="X113" s="27" t="s">
        <v>538</v>
      </c>
      <c r="Y113" s="1" t="s">
        <v>539</v>
      </c>
      <c r="Z113" s="27" t="s">
        <v>540</v>
      </c>
      <c r="AA113" s="27" t="s">
        <v>541</v>
      </c>
      <c r="AB113" s="27" t="s">
        <v>542</v>
      </c>
      <c r="AC113" s="1" t="s">
        <v>543</v>
      </c>
      <c r="AD113" s="1" t="s">
        <v>544</v>
      </c>
      <c r="AE113" s="1" t="s">
        <v>545</v>
      </c>
      <c r="AF113" s="4"/>
      <c r="AG113" s="4"/>
      <c r="AH113" s="4"/>
      <c r="AI113" s="4"/>
      <c r="AJ113" s="4"/>
      <c r="AK113" s="4"/>
    </row>
    <row r="114" spans="1:37" x14ac:dyDescent="0.25">
      <c r="A114" s="27" t="s">
        <v>1709</v>
      </c>
      <c r="B114" s="27" t="str">
        <f t="shared" si="6"/>
        <v>Virginia</v>
      </c>
      <c r="C114" s="27" t="str">
        <f t="shared" si="7"/>
        <v>Westmoreland</v>
      </c>
      <c r="D114" s="29">
        <v>795</v>
      </c>
      <c r="E114" s="29">
        <v>7</v>
      </c>
      <c r="F114" s="29">
        <v>24</v>
      </c>
      <c r="G114" s="29">
        <v>4</v>
      </c>
      <c r="H114" s="29">
        <v>10</v>
      </c>
      <c r="I114" s="27">
        <v>45</v>
      </c>
      <c r="J114" s="30">
        <v>123</v>
      </c>
      <c r="K114" s="29">
        <v>1645</v>
      </c>
      <c r="L114" s="106">
        <v>24.71</v>
      </c>
      <c r="M114" s="106">
        <v>24.81</v>
      </c>
      <c r="N114" s="106">
        <v>24.05</v>
      </c>
      <c r="O114" s="106">
        <v>23.63</v>
      </c>
      <c r="P114" s="28">
        <f t="shared" si="10"/>
        <v>24.46466666666667</v>
      </c>
      <c r="Q114" s="2">
        <v>7831.21</v>
      </c>
      <c r="R114" s="27">
        <v>45</v>
      </c>
      <c r="S114" s="27">
        <v>6793</v>
      </c>
      <c r="T114" s="27">
        <v>5724</v>
      </c>
      <c r="V114" s="27">
        <f t="shared" si="9"/>
        <v>0.84263212130133958</v>
      </c>
      <c r="W114" s="27">
        <v>1905</v>
      </c>
      <c r="X114" s="27" t="s">
        <v>538</v>
      </c>
      <c r="Y114" s="1" t="s">
        <v>539</v>
      </c>
      <c r="Z114" s="27" t="s">
        <v>540</v>
      </c>
      <c r="AA114" s="27" t="s">
        <v>541</v>
      </c>
      <c r="AB114" s="27" t="s">
        <v>542</v>
      </c>
      <c r="AC114" s="1" t="s">
        <v>543</v>
      </c>
      <c r="AD114" s="1" t="s">
        <v>544</v>
      </c>
      <c r="AE114" s="1" t="s">
        <v>545</v>
      </c>
      <c r="AF114" s="4"/>
      <c r="AG114" s="4"/>
      <c r="AH114" s="4"/>
      <c r="AI114" s="4"/>
      <c r="AJ114" s="4"/>
      <c r="AK114" s="4"/>
    </row>
    <row r="115" spans="1:37" x14ac:dyDescent="0.25">
      <c r="A115" s="27" t="s">
        <v>1743</v>
      </c>
      <c r="B115" s="27" t="str">
        <f t="shared" si="6"/>
        <v>Virginia</v>
      </c>
      <c r="C115" s="27" t="str">
        <f t="shared" si="7"/>
        <v>Williamsburg City</v>
      </c>
      <c r="D115" s="29">
        <v>202</v>
      </c>
      <c r="E115" s="29">
        <v>3</v>
      </c>
      <c r="F115" s="29">
        <v>5</v>
      </c>
      <c r="G115" s="29">
        <v>1</v>
      </c>
      <c r="H115" s="29">
        <v>1</v>
      </c>
      <c r="I115" s="27">
        <v>10</v>
      </c>
      <c r="J115" s="30">
        <v>166</v>
      </c>
      <c r="K115" s="29">
        <v>269</v>
      </c>
      <c r="L115" s="106">
        <v>60</v>
      </c>
      <c r="M115" s="106">
        <v>29.92</v>
      </c>
      <c r="N115" s="106">
        <v>30</v>
      </c>
      <c r="O115" s="106">
        <v>25</v>
      </c>
      <c r="P115" s="28">
        <f t="shared" si="10"/>
        <v>38.46</v>
      </c>
      <c r="Q115" s="2">
        <v>2372.98</v>
      </c>
      <c r="R115" s="27">
        <v>10</v>
      </c>
      <c r="S115" s="27">
        <v>5500</v>
      </c>
      <c r="W115" s="27">
        <v>1905</v>
      </c>
      <c r="X115" s="27" t="s">
        <v>538</v>
      </c>
      <c r="Y115" s="1" t="s">
        <v>539</v>
      </c>
      <c r="Z115" s="27" t="s">
        <v>540</v>
      </c>
      <c r="AA115" s="27" t="s">
        <v>541</v>
      </c>
      <c r="AB115" s="27" t="s">
        <v>542</v>
      </c>
      <c r="AC115" s="1" t="s">
        <v>543</v>
      </c>
      <c r="AD115" s="1" t="s">
        <v>544</v>
      </c>
      <c r="AE115" s="1" t="s">
        <v>545</v>
      </c>
      <c r="AF115" s="4"/>
      <c r="AG115" s="4"/>
      <c r="AH115" s="4"/>
      <c r="AI115" s="4"/>
      <c r="AJ115" s="4"/>
      <c r="AK115" s="4"/>
    </row>
    <row r="116" spans="1:37" x14ac:dyDescent="0.25">
      <c r="A116" s="27" t="s">
        <v>1744</v>
      </c>
      <c r="B116" s="27" t="str">
        <f t="shared" si="6"/>
        <v>Virginia</v>
      </c>
      <c r="C116" s="27" t="str">
        <f t="shared" si="7"/>
        <v>Winchester</v>
      </c>
      <c r="D116" s="29">
        <v>590</v>
      </c>
      <c r="E116" s="29">
        <v>2</v>
      </c>
      <c r="F116" s="29">
        <v>9</v>
      </c>
      <c r="G116" s="29">
        <v>1</v>
      </c>
      <c r="H116" s="29">
        <v>2</v>
      </c>
      <c r="I116" s="27">
        <v>14</v>
      </c>
      <c r="J116" s="30">
        <v>190</v>
      </c>
      <c r="K116" s="29">
        <v>774</v>
      </c>
      <c r="L116" s="106">
        <v>66.25</v>
      </c>
      <c r="M116" s="106">
        <v>38.64</v>
      </c>
      <c r="N116" s="106">
        <v>42.5</v>
      </c>
      <c r="O116" s="106">
        <v>27.5</v>
      </c>
      <c r="P116" s="28">
        <f t="shared" si="10"/>
        <v>41.268571428571427</v>
      </c>
      <c r="Q116" s="2">
        <v>7640</v>
      </c>
      <c r="R116" s="27">
        <v>14</v>
      </c>
      <c r="S116" s="27">
        <v>16600</v>
      </c>
      <c r="W116" s="27">
        <v>1905</v>
      </c>
      <c r="X116" s="27" t="s">
        <v>538</v>
      </c>
      <c r="Y116" s="1" t="s">
        <v>539</v>
      </c>
      <c r="Z116" s="27" t="s">
        <v>540</v>
      </c>
      <c r="AA116" s="27" t="s">
        <v>541</v>
      </c>
      <c r="AB116" s="27" t="s">
        <v>542</v>
      </c>
      <c r="AC116" s="1" t="s">
        <v>543</v>
      </c>
      <c r="AD116" s="1" t="s">
        <v>544</v>
      </c>
      <c r="AE116" s="1" t="s">
        <v>545</v>
      </c>
      <c r="AF116" s="4"/>
      <c r="AG116" s="4"/>
      <c r="AH116" s="4"/>
      <c r="AI116" s="4"/>
      <c r="AJ116" s="4"/>
      <c r="AK116" s="4"/>
    </row>
    <row r="117" spans="1:37" x14ac:dyDescent="0.25">
      <c r="A117" s="27" t="s">
        <v>1710</v>
      </c>
      <c r="B117" s="27" t="str">
        <f t="shared" si="6"/>
        <v>Virginia</v>
      </c>
      <c r="C117" s="27" t="str">
        <f t="shared" si="7"/>
        <v>Wise</v>
      </c>
      <c r="D117" s="29">
        <v>3382</v>
      </c>
      <c r="E117" s="29">
        <v>57</v>
      </c>
      <c r="F117" s="29">
        <v>48</v>
      </c>
      <c r="G117" s="29">
        <v>5</v>
      </c>
      <c r="H117" s="29">
        <v>5</v>
      </c>
      <c r="I117" s="27">
        <v>115</v>
      </c>
      <c r="J117" s="30">
        <v>116</v>
      </c>
      <c r="K117" s="29">
        <v>6774</v>
      </c>
      <c r="L117" s="106">
        <v>43.38</v>
      </c>
      <c r="M117" s="106">
        <v>33.729999999999997</v>
      </c>
      <c r="N117" s="106">
        <v>29.31</v>
      </c>
      <c r="O117" s="106">
        <v>24.62</v>
      </c>
      <c r="P117" s="28">
        <f t="shared" si="10"/>
        <v>37.924782608695658</v>
      </c>
      <c r="Q117" s="2">
        <v>41167.67</v>
      </c>
      <c r="R117" s="27">
        <v>99</v>
      </c>
      <c r="S117" s="27">
        <v>59500</v>
      </c>
      <c r="T117" s="27">
        <v>26387</v>
      </c>
      <c r="V117" s="27">
        <f t="shared" si="9"/>
        <v>0.44347899159663867</v>
      </c>
      <c r="W117" s="27">
        <v>1905</v>
      </c>
      <c r="X117" s="27" t="s">
        <v>538</v>
      </c>
      <c r="Y117" s="1" t="s">
        <v>539</v>
      </c>
      <c r="Z117" s="27" t="s">
        <v>540</v>
      </c>
      <c r="AA117" s="27" t="s">
        <v>541</v>
      </c>
      <c r="AB117" s="27" t="s">
        <v>542</v>
      </c>
      <c r="AC117" s="1" t="s">
        <v>543</v>
      </c>
      <c r="AD117" s="1" t="s">
        <v>544</v>
      </c>
      <c r="AE117" s="1" t="s">
        <v>545</v>
      </c>
      <c r="AF117" s="4"/>
      <c r="AG117" s="4"/>
      <c r="AH117" s="4"/>
      <c r="AI117" s="4"/>
      <c r="AJ117" s="4"/>
      <c r="AK117" s="4"/>
    </row>
    <row r="118" spans="1:37" x14ac:dyDescent="0.25">
      <c r="A118" s="27" t="s">
        <v>1711</v>
      </c>
      <c r="B118" s="27" t="str">
        <f t="shared" si="6"/>
        <v>Virginia</v>
      </c>
      <c r="C118" s="27" t="str">
        <f t="shared" si="7"/>
        <v>Wythe</v>
      </c>
      <c r="D118" s="29">
        <v>2526</v>
      </c>
      <c r="E118" s="29">
        <v>20</v>
      </c>
      <c r="F118" s="29">
        <v>68</v>
      </c>
      <c r="G118" s="29">
        <v>5</v>
      </c>
      <c r="H118" s="29">
        <v>6</v>
      </c>
      <c r="I118" s="27">
        <v>99</v>
      </c>
      <c r="J118" s="30">
        <v>128</v>
      </c>
      <c r="K118" s="29">
        <v>4155</v>
      </c>
      <c r="L118" s="106">
        <v>38.21</v>
      </c>
      <c r="M118" s="106">
        <v>28.7</v>
      </c>
      <c r="N118" s="106">
        <v>26.34</v>
      </c>
      <c r="O118" s="106">
        <v>23.74</v>
      </c>
      <c r="P118" s="28">
        <f t="shared" si="10"/>
        <v>30.201414141414141</v>
      </c>
      <c r="Q118" s="2">
        <v>20543.43</v>
      </c>
      <c r="R118" s="27">
        <v>99</v>
      </c>
      <c r="S118" s="27">
        <v>48050</v>
      </c>
      <c r="T118" s="27">
        <v>18149</v>
      </c>
      <c r="V118" s="27">
        <f t="shared" si="9"/>
        <v>0.37771071800208117</v>
      </c>
      <c r="W118" s="27">
        <v>1905</v>
      </c>
      <c r="X118" s="27" t="s">
        <v>538</v>
      </c>
      <c r="Y118" s="1" t="s">
        <v>539</v>
      </c>
      <c r="Z118" s="27" t="s">
        <v>540</v>
      </c>
      <c r="AA118" s="27" t="s">
        <v>541</v>
      </c>
      <c r="AB118" s="27" t="s">
        <v>542</v>
      </c>
      <c r="AC118" s="1" t="s">
        <v>543</v>
      </c>
      <c r="AD118" s="1" t="s">
        <v>544</v>
      </c>
      <c r="AE118" s="1" t="s">
        <v>545</v>
      </c>
      <c r="AF118" s="4"/>
      <c r="AG118" s="4"/>
      <c r="AH118" s="4"/>
      <c r="AI118" s="4"/>
      <c r="AJ118" s="4"/>
      <c r="AK118" s="4"/>
    </row>
    <row r="119" spans="1:37" x14ac:dyDescent="0.25">
      <c r="A119" s="27" t="s">
        <v>1712</v>
      </c>
      <c r="B119" s="27" t="str">
        <f t="shared" si="6"/>
        <v>Virginia</v>
      </c>
      <c r="C119" s="27" t="str">
        <f t="shared" si="7"/>
        <v>York</v>
      </c>
      <c r="D119" s="29">
        <v>771</v>
      </c>
      <c r="E119" s="29">
        <v>2</v>
      </c>
      <c r="F119" s="29">
        <v>20</v>
      </c>
      <c r="G119" s="29">
        <v>1</v>
      </c>
      <c r="H119" s="29">
        <v>12</v>
      </c>
      <c r="I119" s="27">
        <v>35</v>
      </c>
      <c r="J119" s="30">
        <v>108</v>
      </c>
      <c r="K119" s="29">
        <v>1346</v>
      </c>
      <c r="L119" s="106">
        <v>25</v>
      </c>
      <c r="M119" s="106">
        <v>28.88</v>
      </c>
      <c r="N119" s="106">
        <v>25.25</v>
      </c>
      <c r="O119" s="106">
        <v>21.33</v>
      </c>
      <c r="P119" s="28">
        <f t="shared" si="10"/>
        <v>25.965999999999998</v>
      </c>
      <c r="Q119" s="2">
        <v>6321.31</v>
      </c>
      <c r="R119" s="27">
        <v>35</v>
      </c>
      <c r="S119" s="27">
        <v>4500</v>
      </c>
      <c r="T119" s="27">
        <v>4037</v>
      </c>
      <c r="V119" s="27">
        <f t="shared" si="9"/>
        <v>0.89711111111111108</v>
      </c>
      <c r="W119" s="27">
        <v>1905</v>
      </c>
      <c r="X119" s="27" t="s">
        <v>538</v>
      </c>
      <c r="Y119" s="1" t="s">
        <v>539</v>
      </c>
      <c r="Z119" s="27" t="s">
        <v>540</v>
      </c>
      <c r="AA119" s="27" t="s">
        <v>541</v>
      </c>
      <c r="AB119" s="27" t="s">
        <v>542</v>
      </c>
      <c r="AC119" s="1" t="s">
        <v>543</v>
      </c>
      <c r="AD119" s="1" t="s">
        <v>544</v>
      </c>
      <c r="AE119" s="1" t="s">
        <v>545</v>
      </c>
      <c r="AF119" s="4"/>
      <c r="AG119" s="4"/>
      <c r="AH119" s="4"/>
      <c r="AI119" s="4"/>
      <c r="AJ119" s="4"/>
      <c r="AK119" s="4"/>
    </row>
    <row r="120" spans="1:37" x14ac:dyDescent="0.25">
      <c r="A120" s="27" t="s">
        <v>1367</v>
      </c>
      <c r="B120" s="27" t="str">
        <f t="shared" si="6"/>
        <v/>
      </c>
      <c r="C120" s="27" t="str">
        <f t="shared" si="7"/>
        <v/>
      </c>
      <c r="D120" s="29">
        <f>SUM(D2:D119)</f>
        <v>223948</v>
      </c>
      <c r="E120" s="29"/>
      <c r="F120" s="29"/>
      <c r="H120" s="29"/>
      <c r="I120" s="27"/>
      <c r="J120" s="7"/>
      <c r="K120" s="29">
        <f>SUM(K2:K119)</f>
        <v>359639</v>
      </c>
      <c r="L120" s="106"/>
      <c r="M120" s="106"/>
      <c r="N120" s="106"/>
      <c r="O120" s="106"/>
      <c r="P120" s="27"/>
      <c r="Q120" s="2"/>
      <c r="R120" s="27"/>
      <c r="S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</row>
    <row r="121" spans="1:37" x14ac:dyDescent="0.25">
      <c r="A121" s="27" t="s">
        <v>1367</v>
      </c>
      <c r="B121" s="27" t="str">
        <f t="shared" si="6"/>
        <v/>
      </c>
      <c r="C121" s="27" t="str">
        <f t="shared" si="7"/>
        <v/>
      </c>
      <c r="D121" s="27">
        <v>215205</v>
      </c>
      <c r="I121" s="27"/>
      <c r="J121" s="27"/>
      <c r="K121" s="27">
        <v>361772</v>
      </c>
      <c r="P121" s="27"/>
      <c r="Q121" s="2"/>
      <c r="R121" s="27"/>
      <c r="S121" s="27"/>
      <c r="U121" s="27" t="s">
        <v>2608</v>
      </c>
      <c r="V121" s="27">
        <f>MAX(V2:V119)</f>
        <v>4.5113846153846158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</row>
    <row r="122" spans="1:37" x14ac:dyDescent="0.25">
      <c r="A122" s="27" t="s">
        <v>1367</v>
      </c>
      <c r="B122" s="27" t="str">
        <f t="shared" si="6"/>
        <v/>
      </c>
      <c r="C122" s="27" t="str">
        <f t="shared" si="7"/>
        <v/>
      </c>
      <c r="D122" s="27"/>
      <c r="I122" s="27"/>
      <c r="J122" s="27"/>
      <c r="K122" s="27"/>
      <c r="P122" s="27"/>
      <c r="Q122" s="2"/>
      <c r="R122" s="27"/>
      <c r="S122" s="27"/>
      <c r="U122" s="27" t="s">
        <v>2609</v>
      </c>
      <c r="V122" s="27">
        <f>MIN(V2:V119)</f>
        <v>0.20468325791855205</v>
      </c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</row>
    <row r="123" spans="1:37" x14ac:dyDescent="0.25">
      <c r="U123" s="27" t="s">
        <v>2610</v>
      </c>
      <c r="V123" s="27">
        <f>AVERAGE(V2:V119)</f>
        <v>0.84579909028127076</v>
      </c>
    </row>
    <row r="124" spans="1:37" x14ac:dyDescent="0.25">
      <c r="U124" s="27" t="s">
        <v>2611</v>
      </c>
      <c r="V124" s="27">
        <f>MEDIAN(V2:V119)</f>
        <v>0.66043989510253764</v>
      </c>
    </row>
  </sheetData>
  <pageMargins left="0.75" right="0.75" top="1" bottom="1" header="0.5" footer="0.5"/>
  <pageSetup orientation="portrait" horizontalDpi="4294967292" verticalDpi="4294967292"/>
  <ignoredErrors>
    <ignoredError sqref="I2:I51" formulaRange="1"/>
    <ignoredError sqref="P13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1:U160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ColWidth="8.85546875" defaultRowHeight="15" x14ac:dyDescent="0.25"/>
  <cols>
    <col min="1" max="1" width="15.85546875" style="27" bestFit="1" customWidth="1"/>
    <col min="2" max="2" width="15.28515625" style="27" bestFit="1" customWidth="1"/>
    <col min="3" max="3" width="15.140625" style="27" customWidth="1"/>
    <col min="4" max="4" width="10" style="27" bestFit="1" customWidth="1"/>
    <col min="5" max="5" width="9" style="27" customWidth="1"/>
    <col min="6" max="6" width="9.140625" style="27" customWidth="1"/>
    <col min="7" max="7" width="10.85546875" style="27" customWidth="1"/>
    <col min="8" max="8" width="10.28515625" style="27" customWidth="1"/>
    <col min="9" max="9" width="13.7109375" style="2" customWidth="1"/>
    <col min="10" max="10" width="11.42578125" style="27" bestFit="1" customWidth="1"/>
    <col min="11" max="11" width="15.85546875" style="2" customWidth="1"/>
    <col min="12" max="12" width="15.85546875" style="41" customWidth="1"/>
    <col min="13" max="13" width="15.85546875" style="27" customWidth="1"/>
    <col min="14" max="14" width="12.140625" style="27" customWidth="1"/>
    <col min="15" max="16" width="10.140625" style="27" customWidth="1"/>
    <col min="17" max="17" width="10.42578125" style="27" bestFit="1" customWidth="1"/>
    <col min="18" max="18" width="8.85546875" style="27"/>
    <col min="19" max="19" width="12.42578125" style="27" customWidth="1"/>
    <col min="20" max="16384" width="8.85546875" style="27"/>
  </cols>
  <sheetData>
    <row r="1" spans="1:21" s="20" customFormat="1" ht="60" x14ac:dyDescent="0.25">
      <c r="B1" s="20" t="s">
        <v>2</v>
      </c>
      <c r="C1" s="20" t="s">
        <v>0</v>
      </c>
      <c r="D1" s="92" t="s">
        <v>1956</v>
      </c>
      <c r="E1" s="92" t="s">
        <v>372</v>
      </c>
      <c r="F1" s="94" t="s">
        <v>357</v>
      </c>
      <c r="G1" s="94" t="s">
        <v>377</v>
      </c>
      <c r="H1" s="92" t="s">
        <v>358</v>
      </c>
      <c r="I1" s="93" t="s">
        <v>360</v>
      </c>
      <c r="J1" s="92" t="s">
        <v>374</v>
      </c>
      <c r="K1" s="91" t="s">
        <v>375</v>
      </c>
      <c r="L1" s="81" t="s">
        <v>1</v>
      </c>
      <c r="M1" s="20" t="s">
        <v>1960</v>
      </c>
      <c r="N1" s="20" t="s">
        <v>1957</v>
      </c>
      <c r="O1" s="20" t="s">
        <v>1949</v>
      </c>
      <c r="P1" s="20" t="s">
        <v>1955</v>
      </c>
      <c r="Q1" s="20" t="s">
        <v>1950</v>
      </c>
      <c r="R1" s="20" t="s">
        <v>1954</v>
      </c>
      <c r="S1" s="20" t="s">
        <v>1952</v>
      </c>
      <c r="T1" s="20" t="s">
        <v>1953</v>
      </c>
      <c r="U1" s="20" t="s">
        <v>1948</v>
      </c>
    </row>
    <row r="2" spans="1:21" s="20" customFormat="1" x14ac:dyDescent="0.25">
      <c r="B2" s="166" t="s">
        <v>1961</v>
      </c>
      <c r="D2" s="20">
        <v>0</v>
      </c>
      <c r="E2" s="20">
        <v>0</v>
      </c>
      <c r="F2" s="21">
        <v>0</v>
      </c>
      <c r="G2" s="21">
        <v>0</v>
      </c>
      <c r="H2" s="22">
        <v>0</v>
      </c>
      <c r="I2" s="84">
        <v>0</v>
      </c>
      <c r="J2" s="34">
        <v>0</v>
      </c>
      <c r="L2" s="81"/>
    </row>
    <row r="3" spans="1:21" x14ac:dyDescent="0.25">
      <c r="A3" s="27" t="s">
        <v>586</v>
      </c>
      <c r="B3" s="27" t="str">
        <f t="shared" ref="B3:B66" si="0">LEFT(A3,FIND(";",A3)-1)</f>
        <v>Alabama</v>
      </c>
      <c r="C3" s="27" t="str">
        <f t="shared" ref="C3:C66" si="1">MID(A3,FIND(";",A3)+1,100)</f>
        <v>Autauga</v>
      </c>
      <c r="D3" s="27">
        <f>'AL post'!F2</f>
        <v>3049</v>
      </c>
      <c r="E3" s="27">
        <f>'AL post'!I2</f>
        <v>115</v>
      </c>
      <c r="F3" s="97">
        <f>'AL post'!L2</f>
        <v>127.20236142997705</v>
      </c>
      <c r="G3" s="27">
        <f>'AL post'!O2</f>
        <v>4731</v>
      </c>
      <c r="H3" s="115">
        <f>'AL post'!R2</f>
        <v>75.870891178791794</v>
      </c>
      <c r="I3" s="29">
        <f>'AL post'!U2</f>
        <v>83828</v>
      </c>
      <c r="J3" s="27">
        <v>60</v>
      </c>
      <c r="K3" s="2">
        <f>'AL post'!AA2</f>
        <v>131140</v>
      </c>
      <c r="L3" s="41">
        <v>1925</v>
      </c>
      <c r="M3" s="7" t="s">
        <v>552</v>
      </c>
      <c r="N3" s="27" t="str">
        <f>'AL post'!AD2&amp;"; "&amp;'AL post'!AE2</f>
        <v>https://ia601501.us.archive.org/22/items/192425/1924-25.pdf#page=3; https://ia601501.us.archive.org/22/items/192425/1924-25.pdf#page=6</v>
      </c>
      <c r="O3" s="27" t="str">
        <f>'AL post'!AF2&amp;"; "&amp;'AL post'!AG2</f>
        <v>https://ia601501.us.archive.org/22/items/192425/1924-25.pdf#page=3; https://ia601501.us.archive.org/22/items/192425/1924-25.pdf#page=6</v>
      </c>
      <c r="P3" s="27" t="str">
        <f>'AL post'!AH2&amp;"; "&amp;'AL post'!AI2</f>
        <v>https://ia601501.us.archive.org/22/items/192425/1924-25.pdf#page=3; https://ia601501.us.archive.org/22/items/192425/1924-25.pdf#page=6</v>
      </c>
      <c r="Q3" s="7" t="str">
        <f>'AL post'!AJ2&amp;"; "&amp;'AL post'!AK2</f>
        <v>https://ia601501.us.archive.org/22/items/192425/1924-25.pdf#page=3; https://ia601501.us.archive.org/22/items/192425/1924-25.pdf#page=6</v>
      </c>
      <c r="R3" s="7" t="str">
        <f>'AL post'!AL2&amp;"; "&amp;'AL post'!AM2</f>
        <v>https://babel.hathitrust.org/cgi/pt?id=mdp.39015076547101;view=1up;seq=83; https://ia601501.us.archive.org/22/items/192425/1924-25.pdf#page=7</v>
      </c>
      <c r="S3" s="7" t="str">
        <f>'AL post'!AN2&amp;"; "&amp;'AL post'!AO2</f>
        <v>https://ia601501.us.archive.org/22/items/192425/1924-25.pdf#page=5; https://ia601501.us.archive.org/22/items/192425/1924-25.pdf#page=8</v>
      </c>
      <c r="T3" s="7" t="str">
        <f>'AL post'!AP2</f>
        <v>https://ia601501.us.archive.org/22/items/192425/1924-25.pdf#page=5</v>
      </c>
      <c r="U3" s="7" t="str">
        <f>'AL post'!AQ2</f>
        <v>https://ia601501.us.archive.org/22/items/192425/1924-25.pdf#page=5</v>
      </c>
    </row>
    <row r="4" spans="1:21" x14ac:dyDescent="0.25">
      <c r="A4" s="27" t="s">
        <v>587</v>
      </c>
      <c r="B4" s="27" t="str">
        <f t="shared" si="0"/>
        <v>Alabama</v>
      </c>
      <c r="C4" s="27" t="str">
        <f t="shared" si="1"/>
        <v>Baldwin</v>
      </c>
      <c r="D4" s="27">
        <f>'AL post'!F3</f>
        <v>4548</v>
      </c>
      <c r="E4" s="27">
        <f>'AL post'!I3</f>
        <v>195</v>
      </c>
      <c r="F4" s="97">
        <f>'AL post'!L3</f>
        <v>145.32189973614777</v>
      </c>
      <c r="G4" s="27">
        <f>'AL post'!O3</f>
        <v>5867</v>
      </c>
      <c r="H4" s="115">
        <f>'AL post'!R3</f>
        <v>72.824360114953279</v>
      </c>
      <c r="I4" s="29">
        <f>'AL post'!U3</f>
        <v>205886</v>
      </c>
      <c r="J4" s="27">
        <v>89</v>
      </c>
      <c r="K4" s="2">
        <f>'AL post'!AA3</f>
        <v>490623</v>
      </c>
      <c r="L4" s="41">
        <v>1925</v>
      </c>
      <c r="M4" s="27" t="s">
        <v>552</v>
      </c>
      <c r="N4" s="27" t="str">
        <f>'AL post'!AD3&amp;"; "&amp;'AL post'!AE3</f>
        <v>https://ia601501.us.archive.org/22/items/192425/1924-25.pdf#page=3; https://ia601501.us.archive.org/22/items/192425/1924-25.pdf#page=6</v>
      </c>
      <c r="O4" s="27" t="str">
        <f>'AL post'!AF3&amp;"; "&amp;'AL post'!AG3</f>
        <v>https://ia601501.us.archive.org/22/items/192425/1924-25.pdf#page=3; https://ia601501.us.archive.org/22/items/192425/1924-25.pdf#page=6</v>
      </c>
      <c r="P4" s="27" t="str">
        <f>'AL post'!AH3&amp;"; "&amp;'AL post'!AI3</f>
        <v>https://ia601501.us.archive.org/22/items/192425/1924-25.pdf#page=3; https://ia601501.us.archive.org/22/items/192425/1924-25.pdf#page=6</v>
      </c>
      <c r="Q4" s="7" t="str">
        <f>'AL post'!AJ3&amp;"; "&amp;'AL post'!AK3</f>
        <v>https://ia601501.us.archive.org/22/items/192425/1924-25.pdf#page=3; https://ia601501.us.archive.org/22/items/192425/1924-25.pdf#page=6</v>
      </c>
      <c r="R4" s="7" t="str">
        <f>'AL post'!AL3&amp;"; "&amp;'AL post'!AM3</f>
        <v>https://babel.hathitrust.org/cgi/pt?id=mdp.39015076547101;view=1up;seq=83; https://ia601501.us.archive.org/22/items/192425/1924-25.pdf#page=7</v>
      </c>
      <c r="S4" s="7" t="str">
        <f>'AL post'!AN3&amp;"; "&amp;'AL post'!AO3</f>
        <v>https://ia601501.us.archive.org/22/items/192425/1924-25.pdf#page=5; https://ia601501.us.archive.org/22/items/192425/1924-25.pdf#page=8</v>
      </c>
      <c r="T4" s="7" t="str">
        <f>'AL post'!AP3</f>
        <v>https://ia601501.us.archive.org/22/items/192425/1924-25.pdf#page=5</v>
      </c>
      <c r="U4" s="7" t="str">
        <f>'AL post'!AQ3</f>
        <v>https://ia601501.us.archive.org/22/items/192425/1924-25.pdf#page=5</v>
      </c>
    </row>
    <row r="5" spans="1:21" x14ac:dyDescent="0.25">
      <c r="A5" s="27" t="s">
        <v>588</v>
      </c>
      <c r="B5" s="27" t="str">
        <f t="shared" si="0"/>
        <v>Alabama</v>
      </c>
      <c r="C5" s="27" t="str">
        <f t="shared" si="1"/>
        <v>Barbour</v>
      </c>
      <c r="D5" s="27">
        <f>'AL post'!F4</f>
        <v>5377</v>
      </c>
      <c r="E5" s="27">
        <f>'AL post'!I4</f>
        <v>171</v>
      </c>
      <c r="F5" s="97">
        <f>'AL post'!L4</f>
        <v>101.09838199739632</v>
      </c>
      <c r="G5" s="27">
        <f>'AL post'!O4</f>
        <v>7780</v>
      </c>
      <c r="H5" s="115">
        <f>'AL post'!R4</f>
        <v>95.676590929623458</v>
      </c>
      <c r="I5" s="29">
        <f>'AL post'!U4</f>
        <v>131017</v>
      </c>
      <c r="J5" s="27">
        <v>96</v>
      </c>
      <c r="K5" s="2">
        <f>'AL post'!AA4</f>
        <v>348234</v>
      </c>
      <c r="L5" s="41">
        <v>1925</v>
      </c>
      <c r="M5" s="27" t="s">
        <v>552</v>
      </c>
      <c r="N5" s="27" t="str">
        <f>'AL post'!AD4&amp;"; "&amp;'AL post'!AE4</f>
        <v>https://ia601501.us.archive.org/22/items/192425/1924-25.pdf#page=3; https://ia601501.us.archive.org/22/items/192425/1924-25.pdf#page=6</v>
      </c>
      <c r="O5" s="27" t="str">
        <f>'AL post'!AF4&amp;"; "&amp;'AL post'!AG4</f>
        <v>https://ia601501.us.archive.org/22/items/192425/1924-25.pdf#page=3; https://ia601501.us.archive.org/22/items/192425/1924-25.pdf#page=6</v>
      </c>
      <c r="P5" s="27" t="str">
        <f>'AL post'!AH4&amp;"; "&amp;'AL post'!AI4</f>
        <v>https://ia601501.us.archive.org/22/items/192425/1924-25.pdf#page=3; https://ia601501.us.archive.org/22/items/192425/1924-25.pdf#page=6</v>
      </c>
      <c r="Q5" s="7" t="str">
        <f>'AL post'!AJ4&amp;"; "&amp;'AL post'!AK4</f>
        <v>https://ia601501.us.archive.org/22/items/192425/1924-25.pdf#page=3; https://ia601501.us.archive.org/22/items/192425/1924-25.pdf#page=6</v>
      </c>
      <c r="R5" s="7" t="str">
        <f>'AL post'!AL4&amp;"; "&amp;'AL post'!AM4</f>
        <v>https://babel.hathitrust.org/cgi/pt?id=mdp.39015076547101;view=1up;seq=83; https://ia601501.us.archive.org/22/items/192425/1924-25.pdf#page=7</v>
      </c>
      <c r="S5" s="7" t="str">
        <f>'AL post'!AN4&amp;"; "&amp;'AL post'!AO4</f>
        <v>https://ia601501.us.archive.org/22/items/192425/1924-25.pdf#page=5; https://ia601501.us.archive.org/22/items/192425/1924-25.pdf#page=8</v>
      </c>
      <c r="T5" s="7" t="str">
        <f>'AL post'!AP4</f>
        <v>https://ia601501.us.archive.org/22/items/192425/1924-25.pdf#page=5</v>
      </c>
      <c r="U5" s="7" t="str">
        <f>'AL post'!AQ4</f>
        <v>https://ia601501.us.archive.org/22/items/192425/1924-25.pdf#page=5</v>
      </c>
    </row>
    <row r="6" spans="1:21" x14ac:dyDescent="0.25">
      <c r="A6" s="27" t="s">
        <v>589</v>
      </c>
      <c r="B6" s="27" t="str">
        <f t="shared" si="0"/>
        <v>Alabama</v>
      </c>
      <c r="C6" s="27" t="str">
        <f t="shared" si="1"/>
        <v>Bibb</v>
      </c>
      <c r="D6" s="27">
        <f>'AL post'!F5</f>
        <v>3759</v>
      </c>
      <c r="E6" s="27">
        <f>'AL post'!I5</f>
        <v>155</v>
      </c>
      <c r="F6" s="97">
        <f>'AL post'!L5</f>
        <v>137.6610800744879</v>
      </c>
      <c r="G6" s="27">
        <f>'AL post'!O5</f>
        <v>5709</v>
      </c>
      <c r="H6" s="115">
        <f>'AL post'!R5</f>
        <v>88.791231098722136</v>
      </c>
      <c r="I6" s="29">
        <f>'AL post'!U5</f>
        <v>225906</v>
      </c>
      <c r="J6" s="27">
        <v>77</v>
      </c>
      <c r="K6" s="2">
        <f>'AL post'!AA5</f>
        <v>176276</v>
      </c>
      <c r="L6" s="41">
        <v>1925</v>
      </c>
      <c r="M6" s="27" t="s">
        <v>552</v>
      </c>
      <c r="N6" s="27" t="str">
        <f>'AL post'!AD5&amp;"; "&amp;'AL post'!AE5</f>
        <v>https://ia601501.us.archive.org/22/items/192425/1924-25.pdf#page=3; https://ia601501.us.archive.org/22/items/192425/1924-25.pdf#page=6</v>
      </c>
      <c r="O6" s="27" t="str">
        <f>'AL post'!AF5&amp;"; "&amp;'AL post'!AG5</f>
        <v>https://ia601501.us.archive.org/22/items/192425/1924-25.pdf#page=3; https://ia601501.us.archive.org/22/items/192425/1924-25.pdf#page=6</v>
      </c>
      <c r="P6" s="27" t="str">
        <f>'AL post'!AH5&amp;"; "&amp;'AL post'!AI5</f>
        <v>https://ia601501.us.archive.org/22/items/192425/1924-25.pdf#page=3; https://ia601501.us.archive.org/22/items/192425/1924-25.pdf#page=6</v>
      </c>
      <c r="Q6" s="7" t="str">
        <f>'AL post'!AJ5&amp;"; "&amp;'AL post'!AK5</f>
        <v>https://ia601501.us.archive.org/22/items/192425/1924-25.pdf#page=3; https://ia601501.us.archive.org/22/items/192425/1924-25.pdf#page=6</v>
      </c>
      <c r="R6" s="7" t="str">
        <f>'AL post'!AL5&amp;"; "&amp;'AL post'!AM5</f>
        <v>https://babel.hathitrust.org/cgi/pt?id=mdp.39015076547101;view=1up;seq=83; https://ia601501.us.archive.org/22/items/192425/1924-25.pdf#page=7</v>
      </c>
      <c r="S6" s="7" t="str">
        <f>'AL post'!AN5&amp;"; "&amp;'AL post'!AO5</f>
        <v>https://ia601501.us.archive.org/22/items/192425/1924-25.pdf#page=5; https://ia601501.us.archive.org/22/items/192425/1924-25.pdf#page=8</v>
      </c>
      <c r="T6" s="7" t="str">
        <f>'AL post'!AP5</f>
        <v>https://ia601501.us.archive.org/22/items/192425/1924-25.pdf#page=5</v>
      </c>
      <c r="U6" s="7" t="str">
        <f>'AL post'!AQ5</f>
        <v>https://ia601501.us.archive.org/22/items/192425/1924-25.pdf#page=5</v>
      </c>
    </row>
    <row r="7" spans="1:21" x14ac:dyDescent="0.25">
      <c r="A7" s="27" t="s">
        <v>590</v>
      </c>
      <c r="B7" s="27" t="str">
        <f t="shared" si="0"/>
        <v>Alabama</v>
      </c>
      <c r="C7" s="27" t="str">
        <f t="shared" si="1"/>
        <v>Blount</v>
      </c>
      <c r="D7" s="27">
        <f>'AL post'!F6</f>
        <v>5235</v>
      </c>
      <c r="E7" s="27">
        <f>'AL post'!I6</f>
        <v>195</v>
      </c>
      <c r="F7" s="97">
        <f>'AL post'!L6</f>
        <v>103.63400191021968</v>
      </c>
      <c r="G7" s="27">
        <f>'AL post'!O6</f>
        <v>6883</v>
      </c>
      <c r="H7" s="115">
        <f>'AL post'!R6</f>
        <v>54.138255776561174</v>
      </c>
      <c r="I7" s="29">
        <f>'AL post'!U6</f>
        <v>130394</v>
      </c>
      <c r="J7" s="27">
        <v>88</v>
      </c>
      <c r="K7" s="2">
        <f>'AL post'!AA6</f>
        <v>283752</v>
      </c>
      <c r="L7" s="41">
        <v>1925</v>
      </c>
      <c r="M7" s="27" t="s">
        <v>552</v>
      </c>
      <c r="N7" s="27" t="str">
        <f>'AL post'!AD6&amp;"; "&amp;'AL post'!AE6</f>
        <v>https://ia601501.us.archive.org/22/items/192425/1924-25.pdf#page=3; https://ia601501.us.archive.org/22/items/192425/1924-25.pdf#page=6</v>
      </c>
      <c r="O7" s="27" t="str">
        <f>'AL post'!AF6&amp;"; "&amp;'AL post'!AG6</f>
        <v>https://ia601501.us.archive.org/22/items/192425/1924-25.pdf#page=3; https://ia601501.us.archive.org/22/items/192425/1924-25.pdf#page=6</v>
      </c>
      <c r="P7" s="27" t="str">
        <f>'AL post'!AH6&amp;"; "&amp;'AL post'!AI6</f>
        <v>https://ia601501.us.archive.org/22/items/192425/1924-25.pdf#page=3; https://ia601501.us.archive.org/22/items/192425/1924-25.pdf#page=6</v>
      </c>
      <c r="Q7" s="7" t="str">
        <f>'AL post'!AJ6&amp;"; "&amp;'AL post'!AK6</f>
        <v>https://ia601501.us.archive.org/22/items/192425/1924-25.pdf#page=3; https://ia601501.us.archive.org/22/items/192425/1924-25.pdf#page=6</v>
      </c>
      <c r="R7" s="7" t="str">
        <f>'AL post'!AL6&amp;"; "&amp;'AL post'!AM6</f>
        <v>https://babel.hathitrust.org/cgi/pt?id=mdp.39015076547101;view=1up;seq=83; https://ia601501.us.archive.org/22/items/192425/1924-25.pdf#page=7</v>
      </c>
      <c r="S7" s="7" t="str">
        <f>'AL post'!AN6&amp;"; "&amp;'AL post'!AO6</f>
        <v>https://ia601501.us.archive.org/22/items/192425/1924-25.pdf#page=5; https://ia601501.us.archive.org/22/items/192425/1924-25.pdf#page=8</v>
      </c>
      <c r="T7" s="7" t="str">
        <f>'AL post'!AP6</f>
        <v>https://ia601501.us.archive.org/22/items/192425/1924-25.pdf#page=5</v>
      </c>
      <c r="U7" s="7" t="str">
        <f>'AL post'!AQ6</f>
        <v>https://ia601501.us.archive.org/22/items/192425/1924-25.pdf#page=5</v>
      </c>
    </row>
    <row r="8" spans="1:21" x14ac:dyDescent="0.25">
      <c r="A8" s="27" t="s">
        <v>591</v>
      </c>
      <c r="B8" s="27" t="str">
        <f t="shared" si="0"/>
        <v>Alabama</v>
      </c>
      <c r="C8" s="27" t="str">
        <f t="shared" si="1"/>
        <v>Bullock</v>
      </c>
      <c r="D8" s="27">
        <f>'AL post'!F7</f>
        <v>2954</v>
      </c>
      <c r="E8" s="27">
        <f>'AL post'!I7</f>
        <v>99</v>
      </c>
      <c r="F8" s="97">
        <f>'AL post'!L7</f>
        <v>120.47325660121869</v>
      </c>
      <c r="G8" s="27">
        <f>'AL post'!O7</f>
        <v>4521</v>
      </c>
      <c r="H8" s="115">
        <f>'AL post'!R7</f>
        <v>83.767281274067301</v>
      </c>
      <c r="I8" s="29">
        <f>'AL post'!U7</f>
        <v>110937</v>
      </c>
      <c r="J8" s="27">
        <v>54</v>
      </c>
      <c r="K8" s="2">
        <f>'AL post'!AA7</f>
        <v>207500</v>
      </c>
      <c r="L8" s="41">
        <v>1925</v>
      </c>
      <c r="M8" s="27" t="s">
        <v>552</v>
      </c>
      <c r="N8" s="27" t="str">
        <f>'AL post'!AD7&amp;"; "&amp;'AL post'!AE7</f>
        <v>https://ia601501.us.archive.org/22/items/192425/1924-25.pdf#page=3; https://ia601501.us.archive.org/22/items/192425/1924-25.pdf#page=6</v>
      </c>
      <c r="O8" s="27" t="str">
        <f>'AL post'!AF7&amp;"; "&amp;'AL post'!AG7</f>
        <v>https://ia601501.us.archive.org/22/items/192425/1924-25.pdf#page=3; https://ia601501.us.archive.org/22/items/192425/1924-25.pdf#page=6</v>
      </c>
      <c r="P8" s="27" t="str">
        <f>'AL post'!AH7&amp;"; "&amp;'AL post'!AI7</f>
        <v>https://ia601501.us.archive.org/22/items/192425/1924-25.pdf#page=3; https://ia601501.us.archive.org/22/items/192425/1924-25.pdf#page=6</v>
      </c>
      <c r="Q8" s="7" t="str">
        <f>'AL post'!AJ7&amp;"; "&amp;'AL post'!AK7</f>
        <v>https://ia601501.us.archive.org/22/items/192425/1924-25.pdf#page=3; https://ia601501.us.archive.org/22/items/192425/1924-25.pdf#page=6</v>
      </c>
      <c r="R8" s="7" t="str">
        <f>'AL post'!AL7&amp;"; "&amp;'AL post'!AM7</f>
        <v>https://babel.hathitrust.org/cgi/pt?id=mdp.39015076547101;view=1up;seq=83; https://ia601501.us.archive.org/22/items/192425/1924-25.pdf#page=7</v>
      </c>
      <c r="S8" s="7" t="str">
        <f>'AL post'!AN7&amp;"; "&amp;'AL post'!AO7</f>
        <v>https://ia601501.us.archive.org/22/items/192425/1924-25.pdf#page=5; https://ia601501.us.archive.org/22/items/192425/1924-25.pdf#page=8</v>
      </c>
      <c r="T8" s="7" t="str">
        <f>'AL post'!AP7</f>
        <v>https://ia601501.us.archive.org/22/items/192425/1924-25.pdf#page=5</v>
      </c>
      <c r="U8" s="7" t="str">
        <f>'AL post'!AQ7</f>
        <v>https://ia601501.us.archive.org/22/items/192425/1924-25.pdf#page=5</v>
      </c>
    </row>
    <row r="9" spans="1:21" x14ac:dyDescent="0.25">
      <c r="A9" s="27" t="s">
        <v>592</v>
      </c>
      <c r="B9" s="27" t="str">
        <f t="shared" si="0"/>
        <v>Alabama</v>
      </c>
      <c r="C9" s="27" t="str">
        <f t="shared" si="1"/>
        <v>Butler</v>
      </c>
      <c r="D9" s="27">
        <f>'AL post'!F8</f>
        <v>4554</v>
      </c>
      <c r="E9" s="27">
        <f>'AL post'!I8</f>
        <v>158</v>
      </c>
      <c r="F9" s="97">
        <f>'AL post'!L8</f>
        <v>125.8129117259552</v>
      </c>
      <c r="G9" s="27">
        <f>'AL post'!O8</f>
        <v>6230</v>
      </c>
      <c r="H9" s="115">
        <f>'AL post'!R8</f>
        <v>78.113775320564997</v>
      </c>
      <c r="I9" s="29">
        <f>'AL post'!U8</f>
        <v>108262</v>
      </c>
      <c r="J9" s="27">
        <v>83</v>
      </c>
      <c r="K9" s="2">
        <f>'AL post'!AA8</f>
        <v>174595</v>
      </c>
      <c r="L9" s="41">
        <v>1925</v>
      </c>
      <c r="M9" s="27" t="s">
        <v>552</v>
      </c>
      <c r="N9" s="27" t="str">
        <f>'AL post'!AD8&amp;"; "&amp;'AL post'!AE8</f>
        <v>https://ia601501.us.archive.org/22/items/192425/1924-25.pdf#page=3; https://ia601501.us.archive.org/22/items/192425/1924-25.pdf#page=6</v>
      </c>
      <c r="O9" s="27" t="str">
        <f>'AL post'!AF8&amp;"; "&amp;'AL post'!AG8</f>
        <v>https://ia601501.us.archive.org/22/items/192425/1924-25.pdf#page=3; https://ia601501.us.archive.org/22/items/192425/1924-25.pdf#page=6</v>
      </c>
      <c r="P9" s="27" t="str">
        <f>'AL post'!AH8&amp;"; "&amp;'AL post'!AI8</f>
        <v>https://ia601501.us.archive.org/22/items/192425/1924-25.pdf#page=3; https://ia601501.us.archive.org/22/items/192425/1924-25.pdf#page=6</v>
      </c>
      <c r="Q9" s="7" t="str">
        <f>'AL post'!AJ8&amp;"; "&amp;'AL post'!AK8</f>
        <v>https://ia601501.us.archive.org/22/items/192425/1924-25.pdf#page=3; https://ia601501.us.archive.org/22/items/192425/1924-25.pdf#page=6</v>
      </c>
      <c r="R9" s="7" t="str">
        <f>'AL post'!AL8&amp;"; "&amp;'AL post'!AM8</f>
        <v>https://babel.hathitrust.org/cgi/pt?id=mdp.39015076547101;view=1up;seq=83; https://ia601501.us.archive.org/22/items/192425/1924-25.pdf#page=7</v>
      </c>
      <c r="S9" s="7" t="str">
        <f>'AL post'!AN8&amp;"; "&amp;'AL post'!AO8</f>
        <v>https://ia601501.us.archive.org/22/items/192425/1924-25.pdf#page=5; https://ia601501.us.archive.org/22/items/192425/1924-25.pdf#page=8</v>
      </c>
      <c r="T9" s="7" t="str">
        <f>'AL post'!AP8</f>
        <v>https://ia601501.us.archive.org/22/items/192425/1924-25.pdf#page=5</v>
      </c>
      <c r="U9" s="7" t="str">
        <f>'AL post'!AQ8</f>
        <v>https://ia601501.us.archive.org/22/items/192425/1924-25.pdf#page=5</v>
      </c>
    </row>
    <row r="10" spans="1:21" x14ac:dyDescent="0.25">
      <c r="A10" s="27" t="s">
        <v>593</v>
      </c>
      <c r="B10" s="27" t="str">
        <f t="shared" si="0"/>
        <v>Alabama</v>
      </c>
      <c r="C10" s="27" t="str">
        <f t="shared" si="1"/>
        <v>Calhoun/Benton</v>
      </c>
      <c r="D10" s="27">
        <f>'AL post'!F9</f>
        <v>8231</v>
      </c>
      <c r="E10" s="27">
        <f>'AL post'!I9</f>
        <v>293</v>
      </c>
      <c r="F10" s="97">
        <f>'AL post'!L9</f>
        <v>150.46944478192199</v>
      </c>
      <c r="G10" s="27">
        <f>'AL post'!O9</f>
        <v>11398</v>
      </c>
      <c r="H10" s="115">
        <f>'AL post'!R9</f>
        <v>82.984883993507125</v>
      </c>
      <c r="I10" s="29">
        <f>'AL post'!U9</f>
        <v>389862</v>
      </c>
      <c r="J10" s="27">
        <v>97</v>
      </c>
      <c r="K10" s="2">
        <f>'AL post'!AA9</f>
        <v>996075</v>
      </c>
      <c r="L10" s="41">
        <v>1925</v>
      </c>
      <c r="M10" s="27" t="s">
        <v>552</v>
      </c>
      <c r="N10" s="27" t="str">
        <f>'AL post'!AD9&amp;"; "&amp;'AL post'!AE9</f>
        <v>https://ia601501.us.archive.org/22/items/192425/1924-25.pdf#page=3; https://ia601501.us.archive.org/22/items/192425/1924-25.pdf#page=6</v>
      </c>
      <c r="O10" s="27" t="str">
        <f>'AL post'!AF9&amp;"; "&amp;'AL post'!AG9</f>
        <v>https://ia601501.us.archive.org/22/items/192425/1924-25.pdf#page=3; https://ia601501.us.archive.org/22/items/192425/1924-25.pdf#page=6</v>
      </c>
      <c r="P10" s="27" t="str">
        <f>'AL post'!AH9&amp;"; "&amp;'AL post'!AI9</f>
        <v>https://ia601501.us.archive.org/22/items/192425/1924-25.pdf#page=3; https://ia601501.us.archive.org/22/items/192425/1924-25.pdf#page=6</v>
      </c>
      <c r="Q10" s="7" t="str">
        <f>'AL post'!AJ9&amp;"; "&amp;'AL post'!AK9</f>
        <v>https://ia601501.us.archive.org/22/items/192425/1924-25.pdf#page=3; https://ia601501.us.archive.org/22/items/192425/1924-25.pdf#page=6</v>
      </c>
      <c r="R10" s="7" t="str">
        <f>'AL post'!AL9&amp;"; "&amp;'AL post'!AM9</f>
        <v>https://babel.hathitrust.org/cgi/pt?id=mdp.39015076547101;view=1up;seq=83; https://ia601501.us.archive.org/22/items/192425/1924-25.pdf#page=7</v>
      </c>
      <c r="S10" s="7" t="str">
        <f>'AL post'!AN9&amp;"; "&amp;'AL post'!AO9</f>
        <v>https://ia601501.us.archive.org/22/items/192425/1924-25.pdf#page=5; https://ia601501.us.archive.org/22/items/192425/1924-25.pdf#page=8</v>
      </c>
      <c r="T10" s="7" t="str">
        <f>'AL post'!AP9</f>
        <v>https://ia601501.us.archive.org/22/items/192425/1924-25.pdf#page=5</v>
      </c>
      <c r="U10" s="7" t="str">
        <f>'AL post'!AQ9</f>
        <v>https://ia601501.us.archive.org/22/items/192425/1924-25.pdf#page=5</v>
      </c>
    </row>
    <row r="11" spans="1:21" x14ac:dyDescent="0.25">
      <c r="A11" s="27" t="s">
        <v>594</v>
      </c>
      <c r="B11" s="27" t="str">
        <f t="shared" si="0"/>
        <v>Alabama</v>
      </c>
      <c r="C11" s="27" t="str">
        <f t="shared" si="1"/>
        <v>Chambers</v>
      </c>
      <c r="D11" s="27">
        <f>'AL post'!F10</f>
        <v>9096</v>
      </c>
      <c r="E11" s="27">
        <f>'AL post'!I10</f>
        <v>278</v>
      </c>
      <c r="F11" s="97">
        <f>'AL post'!L10</f>
        <v>145.75263852242745</v>
      </c>
      <c r="G11" s="27">
        <f>'AL post'!O10</f>
        <v>11731</v>
      </c>
      <c r="H11" s="115">
        <f>'AL post'!R10</f>
        <v>79.923525682239756</v>
      </c>
      <c r="I11" s="29">
        <f>'AL post'!U10</f>
        <v>370625</v>
      </c>
      <c r="J11" s="27">
        <v>96</v>
      </c>
      <c r="K11" s="2">
        <f>'AL post'!AA10</f>
        <v>842225</v>
      </c>
      <c r="L11" s="41">
        <v>1925</v>
      </c>
      <c r="M11" s="27" t="s">
        <v>552</v>
      </c>
      <c r="N11" s="27" t="str">
        <f>'AL post'!AD10&amp;"; "&amp;'AL post'!AE10</f>
        <v>https://ia601501.us.archive.org/22/items/192425/1924-25.pdf#page=3; https://ia601501.us.archive.org/22/items/192425/1924-25.pdf#page=6</v>
      </c>
      <c r="O11" s="27" t="str">
        <f>'AL post'!AF10&amp;"; "&amp;'AL post'!AG10</f>
        <v>https://ia601501.us.archive.org/22/items/192425/1924-25.pdf#page=3; https://ia601501.us.archive.org/22/items/192425/1924-25.pdf#page=6</v>
      </c>
      <c r="P11" s="27" t="str">
        <f>'AL post'!AH10&amp;"; "&amp;'AL post'!AI10</f>
        <v>https://ia601501.us.archive.org/22/items/192425/1924-25.pdf#page=3; https://ia601501.us.archive.org/22/items/192425/1924-25.pdf#page=6</v>
      </c>
      <c r="Q11" s="7" t="str">
        <f>'AL post'!AJ10&amp;"; "&amp;'AL post'!AK10</f>
        <v>https://ia601501.us.archive.org/22/items/192425/1924-25.pdf#page=3; https://ia601501.us.archive.org/22/items/192425/1924-25.pdf#page=6</v>
      </c>
      <c r="R11" s="7" t="str">
        <f>'AL post'!AL10&amp;"; "&amp;'AL post'!AM10</f>
        <v>https://babel.hathitrust.org/cgi/pt?id=mdp.39015076547101;view=1up;seq=83; https://ia601501.us.archive.org/22/items/192425/1924-25.pdf#page=7</v>
      </c>
      <c r="S11" s="7" t="str">
        <f>'AL post'!AN10&amp;"; "&amp;'AL post'!AO10</f>
        <v>https://ia601501.us.archive.org/22/items/192425/1924-25.pdf#page=5; https://ia601501.us.archive.org/22/items/192425/1924-25.pdf#page=8</v>
      </c>
      <c r="T11" s="7" t="str">
        <f>'AL post'!AP10</f>
        <v>https://ia601501.us.archive.org/22/items/192425/1924-25.pdf#page=5</v>
      </c>
      <c r="U11" s="7" t="str">
        <f>'AL post'!AQ10</f>
        <v>https://ia601501.us.archive.org/22/items/192425/1924-25.pdf#page=5</v>
      </c>
    </row>
    <row r="12" spans="1:21" x14ac:dyDescent="0.25">
      <c r="A12" s="27" t="s">
        <v>595</v>
      </c>
      <c r="B12" s="27" t="str">
        <f t="shared" si="0"/>
        <v>Alabama</v>
      </c>
      <c r="C12" s="27" t="str">
        <f t="shared" si="1"/>
        <v>Cherokee</v>
      </c>
      <c r="D12" s="27">
        <f>'AL post'!F11</f>
        <v>4126</v>
      </c>
      <c r="E12" s="27">
        <f>'AL post'!I11</f>
        <v>151</v>
      </c>
      <c r="F12" s="97">
        <f>'AL post'!L11</f>
        <v>90.162869607367909</v>
      </c>
      <c r="G12" s="27">
        <f>'AL post'!O11</f>
        <v>5366</v>
      </c>
      <c r="H12" s="115">
        <f>'AL post'!R11</f>
        <v>87.06099205088664</v>
      </c>
      <c r="I12" s="29">
        <f>'AL post'!U11</f>
        <v>80296</v>
      </c>
      <c r="J12" s="27">
        <v>89</v>
      </c>
      <c r="K12" s="2">
        <f>'AL post'!AA11</f>
        <v>142652</v>
      </c>
      <c r="L12" s="41">
        <v>1925</v>
      </c>
      <c r="M12" s="27" t="s">
        <v>552</v>
      </c>
      <c r="N12" s="27" t="str">
        <f>'AL post'!AD11&amp;"; "&amp;'AL post'!AE11</f>
        <v>https://ia601501.us.archive.org/22/items/192425/1924-25.pdf#page=3; https://ia601501.us.archive.org/22/items/192425/1924-25.pdf#page=6</v>
      </c>
      <c r="O12" s="27" t="str">
        <f>'AL post'!AF11&amp;"; "&amp;'AL post'!AG11</f>
        <v>https://ia601501.us.archive.org/22/items/192425/1924-25.pdf#page=3; https://ia601501.us.archive.org/22/items/192425/1924-25.pdf#page=6</v>
      </c>
      <c r="P12" s="27" t="str">
        <f>'AL post'!AH11&amp;"; "&amp;'AL post'!AI11</f>
        <v>https://ia601501.us.archive.org/22/items/192425/1924-25.pdf#page=3; https://ia601501.us.archive.org/22/items/192425/1924-25.pdf#page=6</v>
      </c>
      <c r="Q12" s="7" t="str">
        <f>'AL post'!AJ11&amp;"; "&amp;'AL post'!AK11</f>
        <v>https://ia601501.us.archive.org/22/items/192425/1924-25.pdf#page=3; https://ia601501.us.archive.org/22/items/192425/1924-25.pdf#page=6</v>
      </c>
      <c r="R12" s="7" t="str">
        <f>'AL post'!AL11&amp;"; "&amp;'AL post'!AM11</f>
        <v>https://babel.hathitrust.org/cgi/pt?id=mdp.39015076547101;view=1up;seq=83; https://ia601501.us.archive.org/22/items/192425/1924-25.pdf#page=7</v>
      </c>
      <c r="S12" s="7" t="str">
        <f>'AL post'!AN11&amp;"; "&amp;'AL post'!AO11</f>
        <v>https://ia601501.us.archive.org/22/items/192425/1924-25.pdf#page=5; https://ia601501.us.archive.org/22/items/192425/1924-25.pdf#page=8</v>
      </c>
      <c r="T12" s="7" t="str">
        <f>'AL post'!AP11</f>
        <v>https://ia601501.us.archive.org/22/items/192425/1924-25.pdf#page=5</v>
      </c>
      <c r="U12" s="7" t="str">
        <f>'AL post'!AQ11</f>
        <v>https://ia601501.us.archive.org/22/items/192425/1924-25.pdf#page=5</v>
      </c>
    </row>
    <row r="13" spans="1:21" x14ac:dyDescent="0.25">
      <c r="A13" s="27" t="s">
        <v>596</v>
      </c>
      <c r="B13" s="27" t="str">
        <f t="shared" si="0"/>
        <v>Alabama</v>
      </c>
      <c r="C13" s="27" t="str">
        <f t="shared" si="1"/>
        <v>Chilton/Baker</v>
      </c>
      <c r="D13" s="27">
        <f>'AL post'!F12</f>
        <v>4574</v>
      </c>
      <c r="E13" s="27">
        <f>'AL post'!I12</f>
        <v>186</v>
      </c>
      <c r="F13" s="97">
        <f>'AL post'!L12</f>
        <v>121.36860515959772</v>
      </c>
      <c r="G13" s="27">
        <f>'AL post'!O12</f>
        <v>6237</v>
      </c>
      <c r="H13" s="115">
        <f>'AL post'!R12</f>
        <v>71.794974511902652</v>
      </c>
      <c r="I13" s="29">
        <f>'AL post'!U12</f>
        <v>139148</v>
      </c>
      <c r="J13" s="27">
        <v>85</v>
      </c>
      <c r="K13" s="2">
        <f>'AL post'!AA12</f>
        <v>215334</v>
      </c>
      <c r="L13" s="41">
        <v>1925</v>
      </c>
      <c r="M13" s="27" t="s">
        <v>552</v>
      </c>
      <c r="N13" s="27" t="str">
        <f>'AL post'!AD12&amp;"; "&amp;'AL post'!AE12</f>
        <v>https://ia601501.us.archive.org/22/items/192425/1924-25.pdf#page=3; https://ia601501.us.archive.org/22/items/192425/1924-25.pdf#page=6</v>
      </c>
      <c r="O13" s="27" t="str">
        <f>'AL post'!AF12&amp;"; "&amp;'AL post'!AG12</f>
        <v>https://ia601501.us.archive.org/22/items/192425/1924-25.pdf#page=3; https://ia601501.us.archive.org/22/items/192425/1924-25.pdf#page=6</v>
      </c>
      <c r="P13" s="27" t="str">
        <f>'AL post'!AH12&amp;"; "&amp;'AL post'!AI12</f>
        <v>https://ia601501.us.archive.org/22/items/192425/1924-25.pdf#page=3; https://ia601501.us.archive.org/22/items/192425/1924-25.pdf#page=6</v>
      </c>
      <c r="Q13" s="7" t="str">
        <f>'AL post'!AJ12&amp;"; "&amp;'AL post'!AK12</f>
        <v>https://ia601501.us.archive.org/22/items/192425/1924-25.pdf#page=3; https://ia601501.us.archive.org/22/items/192425/1924-25.pdf#page=6</v>
      </c>
      <c r="R13" s="7" t="str">
        <f>'AL post'!AL12&amp;"; "&amp;'AL post'!AM12</f>
        <v>https://babel.hathitrust.org/cgi/pt?id=mdp.39015076547101;view=1up;seq=83; https://ia601501.us.archive.org/22/items/192425/1924-25.pdf#page=7</v>
      </c>
      <c r="S13" s="7" t="str">
        <f>'AL post'!AN12&amp;"; "&amp;'AL post'!AO12</f>
        <v>https://ia601501.us.archive.org/22/items/192425/1924-25.pdf#page=5; https://ia601501.us.archive.org/22/items/192425/1924-25.pdf#page=8</v>
      </c>
      <c r="T13" s="7" t="str">
        <f>'AL post'!AP12</f>
        <v>https://ia601501.us.archive.org/22/items/192425/1924-25.pdf#page=5</v>
      </c>
      <c r="U13" s="7" t="str">
        <f>'AL post'!AQ12</f>
        <v>https://ia601501.us.archive.org/22/items/192425/1924-25.pdf#page=5</v>
      </c>
    </row>
    <row r="14" spans="1:21" x14ac:dyDescent="0.25">
      <c r="A14" s="27" t="s">
        <v>597</v>
      </c>
      <c r="B14" s="27" t="str">
        <f t="shared" si="0"/>
        <v>Alabama</v>
      </c>
      <c r="C14" s="27" t="str">
        <f t="shared" si="1"/>
        <v>Choctaw</v>
      </c>
      <c r="D14" s="27">
        <f>'AL post'!F13</f>
        <v>3241</v>
      </c>
      <c r="E14" s="27">
        <f>'AL post'!I13</f>
        <v>129</v>
      </c>
      <c r="F14" s="97">
        <f>'AL post'!L13</f>
        <v>105.48195001542734</v>
      </c>
      <c r="G14" s="27">
        <f>'AL post'!O13</f>
        <v>5110</v>
      </c>
      <c r="H14" s="115">
        <f>'AL post'!R13</f>
        <v>130.58702120501414</v>
      </c>
      <c r="I14" s="29">
        <f>'AL post'!U13</f>
        <v>85719</v>
      </c>
      <c r="J14" s="27">
        <v>72</v>
      </c>
      <c r="K14" s="2">
        <f>'AL post'!AA13</f>
        <v>178330</v>
      </c>
      <c r="L14" s="41">
        <v>1925</v>
      </c>
      <c r="M14" s="27" t="s">
        <v>552</v>
      </c>
      <c r="N14" s="27" t="str">
        <f>'AL post'!AD13&amp;"; "&amp;'AL post'!AE13</f>
        <v>https://ia601501.us.archive.org/22/items/192425/1924-25.pdf#page=3; https://ia601501.us.archive.org/22/items/192425/1924-25.pdf#page=6</v>
      </c>
      <c r="O14" s="27" t="str">
        <f>'AL post'!AF13&amp;"; "&amp;'AL post'!AG13</f>
        <v>https://ia601501.us.archive.org/22/items/192425/1924-25.pdf#page=3; https://ia601501.us.archive.org/22/items/192425/1924-25.pdf#page=6</v>
      </c>
      <c r="P14" s="27" t="str">
        <f>'AL post'!AH13&amp;"; "&amp;'AL post'!AI13</f>
        <v>https://ia601501.us.archive.org/22/items/192425/1924-25.pdf#page=3; https://ia601501.us.archive.org/22/items/192425/1924-25.pdf#page=6</v>
      </c>
      <c r="Q14" s="7" t="str">
        <f>'AL post'!AJ13&amp;"; "&amp;'AL post'!AK13</f>
        <v>https://ia601501.us.archive.org/22/items/192425/1924-25.pdf#page=3; https://ia601501.us.archive.org/22/items/192425/1924-25.pdf#page=6</v>
      </c>
      <c r="R14" s="7" t="str">
        <f>'AL post'!AL13&amp;"; "&amp;'AL post'!AM13</f>
        <v>https://babel.hathitrust.org/cgi/pt?id=mdp.39015076547101;view=1up;seq=103; https://ia601501.us.archive.org/22/items/192425/1924-25.pdf#page=7</v>
      </c>
      <c r="S14" s="7" t="str">
        <f>'AL post'!AN13&amp;"; "&amp;'AL post'!AO13</f>
        <v>https://ia601501.us.archive.org/22/items/192425/1924-25.pdf#page=5; https://ia601501.us.archive.org/22/items/192425/1924-25.pdf#page=8</v>
      </c>
      <c r="T14" s="7" t="str">
        <f>'AL post'!AP13</f>
        <v>https://ia601501.us.archive.org/22/items/192425/1924-25.pdf#page=5</v>
      </c>
      <c r="U14" s="7" t="str">
        <f>'AL post'!AQ13</f>
        <v>https://ia601501.us.archive.org/22/items/192425/1924-25.pdf#page=5</v>
      </c>
    </row>
    <row r="15" spans="1:21" x14ac:dyDescent="0.25">
      <c r="A15" s="27" t="s">
        <v>598</v>
      </c>
      <c r="B15" s="27" t="str">
        <f t="shared" si="0"/>
        <v>Alabama</v>
      </c>
      <c r="C15" s="27" t="str">
        <f t="shared" si="1"/>
        <v>Clarke</v>
      </c>
      <c r="D15" s="27">
        <f>'AL post'!F14</f>
        <v>4390</v>
      </c>
      <c r="E15" s="27">
        <f>'AL post'!I14</f>
        <v>155</v>
      </c>
      <c r="F15" s="97">
        <f>'AL post'!L14</f>
        <v>115.99726651480638</v>
      </c>
      <c r="G15" s="27">
        <f>'AL post'!O14</f>
        <v>5211</v>
      </c>
      <c r="H15" s="115">
        <f>'AL post'!R14</f>
        <v>59.64211734042955</v>
      </c>
      <c r="I15" s="29">
        <f>'AL post'!U14</f>
        <v>137925</v>
      </c>
      <c r="J15" s="27">
        <v>104</v>
      </c>
      <c r="K15" s="2">
        <f>'AL post'!AA14</f>
        <v>186450</v>
      </c>
      <c r="L15" s="41">
        <v>1925</v>
      </c>
      <c r="M15" s="27" t="s">
        <v>552</v>
      </c>
      <c r="N15" s="27" t="str">
        <f>'AL post'!AD14&amp;"; "&amp;'AL post'!AE14</f>
        <v>https://ia601501.us.archive.org/22/items/192425/1924-25.pdf#page=9; https://ia601501.us.archive.org/22/items/192425/1924-25.pdf#page=13</v>
      </c>
      <c r="O15" s="27" t="str">
        <f>'AL post'!AF14&amp;"; "&amp;'AL post'!AG14</f>
        <v>https://ia601501.us.archive.org/22/items/192425/1924-25.pdf#page=9; https://ia601501.us.archive.org/22/items/192425/1924-25.pdf#page=13</v>
      </c>
      <c r="P15" s="27" t="str">
        <f>'AL post'!AH14&amp;"; "&amp;'AL post'!AI14</f>
        <v>https://ia601501.us.archive.org/22/items/192425/1924-25.pdf#page=9; https://ia601501.us.archive.org/22/items/192425/1924-25.pdf#page=13</v>
      </c>
      <c r="Q15" s="7" t="str">
        <f>'AL post'!AJ14&amp;"; "&amp;'AL post'!AK14</f>
        <v>https://ia601501.us.archive.org/22/items/192425/1924-25.pdf#page=9; https://ia601501.us.archive.org/22/items/192425/1924-25.pdf#page=13</v>
      </c>
      <c r="R15" s="7" t="str">
        <f>'AL post'!AL14&amp;"; "&amp;'AL post'!AM14</f>
        <v>https://babel.hathitrust.org/cgi/pt?id=mdp.39015076547101;view=1up;seq=103; https://ia601501.us.archive.org/22/items/192425/1924-25.pdf#page=15</v>
      </c>
      <c r="S15" s="7" t="str">
        <f>'AL post'!AN14&amp;"; "&amp;'AL post'!AO14</f>
        <v>https://ia601501.us.archive.org/22/items/192425/1924-25.pdf#page=11; https://ia601501.us.archive.org/22/items/192425/1924-25.pdf#page=16</v>
      </c>
      <c r="T15" s="7" t="str">
        <f>'AL post'!AP14</f>
        <v>https://ia601501.us.archive.org/22/items/192425/1924-25.pdf#page=11</v>
      </c>
      <c r="U15" s="7" t="str">
        <f>'AL post'!AQ14</f>
        <v>https://ia601501.us.archive.org/22/items/192425/1924-25.pdf#page=11</v>
      </c>
    </row>
    <row r="16" spans="1:21" x14ac:dyDescent="0.25">
      <c r="A16" s="27" t="s">
        <v>599</v>
      </c>
      <c r="B16" s="27" t="str">
        <f t="shared" si="0"/>
        <v>Alabama</v>
      </c>
      <c r="C16" s="27" t="str">
        <f t="shared" si="1"/>
        <v>Clay</v>
      </c>
      <c r="D16" s="27">
        <f>'AL post'!F15</f>
        <v>3871</v>
      </c>
      <c r="E16" s="27">
        <f>'AL post'!I15</f>
        <v>139</v>
      </c>
      <c r="F16" s="97">
        <f>'AL post'!L15</f>
        <v>104.65848617928184</v>
      </c>
      <c r="G16" s="27">
        <f>'AL post'!O15</f>
        <v>5249</v>
      </c>
      <c r="H16" s="115">
        <f>'AL post'!R15</f>
        <v>83.232001243325598</v>
      </c>
      <c r="I16" s="29">
        <f>'AL post'!U15</f>
        <v>92144</v>
      </c>
      <c r="J16" s="27">
        <v>67</v>
      </c>
      <c r="K16" s="2">
        <f>'AL post'!AA15</f>
        <v>238700</v>
      </c>
      <c r="L16" s="41">
        <v>1925</v>
      </c>
      <c r="M16" s="27" t="s">
        <v>552</v>
      </c>
      <c r="N16" s="27" t="str">
        <f>'AL post'!AD15&amp;"; "&amp;'AL post'!AE15</f>
        <v>https://ia601501.us.archive.org/22/items/192425/1924-25.pdf#page=9; https://ia601501.us.archive.org/22/items/192425/1924-25.pdf#page=13</v>
      </c>
      <c r="O16" s="27" t="str">
        <f>'AL post'!AF15&amp;"; "&amp;'AL post'!AG15</f>
        <v>https://ia601501.us.archive.org/22/items/192425/1924-25.pdf#page=9; https://ia601501.us.archive.org/22/items/192425/1924-25.pdf#page=13</v>
      </c>
      <c r="P16" s="27" t="str">
        <f>'AL post'!AH15&amp;"; "&amp;'AL post'!AI15</f>
        <v>https://ia601501.us.archive.org/22/items/192425/1924-25.pdf#page=9; https://ia601501.us.archive.org/22/items/192425/1924-25.pdf#page=13</v>
      </c>
      <c r="Q16" s="7" t="str">
        <f>'AL post'!AJ15&amp;"; "&amp;'AL post'!AK15</f>
        <v>https://ia601501.us.archive.org/22/items/192425/1924-25.pdf#page=9; https://ia601501.us.archive.org/22/items/192425/1924-25.pdf#page=13</v>
      </c>
      <c r="R16" s="7" t="str">
        <f>'AL post'!AL15&amp;"; "&amp;'AL post'!AM15</f>
        <v>https://babel.hathitrust.org/cgi/pt?id=mdp.39015076547101;view=1up;seq=103; https://ia601501.us.archive.org/22/items/192425/1924-25.pdf#page=15</v>
      </c>
      <c r="S16" s="7" t="str">
        <f>'AL post'!AN15&amp;"; "&amp;'AL post'!AO15</f>
        <v>https://ia601501.us.archive.org/22/items/192425/1924-25.pdf#page=11; https://ia601501.us.archive.org/22/items/192425/1924-25.pdf#page=16</v>
      </c>
      <c r="T16" s="7" t="str">
        <f>'AL post'!AP15</f>
        <v>https://ia601501.us.archive.org/22/items/192425/1924-25.pdf#page=11</v>
      </c>
      <c r="U16" s="7" t="str">
        <f>'AL post'!AQ15</f>
        <v>https://ia601501.us.archive.org/22/items/192425/1924-25.pdf#page=11</v>
      </c>
    </row>
    <row r="17" spans="1:21" x14ac:dyDescent="0.25">
      <c r="A17" s="27" t="s">
        <v>600</v>
      </c>
      <c r="B17" s="27" t="str">
        <f t="shared" si="0"/>
        <v>Alabama</v>
      </c>
      <c r="C17" s="27" t="str">
        <f t="shared" si="1"/>
        <v>Cleburne</v>
      </c>
      <c r="D17" s="27">
        <f>'AL post'!F16</f>
        <v>2659</v>
      </c>
      <c r="E17" s="27">
        <f>'AL post'!I16</f>
        <v>100</v>
      </c>
      <c r="F17" s="97">
        <f>'AL post'!L16</f>
        <v>101.66077472734111</v>
      </c>
      <c r="G17" s="27">
        <f>'AL post'!O16</f>
        <v>4757</v>
      </c>
      <c r="H17" s="115">
        <f>'AL post'!R16</f>
        <v>83.158917711123266</v>
      </c>
      <c r="I17" s="29">
        <f>'AL post'!U16</f>
        <v>67868</v>
      </c>
      <c r="J17" s="27">
        <v>66</v>
      </c>
      <c r="K17" s="2">
        <f>'AL post'!AA16</f>
        <v>102575</v>
      </c>
      <c r="L17" s="41">
        <v>1925</v>
      </c>
      <c r="M17" s="27" t="s">
        <v>552</v>
      </c>
      <c r="N17" s="27" t="str">
        <f>'AL post'!AD16&amp;"; "&amp;'AL post'!AE16</f>
        <v>https://ia601501.us.archive.org/22/items/192425/1924-25.pdf#page=9; https://ia601501.us.archive.org/22/items/192425/1924-25.pdf#page=13</v>
      </c>
      <c r="O17" s="27" t="str">
        <f>'AL post'!AF16&amp;"; "&amp;'AL post'!AG16</f>
        <v>https://ia601501.us.archive.org/22/items/192425/1924-25.pdf#page=9; https://ia601501.us.archive.org/22/items/192425/1924-25.pdf#page=13</v>
      </c>
      <c r="P17" s="27" t="str">
        <f>'AL post'!AH16&amp;"; "&amp;'AL post'!AI16</f>
        <v>https://ia601501.us.archive.org/22/items/192425/1924-25.pdf#page=9; https://ia601501.us.archive.org/22/items/192425/1924-25.pdf#page=13</v>
      </c>
      <c r="Q17" s="7" t="str">
        <f>'AL post'!AJ16&amp;"; "&amp;'AL post'!AK16</f>
        <v>https://ia601501.us.archive.org/22/items/192425/1924-25.pdf#page=9; https://ia601501.us.archive.org/22/items/192425/1924-25.pdf#page=13</v>
      </c>
      <c r="R17" s="7" t="str">
        <f>'AL post'!AL16&amp;"; "&amp;'AL post'!AM16</f>
        <v>https://babel.hathitrust.org/cgi/pt?id=mdp.39015076547101;view=1up;seq=103; https://ia601501.us.archive.org/22/items/192425/1924-25.pdf#page=15</v>
      </c>
      <c r="S17" s="7" t="str">
        <f>'AL post'!AN16&amp;"; "&amp;'AL post'!AO16</f>
        <v>https://ia601501.us.archive.org/22/items/192425/1924-25.pdf#page=11; https://ia601501.us.archive.org/22/items/192425/1924-25.pdf#page=16</v>
      </c>
      <c r="T17" s="7" t="str">
        <f>'AL post'!AP16</f>
        <v>https://ia601501.us.archive.org/22/items/192425/1924-25.pdf#page=11</v>
      </c>
      <c r="U17" s="7" t="str">
        <f>'AL post'!AQ16</f>
        <v>https://ia601501.us.archive.org/22/items/192425/1924-25.pdf#page=11</v>
      </c>
    </row>
    <row r="18" spans="1:21" x14ac:dyDescent="0.25">
      <c r="A18" s="27" t="s">
        <v>601</v>
      </c>
      <c r="B18" s="27" t="str">
        <f t="shared" si="0"/>
        <v>Alabama</v>
      </c>
      <c r="C18" s="27" t="str">
        <f t="shared" si="1"/>
        <v>Coffee</v>
      </c>
      <c r="D18" s="27">
        <f>'AL post'!F17</f>
        <v>5813</v>
      </c>
      <c r="E18" s="27">
        <f>'AL post'!I17</f>
        <v>234</v>
      </c>
      <c r="F18" s="97">
        <f>'AL post'!L17</f>
        <v>128.03406158610011</v>
      </c>
      <c r="G18" s="27">
        <f>'AL post'!O17</f>
        <v>9433</v>
      </c>
      <c r="H18" s="115">
        <f>'AL post'!R17</f>
        <v>68.518091701325574</v>
      </c>
      <c r="I18" s="29">
        <f>'AL post'!U17</f>
        <v>164830</v>
      </c>
      <c r="J18" s="27">
        <v>95</v>
      </c>
      <c r="K18" s="2">
        <f>'AL post'!AA17</f>
        <v>358044</v>
      </c>
      <c r="L18" s="41">
        <v>1925</v>
      </c>
      <c r="M18" s="27" t="s">
        <v>552</v>
      </c>
      <c r="N18" s="27" t="str">
        <f>'AL post'!AD17&amp;"; "&amp;'AL post'!AE17</f>
        <v>https://ia601501.us.archive.org/22/items/192425/1924-25.pdf#page=9; https://ia601501.us.archive.org/22/items/192425/1924-25.pdf#page=13</v>
      </c>
      <c r="O18" s="27" t="str">
        <f>'AL post'!AF17&amp;"; "&amp;'AL post'!AG17</f>
        <v>https://ia601501.us.archive.org/22/items/192425/1924-25.pdf#page=9; https://ia601501.us.archive.org/22/items/192425/1924-25.pdf#page=13</v>
      </c>
      <c r="P18" s="27" t="str">
        <f>'AL post'!AH17&amp;"; "&amp;'AL post'!AI17</f>
        <v>https://ia601501.us.archive.org/22/items/192425/1924-25.pdf#page=9; https://ia601501.us.archive.org/22/items/192425/1924-25.pdf#page=13</v>
      </c>
      <c r="Q18" s="7" t="str">
        <f>'AL post'!AJ17&amp;"; "&amp;'AL post'!AK17</f>
        <v>https://ia601501.us.archive.org/22/items/192425/1924-25.pdf#page=9; https://ia601501.us.archive.org/22/items/192425/1924-25.pdf#page=13</v>
      </c>
      <c r="R18" s="7" t="str">
        <f>'AL post'!AL17&amp;"; "&amp;'AL post'!AM17</f>
        <v>https://babel.hathitrust.org/cgi/pt?id=mdp.39015076547101;view=1up;seq=103; https://ia601501.us.archive.org/22/items/192425/1924-25.pdf#page=15</v>
      </c>
      <c r="S18" s="7" t="str">
        <f>'AL post'!AN17&amp;"; "&amp;'AL post'!AO17</f>
        <v>https://ia601501.us.archive.org/22/items/192425/1924-25.pdf#page=11; https://ia601501.us.archive.org/22/items/192425/1924-25.pdf#page=16</v>
      </c>
      <c r="T18" s="7" t="str">
        <f>'AL post'!AP17</f>
        <v>https://ia601501.us.archive.org/22/items/192425/1924-25.pdf#page=11</v>
      </c>
      <c r="U18" s="7" t="str">
        <f>'AL post'!AQ17</f>
        <v>https://ia601501.us.archive.org/22/items/192425/1924-25.pdf#page=11</v>
      </c>
    </row>
    <row r="19" spans="1:21" x14ac:dyDescent="0.25">
      <c r="A19" s="27" t="s">
        <v>602</v>
      </c>
      <c r="B19" s="27" t="str">
        <f t="shared" si="0"/>
        <v>Alabama</v>
      </c>
      <c r="C19" s="27" t="str">
        <f t="shared" si="1"/>
        <v>Colbert</v>
      </c>
      <c r="D19" s="27">
        <f>'AL post'!F18</f>
        <v>5122</v>
      </c>
      <c r="E19" s="27">
        <f>'AL post'!I18</f>
        <v>206</v>
      </c>
      <c r="F19" s="97">
        <f>'AL post'!L18</f>
        <v>145.98281921124561</v>
      </c>
      <c r="G19" s="27">
        <f>'AL post'!O18</f>
        <v>8323</v>
      </c>
      <c r="H19" s="115">
        <f>'AL post'!R18</f>
        <v>73.805067629699622</v>
      </c>
      <c r="I19" s="29">
        <f>'AL post'!U18</f>
        <v>169736</v>
      </c>
      <c r="J19" s="27">
        <v>63</v>
      </c>
      <c r="K19" s="2">
        <f>'AL post'!AA18</f>
        <v>733000</v>
      </c>
      <c r="L19" s="41">
        <v>1925</v>
      </c>
      <c r="M19" s="27" t="s">
        <v>552</v>
      </c>
      <c r="N19" s="27" t="str">
        <f>'AL post'!AD18&amp;"; "&amp;'AL post'!AE18</f>
        <v>https://ia601501.us.archive.org/22/items/192425/1924-25.pdf#page=9; https://ia601501.us.archive.org/22/items/192425/1924-25.pdf#page=13</v>
      </c>
      <c r="O19" s="27" t="str">
        <f>'AL post'!AF18&amp;"; "&amp;'AL post'!AG18</f>
        <v>https://ia601501.us.archive.org/22/items/192425/1924-25.pdf#page=9; https://ia601501.us.archive.org/22/items/192425/1924-25.pdf#page=13</v>
      </c>
      <c r="P19" s="27" t="str">
        <f>'AL post'!AH18&amp;"; "&amp;'AL post'!AI18</f>
        <v>https://ia601501.us.archive.org/22/items/192425/1924-25.pdf#page=9; https://ia601501.us.archive.org/22/items/192425/1924-25.pdf#page=13</v>
      </c>
      <c r="Q19" s="7" t="str">
        <f>'AL post'!AJ18&amp;"; "&amp;'AL post'!AK18</f>
        <v>https://ia601501.us.archive.org/22/items/192425/1924-25.pdf#page=9; https://ia601501.us.archive.org/22/items/192425/1924-25.pdf#page=13</v>
      </c>
      <c r="R19" s="7" t="str">
        <f>'AL post'!AL18&amp;"; "&amp;'AL post'!AM18</f>
        <v>https://babel.hathitrust.org/cgi/pt?id=mdp.39015076547101;view=1up;seq=103; https://ia601501.us.archive.org/22/items/192425/1924-25.pdf#page=15</v>
      </c>
      <c r="S19" s="7" t="str">
        <f>'AL post'!AN18&amp;"; "&amp;'AL post'!AO18</f>
        <v>https://ia601501.us.archive.org/22/items/192425/1924-25.pdf#page=11; https://ia601501.us.archive.org/22/items/192425/1924-25.pdf#page=16</v>
      </c>
      <c r="T19" s="7" t="str">
        <f>'AL post'!AP18</f>
        <v>https://ia601501.us.archive.org/22/items/192425/1924-25.pdf#page=11</v>
      </c>
      <c r="U19" s="7" t="str">
        <f>'AL post'!AQ18</f>
        <v>https://ia601501.us.archive.org/22/items/192425/1924-25.pdf#page=11</v>
      </c>
    </row>
    <row r="20" spans="1:21" x14ac:dyDescent="0.25">
      <c r="A20" s="27" t="s">
        <v>603</v>
      </c>
      <c r="B20" s="27" t="str">
        <f t="shared" si="0"/>
        <v>Alabama</v>
      </c>
      <c r="C20" s="27" t="str">
        <f t="shared" si="1"/>
        <v>Conecuh</v>
      </c>
      <c r="D20" s="27">
        <f>'AL post'!F19</f>
        <v>6626</v>
      </c>
      <c r="E20" s="27">
        <f>'AL post'!I19</f>
        <v>193</v>
      </c>
      <c r="F20" s="97">
        <f>'AL post'!L19</f>
        <v>71.753395713854516</v>
      </c>
      <c r="G20" s="27">
        <f>'AL post'!O19</f>
        <v>6719</v>
      </c>
      <c r="H20" s="115">
        <f>'AL post'!R19</f>
        <v>94.15957757588437</v>
      </c>
      <c r="I20" s="29">
        <f>'AL post'!U19</f>
        <v>129290</v>
      </c>
      <c r="J20" s="27">
        <v>97</v>
      </c>
      <c r="K20" s="2">
        <f>'AL post'!AA19</f>
        <v>250825</v>
      </c>
      <c r="L20" s="41">
        <v>1925</v>
      </c>
      <c r="M20" s="27" t="s">
        <v>552</v>
      </c>
      <c r="N20" s="27" t="str">
        <f>'AL post'!AD19&amp;"; "&amp;'AL post'!AE19</f>
        <v>https://ia601501.us.archive.org/22/items/192425/1924-25.pdf#page=9; https://ia601501.us.archive.org/22/items/192425/1924-25.pdf#page=13</v>
      </c>
      <c r="O20" s="27" t="str">
        <f>'AL post'!AF19&amp;"; "&amp;'AL post'!AG19</f>
        <v>https://ia601501.us.archive.org/22/items/192425/1924-25.pdf#page=9; https://ia601501.us.archive.org/22/items/192425/1924-25.pdf#page=13</v>
      </c>
      <c r="P20" s="27" t="str">
        <f>'AL post'!AH19&amp;"; "&amp;'AL post'!AI19</f>
        <v>https://ia601501.us.archive.org/22/items/192425/1924-25.pdf#page=9; https://ia601501.us.archive.org/22/items/192425/1924-25.pdf#page=13</v>
      </c>
      <c r="Q20" s="7" t="str">
        <f>'AL post'!AJ19&amp;"; "&amp;'AL post'!AK19</f>
        <v>https://ia601501.us.archive.org/22/items/192425/1924-25.pdf#page=9; https://ia601501.us.archive.org/22/items/192425/1924-25.pdf#page=13</v>
      </c>
      <c r="R20" s="7" t="str">
        <f>'AL post'!AL19&amp;"; "&amp;'AL post'!AM19</f>
        <v>https://babel.hathitrust.org/cgi/pt?id=mdp.39015076547101;view=1up;seq=103; https://ia601501.us.archive.org/22/items/192425/1924-25.pdf#page=15</v>
      </c>
      <c r="S20" s="7" t="str">
        <f>'AL post'!AN19&amp;"; "&amp;'AL post'!AO19</f>
        <v>https://ia601501.us.archive.org/22/items/192425/1924-25.pdf#page=11; https://ia601501.us.archive.org/22/items/192425/1924-25.pdf#page=16</v>
      </c>
      <c r="T20" s="7" t="str">
        <f>'AL post'!AP19</f>
        <v>https://ia601501.us.archive.org/22/items/192425/1924-25.pdf#page=11</v>
      </c>
      <c r="U20" s="7" t="str">
        <f>'AL post'!AQ19</f>
        <v>https://ia601501.us.archive.org/22/items/192425/1924-25.pdf#page=11</v>
      </c>
    </row>
    <row r="21" spans="1:21" x14ac:dyDescent="0.25">
      <c r="A21" s="27" t="s">
        <v>604</v>
      </c>
      <c r="B21" s="27" t="str">
        <f t="shared" si="0"/>
        <v>Alabama</v>
      </c>
      <c r="C21" s="27" t="str">
        <f t="shared" si="1"/>
        <v>Coosa</v>
      </c>
      <c r="D21" s="27">
        <f>'AL post'!F20</f>
        <v>2596</v>
      </c>
      <c r="E21" s="27">
        <f>'AL post'!I20</f>
        <v>131</v>
      </c>
      <c r="F21" s="97">
        <f>'AL post'!L20</f>
        <v>126.86171032357473</v>
      </c>
      <c r="G21" s="27">
        <f>'AL post'!O20</f>
        <v>3597</v>
      </c>
      <c r="H21" s="115">
        <f>'AL post'!R20</f>
        <v>67.188626894567818</v>
      </c>
      <c r="I21" s="29">
        <f>'AL post'!U20</f>
        <v>121265</v>
      </c>
      <c r="J21" s="27">
        <v>69</v>
      </c>
      <c r="K21" s="2">
        <f>'AL post'!AA20</f>
        <v>105048</v>
      </c>
      <c r="L21" s="41">
        <v>1925</v>
      </c>
      <c r="M21" s="27" t="s">
        <v>552</v>
      </c>
      <c r="N21" s="27" t="str">
        <f>'AL post'!AD20&amp;"; "&amp;'AL post'!AE20</f>
        <v>https://ia601501.us.archive.org/22/items/192425/1924-25.pdf#page=9; https://ia601501.us.archive.org/22/items/192425/1924-25.pdf#page=13</v>
      </c>
      <c r="O21" s="27" t="str">
        <f>'AL post'!AF20&amp;"; "&amp;'AL post'!AG20</f>
        <v>https://ia601501.us.archive.org/22/items/192425/1924-25.pdf#page=9; https://ia601501.us.archive.org/22/items/192425/1924-25.pdf#page=13</v>
      </c>
      <c r="P21" s="27" t="str">
        <f>'AL post'!AH20&amp;"; "&amp;'AL post'!AI20</f>
        <v>https://ia601501.us.archive.org/22/items/192425/1924-25.pdf#page=9; https://ia601501.us.archive.org/22/items/192425/1924-25.pdf#page=13</v>
      </c>
      <c r="Q21" s="7" t="str">
        <f>'AL post'!AJ20&amp;"; "&amp;'AL post'!AK20</f>
        <v>https://ia601501.us.archive.org/22/items/192425/1924-25.pdf#page=9; https://ia601501.us.archive.org/22/items/192425/1924-25.pdf#page=13</v>
      </c>
      <c r="R21" s="7" t="str">
        <f>'AL post'!AL20&amp;"; "&amp;'AL post'!AM20</f>
        <v>https://babel.hathitrust.org/cgi/pt?id=mdp.39015076547101;view=1up;seq=103; https://ia601501.us.archive.org/22/items/192425/1924-25.pdf#page=15</v>
      </c>
      <c r="S21" s="7" t="str">
        <f>'AL post'!AN20&amp;"; "&amp;'AL post'!AO20</f>
        <v>https://ia601501.us.archive.org/22/items/192425/1924-25.pdf#page=11; https://ia601501.us.archive.org/22/items/192425/1924-25.pdf#page=16</v>
      </c>
      <c r="T21" s="7" t="str">
        <f>'AL post'!AP20</f>
        <v>https://ia601501.us.archive.org/22/items/192425/1924-25.pdf#page=11</v>
      </c>
      <c r="U21" s="7" t="str">
        <f>'AL post'!AQ20</f>
        <v>https://ia601501.us.archive.org/22/items/192425/1924-25.pdf#page=11</v>
      </c>
    </row>
    <row r="22" spans="1:21" x14ac:dyDescent="0.25">
      <c r="A22" s="27" t="s">
        <v>605</v>
      </c>
      <c r="B22" s="27" t="str">
        <f t="shared" si="0"/>
        <v>Alabama</v>
      </c>
      <c r="C22" s="27" t="str">
        <f t="shared" si="1"/>
        <v>Covington</v>
      </c>
      <c r="D22" s="27">
        <f>'AL post'!F21</f>
        <v>7000</v>
      </c>
      <c r="E22" s="27">
        <f>'AL post'!I21</f>
        <v>275</v>
      </c>
      <c r="F22" s="97">
        <f>'AL post'!L21</f>
        <v>142.57228571428573</v>
      </c>
      <c r="G22" s="27">
        <f>'AL post'!O21</f>
        <v>10935</v>
      </c>
      <c r="H22" s="115">
        <f>'AL post'!R21</f>
        <v>67.668895413818774</v>
      </c>
      <c r="I22" s="29">
        <f>'AL post'!U21</f>
        <v>237274</v>
      </c>
      <c r="J22" s="27">
        <v>111</v>
      </c>
      <c r="K22" s="2">
        <f>'AL post'!AA21</f>
        <v>509080</v>
      </c>
      <c r="L22" s="41">
        <v>1925</v>
      </c>
      <c r="M22" s="27" t="s">
        <v>552</v>
      </c>
      <c r="N22" s="27" t="str">
        <f>'AL post'!AD21&amp;"; "&amp;'AL post'!AE21</f>
        <v>https://ia601501.us.archive.org/22/items/192425/1924-25.pdf#page=9; https://ia601501.us.archive.org/22/items/192425/1924-25.pdf#page=13</v>
      </c>
      <c r="O22" s="27" t="str">
        <f>'AL post'!AF21&amp;"; "&amp;'AL post'!AG21</f>
        <v>https://ia601501.us.archive.org/22/items/192425/1924-25.pdf#page=9; https://ia601501.us.archive.org/22/items/192425/1924-25.pdf#page=13</v>
      </c>
      <c r="P22" s="27" t="str">
        <f>'AL post'!AH21&amp;"; "&amp;'AL post'!AI21</f>
        <v>https://ia601501.us.archive.org/22/items/192425/1924-25.pdf#page=9; https://ia601501.us.archive.org/22/items/192425/1924-25.pdf#page=13</v>
      </c>
      <c r="Q22" s="7" t="str">
        <f>'AL post'!AJ21&amp;"; "&amp;'AL post'!AK21</f>
        <v>https://ia601501.us.archive.org/22/items/192425/1924-25.pdf#page=9; https://ia601501.us.archive.org/22/items/192425/1924-25.pdf#page=13</v>
      </c>
      <c r="R22" s="7" t="str">
        <f>'AL post'!AL21&amp;"; "&amp;'AL post'!AM21</f>
        <v>https://babel.hathitrust.org/cgi/pt?id=mdp.39015076547101;view=1up;seq=103; https://ia601501.us.archive.org/22/items/192425/1924-25.pdf#page=15</v>
      </c>
      <c r="S22" s="7" t="str">
        <f>'AL post'!AN21&amp;"; "&amp;'AL post'!AO21</f>
        <v>https://ia601501.us.archive.org/22/items/192425/1924-25.pdf#page=11; https://ia601501.us.archive.org/22/items/192425/1924-25.pdf#page=16</v>
      </c>
      <c r="T22" s="7" t="str">
        <f>'AL post'!AP21</f>
        <v>https://ia601501.us.archive.org/22/items/192425/1924-25.pdf#page=11</v>
      </c>
      <c r="U22" s="7" t="str">
        <f>'AL post'!AQ21</f>
        <v>https://ia601501.us.archive.org/22/items/192425/1924-25.pdf#page=11</v>
      </c>
    </row>
    <row r="23" spans="1:21" x14ac:dyDescent="0.25">
      <c r="A23" s="27" t="s">
        <v>606</v>
      </c>
      <c r="B23" s="27" t="str">
        <f t="shared" si="0"/>
        <v>Alabama</v>
      </c>
      <c r="C23" s="27" t="str">
        <f t="shared" si="1"/>
        <v>Crenshaw</v>
      </c>
      <c r="D23" s="27">
        <f>'AL post'!F22</f>
        <v>5172</v>
      </c>
      <c r="E23" s="27">
        <f>'AL post'!I22</f>
        <v>175</v>
      </c>
      <c r="F23" s="97">
        <f>'AL post'!L22</f>
        <v>100.41376643464811</v>
      </c>
      <c r="G23" s="27">
        <f>'AL post'!O22</f>
        <v>6023</v>
      </c>
      <c r="H23" s="115">
        <f>'AL post'!R22</f>
        <v>85.441898673591197</v>
      </c>
      <c r="I23" s="29">
        <f>'AL post'!U22</f>
        <v>114427</v>
      </c>
      <c r="J23" s="27">
        <v>87</v>
      </c>
      <c r="K23" s="2">
        <f>'AL post'!AA22</f>
        <v>169450</v>
      </c>
      <c r="L23" s="41">
        <v>1925</v>
      </c>
      <c r="M23" s="27" t="s">
        <v>552</v>
      </c>
      <c r="N23" s="27" t="str">
        <f>'AL post'!AD22&amp;"; "&amp;'AL post'!AE22</f>
        <v>https://ia601501.us.archive.org/22/items/192425/1924-25.pdf#page=9; https://ia601501.us.archive.org/22/items/192425/1924-25.pdf#page=13</v>
      </c>
      <c r="O23" s="27" t="str">
        <f>'AL post'!AF22&amp;"; "&amp;'AL post'!AG22</f>
        <v>https://ia601501.us.archive.org/22/items/192425/1924-25.pdf#page=9; https://ia601501.us.archive.org/22/items/192425/1924-25.pdf#page=13</v>
      </c>
      <c r="P23" s="27" t="str">
        <f>'AL post'!AH22&amp;"; "&amp;'AL post'!AI22</f>
        <v>https://ia601501.us.archive.org/22/items/192425/1924-25.pdf#page=9; https://ia601501.us.archive.org/22/items/192425/1924-25.pdf#page=13</v>
      </c>
      <c r="Q23" s="7" t="str">
        <f>'AL post'!AJ22&amp;"; "&amp;'AL post'!AK22</f>
        <v>https://ia601501.us.archive.org/22/items/192425/1924-25.pdf#page=9; https://ia601501.us.archive.org/22/items/192425/1924-25.pdf#page=13</v>
      </c>
      <c r="R23" s="7" t="str">
        <f>'AL post'!AL22&amp;"; "&amp;'AL post'!AM22</f>
        <v>https://babel.hathitrust.org/cgi/pt?id=mdp.39015076547101;view=1up;seq=103; https://ia601501.us.archive.org/22/items/192425/1924-25.pdf#page=15</v>
      </c>
      <c r="S23" s="7" t="str">
        <f>'AL post'!AN22&amp;"; "&amp;'AL post'!AO22</f>
        <v>https://ia601501.us.archive.org/22/items/192425/1924-25.pdf#page=11; https://ia601501.us.archive.org/22/items/192425/1924-25.pdf#page=16</v>
      </c>
      <c r="T23" s="7" t="str">
        <f>'AL post'!AP22</f>
        <v>https://ia601501.us.archive.org/22/items/192425/1924-25.pdf#page=11</v>
      </c>
      <c r="U23" s="7" t="str">
        <f>'AL post'!AQ22</f>
        <v>https://ia601501.us.archive.org/22/items/192425/1924-25.pdf#page=11</v>
      </c>
    </row>
    <row r="24" spans="1:21" x14ac:dyDescent="0.25">
      <c r="A24" s="27" t="s">
        <v>607</v>
      </c>
      <c r="B24" s="27" t="str">
        <f t="shared" si="0"/>
        <v>Alabama</v>
      </c>
      <c r="C24" s="27" t="str">
        <f t="shared" si="1"/>
        <v>Cullman</v>
      </c>
      <c r="D24" s="27">
        <f>'AL post'!F23</f>
        <v>8121</v>
      </c>
      <c r="E24" s="27">
        <f>'AL post'!I23</f>
        <v>276</v>
      </c>
      <c r="F24" s="97">
        <f>'AL post'!L23</f>
        <v>100.63859130648935</v>
      </c>
      <c r="G24" s="27">
        <f>'AL post'!O23</f>
        <v>10190</v>
      </c>
      <c r="H24" s="115">
        <f>'AL post'!R23</f>
        <v>76.929027771556534</v>
      </c>
      <c r="I24" s="29">
        <f>'AL post'!U23</f>
        <v>193311</v>
      </c>
      <c r="J24" s="27">
        <v>113</v>
      </c>
      <c r="K24" s="2">
        <f>'AL post'!AA23</f>
        <v>457700</v>
      </c>
      <c r="L24" s="41">
        <v>1925</v>
      </c>
      <c r="M24" s="27" t="s">
        <v>552</v>
      </c>
      <c r="N24" s="27" t="str">
        <f>'AL post'!AD23&amp;"; "&amp;'AL post'!AE23</f>
        <v>https://ia601501.us.archive.org/22/items/192425/1924-25.pdf#page=9; https://ia601501.us.archive.org/22/items/192425/1924-25.pdf#page=13</v>
      </c>
      <c r="O24" s="27" t="str">
        <f>'AL post'!AF23&amp;"; "&amp;'AL post'!AG23</f>
        <v>https://ia601501.us.archive.org/22/items/192425/1924-25.pdf#page=9; https://ia601501.us.archive.org/22/items/192425/1924-25.pdf#page=13</v>
      </c>
      <c r="P24" s="27" t="str">
        <f>'AL post'!AH23&amp;"; "&amp;'AL post'!AI23</f>
        <v>https://ia601501.us.archive.org/22/items/192425/1924-25.pdf#page=9; https://ia601501.us.archive.org/22/items/192425/1924-25.pdf#page=13</v>
      </c>
      <c r="Q24" s="7" t="str">
        <f>'AL post'!AJ23&amp;"; "&amp;'AL post'!AK23</f>
        <v>https://ia601501.us.archive.org/22/items/192425/1924-25.pdf#page=9; https://ia601501.us.archive.org/22/items/192425/1924-25.pdf#page=13</v>
      </c>
      <c r="R24" s="7" t="str">
        <f>'AL post'!AL23&amp;"; "&amp;'AL post'!AM23</f>
        <v>https://babel.hathitrust.org/cgi/pt?id=mdp.39015076547101;view=1up;seq=103; https://ia601501.us.archive.org/22/items/192425/1924-25.pdf#page=15</v>
      </c>
      <c r="S24" s="7" t="str">
        <f>'AL post'!AN23&amp;"; "&amp;'AL post'!AO23</f>
        <v>https://ia601501.us.archive.org/22/items/192425/1924-25.pdf#page=11; https://ia601501.us.archive.org/22/items/192425/1924-25.pdf#page=16</v>
      </c>
      <c r="T24" s="7" t="str">
        <f>'AL post'!AP23</f>
        <v>https://ia601501.us.archive.org/22/items/192425/1924-25.pdf#page=11</v>
      </c>
      <c r="U24" s="7" t="str">
        <f>'AL post'!AQ23</f>
        <v>https://ia601501.us.archive.org/22/items/192425/1924-25.pdf#page=11</v>
      </c>
    </row>
    <row r="25" spans="1:21" x14ac:dyDescent="0.25">
      <c r="A25" s="27" t="s">
        <v>608</v>
      </c>
      <c r="B25" s="27" t="str">
        <f t="shared" si="0"/>
        <v>Alabama</v>
      </c>
      <c r="C25" s="27" t="str">
        <f t="shared" si="1"/>
        <v>Dale</v>
      </c>
      <c r="D25" s="27">
        <f>'AL post'!F24</f>
        <v>4277</v>
      </c>
      <c r="E25" s="27">
        <f>'AL post'!I24</f>
        <v>153</v>
      </c>
      <c r="F25" s="97">
        <f>'AL post'!L24</f>
        <v>124.66354921674071</v>
      </c>
      <c r="G25" s="27">
        <f>'AL post'!O24</f>
        <v>6129</v>
      </c>
      <c r="H25" s="115">
        <f>'AL post'!R24</f>
        <v>79.110712667707773</v>
      </c>
      <c r="I25" s="29">
        <f>'AL post'!U24</f>
        <v>122694</v>
      </c>
      <c r="J25" s="27">
        <v>79</v>
      </c>
      <c r="K25" s="2">
        <f>'AL post'!AA24</f>
        <v>355015</v>
      </c>
      <c r="L25" s="41">
        <v>1925</v>
      </c>
      <c r="M25" s="27" t="s">
        <v>552</v>
      </c>
      <c r="N25" s="27" t="str">
        <f>'AL post'!AD24&amp;"; "&amp;'AL post'!AE24</f>
        <v>https://ia601501.us.archive.org/22/items/192425/1924-25.pdf#page=9; https://ia601501.us.archive.org/22/items/192425/1924-25.pdf#page=13</v>
      </c>
      <c r="O25" s="27" t="str">
        <f>'AL post'!AF24&amp;"; "&amp;'AL post'!AG24</f>
        <v>https://ia601501.us.archive.org/22/items/192425/1924-25.pdf#page=9; https://ia601501.us.archive.org/22/items/192425/1924-25.pdf#page=13</v>
      </c>
      <c r="P25" s="27" t="str">
        <f>'AL post'!AH24&amp;"; "&amp;'AL post'!AI24</f>
        <v>https://ia601501.us.archive.org/22/items/192425/1924-25.pdf#page=9; https://ia601501.us.archive.org/22/items/192425/1924-25.pdf#page=13</v>
      </c>
      <c r="Q25" s="7" t="str">
        <f>'AL post'!AJ24&amp;"; "&amp;'AL post'!AK24</f>
        <v>https://ia601501.us.archive.org/22/items/192425/1924-25.pdf#page=9; https://ia601501.us.archive.org/22/items/192425/1924-25.pdf#page=13</v>
      </c>
      <c r="R25" s="7" t="str">
        <f>'AL post'!AL24&amp;"; "&amp;'AL post'!AM24</f>
        <v>https://babel.hathitrust.org/cgi/pt?id=mdp.39015076547101;view=1up;seq=103; https://ia601501.us.archive.org/22/items/192425/1924-25.pdf#page=15</v>
      </c>
      <c r="S25" s="7" t="str">
        <f>'AL post'!AN24&amp;"; "&amp;'AL post'!AO24</f>
        <v>https://ia601501.us.archive.org/22/items/192425/1924-25.pdf#page=11; https://ia601501.us.archive.org/22/items/192425/1924-25.pdf#page=16</v>
      </c>
      <c r="T25" s="7" t="str">
        <f>'AL post'!AP24</f>
        <v>https://ia601501.us.archive.org/22/items/192425/1924-25.pdf#page=11</v>
      </c>
      <c r="U25" s="7" t="str">
        <f>'AL post'!AQ24</f>
        <v>https://ia601501.us.archive.org/22/items/192425/1924-25.pdf#page=11</v>
      </c>
    </row>
    <row r="26" spans="1:21" x14ac:dyDescent="0.25">
      <c r="A26" s="27" t="s">
        <v>609</v>
      </c>
      <c r="B26" s="27" t="str">
        <f t="shared" si="0"/>
        <v>Alabama</v>
      </c>
      <c r="C26" s="27" t="str">
        <f t="shared" si="1"/>
        <v>Dallas</v>
      </c>
      <c r="D26" s="27">
        <f>'AL post'!F25</f>
        <v>8522</v>
      </c>
      <c r="E26" s="27">
        <f>'AL post'!I25</f>
        <v>275</v>
      </c>
      <c r="F26" s="97">
        <f>'AL post'!L25</f>
        <v>123.6004459047172</v>
      </c>
      <c r="G26" s="27">
        <f>'AL post'!O25</f>
        <v>11877</v>
      </c>
      <c r="H26" s="115">
        <f>'AL post'!R25</f>
        <v>105.63774775811237</v>
      </c>
      <c r="I26" s="29">
        <f>'AL post'!U25</f>
        <v>245876</v>
      </c>
      <c r="J26" s="27">
        <v>141</v>
      </c>
      <c r="K26" s="2">
        <f>'AL post'!AA25</f>
        <v>601149</v>
      </c>
      <c r="L26" s="41">
        <v>1925</v>
      </c>
      <c r="M26" s="27" t="s">
        <v>552</v>
      </c>
      <c r="N26" s="27" t="str">
        <f>'AL post'!AD25&amp;"; "&amp;'AL post'!AE25</f>
        <v>https://ia601501.us.archive.org/22/items/192425/1924-25.pdf#page=17; https://ia601501.us.archive.org/22/items/192425/1924-25.pdf#page=22</v>
      </c>
      <c r="O26" s="27" t="str">
        <f>'AL post'!AF25&amp;"; "&amp;'AL post'!AG25</f>
        <v>https://ia601501.us.archive.org/22/items/192425/1924-25.pdf#page=17; https://ia601501.us.archive.org/22/items/192425/1924-25.pdf#page=22</v>
      </c>
      <c r="P26" s="27" t="str">
        <f>'AL post'!AH25&amp;"; "&amp;'AL post'!AI25</f>
        <v>https://ia601501.us.archive.org/22/items/192425/1924-25.pdf#page=17; https://ia601501.us.archive.org/22/items/192425/1924-25.pdf#page=22</v>
      </c>
      <c r="Q26" s="7" t="str">
        <f>'AL post'!AJ25&amp;"; "&amp;'AL post'!AK25</f>
        <v>https://ia601501.us.archive.org/22/items/192425/1924-25.pdf#page=17; https://ia601501.us.archive.org/22/items/192425/1924-25.pdf#page=22</v>
      </c>
      <c r="R26" s="7" t="str">
        <f>'AL post'!AL25&amp;"; "&amp;'AL post'!AM25</f>
        <v>https://babel.hathitrust.org/cgi/pt?id=mdp.39015076547101;view=1up;seq=123; https://ia601501.us.archive.org/22/items/192425/1924-25.pdf#page=23</v>
      </c>
      <c r="S26" s="7" t="str">
        <f>'AL post'!AN25&amp;"; "&amp;'AL post'!AO25</f>
        <v>https://ia601501.us.archive.org/22/items/192425/1924-25.pdf#page=21; https://ia601501.us.archive.org/22/items/192425/1924-25.pdf#page=24</v>
      </c>
      <c r="T26" s="7" t="str">
        <f>'AL post'!AP25</f>
        <v>https://ia601501.us.archive.org/22/items/192425/1924-25.pdf#page=21</v>
      </c>
      <c r="U26" s="7" t="str">
        <f>'AL post'!AQ25</f>
        <v>https://ia601501.us.archive.org/22/items/192425/1924-25.pdf#page=21</v>
      </c>
    </row>
    <row r="27" spans="1:21" x14ac:dyDescent="0.25">
      <c r="A27" s="27" t="s">
        <v>610</v>
      </c>
      <c r="B27" s="27" t="str">
        <f t="shared" si="0"/>
        <v>Alabama</v>
      </c>
      <c r="C27" s="27" t="str">
        <f t="shared" si="1"/>
        <v>DeKalb</v>
      </c>
      <c r="D27" s="27">
        <f>'AL post'!F26</f>
        <v>7168</v>
      </c>
      <c r="E27" s="27">
        <f>'AL post'!I26</f>
        <v>258</v>
      </c>
      <c r="F27" s="97">
        <f>'AL post'!L26</f>
        <v>106.86090959821429</v>
      </c>
      <c r="G27" s="27">
        <f>'AL post'!O26</f>
        <v>10565</v>
      </c>
      <c r="H27" s="115">
        <f>'AL post'!R26</f>
        <v>72.288418941920312</v>
      </c>
      <c r="I27" s="29">
        <f>'AL post'!U26</f>
        <v>136985</v>
      </c>
      <c r="J27" s="27">
        <v>112</v>
      </c>
      <c r="K27" s="2">
        <f>'AL post'!AA26</f>
        <v>383099</v>
      </c>
      <c r="L27" s="41">
        <v>1925</v>
      </c>
      <c r="M27" s="27" t="s">
        <v>552</v>
      </c>
      <c r="N27" s="27" t="str">
        <f>'AL post'!AD26&amp;"; "&amp;'AL post'!AE26</f>
        <v>https://ia601501.us.archive.org/22/items/192425/1924-25.pdf#page=17; https://ia601501.us.archive.org/22/items/192425/1924-25.pdf#page=22</v>
      </c>
      <c r="O27" s="27" t="str">
        <f>'AL post'!AF26&amp;"; "&amp;'AL post'!AG26</f>
        <v>https://ia601501.us.archive.org/22/items/192425/1924-25.pdf#page=17; https://ia601501.us.archive.org/22/items/192425/1924-25.pdf#page=22</v>
      </c>
      <c r="P27" s="27" t="str">
        <f>'AL post'!AH26&amp;"; "&amp;'AL post'!AI26</f>
        <v>https://ia601501.us.archive.org/22/items/192425/1924-25.pdf#page=17; https://ia601501.us.archive.org/22/items/192425/1924-25.pdf#page=22</v>
      </c>
      <c r="Q27" s="7" t="str">
        <f>'AL post'!AJ26&amp;"; "&amp;'AL post'!AK26</f>
        <v>https://ia601501.us.archive.org/22/items/192425/1924-25.pdf#page=17; https://ia601501.us.archive.org/22/items/192425/1924-25.pdf#page=22</v>
      </c>
      <c r="R27" s="7" t="str">
        <f>'AL post'!AL26&amp;"; "&amp;'AL post'!AM26</f>
        <v>https://babel.hathitrust.org/cgi/pt?id=mdp.39015076547101;view=1up;seq=123; https://ia601501.us.archive.org/22/items/192425/1924-25.pdf#page=23</v>
      </c>
      <c r="S27" s="7" t="str">
        <f>'AL post'!AN26&amp;"; "&amp;'AL post'!AO26</f>
        <v>https://ia601501.us.archive.org/22/items/192425/1924-25.pdf#page=21; https://ia601501.us.archive.org/22/items/192425/1924-25.pdf#page=24</v>
      </c>
      <c r="T27" s="7" t="str">
        <f>'AL post'!AP26</f>
        <v>https://ia601501.us.archive.org/22/items/192425/1924-25.pdf#page=21</v>
      </c>
      <c r="U27" s="7" t="str">
        <f>'AL post'!AQ26</f>
        <v>https://ia601501.us.archive.org/22/items/192425/1924-25.pdf#page=21</v>
      </c>
    </row>
    <row r="28" spans="1:21" x14ac:dyDescent="0.25">
      <c r="A28" s="27" t="s">
        <v>611</v>
      </c>
      <c r="B28" s="27" t="str">
        <f t="shared" si="0"/>
        <v>Alabama</v>
      </c>
      <c r="C28" s="27" t="str">
        <f t="shared" si="1"/>
        <v>Elmore</v>
      </c>
      <c r="D28" s="27">
        <f>'AL post'!F27</f>
        <v>5355</v>
      </c>
      <c r="E28" s="27">
        <f>'AL post'!I27</f>
        <v>217</v>
      </c>
      <c r="F28" s="97">
        <f>'AL post'!L27</f>
        <v>118.89953314659196</v>
      </c>
      <c r="G28" s="27">
        <f>'AL post'!O27</f>
        <v>7539</v>
      </c>
      <c r="H28" s="115">
        <f>'AL post'!R27</f>
        <v>71.434665572866678</v>
      </c>
      <c r="I28" s="29">
        <f>'AL post'!U27</f>
        <v>149814</v>
      </c>
      <c r="J28" s="27">
        <v>99</v>
      </c>
      <c r="K28" s="2">
        <f>'AL post'!AA27</f>
        <v>335139</v>
      </c>
      <c r="L28" s="41">
        <v>1925</v>
      </c>
      <c r="M28" s="27" t="s">
        <v>552</v>
      </c>
      <c r="N28" s="27" t="str">
        <f>'AL post'!AD27&amp;"; "&amp;'AL post'!AE27</f>
        <v>https://ia601501.us.archive.org/22/items/192425/1924-25.pdf#page=17; https://ia601501.us.archive.org/22/items/192425/1924-25.pdf#page=22</v>
      </c>
      <c r="O28" s="27" t="str">
        <f>'AL post'!AF27&amp;"; "&amp;'AL post'!AG27</f>
        <v>https://ia601501.us.archive.org/22/items/192425/1924-25.pdf#page=17; https://ia601501.us.archive.org/22/items/192425/1924-25.pdf#page=22</v>
      </c>
      <c r="P28" s="27" t="str">
        <f>'AL post'!AH27&amp;"; "&amp;'AL post'!AI27</f>
        <v>https://ia601501.us.archive.org/22/items/192425/1924-25.pdf#page=17; https://ia601501.us.archive.org/22/items/192425/1924-25.pdf#page=22</v>
      </c>
      <c r="Q28" s="7" t="str">
        <f>'AL post'!AJ27&amp;"; "&amp;'AL post'!AK27</f>
        <v>https://ia601501.us.archive.org/22/items/192425/1924-25.pdf#page=17; https://ia601501.us.archive.org/22/items/192425/1924-25.pdf#page=22</v>
      </c>
      <c r="R28" s="7" t="str">
        <f>'AL post'!AL27&amp;"; "&amp;'AL post'!AM27</f>
        <v>https://babel.hathitrust.org/cgi/pt?id=mdp.39015076547101;view=1up;seq=123; https://ia601501.us.archive.org/22/items/192425/1924-25.pdf#page=23</v>
      </c>
      <c r="S28" s="7" t="str">
        <f>'AL post'!AN27&amp;"; "&amp;'AL post'!AO27</f>
        <v>https://ia601501.us.archive.org/22/items/192425/1924-25.pdf#page=21; https://ia601501.us.archive.org/22/items/192425/1924-25.pdf#page=24</v>
      </c>
      <c r="T28" s="7" t="str">
        <f>'AL post'!AP27</f>
        <v>https://ia601501.us.archive.org/22/items/192425/1924-25.pdf#page=21</v>
      </c>
      <c r="U28" s="7" t="str">
        <f>'AL post'!AQ27</f>
        <v>https://ia601501.us.archive.org/22/items/192425/1924-25.pdf#page=21</v>
      </c>
    </row>
    <row r="29" spans="1:21" x14ac:dyDescent="0.25">
      <c r="A29" s="27" t="s">
        <v>612</v>
      </c>
      <c r="B29" s="27" t="str">
        <f t="shared" si="0"/>
        <v>Alabama</v>
      </c>
      <c r="C29" s="27" t="str">
        <f t="shared" si="1"/>
        <v>Escambia</v>
      </c>
      <c r="D29" s="27">
        <f>'AL post'!F28</f>
        <v>4220</v>
      </c>
      <c r="E29" s="27">
        <f>'AL post'!I28</f>
        <v>192</v>
      </c>
      <c r="F29" s="97">
        <f>'AL post'!L28</f>
        <v>143.71279620853082</v>
      </c>
      <c r="G29" s="27">
        <f>'AL post'!O28</f>
        <v>6486</v>
      </c>
      <c r="H29" s="115">
        <f>'AL post'!R28</f>
        <v>69.485374743597347</v>
      </c>
      <c r="I29" s="29">
        <f>'AL post'!U28</f>
        <v>188483</v>
      </c>
      <c r="J29" s="27">
        <v>86</v>
      </c>
      <c r="K29" s="2">
        <f>'AL post'!AA28</f>
        <v>372150</v>
      </c>
      <c r="L29" s="41">
        <v>1925</v>
      </c>
      <c r="M29" s="27" t="s">
        <v>552</v>
      </c>
      <c r="N29" s="27" t="str">
        <f>'AL post'!AD28&amp;"; "&amp;'AL post'!AE28</f>
        <v>https://ia601501.us.archive.org/22/items/192425/1924-25.pdf#page=17; https://ia601501.us.archive.org/22/items/192425/1924-25.pdf#page=22</v>
      </c>
      <c r="O29" s="27" t="str">
        <f>'AL post'!AF28&amp;"; "&amp;'AL post'!AG28</f>
        <v>https://ia601501.us.archive.org/22/items/192425/1924-25.pdf#page=17; https://ia601501.us.archive.org/22/items/192425/1924-25.pdf#page=22</v>
      </c>
      <c r="P29" s="27" t="str">
        <f>'AL post'!AH28&amp;"; "&amp;'AL post'!AI28</f>
        <v>https://ia601501.us.archive.org/22/items/192425/1924-25.pdf#page=17; https://ia601501.us.archive.org/22/items/192425/1924-25.pdf#page=22</v>
      </c>
      <c r="Q29" s="7" t="str">
        <f>'AL post'!AJ28&amp;"; "&amp;'AL post'!AK28</f>
        <v>https://ia601501.us.archive.org/22/items/192425/1924-25.pdf#page=17; https://ia601501.us.archive.org/22/items/192425/1924-25.pdf#page=22</v>
      </c>
      <c r="R29" s="7" t="str">
        <f>'AL post'!AL28&amp;"; "&amp;'AL post'!AM28</f>
        <v>https://babel.hathitrust.org/cgi/pt?id=mdp.39015076547101;view=1up;seq=123; https://ia601501.us.archive.org/22/items/192425/1924-25.pdf#page=23</v>
      </c>
      <c r="S29" s="7" t="str">
        <f>'AL post'!AN28&amp;"; "&amp;'AL post'!AO28</f>
        <v>https://ia601501.us.archive.org/22/items/192425/1924-25.pdf#page=21; https://ia601501.us.archive.org/22/items/192425/1924-25.pdf#page=24</v>
      </c>
      <c r="T29" s="7" t="str">
        <f>'AL post'!AP28</f>
        <v>https://ia601501.us.archive.org/22/items/192425/1924-25.pdf#page=21</v>
      </c>
      <c r="U29" s="7" t="str">
        <f>'AL post'!AQ28</f>
        <v>https://ia601501.us.archive.org/22/items/192425/1924-25.pdf#page=21</v>
      </c>
    </row>
    <row r="30" spans="1:21" x14ac:dyDescent="0.25">
      <c r="A30" s="27" t="s">
        <v>613</v>
      </c>
      <c r="B30" s="27" t="str">
        <f t="shared" si="0"/>
        <v>Alabama</v>
      </c>
      <c r="C30" s="27" t="str">
        <f t="shared" si="1"/>
        <v>Etowah</v>
      </c>
      <c r="D30" s="27">
        <f>'AL post'!F29</f>
        <v>9023</v>
      </c>
      <c r="E30" s="27">
        <f>'AL post'!I29</f>
        <v>324</v>
      </c>
      <c r="F30" s="97">
        <f>'AL post'!L29</f>
        <v>161.90956444641472</v>
      </c>
      <c r="G30" s="27">
        <f>'AL post'!O29</f>
        <v>13389</v>
      </c>
      <c r="H30" s="115">
        <f>'AL post'!R29</f>
        <v>78.62833215488638</v>
      </c>
      <c r="I30" s="29">
        <f>'AL post'!U29</f>
        <v>330529</v>
      </c>
      <c r="J30" s="27">
        <v>88</v>
      </c>
      <c r="K30" s="2">
        <f>'AL post'!AA29</f>
        <v>806419</v>
      </c>
      <c r="L30" s="41">
        <v>1925</v>
      </c>
      <c r="M30" s="27" t="s">
        <v>552</v>
      </c>
      <c r="N30" s="27" t="str">
        <f>'AL post'!AD29&amp;"; "&amp;'AL post'!AE29</f>
        <v>https://ia601501.us.archive.org/22/items/192425/1924-25.pdf#page=17; https://ia601501.us.archive.org/22/items/192425/1924-25.pdf#page=22</v>
      </c>
      <c r="O30" s="27" t="str">
        <f>'AL post'!AF29&amp;"; "&amp;'AL post'!AG29</f>
        <v>https://ia601501.us.archive.org/22/items/192425/1924-25.pdf#page=17; https://ia601501.us.archive.org/22/items/192425/1924-25.pdf#page=22</v>
      </c>
      <c r="P30" s="27" t="str">
        <f>'AL post'!AH29&amp;"; "&amp;'AL post'!AI29</f>
        <v>https://ia601501.us.archive.org/22/items/192425/1924-25.pdf#page=17; https://ia601501.us.archive.org/22/items/192425/1924-25.pdf#page=22</v>
      </c>
      <c r="Q30" s="7" t="str">
        <f>'AL post'!AJ29&amp;"; "&amp;'AL post'!AK29</f>
        <v>https://ia601501.us.archive.org/22/items/192425/1924-25.pdf#page=17; https://ia601501.us.archive.org/22/items/192425/1924-25.pdf#page=22</v>
      </c>
      <c r="R30" s="7" t="str">
        <f>'AL post'!AL29&amp;"; "&amp;'AL post'!AM29</f>
        <v>https://babel.hathitrust.org/cgi/pt?id=mdp.39015076547101;view=1up;seq=123; https://ia601501.us.archive.org/22/items/192425/1924-25.pdf#page=23</v>
      </c>
      <c r="S30" s="7" t="str">
        <f>'AL post'!AN29&amp;"; "&amp;'AL post'!AO29</f>
        <v>https://ia601501.us.archive.org/22/items/192425/1924-25.pdf#page=21; https://ia601501.us.archive.org/22/items/192425/1924-25.pdf#page=24</v>
      </c>
      <c r="T30" s="7" t="str">
        <f>'AL post'!AP29</f>
        <v>https://ia601501.us.archive.org/22/items/192425/1924-25.pdf#page=21</v>
      </c>
      <c r="U30" s="7" t="str">
        <f>'AL post'!AQ29</f>
        <v>https://ia601501.us.archive.org/22/items/192425/1924-25.pdf#page=21</v>
      </c>
    </row>
    <row r="31" spans="1:21" x14ac:dyDescent="0.25">
      <c r="A31" s="27" t="s">
        <v>614</v>
      </c>
      <c r="B31" s="27" t="str">
        <f t="shared" si="0"/>
        <v>Alabama</v>
      </c>
      <c r="C31" s="27" t="str">
        <f t="shared" si="1"/>
        <v>Fayette</v>
      </c>
      <c r="D31" s="27">
        <f>'AL post'!F30</f>
        <v>3279</v>
      </c>
      <c r="E31" s="27">
        <f>'AL post'!I30</f>
        <v>149</v>
      </c>
      <c r="F31" s="97">
        <f>'AL post'!L30</f>
        <v>97.236047575480328</v>
      </c>
      <c r="G31" s="27">
        <f>'AL post'!O30</f>
        <v>4874</v>
      </c>
      <c r="H31" s="115">
        <f>'AL post'!R30</f>
        <v>113.67894469987851</v>
      </c>
      <c r="I31" s="29">
        <f>'AL post'!U30</f>
        <v>86656</v>
      </c>
      <c r="J31" s="27">
        <v>74</v>
      </c>
      <c r="K31" s="2">
        <f>'AL post'!AA30</f>
        <v>160577</v>
      </c>
      <c r="L31" s="41">
        <v>1925</v>
      </c>
      <c r="M31" s="27" t="s">
        <v>552</v>
      </c>
      <c r="N31" s="27" t="str">
        <f>'AL post'!AD30&amp;"; "&amp;'AL post'!AE30</f>
        <v>https://ia601501.us.archive.org/22/items/192425/1924-25.pdf#page=17; https://ia601501.us.archive.org/22/items/192425/1924-25.pdf#page=22</v>
      </c>
      <c r="O31" s="27" t="str">
        <f>'AL post'!AF30&amp;"; "&amp;'AL post'!AG30</f>
        <v>https://ia601501.us.archive.org/22/items/192425/1924-25.pdf#page=17; https://ia601501.us.archive.org/22/items/192425/1924-25.pdf#page=22</v>
      </c>
      <c r="P31" s="27" t="str">
        <f>'AL post'!AH30&amp;"; "&amp;'AL post'!AI30</f>
        <v>https://ia601501.us.archive.org/22/items/192425/1924-25.pdf#page=17; https://ia601501.us.archive.org/22/items/192425/1924-25.pdf#page=22</v>
      </c>
      <c r="Q31" s="7" t="str">
        <f>'AL post'!AJ30&amp;"; "&amp;'AL post'!AK30</f>
        <v>https://ia601501.us.archive.org/22/items/192425/1924-25.pdf#page=17; https://ia601501.us.archive.org/22/items/192425/1924-25.pdf#page=22</v>
      </c>
      <c r="R31" s="7" t="str">
        <f>'AL post'!AL30&amp;"; "&amp;'AL post'!AM30</f>
        <v>https://babel.hathitrust.org/cgi/pt?id=mdp.39015076547101;view=1up;seq=123; https://ia601501.us.archive.org/22/items/192425/1924-25.pdf#page=23</v>
      </c>
      <c r="S31" s="7" t="str">
        <f>'AL post'!AN30&amp;"; "&amp;'AL post'!AO30</f>
        <v>https://ia601501.us.archive.org/22/items/192425/1924-25.pdf#page=21; https://ia601501.us.archive.org/22/items/192425/1924-25.pdf#page=24</v>
      </c>
      <c r="T31" s="7" t="str">
        <f>'AL post'!AP30</f>
        <v>https://ia601501.us.archive.org/22/items/192425/1924-25.pdf#page=21</v>
      </c>
      <c r="U31" s="7" t="str">
        <f>'AL post'!AQ30</f>
        <v>https://ia601501.us.archive.org/22/items/192425/1924-25.pdf#page=21</v>
      </c>
    </row>
    <row r="32" spans="1:21" x14ac:dyDescent="0.25">
      <c r="A32" s="27" t="s">
        <v>615</v>
      </c>
      <c r="B32" s="27" t="str">
        <f t="shared" si="0"/>
        <v>Alabama</v>
      </c>
      <c r="C32" s="27" t="str">
        <f t="shared" si="1"/>
        <v>Franklin</v>
      </c>
      <c r="D32" s="27">
        <f>'AL post'!F31</f>
        <v>4156</v>
      </c>
      <c r="E32" s="27">
        <f>'AL post'!I31</f>
        <v>160</v>
      </c>
      <c r="F32" s="97">
        <f>'AL post'!L31</f>
        <v>118.19201154956689</v>
      </c>
      <c r="G32" s="27">
        <f>'AL post'!O31</f>
        <v>6094</v>
      </c>
      <c r="H32" s="115">
        <f>'AL post'!R31</f>
        <v>85.500702352984291</v>
      </c>
      <c r="I32" s="29">
        <f>'AL post'!U31</f>
        <v>147762</v>
      </c>
      <c r="J32" s="27">
        <v>69</v>
      </c>
      <c r="K32" s="2">
        <f>'AL post'!AA31</f>
        <v>247430</v>
      </c>
      <c r="L32" s="41">
        <v>1925</v>
      </c>
      <c r="M32" s="27" t="s">
        <v>552</v>
      </c>
      <c r="N32" s="27" t="str">
        <f>'AL post'!AD31&amp;"; "&amp;'AL post'!AE31</f>
        <v>https://ia601501.us.archive.org/22/items/192425/1924-25.pdf#page=17; https://ia601501.us.archive.org/22/items/192425/1924-25.pdf#page=22</v>
      </c>
      <c r="O32" s="27" t="str">
        <f>'AL post'!AF31&amp;"; "&amp;'AL post'!AG31</f>
        <v>https://ia601501.us.archive.org/22/items/192425/1924-25.pdf#page=17; https://ia601501.us.archive.org/22/items/192425/1924-25.pdf#page=22</v>
      </c>
      <c r="P32" s="27" t="str">
        <f>'AL post'!AH31&amp;"; "&amp;'AL post'!AI31</f>
        <v>https://ia601501.us.archive.org/22/items/192425/1924-25.pdf#page=17; https://ia601501.us.archive.org/22/items/192425/1924-25.pdf#page=22</v>
      </c>
      <c r="Q32" s="7" t="str">
        <f>'AL post'!AJ31&amp;"; "&amp;'AL post'!AK31</f>
        <v>https://ia601501.us.archive.org/22/items/192425/1924-25.pdf#page=17; https://ia601501.us.archive.org/22/items/192425/1924-25.pdf#page=22</v>
      </c>
      <c r="R32" s="7" t="str">
        <f>'AL post'!AL31&amp;"; "&amp;'AL post'!AM31</f>
        <v>https://babel.hathitrust.org/cgi/pt?id=mdp.39015076547101;view=1up;seq=123; https://ia601501.us.archive.org/22/items/192425/1924-25.pdf#page=23</v>
      </c>
      <c r="S32" s="7" t="str">
        <f>'AL post'!AN31&amp;"; "&amp;'AL post'!AO31</f>
        <v>https://ia601501.us.archive.org/22/items/192425/1924-25.pdf#page=21; https://ia601501.us.archive.org/22/items/192425/1924-25.pdf#page=24</v>
      </c>
      <c r="T32" s="7" t="str">
        <f>'AL post'!AP31</f>
        <v>https://ia601501.us.archive.org/22/items/192425/1924-25.pdf#page=21</v>
      </c>
      <c r="U32" s="7" t="str">
        <f>'AL post'!AQ31</f>
        <v>https://ia601501.us.archive.org/22/items/192425/1924-25.pdf#page=21</v>
      </c>
    </row>
    <row r="33" spans="1:21" x14ac:dyDescent="0.25">
      <c r="A33" s="27" t="s">
        <v>616</v>
      </c>
      <c r="B33" s="27" t="str">
        <f t="shared" si="0"/>
        <v>Alabama</v>
      </c>
      <c r="C33" s="27" t="str">
        <f t="shared" si="1"/>
        <v>Geneva</v>
      </c>
      <c r="D33" s="27">
        <f>'AL post'!F32</f>
        <v>4545</v>
      </c>
      <c r="E33" s="27">
        <f>'AL post'!I32</f>
        <v>168</v>
      </c>
      <c r="F33" s="97">
        <f>'AL post'!L32</f>
        <v>131.7925192519252</v>
      </c>
      <c r="G33" s="27">
        <f>'AL post'!O32</f>
        <v>7396</v>
      </c>
      <c r="H33" s="115">
        <f>'AL post'!R32</f>
        <v>81.222544877997237</v>
      </c>
      <c r="I33" s="29">
        <f>'AL post'!U32</f>
        <v>136409</v>
      </c>
      <c r="J33" s="27">
        <v>69</v>
      </c>
      <c r="K33" s="2">
        <f>'AL post'!AA32</f>
        <v>6319551</v>
      </c>
      <c r="L33" s="41">
        <v>1925</v>
      </c>
      <c r="M33" s="27" t="s">
        <v>552</v>
      </c>
      <c r="N33" s="27" t="str">
        <f>'AL post'!AD32&amp;"; "&amp;'AL post'!AE32</f>
        <v>https://ia601501.us.archive.org/22/items/192425/1924-25.pdf#page=17; https://ia601501.us.archive.org/22/items/192425/1924-25.pdf#page=22</v>
      </c>
      <c r="O33" s="27" t="str">
        <f>'AL post'!AF32&amp;"; "&amp;'AL post'!AG32</f>
        <v>https://ia601501.us.archive.org/22/items/192425/1924-25.pdf#page=17; https://ia601501.us.archive.org/22/items/192425/1924-25.pdf#page=22</v>
      </c>
      <c r="P33" s="27" t="str">
        <f>'AL post'!AH32&amp;"; "&amp;'AL post'!AI32</f>
        <v>https://ia601501.us.archive.org/22/items/192425/1924-25.pdf#page=17; https://ia601501.us.archive.org/22/items/192425/1924-25.pdf#page=22</v>
      </c>
      <c r="Q33" s="7" t="str">
        <f>'AL post'!AJ32&amp;"; "&amp;'AL post'!AK32</f>
        <v>https://ia601501.us.archive.org/22/items/192425/1924-25.pdf#page=17; https://ia601501.us.archive.org/22/items/192425/1924-25.pdf#page=22</v>
      </c>
      <c r="R33" s="7" t="str">
        <f>'AL post'!AL32&amp;"; "&amp;'AL post'!AM32</f>
        <v>https://babel.hathitrust.org/cgi/pt?id=mdp.39015076547101;view=1up;seq=123; https://ia601501.us.archive.org/22/items/192425/1924-25.pdf#page=23</v>
      </c>
      <c r="S33" s="7" t="str">
        <f>'AL post'!AN32&amp;"; "&amp;'AL post'!AO32</f>
        <v>https://ia601501.us.archive.org/22/items/192425/1924-25.pdf#page=21; https://ia601501.us.archive.org/22/items/192425/1924-25.pdf#page=24</v>
      </c>
      <c r="T33" s="7" t="str">
        <f>'AL post'!AP32</f>
        <v>https://ia601501.us.archive.org/22/items/192425/1924-25.pdf#page=21</v>
      </c>
      <c r="U33" s="7" t="str">
        <f>'AL post'!AQ32</f>
        <v>https://ia601501.us.archive.org/22/items/192425/1924-25.pdf#page=21</v>
      </c>
    </row>
    <row r="34" spans="1:21" x14ac:dyDescent="0.25">
      <c r="A34" s="27" t="s">
        <v>617</v>
      </c>
      <c r="B34" s="27" t="str">
        <f t="shared" si="0"/>
        <v>Alabama</v>
      </c>
      <c r="C34" s="27" t="str">
        <f t="shared" si="1"/>
        <v>Greene</v>
      </c>
      <c r="D34" s="27">
        <f>'AL post'!F33</f>
        <v>3875</v>
      </c>
      <c r="E34" s="27">
        <f>'AL post'!I33</f>
        <v>103</v>
      </c>
      <c r="F34" s="97">
        <f>'AL post'!L33</f>
        <v>118.65367741935484</v>
      </c>
      <c r="G34" s="27">
        <f>'AL post'!O33</f>
        <v>4490</v>
      </c>
      <c r="H34" s="115">
        <f>'AL post'!R33</f>
        <v>65.604977561280549</v>
      </c>
      <c r="I34" s="29">
        <f>'AL post'!U33</f>
        <v>45204</v>
      </c>
      <c r="J34" s="27">
        <v>78</v>
      </c>
      <c r="K34" s="2">
        <f>'AL post'!AA33</f>
        <v>94613</v>
      </c>
      <c r="L34" s="41">
        <v>1925</v>
      </c>
      <c r="M34" s="27" t="s">
        <v>552</v>
      </c>
      <c r="N34" s="27" t="str">
        <f>'AL post'!AD33&amp;"; "&amp;'AL post'!AE33</f>
        <v>https://ia601501.us.archive.org/22/items/192425/1924-25.pdf#page=17; https://ia601501.us.archive.org/22/items/192425/1924-25.pdf#page=22</v>
      </c>
      <c r="O34" s="27" t="str">
        <f>'AL post'!AF33&amp;"; "&amp;'AL post'!AG33</f>
        <v>https://ia601501.us.archive.org/22/items/192425/1924-25.pdf#page=17; https://ia601501.us.archive.org/22/items/192425/1924-25.pdf#page=22</v>
      </c>
      <c r="P34" s="27" t="str">
        <f>'AL post'!AH33&amp;"; "&amp;'AL post'!AI33</f>
        <v>https://ia601501.us.archive.org/22/items/192425/1924-25.pdf#page=17; https://ia601501.us.archive.org/22/items/192425/1924-25.pdf#page=22</v>
      </c>
      <c r="Q34" s="7" t="str">
        <f>'AL post'!AJ33&amp;"; "&amp;'AL post'!AK33</f>
        <v>https://ia601501.us.archive.org/22/items/192425/1924-25.pdf#page=17; https://ia601501.us.archive.org/22/items/192425/1924-25.pdf#page=22</v>
      </c>
      <c r="R34" s="7" t="str">
        <f>'AL post'!AL33&amp;"; "&amp;'AL post'!AM33</f>
        <v>https://babel.hathitrust.org/cgi/pt?id=mdp.39015076547101;view=1up;seq=123; https://ia601501.us.archive.org/22/items/192425/1924-25.pdf#page=23</v>
      </c>
      <c r="S34" s="7" t="str">
        <f>'AL post'!AN33&amp;"; "&amp;'AL post'!AO33</f>
        <v>https://ia601501.us.archive.org/22/items/192425/1924-25.pdf#page=21; https://ia601501.us.archive.org/22/items/192425/1924-25.pdf#page=24</v>
      </c>
      <c r="T34" s="7" t="str">
        <f>'AL post'!AP33</f>
        <v>https://ia601501.us.archive.org/22/items/192425/1924-25.pdf#page=21</v>
      </c>
      <c r="U34" s="7" t="str">
        <f>'AL post'!AQ33</f>
        <v>https://ia601501.us.archive.org/22/items/192425/1924-25.pdf#page=21</v>
      </c>
    </row>
    <row r="35" spans="1:21" x14ac:dyDescent="0.25">
      <c r="A35" s="27" t="s">
        <v>618</v>
      </c>
      <c r="B35" s="27" t="str">
        <f t="shared" si="0"/>
        <v>Alabama</v>
      </c>
      <c r="C35" s="27" t="str">
        <f t="shared" si="1"/>
        <v>Hale</v>
      </c>
      <c r="D35" s="27">
        <f>'AL post'!F34</f>
        <v>4245</v>
      </c>
      <c r="E35" s="27">
        <f>'AL post'!I34</f>
        <v>153</v>
      </c>
      <c r="F35" s="97">
        <f>'AL post'!L34</f>
        <v>98.985630153121321</v>
      </c>
      <c r="G35" s="27">
        <f>'AL post'!O34</f>
        <v>6229</v>
      </c>
      <c r="H35" s="115">
        <f>'AL post'!R34</f>
        <v>89.123651288242499</v>
      </c>
      <c r="I35" s="29">
        <f>'AL post'!U34</f>
        <v>97567</v>
      </c>
      <c r="J35" s="27">
        <v>101</v>
      </c>
      <c r="K35" s="2">
        <f>'AL post'!AA34</f>
        <v>153693</v>
      </c>
      <c r="L35" s="41">
        <v>1925</v>
      </c>
      <c r="M35" s="27" t="s">
        <v>552</v>
      </c>
      <c r="N35" s="27" t="str">
        <f>'AL post'!AD34&amp;"; "&amp;'AL post'!AE34</f>
        <v>https://ia601501.us.archive.org/22/items/192425/1924-25.pdf#page=17; https://ia601501.us.archive.org/22/items/192425/1924-25.pdf#page=22</v>
      </c>
      <c r="O35" s="27" t="str">
        <f>'AL post'!AF34&amp;"; "&amp;'AL post'!AG34</f>
        <v>https://ia601501.us.archive.org/22/items/192425/1924-25.pdf#page=17; https://ia601501.us.archive.org/22/items/192425/1924-25.pdf#page=22</v>
      </c>
      <c r="P35" s="27" t="str">
        <f>'AL post'!AH34&amp;"; "&amp;'AL post'!AI34</f>
        <v>https://ia601501.us.archive.org/22/items/192425/1924-25.pdf#page=17; https://ia601501.us.archive.org/22/items/192425/1924-25.pdf#page=22</v>
      </c>
      <c r="Q35" s="7" t="str">
        <f>'AL post'!AJ34&amp;"; "&amp;'AL post'!AK34</f>
        <v>https://ia601501.us.archive.org/22/items/192425/1924-25.pdf#page=17; https://ia601501.us.archive.org/22/items/192425/1924-25.pdf#page=22</v>
      </c>
      <c r="R35" s="7" t="str">
        <f>'AL post'!AL34&amp;"; "&amp;'AL post'!AM34</f>
        <v>https://babel.hathitrust.org/cgi/pt?id=mdp.39015076547101;view=1up;seq=123; https://ia601501.us.archive.org/22/items/192425/1924-25.pdf#page=23</v>
      </c>
      <c r="S35" s="7" t="str">
        <f>'AL post'!AN34&amp;"; "&amp;'AL post'!AO34</f>
        <v>https://ia601501.us.archive.org/22/items/192425/1924-25.pdf#page=21; https://ia601501.us.archive.org/22/items/192425/1924-25.pdf#page=24</v>
      </c>
      <c r="T35" s="7" t="str">
        <f>'AL post'!AP34</f>
        <v>https://ia601501.us.archive.org/22/items/192425/1924-25.pdf#page=21</v>
      </c>
      <c r="U35" s="7" t="str">
        <f>'AL post'!AQ34</f>
        <v>https://ia601501.us.archive.org/22/items/192425/1924-25.pdf#page=21</v>
      </c>
    </row>
    <row r="36" spans="1:21" x14ac:dyDescent="0.25">
      <c r="A36" s="27" t="s">
        <v>619</v>
      </c>
      <c r="B36" s="27" t="str">
        <f t="shared" si="0"/>
        <v>Alabama</v>
      </c>
      <c r="C36" s="27" t="str">
        <f t="shared" si="1"/>
        <v>Henry</v>
      </c>
      <c r="D36" s="27">
        <f>'AL post'!F35</f>
        <v>2826</v>
      </c>
      <c r="E36" s="27">
        <f>'AL post'!I35</f>
        <v>116</v>
      </c>
      <c r="F36" s="97">
        <f>'AL post'!L35</f>
        <v>126.76645435244161</v>
      </c>
      <c r="G36" s="27">
        <f>'AL post'!O35</f>
        <v>2229</v>
      </c>
      <c r="H36" s="115">
        <f>'AL post'!R35</f>
        <v>84.87913968384693</v>
      </c>
      <c r="I36" s="29">
        <f>'AL post'!U35</f>
        <v>119226</v>
      </c>
      <c r="J36" s="27">
        <v>57</v>
      </c>
      <c r="K36" s="2">
        <f>'AL post'!AA35</f>
        <v>152475</v>
      </c>
      <c r="L36" s="41">
        <v>1925</v>
      </c>
      <c r="M36" s="27" t="s">
        <v>552</v>
      </c>
      <c r="N36" s="27" t="str">
        <f>'AL post'!AD35&amp;"; "&amp;'AL post'!AE35</f>
        <v>https://ia601501.us.archive.org/22/items/192425/1924-25.pdf#page=17; https://ia601501.us.archive.org/22/items/192425/1924-25.pdf#page=22</v>
      </c>
      <c r="O36" s="27" t="str">
        <f>'AL post'!AF35&amp;"; "&amp;'AL post'!AG35</f>
        <v>https://ia601501.us.archive.org/22/items/192425/1924-25.pdf#page=17; https://ia601501.us.archive.org/22/items/192425/1924-25.pdf#page=22</v>
      </c>
      <c r="P36" s="27" t="str">
        <f>'AL post'!AH35&amp;"; "&amp;'AL post'!AI35</f>
        <v>https://ia601501.us.archive.org/22/items/192425/1924-25.pdf#page=17; https://ia601501.us.archive.org/22/items/192425/1924-25.pdf#page=22</v>
      </c>
      <c r="Q36" s="7" t="str">
        <f>'AL post'!AJ35&amp;"; "&amp;'AL post'!AK35</f>
        <v>https://ia601501.us.archive.org/22/items/192425/1924-25.pdf#page=17; https://ia601501.us.archive.org/22/items/192425/1924-25.pdf#page=22</v>
      </c>
      <c r="R36" s="7" t="str">
        <f>'AL post'!AL35&amp;"; "&amp;'AL post'!AM35</f>
        <v>https://babel.hathitrust.org/cgi/pt?id=mdp.39015076547101;view=1up;seq=123; https://ia601501.us.archive.org/22/items/192425/1924-25.pdf#page=23</v>
      </c>
      <c r="S36" s="7" t="str">
        <f>'AL post'!AN35&amp;"; "&amp;'AL post'!AO35</f>
        <v>https://ia601501.us.archive.org/22/items/192425/1924-25.pdf#page=21; https://ia601501.us.archive.org/22/items/192425/1924-25.pdf#page=24</v>
      </c>
      <c r="T36" s="7" t="str">
        <f>'AL post'!AP35</f>
        <v>https://ia601501.us.archive.org/22/items/192425/1924-25.pdf#page=21</v>
      </c>
      <c r="U36" s="7" t="str">
        <f>'AL post'!AQ35</f>
        <v>https://ia601501.us.archive.org/22/items/192425/1924-25.pdf#page=21</v>
      </c>
    </row>
    <row r="37" spans="1:21" x14ac:dyDescent="0.25">
      <c r="A37" s="27" t="s">
        <v>620</v>
      </c>
      <c r="B37" s="27" t="str">
        <f t="shared" si="0"/>
        <v>Alabama</v>
      </c>
      <c r="C37" s="27" t="str">
        <f t="shared" si="1"/>
        <v>Houston</v>
      </c>
      <c r="D37" s="27">
        <f>'AL post'!F36</f>
        <v>7133</v>
      </c>
      <c r="E37" s="27">
        <f>'AL post'!I36</f>
        <v>228</v>
      </c>
      <c r="F37" s="97">
        <f>'AL post'!L36</f>
        <v>125.78003645030141</v>
      </c>
      <c r="G37" s="27">
        <f>'AL post'!O36</f>
        <v>10540</v>
      </c>
      <c r="H37" s="115">
        <f>'AL post'!R36</f>
        <v>83.318663733607124</v>
      </c>
      <c r="I37" s="29">
        <f>'AL post'!U36</f>
        <v>164799</v>
      </c>
      <c r="J37" s="27">
        <v>103</v>
      </c>
      <c r="K37" s="2">
        <f>'AL post'!AA36</f>
        <v>551299</v>
      </c>
      <c r="L37" s="41">
        <v>1925</v>
      </c>
      <c r="M37" s="27" t="s">
        <v>552</v>
      </c>
      <c r="N37" s="27" t="str">
        <f>'AL post'!AD36&amp;"; "&amp;'AL post'!AE36</f>
        <v>https://ia601501.us.archive.org/22/items/192425/1924-25.pdf#page=25; https://ia601501.us.archive.org/22/items/192425/1924-25.pdf#page=29</v>
      </c>
      <c r="O37" s="27" t="str">
        <f>'AL post'!AF36&amp;"; "&amp;'AL post'!AG36</f>
        <v>https://ia601501.us.archive.org/22/items/192425/1924-25.pdf#page=25; https://ia601501.us.archive.org/22/items/192425/1924-25.pdf#page=29</v>
      </c>
      <c r="P37" s="27" t="str">
        <f>'AL post'!AH36&amp;"; "&amp;'AL post'!AI36</f>
        <v>https://ia601501.us.archive.org/22/items/192425/1924-25.pdf#page=25; https://ia601501.us.archive.org/22/items/192425/1924-25.pdf#page=29</v>
      </c>
      <c r="Q37" s="7" t="str">
        <f>'AL post'!AJ36&amp;"; "&amp;'AL post'!AK36</f>
        <v>https://ia601501.us.archive.org/22/items/192425/1924-25.pdf#page=25; https://ia601501.us.archive.org/22/items/192425/1924-25.pdf#page=29</v>
      </c>
      <c r="R37" s="7" t="str">
        <f>'AL post'!AL36&amp;"; "&amp;'AL post'!AM36</f>
        <v>https://babel.hathitrust.org/cgi/pt?id=mdp.39015076547101;view=1up;seq=139; https://ia601501.us.archive.org/22/items/192425/1924-25.pdf#page=30</v>
      </c>
      <c r="S37" s="7" t="str">
        <f>'AL post'!AN36&amp;"; "&amp;'AL post'!AO36</f>
        <v>https://ia601501.us.archive.org/22/items/192425/1924-25.pdf#page=28; https://ia601501.us.archive.org/22/items/192425/1924-25.pdf#page=31</v>
      </c>
      <c r="T37" s="7" t="str">
        <f>'AL post'!AP36</f>
        <v>https://ia601501.us.archive.org/22/items/192425/1924-25.pdf#page=28</v>
      </c>
      <c r="U37" s="7" t="str">
        <f>'AL post'!AQ36</f>
        <v>https://ia601501.us.archive.org/22/items/192425/1924-25.pdf#page=28</v>
      </c>
    </row>
    <row r="38" spans="1:21" x14ac:dyDescent="0.25">
      <c r="A38" s="27" t="s">
        <v>621</v>
      </c>
      <c r="B38" s="27" t="str">
        <f t="shared" si="0"/>
        <v>Alabama</v>
      </c>
      <c r="C38" s="27" t="str">
        <f t="shared" si="1"/>
        <v>Jackson</v>
      </c>
      <c r="D38" s="27">
        <f>'AL post'!F37</f>
        <v>6937</v>
      </c>
      <c r="E38" s="27">
        <f>'AL post'!I37</f>
        <v>220</v>
      </c>
      <c r="F38" s="97">
        <f>'AL post'!L37</f>
        <v>107.39310941329104</v>
      </c>
      <c r="G38" s="27">
        <f>'AL post'!O37</f>
        <v>9412</v>
      </c>
      <c r="H38" s="115">
        <f>'AL post'!R37</f>
        <v>89.348038144951104</v>
      </c>
      <c r="I38" s="29">
        <f>'AL post'!U37</f>
        <v>175037</v>
      </c>
      <c r="J38" s="27">
        <v>122</v>
      </c>
      <c r="K38" s="2">
        <f>'AL post'!AA37</f>
        <v>396350</v>
      </c>
      <c r="L38" s="41">
        <v>1925</v>
      </c>
      <c r="M38" s="27" t="s">
        <v>552</v>
      </c>
      <c r="N38" s="27" t="str">
        <f>'AL post'!AD37&amp;"; "&amp;'AL post'!AE37</f>
        <v>https://ia601501.us.archive.org/22/items/192425/1924-25.pdf#page=25; https://ia601501.us.archive.org/22/items/192425/1924-25.pdf#page=29</v>
      </c>
      <c r="O38" s="27" t="str">
        <f>'AL post'!AF37&amp;"; "&amp;'AL post'!AG37</f>
        <v>https://ia601501.us.archive.org/22/items/192425/1924-25.pdf#page=25; https://ia601501.us.archive.org/22/items/192425/1924-25.pdf#page=29</v>
      </c>
      <c r="P38" s="27" t="str">
        <f>'AL post'!AH37&amp;"; "&amp;'AL post'!AI37</f>
        <v>https://ia601501.us.archive.org/22/items/192425/1924-25.pdf#page=25; https://ia601501.us.archive.org/22/items/192425/1924-25.pdf#page=29</v>
      </c>
      <c r="Q38" s="7" t="str">
        <f>'AL post'!AJ37&amp;"; "&amp;'AL post'!AK37</f>
        <v>https://ia601501.us.archive.org/22/items/192425/1924-25.pdf#page=25; https://ia601501.us.archive.org/22/items/192425/1924-25.pdf#page=29</v>
      </c>
      <c r="R38" s="7" t="str">
        <f>'AL post'!AL37&amp;"; "&amp;'AL post'!AM37</f>
        <v>https://babel.hathitrust.org/cgi/pt?id=mdp.39015076547101;view=1up;seq=139; https://ia601501.us.archive.org/22/items/192425/1924-25.pdf#page=30</v>
      </c>
      <c r="S38" s="7" t="str">
        <f>'AL post'!AN37&amp;"; "&amp;'AL post'!AO37</f>
        <v>https://ia601501.us.archive.org/22/items/192425/1924-25.pdf#page=28; https://ia601501.us.archive.org/22/items/192425/1924-25.pdf#page=31</v>
      </c>
      <c r="T38" s="7" t="str">
        <f>'AL post'!AP37</f>
        <v>https://ia601501.us.archive.org/22/items/192425/1924-25.pdf#page=28</v>
      </c>
      <c r="U38" s="7" t="str">
        <f>'AL post'!AQ37</f>
        <v>https://ia601501.us.archive.org/22/items/192425/1924-25.pdf#page=28</v>
      </c>
    </row>
    <row r="39" spans="1:21" x14ac:dyDescent="0.25">
      <c r="A39" s="27" t="s">
        <v>622</v>
      </c>
      <c r="B39" s="27" t="str">
        <f t="shared" si="0"/>
        <v>Alabama</v>
      </c>
      <c r="C39" s="27" t="str">
        <f t="shared" si="1"/>
        <v>Jefferson</v>
      </c>
      <c r="D39" s="27">
        <f>'AL post'!F38</f>
        <v>65810</v>
      </c>
      <c r="E39" s="27">
        <f>'AL post'!I38</f>
        <v>1951</v>
      </c>
      <c r="F39" s="97">
        <f>'AL post'!L38</f>
        <v>216.71666919920986</v>
      </c>
      <c r="G39" s="27">
        <f>'AL post'!O38</f>
        <v>83550</v>
      </c>
      <c r="H39" s="115">
        <f>'AL post'!R38</f>
        <v>100.04630364409151</v>
      </c>
      <c r="I39" s="29">
        <f>'AL post'!U38</f>
        <v>3517671</v>
      </c>
      <c r="J39" s="27">
        <v>315</v>
      </c>
      <c r="K39" s="2">
        <f>'AL post'!AA38</f>
        <v>10712575</v>
      </c>
      <c r="L39" s="41">
        <v>1925</v>
      </c>
      <c r="M39" s="27" t="s">
        <v>552</v>
      </c>
      <c r="N39" s="27" t="str">
        <f>'AL post'!AD38&amp;"; "&amp;'AL post'!AE38</f>
        <v>https://ia601501.us.archive.org/22/items/192425/1924-25.pdf#page=25; https://ia601501.us.archive.org/22/items/192425/1924-25.pdf#page=29</v>
      </c>
      <c r="O39" s="27" t="str">
        <f>'AL post'!AF38&amp;"; "&amp;'AL post'!AG38</f>
        <v>https://ia601501.us.archive.org/22/items/192425/1924-25.pdf#page=25; https://ia601501.us.archive.org/22/items/192425/1924-25.pdf#page=29</v>
      </c>
      <c r="P39" s="27" t="str">
        <f>'AL post'!AH38&amp;"; "&amp;'AL post'!AI38</f>
        <v>https://ia601501.us.archive.org/22/items/192425/1924-25.pdf#page=25; https://ia601501.us.archive.org/22/items/192425/1924-25.pdf#page=29</v>
      </c>
      <c r="Q39" s="7" t="str">
        <f>'AL post'!AJ38&amp;"; "&amp;'AL post'!AK38</f>
        <v>https://ia601501.us.archive.org/22/items/192425/1924-25.pdf#page=25; https://ia601501.us.archive.org/22/items/192425/1924-25.pdf#page=29</v>
      </c>
      <c r="R39" s="7" t="str">
        <f>'AL post'!AL38&amp;"; "&amp;'AL post'!AM38</f>
        <v>https://babel.hathitrust.org/cgi/pt?id=mdp.39015076547101;view=1up;seq=139; https://ia601501.us.archive.org/22/items/192425/1924-25.pdf#page=30</v>
      </c>
      <c r="S39" s="7" t="str">
        <f>'AL post'!AN38&amp;"; "&amp;'AL post'!AO38</f>
        <v>https://ia601501.us.archive.org/22/items/192425/1924-25.pdf#page=28; https://ia601501.us.archive.org/22/items/192425/1924-25.pdf#page=31</v>
      </c>
      <c r="T39" s="7" t="str">
        <f>'AL post'!AP38</f>
        <v>https://ia601501.us.archive.org/22/items/192425/1924-25.pdf#page=28</v>
      </c>
      <c r="U39" s="7" t="str">
        <f>'AL post'!AQ38</f>
        <v>https://ia601501.us.archive.org/22/items/192425/1924-25.pdf#page=28</v>
      </c>
    </row>
    <row r="40" spans="1:21" x14ac:dyDescent="0.25">
      <c r="A40" s="27" t="s">
        <v>623</v>
      </c>
      <c r="B40" s="27" t="str">
        <f t="shared" si="0"/>
        <v>Alabama</v>
      </c>
      <c r="C40" s="27" t="str">
        <f t="shared" si="1"/>
        <v>Lamar/Sanford</v>
      </c>
      <c r="D40" s="27">
        <f>'AL post'!F39</f>
        <v>3728</v>
      </c>
      <c r="E40" s="27">
        <f>'AL post'!I39</f>
        <v>167</v>
      </c>
      <c r="F40" s="97">
        <f>'AL post'!L39</f>
        <v>106.1756974248927</v>
      </c>
      <c r="G40" s="27">
        <f>'AL post'!O39</f>
        <v>5214</v>
      </c>
      <c r="H40" s="115">
        <f>'AL post'!R39</f>
        <v>69.743172116745285</v>
      </c>
      <c r="I40" s="29">
        <f>'AL post'!U39</f>
        <v>111486</v>
      </c>
      <c r="J40" s="27">
        <v>87</v>
      </c>
      <c r="K40" s="2">
        <f>'AL post'!AA39</f>
        <v>176100</v>
      </c>
      <c r="L40" s="41">
        <v>1925</v>
      </c>
      <c r="M40" s="27" t="s">
        <v>552</v>
      </c>
      <c r="N40" s="27" t="str">
        <f>'AL post'!AD39&amp;"; "&amp;'AL post'!AE39</f>
        <v>https://ia601501.us.archive.org/22/items/192425/1924-25.pdf#page=25; https://ia601501.us.archive.org/22/items/192425/1924-25.pdf#page=29</v>
      </c>
      <c r="O40" s="27" t="str">
        <f>'AL post'!AF39&amp;"; "&amp;'AL post'!AG39</f>
        <v>https://ia601501.us.archive.org/22/items/192425/1924-25.pdf#page=25; https://ia601501.us.archive.org/22/items/192425/1924-25.pdf#page=29</v>
      </c>
      <c r="P40" s="27" t="str">
        <f>'AL post'!AH39&amp;"; "&amp;'AL post'!AI39</f>
        <v>https://ia601501.us.archive.org/22/items/192425/1924-25.pdf#page=25; https://ia601501.us.archive.org/22/items/192425/1924-25.pdf#page=29</v>
      </c>
      <c r="Q40" s="7" t="str">
        <f>'AL post'!AJ39&amp;"; "&amp;'AL post'!AK39</f>
        <v>https://ia601501.us.archive.org/22/items/192425/1924-25.pdf#page=25; https://ia601501.us.archive.org/22/items/192425/1924-25.pdf#page=29</v>
      </c>
      <c r="R40" s="7" t="str">
        <f>'AL post'!AL39&amp;"; "&amp;'AL post'!AM39</f>
        <v>https://babel.hathitrust.org/cgi/pt?id=mdp.39015076547101;view=1up;seq=139; https://ia601501.us.archive.org/22/items/192425/1924-25.pdf#page=30</v>
      </c>
      <c r="S40" s="7" t="str">
        <f>'AL post'!AN39&amp;"; "&amp;'AL post'!AO39</f>
        <v>https://ia601501.us.archive.org/22/items/192425/1924-25.pdf#page=28; https://ia601501.us.archive.org/22/items/192425/1924-25.pdf#page=31</v>
      </c>
      <c r="T40" s="7" t="str">
        <f>'AL post'!AP39</f>
        <v>https://ia601501.us.archive.org/22/items/192425/1924-25.pdf#page=28</v>
      </c>
      <c r="U40" s="7" t="str">
        <f>'AL post'!AQ39</f>
        <v>https://ia601501.us.archive.org/22/items/192425/1924-25.pdf#page=28</v>
      </c>
    </row>
    <row r="41" spans="1:21" x14ac:dyDescent="0.25">
      <c r="A41" s="27" t="s">
        <v>624</v>
      </c>
      <c r="B41" s="27" t="str">
        <f t="shared" si="0"/>
        <v>Alabama</v>
      </c>
      <c r="C41" s="27" t="str">
        <f t="shared" si="1"/>
        <v>Lauderdale</v>
      </c>
      <c r="D41" s="27">
        <f>'AL post'!F40</f>
        <v>7478</v>
      </c>
      <c r="E41" s="27">
        <f>'AL post'!I40</f>
        <v>261</v>
      </c>
      <c r="F41" s="97">
        <f>'AL post'!L40</f>
        <v>138.33511634126771</v>
      </c>
      <c r="G41" s="27">
        <f>'AL post'!O40</f>
        <v>10976</v>
      </c>
      <c r="H41" s="115">
        <f>'AL post'!R40</f>
        <v>79.513169847613312</v>
      </c>
      <c r="I41" s="29">
        <f>'AL post'!U40</f>
        <v>204285</v>
      </c>
      <c r="J41" s="27">
        <v>110</v>
      </c>
      <c r="K41" s="2">
        <f>'AL post'!AA40</f>
        <v>1109393</v>
      </c>
      <c r="L41" s="41">
        <v>1925</v>
      </c>
      <c r="M41" s="27" t="s">
        <v>552</v>
      </c>
      <c r="N41" s="27" t="str">
        <f>'AL post'!AD40&amp;"; "&amp;'AL post'!AE40</f>
        <v>https://ia601501.us.archive.org/22/items/192425/1924-25.pdf#page=25; https://ia601501.us.archive.org/22/items/192425/1924-25.pdf#page=29</v>
      </c>
      <c r="O41" s="27" t="str">
        <f>'AL post'!AF40&amp;"; "&amp;'AL post'!AG40</f>
        <v>https://ia601501.us.archive.org/22/items/192425/1924-25.pdf#page=25; https://ia601501.us.archive.org/22/items/192425/1924-25.pdf#page=29</v>
      </c>
      <c r="P41" s="27" t="str">
        <f>'AL post'!AH40&amp;"; "&amp;'AL post'!AI40</f>
        <v>https://ia601501.us.archive.org/22/items/192425/1924-25.pdf#page=25; https://ia601501.us.archive.org/22/items/192425/1924-25.pdf#page=29</v>
      </c>
      <c r="Q41" s="7" t="str">
        <f>'AL post'!AJ40&amp;"; "&amp;'AL post'!AK40</f>
        <v>https://ia601501.us.archive.org/22/items/192425/1924-25.pdf#page=25; https://ia601501.us.archive.org/22/items/192425/1924-25.pdf#page=29</v>
      </c>
      <c r="R41" s="7" t="str">
        <f>'AL post'!AL40&amp;"; "&amp;'AL post'!AM40</f>
        <v>https://babel.hathitrust.org/cgi/pt?id=mdp.39015076547101;view=1up;seq=139; https://ia601501.us.archive.org/22/items/192425/1924-25.pdf#page=30</v>
      </c>
      <c r="S41" s="7" t="str">
        <f>'AL post'!AN40&amp;"; "&amp;'AL post'!AO40</f>
        <v>https://ia601501.us.archive.org/22/items/192425/1924-25.pdf#page=28; https://ia601501.us.archive.org/22/items/192425/1924-25.pdf#page=31</v>
      </c>
      <c r="T41" s="7" t="str">
        <f>'AL post'!AP40</f>
        <v>https://ia601501.us.archive.org/22/items/192425/1924-25.pdf#page=28</v>
      </c>
      <c r="U41" s="7" t="str">
        <f>'AL post'!AQ40</f>
        <v>https://ia601501.us.archive.org/22/items/192425/1924-25.pdf#page=28</v>
      </c>
    </row>
    <row r="42" spans="1:21" x14ac:dyDescent="0.25">
      <c r="A42" s="27" t="s">
        <v>625</v>
      </c>
      <c r="B42" s="27" t="str">
        <f t="shared" si="0"/>
        <v>Alabama</v>
      </c>
      <c r="C42" s="27" t="str">
        <f t="shared" si="1"/>
        <v>Lawrence</v>
      </c>
      <c r="D42" s="27">
        <f>'AL post'!F41</f>
        <v>4348</v>
      </c>
      <c r="E42" s="27">
        <f>'AL post'!I41</f>
        <v>200</v>
      </c>
      <c r="F42" s="97">
        <f>'AL post'!L41</f>
        <v>110.01724931002759</v>
      </c>
      <c r="G42" s="27">
        <f>'AL post'!O41</f>
        <v>6632</v>
      </c>
      <c r="H42" s="115">
        <f>'AL post'!R41</f>
        <v>70.399869552947081</v>
      </c>
      <c r="I42" s="29">
        <f>'AL post'!U41</f>
        <v>101669</v>
      </c>
      <c r="J42" s="27">
        <v>99</v>
      </c>
      <c r="K42" s="2">
        <f>'AL post'!AA41</f>
        <v>256490</v>
      </c>
      <c r="L42" s="41">
        <v>1925</v>
      </c>
      <c r="M42" s="27" t="s">
        <v>552</v>
      </c>
      <c r="N42" s="27" t="str">
        <f>'AL post'!AD41&amp;"; "&amp;'AL post'!AE41</f>
        <v>https://ia601501.us.archive.org/22/items/192425/1924-25.pdf#page=25; https://ia601501.us.archive.org/22/items/192425/1924-25.pdf#page=29</v>
      </c>
      <c r="O42" s="27" t="str">
        <f>'AL post'!AF41&amp;"; "&amp;'AL post'!AG41</f>
        <v>https://ia601501.us.archive.org/22/items/192425/1924-25.pdf#page=25; https://ia601501.us.archive.org/22/items/192425/1924-25.pdf#page=29</v>
      </c>
      <c r="P42" s="27" t="str">
        <f>'AL post'!AH41&amp;"; "&amp;'AL post'!AI41</f>
        <v>https://ia601501.us.archive.org/22/items/192425/1924-25.pdf#page=25; https://ia601501.us.archive.org/22/items/192425/1924-25.pdf#page=29</v>
      </c>
      <c r="Q42" s="7" t="str">
        <f>'AL post'!AJ41&amp;"; "&amp;'AL post'!AK41</f>
        <v>https://ia601501.us.archive.org/22/items/192425/1924-25.pdf#page=25; https://ia601501.us.archive.org/22/items/192425/1924-25.pdf#page=29</v>
      </c>
      <c r="R42" s="7" t="str">
        <f>'AL post'!AL41&amp;"; "&amp;'AL post'!AM41</f>
        <v>https://babel.hathitrust.org/cgi/pt?id=mdp.39015076547101;view=1up;seq=139; https://ia601501.us.archive.org/22/items/192425/1924-25.pdf#page=30</v>
      </c>
      <c r="S42" s="7" t="str">
        <f>'AL post'!AN41&amp;"; "&amp;'AL post'!AO41</f>
        <v>https://ia601501.us.archive.org/22/items/192425/1924-25.pdf#page=28; https://ia601501.us.archive.org/22/items/192425/1924-25.pdf#page=31</v>
      </c>
      <c r="T42" s="7" t="str">
        <f>'AL post'!AP41</f>
        <v>https://ia601501.us.archive.org/22/items/192425/1924-25.pdf#page=28</v>
      </c>
      <c r="U42" s="7" t="str">
        <f>'AL post'!AQ41</f>
        <v>https://ia601501.us.archive.org/22/items/192425/1924-25.pdf#page=28</v>
      </c>
    </row>
    <row r="43" spans="1:21" x14ac:dyDescent="0.25">
      <c r="A43" s="27" t="s">
        <v>626</v>
      </c>
      <c r="B43" s="27" t="str">
        <f t="shared" si="0"/>
        <v>Alabama</v>
      </c>
      <c r="C43" s="27" t="str">
        <f t="shared" si="1"/>
        <v>Lee</v>
      </c>
      <c r="D43" s="27">
        <f>'AL post'!F42</f>
        <v>5931</v>
      </c>
      <c r="E43" s="27">
        <f>'AL post'!I42</f>
        <v>189</v>
      </c>
      <c r="F43" s="97">
        <f>'AL post'!L42</f>
        <v>134.87523183274322</v>
      </c>
      <c r="G43" s="27">
        <f>'AL post'!O42</f>
        <v>8702</v>
      </c>
      <c r="H43" s="115">
        <f>'AL post'!R42</f>
        <v>73.354881243323561</v>
      </c>
      <c r="I43" s="29">
        <f>'AL post'!U42</f>
        <v>163964</v>
      </c>
      <c r="J43" s="27">
        <v>76</v>
      </c>
      <c r="K43" s="2">
        <f>'AL post'!AA42</f>
        <v>362656</v>
      </c>
      <c r="L43" s="41">
        <v>1925</v>
      </c>
      <c r="M43" s="27" t="s">
        <v>552</v>
      </c>
      <c r="N43" s="27" t="str">
        <f>'AL post'!AD42&amp;"; "&amp;'AL post'!AE42</f>
        <v>https://ia601501.us.archive.org/22/items/192425/1924-25.pdf#page=25; https://ia601501.us.archive.org/22/items/192425/1924-25.pdf#page=29</v>
      </c>
      <c r="O43" s="27" t="str">
        <f>'AL post'!AF42&amp;"; "&amp;'AL post'!AG42</f>
        <v>https://ia601501.us.archive.org/22/items/192425/1924-25.pdf#page=25; https://ia601501.us.archive.org/22/items/192425/1924-25.pdf#page=29</v>
      </c>
      <c r="P43" s="27" t="str">
        <f>'AL post'!AH42&amp;"; "&amp;'AL post'!AI42</f>
        <v>https://ia601501.us.archive.org/22/items/192425/1924-25.pdf#page=25; https://ia601501.us.archive.org/22/items/192425/1924-25.pdf#page=29</v>
      </c>
      <c r="Q43" s="7" t="str">
        <f>'AL post'!AJ42&amp;"; "&amp;'AL post'!AK42</f>
        <v>https://ia601501.us.archive.org/22/items/192425/1924-25.pdf#page=25; https://ia601501.us.archive.org/22/items/192425/1924-25.pdf#page=29</v>
      </c>
      <c r="R43" s="7" t="str">
        <f>'AL post'!AL42&amp;"; "&amp;'AL post'!AM42</f>
        <v>https://babel.hathitrust.org/cgi/pt?id=mdp.39015076547101;view=1up;seq=139; https://ia601501.us.archive.org/22/items/192425/1924-25.pdf#page=30</v>
      </c>
      <c r="S43" s="7" t="str">
        <f>'AL post'!AN42&amp;"; "&amp;'AL post'!AO42</f>
        <v>https://ia601501.us.archive.org/22/items/192425/1924-25.pdf#page=28; https://ia601501.us.archive.org/22/items/192425/1924-25.pdf#page=31</v>
      </c>
      <c r="T43" s="7" t="str">
        <f>'AL post'!AP42</f>
        <v>https://ia601501.us.archive.org/22/items/192425/1924-25.pdf#page=28</v>
      </c>
      <c r="U43" s="7" t="str">
        <f>'AL post'!AQ42</f>
        <v>https://ia601501.us.archive.org/22/items/192425/1924-25.pdf#page=28</v>
      </c>
    </row>
    <row r="44" spans="1:21" x14ac:dyDescent="0.25">
      <c r="A44" s="27" t="s">
        <v>627</v>
      </c>
      <c r="B44" s="27" t="str">
        <f t="shared" si="0"/>
        <v>Alabama</v>
      </c>
      <c r="C44" s="27" t="str">
        <f t="shared" si="1"/>
        <v>Limestone</v>
      </c>
      <c r="D44" s="27">
        <f>'AL post'!F43</f>
        <v>6656</v>
      </c>
      <c r="E44" s="27">
        <f>'AL post'!I43</f>
        <v>223</v>
      </c>
      <c r="F44" s="97">
        <f>'AL post'!L43</f>
        <v>95.74459134615384</v>
      </c>
      <c r="G44" s="27">
        <f>'AL post'!O43</f>
        <v>8986</v>
      </c>
      <c r="H44" s="115">
        <f>'AL post'!R43</f>
        <v>62.776321764352573</v>
      </c>
      <c r="I44" s="29">
        <f>'AL post'!U43</f>
        <v>153466</v>
      </c>
      <c r="J44" s="27">
        <v>102</v>
      </c>
      <c r="K44" s="2">
        <f>'AL post'!AA43</f>
        <v>577597</v>
      </c>
      <c r="L44" s="41">
        <v>1925</v>
      </c>
      <c r="M44" s="27" t="s">
        <v>552</v>
      </c>
      <c r="N44" s="27" t="str">
        <f>'AL post'!AD43&amp;"; "&amp;'AL post'!AE43</f>
        <v>https://ia601501.us.archive.org/22/items/192425/1924-25.pdf#page=25; https://ia601501.us.archive.org/22/items/192425/1924-25.pdf#page=29</v>
      </c>
      <c r="O44" s="27" t="str">
        <f>'AL post'!AF43&amp;"; "&amp;'AL post'!AG43</f>
        <v>https://ia601501.us.archive.org/22/items/192425/1924-25.pdf#page=25; https://ia601501.us.archive.org/22/items/192425/1924-25.pdf#page=29</v>
      </c>
      <c r="P44" s="27" t="str">
        <f>'AL post'!AH43&amp;"; "&amp;'AL post'!AI43</f>
        <v>https://ia601501.us.archive.org/22/items/192425/1924-25.pdf#page=25; https://ia601501.us.archive.org/22/items/192425/1924-25.pdf#page=29</v>
      </c>
      <c r="Q44" s="7" t="str">
        <f>'AL post'!AJ43&amp;"; "&amp;'AL post'!AK43</f>
        <v>https://ia601501.us.archive.org/22/items/192425/1924-25.pdf#page=25; https://ia601501.us.archive.org/22/items/192425/1924-25.pdf#page=29</v>
      </c>
      <c r="R44" s="7" t="str">
        <f>'AL post'!AL43&amp;"; "&amp;'AL post'!AM43</f>
        <v>https://babel.hathitrust.org/cgi/pt?id=mdp.39015076547101;view=1up;seq=139; https://ia601501.us.archive.org/22/items/192425/1924-25.pdf#page=30</v>
      </c>
      <c r="S44" s="7" t="str">
        <f>'AL post'!AN43&amp;"; "&amp;'AL post'!AO43</f>
        <v>https://ia601501.us.archive.org/22/items/192425/1924-25.pdf#page=28; https://ia601501.us.archive.org/22/items/192425/1924-25.pdf#page=31</v>
      </c>
      <c r="T44" s="7" t="str">
        <f>'AL post'!AP43</f>
        <v>https://ia601501.us.archive.org/22/items/192425/1924-25.pdf#page=28</v>
      </c>
      <c r="U44" s="7" t="str">
        <f>'AL post'!AQ43</f>
        <v>https://ia601501.us.archive.org/22/items/192425/1924-25.pdf#page=28</v>
      </c>
    </row>
    <row r="45" spans="1:21" x14ac:dyDescent="0.25">
      <c r="A45" s="27" t="s">
        <v>628</v>
      </c>
      <c r="B45" s="27" t="str">
        <f t="shared" si="0"/>
        <v>Alabama</v>
      </c>
      <c r="C45" s="27" t="str">
        <f t="shared" si="1"/>
        <v>Lowndes</v>
      </c>
      <c r="D45" s="27">
        <f>'AL post'!F44</f>
        <v>3704</v>
      </c>
      <c r="E45" s="27">
        <f>'AL post'!I44</f>
        <v>139</v>
      </c>
      <c r="F45" s="97">
        <f>'AL post'!L44</f>
        <v>110.43196544276458</v>
      </c>
      <c r="G45" s="27">
        <f>'AL post'!O44</f>
        <v>4977</v>
      </c>
      <c r="H45" s="115">
        <f>'AL post'!R44</f>
        <v>73.512496711021555</v>
      </c>
      <c r="I45" s="29">
        <f>'AL post'!U44</f>
        <v>103860</v>
      </c>
      <c r="J45" s="27">
        <v>91</v>
      </c>
      <c r="K45" s="2">
        <f>'AL post'!AA44</f>
        <v>51161</v>
      </c>
      <c r="L45" s="41">
        <v>1925</v>
      </c>
      <c r="M45" s="27" t="s">
        <v>552</v>
      </c>
      <c r="N45" s="27" t="str">
        <f>'AL post'!AD44&amp;"; "&amp;'AL post'!AE44</f>
        <v>https://ia601501.us.archive.org/22/items/192425/1924-25.pdf#page=25; https://ia601501.us.archive.org/22/items/192425/1924-25.pdf#page=29</v>
      </c>
      <c r="O45" s="27" t="str">
        <f>'AL post'!AF44&amp;"; "&amp;'AL post'!AG44</f>
        <v>https://ia601501.us.archive.org/22/items/192425/1924-25.pdf#page=25; https://ia601501.us.archive.org/22/items/192425/1924-25.pdf#page=29</v>
      </c>
      <c r="P45" s="27" t="str">
        <f>'AL post'!AH44&amp;"; "&amp;'AL post'!AI44</f>
        <v>https://ia601501.us.archive.org/22/items/192425/1924-25.pdf#page=25; https://ia601501.us.archive.org/22/items/192425/1924-25.pdf#page=29</v>
      </c>
      <c r="Q45" s="7" t="str">
        <f>'AL post'!AJ44&amp;"; "&amp;'AL post'!AK44</f>
        <v>https://ia601501.us.archive.org/22/items/192425/1924-25.pdf#page=25; https://ia601501.us.archive.org/22/items/192425/1924-25.pdf#page=29</v>
      </c>
      <c r="R45" s="7" t="str">
        <f>'AL post'!AL44&amp;"; "&amp;'AL post'!AM44</f>
        <v>https://babel.hathitrust.org/cgi/pt?id=mdp.39015076547101;view=1up;seq=139; https://ia601501.us.archive.org/22/items/192425/1924-25.pdf#page=30</v>
      </c>
      <c r="S45" s="7" t="str">
        <f>'AL post'!AN44&amp;"; "&amp;'AL post'!AO44</f>
        <v>https://ia601501.us.archive.org/22/items/192425/1924-25.pdf#page=28; https://ia601501.us.archive.org/22/items/192425/1924-25.pdf#page=31</v>
      </c>
      <c r="T45" s="7" t="str">
        <f>'AL post'!AP44</f>
        <v>https://ia601501.us.archive.org/22/items/192425/1924-25.pdf#page=28</v>
      </c>
      <c r="U45" s="7" t="str">
        <f>'AL post'!AQ44</f>
        <v>https://ia601501.us.archive.org/22/items/192425/1924-25.pdf#page=28</v>
      </c>
    </row>
    <row r="46" spans="1:21" x14ac:dyDescent="0.25">
      <c r="A46" s="27" t="s">
        <v>629</v>
      </c>
      <c r="B46" s="27" t="str">
        <f t="shared" si="0"/>
        <v>Alabama</v>
      </c>
      <c r="C46" s="27" t="str">
        <f t="shared" si="1"/>
        <v>Macon</v>
      </c>
      <c r="D46" s="27">
        <f>'AL post'!F45</f>
        <v>5281</v>
      </c>
      <c r="E46" s="27">
        <f>'AL post'!I45</f>
        <v>124</v>
      </c>
      <c r="F46" s="97">
        <f>'AL post'!L45</f>
        <v>107.26358644196175</v>
      </c>
      <c r="G46" s="27">
        <f>'AL post'!O45</f>
        <v>5844</v>
      </c>
      <c r="H46" s="115">
        <f>'AL post'!R45</f>
        <v>82.908513607652836</v>
      </c>
      <c r="I46" s="29">
        <f>'AL post'!U45</f>
        <v>73254</v>
      </c>
      <c r="J46" s="27">
        <v>72</v>
      </c>
      <c r="K46" s="2">
        <f>'AL post'!AA45</f>
        <v>162411</v>
      </c>
      <c r="L46" s="41">
        <v>1925</v>
      </c>
      <c r="M46" s="27" t="s">
        <v>552</v>
      </c>
      <c r="N46" s="27" t="str">
        <f>'AL post'!AD45&amp;"; "&amp;'AL post'!AE45</f>
        <v>https://ia601501.us.archive.org/22/items/192425/1924-25.pdf#page=25; https://ia601501.us.archive.org/22/items/192425/1924-25.pdf#page=29</v>
      </c>
      <c r="O46" s="27" t="str">
        <f>'AL post'!AF45&amp;"; "&amp;'AL post'!AG45</f>
        <v>https://ia601501.us.archive.org/22/items/192425/1924-25.pdf#page=25; https://ia601501.us.archive.org/22/items/192425/1924-25.pdf#page=29</v>
      </c>
      <c r="P46" s="27" t="str">
        <f>'AL post'!AH45&amp;"; "&amp;'AL post'!AI45</f>
        <v>https://ia601501.us.archive.org/22/items/192425/1924-25.pdf#page=25; https://ia601501.us.archive.org/22/items/192425/1924-25.pdf#page=29</v>
      </c>
      <c r="Q46" s="7" t="str">
        <f>'AL post'!AJ45&amp;"; "&amp;'AL post'!AK45</f>
        <v>https://ia601501.us.archive.org/22/items/192425/1924-25.pdf#page=25; https://ia601501.us.archive.org/22/items/192425/1924-25.pdf#page=29</v>
      </c>
      <c r="R46" s="7" t="str">
        <f>'AL post'!AL45&amp;"; "&amp;'AL post'!AM45</f>
        <v>https://babel.hathitrust.org/cgi/pt?id=mdp.39015076547101;view=1up;seq=139; https://ia601501.us.archive.org/22/items/192425/1924-25.pdf#page=30</v>
      </c>
      <c r="S46" s="7" t="str">
        <f>'AL post'!AN45&amp;"; "&amp;'AL post'!AO45</f>
        <v>https://ia601501.us.archive.org/22/items/192425/1924-25.pdf#page=28; https://ia601501.us.archive.org/22/items/192425/1924-25.pdf#page=31</v>
      </c>
      <c r="T46" s="7" t="str">
        <f>'AL post'!AP45</f>
        <v>https://ia601501.us.archive.org/22/items/192425/1924-25.pdf#page=28</v>
      </c>
      <c r="U46" s="7" t="str">
        <f>'AL post'!AQ45</f>
        <v>https://ia601501.us.archive.org/22/items/192425/1924-25.pdf#page=28</v>
      </c>
    </row>
    <row r="47" spans="1:21" x14ac:dyDescent="0.25">
      <c r="A47" s="27" t="s">
        <v>630</v>
      </c>
      <c r="B47" s="27" t="str">
        <f t="shared" si="0"/>
        <v>Alabama</v>
      </c>
      <c r="C47" s="27" t="str">
        <f t="shared" si="1"/>
        <v>Madison</v>
      </c>
      <c r="D47" s="27">
        <f>'AL post'!F46</f>
        <v>8694</v>
      </c>
      <c r="E47" s="27">
        <f>'AL post'!I46</f>
        <v>282</v>
      </c>
      <c r="F47" s="97">
        <f>'AL post'!L46</f>
        <v>137.65297906602254</v>
      </c>
      <c r="G47" s="27">
        <f>'AL post'!O46</f>
        <v>13916</v>
      </c>
      <c r="H47" s="115">
        <f>'AL post'!R46</f>
        <v>82.137886876186556</v>
      </c>
      <c r="I47" s="29">
        <f>'AL post'!U46</f>
        <v>278865</v>
      </c>
      <c r="J47" s="27">
        <v>97</v>
      </c>
      <c r="K47" s="2">
        <f>'AL post'!AA46</f>
        <v>774900</v>
      </c>
      <c r="L47" s="41">
        <v>1925</v>
      </c>
      <c r="M47" s="27" t="s">
        <v>552</v>
      </c>
      <c r="N47" s="27" t="str">
        <f>'AL post'!AD46&amp;"; "&amp;'AL post'!AE46</f>
        <v>https://ia601501.us.archive.org/22/items/192425/1924-25.pdf#page=25; https://ia601501.us.archive.org/22/items/192425/1924-25.pdf#page=29</v>
      </c>
      <c r="O47" s="27" t="str">
        <f>'AL post'!AF46&amp;"; "&amp;'AL post'!AG46</f>
        <v>https://ia601501.us.archive.org/22/items/192425/1924-25.pdf#page=25; https://ia601501.us.archive.org/22/items/192425/1924-25.pdf#page=29</v>
      </c>
      <c r="P47" s="27" t="str">
        <f>'AL post'!AH46&amp;"; "&amp;'AL post'!AI46</f>
        <v>https://ia601501.us.archive.org/22/items/192425/1924-25.pdf#page=25; https://ia601501.us.archive.org/22/items/192425/1924-25.pdf#page=29</v>
      </c>
      <c r="Q47" s="7" t="str">
        <f>'AL post'!AJ46&amp;"; "&amp;'AL post'!AK46</f>
        <v>https://ia601501.us.archive.org/22/items/192425/1924-25.pdf#page=25; https://ia601501.us.archive.org/22/items/192425/1924-25.pdf#page=29</v>
      </c>
      <c r="R47" s="7" t="str">
        <f>'AL post'!AL46&amp;"; "&amp;'AL post'!AM46</f>
        <v>https://babel.hathitrust.org/cgi/pt?id=mdp.39015076547101;view=1up;seq=139; https://ia601501.us.archive.org/22/items/192425/1924-25.pdf#page=30</v>
      </c>
      <c r="S47" s="7" t="str">
        <f>'AL post'!AN46&amp;"; "&amp;'AL post'!AO46</f>
        <v>https://ia601501.us.archive.org/22/items/192425/1924-25.pdf#page=28; https://ia601501.us.archive.org/22/items/192425/1924-25.pdf#page=31</v>
      </c>
      <c r="T47" s="7" t="str">
        <f>'AL post'!AP46</f>
        <v>https://ia601501.us.archive.org/22/items/192425/1924-25.pdf#page=28</v>
      </c>
      <c r="U47" s="7" t="str">
        <f>'AL post'!AQ46</f>
        <v>https://ia601501.us.archive.org/22/items/192425/1924-25.pdf#page=28</v>
      </c>
    </row>
    <row r="48" spans="1:21" x14ac:dyDescent="0.25">
      <c r="A48" s="27" t="s">
        <v>631</v>
      </c>
      <c r="B48" s="27" t="str">
        <f t="shared" si="0"/>
        <v>Alabama</v>
      </c>
      <c r="C48" s="27" t="str">
        <f t="shared" si="1"/>
        <v>Marengo</v>
      </c>
      <c r="D48" s="27">
        <f>'AL post'!F47</f>
        <v>4766</v>
      </c>
      <c r="E48" s="27">
        <f>'AL post'!I47</f>
        <v>170</v>
      </c>
      <c r="F48" s="97">
        <f>'AL post'!L47</f>
        <v>133.88145195132185</v>
      </c>
      <c r="G48" s="27">
        <f>'AL post'!O47</f>
        <v>6485</v>
      </c>
      <c r="H48" s="115">
        <f>'AL post'!R47</f>
        <v>93.348607119734297</v>
      </c>
      <c r="I48" s="29">
        <f>'AL post'!U47</f>
        <v>143435</v>
      </c>
      <c r="J48" s="27">
        <v>94</v>
      </c>
      <c r="K48" s="2">
        <f>'AL post'!AA47</f>
        <v>237900</v>
      </c>
      <c r="L48" s="41">
        <v>1925</v>
      </c>
      <c r="M48" s="27" t="s">
        <v>552</v>
      </c>
      <c r="N48" s="27" t="str">
        <f>'AL post'!AD47&amp;"; "&amp;'AL post'!AE47</f>
        <v>https://ia601501.us.archive.org/22/items/192425/1924-25.pdf#page=32; https://ia601501.us.archive.org/22/items/192425/1924-25.pdf#page=35</v>
      </c>
      <c r="O48" s="27" t="str">
        <f>'AL post'!AF47&amp;"; "&amp;'AL post'!AG47</f>
        <v>https://ia601501.us.archive.org/22/items/192425/1924-25.pdf#page=32; https://ia601501.us.archive.org/22/items/192425/1924-25.pdf#page=35</v>
      </c>
      <c r="P48" s="27" t="str">
        <f>'AL post'!AH47&amp;"; "&amp;'AL post'!AI47</f>
        <v>https://ia601501.us.archive.org/22/items/192425/1924-25.pdf#page=32; https://ia601501.us.archive.org/22/items/192425/1924-25.pdf#page=35</v>
      </c>
      <c r="Q48" s="7" t="str">
        <f>'AL post'!AJ47&amp;"; "&amp;'AL post'!AK47</f>
        <v>https://ia601501.us.archive.org/22/items/192425/1924-25.pdf#page=32; https://ia601501.us.archive.org/22/items/192425/1924-25.pdf#page=35</v>
      </c>
      <c r="R48" s="7" t="str">
        <f>'AL post'!AL47&amp;"; "&amp;'AL post'!AM47</f>
        <v>https://babel.hathitrust.org/cgi/pt?id=mdp.39015076547101;view=1up;seq=159; https://ia601501.us.archive.org/22/items/192425/1924-25.pdf#page=36</v>
      </c>
      <c r="S48" s="7" t="str">
        <f>'AL post'!AN47&amp;"; "&amp;'AL post'!AO47</f>
        <v>https://ia601501.us.archive.org/22/items/192425/1924-25.pdf#page=34; https://ia601501.us.archive.org/22/items/192425/1924-25.pdf#page=37</v>
      </c>
      <c r="T48" s="7" t="str">
        <f>'AL post'!AP47</f>
        <v>https://ia601501.us.archive.org/22/items/192425/1924-25.pdf#page=34</v>
      </c>
      <c r="U48" s="7" t="str">
        <f>'AL post'!AQ47</f>
        <v>https://ia601501.us.archive.org/22/items/192425/1924-25.pdf#page=34</v>
      </c>
    </row>
    <row r="49" spans="1:21" x14ac:dyDescent="0.25">
      <c r="A49" s="27" t="s">
        <v>632</v>
      </c>
      <c r="B49" s="27" t="str">
        <f t="shared" si="0"/>
        <v>Alabama</v>
      </c>
      <c r="C49" s="27" t="str">
        <f t="shared" si="1"/>
        <v>Marion</v>
      </c>
      <c r="D49" s="27">
        <f>'AL post'!F48</f>
        <v>4934</v>
      </c>
      <c r="E49" s="27">
        <f>'AL post'!I48</f>
        <v>201</v>
      </c>
      <c r="F49" s="97">
        <f>'AL post'!L48</f>
        <v>105.43271179570328</v>
      </c>
      <c r="G49" s="27">
        <f>'AL post'!O48</f>
        <v>6891</v>
      </c>
      <c r="H49" s="115">
        <f>'AL post'!R48</f>
        <v>92.769078550691901</v>
      </c>
      <c r="I49" s="29">
        <f>'AL post'!U48</f>
        <v>185645</v>
      </c>
      <c r="J49" s="27">
        <v>85</v>
      </c>
      <c r="K49" s="2">
        <f>'AL post'!AA48</f>
        <v>481820</v>
      </c>
      <c r="L49" s="41">
        <v>1925</v>
      </c>
      <c r="M49" s="27" t="s">
        <v>552</v>
      </c>
      <c r="N49" s="27" t="str">
        <f>'AL post'!AD48&amp;"; "&amp;'AL post'!AE48</f>
        <v>https://ia601501.us.archive.org/22/items/192425/1924-25.pdf#page=32; https://ia601501.us.archive.org/22/items/192425/1924-25.pdf#page=35</v>
      </c>
      <c r="O49" s="27" t="str">
        <f>'AL post'!AF48&amp;"; "&amp;'AL post'!AG48</f>
        <v>https://ia601501.us.archive.org/22/items/192425/1924-25.pdf#page=32; https://ia601501.us.archive.org/22/items/192425/1924-25.pdf#page=35</v>
      </c>
      <c r="P49" s="27" t="str">
        <f>'AL post'!AH48&amp;"; "&amp;'AL post'!AI48</f>
        <v>https://ia601501.us.archive.org/22/items/192425/1924-25.pdf#page=32; https://ia601501.us.archive.org/22/items/192425/1924-25.pdf#page=35</v>
      </c>
      <c r="Q49" s="7" t="str">
        <f>'AL post'!AJ48&amp;"; "&amp;'AL post'!AK48</f>
        <v>https://ia601501.us.archive.org/22/items/192425/1924-25.pdf#page=32; https://ia601501.us.archive.org/22/items/192425/1924-25.pdf#page=35</v>
      </c>
      <c r="R49" s="7" t="str">
        <f>'AL post'!AL48&amp;"; "&amp;'AL post'!AM48</f>
        <v>https://babel.hathitrust.org/cgi/pt?id=mdp.39015076547101;view=1up;seq=159; https://ia601501.us.archive.org/22/items/192425/1924-25.pdf#page=36</v>
      </c>
      <c r="S49" s="7" t="str">
        <f>'AL post'!AN48&amp;"; "&amp;'AL post'!AO48</f>
        <v>https://ia601501.us.archive.org/22/items/192425/1924-25.pdf#page=34; https://ia601501.us.archive.org/22/items/192425/1924-25.pdf#page=37</v>
      </c>
      <c r="T49" s="7" t="str">
        <f>'AL post'!AP48</f>
        <v>https://ia601501.us.archive.org/22/items/192425/1924-25.pdf#page=34</v>
      </c>
      <c r="U49" s="7" t="str">
        <f>'AL post'!AQ48</f>
        <v>https://ia601501.us.archive.org/22/items/192425/1924-25.pdf#page=34</v>
      </c>
    </row>
    <row r="50" spans="1:21" x14ac:dyDescent="0.25">
      <c r="A50" s="27" t="s">
        <v>633</v>
      </c>
      <c r="B50" s="27" t="str">
        <f t="shared" si="0"/>
        <v>Alabama</v>
      </c>
      <c r="C50" s="27" t="str">
        <f t="shared" si="1"/>
        <v>Marshall</v>
      </c>
      <c r="D50" s="27">
        <f>'AL post'!F49</f>
        <v>5998</v>
      </c>
      <c r="E50" s="27">
        <f>'AL post'!I49</f>
        <v>232</v>
      </c>
      <c r="F50" s="97">
        <f>'AL post'!L49</f>
        <v>121.89346448816272</v>
      </c>
      <c r="G50" s="27">
        <f>'AL post'!O49</f>
        <v>9572</v>
      </c>
      <c r="H50" s="115">
        <f>'AL post'!R49</f>
        <v>75.871794282843453</v>
      </c>
      <c r="I50" s="29">
        <f>'AL post'!U49</f>
        <v>220356</v>
      </c>
      <c r="J50" s="27">
        <v>93</v>
      </c>
      <c r="K50" s="2">
        <f>'AL post'!AA49</f>
        <v>365750</v>
      </c>
      <c r="L50" s="41">
        <v>1925</v>
      </c>
      <c r="M50" s="27" t="s">
        <v>552</v>
      </c>
      <c r="N50" s="27" t="str">
        <f>'AL post'!AD49&amp;"; "&amp;'AL post'!AE49</f>
        <v>https://ia601501.us.archive.org/22/items/192425/1924-25.pdf#page=32; https://ia601501.us.archive.org/22/items/192425/1924-25.pdf#page=35</v>
      </c>
      <c r="O50" s="27" t="str">
        <f>'AL post'!AF49&amp;"; "&amp;'AL post'!AG49</f>
        <v>https://ia601501.us.archive.org/22/items/192425/1924-25.pdf#page=32; https://ia601501.us.archive.org/22/items/192425/1924-25.pdf#page=35</v>
      </c>
      <c r="P50" s="27" t="str">
        <f>'AL post'!AH49&amp;"; "&amp;'AL post'!AI49</f>
        <v>https://ia601501.us.archive.org/22/items/192425/1924-25.pdf#page=32; https://ia601501.us.archive.org/22/items/192425/1924-25.pdf#page=35</v>
      </c>
      <c r="Q50" s="7" t="str">
        <f>'AL post'!AJ49&amp;"; "&amp;'AL post'!AK49</f>
        <v>https://ia601501.us.archive.org/22/items/192425/1924-25.pdf#page=32; https://ia601501.us.archive.org/22/items/192425/1924-25.pdf#page=35</v>
      </c>
      <c r="R50" s="7" t="str">
        <f>'AL post'!AL49&amp;"; "&amp;'AL post'!AM49</f>
        <v>https://babel.hathitrust.org/cgi/pt?id=mdp.39015076547101;view=1up;seq=159; https://ia601501.us.archive.org/22/items/192425/1924-25.pdf#page=36</v>
      </c>
      <c r="S50" s="7" t="str">
        <f>'AL post'!AN49&amp;"; "&amp;'AL post'!AO49</f>
        <v>https://ia601501.us.archive.org/22/items/192425/1924-25.pdf#page=34; https://ia601501.us.archive.org/22/items/192425/1924-25.pdf#page=37</v>
      </c>
      <c r="T50" s="7" t="str">
        <f>'AL post'!AP49</f>
        <v>https://ia601501.us.archive.org/22/items/192425/1924-25.pdf#page=34</v>
      </c>
      <c r="U50" s="7" t="str">
        <f>'AL post'!AQ49</f>
        <v>https://ia601501.us.archive.org/22/items/192425/1924-25.pdf#page=34</v>
      </c>
    </row>
    <row r="51" spans="1:21" x14ac:dyDescent="0.25">
      <c r="A51" s="27" t="s">
        <v>634</v>
      </c>
      <c r="B51" s="27" t="str">
        <f t="shared" si="0"/>
        <v>Alabama</v>
      </c>
      <c r="C51" s="27" t="str">
        <f t="shared" si="1"/>
        <v>Mobile</v>
      </c>
      <c r="D51" s="27">
        <f>'AL post'!F50</f>
        <v>15196</v>
      </c>
      <c r="E51" s="27">
        <f>'AL post'!I50</f>
        <v>579</v>
      </c>
      <c r="F51" s="97">
        <f>'AL post'!L50</f>
        <v>168.67774414319558</v>
      </c>
      <c r="G51" s="27">
        <f>'AL post'!O50</f>
        <v>18581</v>
      </c>
      <c r="H51" s="115">
        <f>'AL post'!R50</f>
        <v>96.746190620156653</v>
      </c>
      <c r="I51" s="29">
        <f>'AL post'!U50</f>
        <v>885921</v>
      </c>
      <c r="J51" s="27">
        <v>118</v>
      </c>
      <c r="K51" s="2">
        <f>'AL post'!AA50</f>
        <v>1800067</v>
      </c>
      <c r="L51" s="41">
        <v>1925</v>
      </c>
      <c r="M51" s="27" t="s">
        <v>552</v>
      </c>
      <c r="N51" s="27" t="str">
        <f>'AL post'!AD50&amp;"; "&amp;'AL post'!AE50</f>
        <v>https://ia601501.us.archive.org/22/items/192425/1924-25.pdf#page=32; https://ia601501.us.archive.org/22/items/192425/1924-25.pdf#page=35</v>
      </c>
      <c r="O51" s="27" t="str">
        <f>'AL post'!AF50&amp;"; "&amp;'AL post'!AG50</f>
        <v>https://ia601501.us.archive.org/22/items/192425/1924-25.pdf#page=32; https://ia601501.us.archive.org/22/items/192425/1924-25.pdf#page=35</v>
      </c>
      <c r="P51" s="27" t="str">
        <f>'AL post'!AH50&amp;"; "&amp;'AL post'!AI50</f>
        <v>https://ia601501.us.archive.org/22/items/192425/1924-25.pdf#page=32; https://ia601501.us.archive.org/22/items/192425/1924-25.pdf#page=35</v>
      </c>
      <c r="Q51" s="7" t="str">
        <f>'AL post'!AJ50&amp;"; "&amp;'AL post'!AK50</f>
        <v>https://ia601501.us.archive.org/22/items/192425/1924-25.pdf#page=32; https://ia601501.us.archive.org/22/items/192425/1924-25.pdf#page=35</v>
      </c>
      <c r="R51" s="7" t="str">
        <f>'AL post'!AL50&amp;"; "&amp;'AL post'!AM50</f>
        <v>https://babel.hathitrust.org/cgi/pt?id=mdp.39015076547101;view=1up;seq=159; https://ia601501.us.archive.org/22/items/192425/1924-25.pdf#page=36</v>
      </c>
      <c r="S51" s="7" t="str">
        <f>'AL post'!AN50&amp;"; "&amp;'AL post'!AO50</f>
        <v>https://ia601501.us.archive.org/22/items/192425/1924-25.pdf#page=34; https://ia601501.us.archive.org/22/items/192425/1924-25.pdf#page=37</v>
      </c>
      <c r="T51" s="7" t="str">
        <f>'AL post'!AP50</f>
        <v>https://ia601501.us.archive.org/22/items/192425/1924-25.pdf#page=34</v>
      </c>
      <c r="U51" s="7" t="str">
        <f>'AL post'!AQ50</f>
        <v>https://ia601501.us.archive.org/22/items/192425/1924-25.pdf#page=34</v>
      </c>
    </row>
    <row r="52" spans="1:21" x14ac:dyDescent="0.25">
      <c r="A52" s="27" t="s">
        <v>635</v>
      </c>
      <c r="B52" s="27" t="str">
        <f t="shared" si="0"/>
        <v>Alabama</v>
      </c>
      <c r="C52" s="27" t="str">
        <f t="shared" si="1"/>
        <v>Monroe</v>
      </c>
      <c r="D52" s="27">
        <f>'AL post'!F51</f>
        <v>5411</v>
      </c>
      <c r="E52" s="27">
        <f>'AL post'!I51</f>
        <v>189</v>
      </c>
      <c r="F52" s="97">
        <f>'AL post'!L51</f>
        <v>124.26630936980226</v>
      </c>
      <c r="G52" s="27">
        <f>'AL post'!O51</f>
        <v>7298</v>
      </c>
      <c r="H52" s="115">
        <f>'AL post'!R51</f>
        <v>73.830173448706915</v>
      </c>
      <c r="I52" s="29">
        <f>'AL post'!U51</f>
        <v>125754</v>
      </c>
      <c r="J52" s="27">
        <v>109</v>
      </c>
      <c r="K52" s="2">
        <f>'AL post'!AA51</f>
        <v>230000</v>
      </c>
      <c r="L52" s="41">
        <v>1925</v>
      </c>
      <c r="M52" s="27" t="s">
        <v>552</v>
      </c>
      <c r="N52" s="27" t="str">
        <f>'AL post'!AD51&amp;"; "&amp;'AL post'!AE51</f>
        <v>https://ia601501.us.archive.org/22/items/192425/1924-25.pdf#page=32; https://ia601501.us.archive.org/22/items/192425/1924-25.pdf#page=35</v>
      </c>
      <c r="O52" s="27" t="str">
        <f>'AL post'!AF51&amp;"; "&amp;'AL post'!AG51</f>
        <v>https://ia601501.us.archive.org/22/items/192425/1924-25.pdf#page=32; https://ia601501.us.archive.org/22/items/192425/1924-25.pdf#page=35</v>
      </c>
      <c r="P52" s="27" t="str">
        <f>'AL post'!AH51&amp;"; "&amp;'AL post'!AI51</f>
        <v>https://ia601501.us.archive.org/22/items/192425/1924-25.pdf#page=32; https://ia601501.us.archive.org/22/items/192425/1924-25.pdf#page=35</v>
      </c>
      <c r="Q52" s="7" t="str">
        <f>'AL post'!AJ51&amp;"; "&amp;'AL post'!AK51</f>
        <v>https://ia601501.us.archive.org/22/items/192425/1924-25.pdf#page=32; https://ia601501.us.archive.org/22/items/192425/1924-25.pdf#page=35</v>
      </c>
      <c r="R52" s="7" t="str">
        <f>'AL post'!AL51&amp;"; "&amp;'AL post'!AM51</f>
        <v>https://babel.hathitrust.org/cgi/pt?id=mdp.39015076547101;view=1up;seq=159; https://ia601501.us.archive.org/22/items/192425/1924-25.pdf#page=36</v>
      </c>
      <c r="S52" s="7" t="str">
        <f>'AL post'!AN51&amp;"; "&amp;'AL post'!AO51</f>
        <v>https://ia601501.us.archive.org/22/items/192425/1924-25.pdf#page=34; https://ia601501.us.archive.org/22/items/192425/1924-25.pdf#page=37</v>
      </c>
      <c r="T52" s="7" t="str">
        <f>'AL post'!AP51</f>
        <v>https://ia601501.us.archive.org/22/items/192425/1924-25.pdf#page=34</v>
      </c>
      <c r="U52" s="7" t="str">
        <f>'AL post'!AQ51</f>
        <v>https://ia601501.us.archive.org/22/items/192425/1924-25.pdf#page=34</v>
      </c>
    </row>
    <row r="53" spans="1:21" x14ac:dyDescent="0.25">
      <c r="A53" s="27" t="s">
        <v>636</v>
      </c>
      <c r="B53" s="27" t="str">
        <f t="shared" si="0"/>
        <v>Alabama</v>
      </c>
      <c r="C53" s="27" t="str">
        <f t="shared" si="1"/>
        <v>Montgomery</v>
      </c>
      <c r="D53" s="27">
        <f>'AL post'!F52</f>
        <v>13952</v>
      </c>
      <c r="E53" s="27">
        <f>'AL post'!I52</f>
        <v>417</v>
      </c>
      <c r="F53" s="97">
        <f>'AL post'!L52</f>
        <v>154.65660837155963</v>
      </c>
      <c r="G53" s="27">
        <f>'AL post'!O52</f>
        <v>17662</v>
      </c>
      <c r="H53" s="115">
        <f>'AL post'!R52</f>
        <v>97.858323741841843</v>
      </c>
      <c r="I53" s="29">
        <f>'AL post'!U52</f>
        <v>645861</v>
      </c>
      <c r="J53" s="27">
        <v>108</v>
      </c>
      <c r="K53" s="2">
        <f>'AL post'!AA52</f>
        <v>3027200</v>
      </c>
      <c r="L53" s="41">
        <v>1925</v>
      </c>
      <c r="M53" s="27" t="s">
        <v>552</v>
      </c>
      <c r="N53" s="27" t="str">
        <f>'AL post'!AD52&amp;"; "&amp;'AL post'!AE52</f>
        <v>https://ia601501.us.archive.org/22/items/192425/1924-25.pdf#page=32; https://ia601501.us.archive.org/22/items/192425/1924-25.pdf#page=35</v>
      </c>
      <c r="O53" s="27" t="str">
        <f>'AL post'!AF52&amp;"; "&amp;'AL post'!AG52</f>
        <v>https://ia601501.us.archive.org/22/items/192425/1924-25.pdf#page=32; https://ia601501.us.archive.org/22/items/192425/1924-25.pdf#page=35</v>
      </c>
      <c r="P53" s="27" t="str">
        <f>'AL post'!AH52&amp;"; "&amp;'AL post'!AI52</f>
        <v>https://ia601501.us.archive.org/22/items/192425/1924-25.pdf#page=32; https://ia601501.us.archive.org/22/items/192425/1924-25.pdf#page=35</v>
      </c>
      <c r="Q53" s="7" t="str">
        <f>'AL post'!AJ52&amp;"; "&amp;'AL post'!AK52</f>
        <v>https://ia601501.us.archive.org/22/items/192425/1924-25.pdf#page=32; https://ia601501.us.archive.org/22/items/192425/1924-25.pdf#page=35</v>
      </c>
      <c r="R53" s="7" t="str">
        <f>'AL post'!AL52&amp;"; "&amp;'AL post'!AM52</f>
        <v>https://babel.hathitrust.org/cgi/pt?id=mdp.39015076547101;view=1up;seq=159; https://ia601501.us.archive.org/22/items/192425/1924-25.pdf#page=36</v>
      </c>
      <c r="S53" s="7" t="str">
        <f>'AL post'!AN52&amp;"; "&amp;'AL post'!AO52</f>
        <v>https://ia601501.us.archive.org/22/items/192425/1924-25.pdf#page=34; https://ia601501.us.archive.org/22/items/192425/1924-25.pdf#page=37</v>
      </c>
      <c r="T53" s="7" t="str">
        <f>'AL post'!AP52</f>
        <v>https://ia601501.us.archive.org/22/items/192425/1924-25.pdf#page=34</v>
      </c>
      <c r="U53" s="7" t="str">
        <f>'AL post'!AQ52</f>
        <v>https://ia601501.us.archive.org/22/items/192425/1924-25.pdf#page=34</v>
      </c>
    </row>
    <row r="54" spans="1:21" x14ac:dyDescent="0.25">
      <c r="A54" s="27" t="s">
        <v>1775</v>
      </c>
      <c r="B54" s="27" t="str">
        <f t="shared" si="0"/>
        <v>Alabama</v>
      </c>
      <c r="C54" s="27" t="str">
        <f t="shared" si="1"/>
        <v>Morgan/Cotaco</v>
      </c>
      <c r="D54" s="27">
        <f>'AL post'!F53</f>
        <v>8764</v>
      </c>
      <c r="E54" s="27">
        <f>'AL post'!I53</f>
        <v>302</v>
      </c>
      <c r="F54" s="97">
        <f>'AL post'!L53</f>
        <v>125.92275216795984</v>
      </c>
      <c r="G54" s="27">
        <f>'AL post'!O53</f>
        <v>11401</v>
      </c>
      <c r="H54" s="115">
        <f>'AL post'!R53</f>
        <v>86.480013635487751</v>
      </c>
      <c r="I54" s="29">
        <f>'AL post'!U53</f>
        <v>268913</v>
      </c>
      <c r="J54" s="27">
        <v>100</v>
      </c>
      <c r="K54" s="2">
        <f>'AL post'!AA53</f>
        <v>902387</v>
      </c>
      <c r="L54" s="41">
        <v>1925</v>
      </c>
      <c r="M54" s="27" t="s">
        <v>552</v>
      </c>
      <c r="N54" s="27" t="str">
        <f>'AL post'!AD53&amp;"; "&amp;'AL post'!AE53</f>
        <v>https://ia601501.us.archive.org/22/items/192425/1924-25.pdf#page=32; https://ia601501.us.archive.org/22/items/192425/1924-25.pdf#page=35</v>
      </c>
      <c r="O54" s="27" t="str">
        <f>'AL post'!AF53&amp;"; "&amp;'AL post'!AG53</f>
        <v>https://ia601501.us.archive.org/22/items/192425/1924-25.pdf#page=32; https://ia601501.us.archive.org/22/items/192425/1924-25.pdf#page=35</v>
      </c>
      <c r="P54" s="27" t="str">
        <f>'AL post'!AH53&amp;"; "&amp;'AL post'!AI53</f>
        <v>https://ia601501.us.archive.org/22/items/192425/1924-25.pdf#page=32; https://ia601501.us.archive.org/22/items/192425/1924-25.pdf#page=35</v>
      </c>
      <c r="Q54" s="7" t="str">
        <f>'AL post'!AJ53&amp;"; "&amp;'AL post'!AK53</f>
        <v>https://ia601501.us.archive.org/22/items/192425/1924-25.pdf#page=32; https://ia601501.us.archive.org/22/items/192425/1924-25.pdf#page=35</v>
      </c>
      <c r="R54" s="7" t="str">
        <f>'AL post'!AL53&amp;"; "&amp;'AL post'!AM53</f>
        <v>https://babel.hathitrust.org/cgi/pt?id=mdp.39015076547101;view=1up;seq=159; https://ia601501.us.archive.org/22/items/192425/1924-25.pdf#page=36</v>
      </c>
      <c r="S54" s="7" t="str">
        <f>'AL post'!AN53&amp;"; "&amp;'AL post'!AO53</f>
        <v>https://ia601501.us.archive.org/22/items/192425/1924-25.pdf#page=34; https://ia601501.us.archive.org/22/items/192425/1924-25.pdf#page=37</v>
      </c>
      <c r="T54" s="7" t="str">
        <f>'AL post'!AP53</f>
        <v>https://ia601501.us.archive.org/22/items/192425/1924-25.pdf#page=34</v>
      </c>
      <c r="U54" s="7" t="str">
        <f>'AL post'!AQ53</f>
        <v>https://ia601501.us.archive.org/22/items/192425/1924-25.pdf#page=34</v>
      </c>
    </row>
    <row r="55" spans="1:21" x14ac:dyDescent="0.25">
      <c r="A55" s="27" t="s">
        <v>637</v>
      </c>
      <c r="B55" s="27" t="str">
        <f t="shared" si="0"/>
        <v>Alabama</v>
      </c>
      <c r="C55" s="27" t="str">
        <f t="shared" si="1"/>
        <v>Perry</v>
      </c>
      <c r="D55" s="27">
        <f>'AL post'!F54</f>
        <v>3422</v>
      </c>
      <c r="E55" s="27">
        <f>'AL post'!I54</f>
        <v>132</v>
      </c>
      <c r="F55" s="97">
        <f>'AL post'!L54</f>
        <v>109.51753360607832</v>
      </c>
      <c r="G55" s="27">
        <f>'AL post'!O54</f>
        <v>5257</v>
      </c>
      <c r="H55" s="115">
        <f>'AL post'!R54</f>
        <v>76.114835829780233</v>
      </c>
      <c r="I55" s="29">
        <f>'AL post'!U54</f>
        <v>109646</v>
      </c>
      <c r="J55" s="27">
        <v>84</v>
      </c>
      <c r="K55" s="2">
        <f>'AL post'!AA54</f>
        <v>213893</v>
      </c>
      <c r="L55" s="41">
        <v>1925</v>
      </c>
      <c r="M55" s="27" t="s">
        <v>552</v>
      </c>
      <c r="N55" s="27" t="str">
        <f>'AL post'!AD54&amp;"; "&amp;'AL post'!AE54</f>
        <v>https://ia601501.us.archive.org/22/items/192425/1924-25.pdf#page=32; https://ia601501.us.archive.org/22/items/192425/1924-25.pdf#page=35</v>
      </c>
      <c r="O55" s="27" t="str">
        <f>'AL post'!AF54&amp;"; "&amp;'AL post'!AG54</f>
        <v>https://ia601501.us.archive.org/22/items/192425/1924-25.pdf#page=32; https://ia601501.us.archive.org/22/items/192425/1924-25.pdf#page=35</v>
      </c>
      <c r="P55" s="27" t="str">
        <f>'AL post'!AH54&amp;"; "&amp;'AL post'!AI54</f>
        <v>https://ia601501.us.archive.org/22/items/192425/1924-25.pdf#page=32; https://ia601501.us.archive.org/22/items/192425/1924-25.pdf#page=35</v>
      </c>
      <c r="Q55" s="7" t="str">
        <f>'AL post'!AJ54&amp;"; "&amp;'AL post'!AK54</f>
        <v>https://ia601501.us.archive.org/22/items/192425/1924-25.pdf#page=32; https://ia601501.us.archive.org/22/items/192425/1924-25.pdf#page=35</v>
      </c>
      <c r="R55" s="7" t="str">
        <f>'AL post'!AL54&amp;"; "&amp;'AL post'!AM54</f>
        <v>https://babel.hathitrust.org/cgi/pt?id=mdp.39015076547101;view=1up;seq=159; https://ia601501.us.archive.org/22/items/192425/1924-25.pdf#page=36</v>
      </c>
      <c r="S55" s="7" t="str">
        <f>'AL post'!AN54&amp;"; "&amp;'AL post'!AO54</f>
        <v>https://ia601501.us.archive.org/22/items/192425/1924-25.pdf#page=34; https://ia601501.us.archive.org/22/items/192425/1924-25.pdf#page=37</v>
      </c>
      <c r="T55" s="7" t="str">
        <f>'AL post'!AP54</f>
        <v>https://ia601501.us.archive.org/22/items/192425/1924-25.pdf#page=34</v>
      </c>
      <c r="U55" s="7" t="str">
        <f>'AL post'!AQ54</f>
        <v>https://ia601501.us.archive.org/22/items/192425/1924-25.pdf#page=34</v>
      </c>
    </row>
    <row r="56" spans="1:21" x14ac:dyDescent="0.25">
      <c r="A56" s="27" t="s">
        <v>638</v>
      </c>
      <c r="B56" s="27" t="str">
        <f t="shared" si="0"/>
        <v>Alabama</v>
      </c>
      <c r="C56" s="27" t="str">
        <f t="shared" si="1"/>
        <v>Pickens</v>
      </c>
      <c r="D56" s="27">
        <f>'AL post'!F55</f>
        <v>5280</v>
      </c>
      <c r="E56" s="27">
        <f>'AL post'!I55</f>
        <v>214</v>
      </c>
      <c r="F56" s="97">
        <f>'AL post'!L55</f>
        <v>97.003219696969694</v>
      </c>
      <c r="G56" s="27">
        <f>'AL post'!O55</f>
        <v>7027</v>
      </c>
      <c r="H56" s="115">
        <f>'AL post'!R55</f>
        <v>102.81381441969747</v>
      </c>
      <c r="I56" s="29">
        <f>'AL post'!U55</f>
        <v>134079</v>
      </c>
      <c r="J56" s="27">
        <v>121</v>
      </c>
      <c r="K56" s="2">
        <f>'AL post'!AA55</f>
        <v>256000</v>
      </c>
      <c r="L56" s="41">
        <v>1925</v>
      </c>
      <c r="M56" s="27" t="s">
        <v>552</v>
      </c>
      <c r="N56" s="27" t="str">
        <f>'AL post'!AD55&amp;"; "&amp;'AL post'!AE55</f>
        <v>https://ia601501.us.archive.org/22/items/192425/1924-25.pdf#page=32; https://ia601501.us.archive.org/22/items/192425/1924-25.pdf#page=35</v>
      </c>
      <c r="O56" s="27" t="str">
        <f>'AL post'!AF55&amp;"; "&amp;'AL post'!AG55</f>
        <v>https://ia601501.us.archive.org/22/items/192425/1924-25.pdf#page=32; https://ia601501.us.archive.org/22/items/192425/1924-25.pdf#page=35</v>
      </c>
      <c r="P56" s="27" t="str">
        <f>'AL post'!AH55&amp;"; "&amp;'AL post'!AI55</f>
        <v>https://ia601501.us.archive.org/22/items/192425/1924-25.pdf#page=32; https://ia601501.us.archive.org/22/items/192425/1924-25.pdf#page=35</v>
      </c>
      <c r="Q56" s="7" t="str">
        <f>'AL post'!AJ55&amp;"; "&amp;'AL post'!AK55</f>
        <v>https://ia601501.us.archive.org/22/items/192425/1924-25.pdf#page=32; https://ia601501.us.archive.org/22/items/192425/1924-25.pdf#page=35</v>
      </c>
      <c r="R56" s="7" t="str">
        <f>'AL post'!AL55&amp;"; "&amp;'AL post'!AM55</f>
        <v>https://babel.hathitrust.org/cgi/pt?id=mdp.39015076547101;view=1up;seq=159; https://ia601501.us.archive.org/22/items/192425/1924-25.pdf#page=36</v>
      </c>
      <c r="S56" s="7" t="str">
        <f>'AL post'!AN55&amp;"; "&amp;'AL post'!AO55</f>
        <v>https://ia601501.us.archive.org/22/items/192425/1924-25.pdf#page=34; https://ia601501.us.archive.org/22/items/192425/1924-25.pdf#page=37</v>
      </c>
      <c r="T56" s="7" t="str">
        <f>'AL post'!AP55</f>
        <v>https://ia601501.us.archive.org/22/items/192425/1924-25.pdf#page=34</v>
      </c>
      <c r="U56" s="7" t="str">
        <f>'AL post'!AQ55</f>
        <v>https://ia601501.us.archive.org/22/items/192425/1924-25.pdf#page=34</v>
      </c>
    </row>
    <row r="57" spans="1:21" x14ac:dyDescent="0.25">
      <c r="A57" s="27" t="s">
        <v>639</v>
      </c>
      <c r="B57" s="27" t="str">
        <f t="shared" si="0"/>
        <v>Alabama</v>
      </c>
      <c r="C57" s="27" t="str">
        <f t="shared" si="1"/>
        <v>Pike</v>
      </c>
      <c r="D57" s="27">
        <f>'AL post'!F56</f>
        <v>5122</v>
      </c>
      <c r="E57" s="27">
        <f>'AL post'!I56</f>
        <v>187</v>
      </c>
      <c r="F57" s="97">
        <f>'AL post'!L56</f>
        <v>117.38168684107771</v>
      </c>
      <c r="G57" s="27">
        <f>'AL post'!O56</f>
        <v>7721</v>
      </c>
      <c r="H57" s="115">
        <f>'AL post'!R56</f>
        <v>75.230603894128691</v>
      </c>
      <c r="I57" s="29">
        <f>'AL post'!U56</f>
        <v>150740</v>
      </c>
      <c r="J57" s="27">
        <v>84</v>
      </c>
      <c r="K57" s="2">
        <f>'AL post'!AA56</f>
        <v>468258</v>
      </c>
      <c r="L57" s="41">
        <v>1925</v>
      </c>
      <c r="M57" s="27" t="s">
        <v>552</v>
      </c>
      <c r="N57" s="27" t="str">
        <f>'AL post'!AD56&amp;"; "&amp;'AL post'!AE56</f>
        <v>https://ia601501.us.archive.org/22/items/192425/1924-25.pdf#page=32; https://ia601501.us.archive.org/22/items/192425/1924-25.pdf#page=35</v>
      </c>
      <c r="O57" s="27" t="str">
        <f>'AL post'!AF56&amp;"; "&amp;'AL post'!AG56</f>
        <v>https://ia601501.us.archive.org/22/items/192425/1924-25.pdf#page=32; https://ia601501.us.archive.org/22/items/192425/1924-25.pdf#page=35</v>
      </c>
      <c r="P57" s="27" t="str">
        <f>'AL post'!AH56&amp;"; "&amp;'AL post'!AI56</f>
        <v>https://ia601501.us.archive.org/22/items/192425/1924-25.pdf#page=32; https://ia601501.us.archive.org/22/items/192425/1924-25.pdf#page=35</v>
      </c>
      <c r="Q57" s="7" t="str">
        <f>'AL post'!AJ56&amp;"; "&amp;'AL post'!AK56</f>
        <v>https://ia601501.us.archive.org/22/items/192425/1924-25.pdf#page=32; https://ia601501.us.archive.org/22/items/192425/1924-25.pdf#page=35</v>
      </c>
      <c r="R57" s="7" t="str">
        <f>'AL post'!AL56&amp;"; "&amp;'AL post'!AM56</f>
        <v>https://babel.hathitrust.org/cgi/pt?id=mdp.39015076547101;view=1up;seq=159; https://ia601501.us.archive.org/22/items/192425/1924-25.pdf#page=36</v>
      </c>
      <c r="S57" s="7" t="str">
        <f>'AL post'!AN56&amp;"; "&amp;'AL post'!AO56</f>
        <v>https://ia601501.us.archive.org/22/items/192425/1924-25.pdf#page=34; https://ia601501.us.archive.org/22/items/192425/1924-25.pdf#page=37</v>
      </c>
      <c r="T57" s="7" t="str">
        <f>'AL post'!AP56</f>
        <v>https://ia601501.us.archive.org/22/items/192425/1924-25.pdf#page=34</v>
      </c>
      <c r="U57" s="7" t="str">
        <f>'AL post'!AQ56</f>
        <v>https://ia601501.us.archive.org/22/items/192425/1924-25.pdf#page=34</v>
      </c>
    </row>
    <row r="58" spans="1:21" x14ac:dyDescent="0.25">
      <c r="A58" s="27" t="s">
        <v>640</v>
      </c>
      <c r="B58" s="27" t="str">
        <f t="shared" si="0"/>
        <v>Alabama</v>
      </c>
      <c r="C58" s="27" t="str">
        <f t="shared" si="1"/>
        <v>Randolph</v>
      </c>
      <c r="D58" s="27">
        <f>'AL post'!F57</f>
        <v>4664</v>
      </c>
      <c r="E58" s="27">
        <f>'AL post'!I57</f>
        <v>203</v>
      </c>
      <c r="F58" s="97">
        <f>'AL post'!L57</f>
        <v>118.32568610634648</v>
      </c>
      <c r="G58" s="27">
        <f>'AL post'!O57</f>
        <v>7250</v>
      </c>
      <c r="H58" s="115">
        <f>'AL post'!R57</f>
        <v>75.941353932278716</v>
      </c>
      <c r="I58" s="29">
        <f>'AL post'!U57</f>
        <v>122415</v>
      </c>
      <c r="J58" s="27">
        <v>91</v>
      </c>
      <c r="K58" s="2">
        <f>'AL post'!AA57</f>
        <v>275700</v>
      </c>
      <c r="L58" s="41">
        <v>1925</v>
      </c>
      <c r="M58" s="27" t="s">
        <v>552</v>
      </c>
      <c r="N58" s="27" t="str">
        <f>'AL post'!AD57&amp;"; "&amp;'AL post'!AE57</f>
        <v>https://ia601501.us.archive.org/22/items/192425/1924-25.pdf#page=32; https://ia601501.us.archive.org/22/items/192425/1924-25.pdf#page=35</v>
      </c>
      <c r="O58" s="27" t="str">
        <f>'AL post'!AF57&amp;"; "&amp;'AL post'!AG57</f>
        <v>https://ia601501.us.archive.org/22/items/192425/1924-25.pdf#page=32; https://ia601501.us.archive.org/22/items/192425/1924-25.pdf#page=35</v>
      </c>
      <c r="P58" s="27" t="str">
        <f>'AL post'!AH57&amp;"; "&amp;'AL post'!AI57</f>
        <v>https://ia601501.us.archive.org/22/items/192425/1924-25.pdf#page=32; https://ia601501.us.archive.org/22/items/192425/1924-25.pdf#page=35</v>
      </c>
      <c r="Q58" s="7" t="str">
        <f>'AL post'!AJ57&amp;"; "&amp;'AL post'!AK57</f>
        <v>https://ia601501.us.archive.org/22/items/192425/1924-25.pdf#page=32; https://ia601501.us.archive.org/22/items/192425/1924-25.pdf#page=35</v>
      </c>
      <c r="R58" s="7" t="str">
        <f>'AL post'!AL57&amp;"; "&amp;'AL post'!AM57</f>
        <v>https://babel.hathitrust.org/cgi/pt?id=mdp.39015076547101;view=1up;seq=159; https://ia601501.us.archive.org/22/items/192425/1924-25.pdf#page=36</v>
      </c>
      <c r="S58" s="7" t="str">
        <f>'AL post'!AN57&amp;"; "&amp;'AL post'!AO57</f>
        <v>https://ia601501.us.archive.org/22/items/192425/1924-25.pdf#page=34; https://ia601501.us.archive.org/22/items/192425/1924-25.pdf#page=37</v>
      </c>
      <c r="T58" s="7" t="str">
        <f>'AL post'!AP57</f>
        <v>https://ia601501.us.archive.org/22/items/192425/1924-25.pdf#page=34</v>
      </c>
      <c r="U58" s="7" t="str">
        <f>'AL post'!AQ57</f>
        <v>https://ia601501.us.archive.org/22/items/192425/1924-25.pdf#page=34</v>
      </c>
    </row>
    <row r="59" spans="1:21" x14ac:dyDescent="0.25">
      <c r="A59" s="27" t="s">
        <v>641</v>
      </c>
      <c r="B59" s="27" t="str">
        <f t="shared" si="0"/>
        <v>Alabama</v>
      </c>
      <c r="C59" s="27" t="str">
        <f t="shared" si="1"/>
        <v>Russell</v>
      </c>
      <c r="D59" s="27">
        <f>'AL post'!F58</f>
        <v>3229</v>
      </c>
      <c r="E59" s="27">
        <f>'AL post'!I58</f>
        <v>90</v>
      </c>
      <c r="F59" s="97">
        <f>'AL post'!L58</f>
        <v>100.77516258903685</v>
      </c>
      <c r="G59" s="27">
        <f>'AL post'!O58</f>
        <v>4776</v>
      </c>
      <c r="H59" s="115">
        <f>'AL post'!R58</f>
        <v>127.56009078656994</v>
      </c>
      <c r="I59" s="29">
        <f>'AL post'!U58</f>
        <v>55225</v>
      </c>
      <c r="J59" s="27">
        <v>59</v>
      </c>
      <c r="K59" s="2">
        <f>'AL post'!AA58</f>
        <v>91430</v>
      </c>
      <c r="L59" s="41">
        <v>1925</v>
      </c>
      <c r="M59" s="27" t="s">
        <v>552</v>
      </c>
      <c r="N59" s="27" t="str">
        <f>'AL post'!AD58&amp;"; "&amp;'AL post'!AE58</f>
        <v>https://ia601501.us.archive.org/22/items/192425/1924-25.pdf#page=32; https://ia601501.us.archive.org/22/items/192425/1924-25.pdf#page=35</v>
      </c>
      <c r="O59" s="27" t="str">
        <f>'AL post'!AF58&amp;"; "&amp;'AL post'!AG58</f>
        <v>https://ia601501.us.archive.org/22/items/192425/1924-25.pdf#page=32; https://ia601501.us.archive.org/22/items/192425/1924-25.pdf#page=35</v>
      </c>
      <c r="P59" s="27" t="str">
        <f>'AL post'!AH58&amp;"; "&amp;'AL post'!AI58</f>
        <v>https://ia601501.us.archive.org/22/items/192425/1924-25.pdf#page=32; https://ia601501.us.archive.org/22/items/192425/1924-25.pdf#page=35</v>
      </c>
      <c r="Q59" s="7" t="str">
        <f>'AL post'!AJ58&amp;"; "&amp;'AL post'!AK58</f>
        <v>https://ia601501.us.archive.org/22/items/192425/1924-25.pdf#page=32; https://ia601501.us.archive.org/22/items/192425/1924-25.pdf#page=35</v>
      </c>
      <c r="R59" s="7" t="str">
        <f>'AL post'!AL58&amp;"; "&amp;'AL post'!AM58</f>
        <v>https://babel.hathitrust.org/cgi/pt?id=mdp.39015076547101;view=1up;seq=159; https://ia601501.us.archive.org/22/items/192425/1924-25.pdf#page=36</v>
      </c>
      <c r="S59" s="7" t="str">
        <f>'AL post'!AN58&amp;"; "&amp;'AL post'!AO58</f>
        <v>https://ia601501.us.archive.org/22/items/192425/1924-25.pdf#page=34; https://ia601501.us.archive.org/22/items/192425/1924-25.pdf#page=37</v>
      </c>
      <c r="T59" s="7" t="str">
        <f>'AL post'!AP58</f>
        <v>https://ia601501.us.archive.org/22/items/192425/1924-25.pdf#page=34</v>
      </c>
      <c r="U59" s="7" t="str">
        <f>'AL post'!AQ58</f>
        <v>https://ia601501.us.archive.org/22/items/192425/1924-25.pdf#page=34</v>
      </c>
    </row>
    <row r="60" spans="1:21" x14ac:dyDescent="0.25">
      <c r="A60" s="27" t="s">
        <v>642</v>
      </c>
      <c r="B60" s="27" t="str">
        <f t="shared" si="0"/>
        <v>Alabama</v>
      </c>
      <c r="C60" s="27" t="str">
        <f t="shared" si="1"/>
        <v>Shelby</v>
      </c>
      <c r="D60" s="27">
        <f>'AL post'!F59</f>
        <v>5551</v>
      </c>
      <c r="E60" s="27">
        <f>'AL post'!I59</f>
        <v>210</v>
      </c>
      <c r="F60" s="97">
        <f>'AL post'!L59</f>
        <v>111.59881102504053</v>
      </c>
      <c r="G60" s="27">
        <f>'AL post'!O59</f>
        <v>6708</v>
      </c>
      <c r="H60" s="115">
        <f>'AL post'!R59</f>
        <v>62.662384615177658</v>
      </c>
      <c r="I60" s="29">
        <f>'AL post'!U59</f>
        <v>110502</v>
      </c>
      <c r="J60" s="27">
        <v>119</v>
      </c>
      <c r="K60" s="2">
        <f>'AL post'!AA59</f>
        <v>226307</v>
      </c>
      <c r="L60" s="41">
        <v>1925</v>
      </c>
      <c r="M60" s="27" t="s">
        <v>552</v>
      </c>
      <c r="N60" s="27" t="str">
        <f>'AL post'!AD59&amp;"; "&amp;'AL post'!AE59</f>
        <v>https://ia601501.us.archive.org/22/items/192425/1924-25.pdf#page=38; https://ia601501.us.archive.org/22/items/192425/1924-25.pdf#page=41</v>
      </c>
      <c r="O60" s="27" t="str">
        <f>'AL post'!AF59&amp;"; "&amp;'AL post'!AG59</f>
        <v>https://ia601501.us.archive.org/22/items/192425/1924-25.pdf#page=38; https://ia601501.us.archive.org/22/items/192425/1924-25.pdf#page=41</v>
      </c>
      <c r="P60" s="27" t="str">
        <f>'AL post'!AH59&amp;"; "&amp;'AL post'!AI59</f>
        <v>https://ia601501.us.archive.org/22/items/192425/1924-25.pdf#page=38; https://ia601501.us.archive.org/22/items/192425/1924-25.pdf#page=41</v>
      </c>
      <c r="Q60" s="7" t="str">
        <f>'AL post'!AJ59&amp;"; "&amp;'AL post'!AK59</f>
        <v>https://ia601501.us.archive.org/22/items/192425/1924-25.pdf#page=38; https://ia601501.us.archive.org/22/items/192425/1924-25.pdf#page=41</v>
      </c>
      <c r="R60" s="7" t="str">
        <f>'AL post'!AL59&amp;"; "&amp;'AL post'!AM59</f>
        <v>https://babel.hathitrust.org/cgi/pt?id=mdp.39015076547101;view=1up;seq=179; https://ia601501.us.archive.org/22/items/192425/1924-25.pdf#page=42</v>
      </c>
      <c r="S60" s="7" t="str">
        <f>'AL post'!AN59&amp;"; "&amp;'AL post'!AO59</f>
        <v>https://ia601501.us.archive.org/22/items/192425/1924-25.pdf#page=40; https://ia601501.us.archive.org/22/items/192425/1924-25.pdf#page=43</v>
      </c>
      <c r="T60" s="7" t="str">
        <f>'AL post'!AP59</f>
        <v>https://ia601501.us.archive.org/22/items/192425/1924-25.pdf#page=40</v>
      </c>
      <c r="U60" s="7" t="str">
        <f>'AL post'!AQ59</f>
        <v>https://ia601501.us.archive.org/22/items/192425/1924-25.pdf#page=40</v>
      </c>
    </row>
    <row r="61" spans="1:21" x14ac:dyDescent="0.25">
      <c r="A61" s="27" t="s">
        <v>1745</v>
      </c>
      <c r="B61" s="27" t="str">
        <f t="shared" si="0"/>
        <v>Alabama</v>
      </c>
      <c r="C61" s="27" t="str">
        <f t="shared" si="1"/>
        <v>St Clair</v>
      </c>
      <c r="D61" s="27">
        <f>'AL post'!F60</f>
        <v>4816</v>
      </c>
      <c r="E61" s="27">
        <f>'AL post'!I60</f>
        <v>183</v>
      </c>
      <c r="F61" s="97">
        <f>'AL post'!L60</f>
        <v>128.03176910299004</v>
      </c>
      <c r="G61" s="27">
        <f>'AL post'!O60</f>
        <v>6478</v>
      </c>
      <c r="H61" s="115">
        <f>'AL post'!R60</f>
        <v>91.134313877269491</v>
      </c>
      <c r="I61" s="29">
        <f>'AL post'!U60</f>
        <v>134738</v>
      </c>
      <c r="J61" s="27">
        <v>87</v>
      </c>
      <c r="K61" s="2">
        <f>'AL post'!AA60</f>
        <v>305403</v>
      </c>
      <c r="L61" s="41">
        <v>1925</v>
      </c>
      <c r="M61" s="27" t="s">
        <v>552</v>
      </c>
      <c r="N61" s="27" t="str">
        <f>'AL post'!AD60&amp;"; "&amp;'AL post'!AE60</f>
        <v>https://ia601501.us.archive.org/22/items/192425/1924-25.pdf#page=38; https://ia601501.us.archive.org/22/items/192425/1924-25.pdf#page=41</v>
      </c>
      <c r="O61" s="27" t="str">
        <f>'AL post'!AF60&amp;"; "&amp;'AL post'!AG60</f>
        <v>https://ia601501.us.archive.org/22/items/192425/1924-25.pdf#page=38; https://ia601501.us.archive.org/22/items/192425/1924-25.pdf#page=41</v>
      </c>
      <c r="P61" s="27" t="str">
        <f>'AL post'!AH60&amp;"; "&amp;'AL post'!AI60</f>
        <v>https://ia601501.us.archive.org/22/items/192425/1924-25.pdf#page=38; https://ia601501.us.archive.org/22/items/192425/1924-25.pdf#page=41</v>
      </c>
      <c r="Q61" s="7" t="str">
        <f>'AL post'!AJ60&amp;"; "&amp;'AL post'!AK60</f>
        <v>https://ia601501.us.archive.org/22/items/192425/1924-25.pdf#page=38; https://ia601501.us.archive.org/22/items/192425/1924-25.pdf#page=41</v>
      </c>
      <c r="R61" s="7" t="str">
        <f>'AL post'!AL60&amp;"; "&amp;'AL post'!AM60</f>
        <v>https://babel.hathitrust.org/cgi/pt?id=mdp.39015076547101;view=1up;seq=179; https://ia601501.us.archive.org/22/items/192425/1924-25.pdf#page=42</v>
      </c>
      <c r="S61" s="7" t="str">
        <f>'AL post'!AN60&amp;"; "&amp;'AL post'!AO60</f>
        <v>https://ia601501.us.archive.org/22/items/192425/1924-25.pdf#page=40; https://ia601501.us.archive.org/22/items/192425/1924-25.pdf#page=43</v>
      </c>
      <c r="T61" s="7" t="str">
        <f>'AL post'!AP60</f>
        <v>https://ia601501.us.archive.org/22/items/192425/1924-25.pdf#page=40</v>
      </c>
      <c r="U61" s="7" t="str">
        <f>'AL post'!AQ60</f>
        <v>https://ia601501.us.archive.org/22/items/192425/1924-25.pdf#page=40</v>
      </c>
    </row>
    <row r="62" spans="1:21" x14ac:dyDescent="0.25">
      <c r="A62" s="27" t="s">
        <v>643</v>
      </c>
      <c r="B62" s="27" t="str">
        <f t="shared" si="0"/>
        <v>Alabama</v>
      </c>
      <c r="C62" s="27" t="str">
        <f t="shared" si="1"/>
        <v>Sumter</v>
      </c>
      <c r="D62" s="27">
        <f>'AL post'!F61</f>
        <v>7032</v>
      </c>
      <c r="E62" s="27">
        <f>'AL post'!I61</f>
        <v>141</v>
      </c>
      <c r="F62" s="97">
        <f>'AL post'!L61</f>
        <v>93.784271899886235</v>
      </c>
      <c r="G62" s="27">
        <f>'AL post'!O61</f>
        <v>7766</v>
      </c>
      <c r="H62" s="115">
        <f>'AL post'!R61</f>
        <v>100.51285393309611</v>
      </c>
      <c r="I62" s="29">
        <f>'AL post'!U61</f>
        <v>123723</v>
      </c>
      <c r="J62" s="27">
        <v>91</v>
      </c>
      <c r="K62" s="2">
        <f>'AL post'!AA61</f>
        <v>109285</v>
      </c>
      <c r="L62" s="41">
        <v>1925</v>
      </c>
      <c r="M62" s="27" t="s">
        <v>552</v>
      </c>
      <c r="N62" s="27" t="str">
        <f>'AL post'!AD61&amp;"; "&amp;'AL post'!AE61</f>
        <v>https://ia601501.us.archive.org/22/items/192425/1924-25.pdf#page=38; https://ia601501.us.archive.org/22/items/192425/1924-25.pdf#page=41</v>
      </c>
      <c r="O62" s="27" t="str">
        <f>'AL post'!AF61&amp;"; "&amp;'AL post'!AG61</f>
        <v>https://ia601501.us.archive.org/22/items/192425/1924-25.pdf#page=38; https://ia601501.us.archive.org/22/items/192425/1924-25.pdf#page=41</v>
      </c>
      <c r="P62" s="27" t="str">
        <f>'AL post'!AH61&amp;"; "&amp;'AL post'!AI61</f>
        <v>https://ia601501.us.archive.org/22/items/192425/1924-25.pdf#page=38; https://ia601501.us.archive.org/22/items/192425/1924-25.pdf#page=41</v>
      </c>
      <c r="Q62" s="7" t="str">
        <f>'AL post'!AJ61&amp;"; "&amp;'AL post'!AK61</f>
        <v>https://ia601501.us.archive.org/22/items/192425/1924-25.pdf#page=38; https://ia601501.us.archive.org/22/items/192425/1924-25.pdf#page=41</v>
      </c>
      <c r="R62" s="7" t="str">
        <f>'AL post'!AL61&amp;"; "&amp;'AL post'!AM61</f>
        <v>https://babel.hathitrust.org/cgi/pt?id=mdp.39015076547101;view=1up;seq=179; https://ia601501.us.archive.org/22/items/192425/1924-25.pdf#page=42</v>
      </c>
      <c r="S62" s="7" t="str">
        <f>'AL post'!AN61&amp;"; "&amp;'AL post'!AO61</f>
        <v>https://ia601501.us.archive.org/22/items/192425/1924-25.pdf#page=40; https://ia601501.us.archive.org/22/items/192425/1924-25.pdf#page=43</v>
      </c>
      <c r="T62" s="7" t="str">
        <f>'AL post'!AP61</f>
        <v>https://ia601501.us.archive.org/22/items/192425/1924-25.pdf#page=40</v>
      </c>
      <c r="U62" s="7" t="str">
        <f>'AL post'!AQ61</f>
        <v>https://ia601501.us.archive.org/22/items/192425/1924-25.pdf#page=40</v>
      </c>
    </row>
    <row r="63" spans="1:21" x14ac:dyDescent="0.25">
      <c r="A63" s="27" t="s">
        <v>644</v>
      </c>
      <c r="B63" s="27" t="str">
        <f t="shared" si="0"/>
        <v>Alabama</v>
      </c>
      <c r="C63" s="27" t="str">
        <f t="shared" si="1"/>
        <v>Talladega</v>
      </c>
      <c r="D63" s="27">
        <f>'AL post'!F62</f>
        <v>8123</v>
      </c>
      <c r="E63" s="27">
        <f>'AL post'!I62</f>
        <v>262</v>
      </c>
      <c r="F63" s="97">
        <f>'AL post'!L62</f>
        <v>143.77422134679307</v>
      </c>
      <c r="G63" s="27">
        <f>'AL post'!O62</f>
        <v>11696</v>
      </c>
      <c r="H63" s="115">
        <f>'AL post'!R62</f>
        <v>85.226927328979983</v>
      </c>
      <c r="I63" s="29">
        <f>'AL post'!U62</f>
        <v>352963</v>
      </c>
      <c r="J63" s="27">
        <v>112</v>
      </c>
      <c r="K63" s="2">
        <f>'AL post'!AA62</f>
        <v>901051</v>
      </c>
      <c r="L63" s="41">
        <v>1925</v>
      </c>
      <c r="M63" s="27" t="s">
        <v>552</v>
      </c>
      <c r="N63" s="27" t="str">
        <f>'AL post'!AD62&amp;"; "&amp;'AL post'!AE62</f>
        <v>https://ia601501.us.archive.org/22/items/192425/1924-25.pdf#page=38; https://ia601501.us.archive.org/22/items/192425/1924-25.pdf#page=41</v>
      </c>
      <c r="O63" s="27" t="str">
        <f>'AL post'!AF62&amp;"; "&amp;'AL post'!AG62</f>
        <v>https://ia601501.us.archive.org/22/items/192425/1924-25.pdf#page=38; https://ia601501.us.archive.org/22/items/192425/1924-25.pdf#page=41</v>
      </c>
      <c r="P63" s="27" t="str">
        <f>'AL post'!AH62&amp;"; "&amp;'AL post'!AI62</f>
        <v>https://ia601501.us.archive.org/22/items/192425/1924-25.pdf#page=38; https://ia601501.us.archive.org/22/items/192425/1924-25.pdf#page=41</v>
      </c>
      <c r="Q63" s="7" t="str">
        <f>'AL post'!AJ62&amp;"; "&amp;'AL post'!AK62</f>
        <v>https://ia601501.us.archive.org/22/items/192425/1924-25.pdf#page=38; https://ia601501.us.archive.org/22/items/192425/1924-25.pdf#page=41</v>
      </c>
      <c r="R63" s="7" t="str">
        <f>'AL post'!AL62&amp;"; "&amp;'AL post'!AM62</f>
        <v>https://babel.hathitrust.org/cgi/pt?id=mdp.39015076547101;view=1up;seq=179; https://ia601501.us.archive.org/22/items/192425/1924-25.pdf#page=42</v>
      </c>
      <c r="S63" s="7" t="str">
        <f>'AL post'!AN62&amp;"; "&amp;'AL post'!AO62</f>
        <v>https://ia601501.us.archive.org/22/items/192425/1924-25.pdf#page=40; https://ia601501.us.archive.org/22/items/192425/1924-25.pdf#page=43</v>
      </c>
      <c r="T63" s="7" t="str">
        <f>'AL post'!AP62</f>
        <v>https://ia601501.us.archive.org/22/items/192425/1924-25.pdf#page=40</v>
      </c>
      <c r="U63" s="7" t="str">
        <f>'AL post'!AQ62</f>
        <v>https://ia601501.us.archive.org/22/items/192425/1924-25.pdf#page=40</v>
      </c>
    </row>
    <row r="64" spans="1:21" x14ac:dyDescent="0.25">
      <c r="A64" s="27" t="s">
        <v>645</v>
      </c>
      <c r="B64" s="27" t="str">
        <f t="shared" si="0"/>
        <v>Alabama</v>
      </c>
      <c r="C64" s="27" t="str">
        <f t="shared" si="1"/>
        <v>Tallapoosa</v>
      </c>
      <c r="D64" s="27">
        <f>'AL post'!F63</f>
        <v>5115</v>
      </c>
      <c r="E64" s="27">
        <f>'AL post'!I63</f>
        <v>195</v>
      </c>
      <c r="F64" s="97">
        <f>'AL post'!L63</f>
        <v>118.42658846529814</v>
      </c>
      <c r="G64" s="27">
        <f>'AL post'!O63</f>
        <v>6830</v>
      </c>
      <c r="H64" s="115">
        <f>'AL post'!R63</f>
        <v>82.250240514777829</v>
      </c>
      <c r="I64" s="29">
        <f>'AL post'!U63</f>
        <v>117750</v>
      </c>
      <c r="J64" s="27">
        <v>97</v>
      </c>
      <c r="K64" s="2">
        <f>'AL post'!AA63</f>
        <v>273100</v>
      </c>
      <c r="L64" s="41">
        <v>1925</v>
      </c>
      <c r="M64" s="27" t="s">
        <v>552</v>
      </c>
      <c r="N64" s="27" t="str">
        <f>'AL post'!AD63&amp;"; "&amp;'AL post'!AE63</f>
        <v>https://ia601501.us.archive.org/22/items/192425/1924-25.pdf#page=38; https://ia601501.us.archive.org/22/items/192425/1924-25.pdf#page=41</v>
      </c>
      <c r="O64" s="27" t="str">
        <f>'AL post'!AF63&amp;"; "&amp;'AL post'!AG63</f>
        <v>https://ia601501.us.archive.org/22/items/192425/1924-25.pdf#page=38; https://ia601501.us.archive.org/22/items/192425/1924-25.pdf#page=41</v>
      </c>
      <c r="P64" s="27" t="str">
        <f>'AL post'!AH63&amp;"; "&amp;'AL post'!AI63</f>
        <v>https://ia601501.us.archive.org/22/items/192425/1924-25.pdf#page=38; https://ia601501.us.archive.org/22/items/192425/1924-25.pdf#page=41</v>
      </c>
      <c r="Q64" s="7" t="str">
        <f>'AL post'!AJ63&amp;"; "&amp;'AL post'!AK63</f>
        <v>https://ia601501.us.archive.org/22/items/192425/1924-25.pdf#page=38; https://ia601501.us.archive.org/22/items/192425/1924-25.pdf#page=41</v>
      </c>
      <c r="R64" s="7" t="str">
        <f>'AL post'!AL63&amp;"; "&amp;'AL post'!AM63</f>
        <v>https://babel.hathitrust.org/cgi/pt?id=mdp.39015076547101;view=1up;seq=179; https://ia601501.us.archive.org/22/items/192425/1924-25.pdf#page=42</v>
      </c>
      <c r="S64" s="7" t="str">
        <f>'AL post'!AN63&amp;"; "&amp;'AL post'!AO63</f>
        <v>https://ia601501.us.archive.org/22/items/192425/1924-25.pdf#page=40; https://ia601501.us.archive.org/22/items/192425/1924-25.pdf#page=43</v>
      </c>
      <c r="T64" s="7" t="str">
        <f>'AL post'!AP63</f>
        <v>https://ia601501.us.archive.org/22/items/192425/1924-25.pdf#page=40</v>
      </c>
      <c r="U64" s="7" t="str">
        <f>'AL post'!AQ63</f>
        <v>https://ia601501.us.archive.org/22/items/192425/1924-25.pdf#page=40</v>
      </c>
    </row>
    <row r="65" spans="1:21" x14ac:dyDescent="0.25">
      <c r="A65" s="27" t="s">
        <v>646</v>
      </c>
      <c r="B65" s="27" t="str">
        <f t="shared" si="0"/>
        <v>Alabama</v>
      </c>
      <c r="C65" s="27" t="str">
        <f t="shared" si="1"/>
        <v>Tuscaloosa</v>
      </c>
      <c r="D65" s="27">
        <f>'AL post'!F64</f>
        <v>9650</v>
      </c>
      <c r="E65" s="27">
        <f>'AL post'!I64</f>
        <v>392</v>
      </c>
      <c r="F65" s="97">
        <f>'AL post'!L64</f>
        <v>149.72787564766838</v>
      </c>
      <c r="G65" s="27">
        <f>'AL post'!O64</f>
        <v>14262</v>
      </c>
      <c r="H65" s="115">
        <f>'AL post'!R64</f>
        <v>74.995918717635234</v>
      </c>
      <c r="I65" s="29">
        <f>'AL post'!U64</f>
        <v>360392</v>
      </c>
      <c r="J65" s="27">
        <v>150</v>
      </c>
      <c r="K65" s="2">
        <f>'AL post'!AA64</f>
        <v>1509387</v>
      </c>
      <c r="L65" s="41">
        <v>1925</v>
      </c>
      <c r="M65" s="27" t="s">
        <v>552</v>
      </c>
      <c r="N65" s="27" t="str">
        <f>'AL post'!AD64&amp;"; "&amp;'AL post'!AE64</f>
        <v>https://ia601501.us.archive.org/22/items/192425/1924-25.pdf#page=38; https://ia601501.us.archive.org/22/items/192425/1924-25.pdf#page=41</v>
      </c>
      <c r="O65" s="27" t="str">
        <f>'AL post'!AF64&amp;"; "&amp;'AL post'!AG64</f>
        <v>https://ia601501.us.archive.org/22/items/192425/1924-25.pdf#page=38; https://ia601501.us.archive.org/22/items/192425/1924-25.pdf#page=41</v>
      </c>
      <c r="P65" s="27" t="str">
        <f>'AL post'!AH64&amp;"; "&amp;'AL post'!AI64</f>
        <v>https://ia601501.us.archive.org/22/items/192425/1924-25.pdf#page=38; https://ia601501.us.archive.org/22/items/192425/1924-25.pdf#page=41</v>
      </c>
      <c r="Q65" s="7" t="str">
        <f>'AL post'!AJ64&amp;"; "&amp;'AL post'!AK64</f>
        <v>https://ia601501.us.archive.org/22/items/192425/1924-25.pdf#page=38; https://ia601501.us.archive.org/22/items/192425/1924-25.pdf#page=41</v>
      </c>
      <c r="R65" s="7" t="str">
        <f>'AL post'!AL64&amp;"; "&amp;'AL post'!AM64</f>
        <v>https://babel.hathitrust.org/cgi/pt?id=mdp.39015076547101;view=1up;seq=179; https://ia601501.us.archive.org/22/items/192425/1924-25.pdf#page=42</v>
      </c>
      <c r="S65" s="7" t="str">
        <f>'AL post'!AN64&amp;"; "&amp;'AL post'!AO64</f>
        <v>https://ia601501.us.archive.org/22/items/192425/1924-25.pdf#page=40; https://ia601501.us.archive.org/22/items/192425/1924-25.pdf#page=43</v>
      </c>
      <c r="T65" s="7" t="str">
        <f>'AL post'!AP64</f>
        <v>https://ia601501.us.archive.org/22/items/192425/1924-25.pdf#page=40</v>
      </c>
      <c r="U65" s="7" t="str">
        <f>'AL post'!AQ64</f>
        <v>https://ia601501.us.archive.org/22/items/192425/1924-25.pdf#page=40</v>
      </c>
    </row>
    <row r="66" spans="1:21" x14ac:dyDescent="0.25">
      <c r="A66" s="27" t="s">
        <v>647</v>
      </c>
      <c r="B66" s="27" t="str">
        <f t="shared" si="0"/>
        <v>Alabama</v>
      </c>
      <c r="C66" s="27" t="str">
        <f t="shared" si="1"/>
        <v>Walker</v>
      </c>
      <c r="D66" s="27">
        <f>'AL post'!F65</f>
        <v>11440</v>
      </c>
      <c r="E66" s="27">
        <f>'AL post'!I65</f>
        <v>372</v>
      </c>
      <c r="F66" s="97">
        <f>'AL post'!L65</f>
        <v>143.54038461538462</v>
      </c>
      <c r="G66" s="27">
        <f>'AL post'!O65</f>
        <v>16075</v>
      </c>
      <c r="H66" s="115">
        <f>'AL post'!R65</f>
        <v>94.753222341838992</v>
      </c>
      <c r="I66" s="29">
        <f>'AL post'!U65</f>
        <v>431840</v>
      </c>
      <c r="J66" s="27">
        <v>110</v>
      </c>
      <c r="K66" s="2">
        <f>'AL post'!AA65</f>
        <v>786659</v>
      </c>
      <c r="L66" s="41">
        <v>1925</v>
      </c>
      <c r="M66" s="27" t="s">
        <v>552</v>
      </c>
      <c r="N66" s="27" t="str">
        <f>'AL post'!AD65&amp;"; "&amp;'AL post'!AE65</f>
        <v>https://ia601501.us.archive.org/22/items/192425/1924-25.pdf#page=38; https://ia601501.us.archive.org/22/items/192425/1924-25.pdf#page=41</v>
      </c>
      <c r="O66" s="27" t="str">
        <f>'AL post'!AF65&amp;"; "&amp;'AL post'!AG65</f>
        <v>https://ia601501.us.archive.org/22/items/192425/1924-25.pdf#page=38; https://ia601501.us.archive.org/22/items/192425/1924-25.pdf#page=41</v>
      </c>
      <c r="P66" s="27" t="str">
        <f>'AL post'!AH65&amp;"; "&amp;'AL post'!AI65</f>
        <v>https://ia601501.us.archive.org/22/items/192425/1924-25.pdf#page=38; https://ia601501.us.archive.org/22/items/192425/1924-25.pdf#page=41</v>
      </c>
      <c r="Q66" s="7" t="str">
        <f>'AL post'!AJ65&amp;"; "&amp;'AL post'!AK65</f>
        <v>https://ia601501.us.archive.org/22/items/192425/1924-25.pdf#page=38; https://ia601501.us.archive.org/22/items/192425/1924-25.pdf#page=41</v>
      </c>
      <c r="R66" s="7" t="str">
        <f>'AL post'!AL65&amp;"; "&amp;'AL post'!AM65</f>
        <v>https://babel.hathitrust.org/cgi/pt?id=mdp.39015076547101;view=1up;seq=179; https://ia601501.us.archive.org/22/items/192425/1924-25.pdf#page=42</v>
      </c>
      <c r="S66" s="7" t="str">
        <f>'AL post'!AN65&amp;"; "&amp;'AL post'!AO65</f>
        <v>https://ia601501.us.archive.org/22/items/192425/1924-25.pdf#page=40; https://ia601501.us.archive.org/22/items/192425/1924-25.pdf#page=43</v>
      </c>
      <c r="T66" s="7" t="str">
        <f>'AL post'!AP65</f>
        <v>https://ia601501.us.archive.org/22/items/192425/1924-25.pdf#page=40</v>
      </c>
      <c r="U66" s="7" t="str">
        <f>'AL post'!AQ65</f>
        <v>https://ia601501.us.archive.org/22/items/192425/1924-25.pdf#page=40</v>
      </c>
    </row>
    <row r="67" spans="1:21" x14ac:dyDescent="0.25">
      <c r="A67" s="27" t="s">
        <v>648</v>
      </c>
      <c r="B67" s="27" t="str">
        <f t="shared" ref="B67:B130" si="2">LEFT(A67,FIND(";",A67)-1)</f>
        <v>Alabama</v>
      </c>
      <c r="C67" s="27" t="str">
        <f t="shared" ref="C67:C130" si="3">MID(A67,FIND(";",A67)+1,100)</f>
        <v>Washington</v>
      </c>
      <c r="D67" s="27">
        <f>'AL post'!F66</f>
        <v>2451</v>
      </c>
      <c r="E67" s="27">
        <f>'AL post'!I66</f>
        <v>117</v>
      </c>
      <c r="F67" s="97">
        <f>'AL post'!L66</f>
        <v>115.21787025703794</v>
      </c>
      <c r="G67" s="27">
        <f>'AL post'!O66</f>
        <v>3629</v>
      </c>
      <c r="H67" s="115">
        <f>'AL post'!R66</f>
        <v>76.044708882077288</v>
      </c>
      <c r="I67" s="29">
        <f>'AL post'!U66</f>
        <v>96663</v>
      </c>
      <c r="J67" s="27">
        <v>72</v>
      </c>
      <c r="K67" s="2">
        <f>'AL post'!AA66</f>
        <v>153210</v>
      </c>
      <c r="L67" s="41">
        <v>1925</v>
      </c>
      <c r="M67" s="27" t="s">
        <v>552</v>
      </c>
      <c r="N67" s="27" t="str">
        <f>'AL post'!AD66&amp;"; "&amp;'AL post'!AE66</f>
        <v>https://ia601501.us.archive.org/22/items/192425/1924-25.pdf#page=38; https://ia601501.us.archive.org/22/items/192425/1924-25.pdf#page=41</v>
      </c>
      <c r="O67" s="27" t="str">
        <f>'AL post'!AF66&amp;"; "&amp;'AL post'!AG66</f>
        <v>https://ia601501.us.archive.org/22/items/192425/1924-25.pdf#page=38; https://ia601501.us.archive.org/22/items/192425/1924-25.pdf#page=41</v>
      </c>
      <c r="P67" s="27" t="str">
        <f>'AL post'!AH66&amp;"; "&amp;'AL post'!AI66</f>
        <v>https://ia601501.us.archive.org/22/items/192425/1924-25.pdf#page=38; https://ia601501.us.archive.org/22/items/192425/1924-25.pdf#page=41</v>
      </c>
      <c r="Q67" s="7" t="str">
        <f>'AL post'!AJ66&amp;"; "&amp;'AL post'!AK66</f>
        <v>https://ia601501.us.archive.org/22/items/192425/1924-25.pdf#page=38; https://ia601501.us.archive.org/22/items/192425/1924-25.pdf#page=41</v>
      </c>
      <c r="R67" s="7" t="str">
        <f>'AL post'!AL66&amp;"; "&amp;'AL post'!AM66</f>
        <v>https://babel.hathitrust.org/cgi/pt?id=mdp.39015076547101;view=1up;seq=179; https://ia601501.us.archive.org/22/items/192425/1924-25.pdf#page=42</v>
      </c>
      <c r="S67" s="7" t="str">
        <f>'AL post'!AN66&amp;"; "&amp;'AL post'!AO66</f>
        <v>https://ia601501.us.archive.org/22/items/192425/1924-25.pdf#page=40; https://ia601501.us.archive.org/22/items/192425/1924-25.pdf#page=43</v>
      </c>
      <c r="T67" s="7" t="str">
        <f>'AL post'!AP66</f>
        <v>https://ia601501.us.archive.org/22/items/192425/1924-25.pdf#page=40</v>
      </c>
      <c r="U67" s="7" t="str">
        <f>'AL post'!AQ66</f>
        <v>https://ia601501.us.archive.org/22/items/192425/1924-25.pdf#page=40</v>
      </c>
    </row>
    <row r="68" spans="1:21" x14ac:dyDescent="0.25">
      <c r="A68" s="27" t="s">
        <v>649</v>
      </c>
      <c r="B68" s="27" t="str">
        <f t="shared" si="2"/>
        <v>Alabama</v>
      </c>
      <c r="C68" s="27" t="str">
        <f t="shared" si="3"/>
        <v>Wilcox</v>
      </c>
      <c r="D68" s="27">
        <f>'AL post'!F67</f>
        <v>3339</v>
      </c>
      <c r="E68" s="27">
        <f>'AL post'!I67</f>
        <v>138</v>
      </c>
      <c r="F68" s="97">
        <f>'AL post'!L67</f>
        <v>109.30607966457023</v>
      </c>
      <c r="G68" s="27">
        <f>'AL post'!O67</f>
        <v>4341</v>
      </c>
      <c r="H68" s="115">
        <f>'AL post'!R67</f>
        <v>89.732070710650547</v>
      </c>
      <c r="I68" s="29">
        <f>'AL post'!U67</f>
        <v>81984</v>
      </c>
      <c r="J68" s="27">
        <v>85</v>
      </c>
      <c r="K68" s="2">
        <f>'AL post'!AA67</f>
        <v>165850</v>
      </c>
      <c r="L68" s="41">
        <v>1925</v>
      </c>
      <c r="M68" s="27" t="s">
        <v>552</v>
      </c>
      <c r="N68" s="27" t="str">
        <f>'AL post'!AD67&amp;"; "&amp;'AL post'!AE67</f>
        <v>https://ia601501.us.archive.org/22/items/192425/1924-25.pdf#page=38; https://ia601501.us.archive.org/22/items/192425/1924-25.pdf#page=41</v>
      </c>
      <c r="O68" s="27" t="str">
        <f>'AL post'!AF67&amp;"; "&amp;'AL post'!AG67</f>
        <v>https://ia601501.us.archive.org/22/items/192425/1924-25.pdf#page=38; https://ia601501.us.archive.org/22/items/192425/1924-25.pdf#page=41</v>
      </c>
      <c r="P68" s="27" t="str">
        <f>'AL post'!AH67&amp;"; "&amp;'AL post'!AI67</f>
        <v>https://ia601501.us.archive.org/22/items/192425/1924-25.pdf#page=38; https://ia601501.us.archive.org/22/items/192425/1924-25.pdf#page=41</v>
      </c>
      <c r="Q68" s="7" t="str">
        <f>'AL post'!AJ67&amp;"; "&amp;'AL post'!AK67</f>
        <v>https://ia601501.us.archive.org/22/items/192425/1924-25.pdf#page=38; https://ia601501.us.archive.org/22/items/192425/1924-25.pdf#page=41</v>
      </c>
      <c r="R68" s="7" t="str">
        <f>'AL post'!AL67&amp;"; "&amp;'AL post'!AM67</f>
        <v>https://babel.hathitrust.org/cgi/pt?id=mdp.39015076547101;view=1up;seq=179; https://ia601501.us.archive.org/22/items/192425/1924-25.pdf#page=42</v>
      </c>
      <c r="S68" s="7" t="str">
        <f>'AL post'!AN67&amp;"; "&amp;'AL post'!AO67</f>
        <v>https://ia601501.us.archive.org/22/items/192425/1924-25.pdf#page=40; https://ia601501.us.archive.org/22/items/192425/1924-25.pdf#page=43</v>
      </c>
      <c r="T68" s="7" t="str">
        <f>'AL post'!AP67</f>
        <v>https://ia601501.us.archive.org/22/items/192425/1924-25.pdf#page=40</v>
      </c>
      <c r="U68" s="7" t="str">
        <f>'AL post'!AQ67</f>
        <v>https://ia601501.us.archive.org/22/items/192425/1924-25.pdf#page=40</v>
      </c>
    </row>
    <row r="69" spans="1:21" x14ac:dyDescent="0.25">
      <c r="A69" s="27" t="s">
        <v>1776</v>
      </c>
      <c r="B69" s="27" t="str">
        <f t="shared" si="2"/>
        <v>Alabama</v>
      </c>
      <c r="C69" s="27" t="str">
        <f t="shared" si="3"/>
        <v>Winston/Hancock</v>
      </c>
      <c r="D69" s="27">
        <f>'AL post'!F68</f>
        <v>2940</v>
      </c>
      <c r="E69" s="27">
        <f>'AL post'!I68</f>
        <v>117</v>
      </c>
      <c r="F69" s="97">
        <f>'AL post'!L68</f>
        <v>90.253401360544217</v>
      </c>
      <c r="G69" s="27">
        <f>'AL post'!O68</f>
        <v>4308</v>
      </c>
      <c r="H69" s="115">
        <f>'AL post'!R68</f>
        <v>97.548706546049644</v>
      </c>
      <c r="I69" s="29">
        <f>'AL post'!U68</f>
        <v>70716</v>
      </c>
      <c r="J69" s="27">
        <v>62</v>
      </c>
      <c r="K69" s="2">
        <f>'AL post'!AA68</f>
        <v>109000</v>
      </c>
      <c r="L69" s="41">
        <v>1925</v>
      </c>
      <c r="M69" s="27" t="s">
        <v>552</v>
      </c>
      <c r="N69" s="27" t="str">
        <f>'AL post'!AD68&amp;"; "&amp;'AL post'!AE68</f>
        <v>https://ia601501.us.archive.org/22/items/192425/1924-25.pdf#page=38; https://ia601501.us.archive.org/22/items/192425/1924-25.pdf#page=41</v>
      </c>
      <c r="O69" s="27" t="str">
        <f>'AL post'!AF68&amp;"; "&amp;'AL post'!AG68</f>
        <v>https://ia601501.us.archive.org/22/items/192425/1924-25.pdf#page=38; https://ia601501.us.archive.org/22/items/192425/1924-25.pdf#page=41</v>
      </c>
      <c r="P69" s="27" t="str">
        <f>'AL post'!AH68&amp;"; "&amp;'AL post'!AI68</f>
        <v>https://ia601501.us.archive.org/22/items/192425/1924-25.pdf#page=38; https://ia601501.us.archive.org/22/items/192425/1924-25.pdf#page=41</v>
      </c>
      <c r="Q69" s="7" t="str">
        <f>'AL post'!AJ68&amp;"; "&amp;'AL post'!AK68</f>
        <v>https://ia601501.us.archive.org/22/items/192425/1924-25.pdf#page=38; https://ia601501.us.archive.org/22/items/192425/1924-25.pdf#page=41</v>
      </c>
      <c r="R69" s="7" t="str">
        <f>'AL post'!AL68&amp;"; "&amp;'AL post'!AM68</f>
        <v>https://babel.hathitrust.org/cgi/pt?id=mdp.39015076547101;view=1up;seq=179; https://ia601501.us.archive.org/22/items/192425/1924-25.pdf#page=42</v>
      </c>
      <c r="S69" s="7" t="str">
        <f>'AL post'!AN68&amp;"; "&amp;'AL post'!AO68</f>
        <v>https://ia601501.us.archive.org/22/items/192425/1924-25.pdf#page=40; https://ia601501.us.archive.org/22/items/192425/1924-25.pdf#page=43</v>
      </c>
      <c r="T69" s="7" t="str">
        <f>'AL post'!AP68</f>
        <v>https://ia601501.us.archive.org/22/items/192425/1924-25.pdf#page=40</v>
      </c>
      <c r="U69" s="7" t="str">
        <f>'AL post'!AQ68</f>
        <v>https://ia601501.us.archive.org/22/items/192425/1924-25.pdf#page=40</v>
      </c>
    </row>
    <row r="70" spans="1:21" x14ac:dyDescent="0.25">
      <c r="A70" s="27" t="s">
        <v>1367</v>
      </c>
      <c r="B70" s="27" t="str">
        <f t="shared" si="2"/>
        <v/>
      </c>
      <c r="C70" s="27" t="str">
        <f t="shared" si="3"/>
        <v/>
      </c>
      <c r="D70" s="27">
        <f>SUM(D3:D69)</f>
        <v>438500</v>
      </c>
      <c r="E70" s="27">
        <f>SUM(E3:E69)</f>
        <v>15304</v>
      </c>
      <c r="J70" s="27">
        <f>SUM(J3:J69)</f>
        <v>6316</v>
      </c>
    </row>
    <row r="71" spans="1:21" x14ac:dyDescent="0.25">
      <c r="A71" s="27" t="s">
        <v>1367</v>
      </c>
      <c r="B71" s="27" t="str">
        <f t="shared" si="2"/>
        <v/>
      </c>
      <c r="C71" s="27" t="str">
        <f t="shared" si="3"/>
        <v/>
      </c>
      <c r="D71" s="7">
        <v>436406</v>
      </c>
      <c r="E71" s="7">
        <v>15304</v>
      </c>
      <c r="I71" s="29"/>
      <c r="J71" s="7">
        <v>6584</v>
      </c>
    </row>
    <row r="72" spans="1:21" x14ac:dyDescent="0.25">
      <c r="A72" s="27" t="s">
        <v>1367</v>
      </c>
      <c r="B72" s="27" t="str">
        <f t="shared" si="2"/>
        <v/>
      </c>
      <c r="C72" s="27" t="str">
        <f t="shared" si="3"/>
        <v/>
      </c>
      <c r="G72" s="2"/>
    </row>
    <row r="73" spans="1:21" x14ac:dyDescent="0.25">
      <c r="A73" s="27" t="s">
        <v>1367</v>
      </c>
      <c r="B73" s="27" t="str">
        <f t="shared" si="2"/>
        <v/>
      </c>
      <c r="C73" s="27" t="str">
        <f t="shared" si="3"/>
        <v/>
      </c>
    </row>
    <row r="74" spans="1:21" x14ac:dyDescent="0.25">
      <c r="A74" s="27" t="s">
        <v>1367</v>
      </c>
      <c r="B74" s="27" t="str">
        <f t="shared" si="2"/>
        <v/>
      </c>
      <c r="C74" s="27" t="str">
        <f t="shared" si="3"/>
        <v/>
      </c>
    </row>
    <row r="75" spans="1:21" x14ac:dyDescent="0.25">
      <c r="A75" s="27" t="s">
        <v>1367</v>
      </c>
      <c r="B75" s="27" t="str">
        <f t="shared" si="2"/>
        <v/>
      </c>
      <c r="C75" s="27" t="str">
        <f t="shared" si="3"/>
        <v/>
      </c>
    </row>
    <row r="76" spans="1:21" x14ac:dyDescent="0.25">
      <c r="A76" s="27" t="s">
        <v>652</v>
      </c>
      <c r="B76" s="27" t="str">
        <f t="shared" si="2"/>
        <v>Arkansas</v>
      </c>
      <c r="C76" s="27" t="str">
        <f t="shared" si="3"/>
        <v>Arkansas</v>
      </c>
      <c r="D76" s="32">
        <v>4123</v>
      </c>
      <c r="E76" s="29">
        <f>'AR post'!H2</f>
        <v>152</v>
      </c>
      <c r="F76" s="97">
        <f>'AR post'!L2</f>
        <v>145</v>
      </c>
      <c r="G76" s="33">
        <v>5721</v>
      </c>
      <c r="H76" s="7">
        <v>100</v>
      </c>
      <c r="I76" s="40">
        <v>153091</v>
      </c>
      <c r="J76" s="33">
        <v>89</v>
      </c>
      <c r="K76" s="29">
        <f>'AR post'!Z2</f>
        <v>346125</v>
      </c>
      <c r="L76" s="41">
        <v>1925</v>
      </c>
      <c r="N76" s="7" t="s">
        <v>2574</v>
      </c>
      <c r="O76" s="27" t="s">
        <v>2573</v>
      </c>
      <c r="P76" s="27" t="s">
        <v>2575</v>
      </c>
      <c r="Q76" s="27" t="s">
        <v>399</v>
      </c>
      <c r="R76" s="27" t="s">
        <v>403</v>
      </c>
      <c r="S76" s="27" t="s">
        <v>401</v>
      </c>
      <c r="T76" s="27" t="s">
        <v>402</v>
      </c>
      <c r="U76" s="27" t="s">
        <v>2571</v>
      </c>
    </row>
    <row r="77" spans="1:21" x14ac:dyDescent="0.25">
      <c r="A77" s="27" t="s">
        <v>653</v>
      </c>
      <c r="B77" s="27" t="str">
        <f t="shared" si="2"/>
        <v>Arkansas</v>
      </c>
      <c r="C77" s="27" t="str">
        <f t="shared" si="3"/>
        <v>Ashley</v>
      </c>
      <c r="D77" s="2">
        <v>4268</v>
      </c>
      <c r="E77" s="29">
        <f>'AR post'!H3</f>
        <v>183</v>
      </c>
      <c r="F77" s="97">
        <f>'AR post'!L3</f>
        <v>153</v>
      </c>
      <c r="G77" s="27">
        <v>6623</v>
      </c>
      <c r="H77" s="27">
        <v>85</v>
      </c>
      <c r="I77" s="2">
        <v>142152</v>
      </c>
      <c r="J77" s="27">
        <v>70</v>
      </c>
      <c r="K77" s="29">
        <f>'AR post'!Z3</f>
        <v>392787</v>
      </c>
      <c r="L77" s="41">
        <v>1925</v>
      </c>
      <c r="N77" s="27" t="str">
        <f>N76</f>
        <v>https://babel.hathitrust.org/cgi/pt?id=mdp.39015076524217;view=1up;seq=651</v>
      </c>
      <c r="O77" s="27" t="str">
        <f>O76</f>
        <v>https://babel.hathitrust.org/cgi/pt?id=mdp.39015076523755;view=1up;seq=52</v>
      </c>
      <c r="P77" s="27" t="str">
        <f>P76</f>
        <v>https://babel.hathitrust.org/cgi/pt?id=mdp.39015076524217;view=1up;seq=168</v>
      </c>
      <c r="Q77" s="27" t="s">
        <v>399</v>
      </c>
      <c r="R77" s="27" t="s">
        <v>403</v>
      </c>
      <c r="S77" s="27" t="s">
        <v>401</v>
      </c>
      <c r="T77" s="27" t="s">
        <v>402</v>
      </c>
      <c r="U77" s="27" t="str">
        <f>U76</f>
        <v>https://babel.hathitrust.org/cgi/pt?id=mdp.39015076523755;view=1up;seq=68</v>
      </c>
    </row>
    <row r="78" spans="1:21" x14ac:dyDescent="0.25">
      <c r="A78" s="27" t="s">
        <v>654</v>
      </c>
      <c r="B78" s="27" t="str">
        <f t="shared" si="2"/>
        <v>Arkansas</v>
      </c>
      <c r="C78" s="27" t="str">
        <f t="shared" si="3"/>
        <v>Baxter</v>
      </c>
      <c r="D78" s="2">
        <v>2106</v>
      </c>
      <c r="E78" s="29">
        <f>'AR post'!H4</f>
        <v>82</v>
      </c>
      <c r="F78" s="97">
        <f>'AR post'!L4</f>
        <v>120</v>
      </c>
      <c r="G78" s="27">
        <v>3216</v>
      </c>
      <c r="H78" s="27">
        <v>79</v>
      </c>
      <c r="I78" s="2">
        <v>50144</v>
      </c>
      <c r="J78" s="27">
        <v>68</v>
      </c>
      <c r="K78" s="29">
        <f>'AR post'!Z4</f>
        <v>61070</v>
      </c>
      <c r="L78" s="41">
        <v>1925</v>
      </c>
      <c r="N78" s="27" t="str">
        <f t="shared" ref="N78:N141" si="4">N77</f>
        <v>https://babel.hathitrust.org/cgi/pt?id=mdp.39015076524217;view=1up;seq=651</v>
      </c>
      <c r="O78" s="27" t="str">
        <f t="shared" ref="O78:O141" si="5">O77</f>
        <v>https://babel.hathitrust.org/cgi/pt?id=mdp.39015076523755;view=1up;seq=52</v>
      </c>
      <c r="P78" s="27" t="str">
        <f t="shared" ref="P78:P141" si="6">P77</f>
        <v>https://babel.hathitrust.org/cgi/pt?id=mdp.39015076524217;view=1up;seq=168</v>
      </c>
      <c r="Q78" s="27" t="s">
        <v>399</v>
      </c>
      <c r="R78" s="27" t="s">
        <v>403</v>
      </c>
      <c r="S78" s="27" t="s">
        <v>401</v>
      </c>
      <c r="T78" s="27" t="s">
        <v>402</v>
      </c>
      <c r="U78" s="27" t="str">
        <f t="shared" ref="U78:U104" si="7">U77</f>
        <v>https://babel.hathitrust.org/cgi/pt?id=mdp.39015076523755;view=1up;seq=68</v>
      </c>
    </row>
    <row r="79" spans="1:21" x14ac:dyDescent="0.25">
      <c r="A79" s="27" t="s">
        <v>655</v>
      </c>
      <c r="B79" s="27" t="str">
        <f t="shared" si="2"/>
        <v>Arkansas</v>
      </c>
      <c r="C79" s="27" t="str">
        <f t="shared" si="3"/>
        <v>Benton</v>
      </c>
      <c r="D79" s="2">
        <v>6796</v>
      </c>
      <c r="E79" s="29">
        <f>'AR post'!H5</f>
        <v>248</v>
      </c>
      <c r="F79" s="97">
        <f>'AR post'!L5</f>
        <v>125</v>
      </c>
      <c r="G79" s="27">
        <v>9164</v>
      </c>
      <c r="H79" s="27">
        <v>61</v>
      </c>
      <c r="I79" s="2">
        <v>200572</v>
      </c>
      <c r="J79" s="27">
        <v>147</v>
      </c>
      <c r="K79" s="29">
        <f>'AR post'!Z5</f>
        <v>594295</v>
      </c>
      <c r="L79" s="41">
        <v>1925</v>
      </c>
      <c r="N79" s="27" t="str">
        <f t="shared" si="4"/>
        <v>https://babel.hathitrust.org/cgi/pt?id=mdp.39015076524217;view=1up;seq=651</v>
      </c>
      <c r="O79" s="27" t="str">
        <f t="shared" si="5"/>
        <v>https://babel.hathitrust.org/cgi/pt?id=mdp.39015076523755;view=1up;seq=52</v>
      </c>
      <c r="P79" s="27" t="str">
        <f t="shared" si="6"/>
        <v>https://babel.hathitrust.org/cgi/pt?id=mdp.39015076524217;view=1up;seq=168</v>
      </c>
      <c r="Q79" s="27" t="s">
        <v>399</v>
      </c>
      <c r="R79" s="27" t="s">
        <v>403</v>
      </c>
      <c r="S79" s="27" t="s">
        <v>401</v>
      </c>
      <c r="T79" s="27" t="s">
        <v>402</v>
      </c>
      <c r="U79" s="27" t="str">
        <f t="shared" si="7"/>
        <v>https://babel.hathitrust.org/cgi/pt?id=mdp.39015076523755;view=1up;seq=68</v>
      </c>
    </row>
    <row r="80" spans="1:21" x14ac:dyDescent="0.25">
      <c r="A80" s="27" t="s">
        <v>656</v>
      </c>
      <c r="B80" s="27" t="str">
        <f t="shared" si="2"/>
        <v>Arkansas</v>
      </c>
      <c r="C80" s="27" t="str">
        <f t="shared" si="3"/>
        <v>Boone</v>
      </c>
      <c r="D80" s="2">
        <v>3324</v>
      </c>
      <c r="E80" s="29">
        <f>'AR post'!H6</f>
        <v>117</v>
      </c>
      <c r="F80" s="97">
        <f>'AR post'!L6</f>
        <v>127</v>
      </c>
      <c r="G80" s="27">
        <v>4286</v>
      </c>
      <c r="H80" s="27">
        <v>71</v>
      </c>
      <c r="I80" s="2">
        <v>86735</v>
      </c>
      <c r="J80" s="27">
        <v>84</v>
      </c>
      <c r="K80" s="29">
        <f>'AR post'!Z6</f>
        <v>201275</v>
      </c>
      <c r="L80" s="41">
        <v>1925</v>
      </c>
      <c r="N80" s="27" t="str">
        <f t="shared" si="4"/>
        <v>https://babel.hathitrust.org/cgi/pt?id=mdp.39015076524217;view=1up;seq=651</v>
      </c>
      <c r="O80" s="27" t="str">
        <f t="shared" si="5"/>
        <v>https://babel.hathitrust.org/cgi/pt?id=mdp.39015076523755;view=1up;seq=52</v>
      </c>
      <c r="P80" s="27" t="str">
        <f t="shared" si="6"/>
        <v>https://babel.hathitrust.org/cgi/pt?id=mdp.39015076524217;view=1up;seq=168</v>
      </c>
      <c r="Q80" s="27" t="s">
        <v>399</v>
      </c>
      <c r="R80" s="27" t="s">
        <v>403</v>
      </c>
      <c r="S80" s="27" t="s">
        <v>401</v>
      </c>
      <c r="T80" s="27" t="s">
        <v>402</v>
      </c>
      <c r="U80" s="27" t="str">
        <f t="shared" si="7"/>
        <v>https://babel.hathitrust.org/cgi/pt?id=mdp.39015076523755;view=1up;seq=68</v>
      </c>
    </row>
    <row r="81" spans="1:21" x14ac:dyDescent="0.25">
      <c r="A81" s="27" t="s">
        <v>657</v>
      </c>
      <c r="B81" s="27" t="str">
        <f t="shared" si="2"/>
        <v>Arkansas</v>
      </c>
      <c r="C81" s="27" t="str">
        <f t="shared" si="3"/>
        <v>Bradley</v>
      </c>
      <c r="D81" s="2">
        <v>4042</v>
      </c>
      <c r="E81" s="29">
        <f>'AR post'!H7</f>
        <v>105</v>
      </c>
      <c r="F81" s="97">
        <f>'AR post'!L7</f>
        <v>29</v>
      </c>
      <c r="G81" s="27">
        <v>5205</v>
      </c>
      <c r="H81" s="27">
        <v>90</v>
      </c>
      <c r="I81" s="2">
        <v>101816</v>
      </c>
      <c r="J81" s="27">
        <v>67</v>
      </c>
      <c r="K81" s="29">
        <f>'AR post'!Z7</f>
        <v>160300</v>
      </c>
      <c r="L81" s="41">
        <v>1925</v>
      </c>
      <c r="N81" s="27" t="str">
        <f t="shared" si="4"/>
        <v>https://babel.hathitrust.org/cgi/pt?id=mdp.39015076524217;view=1up;seq=651</v>
      </c>
      <c r="O81" s="27" t="str">
        <f t="shared" si="5"/>
        <v>https://babel.hathitrust.org/cgi/pt?id=mdp.39015076523755;view=1up;seq=52</v>
      </c>
      <c r="P81" s="27" t="str">
        <f t="shared" si="6"/>
        <v>https://babel.hathitrust.org/cgi/pt?id=mdp.39015076524217;view=1up;seq=168</v>
      </c>
      <c r="Q81" s="27" t="s">
        <v>399</v>
      </c>
      <c r="R81" s="27" t="s">
        <v>403</v>
      </c>
      <c r="S81" s="27" t="s">
        <v>401</v>
      </c>
      <c r="T81" s="27" t="s">
        <v>402</v>
      </c>
      <c r="U81" s="27" t="str">
        <f t="shared" si="7"/>
        <v>https://babel.hathitrust.org/cgi/pt?id=mdp.39015076523755;view=1up;seq=68</v>
      </c>
    </row>
    <row r="82" spans="1:21" x14ac:dyDescent="0.25">
      <c r="A82" s="27" t="s">
        <v>658</v>
      </c>
      <c r="B82" s="27" t="str">
        <f t="shared" si="2"/>
        <v>Arkansas</v>
      </c>
      <c r="C82" s="27" t="str">
        <f t="shared" si="3"/>
        <v>Calhoun</v>
      </c>
      <c r="D82" s="2">
        <v>2380</v>
      </c>
      <c r="E82" s="29">
        <f>'AR post'!H8</f>
        <v>112</v>
      </c>
      <c r="F82" s="97">
        <f>'AR post'!L8</f>
        <v>123</v>
      </c>
      <c r="G82" s="27">
        <v>3437</v>
      </c>
      <c r="H82" s="27">
        <v>66</v>
      </c>
      <c r="I82" s="2">
        <v>59185</v>
      </c>
      <c r="J82" s="27">
        <v>72</v>
      </c>
      <c r="K82" s="29">
        <f>'AR post'!Z8</f>
        <v>84125</v>
      </c>
      <c r="L82" s="41">
        <v>1925</v>
      </c>
      <c r="N82" s="27" t="str">
        <f t="shared" si="4"/>
        <v>https://babel.hathitrust.org/cgi/pt?id=mdp.39015076524217;view=1up;seq=651</v>
      </c>
      <c r="O82" s="27" t="str">
        <f t="shared" si="5"/>
        <v>https://babel.hathitrust.org/cgi/pt?id=mdp.39015076523755;view=1up;seq=52</v>
      </c>
      <c r="P82" s="27" t="str">
        <f t="shared" si="6"/>
        <v>https://babel.hathitrust.org/cgi/pt?id=mdp.39015076524217;view=1up;seq=168</v>
      </c>
      <c r="Q82" s="27" t="s">
        <v>399</v>
      </c>
      <c r="R82" s="27" t="s">
        <v>403</v>
      </c>
      <c r="S82" s="27" t="s">
        <v>401</v>
      </c>
      <c r="T82" s="27" t="s">
        <v>402</v>
      </c>
      <c r="U82" s="27" t="str">
        <f t="shared" si="7"/>
        <v>https://babel.hathitrust.org/cgi/pt?id=mdp.39015076523755;view=1up;seq=68</v>
      </c>
    </row>
    <row r="83" spans="1:21" x14ac:dyDescent="0.25">
      <c r="A83" s="27" t="s">
        <v>659</v>
      </c>
      <c r="B83" s="27" t="str">
        <f t="shared" si="2"/>
        <v>Arkansas</v>
      </c>
      <c r="C83" s="27" t="str">
        <f t="shared" si="3"/>
        <v>Carroll</v>
      </c>
      <c r="D83" s="2">
        <v>3258</v>
      </c>
      <c r="E83" s="29">
        <f>'AR post'!H9</f>
        <v>111</v>
      </c>
      <c r="F83" s="97">
        <f>'AR post'!L9</f>
        <v>113</v>
      </c>
      <c r="G83" s="27">
        <v>4637</v>
      </c>
      <c r="H83" s="27">
        <v>77</v>
      </c>
      <c r="I83" s="2">
        <v>69494</v>
      </c>
      <c r="J83" s="27">
        <v>91</v>
      </c>
      <c r="K83" s="29">
        <f>'AR post'!Z9</f>
        <v>153555</v>
      </c>
      <c r="L83" s="41">
        <v>1925</v>
      </c>
      <c r="N83" s="27" t="str">
        <f t="shared" si="4"/>
        <v>https://babel.hathitrust.org/cgi/pt?id=mdp.39015076524217;view=1up;seq=651</v>
      </c>
      <c r="O83" s="27" t="str">
        <f t="shared" si="5"/>
        <v>https://babel.hathitrust.org/cgi/pt?id=mdp.39015076523755;view=1up;seq=52</v>
      </c>
      <c r="P83" s="27" t="str">
        <f t="shared" si="6"/>
        <v>https://babel.hathitrust.org/cgi/pt?id=mdp.39015076524217;view=1up;seq=168</v>
      </c>
      <c r="Q83" s="27" t="s">
        <v>399</v>
      </c>
      <c r="R83" s="27" t="s">
        <v>403</v>
      </c>
      <c r="S83" s="27" t="s">
        <v>401</v>
      </c>
      <c r="T83" s="27" t="s">
        <v>402</v>
      </c>
      <c r="U83" s="27" t="str">
        <f t="shared" si="7"/>
        <v>https://babel.hathitrust.org/cgi/pt?id=mdp.39015076523755;view=1up;seq=68</v>
      </c>
    </row>
    <row r="84" spans="1:21" x14ac:dyDescent="0.25">
      <c r="A84" s="27" t="s">
        <v>660</v>
      </c>
      <c r="B84" s="27" t="str">
        <f t="shared" si="2"/>
        <v>Arkansas</v>
      </c>
      <c r="C84" s="27" t="str">
        <f t="shared" si="3"/>
        <v>Chicot</v>
      </c>
      <c r="D84" s="2">
        <v>4204</v>
      </c>
      <c r="E84" s="29">
        <f>'AR post'!H10</f>
        <v>130</v>
      </c>
      <c r="F84" s="97">
        <f>'AR post'!L10</f>
        <v>150</v>
      </c>
      <c r="G84" s="27">
        <v>5415</v>
      </c>
      <c r="H84" s="27">
        <v>90</v>
      </c>
      <c r="I84" s="2">
        <v>184051</v>
      </c>
      <c r="J84" s="27">
        <v>50</v>
      </c>
      <c r="K84" s="29">
        <f>'AR post'!Z10</f>
        <v>233060</v>
      </c>
      <c r="L84" s="41">
        <v>1925</v>
      </c>
      <c r="N84" s="27" t="str">
        <f t="shared" si="4"/>
        <v>https://babel.hathitrust.org/cgi/pt?id=mdp.39015076524217;view=1up;seq=651</v>
      </c>
      <c r="O84" s="27" t="str">
        <f t="shared" si="5"/>
        <v>https://babel.hathitrust.org/cgi/pt?id=mdp.39015076523755;view=1up;seq=52</v>
      </c>
      <c r="P84" s="27" t="str">
        <f t="shared" si="6"/>
        <v>https://babel.hathitrust.org/cgi/pt?id=mdp.39015076524217;view=1up;seq=168</v>
      </c>
      <c r="Q84" s="27" t="s">
        <v>399</v>
      </c>
      <c r="R84" s="27" t="s">
        <v>403</v>
      </c>
      <c r="S84" s="27" t="s">
        <v>401</v>
      </c>
      <c r="T84" s="27" t="s">
        <v>402</v>
      </c>
      <c r="U84" s="27" t="str">
        <f t="shared" si="7"/>
        <v>https://babel.hathitrust.org/cgi/pt?id=mdp.39015076523755;view=1up;seq=68</v>
      </c>
    </row>
    <row r="85" spans="1:21" x14ac:dyDescent="0.25">
      <c r="A85" s="27" t="s">
        <v>661</v>
      </c>
      <c r="B85" s="27" t="str">
        <f t="shared" si="2"/>
        <v>Arkansas</v>
      </c>
      <c r="C85" s="27" t="str">
        <f t="shared" si="3"/>
        <v>Clark</v>
      </c>
      <c r="D85" s="2">
        <v>5348</v>
      </c>
      <c r="E85" s="29">
        <f>'AR post'!H11</f>
        <v>185</v>
      </c>
      <c r="F85" s="97">
        <f>'AR post'!L11</f>
        <v>130</v>
      </c>
      <c r="G85" s="27">
        <v>7634</v>
      </c>
      <c r="H85" s="27">
        <v>76</v>
      </c>
      <c r="I85" s="2">
        <v>148271</v>
      </c>
      <c r="J85" s="27">
        <v>101</v>
      </c>
      <c r="K85" s="29">
        <f>'AR post'!Z11</f>
        <v>251150</v>
      </c>
      <c r="L85" s="41">
        <v>1925</v>
      </c>
      <c r="N85" s="27" t="str">
        <f t="shared" si="4"/>
        <v>https://babel.hathitrust.org/cgi/pt?id=mdp.39015076524217;view=1up;seq=651</v>
      </c>
      <c r="O85" s="27" t="str">
        <f t="shared" si="5"/>
        <v>https://babel.hathitrust.org/cgi/pt?id=mdp.39015076523755;view=1up;seq=52</v>
      </c>
      <c r="P85" s="27" t="str">
        <f t="shared" si="6"/>
        <v>https://babel.hathitrust.org/cgi/pt?id=mdp.39015076524217;view=1up;seq=168</v>
      </c>
      <c r="Q85" s="27" t="s">
        <v>399</v>
      </c>
      <c r="R85" s="27" t="s">
        <v>403</v>
      </c>
      <c r="S85" s="27" t="s">
        <v>401</v>
      </c>
      <c r="T85" s="27" t="s">
        <v>402</v>
      </c>
      <c r="U85" s="27" t="str">
        <f t="shared" si="7"/>
        <v>https://babel.hathitrust.org/cgi/pt?id=mdp.39015076523755;view=1up;seq=68</v>
      </c>
    </row>
    <row r="86" spans="1:21" x14ac:dyDescent="0.25">
      <c r="A86" s="27" t="s">
        <v>662</v>
      </c>
      <c r="B86" s="27" t="str">
        <f t="shared" si="2"/>
        <v>Arkansas</v>
      </c>
      <c r="C86" s="27" t="str">
        <f t="shared" si="3"/>
        <v>Clay</v>
      </c>
      <c r="D86" s="2">
        <v>5553</v>
      </c>
      <c r="E86" s="29">
        <f>'AR post'!H12</f>
        <v>177</v>
      </c>
      <c r="F86" s="97">
        <f>'AR post'!L12</f>
        <v>140</v>
      </c>
      <c r="G86" s="27">
        <v>8895</v>
      </c>
      <c r="H86" s="27">
        <v>88</v>
      </c>
      <c r="I86" s="2">
        <v>157741</v>
      </c>
      <c r="J86" s="27">
        <v>100</v>
      </c>
      <c r="K86" s="29">
        <f>'AR post'!Z12</f>
        <v>255210</v>
      </c>
      <c r="L86" s="41">
        <v>1925</v>
      </c>
      <c r="N86" s="27" t="str">
        <f t="shared" si="4"/>
        <v>https://babel.hathitrust.org/cgi/pt?id=mdp.39015076524217;view=1up;seq=651</v>
      </c>
      <c r="O86" s="27" t="str">
        <f t="shared" si="5"/>
        <v>https://babel.hathitrust.org/cgi/pt?id=mdp.39015076523755;view=1up;seq=52</v>
      </c>
      <c r="P86" s="27" t="str">
        <f t="shared" si="6"/>
        <v>https://babel.hathitrust.org/cgi/pt?id=mdp.39015076524217;view=1up;seq=168</v>
      </c>
      <c r="Q86" s="27" t="s">
        <v>399</v>
      </c>
      <c r="R86" s="27" t="s">
        <v>403</v>
      </c>
      <c r="S86" s="27" t="s">
        <v>401</v>
      </c>
      <c r="T86" s="27" t="s">
        <v>402</v>
      </c>
      <c r="U86" s="27" t="str">
        <f t="shared" si="7"/>
        <v>https://babel.hathitrust.org/cgi/pt?id=mdp.39015076523755;view=1up;seq=68</v>
      </c>
    </row>
    <row r="87" spans="1:21" x14ac:dyDescent="0.25">
      <c r="A87" s="27" t="s">
        <v>663</v>
      </c>
      <c r="B87" s="27" t="str">
        <f t="shared" si="2"/>
        <v>Arkansas</v>
      </c>
      <c r="C87" s="27" t="str">
        <f t="shared" si="3"/>
        <v>Cleburne</v>
      </c>
      <c r="D87" s="2">
        <v>2944</v>
      </c>
      <c r="E87" s="29">
        <f>'AR post'!H13</f>
        <v>117</v>
      </c>
      <c r="F87" s="97">
        <f>'AR post'!L13</f>
        <v>107</v>
      </c>
      <c r="G87" s="27">
        <v>3693</v>
      </c>
      <c r="H87" s="27">
        <v>68</v>
      </c>
      <c r="I87" s="2">
        <v>49128</v>
      </c>
      <c r="J87" s="27">
        <v>73</v>
      </c>
      <c r="K87" s="29">
        <f>'AR post'!Z13</f>
        <v>84100</v>
      </c>
      <c r="L87" s="41">
        <v>1925</v>
      </c>
      <c r="N87" s="27" t="str">
        <f t="shared" si="4"/>
        <v>https://babel.hathitrust.org/cgi/pt?id=mdp.39015076524217;view=1up;seq=651</v>
      </c>
      <c r="O87" s="27" t="str">
        <f t="shared" si="5"/>
        <v>https://babel.hathitrust.org/cgi/pt?id=mdp.39015076523755;view=1up;seq=52</v>
      </c>
      <c r="P87" s="27" t="str">
        <f t="shared" si="6"/>
        <v>https://babel.hathitrust.org/cgi/pt?id=mdp.39015076524217;view=1up;seq=168</v>
      </c>
      <c r="Q87" s="27" t="s">
        <v>399</v>
      </c>
      <c r="R87" s="27" t="s">
        <v>403</v>
      </c>
      <c r="S87" s="27" t="s">
        <v>401</v>
      </c>
      <c r="T87" s="27" t="s">
        <v>402</v>
      </c>
      <c r="U87" s="27" t="str">
        <f t="shared" si="7"/>
        <v>https://babel.hathitrust.org/cgi/pt?id=mdp.39015076523755;view=1up;seq=68</v>
      </c>
    </row>
    <row r="88" spans="1:21" x14ac:dyDescent="0.25">
      <c r="A88" s="27" t="s">
        <v>1777</v>
      </c>
      <c r="B88" s="27" t="str">
        <f t="shared" si="2"/>
        <v>Arkansas</v>
      </c>
      <c r="C88" s="27" t="str">
        <f t="shared" si="3"/>
        <v>Cleveland/Dorsey</v>
      </c>
      <c r="D88" s="2">
        <v>2629</v>
      </c>
      <c r="E88" s="29">
        <f>'AR post'!H14</f>
        <v>106</v>
      </c>
      <c r="F88" s="97">
        <f>'AR post'!L14</f>
        <v>112</v>
      </c>
      <c r="G88" s="27">
        <v>3784</v>
      </c>
      <c r="H88" s="27">
        <v>68</v>
      </c>
      <c r="I88" s="2">
        <v>59158</v>
      </c>
      <c r="J88" s="27">
        <v>72</v>
      </c>
      <c r="K88" s="29">
        <f>'AR post'!Z14</f>
        <v>90700</v>
      </c>
      <c r="L88" s="41">
        <v>1925</v>
      </c>
      <c r="N88" s="27" t="str">
        <f t="shared" si="4"/>
        <v>https://babel.hathitrust.org/cgi/pt?id=mdp.39015076524217;view=1up;seq=651</v>
      </c>
      <c r="O88" s="27" t="str">
        <f t="shared" si="5"/>
        <v>https://babel.hathitrust.org/cgi/pt?id=mdp.39015076523755;view=1up;seq=52</v>
      </c>
      <c r="P88" s="27" t="str">
        <f t="shared" si="6"/>
        <v>https://babel.hathitrust.org/cgi/pt?id=mdp.39015076524217;view=1up;seq=168</v>
      </c>
      <c r="Q88" s="27" t="s">
        <v>399</v>
      </c>
      <c r="R88" s="27" t="s">
        <v>403</v>
      </c>
      <c r="S88" s="27" t="s">
        <v>401</v>
      </c>
      <c r="T88" s="27" t="s">
        <v>402</v>
      </c>
      <c r="U88" s="27" t="str">
        <f t="shared" si="7"/>
        <v>https://babel.hathitrust.org/cgi/pt?id=mdp.39015076523755;view=1up;seq=68</v>
      </c>
    </row>
    <row r="89" spans="1:21" x14ac:dyDescent="0.25">
      <c r="A89" s="27" t="s">
        <v>664</v>
      </c>
      <c r="B89" s="27" t="str">
        <f t="shared" si="2"/>
        <v>Arkansas</v>
      </c>
      <c r="C89" s="27" t="str">
        <f t="shared" si="3"/>
        <v>Columbia</v>
      </c>
      <c r="D89" s="2">
        <v>5717</v>
      </c>
      <c r="E89" s="29">
        <f>'AR post'!H15</f>
        <v>154</v>
      </c>
      <c r="F89" s="97">
        <f>'AR post'!L15</f>
        <v>119</v>
      </c>
      <c r="G89" s="27">
        <v>7962</v>
      </c>
      <c r="H89" s="27">
        <v>77</v>
      </c>
      <c r="I89" s="2">
        <v>121819</v>
      </c>
      <c r="J89" s="27">
        <v>119</v>
      </c>
      <c r="K89" s="29">
        <f>'AR post'!Z15</f>
        <v>129690</v>
      </c>
      <c r="L89" s="41">
        <v>1925</v>
      </c>
      <c r="N89" s="27" t="str">
        <f t="shared" si="4"/>
        <v>https://babel.hathitrust.org/cgi/pt?id=mdp.39015076524217;view=1up;seq=651</v>
      </c>
      <c r="O89" s="27" t="str">
        <f t="shared" si="5"/>
        <v>https://babel.hathitrust.org/cgi/pt?id=mdp.39015076523755;view=1up;seq=52</v>
      </c>
      <c r="P89" s="27" t="str">
        <f t="shared" si="6"/>
        <v>https://babel.hathitrust.org/cgi/pt?id=mdp.39015076524217;view=1up;seq=168</v>
      </c>
      <c r="Q89" s="27" t="s">
        <v>399</v>
      </c>
      <c r="R89" s="27" t="s">
        <v>403</v>
      </c>
      <c r="S89" s="27" t="s">
        <v>401</v>
      </c>
      <c r="T89" s="27" t="s">
        <v>402</v>
      </c>
      <c r="U89" s="27" t="str">
        <f t="shared" si="7"/>
        <v>https://babel.hathitrust.org/cgi/pt?id=mdp.39015076523755;view=1up;seq=68</v>
      </c>
    </row>
    <row r="90" spans="1:21" x14ac:dyDescent="0.25">
      <c r="A90" s="27" t="s">
        <v>665</v>
      </c>
      <c r="B90" s="27" t="str">
        <f t="shared" si="2"/>
        <v>Arkansas</v>
      </c>
      <c r="C90" s="27" t="str">
        <f t="shared" si="3"/>
        <v>Conway</v>
      </c>
      <c r="D90" s="2">
        <v>5025</v>
      </c>
      <c r="E90" s="29">
        <f>'AR post'!H16</f>
        <v>181</v>
      </c>
      <c r="F90" s="97">
        <f>'AR post'!L16</f>
        <v>123</v>
      </c>
      <c r="G90" s="27">
        <v>7484</v>
      </c>
      <c r="H90" s="27">
        <v>82</v>
      </c>
      <c r="I90" s="2">
        <v>112607</v>
      </c>
      <c r="J90" s="27">
        <v>96</v>
      </c>
      <c r="K90" s="29">
        <f>'AR post'!Z16</f>
        <v>256300</v>
      </c>
      <c r="L90" s="41">
        <v>1925</v>
      </c>
      <c r="N90" s="27" t="str">
        <f t="shared" si="4"/>
        <v>https://babel.hathitrust.org/cgi/pt?id=mdp.39015076524217;view=1up;seq=651</v>
      </c>
      <c r="O90" s="27" t="str">
        <f t="shared" si="5"/>
        <v>https://babel.hathitrust.org/cgi/pt?id=mdp.39015076523755;view=1up;seq=52</v>
      </c>
      <c r="P90" s="27" t="str">
        <f t="shared" si="6"/>
        <v>https://babel.hathitrust.org/cgi/pt?id=mdp.39015076524217;view=1up;seq=168</v>
      </c>
      <c r="Q90" s="27" t="s">
        <v>399</v>
      </c>
      <c r="R90" s="27" t="s">
        <v>403</v>
      </c>
      <c r="S90" s="27" t="s">
        <v>401</v>
      </c>
      <c r="T90" s="27" t="s">
        <v>402</v>
      </c>
      <c r="U90" s="27" t="str">
        <f t="shared" si="7"/>
        <v>https://babel.hathitrust.org/cgi/pt?id=mdp.39015076523755;view=1up;seq=68</v>
      </c>
    </row>
    <row r="91" spans="1:21" x14ac:dyDescent="0.25">
      <c r="A91" s="27" t="s">
        <v>666</v>
      </c>
      <c r="B91" s="27" t="str">
        <f t="shared" si="2"/>
        <v>Arkansas</v>
      </c>
      <c r="C91" s="27" t="str">
        <f t="shared" si="3"/>
        <v>Craighead</v>
      </c>
      <c r="D91" s="2">
        <v>12172</v>
      </c>
      <c r="E91" s="29">
        <f>'AR post'!H17</f>
        <v>225</v>
      </c>
      <c r="F91" s="97">
        <f>'AR post'!L17</f>
        <v>145</v>
      </c>
      <c r="G91" s="27">
        <v>12172</v>
      </c>
      <c r="H91" s="27">
        <v>59</v>
      </c>
      <c r="I91" s="2">
        <v>320104</v>
      </c>
      <c r="J91" s="27">
        <v>108</v>
      </c>
      <c r="K91" s="29">
        <f>'AR post'!Z17</f>
        <v>53903</v>
      </c>
      <c r="L91" s="41">
        <v>1925</v>
      </c>
      <c r="N91" s="27" t="str">
        <f t="shared" si="4"/>
        <v>https://babel.hathitrust.org/cgi/pt?id=mdp.39015076524217;view=1up;seq=651</v>
      </c>
      <c r="O91" s="27" t="str">
        <f t="shared" si="5"/>
        <v>https://babel.hathitrust.org/cgi/pt?id=mdp.39015076523755;view=1up;seq=52</v>
      </c>
      <c r="P91" s="27" t="str">
        <f t="shared" si="6"/>
        <v>https://babel.hathitrust.org/cgi/pt?id=mdp.39015076524217;view=1up;seq=168</v>
      </c>
      <c r="Q91" s="27" t="s">
        <v>399</v>
      </c>
      <c r="R91" s="27" t="s">
        <v>403</v>
      </c>
      <c r="S91" s="27" t="s">
        <v>401</v>
      </c>
      <c r="T91" s="27" t="s">
        <v>402</v>
      </c>
      <c r="U91" s="27" t="str">
        <f t="shared" si="7"/>
        <v>https://babel.hathitrust.org/cgi/pt?id=mdp.39015076523755;view=1up;seq=68</v>
      </c>
    </row>
    <row r="92" spans="1:21" x14ac:dyDescent="0.25">
      <c r="A92" s="27" t="s">
        <v>667</v>
      </c>
      <c r="B92" s="27" t="str">
        <f t="shared" si="2"/>
        <v>Arkansas</v>
      </c>
      <c r="C92" s="27" t="str">
        <f t="shared" si="3"/>
        <v>Crawford</v>
      </c>
      <c r="D92" s="2">
        <v>5278</v>
      </c>
      <c r="E92" s="29">
        <f>'AR post'!H18</f>
        <v>183</v>
      </c>
      <c r="F92" s="97">
        <f>'AR post'!L18</f>
        <v>114</v>
      </c>
      <c r="G92" s="27">
        <v>7516</v>
      </c>
      <c r="H92" s="27">
        <v>75</v>
      </c>
      <c r="I92" s="2">
        <v>141234</v>
      </c>
      <c r="J92" s="27">
        <v>101</v>
      </c>
      <c r="K92" s="29">
        <f>'AR post'!Z18</f>
        <v>294901</v>
      </c>
      <c r="L92" s="41">
        <v>1925</v>
      </c>
      <c r="N92" s="27" t="str">
        <f t="shared" si="4"/>
        <v>https://babel.hathitrust.org/cgi/pt?id=mdp.39015076524217;view=1up;seq=651</v>
      </c>
      <c r="O92" s="27" t="str">
        <f t="shared" si="5"/>
        <v>https://babel.hathitrust.org/cgi/pt?id=mdp.39015076523755;view=1up;seq=52</v>
      </c>
      <c r="P92" s="27" t="str">
        <f t="shared" si="6"/>
        <v>https://babel.hathitrust.org/cgi/pt?id=mdp.39015076524217;view=1up;seq=168</v>
      </c>
      <c r="Q92" s="27" t="s">
        <v>399</v>
      </c>
      <c r="R92" s="27" t="s">
        <v>403</v>
      </c>
      <c r="S92" s="27" t="s">
        <v>401</v>
      </c>
      <c r="T92" s="27" t="s">
        <v>402</v>
      </c>
      <c r="U92" s="27" t="str">
        <f t="shared" si="7"/>
        <v>https://babel.hathitrust.org/cgi/pt?id=mdp.39015076523755;view=1up;seq=68</v>
      </c>
    </row>
    <row r="93" spans="1:21" x14ac:dyDescent="0.25">
      <c r="A93" s="27" t="s">
        <v>668</v>
      </c>
      <c r="B93" s="27" t="str">
        <f t="shared" si="2"/>
        <v>Arkansas</v>
      </c>
      <c r="C93" s="27" t="str">
        <f t="shared" si="3"/>
        <v>Crittenden</v>
      </c>
      <c r="D93" s="27">
        <v>6348</v>
      </c>
      <c r="E93" s="29">
        <f>'AR post'!H19</f>
        <v>163</v>
      </c>
      <c r="F93" s="97">
        <f>'AR post'!L19</f>
        <v>132</v>
      </c>
      <c r="G93" s="27">
        <v>8340</v>
      </c>
      <c r="H93" s="27">
        <v>71</v>
      </c>
      <c r="I93" s="2">
        <v>201637</v>
      </c>
      <c r="J93" s="27">
        <v>66</v>
      </c>
      <c r="K93" s="29">
        <f>'AR post'!Z19</f>
        <v>323475</v>
      </c>
      <c r="L93" s="41">
        <v>1925</v>
      </c>
      <c r="N93" s="27" t="str">
        <f t="shared" si="4"/>
        <v>https://babel.hathitrust.org/cgi/pt?id=mdp.39015076524217;view=1up;seq=651</v>
      </c>
      <c r="O93" s="27" t="str">
        <f t="shared" si="5"/>
        <v>https://babel.hathitrust.org/cgi/pt?id=mdp.39015076523755;view=1up;seq=52</v>
      </c>
      <c r="P93" s="27" t="str">
        <f t="shared" si="6"/>
        <v>https://babel.hathitrust.org/cgi/pt?id=mdp.39015076524217;view=1up;seq=168</v>
      </c>
      <c r="Q93" s="27" t="s">
        <v>399</v>
      </c>
      <c r="R93" s="27" t="s">
        <v>403</v>
      </c>
      <c r="S93" s="27" t="s">
        <v>401</v>
      </c>
      <c r="T93" s="27" t="s">
        <v>402</v>
      </c>
      <c r="U93" s="27" t="str">
        <f t="shared" si="7"/>
        <v>https://babel.hathitrust.org/cgi/pt?id=mdp.39015076523755;view=1up;seq=68</v>
      </c>
    </row>
    <row r="94" spans="1:21" x14ac:dyDescent="0.25">
      <c r="A94" s="27" t="s">
        <v>669</v>
      </c>
      <c r="B94" s="27" t="str">
        <f t="shared" si="2"/>
        <v>Arkansas</v>
      </c>
      <c r="C94" s="27" t="str">
        <f t="shared" si="3"/>
        <v>Cross</v>
      </c>
      <c r="D94" s="2">
        <v>3339</v>
      </c>
      <c r="E94" s="29">
        <f>'AR post'!H20</f>
        <v>120</v>
      </c>
      <c r="F94" s="97">
        <f>'AR post'!L20</f>
        <v>157</v>
      </c>
      <c r="G94" s="27">
        <v>5545</v>
      </c>
      <c r="H94" s="27">
        <v>89</v>
      </c>
      <c r="I94" s="2">
        <v>110546</v>
      </c>
      <c r="J94" s="27">
        <v>60</v>
      </c>
      <c r="K94" s="29">
        <f>'AR post'!Z20</f>
        <v>293300</v>
      </c>
      <c r="L94" s="41">
        <v>1925</v>
      </c>
      <c r="N94" s="27" t="str">
        <f t="shared" si="4"/>
        <v>https://babel.hathitrust.org/cgi/pt?id=mdp.39015076524217;view=1up;seq=651</v>
      </c>
      <c r="O94" s="27" t="str">
        <f t="shared" si="5"/>
        <v>https://babel.hathitrust.org/cgi/pt?id=mdp.39015076523755;view=1up;seq=52</v>
      </c>
      <c r="P94" s="27" t="str">
        <f t="shared" si="6"/>
        <v>https://babel.hathitrust.org/cgi/pt?id=mdp.39015076524217;view=1up;seq=168</v>
      </c>
      <c r="Q94" s="27" t="s">
        <v>399</v>
      </c>
      <c r="R94" s="27" t="s">
        <v>403</v>
      </c>
      <c r="S94" s="27" t="s">
        <v>401</v>
      </c>
      <c r="T94" s="27" t="s">
        <v>402</v>
      </c>
      <c r="U94" s="27" t="str">
        <f t="shared" si="7"/>
        <v>https://babel.hathitrust.org/cgi/pt?id=mdp.39015076523755;view=1up;seq=68</v>
      </c>
    </row>
    <row r="95" spans="1:21" x14ac:dyDescent="0.25">
      <c r="A95" s="27" t="s">
        <v>670</v>
      </c>
      <c r="B95" s="27" t="str">
        <f t="shared" si="2"/>
        <v>Arkansas</v>
      </c>
      <c r="C95" s="27" t="str">
        <f t="shared" si="3"/>
        <v>Dallas</v>
      </c>
      <c r="D95" s="2">
        <v>3022</v>
      </c>
      <c r="E95" s="29">
        <f>'AR post'!H21</f>
        <v>127</v>
      </c>
      <c r="F95" s="97">
        <f>'AR post'!L21</f>
        <v>116</v>
      </c>
      <c r="G95" s="27">
        <v>4384</v>
      </c>
      <c r="H95" s="27">
        <v>89</v>
      </c>
      <c r="I95" s="2">
        <v>85163</v>
      </c>
      <c r="J95" s="27">
        <v>75</v>
      </c>
      <c r="K95" s="29">
        <f>'AR post'!Z21</f>
        <v>112685</v>
      </c>
      <c r="L95" s="41">
        <v>1925</v>
      </c>
      <c r="N95" s="27" t="str">
        <f t="shared" si="4"/>
        <v>https://babel.hathitrust.org/cgi/pt?id=mdp.39015076524217;view=1up;seq=651</v>
      </c>
      <c r="O95" s="27" t="str">
        <f t="shared" si="5"/>
        <v>https://babel.hathitrust.org/cgi/pt?id=mdp.39015076523755;view=1up;seq=52</v>
      </c>
      <c r="P95" s="27" t="str">
        <f t="shared" si="6"/>
        <v>https://babel.hathitrust.org/cgi/pt?id=mdp.39015076524217;view=1up;seq=168</v>
      </c>
      <c r="Q95" s="27" t="s">
        <v>399</v>
      </c>
      <c r="R95" s="27" t="s">
        <v>403</v>
      </c>
      <c r="S95" s="27" t="s">
        <v>401</v>
      </c>
      <c r="T95" s="27" t="s">
        <v>402</v>
      </c>
      <c r="U95" s="27" t="str">
        <f t="shared" si="7"/>
        <v>https://babel.hathitrust.org/cgi/pt?id=mdp.39015076523755;view=1up;seq=68</v>
      </c>
    </row>
    <row r="96" spans="1:21" x14ac:dyDescent="0.25">
      <c r="A96" s="27" t="s">
        <v>671</v>
      </c>
      <c r="B96" s="27" t="str">
        <f t="shared" si="2"/>
        <v>Arkansas</v>
      </c>
      <c r="C96" s="27" t="str">
        <f t="shared" si="3"/>
        <v>Desha</v>
      </c>
      <c r="D96" s="2">
        <v>3381</v>
      </c>
      <c r="E96" s="29">
        <f>'AR post'!H22</f>
        <v>106</v>
      </c>
      <c r="F96" s="97">
        <f>'AR post'!L22</f>
        <v>144</v>
      </c>
      <c r="G96" s="27">
        <v>4721</v>
      </c>
      <c r="H96" s="27">
        <v>86</v>
      </c>
      <c r="I96" s="2">
        <v>107560</v>
      </c>
      <c r="J96" s="27">
        <v>58</v>
      </c>
      <c r="K96" s="29">
        <f>'AR post'!Z22</f>
        <v>172925</v>
      </c>
      <c r="L96" s="41">
        <v>1925</v>
      </c>
      <c r="N96" s="27" t="str">
        <f t="shared" si="4"/>
        <v>https://babel.hathitrust.org/cgi/pt?id=mdp.39015076524217;view=1up;seq=651</v>
      </c>
      <c r="O96" s="27" t="str">
        <f t="shared" si="5"/>
        <v>https://babel.hathitrust.org/cgi/pt?id=mdp.39015076523755;view=1up;seq=52</v>
      </c>
      <c r="P96" s="27" t="str">
        <f t="shared" si="6"/>
        <v>https://babel.hathitrust.org/cgi/pt?id=mdp.39015076524217;view=1up;seq=168</v>
      </c>
      <c r="Q96" s="27" t="s">
        <v>399</v>
      </c>
      <c r="R96" s="27" t="s">
        <v>403</v>
      </c>
      <c r="S96" s="27" t="s">
        <v>401</v>
      </c>
      <c r="T96" s="27" t="s">
        <v>402</v>
      </c>
      <c r="U96" s="27" t="str">
        <f t="shared" si="7"/>
        <v>https://babel.hathitrust.org/cgi/pt?id=mdp.39015076523755;view=1up;seq=68</v>
      </c>
    </row>
    <row r="97" spans="1:21" x14ac:dyDescent="0.25">
      <c r="A97" s="27" t="s">
        <v>672</v>
      </c>
      <c r="B97" s="27" t="str">
        <f t="shared" si="2"/>
        <v>Arkansas</v>
      </c>
      <c r="C97" s="27" t="str">
        <f t="shared" si="3"/>
        <v>Drew</v>
      </c>
      <c r="D97" s="2">
        <v>3913</v>
      </c>
      <c r="E97" s="29">
        <f>'AR post'!H15</f>
        <v>154</v>
      </c>
      <c r="F97" s="97">
        <f>'AR post'!L23</f>
        <v>137</v>
      </c>
      <c r="G97" s="27">
        <v>5525</v>
      </c>
      <c r="H97" s="27">
        <v>78</v>
      </c>
      <c r="I97" s="2">
        <v>110462</v>
      </c>
      <c r="J97" s="27">
        <v>99</v>
      </c>
      <c r="K97" s="29">
        <f>'AR post'!Z23</f>
        <v>253830</v>
      </c>
      <c r="L97" s="41">
        <v>1925</v>
      </c>
      <c r="N97" s="27" t="str">
        <f t="shared" si="4"/>
        <v>https://babel.hathitrust.org/cgi/pt?id=mdp.39015076524217;view=1up;seq=651</v>
      </c>
      <c r="O97" s="27" t="str">
        <f t="shared" si="5"/>
        <v>https://babel.hathitrust.org/cgi/pt?id=mdp.39015076523755;view=1up;seq=52</v>
      </c>
      <c r="P97" s="27" t="str">
        <f t="shared" si="6"/>
        <v>https://babel.hathitrust.org/cgi/pt?id=mdp.39015076524217;view=1up;seq=168</v>
      </c>
      <c r="Q97" s="27" t="s">
        <v>399</v>
      </c>
      <c r="R97" s="27" t="s">
        <v>403</v>
      </c>
      <c r="S97" s="27" t="s">
        <v>401</v>
      </c>
      <c r="T97" s="27" t="s">
        <v>402</v>
      </c>
      <c r="U97" s="27" t="str">
        <f t="shared" si="7"/>
        <v>https://babel.hathitrust.org/cgi/pt?id=mdp.39015076523755;view=1up;seq=68</v>
      </c>
    </row>
    <row r="98" spans="1:21" x14ac:dyDescent="0.25">
      <c r="A98" s="27" t="s">
        <v>1746</v>
      </c>
      <c r="B98" s="27" t="str">
        <f t="shared" si="2"/>
        <v>Arkansas</v>
      </c>
      <c r="C98" s="27" t="str">
        <f t="shared" si="3"/>
        <v>Faulkner</v>
      </c>
      <c r="D98" s="2">
        <v>6482</v>
      </c>
      <c r="E98" s="29">
        <f>'AR post'!H16</f>
        <v>181</v>
      </c>
      <c r="F98" s="97">
        <f>'AR post'!L24</f>
        <v>108</v>
      </c>
      <c r="G98" s="27">
        <v>8754</v>
      </c>
      <c r="H98" s="27">
        <v>91</v>
      </c>
      <c r="I98" s="2">
        <v>111127</v>
      </c>
      <c r="J98" s="27">
        <v>111</v>
      </c>
      <c r="K98" s="29">
        <f>'AR post'!Z24</f>
        <v>217515</v>
      </c>
      <c r="L98" s="41">
        <v>1925</v>
      </c>
      <c r="N98" s="27" t="str">
        <f t="shared" si="4"/>
        <v>https://babel.hathitrust.org/cgi/pt?id=mdp.39015076524217;view=1up;seq=651</v>
      </c>
      <c r="O98" s="27" t="str">
        <f t="shared" si="5"/>
        <v>https://babel.hathitrust.org/cgi/pt?id=mdp.39015076523755;view=1up;seq=52</v>
      </c>
      <c r="P98" s="27" t="str">
        <f t="shared" si="6"/>
        <v>https://babel.hathitrust.org/cgi/pt?id=mdp.39015076524217;view=1up;seq=168</v>
      </c>
      <c r="Q98" s="27" t="s">
        <v>399</v>
      </c>
      <c r="R98" s="27" t="s">
        <v>403</v>
      </c>
      <c r="S98" s="27" t="s">
        <v>401</v>
      </c>
      <c r="T98" s="27" t="s">
        <v>402</v>
      </c>
      <c r="U98" s="27" t="str">
        <f t="shared" si="7"/>
        <v>https://babel.hathitrust.org/cgi/pt?id=mdp.39015076523755;view=1up;seq=68</v>
      </c>
    </row>
    <row r="99" spans="1:21" x14ac:dyDescent="0.25">
      <c r="A99" s="27" t="s">
        <v>673</v>
      </c>
      <c r="B99" s="27" t="str">
        <f t="shared" si="2"/>
        <v>Arkansas</v>
      </c>
      <c r="C99" s="27" t="str">
        <f t="shared" si="3"/>
        <v>Franklin</v>
      </c>
      <c r="D99" s="2">
        <v>3832</v>
      </c>
      <c r="E99" s="29">
        <f>'AR post'!H17</f>
        <v>225</v>
      </c>
      <c r="F99" s="97">
        <f>'AR post'!L25</f>
        <v>127</v>
      </c>
      <c r="G99" s="27">
        <v>5692</v>
      </c>
      <c r="H99" s="27">
        <v>70</v>
      </c>
      <c r="I99" s="2">
        <v>108083</v>
      </c>
      <c r="J99" s="27">
        <v>87</v>
      </c>
      <c r="K99" s="29">
        <f>'AR post'!Z25</f>
        <v>190295</v>
      </c>
      <c r="L99" s="41">
        <v>1925</v>
      </c>
      <c r="N99" s="27" t="str">
        <f t="shared" si="4"/>
        <v>https://babel.hathitrust.org/cgi/pt?id=mdp.39015076524217;view=1up;seq=651</v>
      </c>
      <c r="O99" s="27" t="str">
        <f t="shared" si="5"/>
        <v>https://babel.hathitrust.org/cgi/pt?id=mdp.39015076523755;view=1up;seq=52</v>
      </c>
      <c r="P99" s="27" t="str">
        <f t="shared" si="6"/>
        <v>https://babel.hathitrust.org/cgi/pt?id=mdp.39015076524217;view=1up;seq=168</v>
      </c>
      <c r="Q99" s="27" t="s">
        <v>399</v>
      </c>
      <c r="R99" s="27" t="s">
        <v>403</v>
      </c>
      <c r="S99" s="27" t="s">
        <v>401</v>
      </c>
      <c r="T99" s="27" t="s">
        <v>402</v>
      </c>
      <c r="U99" s="27" t="str">
        <f t="shared" si="7"/>
        <v>https://babel.hathitrust.org/cgi/pt?id=mdp.39015076523755;view=1up;seq=68</v>
      </c>
    </row>
    <row r="100" spans="1:21" x14ac:dyDescent="0.25">
      <c r="A100" s="27" t="s">
        <v>674</v>
      </c>
      <c r="B100" s="27" t="str">
        <f t="shared" si="2"/>
        <v>Arkansas</v>
      </c>
      <c r="C100" s="27" t="str">
        <f t="shared" si="3"/>
        <v>Fulton</v>
      </c>
      <c r="D100" s="2">
        <v>2706</v>
      </c>
      <c r="E100" s="29">
        <f>'AR post'!H18</f>
        <v>183</v>
      </c>
      <c r="F100" s="97">
        <f>'AR post'!L26</f>
        <v>106</v>
      </c>
      <c r="G100" s="27">
        <v>3455</v>
      </c>
      <c r="H100" s="27">
        <v>82</v>
      </c>
      <c r="I100" s="2">
        <v>57713</v>
      </c>
      <c r="J100" s="27">
        <v>86</v>
      </c>
      <c r="K100" s="29">
        <f>'AR post'!Z26</f>
        <v>145511</v>
      </c>
      <c r="L100" s="41">
        <v>1925</v>
      </c>
      <c r="N100" s="27" t="str">
        <f t="shared" si="4"/>
        <v>https://babel.hathitrust.org/cgi/pt?id=mdp.39015076524217;view=1up;seq=651</v>
      </c>
      <c r="O100" s="27" t="str">
        <f t="shared" si="5"/>
        <v>https://babel.hathitrust.org/cgi/pt?id=mdp.39015076523755;view=1up;seq=52</v>
      </c>
      <c r="P100" s="27" t="str">
        <f t="shared" si="6"/>
        <v>https://babel.hathitrust.org/cgi/pt?id=mdp.39015076524217;view=1up;seq=168</v>
      </c>
      <c r="Q100" s="27" t="s">
        <v>399</v>
      </c>
      <c r="R100" s="27" t="s">
        <v>403</v>
      </c>
      <c r="S100" s="27" t="s">
        <v>401</v>
      </c>
      <c r="T100" s="27" t="s">
        <v>402</v>
      </c>
      <c r="U100" s="27" t="str">
        <f t="shared" si="7"/>
        <v>https://babel.hathitrust.org/cgi/pt?id=mdp.39015076523755;view=1up;seq=68</v>
      </c>
    </row>
    <row r="101" spans="1:21" x14ac:dyDescent="0.25">
      <c r="A101" s="27" t="s">
        <v>675</v>
      </c>
      <c r="B101" s="27" t="str">
        <f t="shared" si="2"/>
        <v>Arkansas</v>
      </c>
      <c r="C101" s="27" t="str">
        <f t="shared" si="3"/>
        <v>Garland</v>
      </c>
      <c r="D101" s="2">
        <v>5594</v>
      </c>
      <c r="E101" s="29">
        <f>'AR post'!H19</f>
        <v>163</v>
      </c>
      <c r="F101" s="97">
        <f>'AR post'!L27</f>
        <v>160</v>
      </c>
      <c r="G101" s="27">
        <v>7836</v>
      </c>
      <c r="H101" s="27">
        <v>116</v>
      </c>
      <c r="I101" s="2">
        <v>360613</v>
      </c>
      <c r="J101" s="27">
        <v>77</v>
      </c>
      <c r="K101" s="29">
        <f>'AR post'!Z27</f>
        <v>591091</v>
      </c>
      <c r="L101" s="41">
        <v>1925</v>
      </c>
      <c r="N101" s="27" t="str">
        <f t="shared" si="4"/>
        <v>https://babel.hathitrust.org/cgi/pt?id=mdp.39015076524217;view=1up;seq=651</v>
      </c>
      <c r="O101" s="27" t="str">
        <f t="shared" si="5"/>
        <v>https://babel.hathitrust.org/cgi/pt?id=mdp.39015076523755;view=1up;seq=52</v>
      </c>
      <c r="P101" s="27" t="str">
        <f t="shared" si="6"/>
        <v>https://babel.hathitrust.org/cgi/pt?id=mdp.39015076524217;view=1up;seq=168</v>
      </c>
      <c r="Q101" s="27" t="s">
        <v>399</v>
      </c>
      <c r="R101" s="27" t="s">
        <v>403</v>
      </c>
      <c r="S101" s="27" t="s">
        <v>401</v>
      </c>
      <c r="T101" s="27" t="s">
        <v>402</v>
      </c>
      <c r="U101" s="27" t="str">
        <f t="shared" si="7"/>
        <v>https://babel.hathitrust.org/cgi/pt?id=mdp.39015076523755;view=1up;seq=68</v>
      </c>
    </row>
    <row r="102" spans="1:21" x14ac:dyDescent="0.25">
      <c r="A102" s="27" t="s">
        <v>676</v>
      </c>
      <c r="B102" s="27" t="str">
        <f t="shared" si="2"/>
        <v>Arkansas</v>
      </c>
      <c r="C102" s="27" t="str">
        <f t="shared" si="3"/>
        <v>Grant</v>
      </c>
      <c r="D102" s="2">
        <v>2079</v>
      </c>
      <c r="E102" s="29">
        <f>'AR post'!H20</f>
        <v>120</v>
      </c>
      <c r="F102" s="97">
        <f>'AR post'!L28</f>
        <v>111</v>
      </c>
      <c r="G102" s="27">
        <v>2866</v>
      </c>
      <c r="H102" s="27">
        <v>65</v>
      </c>
      <c r="I102" s="2">
        <v>55473</v>
      </c>
      <c r="J102" s="27">
        <v>51</v>
      </c>
      <c r="K102" s="29">
        <f>'AR post'!Z28</f>
        <v>50530</v>
      </c>
      <c r="L102" s="41">
        <v>1925</v>
      </c>
      <c r="N102" s="27" t="str">
        <f t="shared" si="4"/>
        <v>https://babel.hathitrust.org/cgi/pt?id=mdp.39015076524217;view=1up;seq=651</v>
      </c>
      <c r="O102" s="27" t="str">
        <f t="shared" si="5"/>
        <v>https://babel.hathitrust.org/cgi/pt?id=mdp.39015076523755;view=1up;seq=52</v>
      </c>
      <c r="P102" s="27" t="str">
        <f t="shared" si="6"/>
        <v>https://babel.hathitrust.org/cgi/pt?id=mdp.39015076524217;view=1up;seq=168</v>
      </c>
      <c r="Q102" s="27" t="s">
        <v>399</v>
      </c>
      <c r="R102" s="27" t="s">
        <v>403</v>
      </c>
      <c r="S102" s="27" t="s">
        <v>401</v>
      </c>
      <c r="T102" s="27" t="s">
        <v>402</v>
      </c>
      <c r="U102" s="27" t="str">
        <f t="shared" si="7"/>
        <v>https://babel.hathitrust.org/cgi/pt?id=mdp.39015076523755;view=1up;seq=68</v>
      </c>
    </row>
    <row r="103" spans="1:21" x14ac:dyDescent="0.25">
      <c r="A103" s="27" t="s">
        <v>677</v>
      </c>
      <c r="B103" s="27" t="str">
        <f t="shared" si="2"/>
        <v>Arkansas</v>
      </c>
      <c r="C103" s="27" t="str">
        <f t="shared" si="3"/>
        <v>Greene</v>
      </c>
      <c r="D103" s="2">
        <v>5601</v>
      </c>
      <c r="E103" s="29">
        <f>'AR post'!H21</f>
        <v>127</v>
      </c>
      <c r="F103" s="97">
        <f>'AR post'!L29</f>
        <v>115</v>
      </c>
      <c r="G103" s="27">
        <v>7369</v>
      </c>
      <c r="H103" s="27">
        <v>99</v>
      </c>
      <c r="I103" s="2">
        <v>349644</v>
      </c>
      <c r="J103" s="27">
        <v>111</v>
      </c>
      <c r="K103" s="29">
        <f>'AR post'!Z29</f>
        <v>261995</v>
      </c>
      <c r="L103" s="41">
        <v>1925</v>
      </c>
      <c r="N103" s="27" t="str">
        <f t="shared" si="4"/>
        <v>https://babel.hathitrust.org/cgi/pt?id=mdp.39015076524217;view=1up;seq=651</v>
      </c>
      <c r="O103" s="27" t="str">
        <f t="shared" si="5"/>
        <v>https://babel.hathitrust.org/cgi/pt?id=mdp.39015076523755;view=1up;seq=52</v>
      </c>
      <c r="P103" s="27" t="str">
        <f t="shared" si="6"/>
        <v>https://babel.hathitrust.org/cgi/pt?id=mdp.39015076524217;view=1up;seq=168</v>
      </c>
      <c r="Q103" s="27" t="s">
        <v>399</v>
      </c>
      <c r="R103" s="27" t="s">
        <v>403</v>
      </c>
      <c r="S103" s="27" t="s">
        <v>401</v>
      </c>
      <c r="T103" s="27" t="s">
        <v>402</v>
      </c>
      <c r="U103" s="27" t="str">
        <f t="shared" si="7"/>
        <v>https://babel.hathitrust.org/cgi/pt?id=mdp.39015076523755;view=1up;seq=68</v>
      </c>
    </row>
    <row r="104" spans="1:21" x14ac:dyDescent="0.25">
      <c r="A104" s="27" t="s">
        <v>678</v>
      </c>
      <c r="B104" s="27" t="str">
        <f t="shared" si="2"/>
        <v>Arkansas</v>
      </c>
      <c r="C104" s="27" t="str">
        <f t="shared" si="3"/>
        <v>Hempstead</v>
      </c>
      <c r="D104" s="2">
        <v>6467</v>
      </c>
      <c r="E104" s="29">
        <f>'AR post'!H22</f>
        <v>106</v>
      </c>
      <c r="F104" s="97">
        <f>'AR post'!L30</f>
        <v>134</v>
      </c>
      <c r="G104" s="27">
        <v>9007</v>
      </c>
      <c r="H104" s="27">
        <v>68</v>
      </c>
      <c r="I104" s="2">
        <v>158971</v>
      </c>
      <c r="J104" s="27">
        <v>123</v>
      </c>
      <c r="K104" s="29">
        <f>'AR post'!Z30</f>
        <v>281560</v>
      </c>
      <c r="L104" s="41">
        <v>1925</v>
      </c>
      <c r="N104" s="27" t="str">
        <f t="shared" si="4"/>
        <v>https://babel.hathitrust.org/cgi/pt?id=mdp.39015076524217;view=1up;seq=651</v>
      </c>
      <c r="O104" s="27" t="str">
        <f t="shared" si="5"/>
        <v>https://babel.hathitrust.org/cgi/pt?id=mdp.39015076523755;view=1up;seq=52</v>
      </c>
      <c r="P104" s="27" t="str">
        <f t="shared" si="6"/>
        <v>https://babel.hathitrust.org/cgi/pt?id=mdp.39015076524217;view=1up;seq=168</v>
      </c>
      <c r="Q104" s="27" t="s">
        <v>399</v>
      </c>
      <c r="R104" s="27" t="s">
        <v>403</v>
      </c>
      <c r="S104" s="27" t="s">
        <v>401</v>
      </c>
      <c r="T104" s="27" t="s">
        <v>402</v>
      </c>
      <c r="U104" s="27" t="str">
        <f t="shared" si="7"/>
        <v>https://babel.hathitrust.org/cgi/pt?id=mdp.39015076523755;view=1up;seq=68</v>
      </c>
    </row>
    <row r="105" spans="1:21" x14ac:dyDescent="0.25">
      <c r="A105" s="27" t="s">
        <v>679</v>
      </c>
      <c r="B105" s="27" t="str">
        <f t="shared" si="2"/>
        <v>Arkansas</v>
      </c>
      <c r="C105" s="27" t="str">
        <f t="shared" si="3"/>
        <v>Hot Spring</v>
      </c>
      <c r="D105" s="2">
        <v>3766</v>
      </c>
      <c r="E105" s="29">
        <f>'AR post'!H23</f>
        <v>194</v>
      </c>
      <c r="F105" s="97">
        <f>'AR post'!L31</f>
        <v>148</v>
      </c>
      <c r="G105" s="27">
        <v>5459</v>
      </c>
      <c r="H105" s="27">
        <v>86</v>
      </c>
      <c r="I105" s="2">
        <v>97625</v>
      </c>
      <c r="J105" s="27">
        <v>69</v>
      </c>
      <c r="K105" s="29">
        <f>'AR post'!Z31</f>
        <v>116700</v>
      </c>
      <c r="L105" s="41">
        <v>1925</v>
      </c>
      <c r="N105" s="27" t="str">
        <f t="shared" si="4"/>
        <v>https://babel.hathitrust.org/cgi/pt?id=mdp.39015076524217;view=1up;seq=651</v>
      </c>
      <c r="O105" s="27" t="str">
        <f t="shared" si="5"/>
        <v>https://babel.hathitrust.org/cgi/pt?id=mdp.39015076523755;view=1up;seq=52</v>
      </c>
      <c r="P105" s="27" t="str">
        <f t="shared" si="6"/>
        <v>https://babel.hathitrust.org/cgi/pt?id=mdp.39015076524217;view=1up;seq=168</v>
      </c>
      <c r="Q105" s="27" t="s">
        <v>399</v>
      </c>
      <c r="R105" s="27" t="s">
        <v>403</v>
      </c>
      <c r="S105" s="27" t="s">
        <v>403</v>
      </c>
      <c r="T105" s="27" t="s">
        <v>402</v>
      </c>
      <c r="U105" s="27" t="s">
        <v>2572</v>
      </c>
    </row>
    <row r="106" spans="1:21" x14ac:dyDescent="0.25">
      <c r="A106" s="27" t="s">
        <v>680</v>
      </c>
      <c r="B106" s="27" t="str">
        <f t="shared" si="2"/>
        <v>Arkansas</v>
      </c>
      <c r="C106" s="27" t="str">
        <f t="shared" si="3"/>
        <v>Howard</v>
      </c>
      <c r="D106" s="2">
        <v>3577</v>
      </c>
      <c r="E106" s="29">
        <f>'AR post'!H24</f>
        <v>211</v>
      </c>
      <c r="F106" s="97">
        <f>'AR post'!L32</f>
        <v>118</v>
      </c>
      <c r="G106" s="27">
        <v>4872</v>
      </c>
      <c r="H106" s="27">
        <v>70</v>
      </c>
      <c r="I106" s="2">
        <v>184984</v>
      </c>
      <c r="J106" s="27">
        <v>78</v>
      </c>
      <c r="K106" s="29">
        <f>'AR post'!Z32</f>
        <v>54840</v>
      </c>
      <c r="L106" s="41">
        <v>1925</v>
      </c>
      <c r="N106" s="27" t="str">
        <f t="shared" si="4"/>
        <v>https://babel.hathitrust.org/cgi/pt?id=mdp.39015076524217;view=1up;seq=651</v>
      </c>
      <c r="O106" s="27" t="str">
        <f t="shared" si="5"/>
        <v>https://babel.hathitrust.org/cgi/pt?id=mdp.39015076523755;view=1up;seq=52</v>
      </c>
      <c r="P106" s="27" t="str">
        <f t="shared" si="6"/>
        <v>https://babel.hathitrust.org/cgi/pt?id=mdp.39015076524217;view=1up;seq=168</v>
      </c>
      <c r="Q106" s="27" t="s">
        <v>399</v>
      </c>
      <c r="R106" s="27" t="s">
        <v>403</v>
      </c>
      <c r="S106" s="27" t="s">
        <v>403</v>
      </c>
      <c r="T106" s="27" t="s">
        <v>402</v>
      </c>
      <c r="U106" s="27" t="str">
        <f>U105</f>
        <v>https://babel.hathitrust.org/cgi/pt?id=mdp.39015076523755;view=1up;seq=69</v>
      </c>
    </row>
    <row r="107" spans="1:21" x14ac:dyDescent="0.25">
      <c r="A107" s="27" t="s">
        <v>681</v>
      </c>
      <c r="B107" s="27" t="str">
        <f t="shared" si="2"/>
        <v>Arkansas</v>
      </c>
      <c r="C107" s="27" t="str">
        <f t="shared" si="3"/>
        <v>Independence</v>
      </c>
      <c r="D107" s="2">
        <v>5375</v>
      </c>
      <c r="E107" s="29">
        <f>'AR post'!H25</f>
        <v>170</v>
      </c>
      <c r="F107" s="97">
        <f>'AR post'!L33</f>
        <v>141</v>
      </c>
      <c r="G107" s="27">
        <v>7325</v>
      </c>
      <c r="H107" s="27">
        <v>59</v>
      </c>
      <c r="I107" s="2">
        <v>125318</v>
      </c>
      <c r="J107" s="27">
        <v>93</v>
      </c>
      <c r="K107" s="29">
        <f>'AR post'!Z33</f>
        <v>239590</v>
      </c>
      <c r="L107" s="41">
        <v>1925</v>
      </c>
      <c r="N107" s="27" t="str">
        <f t="shared" si="4"/>
        <v>https://babel.hathitrust.org/cgi/pt?id=mdp.39015076524217;view=1up;seq=651</v>
      </c>
      <c r="O107" s="27" t="str">
        <f t="shared" si="5"/>
        <v>https://babel.hathitrust.org/cgi/pt?id=mdp.39015076523755;view=1up;seq=52</v>
      </c>
      <c r="P107" s="27" t="str">
        <f t="shared" si="6"/>
        <v>https://babel.hathitrust.org/cgi/pt?id=mdp.39015076524217;view=1up;seq=168</v>
      </c>
      <c r="Q107" s="27" t="s">
        <v>399</v>
      </c>
      <c r="R107" s="27" t="s">
        <v>403</v>
      </c>
      <c r="S107" s="27" t="s">
        <v>403</v>
      </c>
      <c r="T107" s="27" t="s">
        <v>402</v>
      </c>
      <c r="U107" s="27" t="str">
        <f t="shared" ref="U107:U150" si="8">U106</f>
        <v>https://babel.hathitrust.org/cgi/pt?id=mdp.39015076523755;view=1up;seq=69</v>
      </c>
    </row>
    <row r="108" spans="1:21" x14ac:dyDescent="0.25">
      <c r="A108" s="27" t="s">
        <v>682</v>
      </c>
      <c r="B108" s="27" t="str">
        <f t="shared" si="2"/>
        <v>Arkansas</v>
      </c>
      <c r="C108" s="27" t="str">
        <f t="shared" si="3"/>
        <v>Izard</v>
      </c>
      <c r="D108" s="2">
        <v>3187</v>
      </c>
      <c r="E108" s="29">
        <f>'AR post'!H26</f>
        <v>103</v>
      </c>
      <c r="F108" s="97">
        <f>'AR post'!L34</f>
        <v>108</v>
      </c>
      <c r="G108" s="27">
        <v>4200</v>
      </c>
      <c r="H108" s="27">
        <v>88</v>
      </c>
      <c r="I108" s="2">
        <v>68464</v>
      </c>
      <c r="J108" s="27">
        <v>87</v>
      </c>
      <c r="K108" s="29">
        <f>'AR post'!Z34</f>
        <v>71736</v>
      </c>
      <c r="L108" s="41">
        <v>1925</v>
      </c>
      <c r="N108" s="27" t="str">
        <f t="shared" si="4"/>
        <v>https://babel.hathitrust.org/cgi/pt?id=mdp.39015076524217;view=1up;seq=651</v>
      </c>
      <c r="O108" s="27" t="str">
        <f t="shared" si="5"/>
        <v>https://babel.hathitrust.org/cgi/pt?id=mdp.39015076523755;view=1up;seq=52</v>
      </c>
      <c r="P108" s="27" t="str">
        <f t="shared" si="6"/>
        <v>https://babel.hathitrust.org/cgi/pt?id=mdp.39015076524217;view=1up;seq=168</v>
      </c>
      <c r="Q108" s="27" t="s">
        <v>399</v>
      </c>
      <c r="R108" s="27" t="s">
        <v>403</v>
      </c>
      <c r="S108" s="27" t="s">
        <v>403</v>
      </c>
      <c r="T108" s="27" t="s">
        <v>402</v>
      </c>
      <c r="U108" s="27" t="str">
        <f t="shared" si="8"/>
        <v>https://babel.hathitrust.org/cgi/pt?id=mdp.39015076523755;view=1up;seq=69</v>
      </c>
    </row>
    <row r="109" spans="1:21" x14ac:dyDescent="0.25">
      <c r="A109" s="27" t="s">
        <v>683</v>
      </c>
      <c r="B109" s="27" t="str">
        <f t="shared" si="2"/>
        <v>Arkansas</v>
      </c>
      <c r="C109" s="27" t="str">
        <f t="shared" si="3"/>
        <v>Jackson</v>
      </c>
      <c r="D109" s="2">
        <v>4951</v>
      </c>
      <c r="E109" s="29">
        <f>'AR post'!H27</f>
        <v>157</v>
      </c>
      <c r="F109" s="97">
        <f>'AR post'!L35</f>
        <v>143</v>
      </c>
      <c r="G109" s="27">
        <v>7648</v>
      </c>
      <c r="H109" s="27">
        <v>69</v>
      </c>
      <c r="I109" s="2">
        <v>160808</v>
      </c>
      <c r="J109" s="27">
        <v>98</v>
      </c>
      <c r="K109" s="29">
        <f>'AR post'!Z35</f>
        <v>276950</v>
      </c>
      <c r="L109" s="41">
        <v>1925</v>
      </c>
      <c r="N109" s="27" t="str">
        <f t="shared" si="4"/>
        <v>https://babel.hathitrust.org/cgi/pt?id=mdp.39015076524217;view=1up;seq=651</v>
      </c>
      <c r="O109" s="27" t="str">
        <f t="shared" si="5"/>
        <v>https://babel.hathitrust.org/cgi/pt?id=mdp.39015076523755;view=1up;seq=52</v>
      </c>
      <c r="P109" s="27" t="str">
        <f t="shared" si="6"/>
        <v>https://babel.hathitrust.org/cgi/pt?id=mdp.39015076524217;view=1up;seq=168</v>
      </c>
      <c r="Q109" s="27" t="s">
        <v>399</v>
      </c>
      <c r="R109" s="27" t="s">
        <v>403</v>
      </c>
      <c r="S109" s="27" t="s">
        <v>403</v>
      </c>
      <c r="T109" s="27" t="s">
        <v>402</v>
      </c>
      <c r="U109" s="27" t="str">
        <f t="shared" si="8"/>
        <v>https://babel.hathitrust.org/cgi/pt?id=mdp.39015076523755;view=1up;seq=69</v>
      </c>
    </row>
    <row r="110" spans="1:21" x14ac:dyDescent="0.25">
      <c r="A110" s="27" t="s">
        <v>684</v>
      </c>
      <c r="B110" s="27" t="str">
        <f t="shared" si="2"/>
        <v>Arkansas</v>
      </c>
      <c r="C110" s="27" t="str">
        <f t="shared" si="3"/>
        <v>Jefferson</v>
      </c>
      <c r="D110" s="2">
        <v>15616</v>
      </c>
      <c r="E110" s="29">
        <f>'AR post'!H28</f>
        <v>70</v>
      </c>
      <c r="F110" s="97">
        <f>'AR post'!L36</f>
        <v>142</v>
      </c>
      <c r="G110" s="27">
        <v>18928</v>
      </c>
      <c r="H110" s="27">
        <v>98</v>
      </c>
      <c r="I110" s="2">
        <v>464864</v>
      </c>
      <c r="J110" s="27">
        <v>175</v>
      </c>
      <c r="K110" s="29">
        <f>'AR post'!Z36</f>
        <v>975650</v>
      </c>
      <c r="L110" s="41">
        <v>1925</v>
      </c>
      <c r="N110" s="27" t="str">
        <f t="shared" si="4"/>
        <v>https://babel.hathitrust.org/cgi/pt?id=mdp.39015076524217;view=1up;seq=651</v>
      </c>
      <c r="O110" s="27" t="str">
        <f t="shared" si="5"/>
        <v>https://babel.hathitrust.org/cgi/pt?id=mdp.39015076523755;view=1up;seq=52</v>
      </c>
      <c r="P110" s="27" t="str">
        <f t="shared" si="6"/>
        <v>https://babel.hathitrust.org/cgi/pt?id=mdp.39015076524217;view=1up;seq=168</v>
      </c>
      <c r="Q110" s="27" t="s">
        <v>399</v>
      </c>
      <c r="R110" s="27" t="s">
        <v>403</v>
      </c>
      <c r="S110" s="27" t="s">
        <v>403</v>
      </c>
      <c r="T110" s="27" t="s">
        <v>402</v>
      </c>
      <c r="U110" s="27" t="str">
        <f t="shared" si="8"/>
        <v>https://babel.hathitrust.org/cgi/pt?id=mdp.39015076523755;view=1up;seq=69</v>
      </c>
    </row>
    <row r="111" spans="1:21" x14ac:dyDescent="0.25">
      <c r="A111" s="27" t="s">
        <v>685</v>
      </c>
      <c r="B111" s="27" t="str">
        <f t="shared" si="2"/>
        <v>Arkansas</v>
      </c>
      <c r="C111" s="27" t="str">
        <f t="shared" si="3"/>
        <v>Johnson</v>
      </c>
      <c r="D111" s="2">
        <v>4439</v>
      </c>
      <c r="E111" s="29">
        <f>'AR post'!H29</f>
        <v>190</v>
      </c>
      <c r="F111" s="97">
        <f>'AR post'!L37</f>
        <v>113</v>
      </c>
      <c r="G111" s="27">
        <v>6082</v>
      </c>
      <c r="H111" s="27">
        <v>79</v>
      </c>
      <c r="I111" s="2">
        <v>32483</v>
      </c>
      <c r="J111" s="27">
        <v>91</v>
      </c>
      <c r="K111" s="29">
        <f>'AR post'!Z37</f>
        <v>185125</v>
      </c>
      <c r="L111" s="41">
        <v>1925</v>
      </c>
      <c r="N111" s="27" t="str">
        <f t="shared" si="4"/>
        <v>https://babel.hathitrust.org/cgi/pt?id=mdp.39015076524217;view=1up;seq=651</v>
      </c>
      <c r="O111" s="27" t="str">
        <f t="shared" si="5"/>
        <v>https://babel.hathitrust.org/cgi/pt?id=mdp.39015076523755;view=1up;seq=52</v>
      </c>
      <c r="P111" s="27" t="str">
        <f t="shared" si="6"/>
        <v>https://babel.hathitrust.org/cgi/pt?id=mdp.39015076524217;view=1up;seq=168</v>
      </c>
      <c r="Q111" s="27" t="s">
        <v>399</v>
      </c>
      <c r="R111" s="27" t="s">
        <v>403</v>
      </c>
      <c r="S111" s="27" t="s">
        <v>403</v>
      </c>
      <c r="T111" s="27" t="s">
        <v>402</v>
      </c>
      <c r="U111" s="27" t="str">
        <f t="shared" si="8"/>
        <v>https://babel.hathitrust.org/cgi/pt?id=mdp.39015076523755;view=1up;seq=69</v>
      </c>
    </row>
    <row r="112" spans="1:21" x14ac:dyDescent="0.25">
      <c r="A112" s="27" t="s">
        <v>686</v>
      </c>
      <c r="B112" s="27" t="str">
        <f t="shared" si="2"/>
        <v>Arkansas</v>
      </c>
      <c r="C112" s="27" t="str">
        <f t="shared" si="3"/>
        <v>Lafayette</v>
      </c>
      <c r="D112" s="2">
        <v>3064</v>
      </c>
      <c r="E112" s="29">
        <f>'AR post'!H30</f>
        <v>210</v>
      </c>
      <c r="F112" s="97">
        <f>'AR post'!L38</f>
        <v>125</v>
      </c>
      <c r="G112" s="27">
        <v>4346</v>
      </c>
      <c r="H112" s="27">
        <v>79</v>
      </c>
      <c r="I112" s="2">
        <v>86209</v>
      </c>
      <c r="J112" s="27">
        <v>60</v>
      </c>
      <c r="K112" s="29">
        <f>'AR post'!Z38</f>
        <v>152045</v>
      </c>
      <c r="L112" s="41">
        <v>1925</v>
      </c>
      <c r="N112" s="27" t="str">
        <f t="shared" si="4"/>
        <v>https://babel.hathitrust.org/cgi/pt?id=mdp.39015076524217;view=1up;seq=651</v>
      </c>
      <c r="O112" s="27" t="str">
        <f t="shared" si="5"/>
        <v>https://babel.hathitrust.org/cgi/pt?id=mdp.39015076523755;view=1up;seq=52</v>
      </c>
      <c r="P112" s="27" t="str">
        <f t="shared" si="6"/>
        <v>https://babel.hathitrust.org/cgi/pt?id=mdp.39015076524217;view=1up;seq=168</v>
      </c>
      <c r="Q112" s="27" t="s">
        <v>399</v>
      </c>
      <c r="R112" s="27" t="s">
        <v>403</v>
      </c>
      <c r="S112" s="27" t="s">
        <v>403</v>
      </c>
      <c r="T112" s="27" t="s">
        <v>402</v>
      </c>
      <c r="U112" s="27" t="str">
        <f t="shared" si="8"/>
        <v>https://babel.hathitrust.org/cgi/pt?id=mdp.39015076523755;view=1up;seq=69</v>
      </c>
    </row>
    <row r="113" spans="1:21" x14ac:dyDescent="0.25">
      <c r="A113" s="27" t="s">
        <v>687</v>
      </c>
      <c r="B113" s="27" t="str">
        <f t="shared" si="2"/>
        <v>Arkansas</v>
      </c>
      <c r="C113" s="27" t="str">
        <f t="shared" si="3"/>
        <v>Lawrence</v>
      </c>
      <c r="D113" s="2">
        <v>4698</v>
      </c>
      <c r="E113" s="29">
        <f>'AR post'!H31</f>
        <v>109</v>
      </c>
      <c r="F113" s="97">
        <f>'AR post'!L39</f>
        <v>142</v>
      </c>
      <c r="G113" s="27">
        <v>6724</v>
      </c>
      <c r="H113" s="27">
        <v>81</v>
      </c>
      <c r="I113" s="2">
        <v>120715</v>
      </c>
      <c r="J113" s="27">
        <v>82</v>
      </c>
      <c r="K113" s="29">
        <f>'AR post'!Z39</f>
        <v>250165</v>
      </c>
      <c r="L113" s="41">
        <v>1925</v>
      </c>
      <c r="N113" s="27" t="str">
        <f t="shared" si="4"/>
        <v>https://babel.hathitrust.org/cgi/pt?id=mdp.39015076524217;view=1up;seq=651</v>
      </c>
      <c r="O113" s="27" t="str">
        <f t="shared" si="5"/>
        <v>https://babel.hathitrust.org/cgi/pt?id=mdp.39015076523755;view=1up;seq=52</v>
      </c>
      <c r="P113" s="27" t="str">
        <f t="shared" si="6"/>
        <v>https://babel.hathitrust.org/cgi/pt?id=mdp.39015076524217;view=1up;seq=168</v>
      </c>
      <c r="Q113" s="27" t="s">
        <v>399</v>
      </c>
      <c r="R113" s="27" t="s">
        <v>403</v>
      </c>
      <c r="S113" s="27" t="s">
        <v>403</v>
      </c>
      <c r="T113" s="27" t="s">
        <v>402</v>
      </c>
      <c r="U113" s="27" t="str">
        <f t="shared" si="8"/>
        <v>https://babel.hathitrust.org/cgi/pt?id=mdp.39015076523755;view=1up;seq=69</v>
      </c>
    </row>
    <row r="114" spans="1:21" x14ac:dyDescent="0.25">
      <c r="A114" s="27" t="s">
        <v>688</v>
      </c>
      <c r="B114" s="27" t="str">
        <f t="shared" si="2"/>
        <v>Arkansas</v>
      </c>
      <c r="C114" s="27" t="str">
        <f t="shared" si="3"/>
        <v>Lee</v>
      </c>
      <c r="D114" s="2">
        <v>4759</v>
      </c>
      <c r="E114" s="29">
        <f>'AR post'!H32</f>
        <v>113</v>
      </c>
      <c r="F114" s="97">
        <f>'AR post'!L40</f>
        <v>143</v>
      </c>
      <c r="G114" s="27">
        <v>6320</v>
      </c>
      <c r="H114" s="27">
        <v>91</v>
      </c>
      <c r="I114" s="2">
        <v>169127</v>
      </c>
      <c r="J114" s="27">
        <v>102</v>
      </c>
      <c r="K114" s="29">
        <f>'AR post'!Z40</f>
        <v>315225</v>
      </c>
      <c r="L114" s="41">
        <v>1925</v>
      </c>
      <c r="N114" s="27" t="str">
        <f t="shared" si="4"/>
        <v>https://babel.hathitrust.org/cgi/pt?id=mdp.39015076524217;view=1up;seq=651</v>
      </c>
      <c r="O114" s="27" t="str">
        <f t="shared" si="5"/>
        <v>https://babel.hathitrust.org/cgi/pt?id=mdp.39015076523755;view=1up;seq=52</v>
      </c>
      <c r="P114" s="27" t="str">
        <f t="shared" si="6"/>
        <v>https://babel.hathitrust.org/cgi/pt?id=mdp.39015076524217;view=1up;seq=168</v>
      </c>
      <c r="Q114" s="27" t="s">
        <v>399</v>
      </c>
      <c r="R114" s="27" t="s">
        <v>403</v>
      </c>
      <c r="S114" s="27" t="s">
        <v>403</v>
      </c>
      <c r="T114" s="27" t="s">
        <v>402</v>
      </c>
      <c r="U114" s="27" t="str">
        <f t="shared" si="8"/>
        <v>https://babel.hathitrust.org/cgi/pt?id=mdp.39015076523755;view=1up;seq=69</v>
      </c>
    </row>
    <row r="115" spans="1:21" x14ac:dyDescent="0.25">
      <c r="A115" s="27" t="s">
        <v>689</v>
      </c>
      <c r="B115" s="27" t="str">
        <f t="shared" si="2"/>
        <v>Arkansas</v>
      </c>
      <c r="C115" s="27" t="str">
        <f t="shared" si="3"/>
        <v>Lincoln</v>
      </c>
      <c r="D115" s="2">
        <v>3031</v>
      </c>
      <c r="E115" s="29">
        <f>'AR post'!H33</f>
        <v>145</v>
      </c>
      <c r="F115" s="97">
        <f>'AR post'!L41</f>
        <v>116</v>
      </c>
      <c r="G115" s="27">
        <v>4984</v>
      </c>
      <c r="H115" s="27">
        <v>66</v>
      </c>
      <c r="I115" s="2">
        <v>72357</v>
      </c>
      <c r="J115" s="27">
        <v>66</v>
      </c>
      <c r="K115" s="29">
        <f>'AR post'!Z41</f>
        <v>87025</v>
      </c>
      <c r="L115" s="41">
        <v>1925</v>
      </c>
      <c r="N115" s="27" t="str">
        <f t="shared" si="4"/>
        <v>https://babel.hathitrust.org/cgi/pt?id=mdp.39015076524217;view=1up;seq=651</v>
      </c>
      <c r="O115" s="27" t="str">
        <f t="shared" si="5"/>
        <v>https://babel.hathitrust.org/cgi/pt?id=mdp.39015076523755;view=1up;seq=52</v>
      </c>
      <c r="P115" s="27" t="str">
        <f t="shared" si="6"/>
        <v>https://babel.hathitrust.org/cgi/pt?id=mdp.39015076524217;view=1up;seq=168</v>
      </c>
      <c r="Q115" s="27" t="s">
        <v>399</v>
      </c>
      <c r="R115" s="27" t="s">
        <v>403</v>
      </c>
      <c r="S115" s="27" t="s">
        <v>403</v>
      </c>
      <c r="T115" s="27" t="s">
        <v>402</v>
      </c>
      <c r="U115" s="27" t="str">
        <f t="shared" si="8"/>
        <v>https://babel.hathitrust.org/cgi/pt?id=mdp.39015076523755;view=1up;seq=69</v>
      </c>
    </row>
    <row r="116" spans="1:21" x14ac:dyDescent="0.25">
      <c r="A116" s="27" t="s">
        <v>690</v>
      </c>
      <c r="B116" s="27" t="str">
        <f t="shared" si="2"/>
        <v>Arkansas</v>
      </c>
      <c r="C116" s="27" t="str">
        <f t="shared" si="3"/>
        <v>Little River</v>
      </c>
      <c r="D116" s="2">
        <v>3098</v>
      </c>
      <c r="E116" s="29">
        <f>'AR post'!H34</f>
        <v>112</v>
      </c>
      <c r="F116" s="97">
        <f>'AR post'!L42</f>
        <v>128</v>
      </c>
      <c r="G116" s="27">
        <v>4747</v>
      </c>
      <c r="H116" s="27">
        <v>65</v>
      </c>
      <c r="I116" s="2">
        <v>93041</v>
      </c>
      <c r="J116" s="27">
        <v>61</v>
      </c>
      <c r="K116" s="29">
        <f>'AR post'!Z42</f>
        <v>210225</v>
      </c>
      <c r="L116" s="41">
        <v>1925</v>
      </c>
      <c r="N116" s="27" t="str">
        <f t="shared" si="4"/>
        <v>https://babel.hathitrust.org/cgi/pt?id=mdp.39015076524217;view=1up;seq=651</v>
      </c>
      <c r="O116" s="27" t="str">
        <f t="shared" si="5"/>
        <v>https://babel.hathitrust.org/cgi/pt?id=mdp.39015076523755;view=1up;seq=52</v>
      </c>
      <c r="P116" s="27" t="str">
        <f t="shared" si="6"/>
        <v>https://babel.hathitrust.org/cgi/pt?id=mdp.39015076524217;view=1up;seq=168</v>
      </c>
      <c r="Q116" s="27" t="s">
        <v>399</v>
      </c>
      <c r="R116" s="27" t="s">
        <v>403</v>
      </c>
      <c r="S116" s="27" t="s">
        <v>403</v>
      </c>
      <c r="T116" s="27" t="s">
        <v>402</v>
      </c>
      <c r="U116" s="27" t="str">
        <f t="shared" si="8"/>
        <v>https://babel.hathitrust.org/cgi/pt?id=mdp.39015076523755;view=1up;seq=69</v>
      </c>
    </row>
    <row r="117" spans="1:21" x14ac:dyDescent="0.25">
      <c r="A117" s="27" t="s">
        <v>691</v>
      </c>
      <c r="B117" s="27" t="str">
        <f t="shared" si="2"/>
        <v>Arkansas</v>
      </c>
      <c r="C117" s="27" t="str">
        <f t="shared" si="3"/>
        <v>Logan</v>
      </c>
      <c r="D117" s="2">
        <v>5849</v>
      </c>
      <c r="E117" s="29">
        <f>'AR post'!H43</f>
        <v>215</v>
      </c>
      <c r="F117" s="97">
        <f>'AR post'!L43</f>
        <v>133</v>
      </c>
      <c r="G117" s="27">
        <v>7802</v>
      </c>
      <c r="H117" s="27">
        <v>74</v>
      </c>
      <c r="I117" s="2">
        <v>119550</v>
      </c>
      <c r="J117" s="27">
        <v>108</v>
      </c>
      <c r="K117" s="29">
        <f>'AR post'!Z43</f>
        <v>267160</v>
      </c>
      <c r="L117" s="41">
        <v>1925</v>
      </c>
      <c r="N117" s="27" t="str">
        <f t="shared" si="4"/>
        <v>https://babel.hathitrust.org/cgi/pt?id=mdp.39015076524217;view=1up;seq=651</v>
      </c>
      <c r="O117" s="27" t="str">
        <f t="shared" si="5"/>
        <v>https://babel.hathitrust.org/cgi/pt?id=mdp.39015076523755;view=1up;seq=52</v>
      </c>
      <c r="P117" s="27" t="str">
        <f t="shared" si="6"/>
        <v>https://babel.hathitrust.org/cgi/pt?id=mdp.39015076524217;view=1up;seq=168</v>
      </c>
      <c r="Q117" s="27" t="s">
        <v>399</v>
      </c>
      <c r="R117" s="27" t="s">
        <v>403</v>
      </c>
      <c r="S117" s="27" t="s">
        <v>403</v>
      </c>
      <c r="T117" s="27" t="s">
        <v>402</v>
      </c>
      <c r="U117" s="27" t="str">
        <f t="shared" si="8"/>
        <v>https://babel.hathitrust.org/cgi/pt?id=mdp.39015076523755;view=1up;seq=69</v>
      </c>
    </row>
    <row r="118" spans="1:21" x14ac:dyDescent="0.25">
      <c r="A118" s="27" t="s">
        <v>692</v>
      </c>
      <c r="B118" s="27" t="str">
        <f t="shared" si="2"/>
        <v>Arkansas</v>
      </c>
      <c r="C118" s="27" t="str">
        <f t="shared" si="3"/>
        <v>Lonoke</v>
      </c>
      <c r="D118" s="2">
        <v>6159</v>
      </c>
      <c r="E118" s="29">
        <f>'AR post'!H44</f>
        <v>230</v>
      </c>
      <c r="F118" s="97">
        <f>'AR post'!L44</f>
        <v>134</v>
      </c>
      <c r="G118" s="27">
        <v>8475</v>
      </c>
      <c r="H118" s="27">
        <v>77</v>
      </c>
      <c r="I118" s="2">
        <v>216276</v>
      </c>
      <c r="J118" s="27">
        <v>115</v>
      </c>
      <c r="K118" s="29">
        <f>'AR post'!Z44</f>
        <v>333805</v>
      </c>
      <c r="L118" s="41">
        <v>1925</v>
      </c>
      <c r="N118" s="27" t="str">
        <f t="shared" si="4"/>
        <v>https://babel.hathitrust.org/cgi/pt?id=mdp.39015076524217;view=1up;seq=651</v>
      </c>
      <c r="O118" s="27" t="str">
        <f t="shared" si="5"/>
        <v>https://babel.hathitrust.org/cgi/pt?id=mdp.39015076523755;view=1up;seq=52</v>
      </c>
      <c r="P118" s="27" t="str">
        <f t="shared" si="6"/>
        <v>https://babel.hathitrust.org/cgi/pt?id=mdp.39015076524217;view=1up;seq=168</v>
      </c>
      <c r="Q118" s="27" t="s">
        <v>399</v>
      </c>
      <c r="R118" s="27" t="s">
        <v>403</v>
      </c>
      <c r="S118" s="27" t="s">
        <v>403</v>
      </c>
      <c r="T118" s="27" t="s">
        <v>402</v>
      </c>
      <c r="U118" s="27" t="str">
        <f t="shared" si="8"/>
        <v>https://babel.hathitrust.org/cgi/pt?id=mdp.39015076523755;view=1up;seq=69</v>
      </c>
    </row>
    <row r="119" spans="1:21" x14ac:dyDescent="0.25">
      <c r="A119" s="27" t="s">
        <v>693</v>
      </c>
      <c r="B119" s="27" t="str">
        <f t="shared" si="2"/>
        <v>Arkansas</v>
      </c>
      <c r="C119" s="27" t="str">
        <f t="shared" si="3"/>
        <v>Madison</v>
      </c>
      <c r="D119" s="2">
        <v>2879</v>
      </c>
      <c r="E119" s="29">
        <f>'AR post'!H45</f>
        <v>126</v>
      </c>
      <c r="F119" s="97">
        <f>'AR post'!L45</f>
        <v>92</v>
      </c>
      <c r="G119" s="27">
        <v>4248</v>
      </c>
      <c r="H119" s="27">
        <v>66</v>
      </c>
      <c r="I119" s="2">
        <v>51066</v>
      </c>
      <c r="J119" s="27">
        <v>122</v>
      </c>
      <c r="K119" s="29">
        <f>'AR post'!Z45</f>
        <v>78670</v>
      </c>
      <c r="L119" s="41">
        <v>1925</v>
      </c>
      <c r="N119" s="27" t="str">
        <f t="shared" si="4"/>
        <v>https://babel.hathitrust.org/cgi/pt?id=mdp.39015076524217;view=1up;seq=651</v>
      </c>
      <c r="O119" s="27" t="str">
        <f t="shared" si="5"/>
        <v>https://babel.hathitrust.org/cgi/pt?id=mdp.39015076523755;view=1up;seq=52</v>
      </c>
      <c r="P119" s="27" t="str">
        <f t="shared" si="6"/>
        <v>https://babel.hathitrust.org/cgi/pt?id=mdp.39015076524217;view=1up;seq=168</v>
      </c>
      <c r="Q119" s="27" t="s">
        <v>399</v>
      </c>
      <c r="R119" s="27" t="s">
        <v>403</v>
      </c>
      <c r="S119" s="27" t="s">
        <v>403</v>
      </c>
      <c r="T119" s="27" t="s">
        <v>402</v>
      </c>
      <c r="U119" s="27" t="str">
        <f t="shared" si="8"/>
        <v>https://babel.hathitrust.org/cgi/pt?id=mdp.39015076523755;view=1up;seq=69</v>
      </c>
    </row>
    <row r="120" spans="1:21" x14ac:dyDescent="0.25">
      <c r="A120" s="27" t="s">
        <v>694</v>
      </c>
      <c r="B120" s="27" t="str">
        <f t="shared" si="2"/>
        <v>Arkansas</v>
      </c>
      <c r="C120" s="27" t="str">
        <f t="shared" si="3"/>
        <v>Marion</v>
      </c>
      <c r="D120" s="2">
        <v>2394</v>
      </c>
      <c r="E120" s="29">
        <f>'AR post'!H46</f>
        <v>88</v>
      </c>
      <c r="F120" s="97">
        <f>'AR post'!L46</f>
        <v>119</v>
      </c>
      <c r="G120" s="27">
        <v>3201</v>
      </c>
      <c r="H120" s="27">
        <v>70</v>
      </c>
      <c r="I120" s="2">
        <v>56593</v>
      </c>
      <c r="J120" s="27">
        <v>74</v>
      </c>
      <c r="K120" s="29">
        <f>'AR post'!Z46</f>
        <v>51012</v>
      </c>
      <c r="L120" s="41">
        <v>1925</v>
      </c>
      <c r="N120" s="27" t="str">
        <f t="shared" si="4"/>
        <v>https://babel.hathitrust.org/cgi/pt?id=mdp.39015076524217;view=1up;seq=651</v>
      </c>
      <c r="O120" s="27" t="str">
        <f t="shared" si="5"/>
        <v>https://babel.hathitrust.org/cgi/pt?id=mdp.39015076523755;view=1up;seq=52</v>
      </c>
      <c r="P120" s="27" t="str">
        <f t="shared" si="6"/>
        <v>https://babel.hathitrust.org/cgi/pt?id=mdp.39015076524217;view=1up;seq=168</v>
      </c>
      <c r="Q120" s="27" t="s">
        <v>399</v>
      </c>
      <c r="R120" s="27" t="s">
        <v>403</v>
      </c>
      <c r="S120" s="27" t="s">
        <v>403</v>
      </c>
      <c r="T120" s="27" t="s">
        <v>402</v>
      </c>
      <c r="U120" s="27" t="str">
        <f t="shared" si="8"/>
        <v>https://babel.hathitrust.org/cgi/pt?id=mdp.39015076523755;view=1up;seq=69</v>
      </c>
    </row>
    <row r="121" spans="1:21" x14ac:dyDescent="0.25">
      <c r="A121" s="27" t="s">
        <v>695</v>
      </c>
      <c r="B121" s="27" t="str">
        <f t="shared" si="2"/>
        <v>Arkansas</v>
      </c>
      <c r="C121" s="27" t="str">
        <f t="shared" si="3"/>
        <v>Miller</v>
      </c>
      <c r="D121" s="2">
        <v>5043</v>
      </c>
      <c r="E121" s="29">
        <f>'AR post'!H47</f>
        <v>141</v>
      </c>
      <c r="F121" s="97">
        <f>'AR post'!L47</f>
        <v>149</v>
      </c>
      <c r="G121" s="27">
        <v>7070</v>
      </c>
      <c r="H121" s="27">
        <v>73</v>
      </c>
      <c r="I121" s="2">
        <v>321892</v>
      </c>
      <c r="J121" s="27">
        <v>80</v>
      </c>
      <c r="K121" s="29">
        <f>'AR post'!Z47</f>
        <v>566150</v>
      </c>
      <c r="L121" s="41">
        <v>1925</v>
      </c>
      <c r="N121" s="27" t="str">
        <f t="shared" si="4"/>
        <v>https://babel.hathitrust.org/cgi/pt?id=mdp.39015076524217;view=1up;seq=651</v>
      </c>
      <c r="O121" s="27" t="str">
        <f t="shared" si="5"/>
        <v>https://babel.hathitrust.org/cgi/pt?id=mdp.39015076523755;view=1up;seq=52</v>
      </c>
      <c r="P121" s="27" t="str">
        <f t="shared" si="6"/>
        <v>https://babel.hathitrust.org/cgi/pt?id=mdp.39015076524217;view=1up;seq=168</v>
      </c>
      <c r="Q121" s="27" t="s">
        <v>399</v>
      </c>
      <c r="R121" s="27" t="s">
        <v>403</v>
      </c>
      <c r="S121" s="27" t="s">
        <v>403</v>
      </c>
      <c r="T121" s="27" t="s">
        <v>402</v>
      </c>
      <c r="U121" s="27" t="str">
        <f t="shared" si="8"/>
        <v>https://babel.hathitrust.org/cgi/pt?id=mdp.39015076523755;view=1up;seq=69</v>
      </c>
    </row>
    <row r="122" spans="1:21" x14ac:dyDescent="0.25">
      <c r="A122" s="27" t="s">
        <v>696</v>
      </c>
      <c r="B122" s="27" t="str">
        <f t="shared" si="2"/>
        <v>Arkansas</v>
      </c>
      <c r="C122" s="27" t="str">
        <f t="shared" si="3"/>
        <v>Mississippi</v>
      </c>
      <c r="D122" s="2">
        <v>8994</v>
      </c>
      <c r="E122" s="29">
        <f>'AR post'!H48</f>
        <v>235</v>
      </c>
      <c r="F122" s="97">
        <f>'AR post'!L48</f>
        <v>162</v>
      </c>
      <c r="G122" s="27">
        <v>15096</v>
      </c>
      <c r="H122" s="27">
        <v>73</v>
      </c>
      <c r="I122" s="2">
        <v>326266</v>
      </c>
      <c r="J122" s="27">
        <v>91</v>
      </c>
      <c r="K122" s="29">
        <f>'AR post'!Z48</f>
        <v>733900</v>
      </c>
      <c r="L122" s="41">
        <v>1925</v>
      </c>
      <c r="N122" s="27" t="str">
        <f t="shared" si="4"/>
        <v>https://babel.hathitrust.org/cgi/pt?id=mdp.39015076524217;view=1up;seq=651</v>
      </c>
      <c r="O122" s="27" t="str">
        <f t="shared" si="5"/>
        <v>https://babel.hathitrust.org/cgi/pt?id=mdp.39015076523755;view=1up;seq=52</v>
      </c>
      <c r="P122" s="27" t="str">
        <f t="shared" si="6"/>
        <v>https://babel.hathitrust.org/cgi/pt?id=mdp.39015076524217;view=1up;seq=168</v>
      </c>
      <c r="Q122" s="27" t="s">
        <v>399</v>
      </c>
      <c r="R122" s="27" t="s">
        <v>403</v>
      </c>
      <c r="S122" s="27" t="s">
        <v>403</v>
      </c>
      <c r="T122" s="27" t="s">
        <v>402</v>
      </c>
      <c r="U122" s="27" t="str">
        <f t="shared" si="8"/>
        <v>https://babel.hathitrust.org/cgi/pt?id=mdp.39015076523755;view=1up;seq=69</v>
      </c>
    </row>
    <row r="123" spans="1:21" x14ac:dyDescent="0.25">
      <c r="A123" s="27" t="s">
        <v>697</v>
      </c>
      <c r="B123" s="27" t="str">
        <f t="shared" si="2"/>
        <v>Arkansas</v>
      </c>
      <c r="C123" s="27" t="str">
        <f t="shared" si="3"/>
        <v>Monroe</v>
      </c>
      <c r="D123" s="27">
        <v>3720</v>
      </c>
      <c r="E123" s="29">
        <f>'AR post'!H49</f>
        <v>130</v>
      </c>
      <c r="F123" s="97">
        <f>'AR post'!L49</f>
        <v>136</v>
      </c>
      <c r="G123" s="27">
        <v>5453</v>
      </c>
      <c r="H123" s="27">
        <v>92</v>
      </c>
      <c r="I123" s="2">
        <v>147027</v>
      </c>
      <c r="J123" s="27">
        <v>76</v>
      </c>
      <c r="K123" s="29">
        <f>'AR post'!Z49</f>
        <v>217300</v>
      </c>
      <c r="L123" s="41">
        <v>1925</v>
      </c>
      <c r="N123" s="27" t="str">
        <f t="shared" si="4"/>
        <v>https://babel.hathitrust.org/cgi/pt?id=mdp.39015076524217;view=1up;seq=651</v>
      </c>
      <c r="O123" s="27" t="str">
        <f t="shared" si="5"/>
        <v>https://babel.hathitrust.org/cgi/pt?id=mdp.39015076523755;view=1up;seq=52</v>
      </c>
      <c r="P123" s="27" t="str">
        <f t="shared" si="6"/>
        <v>https://babel.hathitrust.org/cgi/pt?id=mdp.39015076524217;view=1up;seq=168</v>
      </c>
      <c r="Q123" s="27" t="s">
        <v>399</v>
      </c>
      <c r="R123" s="27" t="s">
        <v>403</v>
      </c>
      <c r="S123" s="27" t="s">
        <v>403</v>
      </c>
      <c r="T123" s="27" t="s">
        <v>402</v>
      </c>
      <c r="U123" s="27" t="str">
        <f t="shared" si="8"/>
        <v>https://babel.hathitrust.org/cgi/pt?id=mdp.39015076523755;view=1up;seq=69</v>
      </c>
    </row>
    <row r="124" spans="1:21" x14ac:dyDescent="0.25">
      <c r="A124" s="27" t="s">
        <v>1713</v>
      </c>
      <c r="B124" s="27" t="str">
        <f t="shared" si="2"/>
        <v>Arkansas</v>
      </c>
      <c r="C124" s="27" t="str">
        <f t="shared" si="3"/>
        <v>Montgomery</v>
      </c>
      <c r="D124" s="2">
        <v>2630</v>
      </c>
      <c r="E124" s="29">
        <f>'AR post'!H50</f>
        <v>84</v>
      </c>
      <c r="F124" s="97">
        <f>'AR post'!L50</f>
        <v>92</v>
      </c>
      <c r="G124" s="27">
        <v>3762</v>
      </c>
      <c r="H124" s="27">
        <v>64</v>
      </c>
      <c r="I124" s="2">
        <v>44099</v>
      </c>
      <c r="J124" s="27">
        <v>64</v>
      </c>
      <c r="K124" s="29">
        <f>'AR post'!Z50</f>
        <v>72905</v>
      </c>
      <c r="L124" s="41">
        <v>1925</v>
      </c>
      <c r="N124" s="27" t="str">
        <f t="shared" si="4"/>
        <v>https://babel.hathitrust.org/cgi/pt?id=mdp.39015076524217;view=1up;seq=651</v>
      </c>
      <c r="O124" s="27" t="str">
        <f t="shared" si="5"/>
        <v>https://babel.hathitrust.org/cgi/pt?id=mdp.39015076523755;view=1up;seq=52</v>
      </c>
      <c r="P124" s="27" t="str">
        <f t="shared" si="6"/>
        <v>https://babel.hathitrust.org/cgi/pt?id=mdp.39015076524217;view=1up;seq=168</v>
      </c>
      <c r="Q124" s="27" t="s">
        <v>399</v>
      </c>
      <c r="R124" s="27" t="s">
        <v>403</v>
      </c>
      <c r="S124" s="27" t="s">
        <v>403</v>
      </c>
      <c r="T124" s="27" t="s">
        <v>402</v>
      </c>
      <c r="U124" s="27" t="str">
        <f t="shared" si="8"/>
        <v>https://babel.hathitrust.org/cgi/pt?id=mdp.39015076523755;view=1up;seq=69</v>
      </c>
    </row>
    <row r="125" spans="1:21" x14ac:dyDescent="0.25">
      <c r="A125" s="27" t="s">
        <v>698</v>
      </c>
      <c r="B125" s="27" t="str">
        <f t="shared" si="2"/>
        <v>Arkansas</v>
      </c>
      <c r="C125" s="27" t="str">
        <f t="shared" si="3"/>
        <v>Nevada</v>
      </c>
      <c r="D125" s="2">
        <v>3836</v>
      </c>
      <c r="E125" s="29">
        <f>'AR post'!H51</f>
        <v>144</v>
      </c>
      <c r="F125" s="97">
        <f>'AR post'!L51</f>
        <v>113</v>
      </c>
      <c r="G125" s="27">
        <v>5197</v>
      </c>
      <c r="H125" s="27">
        <v>66</v>
      </c>
      <c r="I125" s="2">
        <v>110989</v>
      </c>
      <c r="J125" s="27">
        <v>91</v>
      </c>
      <c r="K125" s="29">
        <f>'AR post'!Z51</f>
        <v>146495</v>
      </c>
      <c r="L125" s="41">
        <v>1925</v>
      </c>
      <c r="N125" s="27" t="str">
        <f t="shared" si="4"/>
        <v>https://babel.hathitrust.org/cgi/pt?id=mdp.39015076524217;view=1up;seq=651</v>
      </c>
      <c r="O125" s="27" t="str">
        <f t="shared" si="5"/>
        <v>https://babel.hathitrust.org/cgi/pt?id=mdp.39015076523755;view=1up;seq=52</v>
      </c>
      <c r="P125" s="27" t="str">
        <f t="shared" si="6"/>
        <v>https://babel.hathitrust.org/cgi/pt?id=mdp.39015076524217;view=1up;seq=168</v>
      </c>
      <c r="Q125" s="27" t="s">
        <v>399</v>
      </c>
      <c r="R125" s="27" t="s">
        <v>403</v>
      </c>
      <c r="S125" s="27" t="s">
        <v>403</v>
      </c>
      <c r="T125" s="27" t="s">
        <v>402</v>
      </c>
      <c r="U125" s="27" t="str">
        <f t="shared" si="8"/>
        <v>https://babel.hathitrust.org/cgi/pt?id=mdp.39015076523755;view=1up;seq=69</v>
      </c>
    </row>
    <row r="126" spans="1:21" x14ac:dyDescent="0.25">
      <c r="A126" s="27" t="s">
        <v>699</v>
      </c>
      <c r="B126" s="27" t="str">
        <f t="shared" si="2"/>
        <v>Arkansas</v>
      </c>
      <c r="C126" s="27" t="str">
        <f t="shared" si="3"/>
        <v>Newton</v>
      </c>
      <c r="D126" s="2">
        <v>2031</v>
      </c>
      <c r="E126" s="29">
        <f>'AR post'!H52</f>
        <v>90</v>
      </c>
      <c r="F126" s="97">
        <f>'AR post'!L52</f>
        <v>76</v>
      </c>
      <c r="G126" s="27">
        <v>3468</v>
      </c>
      <c r="H126" s="27">
        <v>62</v>
      </c>
      <c r="I126" s="2">
        <v>44057</v>
      </c>
      <c r="J126" s="27">
        <v>91</v>
      </c>
      <c r="K126" s="29">
        <f>'AR post'!Z52</f>
        <v>75425</v>
      </c>
      <c r="L126" s="41">
        <v>1925</v>
      </c>
      <c r="N126" s="27" t="str">
        <f t="shared" si="4"/>
        <v>https://babel.hathitrust.org/cgi/pt?id=mdp.39015076524217;view=1up;seq=651</v>
      </c>
      <c r="O126" s="27" t="str">
        <f t="shared" si="5"/>
        <v>https://babel.hathitrust.org/cgi/pt?id=mdp.39015076523755;view=1up;seq=52</v>
      </c>
      <c r="P126" s="27" t="str">
        <f t="shared" si="6"/>
        <v>https://babel.hathitrust.org/cgi/pt?id=mdp.39015076524217;view=1up;seq=168</v>
      </c>
      <c r="Q126" s="27" t="s">
        <v>399</v>
      </c>
      <c r="R126" s="27" t="s">
        <v>403</v>
      </c>
      <c r="S126" s="27" t="s">
        <v>403</v>
      </c>
      <c r="T126" s="27" t="s">
        <v>402</v>
      </c>
      <c r="U126" s="27" t="str">
        <f t="shared" si="8"/>
        <v>https://babel.hathitrust.org/cgi/pt?id=mdp.39015076523755;view=1up;seq=69</v>
      </c>
    </row>
    <row r="127" spans="1:21" x14ac:dyDescent="0.25">
      <c r="A127" s="27" t="s">
        <v>700</v>
      </c>
      <c r="B127" s="27" t="str">
        <f t="shared" si="2"/>
        <v>Arkansas</v>
      </c>
      <c r="C127" s="27" t="str">
        <f t="shared" si="3"/>
        <v>Ouachita</v>
      </c>
      <c r="D127" s="2">
        <v>5478</v>
      </c>
      <c r="E127" s="29">
        <f>'AR post'!H53</f>
        <v>172</v>
      </c>
      <c r="F127" s="97">
        <f>'AR post'!L53</f>
        <v>126</v>
      </c>
      <c r="G127" s="27">
        <v>8217</v>
      </c>
      <c r="H127" s="27">
        <v>84</v>
      </c>
      <c r="I127" s="2">
        <v>299810</v>
      </c>
      <c r="J127" s="27">
        <v>107</v>
      </c>
      <c r="K127" s="29">
        <f>'AR post'!Z53</f>
        <v>285360</v>
      </c>
      <c r="L127" s="41">
        <v>1925</v>
      </c>
      <c r="N127" s="27" t="str">
        <f t="shared" si="4"/>
        <v>https://babel.hathitrust.org/cgi/pt?id=mdp.39015076524217;view=1up;seq=651</v>
      </c>
      <c r="O127" s="27" t="str">
        <f t="shared" si="5"/>
        <v>https://babel.hathitrust.org/cgi/pt?id=mdp.39015076523755;view=1up;seq=52</v>
      </c>
      <c r="P127" s="27" t="str">
        <f t="shared" si="6"/>
        <v>https://babel.hathitrust.org/cgi/pt?id=mdp.39015076524217;view=1up;seq=168</v>
      </c>
      <c r="Q127" s="27" t="s">
        <v>399</v>
      </c>
      <c r="R127" s="27" t="s">
        <v>403</v>
      </c>
      <c r="S127" s="27" t="s">
        <v>403</v>
      </c>
      <c r="T127" s="27" t="s">
        <v>402</v>
      </c>
      <c r="U127" s="27" t="str">
        <f t="shared" si="8"/>
        <v>https://babel.hathitrust.org/cgi/pt?id=mdp.39015076523755;view=1up;seq=69</v>
      </c>
    </row>
    <row r="128" spans="1:21" x14ac:dyDescent="0.25">
      <c r="A128" s="27" t="s">
        <v>701</v>
      </c>
      <c r="B128" s="27" t="str">
        <f t="shared" si="2"/>
        <v>Arkansas</v>
      </c>
      <c r="C128" s="27" t="str">
        <f t="shared" si="3"/>
        <v>Perry</v>
      </c>
      <c r="D128" s="27">
        <v>2110</v>
      </c>
      <c r="E128" s="29">
        <f>'AR post'!H54</f>
        <v>76</v>
      </c>
      <c r="F128" s="97">
        <f>'AR post'!L54</f>
        <v>109</v>
      </c>
      <c r="G128" s="27">
        <v>2625</v>
      </c>
      <c r="H128" s="27">
        <v>59</v>
      </c>
      <c r="I128" s="2">
        <v>50226</v>
      </c>
      <c r="J128" s="27">
        <v>53</v>
      </c>
      <c r="K128" s="29">
        <f>'AR post'!Z54</f>
        <v>99660</v>
      </c>
      <c r="L128" s="41">
        <v>1925</v>
      </c>
      <c r="N128" s="27" t="str">
        <f t="shared" si="4"/>
        <v>https://babel.hathitrust.org/cgi/pt?id=mdp.39015076524217;view=1up;seq=651</v>
      </c>
      <c r="O128" s="27" t="str">
        <f t="shared" si="5"/>
        <v>https://babel.hathitrust.org/cgi/pt?id=mdp.39015076523755;view=1up;seq=52</v>
      </c>
      <c r="P128" s="27" t="str">
        <f t="shared" si="6"/>
        <v>https://babel.hathitrust.org/cgi/pt?id=mdp.39015076524217;view=1up;seq=168</v>
      </c>
      <c r="Q128" s="27" t="s">
        <v>399</v>
      </c>
      <c r="R128" s="27" t="s">
        <v>403</v>
      </c>
      <c r="S128" s="27" t="s">
        <v>403</v>
      </c>
      <c r="T128" s="27" t="s">
        <v>402</v>
      </c>
      <c r="U128" s="27" t="str">
        <f t="shared" si="8"/>
        <v>https://babel.hathitrust.org/cgi/pt?id=mdp.39015076523755;view=1up;seq=69</v>
      </c>
    </row>
    <row r="129" spans="1:21" x14ac:dyDescent="0.25">
      <c r="A129" s="27" t="s">
        <v>702</v>
      </c>
      <c r="B129" s="27" t="str">
        <f t="shared" si="2"/>
        <v>Arkansas</v>
      </c>
      <c r="C129" s="27" t="str">
        <f t="shared" si="3"/>
        <v>Phillips</v>
      </c>
      <c r="D129" s="2">
        <v>5456</v>
      </c>
      <c r="E129" s="29">
        <f>'AR post'!H55</f>
        <v>204</v>
      </c>
      <c r="F129" s="97">
        <f>'AR post'!L55</f>
        <v>143</v>
      </c>
      <c r="G129" s="27">
        <v>9201</v>
      </c>
      <c r="H129" s="27">
        <v>95</v>
      </c>
      <c r="I129" s="2">
        <v>320615</v>
      </c>
      <c r="J129" s="27">
        <v>96</v>
      </c>
      <c r="K129" s="29">
        <f>'AR post'!Z55</f>
        <v>636580</v>
      </c>
      <c r="L129" s="41">
        <v>1925</v>
      </c>
      <c r="N129" s="27" t="str">
        <f t="shared" si="4"/>
        <v>https://babel.hathitrust.org/cgi/pt?id=mdp.39015076524217;view=1up;seq=651</v>
      </c>
      <c r="O129" s="27" t="str">
        <f t="shared" si="5"/>
        <v>https://babel.hathitrust.org/cgi/pt?id=mdp.39015076523755;view=1up;seq=52</v>
      </c>
      <c r="P129" s="27" t="str">
        <f t="shared" si="6"/>
        <v>https://babel.hathitrust.org/cgi/pt?id=mdp.39015076524217;view=1up;seq=168</v>
      </c>
      <c r="Q129" s="27" t="s">
        <v>399</v>
      </c>
      <c r="R129" s="27" t="s">
        <v>403</v>
      </c>
      <c r="S129" s="27" t="s">
        <v>403</v>
      </c>
      <c r="T129" s="27" t="s">
        <v>402</v>
      </c>
      <c r="U129" s="27" t="str">
        <f t="shared" si="8"/>
        <v>https://babel.hathitrust.org/cgi/pt?id=mdp.39015076523755;view=1up;seq=69</v>
      </c>
    </row>
    <row r="130" spans="1:21" x14ac:dyDescent="0.25">
      <c r="A130" s="27" t="s">
        <v>703</v>
      </c>
      <c r="B130" s="27" t="str">
        <f t="shared" si="2"/>
        <v>Arkansas</v>
      </c>
      <c r="C130" s="27" t="str">
        <f t="shared" si="3"/>
        <v>Pike</v>
      </c>
      <c r="D130" s="2">
        <v>2580</v>
      </c>
      <c r="E130" s="29">
        <f>'AR post'!H56</f>
        <v>94</v>
      </c>
      <c r="F130" s="97">
        <f>'AR post'!L56</f>
        <v>114</v>
      </c>
      <c r="G130" s="27">
        <v>3731</v>
      </c>
      <c r="H130" s="27">
        <v>60</v>
      </c>
      <c r="I130" s="2">
        <v>55174</v>
      </c>
      <c r="J130" s="27">
        <v>62</v>
      </c>
      <c r="K130" s="29">
        <f>'AR post'!Z56</f>
        <v>91775</v>
      </c>
      <c r="L130" s="41">
        <v>1925</v>
      </c>
      <c r="N130" s="27" t="str">
        <f t="shared" si="4"/>
        <v>https://babel.hathitrust.org/cgi/pt?id=mdp.39015076524217;view=1up;seq=651</v>
      </c>
      <c r="O130" s="27" t="str">
        <f t="shared" si="5"/>
        <v>https://babel.hathitrust.org/cgi/pt?id=mdp.39015076523755;view=1up;seq=52</v>
      </c>
      <c r="P130" s="27" t="str">
        <f t="shared" si="6"/>
        <v>https://babel.hathitrust.org/cgi/pt?id=mdp.39015076524217;view=1up;seq=168</v>
      </c>
      <c r="Q130" s="27" t="s">
        <v>399</v>
      </c>
      <c r="R130" s="27" t="s">
        <v>403</v>
      </c>
      <c r="S130" s="27" t="s">
        <v>403</v>
      </c>
      <c r="T130" s="27" t="s">
        <v>402</v>
      </c>
      <c r="U130" s="27" t="str">
        <f t="shared" si="8"/>
        <v>https://babel.hathitrust.org/cgi/pt?id=mdp.39015076523755;view=1up;seq=69</v>
      </c>
    </row>
    <row r="131" spans="1:21" x14ac:dyDescent="0.25">
      <c r="A131" s="27" t="s">
        <v>704</v>
      </c>
      <c r="B131" s="27" t="str">
        <f t="shared" ref="B131:B193" si="9">LEFT(A131,FIND(";",A131)-1)</f>
        <v>Arkansas</v>
      </c>
      <c r="C131" s="27" t="str">
        <f t="shared" ref="C131:C193" si="10">MID(A131,FIND(";",A131)+1,100)</f>
        <v>Poinsett</v>
      </c>
      <c r="D131" s="2">
        <v>5166</v>
      </c>
      <c r="E131" s="29">
        <f>'AR post'!H57</f>
        <v>121</v>
      </c>
      <c r="F131" s="97">
        <f>'AR post'!L57</f>
        <v>158</v>
      </c>
      <c r="G131" s="27">
        <v>6582</v>
      </c>
      <c r="H131" s="27">
        <v>81</v>
      </c>
      <c r="I131" s="2">
        <v>99214</v>
      </c>
      <c r="J131" s="27">
        <v>65</v>
      </c>
      <c r="K131" s="29">
        <f>'AR post'!Z57</f>
        <v>326700</v>
      </c>
      <c r="L131" s="41">
        <v>1925</v>
      </c>
      <c r="N131" s="27" t="str">
        <f t="shared" si="4"/>
        <v>https://babel.hathitrust.org/cgi/pt?id=mdp.39015076524217;view=1up;seq=651</v>
      </c>
      <c r="O131" s="27" t="str">
        <f t="shared" si="5"/>
        <v>https://babel.hathitrust.org/cgi/pt?id=mdp.39015076523755;view=1up;seq=52</v>
      </c>
      <c r="P131" s="27" t="str">
        <f t="shared" si="6"/>
        <v>https://babel.hathitrust.org/cgi/pt?id=mdp.39015076524217;view=1up;seq=168</v>
      </c>
      <c r="Q131" s="27" t="s">
        <v>399</v>
      </c>
      <c r="R131" s="27" t="s">
        <v>403</v>
      </c>
      <c r="S131" s="27" t="s">
        <v>403</v>
      </c>
      <c r="T131" s="27" t="s">
        <v>402</v>
      </c>
      <c r="U131" s="27" t="str">
        <f t="shared" si="8"/>
        <v>https://babel.hathitrust.org/cgi/pt?id=mdp.39015076523755;view=1up;seq=69</v>
      </c>
    </row>
    <row r="132" spans="1:21" x14ac:dyDescent="0.25">
      <c r="A132" s="27" t="s">
        <v>705</v>
      </c>
      <c r="B132" s="27" t="str">
        <f t="shared" si="9"/>
        <v>Arkansas</v>
      </c>
      <c r="C132" s="27" t="str">
        <f t="shared" si="10"/>
        <v>Polk</v>
      </c>
      <c r="D132" s="27">
        <v>2680</v>
      </c>
      <c r="E132" s="29">
        <f>'AR post'!H58</f>
        <v>145</v>
      </c>
      <c r="F132" s="97">
        <f>'AR post'!L58</f>
        <v>130</v>
      </c>
      <c r="G132" s="27">
        <v>4134</v>
      </c>
      <c r="H132" s="27">
        <v>94</v>
      </c>
      <c r="I132" s="2">
        <v>138398</v>
      </c>
      <c r="J132" s="27">
        <v>84</v>
      </c>
      <c r="K132" s="29">
        <f>'AR post'!Z58</f>
        <v>176650</v>
      </c>
      <c r="L132" s="41">
        <v>1925</v>
      </c>
      <c r="N132" s="27" t="str">
        <f t="shared" si="4"/>
        <v>https://babel.hathitrust.org/cgi/pt?id=mdp.39015076524217;view=1up;seq=651</v>
      </c>
      <c r="O132" s="27" t="str">
        <f t="shared" si="5"/>
        <v>https://babel.hathitrust.org/cgi/pt?id=mdp.39015076523755;view=1up;seq=52</v>
      </c>
      <c r="P132" s="27" t="str">
        <f t="shared" si="6"/>
        <v>https://babel.hathitrust.org/cgi/pt?id=mdp.39015076524217;view=1up;seq=168</v>
      </c>
      <c r="Q132" s="27" t="s">
        <v>399</v>
      </c>
      <c r="R132" s="27" t="s">
        <v>403</v>
      </c>
      <c r="S132" s="27" t="s">
        <v>403</v>
      </c>
      <c r="T132" s="27" t="s">
        <v>402</v>
      </c>
      <c r="U132" s="27" t="str">
        <f t="shared" si="8"/>
        <v>https://babel.hathitrust.org/cgi/pt?id=mdp.39015076523755;view=1up;seq=69</v>
      </c>
    </row>
    <row r="133" spans="1:21" x14ac:dyDescent="0.25">
      <c r="A133" s="27" t="s">
        <v>706</v>
      </c>
      <c r="B133" s="27" t="str">
        <f t="shared" si="9"/>
        <v>Arkansas</v>
      </c>
      <c r="C133" s="27" t="str">
        <f t="shared" si="10"/>
        <v>Pope</v>
      </c>
      <c r="D133" s="2">
        <v>6005</v>
      </c>
      <c r="E133" s="29">
        <f>'AR post'!H59</f>
        <v>257</v>
      </c>
      <c r="F133" s="97">
        <f>'AR post'!L59</f>
        <v>115</v>
      </c>
      <c r="G133" s="27">
        <v>8238</v>
      </c>
      <c r="H133" s="27">
        <v>79</v>
      </c>
      <c r="I133" s="2">
        <v>149328</v>
      </c>
      <c r="J133" s="27">
        <v>120</v>
      </c>
      <c r="K133" s="29">
        <f>'AR post'!Z59</f>
        <v>360525</v>
      </c>
      <c r="L133" s="41">
        <v>1925</v>
      </c>
      <c r="N133" s="27" t="str">
        <f t="shared" si="4"/>
        <v>https://babel.hathitrust.org/cgi/pt?id=mdp.39015076524217;view=1up;seq=651</v>
      </c>
      <c r="O133" s="27" t="str">
        <f t="shared" si="5"/>
        <v>https://babel.hathitrust.org/cgi/pt?id=mdp.39015076523755;view=1up;seq=52</v>
      </c>
      <c r="P133" s="27" t="str">
        <f t="shared" si="6"/>
        <v>https://babel.hathitrust.org/cgi/pt?id=mdp.39015076524217;view=1up;seq=168</v>
      </c>
      <c r="Q133" s="27" t="s">
        <v>399</v>
      </c>
      <c r="R133" s="27" t="s">
        <v>403</v>
      </c>
      <c r="S133" s="27" t="s">
        <v>403</v>
      </c>
      <c r="T133" s="27" t="s">
        <v>402</v>
      </c>
      <c r="U133" s="27" t="str">
        <f t="shared" si="8"/>
        <v>https://babel.hathitrust.org/cgi/pt?id=mdp.39015076523755;view=1up;seq=69</v>
      </c>
    </row>
    <row r="134" spans="1:21" x14ac:dyDescent="0.25">
      <c r="A134" s="27" t="s">
        <v>707</v>
      </c>
      <c r="B134" s="27" t="str">
        <f t="shared" si="9"/>
        <v>Arkansas</v>
      </c>
      <c r="C134" s="27" t="str">
        <f t="shared" si="10"/>
        <v>Prairie</v>
      </c>
      <c r="D134" s="2">
        <v>2710</v>
      </c>
      <c r="E134" s="29">
        <f>'AR post'!H60</f>
        <v>119</v>
      </c>
      <c r="F134" s="97">
        <f>'AR post'!L60</f>
        <v>127</v>
      </c>
      <c r="G134" s="27">
        <v>4061</v>
      </c>
      <c r="H134" s="27">
        <v>72</v>
      </c>
      <c r="I134" s="2">
        <v>102116</v>
      </c>
      <c r="J134" s="27">
        <v>69</v>
      </c>
      <c r="K134" s="29">
        <f>'AR post'!Z60</f>
        <v>239940</v>
      </c>
      <c r="L134" s="41">
        <v>1925</v>
      </c>
      <c r="N134" s="27" t="str">
        <f t="shared" si="4"/>
        <v>https://babel.hathitrust.org/cgi/pt?id=mdp.39015076524217;view=1up;seq=651</v>
      </c>
      <c r="O134" s="27" t="str">
        <f t="shared" si="5"/>
        <v>https://babel.hathitrust.org/cgi/pt?id=mdp.39015076523755;view=1up;seq=52</v>
      </c>
      <c r="P134" s="27" t="str">
        <f t="shared" si="6"/>
        <v>https://babel.hathitrust.org/cgi/pt?id=mdp.39015076524217;view=1up;seq=168</v>
      </c>
      <c r="Q134" s="27" t="s">
        <v>399</v>
      </c>
      <c r="R134" s="27" t="s">
        <v>403</v>
      </c>
      <c r="S134" s="27" t="s">
        <v>403</v>
      </c>
      <c r="T134" s="27" t="s">
        <v>402</v>
      </c>
      <c r="U134" s="27" t="str">
        <f t="shared" si="8"/>
        <v>https://babel.hathitrust.org/cgi/pt?id=mdp.39015076523755;view=1up;seq=69</v>
      </c>
    </row>
    <row r="135" spans="1:21" x14ac:dyDescent="0.25">
      <c r="A135" s="27" t="s">
        <v>708</v>
      </c>
      <c r="B135" s="27" t="str">
        <f t="shared" si="9"/>
        <v>Arkansas</v>
      </c>
      <c r="C135" s="27" t="str">
        <f t="shared" si="10"/>
        <v>Pulaski</v>
      </c>
      <c r="D135" s="2">
        <v>20351</v>
      </c>
      <c r="E135" s="29">
        <f>'AR post'!H61</f>
        <v>603</v>
      </c>
      <c r="F135" s="97">
        <f>'AR post'!L61</f>
        <v>152</v>
      </c>
      <c r="G135" s="27">
        <v>27486</v>
      </c>
      <c r="I135" s="2">
        <v>1017102</v>
      </c>
      <c r="J135" s="27">
        <v>205</v>
      </c>
      <c r="K135" s="29">
        <f>'AR post'!Z61</f>
        <v>2608015</v>
      </c>
      <c r="L135" s="41">
        <v>1925</v>
      </c>
      <c r="N135" s="27" t="str">
        <f t="shared" si="4"/>
        <v>https://babel.hathitrust.org/cgi/pt?id=mdp.39015076524217;view=1up;seq=651</v>
      </c>
      <c r="O135" s="27" t="str">
        <f t="shared" si="5"/>
        <v>https://babel.hathitrust.org/cgi/pt?id=mdp.39015076523755;view=1up;seq=52</v>
      </c>
      <c r="P135" s="27" t="str">
        <f t="shared" si="6"/>
        <v>https://babel.hathitrust.org/cgi/pt?id=mdp.39015076524217;view=1up;seq=168</v>
      </c>
      <c r="Q135" s="27" t="s">
        <v>399</v>
      </c>
      <c r="R135" s="27" t="s">
        <v>403</v>
      </c>
      <c r="S135" s="27" t="s">
        <v>403</v>
      </c>
      <c r="T135" s="27" t="s">
        <v>402</v>
      </c>
      <c r="U135" s="27" t="str">
        <f t="shared" si="8"/>
        <v>https://babel.hathitrust.org/cgi/pt?id=mdp.39015076523755;view=1up;seq=69</v>
      </c>
    </row>
    <row r="136" spans="1:21" x14ac:dyDescent="0.25">
      <c r="A136" s="27" t="s">
        <v>709</v>
      </c>
      <c r="B136" s="27" t="str">
        <f t="shared" si="9"/>
        <v>Arkansas</v>
      </c>
      <c r="C136" s="27" t="str">
        <f t="shared" si="10"/>
        <v>Randolph</v>
      </c>
      <c r="D136" s="2">
        <v>3787</v>
      </c>
      <c r="E136" s="29">
        <f>'AR post'!H62</f>
        <v>126</v>
      </c>
      <c r="F136" s="97">
        <f>'AR post'!L62</f>
        <v>130</v>
      </c>
      <c r="G136" s="27">
        <v>5189</v>
      </c>
      <c r="H136" s="27">
        <v>80</v>
      </c>
      <c r="I136" s="2">
        <v>85200</v>
      </c>
      <c r="J136" s="27">
        <v>100</v>
      </c>
      <c r="K136" s="29">
        <f>'AR post'!Z62</f>
        <v>136445</v>
      </c>
      <c r="L136" s="41">
        <v>1925</v>
      </c>
      <c r="N136" s="27" t="str">
        <f t="shared" si="4"/>
        <v>https://babel.hathitrust.org/cgi/pt?id=mdp.39015076524217;view=1up;seq=651</v>
      </c>
      <c r="O136" s="27" t="str">
        <f t="shared" si="5"/>
        <v>https://babel.hathitrust.org/cgi/pt?id=mdp.39015076523755;view=1up;seq=52</v>
      </c>
      <c r="P136" s="27" t="str">
        <f t="shared" si="6"/>
        <v>https://babel.hathitrust.org/cgi/pt?id=mdp.39015076524217;view=1up;seq=168</v>
      </c>
      <c r="Q136" s="27" t="s">
        <v>399</v>
      </c>
      <c r="R136" s="27" t="s">
        <v>403</v>
      </c>
      <c r="S136" s="27" t="s">
        <v>403</v>
      </c>
      <c r="T136" s="27" t="s">
        <v>402</v>
      </c>
      <c r="U136" s="27" t="str">
        <f t="shared" si="8"/>
        <v>https://babel.hathitrust.org/cgi/pt?id=mdp.39015076523755;view=1up;seq=69</v>
      </c>
    </row>
    <row r="137" spans="1:21" x14ac:dyDescent="0.25">
      <c r="A137" s="27" t="s">
        <v>710</v>
      </c>
      <c r="B137" s="27" t="str">
        <f t="shared" si="9"/>
        <v>Arkansas</v>
      </c>
      <c r="C137" s="27" t="str">
        <f t="shared" si="10"/>
        <v>Saline</v>
      </c>
      <c r="D137" s="2">
        <v>3432</v>
      </c>
      <c r="E137" s="29">
        <f>'AR post'!H63</f>
        <v>131</v>
      </c>
      <c r="F137" s="97">
        <f>'AR post'!L63</f>
        <v>124</v>
      </c>
      <c r="G137" s="27">
        <v>4822</v>
      </c>
      <c r="H137" s="27">
        <v>75</v>
      </c>
      <c r="I137" s="2">
        <v>119779</v>
      </c>
      <c r="J137" s="27">
        <v>65</v>
      </c>
      <c r="K137" s="29">
        <f>'AR post'!Z63</f>
        <v>173505</v>
      </c>
      <c r="L137" s="41">
        <v>1925</v>
      </c>
      <c r="N137" s="27" t="str">
        <f t="shared" si="4"/>
        <v>https://babel.hathitrust.org/cgi/pt?id=mdp.39015076524217;view=1up;seq=651</v>
      </c>
      <c r="O137" s="27" t="str">
        <f t="shared" si="5"/>
        <v>https://babel.hathitrust.org/cgi/pt?id=mdp.39015076523755;view=1up;seq=52</v>
      </c>
      <c r="P137" s="27" t="str">
        <f t="shared" si="6"/>
        <v>https://babel.hathitrust.org/cgi/pt?id=mdp.39015076524217;view=1up;seq=168</v>
      </c>
      <c r="Q137" s="27" t="s">
        <v>399</v>
      </c>
      <c r="R137" s="27" t="s">
        <v>403</v>
      </c>
      <c r="S137" s="27" t="s">
        <v>403</v>
      </c>
      <c r="T137" s="27" t="s">
        <v>402</v>
      </c>
      <c r="U137" s="27" t="str">
        <f t="shared" si="8"/>
        <v>https://babel.hathitrust.org/cgi/pt?id=mdp.39015076523755;view=1up;seq=69</v>
      </c>
    </row>
    <row r="138" spans="1:21" x14ac:dyDescent="0.25">
      <c r="A138" s="27" t="s">
        <v>711</v>
      </c>
      <c r="B138" s="27" t="str">
        <f t="shared" si="9"/>
        <v>Arkansas</v>
      </c>
      <c r="C138" s="27" t="str">
        <f t="shared" si="10"/>
        <v>Scott</v>
      </c>
      <c r="D138" s="2">
        <v>2887</v>
      </c>
      <c r="E138" s="29">
        <f>'AR post'!H64</f>
        <v>111</v>
      </c>
      <c r="F138" s="97">
        <f>'AR post'!L64</f>
        <v>119</v>
      </c>
      <c r="G138" s="27">
        <v>3816</v>
      </c>
      <c r="H138" s="27">
        <v>79</v>
      </c>
      <c r="I138" s="2">
        <v>58073</v>
      </c>
      <c r="J138" s="27">
        <v>67</v>
      </c>
      <c r="K138" s="29">
        <f>'AR post'!Z64</f>
        <v>117960</v>
      </c>
      <c r="L138" s="41">
        <v>1925</v>
      </c>
      <c r="N138" s="27" t="str">
        <f t="shared" si="4"/>
        <v>https://babel.hathitrust.org/cgi/pt?id=mdp.39015076524217;view=1up;seq=651</v>
      </c>
      <c r="O138" s="27" t="str">
        <f t="shared" si="5"/>
        <v>https://babel.hathitrust.org/cgi/pt?id=mdp.39015076523755;view=1up;seq=52</v>
      </c>
      <c r="P138" s="27" t="str">
        <f t="shared" si="6"/>
        <v>https://babel.hathitrust.org/cgi/pt?id=mdp.39015076524217;view=1up;seq=168</v>
      </c>
      <c r="Q138" s="27" t="s">
        <v>399</v>
      </c>
      <c r="R138" s="27" t="s">
        <v>403</v>
      </c>
      <c r="S138" s="27" t="s">
        <v>403</v>
      </c>
      <c r="T138" s="27" t="s">
        <v>402</v>
      </c>
      <c r="U138" s="27" t="str">
        <f t="shared" si="8"/>
        <v>https://babel.hathitrust.org/cgi/pt?id=mdp.39015076523755;view=1up;seq=69</v>
      </c>
    </row>
    <row r="139" spans="1:21" x14ac:dyDescent="0.25">
      <c r="A139" s="27" t="s">
        <v>712</v>
      </c>
      <c r="B139" s="27" t="str">
        <f t="shared" si="9"/>
        <v>Arkansas</v>
      </c>
      <c r="C139" s="27" t="str">
        <f t="shared" si="10"/>
        <v>Searcy</v>
      </c>
      <c r="D139" s="2">
        <v>3510</v>
      </c>
      <c r="E139" s="29">
        <f>'AR post'!H65</f>
        <v>131</v>
      </c>
      <c r="F139" s="97">
        <f>'AR post'!L65</f>
        <v>95</v>
      </c>
      <c r="G139" s="27">
        <v>4333</v>
      </c>
      <c r="H139" s="27">
        <v>64</v>
      </c>
      <c r="I139" s="2">
        <v>47271</v>
      </c>
      <c r="J139" s="27">
        <v>89</v>
      </c>
      <c r="K139" s="29">
        <f>'AR post'!Z65</f>
        <v>48980</v>
      </c>
      <c r="L139" s="41">
        <v>1925</v>
      </c>
      <c r="N139" s="27" t="str">
        <f t="shared" si="4"/>
        <v>https://babel.hathitrust.org/cgi/pt?id=mdp.39015076524217;view=1up;seq=651</v>
      </c>
      <c r="O139" s="27" t="str">
        <f t="shared" si="5"/>
        <v>https://babel.hathitrust.org/cgi/pt?id=mdp.39015076523755;view=1up;seq=52</v>
      </c>
      <c r="P139" s="27" t="str">
        <f t="shared" si="6"/>
        <v>https://babel.hathitrust.org/cgi/pt?id=mdp.39015076524217;view=1up;seq=168</v>
      </c>
      <c r="Q139" s="27" t="s">
        <v>399</v>
      </c>
      <c r="R139" s="27" t="s">
        <v>403</v>
      </c>
      <c r="S139" s="27" t="s">
        <v>403</v>
      </c>
      <c r="T139" s="27" t="s">
        <v>402</v>
      </c>
      <c r="U139" s="27" t="str">
        <f t="shared" si="8"/>
        <v>https://babel.hathitrust.org/cgi/pt?id=mdp.39015076523755;view=1up;seq=69</v>
      </c>
    </row>
    <row r="140" spans="1:21" x14ac:dyDescent="0.25">
      <c r="A140" s="27" t="s">
        <v>713</v>
      </c>
      <c r="B140" s="27" t="str">
        <f t="shared" si="9"/>
        <v>Arkansas</v>
      </c>
      <c r="C140" s="27" t="str">
        <f t="shared" si="10"/>
        <v>Sebastian</v>
      </c>
      <c r="D140" s="2">
        <v>11276</v>
      </c>
      <c r="E140" s="29">
        <f>'AR post'!H66</f>
        <v>170</v>
      </c>
      <c r="F140" s="97">
        <f>'AR post'!L66</f>
        <v>154</v>
      </c>
      <c r="G140" s="27">
        <v>14384</v>
      </c>
      <c r="H140" s="27">
        <v>98</v>
      </c>
      <c r="I140" s="2">
        <v>137081</v>
      </c>
      <c r="J140" s="27">
        <v>106</v>
      </c>
      <c r="K140" s="29">
        <f>'AR post'!Z66</f>
        <v>1598011</v>
      </c>
      <c r="L140" s="41">
        <v>1925</v>
      </c>
      <c r="N140" s="27" t="str">
        <f t="shared" si="4"/>
        <v>https://babel.hathitrust.org/cgi/pt?id=mdp.39015076524217;view=1up;seq=651</v>
      </c>
      <c r="O140" s="27" t="str">
        <f t="shared" si="5"/>
        <v>https://babel.hathitrust.org/cgi/pt?id=mdp.39015076523755;view=1up;seq=52</v>
      </c>
      <c r="P140" s="27" t="str">
        <f t="shared" si="6"/>
        <v>https://babel.hathitrust.org/cgi/pt?id=mdp.39015076524217;view=1up;seq=168</v>
      </c>
      <c r="Q140" s="27" t="s">
        <v>399</v>
      </c>
      <c r="R140" s="27" t="s">
        <v>403</v>
      </c>
      <c r="S140" s="27" t="s">
        <v>403</v>
      </c>
      <c r="T140" s="27" t="s">
        <v>402</v>
      </c>
      <c r="U140" s="27" t="str">
        <f t="shared" si="8"/>
        <v>https://babel.hathitrust.org/cgi/pt?id=mdp.39015076523755;view=1up;seq=69</v>
      </c>
    </row>
    <row r="141" spans="1:21" x14ac:dyDescent="0.25">
      <c r="A141" s="27" t="s">
        <v>714</v>
      </c>
      <c r="B141" s="27" t="str">
        <f t="shared" si="9"/>
        <v>Arkansas</v>
      </c>
      <c r="C141" s="27" t="str">
        <f t="shared" si="10"/>
        <v>Sevier</v>
      </c>
      <c r="D141" s="2">
        <v>3602</v>
      </c>
      <c r="E141" s="29">
        <f>'AR post'!H67</f>
        <v>134</v>
      </c>
      <c r="F141" s="97">
        <f>'AR post'!L67</f>
        <v>120</v>
      </c>
      <c r="G141" s="27">
        <v>5125</v>
      </c>
      <c r="H141" s="27">
        <v>84</v>
      </c>
      <c r="I141" s="2">
        <v>113022</v>
      </c>
      <c r="J141" s="27">
        <v>71</v>
      </c>
      <c r="K141" s="29">
        <f>'AR post'!Z67</f>
        <v>226030</v>
      </c>
      <c r="L141" s="41">
        <v>1925</v>
      </c>
      <c r="N141" s="27" t="str">
        <f t="shared" si="4"/>
        <v>https://babel.hathitrust.org/cgi/pt?id=mdp.39015076524217;view=1up;seq=651</v>
      </c>
      <c r="O141" s="27" t="str">
        <f t="shared" si="5"/>
        <v>https://babel.hathitrust.org/cgi/pt?id=mdp.39015076523755;view=1up;seq=52</v>
      </c>
      <c r="P141" s="27" t="str">
        <f t="shared" si="6"/>
        <v>https://babel.hathitrust.org/cgi/pt?id=mdp.39015076524217;view=1up;seq=168</v>
      </c>
      <c r="Q141" s="27" t="s">
        <v>399</v>
      </c>
      <c r="R141" s="27" t="s">
        <v>403</v>
      </c>
      <c r="S141" s="27" t="s">
        <v>403</v>
      </c>
      <c r="T141" s="27" t="s">
        <v>402</v>
      </c>
      <c r="U141" s="27" t="str">
        <f t="shared" si="8"/>
        <v>https://babel.hathitrust.org/cgi/pt?id=mdp.39015076523755;view=1up;seq=69</v>
      </c>
    </row>
    <row r="142" spans="1:21" x14ac:dyDescent="0.25">
      <c r="A142" s="27" t="s">
        <v>715</v>
      </c>
      <c r="B142" s="27" t="str">
        <f t="shared" si="9"/>
        <v>Arkansas</v>
      </c>
      <c r="C142" s="27" t="str">
        <f t="shared" si="10"/>
        <v>Sharp</v>
      </c>
      <c r="D142" s="2">
        <v>2709</v>
      </c>
      <c r="E142" s="29">
        <f>'AR post'!H68</f>
        <v>119</v>
      </c>
      <c r="F142" s="97">
        <f>'AR post'!L68</f>
        <v>116</v>
      </c>
      <c r="G142" s="27">
        <v>3574</v>
      </c>
      <c r="H142" s="27">
        <v>82</v>
      </c>
      <c r="I142" s="2">
        <v>42536</v>
      </c>
      <c r="J142" s="27">
        <v>72</v>
      </c>
      <c r="K142" s="29">
        <f>'AR post'!Z68</f>
        <v>74600</v>
      </c>
      <c r="L142" s="41">
        <v>1925</v>
      </c>
      <c r="N142" s="27" t="str">
        <f t="shared" ref="N142:N150" si="11">N141</f>
        <v>https://babel.hathitrust.org/cgi/pt?id=mdp.39015076524217;view=1up;seq=651</v>
      </c>
      <c r="O142" s="27" t="str">
        <f t="shared" ref="O142:O150" si="12">O141</f>
        <v>https://babel.hathitrust.org/cgi/pt?id=mdp.39015076523755;view=1up;seq=52</v>
      </c>
      <c r="P142" s="27" t="str">
        <f t="shared" ref="P142:P150" si="13">P141</f>
        <v>https://babel.hathitrust.org/cgi/pt?id=mdp.39015076524217;view=1up;seq=168</v>
      </c>
      <c r="Q142" s="27" t="s">
        <v>399</v>
      </c>
      <c r="R142" s="27" t="s">
        <v>403</v>
      </c>
      <c r="S142" s="27" t="s">
        <v>403</v>
      </c>
      <c r="T142" s="27" t="s">
        <v>402</v>
      </c>
      <c r="U142" s="27" t="str">
        <f t="shared" si="8"/>
        <v>https://babel.hathitrust.org/cgi/pt?id=mdp.39015076523755;view=1up;seq=69</v>
      </c>
    </row>
    <row r="143" spans="1:21" x14ac:dyDescent="0.25">
      <c r="A143" s="27" t="s">
        <v>1747</v>
      </c>
      <c r="B143" s="27" t="str">
        <f t="shared" si="9"/>
        <v>Arkansas</v>
      </c>
      <c r="C143" s="27" t="str">
        <f t="shared" si="10"/>
        <v>St Francis</v>
      </c>
      <c r="D143" s="2">
        <v>8872</v>
      </c>
      <c r="E143" s="29">
        <f>'AR post'!H69</f>
        <v>193</v>
      </c>
      <c r="F143" s="97">
        <f>'AR post'!L69</f>
        <v>122</v>
      </c>
      <c r="G143" s="27">
        <v>8091</v>
      </c>
      <c r="H143" s="27">
        <v>83</v>
      </c>
      <c r="I143" s="2">
        <v>169428</v>
      </c>
      <c r="J143" s="27">
        <v>94</v>
      </c>
      <c r="K143" s="29">
        <f>'AR post'!Z69</f>
        <v>302263</v>
      </c>
      <c r="L143" s="41">
        <v>1925</v>
      </c>
      <c r="N143" s="27" t="str">
        <f t="shared" si="11"/>
        <v>https://babel.hathitrust.org/cgi/pt?id=mdp.39015076524217;view=1up;seq=651</v>
      </c>
      <c r="O143" s="27" t="str">
        <f t="shared" si="12"/>
        <v>https://babel.hathitrust.org/cgi/pt?id=mdp.39015076523755;view=1up;seq=52</v>
      </c>
      <c r="P143" s="27" t="str">
        <f t="shared" si="13"/>
        <v>https://babel.hathitrust.org/cgi/pt?id=mdp.39015076524217;view=1up;seq=168</v>
      </c>
      <c r="Q143" s="27" t="s">
        <v>399</v>
      </c>
      <c r="R143" s="27" t="s">
        <v>403</v>
      </c>
      <c r="S143" s="27" t="s">
        <v>403</v>
      </c>
      <c r="T143" s="27" t="s">
        <v>402</v>
      </c>
      <c r="U143" s="27" t="str">
        <f t="shared" si="8"/>
        <v>https://babel.hathitrust.org/cgi/pt?id=mdp.39015076523755;view=1up;seq=69</v>
      </c>
    </row>
    <row r="144" spans="1:21" x14ac:dyDescent="0.25">
      <c r="A144" s="27" t="s">
        <v>716</v>
      </c>
      <c r="B144" s="27" t="str">
        <f t="shared" si="9"/>
        <v>Arkansas</v>
      </c>
      <c r="C144" s="27" t="str">
        <f t="shared" si="10"/>
        <v>Stone</v>
      </c>
      <c r="D144" s="2">
        <v>1753</v>
      </c>
      <c r="E144" s="29">
        <f>'AR post'!H70</f>
        <v>85</v>
      </c>
      <c r="F144" s="97">
        <f>'AR post'!L70</f>
        <v>87</v>
      </c>
      <c r="G144" s="27">
        <v>2584</v>
      </c>
      <c r="H144" s="27">
        <v>65</v>
      </c>
      <c r="I144" s="2">
        <v>30784</v>
      </c>
      <c r="J144" s="27">
        <v>70</v>
      </c>
      <c r="K144" s="29">
        <f>'AR post'!Z70</f>
        <v>46985</v>
      </c>
      <c r="L144" s="41">
        <v>1925</v>
      </c>
      <c r="N144" s="27" t="str">
        <f t="shared" si="11"/>
        <v>https://babel.hathitrust.org/cgi/pt?id=mdp.39015076524217;view=1up;seq=651</v>
      </c>
      <c r="O144" s="27" t="str">
        <f t="shared" si="12"/>
        <v>https://babel.hathitrust.org/cgi/pt?id=mdp.39015076523755;view=1up;seq=52</v>
      </c>
      <c r="P144" s="27" t="str">
        <f t="shared" si="13"/>
        <v>https://babel.hathitrust.org/cgi/pt?id=mdp.39015076524217;view=1up;seq=168</v>
      </c>
      <c r="Q144" s="27" t="s">
        <v>399</v>
      </c>
      <c r="R144" s="27" t="s">
        <v>403</v>
      </c>
      <c r="S144" s="27" t="s">
        <v>403</v>
      </c>
      <c r="T144" s="27" t="s">
        <v>402</v>
      </c>
      <c r="U144" s="27" t="str">
        <f t="shared" si="8"/>
        <v>https://babel.hathitrust.org/cgi/pt?id=mdp.39015076523755;view=1up;seq=69</v>
      </c>
    </row>
    <row r="145" spans="1:21" x14ac:dyDescent="0.25">
      <c r="A145" s="27" t="s">
        <v>717</v>
      </c>
      <c r="B145" s="27" t="str">
        <f t="shared" si="9"/>
        <v>Arkansas</v>
      </c>
      <c r="C145" s="27" t="str">
        <f t="shared" si="10"/>
        <v>Union</v>
      </c>
      <c r="D145" s="2">
        <v>10730</v>
      </c>
      <c r="E145" s="29">
        <f>'AR post'!H71</f>
        <v>272</v>
      </c>
      <c r="F145" s="97">
        <f>'AR post'!L71</f>
        <v>122</v>
      </c>
      <c r="G145" s="27">
        <v>13750</v>
      </c>
      <c r="H145" s="27">
        <v>147</v>
      </c>
      <c r="I145" s="2">
        <v>748935</v>
      </c>
      <c r="J145" s="27">
        <v>181</v>
      </c>
      <c r="K145" s="29">
        <f>'AR post'!Z71</f>
        <v>4431455</v>
      </c>
      <c r="L145" s="41">
        <v>1925</v>
      </c>
      <c r="N145" s="27" t="str">
        <f t="shared" si="11"/>
        <v>https://babel.hathitrust.org/cgi/pt?id=mdp.39015076524217;view=1up;seq=651</v>
      </c>
      <c r="O145" s="27" t="str">
        <f t="shared" si="12"/>
        <v>https://babel.hathitrust.org/cgi/pt?id=mdp.39015076523755;view=1up;seq=52</v>
      </c>
      <c r="P145" s="27" t="str">
        <f t="shared" si="13"/>
        <v>https://babel.hathitrust.org/cgi/pt?id=mdp.39015076524217;view=1up;seq=168</v>
      </c>
      <c r="Q145" s="27" t="s">
        <v>399</v>
      </c>
      <c r="R145" s="27" t="s">
        <v>403</v>
      </c>
      <c r="S145" s="27" t="s">
        <v>403</v>
      </c>
      <c r="T145" s="27" t="s">
        <v>402</v>
      </c>
      <c r="U145" s="27" t="str">
        <f t="shared" si="8"/>
        <v>https://babel.hathitrust.org/cgi/pt?id=mdp.39015076523755;view=1up;seq=69</v>
      </c>
    </row>
    <row r="146" spans="1:21" x14ac:dyDescent="0.25">
      <c r="A146" s="27" t="s">
        <v>718</v>
      </c>
      <c r="B146" s="27" t="str">
        <f t="shared" si="9"/>
        <v>Arkansas</v>
      </c>
      <c r="C146" s="27" t="str">
        <f t="shared" si="10"/>
        <v>Van Buren</v>
      </c>
      <c r="D146" s="27">
        <v>2703</v>
      </c>
      <c r="E146" s="29">
        <f>'AR post'!H72</f>
        <v>119</v>
      </c>
      <c r="F146" s="97">
        <f>'AR post'!L72</f>
        <v>100</v>
      </c>
      <c r="G146" s="27">
        <v>4272</v>
      </c>
      <c r="H146" s="27">
        <v>60</v>
      </c>
      <c r="I146" s="2">
        <v>42072</v>
      </c>
      <c r="J146" s="27">
        <v>89</v>
      </c>
      <c r="K146" s="29">
        <f>'AR post'!Z72</f>
        <v>73575</v>
      </c>
      <c r="L146" s="41">
        <v>1925</v>
      </c>
      <c r="N146" s="27" t="str">
        <f t="shared" si="11"/>
        <v>https://babel.hathitrust.org/cgi/pt?id=mdp.39015076524217;view=1up;seq=651</v>
      </c>
      <c r="O146" s="27" t="str">
        <f t="shared" si="12"/>
        <v>https://babel.hathitrust.org/cgi/pt?id=mdp.39015076523755;view=1up;seq=52</v>
      </c>
      <c r="P146" s="27" t="str">
        <f t="shared" si="13"/>
        <v>https://babel.hathitrust.org/cgi/pt?id=mdp.39015076524217;view=1up;seq=168</v>
      </c>
      <c r="Q146" s="27" t="s">
        <v>399</v>
      </c>
      <c r="R146" s="27" t="s">
        <v>403</v>
      </c>
      <c r="S146" s="27" t="s">
        <v>403</v>
      </c>
      <c r="T146" s="27" t="s">
        <v>402</v>
      </c>
      <c r="U146" s="27" t="str">
        <f t="shared" si="8"/>
        <v>https://babel.hathitrust.org/cgi/pt?id=mdp.39015076523755;view=1up;seq=69</v>
      </c>
    </row>
    <row r="147" spans="1:21" x14ac:dyDescent="0.25">
      <c r="A147" s="27" t="s">
        <v>719</v>
      </c>
      <c r="B147" s="27" t="str">
        <f t="shared" si="9"/>
        <v>Arkansas</v>
      </c>
      <c r="C147" s="27" t="str">
        <f t="shared" si="10"/>
        <v>Washington</v>
      </c>
      <c r="D147" s="2">
        <v>7392</v>
      </c>
      <c r="E147" s="29">
        <f>'AR post'!H73</f>
        <v>248</v>
      </c>
      <c r="F147" s="97">
        <f>'AR post'!L73</f>
        <v>136</v>
      </c>
      <c r="G147" s="27">
        <v>10205</v>
      </c>
      <c r="H147" s="27">
        <v>93</v>
      </c>
      <c r="I147" s="2">
        <v>196110</v>
      </c>
      <c r="J147" s="27">
        <v>165</v>
      </c>
      <c r="K147" s="29">
        <f>'AR post'!Z73</f>
        <v>338697</v>
      </c>
      <c r="L147" s="41">
        <v>1925</v>
      </c>
      <c r="N147" s="27" t="str">
        <f t="shared" si="11"/>
        <v>https://babel.hathitrust.org/cgi/pt?id=mdp.39015076524217;view=1up;seq=651</v>
      </c>
      <c r="O147" s="27" t="str">
        <f t="shared" si="12"/>
        <v>https://babel.hathitrust.org/cgi/pt?id=mdp.39015076523755;view=1up;seq=52</v>
      </c>
      <c r="P147" s="27" t="str">
        <f t="shared" si="13"/>
        <v>https://babel.hathitrust.org/cgi/pt?id=mdp.39015076524217;view=1up;seq=168</v>
      </c>
      <c r="Q147" s="27" t="s">
        <v>399</v>
      </c>
      <c r="R147" s="27" t="s">
        <v>403</v>
      </c>
      <c r="S147" s="27" t="s">
        <v>403</v>
      </c>
      <c r="T147" s="27" t="s">
        <v>402</v>
      </c>
      <c r="U147" s="27" t="str">
        <f t="shared" si="8"/>
        <v>https://babel.hathitrust.org/cgi/pt?id=mdp.39015076523755;view=1up;seq=69</v>
      </c>
    </row>
    <row r="148" spans="1:21" x14ac:dyDescent="0.25">
      <c r="A148" s="27" t="s">
        <v>720</v>
      </c>
      <c r="B148" s="27" t="str">
        <f t="shared" si="9"/>
        <v>Arkansas</v>
      </c>
      <c r="C148" s="27" t="str">
        <f t="shared" si="10"/>
        <v>White</v>
      </c>
      <c r="D148" s="2">
        <v>8836</v>
      </c>
      <c r="E148" s="29">
        <f>'AR post'!H74</f>
        <v>288</v>
      </c>
      <c r="F148" s="97">
        <f>'AR post'!L74</f>
        <v>128</v>
      </c>
      <c r="G148" s="27">
        <v>11031</v>
      </c>
      <c r="H148" s="27">
        <v>61</v>
      </c>
      <c r="I148" s="2">
        <v>126163</v>
      </c>
      <c r="J148" s="27">
        <v>138</v>
      </c>
      <c r="K148" s="29">
        <f>'AR post'!Z74</f>
        <v>397645</v>
      </c>
      <c r="L148" s="41">
        <v>1925</v>
      </c>
      <c r="N148" s="27" t="str">
        <f t="shared" si="11"/>
        <v>https://babel.hathitrust.org/cgi/pt?id=mdp.39015076524217;view=1up;seq=651</v>
      </c>
      <c r="O148" s="27" t="str">
        <f t="shared" si="12"/>
        <v>https://babel.hathitrust.org/cgi/pt?id=mdp.39015076523755;view=1up;seq=52</v>
      </c>
      <c r="P148" s="27" t="str">
        <f t="shared" si="13"/>
        <v>https://babel.hathitrust.org/cgi/pt?id=mdp.39015076524217;view=1up;seq=168</v>
      </c>
      <c r="Q148" s="27" t="s">
        <v>399</v>
      </c>
      <c r="R148" s="27" t="s">
        <v>403</v>
      </c>
      <c r="S148" s="27" t="s">
        <v>403</v>
      </c>
      <c r="T148" s="27" t="s">
        <v>402</v>
      </c>
      <c r="U148" s="27" t="str">
        <f t="shared" si="8"/>
        <v>https://babel.hathitrust.org/cgi/pt?id=mdp.39015076523755;view=1up;seq=69</v>
      </c>
    </row>
    <row r="149" spans="1:21" x14ac:dyDescent="0.25">
      <c r="A149" s="27" t="s">
        <v>721</v>
      </c>
      <c r="B149" s="27" t="str">
        <f t="shared" si="9"/>
        <v>Arkansas</v>
      </c>
      <c r="C149" s="27" t="str">
        <f t="shared" si="10"/>
        <v>Woodruff</v>
      </c>
      <c r="D149" s="2">
        <v>3976</v>
      </c>
      <c r="E149" s="29">
        <f>'AR post'!H75</f>
        <v>137</v>
      </c>
      <c r="F149" s="97">
        <f>'AR post'!L75</f>
        <v>122</v>
      </c>
      <c r="G149" s="27">
        <v>5573</v>
      </c>
      <c r="H149" s="27">
        <v>76</v>
      </c>
      <c r="I149" s="2">
        <v>115737</v>
      </c>
      <c r="J149" s="27">
        <v>65</v>
      </c>
      <c r="K149" s="29">
        <f>'AR post'!Z75</f>
        <v>246811</v>
      </c>
      <c r="L149" s="41">
        <v>1925</v>
      </c>
      <c r="N149" s="27" t="str">
        <f t="shared" si="11"/>
        <v>https://babel.hathitrust.org/cgi/pt?id=mdp.39015076524217;view=1up;seq=651</v>
      </c>
      <c r="O149" s="27" t="str">
        <f t="shared" si="12"/>
        <v>https://babel.hathitrust.org/cgi/pt?id=mdp.39015076523755;view=1up;seq=52</v>
      </c>
      <c r="P149" s="27" t="str">
        <f t="shared" si="13"/>
        <v>https://babel.hathitrust.org/cgi/pt?id=mdp.39015076524217;view=1up;seq=168</v>
      </c>
      <c r="Q149" s="27" t="s">
        <v>399</v>
      </c>
      <c r="R149" s="27" t="s">
        <v>403</v>
      </c>
      <c r="S149" s="27" t="s">
        <v>403</v>
      </c>
      <c r="T149" s="27" t="s">
        <v>402</v>
      </c>
      <c r="U149" s="27" t="str">
        <f t="shared" si="8"/>
        <v>https://babel.hathitrust.org/cgi/pt?id=mdp.39015076523755;view=1up;seq=69</v>
      </c>
    </row>
    <row r="150" spans="1:21" x14ac:dyDescent="0.25">
      <c r="A150" s="27" t="s">
        <v>722</v>
      </c>
      <c r="B150" s="27" t="str">
        <f t="shared" si="9"/>
        <v>Arkansas</v>
      </c>
      <c r="C150" s="27" t="str">
        <f t="shared" si="10"/>
        <v>Yell</v>
      </c>
      <c r="D150" s="27">
        <v>5686</v>
      </c>
      <c r="E150" s="29">
        <f>'AR post'!H76</f>
        <v>159</v>
      </c>
      <c r="F150" s="97">
        <f>'AR post'!L76</f>
        <v>128</v>
      </c>
      <c r="G150" s="27">
        <v>7555</v>
      </c>
      <c r="H150" s="27">
        <v>72</v>
      </c>
      <c r="I150" s="2">
        <v>104162</v>
      </c>
      <c r="J150" s="27">
        <v>102</v>
      </c>
      <c r="K150" s="29">
        <f>'AR post'!Z76</f>
        <v>196480</v>
      </c>
      <c r="L150" s="41">
        <v>1925</v>
      </c>
      <c r="N150" s="27" t="str">
        <f t="shared" si="11"/>
        <v>https://babel.hathitrust.org/cgi/pt?id=mdp.39015076524217;view=1up;seq=651</v>
      </c>
      <c r="O150" s="27" t="str">
        <f t="shared" si="12"/>
        <v>https://babel.hathitrust.org/cgi/pt?id=mdp.39015076523755;view=1up;seq=52</v>
      </c>
      <c r="P150" s="27" t="str">
        <f t="shared" si="13"/>
        <v>https://babel.hathitrust.org/cgi/pt?id=mdp.39015076524217;view=1up;seq=168</v>
      </c>
      <c r="Q150" s="27" t="s">
        <v>399</v>
      </c>
      <c r="R150" s="27" t="s">
        <v>403</v>
      </c>
      <c r="S150" s="27" t="s">
        <v>403</v>
      </c>
      <c r="T150" s="27" t="s">
        <v>402</v>
      </c>
      <c r="U150" s="27" t="str">
        <f t="shared" si="8"/>
        <v>https://babel.hathitrust.org/cgi/pt?id=mdp.39015076523755;view=1up;seq=69</v>
      </c>
    </row>
    <row r="151" spans="1:21" x14ac:dyDescent="0.25">
      <c r="A151" s="27" t="s">
        <v>1367</v>
      </c>
      <c r="B151" s="27" t="str">
        <f t="shared" si="9"/>
        <v/>
      </c>
      <c r="C151" s="27" t="str">
        <f t="shared" si="10"/>
        <v/>
      </c>
      <c r="D151" s="2">
        <f>SUM(D76:D150)</f>
        <v>368714</v>
      </c>
      <c r="G151" s="27">
        <f>SUM(G76:G150)</f>
        <v>504324</v>
      </c>
      <c r="H151" s="27">
        <f>SUM(H76:H150)</f>
        <v>5807</v>
      </c>
      <c r="I151" s="2">
        <f>SUM(I76:I150)</f>
        <v>11456440</v>
      </c>
      <c r="J151" s="27">
        <v>6821</v>
      </c>
    </row>
    <row r="152" spans="1:21" x14ac:dyDescent="0.25">
      <c r="A152" s="27" t="s">
        <v>1367</v>
      </c>
      <c r="B152" s="27" t="str">
        <f t="shared" si="9"/>
        <v/>
      </c>
      <c r="C152" s="27" t="str">
        <f t="shared" si="10"/>
        <v/>
      </c>
      <c r="D152" s="2">
        <v>365714</v>
      </c>
      <c r="G152" s="27">
        <v>504324</v>
      </c>
      <c r="H152" s="27">
        <v>5727</v>
      </c>
      <c r="I152" s="2">
        <v>11456496</v>
      </c>
      <c r="J152" s="27">
        <v>6832</v>
      </c>
    </row>
    <row r="153" spans="1:21" x14ac:dyDescent="0.25">
      <c r="A153" s="27" t="s">
        <v>1367</v>
      </c>
      <c r="B153" s="27" t="str">
        <f t="shared" si="9"/>
        <v/>
      </c>
      <c r="C153" s="27" t="str">
        <f t="shared" si="10"/>
        <v/>
      </c>
      <c r="E153" s="2"/>
      <c r="G153" s="2"/>
    </row>
    <row r="154" spans="1:21" x14ac:dyDescent="0.25">
      <c r="A154" s="27" t="s">
        <v>723</v>
      </c>
      <c r="B154" s="27" t="str">
        <f t="shared" si="9"/>
        <v>Georgia</v>
      </c>
      <c r="C154" s="27" t="str">
        <f t="shared" si="10"/>
        <v>Appling</v>
      </c>
      <c r="D154" s="27">
        <v>1951</v>
      </c>
      <c r="E154" s="27">
        <f>'GA post'!L2</f>
        <v>74</v>
      </c>
      <c r="F154" s="97">
        <f>'GA post'!O2</f>
        <v>120</v>
      </c>
      <c r="G154" s="27">
        <v>3330</v>
      </c>
      <c r="H154" s="97">
        <f>'GA post'!Y2</f>
        <v>124.27815315315316</v>
      </c>
      <c r="I154" s="27">
        <v>37076</v>
      </c>
      <c r="J154" s="27">
        <v>43</v>
      </c>
      <c r="K154" s="29">
        <f>'GA post'!AE2</f>
        <v>62500</v>
      </c>
      <c r="L154" s="41">
        <v>1925</v>
      </c>
      <c r="M154" s="4" t="s">
        <v>567</v>
      </c>
      <c r="N154" s="27" t="s">
        <v>2720</v>
      </c>
      <c r="O154" s="27" t="s">
        <v>2720</v>
      </c>
      <c r="P154" s="27" t="s">
        <v>2721</v>
      </c>
      <c r="Q154" s="27" t="s">
        <v>2722</v>
      </c>
      <c r="R154" s="27" t="s">
        <v>2723</v>
      </c>
      <c r="S154" s="27" t="s">
        <v>2724</v>
      </c>
      <c r="T154" s="27" t="s">
        <v>2725</v>
      </c>
      <c r="U154" s="27" t="s">
        <v>2726</v>
      </c>
    </row>
    <row r="155" spans="1:21" x14ac:dyDescent="0.25">
      <c r="A155" s="27" t="s">
        <v>724</v>
      </c>
      <c r="B155" s="27" t="str">
        <f t="shared" si="9"/>
        <v>Georgia</v>
      </c>
      <c r="C155" s="27" t="str">
        <f t="shared" si="10"/>
        <v>Atkinson</v>
      </c>
      <c r="D155" s="27">
        <v>1476</v>
      </c>
      <c r="E155" s="27">
        <f>'GA post'!L3</f>
        <v>54</v>
      </c>
      <c r="F155" s="97">
        <f>'GA post'!O3</f>
        <v>120</v>
      </c>
      <c r="G155" s="27">
        <v>1701</v>
      </c>
      <c r="H155" s="97">
        <f>'GA post'!Y3</f>
        <v>160.84104938271605</v>
      </c>
      <c r="I155" s="27">
        <v>26276</v>
      </c>
      <c r="J155" s="27">
        <v>31</v>
      </c>
      <c r="K155" s="29">
        <f>'GA post'!AE3</f>
        <v>46250</v>
      </c>
      <c r="L155" s="41">
        <v>1925</v>
      </c>
      <c r="M155" s="4" t="s">
        <v>567</v>
      </c>
      <c r="N155" s="27" t="s">
        <v>2720</v>
      </c>
      <c r="O155" s="27" t="s">
        <v>2720</v>
      </c>
      <c r="P155" s="27" t="s">
        <v>2721</v>
      </c>
      <c r="Q155" s="27" t="s">
        <v>2722</v>
      </c>
      <c r="R155" s="27" t="s">
        <v>2723</v>
      </c>
      <c r="S155" s="27" t="s">
        <v>2724</v>
      </c>
      <c r="T155" s="27" t="s">
        <v>2725</v>
      </c>
      <c r="U155" s="27" t="s">
        <v>2726</v>
      </c>
    </row>
    <row r="156" spans="1:21" x14ac:dyDescent="0.25">
      <c r="A156" s="27" t="s">
        <v>725</v>
      </c>
      <c r="B156" s="27" t="str">
        <f t="shared" si="9"/>
        <v>Georgia</v>
      </c>
      <c r="C156" s="27" t="str">
        <f t="shared" si="10"/>
        <v>Bacon</v>
      </c>
      <c r="D156" s="27">
        <v>991</v>
      </c>
      <c r="E156" s="27">
        <f>'GA post'!L4</f>
        <v>45</v>
      </c>
      <c r="F156" s="97">
        <f>'GA post'!O4</f>
        <v>100</v>
      </c>
      <c r="G156" s="27">
        <v>1464</v>
      </c>
      <c r="H156" s="97">
        <f>'GA post'!Y4</f>
        <v>121.88888888888889</v>
      </c>
      <c r="I156" s="27">
        <v>21115</v>
      </c>
      <c r="J156" s="27">
        <v>34</v>
      </c>
      <c r="K156" s="29">
        <f>'GA post'!AE4</f>
        <v>82000</v>
      </c>
      <c r="L156" s="41">
        <v>1925</v>
      </c>
      <c r="M156" s="4" t="s">
        <v>567</v>
      </c>
      <c r="N156" s="27" t="s">
        <v>2720</v>
      </c>
      <c r="O156" s="27" t="s">
        <v>2720</v>
      </c>
      <c r="P156" s="27" t="s">
        <v>2721</v>
      </c>
      <c r="Q156" s="27" t="s">
        <v>2722</v>
      </c>
      <c r="R156" s="27" t="s">
        <v>2723</v>
      </c>
      <c r="S156" s="27" t="s">
        <v>2724</v>
      </c>
      <c r="T156" s="27" t="s">
        <v>2725</v>
      </c>
      <c r="U156" s="27" t="s">
        <v>2726</v>
      </c>
    </row>
    <row r="157" spans="1:21" x14ac:dyDescent="0.25">
      <c r="A157" s="27" t="s">
        <v>726</v>
      </c>
      <c r="B157" s="27" t="str">
        <f t="shared" si="9"/>
        <v>Georgia</v>
      </c>
      <c r="C157" s="27" t="str">
        <f t="shared" si="10"/>
        <v>Baker</v>
      </c>
      <c r="D157" s="27">
        <v>1349</v>
      </c>
      <c r="E157" s="27">
        <f>'GA post'!L5</f>
        <v>47</v>
      </c>
      <c r="F157" s="97">
        <f>'GA post'!O5</f>
        <v>120</v>
      </c>
      <c r="G157" s="27">
        <v>2108</v>
      </c>
      <c r="H157" s="97">
        <f>'GA post'!Y5</f>
        <v>35.352765957446806</v>
      </c>
      <c r="I157" s="27">
        <v>15426</v>
      </c>
      <c r="J157" s="27">
        <v>31</v>
      </c>
      <c r="K157" s="29">
        <f>'GA post'!AE5</f>
        <v>29000</v>
      </c>
      <c r="L157" s="41">
        <v>1925</v>
      </c>
      <c r="M157" s="4" t="s">
        <v>567</v>
      </c>
      <c r="N157" s="27" t="s">
        <v>2720</v>
      </c>
      <c r="O157" s="27" t="s">
        <v>2720</v>
      </c>
      <c r="P157" s="27" t="s">
        <v>2721</v>
      </c>
      <c r="Q157" s="27" t="s">
        <v>2722</v>
      </c>
      <c r="R157" s="27" t="s">
        <v>2723</v>
      </c>
      <c r="S157" s="27" t="s">
        <v>2724</v>
      </c>
      <c r="T157" s="27" t="s">
        <v>2725</v>
      </c>
      <c r="U157" s="27" t="s">
        <v>2726</v>
      </c>
    </row>
    <row r="158" spans="1:21" x14ac:dyDescent="0.25">
      <c r="A158" s="27" t="s">
        <v>727</v>
      </c>
      <c r="B158" s="27" t="str">
        <f t="shared" si="9"/>
        <v>Georgia</v>
      </c>
      <c r="C158" s="27" t="str">
        <f t="shared" si="10"/>
        <v>Baldwin</v>
      </c>
      <c r="D158" s="27">
        <v>3157</v>
      </c>
      <c r="E158" s="27">
        <f>'GA post'!L6</f>
        <v>85</v>
      </c>
      <c r="F158" s="97">
        <f>'GA post'!O6</f>
        <v>139.90592334494772</v>
      </c>
      <c r="G158" s="27">
        <v>3962</v>
      </c>
      <c r="H158" s="97">
        <f>'GA post'!Y6</f>
        <v>68.593180906538308</v>
      </c>
      <c r="I158" s="27">
        <v>81337</v>
      </c>
      <c r="J158" s="27">
        <v>39</v>
      </c>
      <c r="K158" s="29">
        <f>'GA post'!AE6</f>
        <v>126000</v>
      </c>
      <c r="L158" s="41">
        <v>1925</v>
      </c>
      <c r="M158" s="4" t="s">
        <v>567</v>
      </c>
      <c r="N158" s="27" t="s">
        <v>2720</v>
      </c>
      <c r="O158" s="27" t="s">
        <v>2720</v>
      </c>
      <c r="P158" s="27" t="s">
        <v>2721</v>
      </c>
      <c r="Q158" s="27" t="s">
        <v>2722</v>
      </c>
      <c r="R158" s="27" t="s">
        <v>2723</v>
      </c>
      <c r="S158" s="27" t="s">
        <v>2724</v>
      </c>
      <c r="T158" s="27" t="s">
        <v>2725</v>
      </c>
      <c r="U158" s="27" t="s">
        <v>2726</v>
      </c>
    </row>
    <row r="159" spans="1:21" x14ac:dyDescent="0.25">
      <c r="A159" s="27" t="s">
        <v>728</v>
      </c>
      <c r="B159" s="27" t="str">
        <f t="shared" si="9"/>
        <v>Georgia</v>
      </c>
      <c r="C159" s="27" t="str">
        <f t="shared" si="10"/>
        <v>Banks</v>
      </c>
      <c r="D159" s="27">
        <v>2468</v>
      </c>
      <c r="E159" s="27">
        <f>'GA post'!L7</f>
        <v>66</v>
      </c>
      <c r="F159" s="97">
        <f>'GA post'!O7</f>
        <v>120</v>
      </c>
      <c r="G159" s="27">
        <v>3150</v>
      </c>
      <c r="H159" s="97">
        <f>'GA post'!Y7</f>
        <v>54.877146464646465</v>
      </c>
      <c r="I159" s="27">
        <v>25663</v>
      </c>
      <c r="J159" s="27">
        <v>41</v>
      </c>
      <c r="K159" s="29">
        <f>'GA post'!AE7</f>
        <v>48000</v>
      </c>
      <c r="L159" s="41">
        <v>1925</v>
      </c>
      <c r="M159" s="4" t="s">
        <v>567</v>
      </c>
      <c r="N159" s="27" t="s">
        <v>2720</v>
      </c>
      <c r="O159" s="27" t="s">
        <v>2720</v>
      </c>
      <c r="P159" s="27" t="s">
        <v>2721</v>
      </c>
      <c r="Q159" s="27" t="s">
        <v>2722</v>
      </c>
      <c r="R159" s="27" t="s">
        <v>2723</v>
      </c>
      <c r="S159" s="27" t="s">
        <v>2724</v>
      </c>
      <c r="T159" s="27" t="s">
        <v>2725</v>
      </c>
      <c r="U159" s="27" t="s">
        <v>2726</v>
      </c>
    </row>
    <row r="160" spans="1:21" x14ac:dyDescent="0.25">
      <c r="A160" s="27" t="s">
        <v>729</v>
      </c>
      <c r="B160" s="27" t="str">
        <f t="shared" si="9"/>
        <v>Georgia</v>
      </c>
      <c r="C160" s="27" t="str">
        <f t="shared" si="10"/>
        <v>Barrow</v>
      </c>
      <c r="D160" s="27">
        <v>2948</v>
      </c>
      <c r="E160" s="27">
        <f>'GA post'!L8</f>
        <v>86</v>
      </c>
      <c r="F160" s="97">
        <f>'GA post'!O8</f>
        <v>120</v>
      </c>
      <c r="G160" s="27">
        <v>3560</v>
      </c>
      <c r="H160" s="97">
        <f>'GA post'!Y8</f>
        <v>130.0832945736434</v>
      </c>
      <c r="I160" s="27">
        <v>61048</v>
      </c>
      <c r="J160" s="27">
        <v>34</v>
      </c>
      <c r="K160" s="29">
        <f>'GA post'!AE8</f>
        <v>124600</v>
      </c>
      <c r="L160" s="41">
        <v>1925</v>
      </c>
      <c r="M160" s="4" t="s">
        <v>567</v>
      </c>
      <c r="N160" s="27" t="s">
        <v>2720</v>
      </c>
      <c r="O160" s="27" t="s">
        <v>2720</v>
      </c>
      <c r="P160" s="27" t="s">
        <v>2721</v>
      </c>
      <c r="Q160" s="27" t="s">
        <v>2722</v>
      </c>
      <c r="R160" s="27" t="s">
        <v>2723</v>
      </c>
      <c r="S160" s="27" t="s">
        <v>2724</v>
      </c>
      <c r="T160" s="27" t="s">
        <v>2725</v>
      </c>
      <c r="U160" s="27" t="s">
        <v>2726</v>
      </c>
    </row>
    <row r="161" spans="1:21" x14ac:dyDescent="0.25">
      <c r="A161" s="27" t="s">
        <v>1778</v>
      </c>
      <c r="B161" s="27" t="str">
        <f t="shared" si="9"/>
        <v>Georgia</v>
      </c>
      <c r="C161" s="27" t="str">
        <f t="shared" si="10"/>
        <v>Bartow/Cass</v>
      </c>
      <c r="D161" s="27">
        <v>4057</v>
      </c>
      <c r="E161" s="27">
        <f>'GA post'!L9</f>
        <v>160</v>
      </c>
      <c r="F161" s="97">
        <f>'GA post'!O9</f>
        <v>169.54399802809959</v>
      </c>
      <c r="G161" s="27">
        <v>6755</v>
      </c>
      <c r="H161" s="97">
        <f>'GA post'!Y9</f>
        <v>202.58477876106198</v>
      </c>
      <c r="I161" s="27">
        <v>99165</v>
      </c>
      <c r="J161" s="27">
        <v>67</v>
      </c>
      <c r="K161" s="29">
        <f>'GA post'!AE9</f>
        <v>265750</v>
      </c>
      <c r="L161" s="41">
        <v>1925</v>
      </c>
      <c r="M161" s="4" t="s">
        <v>567</v>
      </c>
      <c r="N161" s="27" t="s">
        <v>2720</v>
      </c>
      <c r="O161" s="27" t="s">
        <v>2720</v>
      </c>
      <c r="P161" s="27" t="s">
        <v>2721</v>
      </c>
      <c r="Q161" s="27" t="s">
        <v>2722</v>
      </c>
      <c r="R161" s="27" t="s">
        <v>2723</v>
      </c>
      <c r="S161" s="27" t="s">
        <v>2724</v>
      </c>
      <c r="T161" s="27" t="s">
        <v>2725</v>
      </c>
      <c r="U161" s="27" t="s">
        <v>2726</v>
      </c>
    </row>
    <row r="162" spans="1:21" x14ac:dyDescent="0.25">
      <c r="A162" s="27" t="s">
        <v>730</v>
      </c>
      <c r="B162" s="27" t="str">
        <f t="shared" si="9"/>
        <v>Georgia</v>
      </c>
      <c r="C162" s="27" t="str">
        <f t="shared" si="10"/>
        <v>Ben Hill</v>
      </c>
      <c r="D162" s="27">
        <v>2554</v>
      </c>
      <c r="E162" s="27">
        <f>'GA post'!L10</f>
        <v>83</v>
      </c>
      <c r="F162" s="97">
        <f>'GA post'!O10</f>
        <v>116.04306969459671</v>
      </c>
      <c r="G162" s="27">
        <v>3398</v>
      </c>
      <c r="H162" s="97">
        <f>'GA post'!Y10</f>
        <v>145.2682528106958</v>
      </c>
      <c r="I162" s="27">
        <v>67603</v>
      </c>
      <c r="J162" s="27">
        <v>26</v>
      </c>
      <c r="K162" s="29">
        <f>'GA post'!AE10</f>
        <v>134300</v>
      </c>
      <c r="L162" s="41">
        <v>1925</v>
      </c>
      <c r="M162" s="4" t="s">
        <v>567</v>
      </c>
      <c r="N162" s="27" t="s">
        <v>2720</v>
      </c>
      <c r="O162" s="27" t="s">
        <v>2720</v>
      </c>
      <c r="P162" s="27" t="s">
        <v>2721</v>
      </c>
      <c r="Q162" s="27" t="s">
        <v>2722</v>
      </c>
      <c r="R162" s="27" t="s">
        <v>2723</v>
      </c>
      <c r="S162" s="27" t="s">
        <v>2724</v>
      </c>
      <c r="T162" s="27" t="s">
        <v>2725</v>
      </c>
      <c r="U162" s="27" t="s">
        <v>2726</v>
      </c>
    </row>
    <row r="163" spans="1:21" x14ac:dyDescent="0.25">
      <c r="A163" s="27" t="s">
        <v>731</v>
      </c>
      <c r="B163" s="27" t="str">
        <f t="shared" si="9"/>
        <v>Georgia</v>
      </c>
      <c r="C163" s="27" t="str">
        <f t="shared" si="10"/>
        <v>Berrien</v>
      </c>
      <c r="D163" s="27">
        <v>3553</v>
      </c>
      <c r="E163" s="27">
        <f>'GA post'!L11</f>
        <v>126</v>
      </c>
      <c r="F163" s="97">
        <f>'GA post'!O11</f>
        <v>117.74838164931045</v>
      </c>
      <c r="G163" s="27">
        <v>3851</v>
      </c>
      <c r="H163" s="97">
        <f>'GA post'!Y11</f>
        <v>111.4681043956044</v>
      </c>
      <c r="I163" s="27">
        <v>52448</v>
      </c>
      <c r="J163" s="27">
        <v>71</v>
      </c>
      <c r="K163" s="29">
        <f>'GA post'!AE11</f>
        <v>101600</v>
      </c>
      <c r="L163" s="41">
        <v>1925</v>
      </c>
      <c r="M163" s="4" t="s">
        <v>567</v>
      </c>
      <c r="N163" s="27" t="s">
        <v>2720</v>
      </c>
      <c r="O163" s="27" t="s">
        <v>2720</v>
      </c>
      <c r="P163" s="27" t="s">
        <v>2721</v>
      </c>
      <c r="Q163" s="27" t="s">
        <v>2722</v>
      </c>
      <c r="R163" s="27" t="s">
        <v>2723</v>
      </c>
      <c r="S163" s="27" t="s">
        <v>2724</v>
      </c>
      <c r="T163" s="27" t="s">
        <v>2725</v>
      </c>
      <c r="U163" s="27" t="s">
        <v>2726</v>
      </c>
    </row>
    <row r="164" spans="1:21" x14ac:dyDescent="0.25">
      <c r="A164" s="27" t="s">
        <v>732</v>
      </c>
      <c r="B164" s="27" t="str">
        <f t="shared" si="9"/>
        <v>Georgia</v>
      </c>
      <c r="C164" s="27" t="str">
        <f t="shared" si="10"/>
        <v>Bibb</v>
      </c>
      <c r="D164" s="27">
        <v>11335</v>
      </c>
      <c r="E164" s="27">
        <f>'GA post'!L12</f>
        <v>453</v>
      </c>
      <c r="F164" s="97">
        <f>'GA post'!O12</f>
        <v>180</v>
      </c>
      <c r="G164" s="27">
        <v>14789</v>
      </c>
      <c r="H164" s="97">
        <f>'GA post'!Y12</f>
        <v>88.989575668383608</v>
      </c>
      <c r="I164" s="27">
        <v>375242</v>
      </c>
      <c r="J164" s="27">
        <v>46</v>
      </c>
      <c r="K164" s="29">
        <f>'GA post'!AE12</f>
        <v>1663133</v>
      </c>
      <c r="L164" s="41">
        <v>1925</v>
      </c>
      <c r="M164" s="4" t="s">
        <v>567</v>
      </c>
      <c r="N164" s="27" t="s">
        <v>2720</v>
      </c>
      <c r="O164" s="27" t="s">
        <v>2720</v>
      </c>
      <c r="P164" s="27" t="s">
        <v>2721</v>
      </c>
      <c r="Q164" s="27" t="s">
        <v>2722</v>
      </c>
      <c r="R164" s="27" t="s">
        <v>2723</v>
      </c>
      <c r="S164" s="27" t="s">
        <v>2724</v>
      </c>
      <c r="T164" s="27" t="s">
        <v>2725</v>
      </c>
      <c r="U164" s="27" t="s">
        <v>2726</v>
      </c>
    </row>
    <row r="165" spans="1:21" x14ac:dyDescent="0.25">
      <c r="A165" s="27" t="s">
        <v>733</v>
      </c>
      <c r="B165" s="27" t="str">
        <f t="shared" si="9"/>
        <v>Georgia</v>
      </c>
      <c r="C165" s="27" t="str">
        <f t="shared" si="10"/>
        <v>Bleckley</v>
      </c>
      <c r="D165" s="27">
        <v>1130</v>
      </c>
      <c r="E165" s="27">
        <f>'GA post'!L13</f>
        <v>48</v>
      </c>
      <c r="F165" s="97">
        <f>'GA post'!O13</f>
        <v>135</v>
      </c>
      <c r="G165" s="27">
        <v>1573</v>
      </c>
      <c r="H165" s="97">
        <f>'GA post'!Y13</f>
        <v>168.69851851851851</v>
      </c>
      <c r="I165" s="27">
        <v>25849</v>
      </c>
      <c r="J165" s="27">
        <v>33</v>
      </c>
      <c r="K165" s="29">
        <f>'GA post'!AE13</f>
        <v>45650</v>
      </c>
      <c r="L165" s="41">
        <v>1925</v>
      </c>
      <c r="M165" s="4" t="s">
        <v>567</v>
      </c>
      <c r="N165" s="27" t="s">
        <v>2720</v>
      </c>
      <c r="O165" s="27" t="s">
        <v>2720</v>
      </c>
      <c r="P165" s="27" t="s">
        <v>2721</v>
      </c>
      <c r="Q165" s="27" t="s">
        <v>2722</v>
      </c>
      <c r="R165" s="27" t="s">
        <v>2723</v>
      </c>
      <c r="S165" s="27" t="s">
        <v>2724</v>
      </c>
      <c r="T165" s="27" t="s">
        <v>2725</v>
      </c>
      <c r="U165" s="27" t="s">
        <v>2726</v>
      </c>
    </row>
    <row r="166" spans="1:21" x14ac:dyDescent="0.25">
      <c r="A166" s="27" t="s">
        <v>734</v>
      </c>
      <c r="B166" s="27" t="str">
        <f t="shared" si="9"/>
        <v>Georgia</v>
      </c>
      <c r="C166" s="27" t="str">
        <f t="shared" si="10"/>
        <v>Brantley</v>
      </c>
      <c r="D166" s="27">
        <v>1400</v>
      </c>
      <c r="E166" s="27">
        <f>'GA post'!L14</f>
        <v>58</v>
      </c>
      <c r="F166" s="97">
        <f>'GA post'!O14</f>
        <v>119</v>
      </c>
      <c r="G166" s="27">
        <v>1936</v>
      </c>
      <c r="H166" s="97">
        <f>'GA post'!Y14</f>
        <v>55.240147783251231</v>
      </c>
      <c r="I166" s="27">
        <v>24700</v>
      </c>
      <c r="J166" s="27">
        <v>41</v>
      </c>
      <c r="K166" s="29">
        <f>'GA post'!AE14</f>
        <v>45520</v>
      </c>
      <c r="L166" s="41">
        <v>1925</v>
      </c>
      <c r="M166" s="4" t="s">
        <v>567</v>
      </c>
      <c r="N166" s="27" t="s">
        <v>2720</v>
      </c>
      <c r="O166" s="27" t="s">
        <v>2720</v>
      </c>
      <c r="P166" s="27" t="s">
        <v>2721</v>
      </c>
      <c r="Q166" s="27" t="s">
        <v>2722</v>
      </c>
      <c r="R166" s="27" t="s">
        <v>2723</v>
      </c>
      <c r="S166" s="27" t="s">
        <v>2724</v>
      </c>
      <c r="T166" s="27" t="s">
        <v>2725</v>
      </c>
      <c r="U166" s="27" t="s">
        <v>2726</v>
      </c>
    </row>
    <row r="167" spans="1:21" x14ac:dyDescent="0.25">
      <c r="A167" s="27" t="s">
        <v>735</v>
      </c>
      <c r="B167" s="27" t="str">
        <f t="shared" si="9"/>
        <v>Georgia</v>
      </c>
      <c r="C167" s="27" t="str">
        <f t="shared" si="10"/>
        <v>Brooks</v>
      </c>
      <c r="D167" s="27">
        <v>4288</v>
      </c>
      <c r="E167" s="27">
        <f>'GA post'!L15</f>
        <v>124</v>
      </c>
      <c r="F167" s="97">
        <f>'GA post'!O15</f>
        <v>140</v>
      </c>
      <c r="G167" s="27">
        <v>4833</v>
      </c>
      <c r="H167" s="97">
        <f>'GA post'!Y15</f>
        <v>91.374961389961385</v>
      </c>
      <c r="I167" s="27">
        <v>137659</v>
      </c>
      <c r="J167" s="27">
        <v>62</v>
      </c>
      <c r="K167" s="29">
        <f>'GA post'!AE15</f>
        <v>299500</v>
      </c>
      <c r="L167" s="41">
        <v>1925</v>
      </c>
      <c r="M167" s="4" t="s">
        <v>567</v>
      </c>
      <c r="N167" s="27" t="s">
        <v>2720</v>
      </c>
      <c r="O167" s="27" t="s">
        <v>2720</v>
      </c>
      <c r="P167" s="27" t="s">
        <v>2721</v>
      </c>
      <c r="Q167" s="27" t="s">
        <v>2722</v>
      </c>
      <c r="R167" s="27" t="s">
        <v>2723</v>
      </c>
      <c r="S167" s="27" t="s">
        <v>2724</v>
      </c>
      <c r="T167" s="27" t="s">
        <v>2725</v>
      </c>
      <c r="U167" s="27" t="s">
        <v>2726</v>
      </c>
    </row>
    <row r="168" spans="1:21" x14ac:dyDescent="0.25">
      <c r="A168" s="27" t="s">
        <v>736</v>
      </c>
      <c r="B168" s="27" t="str">
        <f t="shared" si="9"/>
        <v>Georgia</v>
      </c>
      <c r="C168" s="27" t="str">
        <f t="shared" si="10"/>
        <v>Bryan</v>
      </c>
      <c r="D168" s="27">
        <v>1235</v>
      </c>
      <c r="E168" s="27">
        <f>'GA post'!L16</f>
        <v>47</v>
      </c>
      <c r="F168" s="97">
        <f>'GA post'!O16</f>
        <v>128.82591093117409</v>
      </c>
      <c r="G168" s="27">
        <v>1411</v>
      </c>
      <c r="H168" s="97">
        <f>'GA post'!Y16</f>
        <v>57.341137123745817</v>
      </c>
      <c r="I168" s="27">
        <v>20753</v>
      </c>
      <c r="J168" s="27">
        <v>28</v>
      </c>
      <c r="K168" s="29">
        <f>'GA post'!AE16</f>
        <v>46000</v>
      </c>
      <c r="L168" s="41">
        <v>1925</v>
      </c>
      <c r="M168" s="4" t="s">
        <v>567</v>
      </c>
      <c r="N168" s="27" t="s">
        <v>2720</v>
      </c>
      <c r="O168" s="27" t="s">
        <v>2720</v>
      </c>
      <c r="P168" s="27" t="s">
        <v>2721</v>
      </c>
      <c r="Q168" s="27" t="s">
        <v>2722</v>
      </c>
      <c r="R168" s="27" t="s">
        <v>2723</v>
      </c>
      <c r="S168" s="27" t="s">
        <v>2724</v>
      </c>
      <c r="T168" s="27" t="s">
        <v>2725</v>
      </c>
      <c r="U168" s="27" t="s">
        <v>2726</v>
      </c>
    </row>
    <row r="169" spans="1:21" x14ac:dyDescent="0.25">
      <c r="A169" s="27" t="s">
        <v>737</v>
      </c>
      <c r="B169" s="27" t="str">
        <f t="shared" si="9"/>
        <v>Georgia</v>
      </c>
      <c r="C169" s="27" t="str">
        <f t="shared" si="10"/>
        <v>Bulloch</v>
      </c>
      <c r="D169" s="27">
        <v>7404</v>
      </c>
      <c r="E169" s="27">
        <f>'GA post'!L17</f>
        <v>148</v>
      </c>
      <c r="F169" s="97">
        <f>'GA post'!O17</f>
        <v>132.74716369529983</v>
      </c>
      <c r="G169" s="27">
        <v>8110</v>
      </c>
      <c r="H169" s="97">
        <f>'GA post'!Y17</f>
        <v>175.58880233690363</v>
      </c>
      <c r="I169" s="27">
        <v>113859</v>
      </c>
      <c r="J169" s="27">
        <v>103</v>
      </c>
      <c r="K169" s="29">
        <f>'GA post'!AE17</f>
        <v>240000</v>
      </c>
      <c r="L169" s="41">
        <v>1925</v>
      </c>
      <c r="M169" s="4" t="s">
        <v>567</v>
      </c>
      <c r="N169" s="27" t="s">
        <v>2720</v>
      </c>
      <c r="O169" s="27" t="s">
        <v>2720</v>
      </c>
      <c r="P169" s="27" t="s">
        <v>2721</v>
      </c>
      <c r="Q169" s="27" t="s">
        <v>2722</v>
      </c>
      <c r="R169" s="27" t="s">
        <v>2723</v>
      </c>
      <c r="S169" s="27" t="s">
        <v>2724</v>
      </c>
      <c r="T169" s="27" t="s">
        <v>2725</v>
      </c>
      <c r="U169" s="27" t="s">
        <v>2726</v>
      </c>
    </row>
    <row r="170" spans="1:21" x14ac:dyDescent="0.25">
      <c r="A170" s="27" t="s">
        <v>738</v>
      </c>
      <c r="B170" s="27" t="str">
        <f t="shared" si="9"/>
        <v>Georgia</v>
      </c>
      <c r="C170" s="27" t="str">
        <f t="shared" si="10"/>
        <v>Burke</v>
      </c>
      <c r="D170" s="27">
        <v>4118</v>
      </c>
      <c r="E170" s="27">
        <f>'GA post'!L18</f>
        <v>179</v>
      </c>
      <c r="F170" s="97">
        <f>'GA post'!O18</f>
        <v>136.28946090335114</v>
      </c>
      <c r="G170" s="27">
        <v>7136</v>
      </c>
      <c r="H170" s="97">
        <f>'GA post'!Y18</f>
        <v>58.219714285714275</v>
      </c>
      <c r="I170" s="27">
        <v>104866</v>
      </c>
      <c r="J170" s="27">
        <v>91</v>
      </c>
      <c r="K170" s="29">
        <f>'GA post'!AE18</f>
        <v>204500</v>
      </c>
      <c r="L170" s="41">
        <v>1925</v>
      </c>
      <c r="M170" s="4" t="s">
        <v>567</v>
      </c>
      <c r="N170" s="27" t="s">
        <v>2720</v>
      </c>
      <c r="O170" s="27" t="s">
        <v>2720</v>
      </c>
      <c r="P170" s="27" t="s">
        <v>2721</v>
      </c>
      <c r="Q170" s="27" t="s">
        <v>2722</v>
      </c>
      <c r="R170" s="27" t="s">
        <v>2723</v>
      </c>
      <c r="S170" s="27" t="s">
        <v>2724</v>
      </c>
      <c r="T170" s="27" t="s">
        <v>2725</v>
      </c>
      <c r="U170" s="27" t="s">
        <v>2726</v>
      </c>
    </row>
    <row r="171" spans="1:21" x14ac:dyDescent="0.25">
      <c r="A171" s="27" t="s">
        <v>739</v>
      </c>
      <c r="B171" s="27" t="str">
        <f t="shared" si="9"/>
        <v>Georgia</v>
      </c>
      <c r="C171" s="27" t="str">
        <f t="shared" si="10"/>
        <v>Butts</v>
      </c>
      <c r="D171" s="27">
        <v>2069</v>
      </c>
      <c r="E171" s="27">
        <f>'GA post'!L19</f>
        <v>68</v>
      </c>
      <c r="F171" s="97">
        <f>'GA post'!O19</f>
        <v>140</v>
      </c>
      <c r="G171" s="27">
        <v>2584</v>
      </c>
      <c r="H171" s="97">
        <f>'GA post'!Y19</f>
        <v>126.09397058823528</v>
      </c>
      <c r="I171" s="27">
        <v>59899</v>
      </c>
      <c r="J171" s="27">
        <v>30</v>
      </c>
      <c r="K171" s="29">
        <f>'GA post'!AE19</f>
        <v>78300</v>
      </c>
      <c r="L171" s="41">
        <v>1925</v>
      </c>
      <c r="M171" s="4" t="s">
        <v>567</v>
      </c>
      <c r="N171" s="27" t="s">
        <v>2720</v>
      </c>
      <c r="O171" s="27" t="s">
        <v>2720</v>
      </c>
      <c r="P171" s="27" t="s">
        <v>2721</v>
      </c>
      <c r="Q171" s="27" t="s">
        <v>2722</v>
      </c>
      <c r="R171" s="27" t="s">
        <v>2723</v>
      </c>
      <c r="S171" s="27" t="s">
        <v>2724</v>
      </c>
      <c r="T171" s="27" t="s">
        <v>2725</v>
      </c>
      <c r="U171" s="27" t="s">
        <v>2726</v>
      </c>
    </row>
    <row r="172" spans="1:21" x14ac:dyDescent="0.25">
      <c r="A172" s="27" t="s">
        <v>740</v>
      </c>
      <c r="B172" s="27" t="str">
        <f t="shared" si="9"/>
        <v>Georgia</v>
      </c>
      <c r="C172" s="27" t="str">
        <f t="shared" si="10"/>
        <v>Calhoun</v>
      </c>
      <c r="D172" s="27">
        <v>1541</v>
      </c>
      <c r="E172" s="27">
        <f>'GA post'!L20</f>
        <v>68</v>
      </c>
      <c r="F172" s="97">
        <f>'GA post'!O20</f>
        <v>120</v>
      </c>
      <c r="G172" s="27">
        <v>2346</v>
      </c>
      <c r="H172" s="97">
        <f>'GA post'!Y20</f>
        <v>62.598039215686271</v>
      </c>
      <c r="I172" s="27">
        <v>75729</v>
      </c>
      <c r="J172" s="27">
        <v>35</v>
      </c>
      <c r="K172" s="29">
        <f>'GA post'!AE20</f>
        <v>94200</v>
      </c>
      <c r="L172" s="41">
        <v>1925</v>
      </c>
      <c r="M172" s="4" t="s">
        <v>567</v>
      </c>
      <c r="N172" s="27" t="s">
        <v>2720</v>
      </c>
      <c r="O172" s="27" t="s">
        <v>2720</v>
      </c>
      <c r="P172" s="27" t="s">
        <v>2721</v>
      </c>
      <c r="Q172" s="27" t="s">
        <v>2722</v>
      </c>
      <c r="R172" s="27" t="s">
        <v>2723</v>
      </c>
      <c r="S172" s="27" t="s">
        <v>2724</v>
      </c>
      <c r="T172" s="27" t="s">
        <v>2725</v>
      </c>
      <c r="U172" s="27" t="s">
        <v>2726</v>
      </c>
    </row>
    <row r="173" spans="1:21" x14ac:dyDescent="0.25">
      <c r="A173" s="27" t="s">
        <v>741</v>
      </c>
      <c r="B173" s="27" t="str">
        <f t="shared" si="9"/>
        <v>Georgia</v>
      </c>
      <c r="C173" s="27" t="str">
        <f t="shared" si="10"/>
        <v>Camden</v>
      </c>
      <c r="D173" s="27">
        <v>1183</v>
      </c>
      <c r="E173" s="27">
        <f>'GA post'!L21</f>
        <v>31</v>
      </c>
      <c r="F173" s="97">
        <f>'GA post'!O21</f>
        <v>124.18427726120034</v>
      </c>
      <c r="G173" s="27">
        <v>1512</v>
      </c>
      <c r="H173" s="97">
        <f>'GA post'!Y21</f>
        <v>146.05151515151516</v>
      </c>
      <c r="I173" s="27">
        <v>26044</v>
      </c>
      <c r="J173" s="27">
        <v>29</v>
      </c>
      <c r="K173" s="29">
        <f>'GA post'!AE21</f>
        <v>52000</v>
      </c>
      <c r="L173" s="41">
        <v>1925</v>
      </c>
      <c r="M173" s="4" t="s">
        <v>567</v>
      </c>
      <c r="N173" s="27" t="s">
        <v>2720</v>
      </c>
      <c r="O173" s="27" t="s">
        <v>2720</v>
      </c>
      <c r="P173" s="27" t="s">
        <v>2721</v>
      </c>
      <c r="Q173" s="27" t="s">
        <v>2722</v>
      </c>
      <c r="R173" s="27" t="s">
        <v>2723</v>
      </c>
      <c r="S173" s="27" t="s">
        <v>2724</v>
      </c>
      <c r="T173" s="27" t="s">
        <v>2725</v>
      </c>
      <c r="U173" s="27" t="s">
        <v>2726</v>
      </c>
    </row>
    <row r="174" spans="1:21" x14ac:dyDescent="0.25">
      <c r="A174" s="27" t="s">
        <v>742</v>
      </c>
      <c r="B174" s="27" t="str">
        <f t="shared" si="9"/>
        <v>Georgia</v>
      </c>
      <c r="C174" s="27" t="str">
        <f t="shared" si="10"/>
        <v>Campbell</v>
      </c>
      <c r="D174" s="27">
        <v>3809</v>
      </c>
      <c r="E174" s="27">
        <f>'GA post'!L22</f>
        <v>88</v>
      </c>
      <c r="F174" s="97">
        <f>'GA post'!O22</f>
        <v>120</v>
      </c>
      <c r="G174" s="27">
        <v>4423</v>
      </c>
      <c r="H174" s="97">
        <f>'GA post'!Y22</f>
        <v>156.62464015151514</v>
      </c>
      <c r="I174" s="27">
        <v>45137</v>
      </c>
      <c r="J174" s="27">
        <v>42</v>
      </c>
      <c r="K174" s="29">
        <f>'GA post'!AE22</f>
        <v>80250</v>
      </c>
      <c r="L174" s="41">
        <v>1925</v>
      </c>
      <c r="M174" s="4" t="s">
        <v>567</v>
      </c>
      <c r="N174" s="27" t="s">
        <v>2720</v>
      </c>
      <c r="O174" s="27" t="s">
        <v>2720</v>
      </c>
      <c r="P174" s="27" t="s">
        <v>2721</v>
      </c>
      <c r="Q174" s="27" t="s">
        <v>2722</v>
      </c>
      <c r="R174" s="27" t="s">
        <v>2723</v>
      </c>
      <c r="S174" s="27" t="s">
        <v>2724</v>
      </c>
      <c r="T174" s="27" t="s">
        <v>2725</v>
      </c>
      <c r="U174" s="27" t="s">
        <v>2726</v>
      </c>
    </row>
    <row r="175" spans="1:21" x14ac:dyDescent="0.25">
      <c r="A175" s="27" t="s">
        <v>743</v>
      </c>
      <c r="B175" s="27" t="str">
        <f t="shared" si="9"/>
        <v>Georgia</v>
      </c>
      <c r="C175" s="27" t="str">
        <f t="shared" si="10"/>
        <v>Candler</v>
      </c>
      <c r="D175" s="27">
        <v>1948</v>
      </c>
      <c r="E175" s="27">
        <f>'GA post'!L23</f>
        <v>68</v>
      </c>
      <c r="F175" s="97">
        <f>'GA post'!O23</f>
        <v>129.10934291581108</v>
      </c>
      <c r="G175" s="27">
        <v>3023</v>
      </c>
      <c r="H175" s="97">
        <f>'GA post'!Y23</f>
        <v>69.101403887688988</v>
      </c>
      <c r="I175" s="27">
        <v>46690</v>
      </c>
      <c r="J175" s="27">
        <v>28</v>
      </c>
      <c r="K175" s="29">
        <f>'GA post'!AE23</f>
        <v>90950</v>
      </c>
      <c r="L175" s="41">
        <v>1925</v>
      </c>
      <c r="M175" s="4" t="s">
        <v>567</v>
      </c>
      <c r="N175" s="27" t="s">
        <v>2720</v>
      </c>
      <c r="O175" s="27" t="s">
        <v>2720</v>
      </c>
      <c r="P175" s="27" t="s">
        <v>2721</v>
      </c>
      <c r="Q175" s="27" t="s">
        <v>2722</v>
      </c>
      <c r="R175" s="27" t="s">
        <v>2723</v>
      </c>
      <c r="S175" s="27" t="s">
        <v>2724</v>
      </c>
      <c r="T175" s="27" t="s">
        <v>2725</v>
      </c>
      <c r="U175" s="27" t="s">
        <v>2726</v>
      </c>
    </row>
    <row r="176" spans="1:21" x14ac:dyDescent="0.25">
      <c r="A176" s="27" t="s">
        <v>744</v>
      </c>
      <c r="B176" s="27" t="str">
        <f t="shared" si="9"/>
        <v>Georgia</v>
      </c>
      <c r="C176" s="27" t="str">
        <f t="shared" si="10"/>
        <v>Carroll</v>
      </c>
      <c r="D176" s="27">
        <v>7730</v>
      </c>
      <c r="E176" s="27">
        <f>'GA post'!L24</f>
        <v>217</v>
      </c>
      <c r="F176" s="97">
        <f>'GA post'!O24</f>
        <v>151.54139715394567</v>
      </c>
      <c r="G176" s="27">
        <v>10257</v>
      </c>
      <c r="H176" s="97">
        <f>'GA post'!Y24</f>
        <v>69.857946768060842</v>
      </c>
      <c r="I176" s="27">
        <v>151957</v>
      </c>
      <c r="J176" s="27">
        <v>107</v>
      </c>
      <c r="K176" s="29">
        <f>'GA post'!AE24</f>
        <v>473000</v>
      </c>
      <c r="L176" s="41">
        <v>1925</v>
      </c>
      <c r="M176" s="4" t="s">
        <v>567</v>
      </c>
      <c r="N176" s="27" t="s">
        <v>2720</v>
      </c>
      <c r="O176" s="27" t="s">
        <v>2720</v>
      </c>
      <c r="P176" s="27" t="s">
        <v>2721</v>
      </c>
      <c r="Q176" s="27" t="s">
        <v>2722</v>
      </c>
      <c r="R176" s="27" t="s">
        <v>2723</v>
      </c>
      <c r="S176" s="27" t="s">
        <v>2724</v>
      </c>
      <c r="T176" s="27" t="s">
        <v>2725</v>
      </c>
      <c r="U176" s="27" t="s">
        <v>2726</v>
      </c>
    </row>
    <row r="177" spans="1:21" x14ac:dyDescent="0.25">
      <c r="A177" s="27" t="s">
        <v>745</v>
      </c>
      <c r="B177" s="27" t="str">
        <f t="shared" si="9"/>
        <v>Georgia</v>
      </c>
      <c r="C177" s="27" t="str">
        <f t="shared" si="10"/>
        <v>Catoosa</v>
      </c>
      <c r="D177" s="27">
        <v>1486</v>
      </c>
      <c r="E177" s="27">
        <f>'GA post'!L25</f>
        <v>44</v>
      </c>
      <c r="F177" s="97">
        <f>'GA post'!O25</f>
        <v>118.64737550471064</v>
      </c>
      <c r="G177" s="27">
        <v>1879</v>
      </c>
      <c r="H177" s="97">
        <f>'GA post'!Y25</f>
        <v>59.573643410852718</v>
      </c>
      <c r="I177" s="27">
        <v>25000</v>
      </c>
      <c r="J177" s="27">
        <v>23</v>
      </c>
      <c r="K177" s="29">
        <f>'GA post'!AE25</f>
        <v>44800</v>
      </c>
      <c r="L177" s="41">
        <v>1925</v>
      </c>
      <c r="M177" s="4" t="s">
        <v>567</v>
      </c>
      <c r="N177" s="27" t="s">
        <v>2720</v>
      </c>
      <c r="O177" s="27" t="s">
        <v>2720</v>
      </c>
      <c r="P177" s="27" t="s">
        <v>2721</v>
      </c>
      <c r="Q177" s="27" t="s">
        <v>2722</v>
      </c>
      <c r="R177" s="27" t="s">
        <v>2723</v>
      </c>
      <c r="S177" s="27" t="s">
        <v>2724</v>
      </c>
      <c r="T177" s="27" t="s">
        <v>2725</v>
      </c>
      <c r="U177" s="27" t="s">
        <v>2726</v>
      </c>
    </row>
    <row r="178" spans="1:21" x14ac:dyDescent="0.25">
      <c r="A178" s="27" t="s">
        <v>746</v>
      </c>
      <c r="B178" s="27" t="str">
        <f t="shared" si="9"/>
        <v>Georgia</v>
      </c>
      <c r="C178" s="27" t="str">
        <f t="shared" si="10"/>
        <v>Charlton</v>
      </c>
      <c r="D178" s="27">
        <v>1260</v>
      </c>
      <c r="E178" s="27">
        <f>'GA post'!L26</f>
        <v>37</v>
      </c>
      <c r="F178" s="97">
        <f>'GA post'!O26</f>
        <v>127.61904761904762</v>
      </c>
      <c r="G178" s="27">
        <v>1375</v>
      </c>
      <c r="H178" s="97">
        <f>'GA post'!Y26</f>
        <v>80.603238866396751</v>
      </c>
      <c r="I178" s="27">
        <v>20726</v>
      </c>
      <c r="J178" s="27">
        <v>14</v>
      </c>
      <c r="K178" s="29">
        <f>'GA post'!AE26</f>
        <v>27850</v>
      </c>
      <c r="L178" s="41">
        <v>1925</v>
      </c>
      <c r="M178" s="4" t="s">
        <v>567</v>
      </c>
      <c r="N178" s="27" t="s">
        <v>2720</v>
      </c>
      <c r="O178" s="27" t="s">
        <v>2720</v>
      </c>
      <c r="P178" s="27" t="s">
        <v>2721</v>
      </c>
      <c r="Q178" s="27" t="s">
        <v>2722</v>
      </c>
      <c r="R178" s="27" t="s">
        <v>2723</v>
      </c>
      <c r="S178" s="27" t="s">
        <v>2724</v>
      </c>
      <c r="T178" s="27" t="s">
        <v>2725</v>
      </c>
      <c r="U178" s="27" t="s">
        <v>2726</v>
      </c>
    </row>
    <row r="179" spans="1:21" x14ac:dyDescent="0.25">
      <c r="A179" s="27" t="s">
        <v>747</v>
      </c>
      <c r="B179" s="27" t="str">
        <f t="shared" si="9"/>
        <v>Georgia</v>
      </c>
      <c r="C179" s="27" t="str">
        <f t="shared" si="10"/>
        <v>Chatham</v>
      </c>
      <c r="D179" s="27">
        <v>12881</v>
      </c>
      <c r="E179" s="27">
        <f>'GA post'!L27</f>
        <v>339</v>
      </c>
      <c r="F179" s="97">
        <f>'GA post'!O27</f>
        <v>182</v>
      </c>
      <c r="G179" s="27">
        <v>16117</v>
      </c>
      <c r="H179" s="97">
        <f>'GA post'!Y27</f>
        <v>85.00239489124445</v>
      </c>
      <c r="I179" s="27">
        <v>838393</v>
      </c>
      <c r="J179" s="27">
        <v>64</v>
      </c>
      <c r="K179" s="29">
        <f>'GA post'!AE27</f>
        <v>1420500</v>
      </c>
      <c r="L179" s="41">
        <v>1925</v>
      </c>
      <c r="M179" s="4" t="s">
        <v>567</v>
      </c>
      <c r="N179" s="27" t="s">
        <v>2720</v>
      </c>
      <c r="O179" s="27" t="s">
        <v>2720</v>
      </c>
      <c r="P179" s="27" t="s">
        <v>2721</v>
      </c>
      <c r="Q179" s="27" t="s">
        <v>2722</v>
      </c>
      <c r="R179" s="27" t="s">
        <v>2723</v>
      </c>
      <c r="S179" s="27" t="s">
        <v>2724</v>
      </c>
      <c r="T179" s="27" t="s">
        <v>2725</v>
      </c>
      <c r="U179" s="27" t="s">
        <v>2726</v>
      </c>
    </row>
    <row r="180" spans="1:21" x14ac:dyDescent="0.25">
      <c r="A180" s="27" t="s">
        <v>748</v>
      </c>
      <c r="B180" s="27" t="str">
        <f t="shared" si="9"/>
        <v>Georgia</v>
      </c>
      <c r="C180" s="27" t="str">
        <f t="shared" si="10"/>
        <v>Chattahoochee</v>
      </c>
      <c r="D180" s="27">
        <v>459</v>
      </c>
      <c r="E180" s="27">
        <f>'GA post'!L28</f>
        <v>22</v>
      </c>
      <c r="F180" s="97">
        <f>'GA post'!O28</f>
        <v>160</v>
      </c>
      <c r="G180" s="27">
        <v>795</v>
      </c>
      <c r="H180" s="97">
        <f>'GA post'!Y28</f>
        <v>44.417045454545452</v>
      </c>
      <c r="I180" s="27">
        <v>8581</v>
      </c>
      <c r="J180" s="27">
        <v>18</v>
      </c>
      <c r="K180" s="29">
        <f>'GA post'!AE28</f>
        <v>7650</v>
      </c>
      <c r="L180" s="41">
        <v>1925</v>
      </c>
      <c r="M180" s="4" t="s">
        <v>567</v>
      </c>
      <c r="N180" s="27" t="s">
        <v>2720</v>
      </c>
      <c r="O180" s="27" t="s">
        <v>2720</v>
      </c>
      <c r="P180" s="27" t="s">
        <v>2721</v>
      </c>
      <c r="Q180" s="27" t="s">
        <v>2722</v>
      </c>
      <c r="R180" s="27" t="s">
        <v>2723</v>
      </c>
      <c r="S180" s="27" t="s">
        <v>2724</v>
      </c>
      <c r="T180" s="27" t="s">
        <v>2725</v>
      </c>
      <c r="U180" s="27" t="s">
        <v>2726</v>
      </c>
    </row>
    <row r="181" spans="1:21" x14ac:dyDescent="0.25">
      <c r="A181" s="27" t="s">
        <v>749</v>
      </c>
      <c r="B181" s="27" t="str">
        <f t="shared" si="9"/>
        <v>Georgia</v>
      </c>
      <c r="C181" s="27" t="str">
        <f t="shared" si="10"/>
        <v>Chattooga</v>
      </c>
      <c r="D181" s="27">
        <v>2465</v>
      </c>
      <c r="E181" s="27">
        <f>'GA post'!L29</f>
        <v>90</v>
      </c>
      <c r="F181" s="97">
        <f>'GA post'!O29</f>
        <v>151.77281947261665</v>
      </c>
      <c r="G181" s="27">
        <v>3515</v>
      </c>
      <c r="H181" s="97">
        <f>'GA post'!Y29</f>
        <v>138.82978723404256</v>
      </c>
      <c r="I181" s="27">
        <v>53529</v>
      </c>
      <c r="J181" s="27">
        <v>46</v>
      </c>
      <c r="K181" s="29">
        <f>'GA post'!AE29</f>
        <v>134750</v>
      </c>
      <c r="L181" s="41">
        <v>1925</v>
      </c>
      <c r="M181" s="4" t="s">
        <v>567</v>
      </c>
      <c r="N181" s="27" t="s">
        <v>2720</v>
      </c>
      <c r="O181" s="27" t="s">
        <v>2720</v>
      </c>
      <c r="P181" s="27" t="s">
        <v>2721</v>
      </c>
      <c r="Q181" s="27" t="s">
        <v>2722</v>
      </c>
      <c r="R181" s="27" t="s">
        <v>2723</v>
      </c>
      <c r="S181" s="27" t="s">
        <v>2724</v>
      </c>
      <c r="T181" s="27" t="s">
        <v>2725</v>
      </c>
      <c r="U181" s="27" t="s">
        <v>2726</v>
      </c>
    </row>
    <row r="182" spans="1:21" x14ac:dyDescent="0.25">
      <c r="A182" s="27" t="s">
        <v>750</v>
      </c>
      <c r="B182" s="27" t="str">
        <f t="shared" si="9"/>
        <v>Georgia</v>
      </c>
      <c r="C182" s="27" t="str">
        <f t="shared" si="10"/>
        <v>Cherokee</v>
      </c>
      <c r="D182" s="27">
        <v>4213</v>
      </c>
      <c r="E182" s="27">
        <f>'GA post'!L30</f>
        <v>125</v>
      </c>
      <c r="F182" s="97">
        <f>'GA post'!O30</f>
        <v>166.47519582245431</v>
      </c>
      <c r="G182" s="27">
        <v>6091</v>
      </c>
      <c r="H182" s="97">
        <f>'GA post'!Y30</f>
        <v>63.780952380952378</v>
      </c>
      <c r="I182" s="27">
        <v>45213</v>
      </c>
      <c r="J182" s="27">
        <v>56</v>
      </c>
      <c r="K182" s="29">
        <f>'GA post'!AE30</f>
        <v>178900</v>
      </c>
      <c r="L182" s="41">
        <v>1925</v>
      </c>
      <c r="M182" s="4" t="s">
        <v>567</v>
      </c>
      <c r="N182" s="27" t="s">
        <v>2720</v>
      </c>
      <c r="O182" s="27" t="s">
        <v>2720</v>
      </c>
      <c r="P182" s="27" t="s">
        <v>2721</v>
      </c>
      <c r="Q182" s="27" t="s">
        <v>2722</v>
      </c>
      <c r="R182" s="27" t="s">
        <v>2723</v>
      </c>
      <c r="S182" s="27" t="s">
        <v>2724</v>
      </c>
      <c r="T182" s="27" t="s">
        <v>2725</v>
      </c>
      <c r="U182" s="27" t="s">
        <v>2726</v>
      </c>
    </row>
    <row r="183" spans="1:21" x14ac:dyDescent="0.25">
      <c r="A183" s="27" t="s">
        <v>751</v>
      </c>
      <c r="B183" s="27" t="str">
        <f t="shared" si="9"/>
        <v>Georgia</v>
      </c>
      <c r="C183" s="27" t="str">
        <f t="shared" si="10"/>
        <v>Clarke</v>
      </c>
      <c r="D183" s="27">
        <v>4363</v>
      </c>
      <c r="E183" s="27">
        <f>'GA post'!L31</f>
        <v>155</v>
      </c>
      <c r="F183" s="97">
        <f>'GA post'!O31</f>
        <v>163.7909695163878</v>
      </c>
      <c r="G183" s="27">
        <v>5788</v>
      </c>
      <c r="H183" s="97">
        <f>'GA post'!Y31</f>
        <v>170.2416756341276</v>
      </c>
      <c r="I183" s="27">
        <v>194737</v>
      </c>
      <c r="J183" s="27">
        <v>37</v>
      </c>
      <c r="K183" s="29">
        <f>'GA post'!AE31</f>
        <v>481150</v>
      </c>
      <c r="L183" s="41">
        <v>1925</v>
      </c>
      <c r="M183" s="4" t="s">
        <v>567</v>
      </c>
      <c r="N183" s="27" t="s">
        <v>2720</v>
      </c>
      <c r="O183" s="27" t="s">
        <v>2720</v>
      </c>
      <c r="P183" s="27" t="s">
        <v>2721</v>
      </c>
      <c r="Q183" s="27" t="s">
        <v>2722</v>
      </c>
      <c r="R183" s="27" t="s">
        <v>2723</v>
      </c>
      <c r="S183" s="27" t="s">
        <v>2724</v>
      </c>
      <c r="T183" s="27" t="s">
        <v>2725</v>
      </c>
      <c r="U183" s="27" t="s">
        <v>2726</v>
      </c>
    </row>
    <row r="184" spans="1:21" x14ac:dyDescent="0.25">
      <c r="A184" s="27" t="s">
        <v>752</v>
      </c>
      <c r="B184" s="27" t="str">
        <f t="shared" si="9"/>
        <v>Georgia</v>
      </c>
      <c r="C184" s="27" t="str">
        <f t="shared" si="10"/>
        <v>Clay</v>
      </c>
      <c r="D184" s="27">
        <v>1460</v>
      </c>
      <c r="E184" s="27">
        <f>'GA post'!L32</f>
        <v>48</v>
      </c>
      <c r="F184" s="97">
        <f>'GA post'!O32</f>
        <v>125.47945205479452</v>
      </c>
      <c r="G184" s="27">
        <v>1627</v>
      </c>
      <c r="H184" s="97">
        <f>'GA post'!Y32</f>
        <v>125.54275229357796</v>
      </c>
      <c r="I184" s="27">
        <v>15389</v>
      </c>
      <c r="J184" s="27">
        <v>24</v>
      </c>
      <c r="K184" s="29">
        <f>'GA post'!AE32</f>
        <v>42300</v>
      </c>
      <c r="L184" s="41">
        <v>1925</v>
      </c>
      <c r="M184" s="4" t="s">
        <v>567</v>
      </c>
      <c r="N184" s="27" t="s">
        <v>2720</v>
      </c>
      <c r="O184" s="27" t="s">
        <v>2720</v>
      </c>
      <c r="P184" s="27" t="s">
        <v>2721</v>
      </c>
      <c r="Q184" s="27" t="s">
        <v>2722</v>
      </c>
      <c r="R184" s="27" t="s">
        <v>2723</v>
      </c>
      <c r="S184" s="27" t="s">
        <v>2724</v>
      </c>
      <c r="T184" s="27" t="s">
        <v>2725</v>
      </c>
      <c r="U184" s="27" t="s">
        <v>2726</v>
      </c>
    </row>
    <row r="185" spans="1:21" x14ac:dyDescent="0.25">
      <c r="A185" s="27" t="s">
        <v>753</v>
      </c>
      <c r="B185" s="27" t="str">
        <f t="shared" si="9"/>
        <v>Georgia</v>
      </c>
      <c r="C185" s="27" t="str">
        <f t="shared" si="10"/>
        <v>Clayton</v>
      </c>
      <c r="D185" s="27">
        <v>2478</v>
      </c>
      <c r="E185" s="27">
        <f>'GA post'!L33</f>
        <v>60</v>
      </c>
      <c r="F185" s="97">
        <f>'GA post'!O33</f>
        <v>133.25262308313157</v>
      </c>
      <c r="G185" s="27">
        <v>2723</v>
      </c>
      <c r="H185" s="97">
        <f>'GA post'!Y33</f>
        <v>68.478905472636811</v>
      </c>
      <c r="I185" s="27">
        <v>35182</v>
      </c>
      <c r="J185" s="27">
        <v>33</v>
      </c>
      <c r="K185" s="29">
        <f>'GA post'!AE33</f>
        <v>50000</v>
      </c>
      <c r="L185" s="41">
        <v>1925</v>
      </c>
      <c r="M185" s="4" t="s">
        <v>567</v>
      </c>
      <c r="N185" s="27" t="s">
        <v>2720</v>
      </c>
      <c r="O185" s="27" t="s">
        <v>2720</v>
      </c>
      <c r="P185" s="27" t="s">
        <v>2721</v>
      </c>
      <c r="Q185" s="27" t="s">
        <v>2722</v>
      </c>
      <c r="R185" s="27" t="s">
        <v>2723</v>
      </c>
      <c r="S185" s="27" t="s">
        <v>2724</v>
      </c>
      <c r="T185" s="27" t="s">
        <v>2725</v>
      </c>
      <c r="U185" s="27" t="s">
        <v>2726</v>
      </c>
    </row>
    <row r="186" spans="1:21" x14ac:dyDescent="0.25">
      <c r="A186" s="27" t="s">
        <v>754</v>
      </c>
      <c r="B186" s="27" t="str">
        <f t="shared" si="9"/>
        <v>Georgia</v>
      </c>
      <c r="C186" s="27" t="str">
        <f t="shared" si="10"/>
        <v>Clinch</v>
      </c>
      <c r="D186" s="27">
        <v>1495</v>
      </c>
      <c r="E186" s="27">
        <f>'GA post'!L34</f>
        <v>50</v>
      </c>
      <c r="F186" s="97">
        <f>'GA post'!O34</f>
        <v>120</v>
      </c>
      <c r="G186" s="27">
        <v>1808</v>
      </c>
      <c r="H186" s="97">
        <f>'GA post'!Y34</f>
        <v>53.975833333333334</v>
      </c>
      <c r="I186" s="27">
        <v>26841</v>
      </c>
      <c r="J186" s="27">
        <v>39</v>
      </c>
      <c r="K186" s="29">
        <f>'GA post'!AE34</f>
        <v>34175</v>
      </c>
      <c r="L186" s="41">
        <v>1925</v>
      </c>
      <c r="M186" s="4" t="s">
        <v>567</v>
      </c>
      <c r="N186" s="27" t="s">
        <v>2720</v>
      </c>
      <c r="O186" s="27" t="s">
        <v>2720</v>
      </c>
      <c r="P186" s="27" t="s">
        <v>2727</v>
      </c>
      <c r="Q186" s="27" t="s">
        <v>2728</v>
      </c>
      <c r="R186" s="27" t="s">
        <v>2723</v>
      </c>
      <c r="S186" s="27" t="s">
        <v>2724</v>
      </c>
      <c r="T186" s="27" t="s">
        <v>2725</v>
      </c>
      <c r="U186" s="27" t="s">
        <v>2726</v>
      </c>
    </row>
    <row r="187" spans="1:21" x14ac:dyDescent="0.25">
      <c r="A187" s="27" t="s">
        <v>755</v>
      </c>
      <c r="B187" s="27" t="str">
        <f t="shared" si="9"/>
        <v>Georgia</v>
      </c>
      <c r="C187" s="27" t="str">
        <f t="shared" si="10"/>
        <v>Cobb</v>
      </c>
      <c r="D187" s="27">
        <v>6551</v>
      </c>
      <c r="E187" s="27">
        <f>'GA post'!L35</f>
        <v>173</v>
      </c>
      <c r="F187" s="97">
        <f>'GA post'!O35</f>
        <v>130</v>
      </c>
      <c r="G187" s="27">
        <v>8368</v>
      </c>
      <c r="H187" s="97">
        <f>'GA post'!Y35</f>
        <v>155.82079146287236</v>
      </c>
      <c r="I187" s="27">
        <v>207375</v>
      </c>
      <c r="J187" s="27">
        <v>63</v>
      </c>
      <c r="K187" s="29">
        <f>'GA post'!AE35</f>
        <v>320500</v>
      </c>
      <c r="L187" s="41">
        <v>1925</v>
      </c>
      <c r="M187" s="4" t="s">
        <v>567</v>
      </c>
      <c r="N187" s="27" t="s">
        <v>2720</v>
      </c>
      <c r="O187" s="27" t="s">
        <v>2720</v>
      </c>
      <c r="P187" s="27" t="s">
        <v>2729</v>
      </c>
      <c r="Q187" s="27" t="s">
        <v>2728</v>
      </c>
      <c r="R187" s="27" t="s">
        <v>2730</v>
      </c>
      <c r="S187" s="27" t="s">
        <v>2731</v>
      </c>
      <c r="T187" s="27" t="s">
        <v>2732</v>
      </c>
      <c r="U187" s="27" t="s">
        <v>2733</v>
      </c>
    </row>
    <row r="188" spans="1:21" x14ac:dyDescent="0.25">
      <c r="A188" s="27" t="s">
        <v>756</v>
      </c>
      <c r="B188" s="27" t="str">
        <f t="shared" si="9"/>
        <v>Georgia</v>
      </c>
      <c r="C188" s="27" t="str">
        <f t="shared" si="10"/>
        <v>Coffee</v>
      </c>
      <c r="D188" s="27">
        <v>3173</v>
      </c>
      <c r="E188" s="27">
        <f>'GA post'!L36</f>
        <v>110</v>
      </c>
      <c r="F188" s="97">
        <f>'GA post'!O36</f>
        <v>120</v>
      </c>
      <c r="G188" s="27">
        <v>3794</v>
      </c>
      <c r="H188" s="97">
        <f>'GA post'!Y36</f>
        <v>214.99690909090904</v>
      </c>
      <c r="I188" s="27">
        <v>74456</v>
      </c>
      <c r="J188" s="27">
        <v>34</v>
      </c>
      <c r="K188" s="29">
        <f>'GA post'!AE36</f>
        <v>125750</v>
      </c>
      <c r="L188" s="41">
        <v>1925</v>
      </c>
      <c r="M188" s="4" t="s">
        <v>567</v>
      </c>
      <c r="N188" s="27" t="s">
        <v>2720</v>
      </c>
      <c r="O188" s="27" t="s">
        <v>2720</v>
      </c>
      <c r="P188" s="27" t="s">
        <v>2729</v>
      </c>
      <c r="Q188" s="27" t="s">
        <v>2728</v>
      </c>
      <c r="R188" s="27" t="s">
        <v>2734</v>
      </c>
      <c r="S188" s="27" t="s">
        <v>2735</v>
      </c>
      <c r="T188" s="27" t="s">
        <v>2732</v>
      </c>
      <c r="U188" s="27" t="s">
        <v>2733</v>
      </c>
    </row>
    <row r="189" spans="1:21" x14ac:dyDescent="0.25">
      <c r="A189" s="27" t="s">
        <v>757</v>
      </c>
      <c r="B189" s="27" t="str">
        <f t="shared" si="9"/>
        <v>Georgia</v>
      </c>
      <c r="C189" s="27" t="str">
        <f t="shared" si="10"/>
        <v>Colquitt</v>
      </c>
      <c r="D189" s="27">
        <v>5764</v>
      </c>
      <c r="E189" s="27">
        <f>'GA post'!L37</f>
        <v>250</v>
      </c>
      <c r="F189" s="97">
        <f>'GA post'!O37</f>
        <v>116.60652324774462</v>
      </c>
      <c r="G189" s="27">
        <v>7045</v>
      </c>
      <c r="H189" s="97">
        <f>'GA post'!Y37</f>
        <v>150.21543571428572</v>
      </c>
      <c r="I189" s="27">
        <v>147910</v>
      </c>
      <c r="J189" s="27">
        <v>72</v>
      </c>
      <c r="K189" s="29">
        <f>'GA post'!AE37</f>
        <v>287600</v>
      </c>
      <c r="L189" s="41">
        <v>1925</v>
      </c>
      <c r="M189" s="4" t="s">
        <v>567</v>
      </c>
      <c r="N189" s="27" t="s">
        <v>2720</v>
      </c>
      <c r="O189" s="27" t="s">
        <v>2720</v>
      </c>
      <c r="P189" s="27" t="s">
        <v>2729</v>
      </c>
      <c r="Q189" s="27" t="s">
        <v>2728</v>
      </c>
      <c r="R189" s="27" t="s">
        <v>2734</v>
      </c>
      <c r="S189" s="27" t="s">
        <v>2735</v>
      </c>
      <c r="T189" s="27" t="s">
        <v>2732</v>
      </c>
      <c r="U189" s="27" t="s">
        <v>2733</v>
      </c>
    </row>
    <row r="190" spans="1:21" x14ac:dyDescent="0.25">
      <c r="A190" s="27" t="s">
        <v>758</v>
      </c>
      <c r="B190" s="27" t="str">
        <f t="shared" si="9"/>
        <v>Georgia</v>
      </c>
      <c r="C190" s="27" t="str">
        <f t="shared" si="10"/>
        <v>Columbia</v>
      </c>
      <c r="D190" s="27">
        <v>3559</v>
      </c>
      <c r="E190" s="27">
        <f>'GA post'!L38</f>
        <v>72</v>
      </c>
      <c r="F190" s="97">
        <f>'GA post'!O38</f>
        <v>121.57255182273052</v>
      </c>
      <c r="G190" s="27">
        <v>5178</v>
      </c>
      <c r="H190" s="97">
        <f>'GA post'!Y38</f>
        <v>68.4610078387458</v>
      </c>
      <c r="I190" s="27">
        <v>75645</v>
      </c>
      <c r="J190" s="27">
        <v>104</v>
      </c>
      <c r="K190" s="29">
        <f>'GA post'!AE38</f>
        <v>91600</v>
      </c>
      <c r="L190" s="41">
        <v>1925</v>
      </c>
      <c r="M190" s="4" t="s">
        <v>567</v>
      </c>
      <c r="N190" s="27" t="s">
        <v>2720</v>
      </c>
      <c r="O190" s="27" t="s">
        <v>2720</v>
      </c>
      <c r="P190" s="27" t="s">
        <v>2729</v>
      </c>
      <c r="Q190" s="27" t="s">
        <v>2728</v>
      </c>
      <c r="R190" s="27" t="s">
        <v>2734</v>
      </c>
      <c r="S190" s="27" t="s">
        <v>2735</v>
      </c>
      <c r="T190" s="27" t="s">
        <v>2732</v>
      </c>
      <c r="U190" s="27" t="s">
        <v>2733</v>
      </c>
    </row>
    <row r="191" spans="1:21" x14ac:dyDescent="0.25">
      <c r="A191" s="27" t="s">
        <v>760</v>
      </c>
      <c r="B191" s="27" t="str">
        <f t="shared" si="9"/>
        <v>Georgia</v>
      </c>
      <c r="C191" s="27" t="str">
        <f t="shared" si="10"/>
        <v>Coweta</v>
      </c>
      <c r="D191" s="27">
        <v>4929</v>
      </c>
      <c r="E191" s="27">
        <f>'GA post'!L39</f>
        <v>159</v>
      </c>
      <c r="F191" s="97">
        <f>'GA post'!O39</f>
        <v>134.35179549604382</v>
      </c>
      <c r="G191" s="27">
        <v>6630</v>
      </c>
      <c r="H191" s="97">
        <f>'GA post'!Y39</f>
        <v>249.74133887349956</v>
      </c>
      <c r="I191" s="27">
        <v>118689</v>
      </c>
      <c r="J191" s="27">
        <v>61</v>
      </c>
      <c r="K191" s="29">
        <f>'GA post'!AE39</f>
        <v>243700</v>
      </c>
      <c r="L191" s="41">
        <v>1925</v>
      </c>
      <c r="M191" s="4" t="s">
        <v>567</v>
      </c>
      <c r="N191" s="27" t="s">
        <v>2720</v>
      </c>
      <c r="O191" s="27" t="s">
        <v>2720</v>
      </c>
      <c r="P191" s="27" t="s">
        <v>2729</v>
      </c>
      <c r="Q191" s="27" t="s">
        <v>2728</v>
      </c>
      <c r="R191" s="27" t="s">
        <v>2734</v>
      </c>
      <c r="S191" s="27" t="s">
        <v>2735</v>
      </c>
      <c r="T191" s="27" t="s">
        <v>2732</v>
      </c>
      <c r="U191" s="27" t="s">
        <v>2733</v>
      </c>
    </row>
    <row r="192" spans="1:21" x14ac:dyDescent="0.25">
      <c r="A192" s="27" t="s">
        <v>761</v>
      </c>
      <c r="B192" s="27" t="str">
        <f t="shared" si="9"/>
        <v>Georgia</v>
      </c>
      <c r="C192" s="27" t="str">
        <f t="shared" si="10"/>
        <v>Crawford</v>
      </c>
      <c r="D192" s="27">
        <v>1331</v>
      </c>
      <c r="E192" s="27">
        <f>'GA post'!L40</f>
        <v>52</v>
      </c>
      <c r="F192" s="97">
        <f>'GA post'!O40</f>
        <v>129.94740796393688</v>
      </c>
      <c r="G192" s="27">
        <v>1835</v>
      </c>
      <c r="H192" s="97">
        <f>'GA post'!Y40</f>
        <v>47.362192982456143</v>
      </c>
      <c r="I192" s="27">
        <v>66504</v>
      </c>
      <c r="J192" s="27">
        <v>66</v>
      </c>
      <c r="K192" s="29">
        <f>'GA post'!AE40</f>
        <v>27800</v>
      </c>
      <c r="L192" s="41">
        <v>1925</v>
      </c>
      <c r="M192" s="4" t="s">
        <v>567</v>
      </c>
      <c r="N192" s="27" t="s">
        <v>2720</v>
      </c>
      <c r="O192" s="27" t="s">
        <v>2720</v>
      </c>
      <c r="P192" s="27" t="s">
        <v>2729</v>
      </c>
      <c r="Q192" s="27" t="s">
        <v>2728</v>
      </c>
      <c r="R192" s="27" t="s">
        <v>2734</v>
      </c>
      <c r="S192" s="27" t="s">
        <v>2735</v>
      </c>
      <c r="T192" s="27" t="s">
        <v>2732</v>
      </c>
      <c r="U192" s="27" t="s">
        <v>2733</v>
      </c>
    </row>
    <row r="193" spans="1:21" x14ac:dyDescent="0.25">
      <c r="A193" s="27" t="s">
        <v>762</v>
      </c>
      <c r="B193" s="27" t="str">
        <f t="shared" si="9"/>
        <v>Georgia</v>
      </c>
      <c r="C193" s="27" t="str">
        <f t="shared" si="10"/>
        <v>Crisp</v>
      </c>
      <c r="D193" s="27">
        <v>2707</v>
      </c>
      <c r="E193" s="27">
        <f>'GA post'!L41</f>
        <v>108</v>
      </c>
      <c r="F193" s="97">
        <f>'GA post'!O41</f>
        <v>119.57739194680458</v>
      </c>
      <c r="G193" s="27">
        <v>3647</v>
      </c>
      <c r="H193" s="97">
        <f>'GA post'!Y41</f>
        <v>151.25243383024031</v>
      </c>
      <c r="I193" s="27">
        <v>72626</v>
      </c>
      <c r="J193" s="27">
        <v>30</v>
      </c>
      <c r="K193" s="29">
        <f>'GA post'!AE41</f>
        <v>130300</v>
      </c>
      <c r="L193" s="41">
        <v>1925</v>
      </c>
      <c r="M193" s="4" t="s">
        <v>567</v>
      </c>
      <c r="N193" s="27" t="s">
        <v>2736</v>
      </c>
      <c r="O193" s="27" t="s">
        <v>2736</v>
      </c>
      <c r="P193" s="27" t="s">
        <v>2729</v>
      </c>
      <c r="Q193" s="27" t="s">
        <v>2728</v>
      </c>
      <c r="R193" s="27" t="s">
        <v>2734</v>
      </c>
      <c r="S193" s="27" t="s">
        <v>2735</v>
      </c>
      <c r="T193" s="27" t="s">
        <v>2732</v>
      </c>
      <c r="U193" s="27" t="s">
        <v>2733</v>
      </c>
    </row>
    <row r="194" spans="1:21" x14ac:dyDescent="0.25">
      <c r="A194" s="27" t="s">
        <v>763</v>
      </c>
      <c r="B194" s="27" t="str">
        <f t="shared" ref="B194:B257" si="14">LEFT(A194,FIND(";",A194)-1)</f>
        <v>Georgia</v>
      </c>
      <c r="C194" s="27" t="str">
        <f t="shared" ref="C194:C257" si="15">MID(A194,FIND(";",A194)+1,100)</f>
        <v>Dade</v>
      </c>
      <c r="D194" s="27">
        <v>859</v>
      </c>
      <c r="E194" s="27">
        <f>'GA post'!L42</f>
        <v>29</v>
      </c>
      <c r="F194" s="97">
        <f>'GA post'!O42</f>
        <v>131.17578579743889</v>
      </c>
      <c r="G194" s="27">
        <v>1005</v>
      </c>
      <c r="H194" s="97">
        <f>'GA post'!Y42</f>
        <v>61.588328075709761</v>
      </c>
      <c r="I194" s="27">
        <v>13787</v>
      </c>
      <c r="J194" s="27">
        <v>21</v>
      </c>
      <c r="K194" s="29">
        <f>'GA post'!AE42</f>
        <v>15900</v>
      </c>
      <c r="L194" s="41">
        <v>1925</v>
      </c>
      <c r="M194" s="4" t="s">
        <v>567</v>
      </c>
      <c r="N194" s="27" t="s">
        <v>2737</v>
      </c>
      <c r="O194" s="27" t="s">
        <v>2736</v>
      </c>
      <c r="P194" s="27" t="s">
        <v>2729</v>
      </c>
      <c r="Q194" s="27" t="s">
        <v>2728</v>
      </c>
      <c r="R194" s="27" t="s">
        <v>2734</v>
      </c>
      <c r="S194" s="27" t="s">
        <v>2735</v>
      </c>
      <c r="T194" s="27" t="s">
        <v>2732</v>
      </c>
      <c r="U194" s="27" t="s">
        <v>2733</v>
      </c>
    </row>
    <row r="195" spans="1:21" x14ac:dyDescent="0.25">
      <c r="A195" s="27" t="s">
        <v>764</v>
      </c>
      <c r="B195" s="27" t="str">
        <f t="shared" si="14"/>
        <v>Georgia</v>
      </c>
      <c r="C195" s="27" t="str">
        <f t="shared" si="15"/>
        <v>Dawson</v>
      </c>
      <c r="D195" s="27">
        <v>720</v>
      </c>
      <c r="E195" s="27">
        <f>'GA post'!L43</f>
        <v>33</v>
      </c>
      <c r="F195" s="97">
        <f>'GA post'!O43</f>
        <v>100</v>
      </c>
      <c r="G195" s="27">
        <v>1072</v>
      </c>
      <c r="H195" s="97">
        <f>'GA post'!Y43</f>
        <v>48.848484848484851</v>
      </c>
      <c r="I195" s="27">
        <v>7212</v>
      </c>
      <c r="J195" s="27">
        <v>1</v>
      </c>
      <c r="K195" s="29">
        <f>'GA post'!AE43</f>
        <v>12700</v>
      </c>
      <c r="L195" s="41">
        <v>1925</v>
      </c>
      <c r="M195" s="4" t="s">
        <v>567</v>
      </c>
      <c r="N195" s="27" t="s">
        <v>2737</v>
      </c>
      <c r="O195" s="27" t="s">
        <v>2736</v>
      </c>
      <c r="P195" s="27" t="s">
        <v>2729</v>
      </c>
      <c r="Q195" s="27" t="s">
        <v>2728</v>
      </c>
      <c r="R195" s="27" t="s">
        <v>2734</v>
      </c>
      <c r="S195" s="27" t="s">
        <v>2735</v>
      </c>
      <c r="T195" s="27" t="s">
        <v>2732</v>
      </c>
      <c r="U195" s="27" t="s">
        <v>2733</v>
      </c>
    </row>
    <row r="196" spans="1:21" x14ac:dyDescent="0.25">
      <c r="A196" s="27" t="s">
        <v>765</v>
      </c>
      <c r="B196" s="27" t="str">
        <f t="shared" si="14"/>
        <v>Georgia</v>
      </c>
      <c r="C196" s="27" t="str">
        <f t="shared" si="15"/>
        <v>Decatur</v>
      </c>
      <c r="D196" s="27">
        <v>4182</v>
      </c>
      <c r="E196" s="27">
        <f>'GA post'!L44</f>
        <v>141</v>
      </c>
      <c r="F196" s="97">
        <f>'GA post'!O44</f>
        <v>142.64945002391201</v>
      </c>
      <c r="G196" s="27">
        <v>5740</v>
      </c>
      <c r="H196" s="97">
        <f>'GA post'!Y44</f>
        <v>143.66420233463032</v>
      </c>
      <c r="I196" s="27">
        <v>101110</v>
      </c>
      <c r="J196" s="27">
        <v>89</v>
      </c>
      <c r="K196" s="29">
        <f>'GA post'!AE44</f>
        <v>341800</v>
      </c>
      <c r="L196" s="41">
        <v>1925</v>
      </c>
      <c r="M196" s="4" t="s">
        <v>567</v>
      </c>
      <c r="N196" s="27" t="s">
        <v>2737</v>
      </c>
      <c r="O196" s="27" t="s">
        <v>2736</v>
      </c>
      <c r="P196" s="27" t="s">
        <v>2729</v>
      </c>
      <c r="Q196" s="27" t="s">
        <v>2728</v>
      </c>
      <c r="R196" s="27" t="s">
        <v>2734</v>
      </c>
      <c r="S196" s="27" t="s">
        <v>2735</v>
      </c>
      <c r="T196" s="27" t="s">
        <v>2732</v>
      </c>
      <c r="U196" s="27" t="s">
        <v>2733</v>
      </c>
    </row>
    <row r="197" spans="1:21" x14ac:dyDescent="0.25">
      <c r="A197" s="27" t="s">
        <v>766</v>
      </c>
      <c r="B197" s="27" t="str">
        <f t="shared" si="14"/>
        <v>Georgia</v>
      </c>
      <c r="C197" s="27" t="str">
        <f t="shared" si="15"/>
        <v>DeKalb</v>
      </c>
      <c r="D197" s="27">
        <v>8710</v>
      </c>
      <c r="E197" s="27">
        <f>'GA post'!L45</f>
        <v>240</v>
      </c>
      <c r="F197" s="97">
        <f>'GA post'!O45</f>
        <v>180</v>
      </c>
      <c r="G197" s="27">
        <v>10754</v>
      </c>
      <c r="H197" s="97">
        <f>'GA post'!Y45</f>
        <v>277.21458333333334</v>
      </c>
      <c r="I197" s="27">
        <v>185490</v>
      </c>
      <c r="J197" s="27">
        <v>98</v>
      </c>
      <c r="K197" s="29">
        <f>'GA post'!AE45</f>
        <v>871100</v>
      </c>
      <c r="L197" s="41">
        <v>1925</v>
      </c>
      <c r="M197" s="4" t="s">
        <v>567</v>
      </c>
      <c r="N197" s="27" t="s">
        <v>2737</v>
      </c>
      <c r="O197" s="27" t="s">
        <v>2736</v>
      </c>
      <c r="P197" s="27" t="s">
        <v>2729</v>
      </c>
      <c r="Q197" s="27" t="s">
        <v>2728</v>
      </c>
      <c r="R197" s="27" t="s">
        <v>2734</v>
      </c>
      <c r="S197" s="27" t="s">
        <v>2735</v>
      </c>
      <c r="T197" s="27" t="s">
        <v>2732</v>
      </c>
      <c r="U197" s="27" t="s">
        <v>2733</v>
      </c>
    </row>
    <row r="198" spans="1:21" x14ac:dyDescent="0.25">
      <c r="A198" s="27" t="s">
        <v>767</v>
      </c>
      <c r="B198" s="27" t="str">
        <f t="shared" si="14"/>
        <v>Georgia</v>
      </c>
      <c r="C198" s="27" t="str">
        <f t="shared" si="15"/>
        <v>Dodge</v>
      </c>
      <c r="D198" s="27">
        <v>5789</v>
      </c>
      <c r="E198" s="27">
        <f>'GA post'!L46</f>
        <v>135</v>
      </c>
      <c r="F198" s="97">
        <f>'GA post'!O46</f>
        <v>100</v>
      </c>
      <c r="G198" s="27">
        <v>6760</v>
      </c>
      <c r="H198" s="97">
        <f>'GA post'!Y46</f>
        <v>177.45030303030299</v>
      </c>
      <c r="I198" s="27">
        <v>149251</v>
      </c>
      <c r="J198" s="27">
        <v>24</v>
      </c>
      <c r="K198" s="29">
        <f>'GA post'!AE46</f>
        <v>186800</v>
      </c>
      <c r="L198" s="41">
        <v>1925</v>
      </c>
      <c r="M198" s="4" t="s">
        <v>567</v>
      </c>
      <c r="N198" s="27" t="s">
        <v>2737</v>
      </c>
      <c r="O198" s="27" t="s">
        <v>2736</v>
      </c>
      <c r="P198" s="27" t="s">
        <v>2729</v>
      </c>
      <c r="Q198" s="27" t="s">
        <v>2728</v>
      </c>
      <c r="R198" s="27" t="s">
        <v>2734</v>
      </c>
      <c r="S198" s="27" t="s">
        <v>2735</v>
      </c>
      <c r="T198" s="27" t="s">
        <v>2732</v>
      </c>
      <c r="U198" s="27" t="s">
        <v>2733</v>
      </c>
    </row>
    <row r="199" spans="1:21" x14ac:dyDescent="0.25">
      <c r="A199" s="27" t="s">
        <v>768</v>
      </c>
      <c r="B199" s="27" t="str">
        <f t="shared" si="14"/>
        <v>Georgia</v>
      </c>
      <c r="C199" s="27" t="str">
        <f t="shared" si="15"/>
        <v>Dooly</v>
      </c>
      <c r="D199" s="27">
        <v>2588</v>
      </c>
      <c r="E199" s="27">
        <f>'GA post'!L47</f>
        <v>96</v>
      </c>
      <c r="F199" s="97">
        <f>'GA post'!O47</f>
        <v>148.40030911901081</v>
      </c>
      <c r="G199" s="27">
        <v>4318</v>
      </c>
      <c r="H199" s="97">
        <f>'GA post'!Y47</f>
        <v>92.530319001386957</v>
      </c>
      <c r="I199" s="27">
        <v>62137</v>
      </c>
      <c r="J199" s="27">
        <v>43</v>
      </c>
      <c r="K199" s="29">
        <f>'GA post'!AE47</f>
        <v>61050</v>
      </c>
      <c r="L199" s="41">
        <v>1925</v>
      </c>
      <c r="M199" s="4" t="s">
        <v>567</v>
      </c>
      <c r="N199" s="27" t="s">
        <v>2737</v>
      </c>
      <c r="O199" s="27" t="s">
        <v>2736</v>
      </c>
      <c r="P199" s="27" t="s">
        <v>2729</v>
      </c>
      <c r="Q199" s="27" t="s">
        <v>2728</v>
      </c>
      <c r="R199" s="27" t="s">
        <v>2734</v>
      </c>
      <c r="S199" s="27" t="s">
        <v>2735</v>
      </c>
      <c r="T199" s="27" t="s">
        <v>2732</v>
      </c>
      <c r="U199" s="27" t="s">
        <v>2733</v>
      </c>
    </row>
    <row r="200" spans="1:21" x14ac:dyDescent="0.25">
      <c r="A200" s="27" t="s">
        <v>769</v>
      </c>
      <c r="B200" s="27" t="str">
        <f t="shared" si="14"/>
        <v>Georgia</v>
      </c>
      <c r="C200" s="27" t="str">
        <f t="shared" si="15"/>
        <v>Dougherty</v>
      </c>
      <c r="D200" s="27">
        <v>3265</v>
      </c>
      <c r="E200" s="27">
        <f>'GA post'!L48</f>
        <v>112</v>
      </c>
      <c r="F200" s="97">
        <f>'GA post'!O48</f>
        <v>144.35528330781011</v>
      </c>
      <c r="G200" s="27">
        <v>4153</v>
      </c>
      <c r="H200" s="97">
        <f>'GA post'!Y48</f>
        <v>95.560282837967378</v>
      </c>
      <c r="I200" s="27">
        <v>104469</v>
      </c>
      <c r="J200" s="27">
        <v>29</v>
      </c>
      <c r="K200" s="29">
        <f>'GA post'!AE48</f>
        <v>269000</v>
      </c>
      <c r="L200" s="41">
        <v>1925</v>
      </c>
      <c r="M200" s="4" t="s">
        <v>567</v>
      </c>
      <c r="N200" s="27" t="s">
        <v>2737</v>
      </c>
      <c r="O200" s="27" t="s">
        <v>2736</v>
      </c>
      <c r="P200" s="27" t="s">
        <v>2729</v>
      </c>
      <c r="Q200" s="27" t="s">
        <v>2728</v>
      </c>
      <c r="R200" s="27" t="s">
        <v>2734</v>
      </c>
      <c r="S200" s="27" t="s">
        <v>2735</v>
      </c>
      <c r="T200" s="27" t="s">
        <v>2732</v>
      </c>
      <c r="U200" s="27" t="s">
        <v>2733</v>
      </c>
    </row>
    <row r="201" spans="1:21" x14ac:dyDescent="0.25">
      <c r="A201" s="27" t="s">
        <v>770</v>
      </c>
      <c r="B201" s="27" t="str">
        <f t="shared" si="14"/>
        <v>Georgia</v>
      </c>
      <c r="C201" s="27" t="str">
        <f t="shared" si="15"/>
        <v>Douglas</v>
      </c>
      <c r="D201" s="27">
        <v>1739</v>
      </c>
      <c r="E201" s="27">
        <f>'GA post'!L49</f>
        <v>65</v>
      </c>
      <c r="F201" s="97">
        <f>'GA post'!O49</f>
        <v>171.44335825186889</v>
      </c>
      <c r="G201" s="27">
        <v>2722</v>
      </c>
      <c r="H201" s="97">
        <f>'GA post'!Y49</f>
        <v>73.46714031971581</v>
      </c>
      <c r="I201" s="27">
        <v>39495</v>
      </c>
      <c r="J201" s="27">
        <v>32</v>
      </c>
      <c r="K201" s="29">
        <f>'GA post'!AE49</f>
        <v>86300</v>
      </c>
      <c r="L201" s="41">
        <v>1925</v>
      </c>
      <c r="M201" s="4" t="s">
        <v>567</v>
      </c>
      <c r="N201" s="27" t="s">
        <v>2737</v>
      </c>
      <c r="O201" s="27" t="s">
        <v>2736</v>
      </c>
      <c r="P201" s="27" t="s">
        <v>2729</v>
      </c>
      <c r="Q201" s="27" t="s">
        <v>2728</v>
      </c>
      <c r="R201" s="27" t="s">
        <v>2734</v>
      </c>
      <c r="S201" s="27" t="s">
        <v>2735</v>
      </c>
      <c r="T201" s="27" t="s">
        <v>2732</v>
      </c>
      <c r="U201" s="27" t="s">
        <v>2733</v>
      </c>
    </row>
    <row r="202" spans="1:21" x14ac:dyDescent="0.25">
      <c r="A202" s="27" t="s">
        <v>771</v>
      </c>
      <c r="B202" s="27" t="str">
        <f t="shared" si="14"/>
        <v>Georgia</v>
      </c>
      <c r="C202" s="27" t="str">
        <f t="shared" si="15"/>
        <v>Early</v>
      </c>
      <c r="D202" s="27">
        <v>3057</v>
      </c>
      <c r="E202" s="27">
        <f>'GA post'!L50</f>
        <v>123</v>
      </c>
      <c r="F202" s="97">
        <f>'GA post'!O50</f>
        <v>137.36342819757934</v>
      </c>
      <c r="G202" s="27">
        <v>4830</v>
      </c>
      <c r="H202" s="97">
        <f>'GA post'!Y50</f>
        <v>132.01513387660071</v>
      </c>
      <c r="I202" s="27">
        <v>88776</v>
      </c>
      <c r="J202" s="27">
        <v>23</v>
      </c>
      <c r="K202" s="29">
        <f>'GA post'!AE50</f>
        <v>110000</v>
      </c>
      <c r="L202" s="41">
        <v>1925</v>
      </c>
      <c r="M202" s="4" t="s">
        <v>567</v>
      </c>
      <c r="N202" s="27" t="s">
        <v>2737</v>
      </c>
      <c r="O202" s="27" t="s">
        <v>2736</v>
      </c>
      <c r="P202" s="27" t="s">
        <v>2729</v>
      </c>
      <c r="Q202" s="27" t="s">
        <v>2728</v>
      </c>
      <c r="R202" s="27" t="s">
        <v>2734</v>
      </c>
      <c r="S202" s="27" t="s">
        <v>2735</v>
      </c>
      <c r="T202" s="27" t="s">
        <v>2732</v>
      </c>
      <c r="U202" s="27" t="s">
        <v>2733</v>
      </c>
    </row>
    <row r="203" spans="1:21" x14ac:dyDescent="0.25">
      <c r="A203" s="27" t="s">
        <v>772</v>
      </c>
      <c r="B203" s="27" t="str">
        <f t="shared" si="14"/>
        <v>Georgia</v>
      </c>
      <c r="C203" s="27" t="str">
        <f t="shared" si="15"/>
        <v>Echols</v>
      </c>
      <c r="D203" s="27">
        <v>712</v>
      </c>
      <c r="E203" s="27">
        <f>'GA post'!L51</f>
        <v>30</v>
      </c>
      <c r="F203" s="97">
        <f>'GA post'!O51</f>
        <v>120</v>
      </c>
      <c r="G203" s="27">
        <v>897</v>
      </c>
      <c r="H203" s="97">
        <f>'GA post'!Y51</f>
        <v>69.231388888888887</v>
      </c>
      <c r="I203" s="27">
        <v>18113</v>
      </c>
      <c r="J203" s="27">
        <v>22</v>
      </c>
      <c r="K203" s="29">
        <f>'GA post'!AE51</f>
        <v>13600</v>
      </c>
      <c r="L203" s="41">
        <v>1925</v>
      </c>
      <c r="M203" s="4" t="s">
        <v>567</v>
      </c>
      <c r="N203" s="27" t="s">
        <v>2737</v>
      </c>
      <c r="O203" s="27" t="s">
        <v>2736</v>
      </c>
      <c r="P203" s="27" t="s">
        <v>2729</v>
      </c>
      <c r="Q203" s="27" t="s">
        <v>2728</v>
      </c>
      <c r="R203" s="27" t="s">
        <v>2734</v>
      </c>
      <c r="S203" s="27" t="s">
        <v>2735</v>
      </c>
      <c r="T203" s="27" t="s">
        <v>2732</v>
      </c>
      <c r="U203" s="27" t="s">
        <v>2733</v>
      </c>
    </row>
    <row r="204" spans="1:21" x14ac:dyDescent="0.25">
      <c r="A204" s="27" t="s">
        <v>773</v>
      </c>
      <c r="B204" s="27" t="str">
        <f t="shared" si="14"/>
        <v>Georgia</v>
      </c>
      <c r="C204" s="27" t="str">
        <f t="shared" si="15"/>
        <v>Effingham</v>
      </c>
      <c r="D204" s="27">
        <v>2104</v>
      </c>
      <c r="E204" s="27">
        <f>'GA post'!L52</f>
        <v>95</v>
      </c>
      <c r="F204" s="97">
        <f>'GA post'!O52</f>
        <v>141.38783269961976</v>
      </c>
      <c r="G204" s="27">
        <v>2683</v>
      </c>
      <c r="H204" s="97">
        <f>'GA post'!Y52</f>
        <v>129.65334075723831</v>
      </c>
      <c r="I204" s="27">
        <v>58061</v>
      </c>
      <c r="J204" s="27">
        <v>105</v>
      </c>
      <c r="K204" s="29">
        <f>'GA post'!AE52</f>
        <v>54150</v>
      </c>
      <c r="L204" s="41">
        <v>1925</v>
      </c>
      <c r="M204" s="4" t="s">
        <v>567</v>
      </c>
      <c r="N204" s="27" t="s">
        <v>2737</v>
      </c>
      <c r="O204" s="27" t="s">
        <v>2736</v>
      </c>
      <c r="P204" s="27" t="s">
        <v>2729</v>
      </c>
      <c r="Q204" s="27" t="s">
        <v>2728</v>
      </c>
      <c r="R204" s="27" t="s">
        <v>2734</v>
      </c>
      <c r="S204" s="27" t="s">
        <v>2735</v>
      </c>
      <c r="T204" s="27" t="s">
        <v>2732</v>
      </c>
      <c r="U204" s="27" t="s">
        <v>2733</v>
      </c>
    </row>
    <row r="205" spans="1:21" x14ac:dyDescent="0.25">
      <c r="A205" s="27" t="s">
        <v>774</v>
      </c>
      <c r="B205" s="27" t="str">
        <f t="shared" si="14"/>
        <v>Georgia</v>
      </c>
      <c r="C205" s="27" t="str">
        <f t="shared" si="15"/>
        <v>Elbert</v>
      </c>
      <c r="D205" s="27">
        <v>4707</v>
      </c>
      <c r="E205" s="27">
        <f>'GA post'!L53</f>
        <v>157</v>
      </c>
      <c r="F205" s="97">
        <f>'GA post'!O53</f>
        <v>120</v>
      </c>
      <c r="G205" s="27">
        <v>5335</v>
      </c>
      <c r="H205" s="97">
        <f>'GA post'!Y53</f>
        <v>114.67700636942675</v>
      </c>
      <c r="I205" s="27">
        <v>110473</v>
      </c>
      <c r="J205" s="27">
        <v>81</v>
      </c>
      <c r="K205" s="29">
        <f>'GA post'!AE53</f>
        <v>286000</v>
      </c>
      <c r="L205" s="41">
        <v>1925</v>
      </c>
      <c r="M205" s="4" t="s">
        <v>567</v>
      </c>
      <c r="N205" s="27" t="s">
        <v>2737</v>
      </c>
      <c r="O205" s="27" t="s">
        <v>2736</v>
      </c>
      <c r="P205" s="27" t="s">
        <v>2729</v>
      </c>
      <c r="Q205" s="27" t="s">
        <v>2728</v>
      </c>
      <c r="R205" s="27" t="s">
        <v>2734</v>
      </c>
      <c r="S205" s="27" t="s">
        <v>2735</v>
      </c>
      <c r="T205" s="27" t="s">
        <v>2732</v>
      </c>
      <c r="U205" s="27" t="s">
        <v>2733</v>
      </c>
    </row>
    <row r="206" spans="1:21" x14ac:dyDescent="0.25">
      <c r="A206" s="27" t="s">
        <v>775</v>
      </c>
      <c r="B206" s="27" t="str">
        <f t="shared" si="14"/>
        <v>Georgia</v>
      </c>
      <c r="C206" s="27" t="str">
        <f t="shared" si="15"/>
        <v>Emanuel</v>
      </c>
      <c r="D206" s="27">
        <v>4785</v>
      </c>
      <c r="E206" s="27">
        <f>'GA post'!L54</f>
        <v>186</v>
      </c>
      <c r="F206" s="97">
        <f>'GA post'!O54</f>
        <v>143.26337880377756</v>
      </c>
      <c r="G206" s="27">
        <v>7208</v>
      </c>
      <c r="H206" s="97">
        <f>'GA post'!Y54</f>
        <v>58.485682492581603</v>
      </c>
      <c r="I206" s="27">
        <v>76703</v>
      </c>
      <c r="J206" s="27">
        <v>23</v>
      </c>
      <c r="K206" s="29">
        <f>'GA post'!AE54</f>
        <v>130000</v>
      </c>
      <c r="L206" s="41">
        <v>1925</v>
      </c>
      <c r="M206" s="4" t="s">
        <v>567</v>
      </c>
      <c r="N206" s="27" t="s">
        <v>2737</v>
      </c>
      <c r="O206" s="27" t="s">
        <v>2736</v>
      </c>
      <c r="P206" s="27" t="s">
        <v>2729</v>
      </c>
      <c r="Q206" s="27" t="s">
        <v>2728</v>
      </c>
      <c r="R206" s="27" t="s">
        <v>2734</v>
      </c>
      <c r="S206" s="27" t="s">
        <v>2735</v>
      </c>
      <c r="T206" s="27" t="s">
        <v>2732</v>
      </c>
      <c r="U206" s="27" t="s">
        <v>2733</v>
      </c>
    </row>
    <row r="207" spans="1:21" x14ac:dyDescent="0.25">
      <c r="A207" s="27" t="s">
        <v>776</v>
      </c>
      <c r="B207" s="27" t="str">
        <f t="shared" si="14"/>
        <v>Georgia</v>
      </c>
      <c r="C207" s="27" t="str">
        <f t="shared" si="15"/>
        <v>Evans</v>
      </c>
      <c r="D207" s="27">
        <v>1306</v>
      </c>
      <c r="E207" s="27">
        <f>'GA post'!L55</f>
        <v>56</v>
      </c>
      <c r="F207" s="97">
        <f>'GA post'!O55</f>
        <v>142.53445635528331</v>
      </c>
      <c r="G207" s="27">
        <v>1932</v>
      </c>
      <c r="H207" s="97">
        <f>'GA post'!Y55</f>
        <v>62.506766169154226</v>
      </c>
      <c r="I207" s="27">
        <v>43514</v>
      </c>
      <c r="J207" s="27">
        <v>40</v>
      </c>
      <c r="K207" s="29">
        <f>'GA post'!AE55</f>
        <v>87800</v>
      </c>
      <c r="L207" s="41">
        <v>1925</v>
      </c>
      <c r="M207" s="4" t="s">
        <v>567</v>
      </c>
      <c r="N207" s="27" t="s">
        <v>2737</v>
      </c>
      <c r="O207" s="27" t="s">
        <v>2736</v>
      </c>
      <c r="P207" s="27" t="s">
        <v>2729</v>
      </c>
      <c r="Q207" s="27" t="s">
        <v>2728</v>
      </c>
      <c r="R207" s="27" t="s">
        <v>2734</v>
      </c>
      <c r="S207" s="27" t="s">
        <v>2735</v>
      </c>
      <c r="T207" s="27" t="s">
        <v>2732</v>
      </c>
      <c r="U207" s="27" t="s">
        <v>2733</v>
      </c>
    </row>
    <row r="208" spans="1:21" x14ac:dyDescent="0.25">
      <c r="A208" s="27" t="s">
        <v>777</v>
      </c>
      <c r="B208" s="27" t="str">
        <f t="shared" si="14"/>
        <v>Georgia</v>
      </c>
      <c r="C208" s="27" t="str">
        <f t="shared" si="15"/>
        <v>Fannin</v>
      </c>
      <c r="D208" s="27">
        <v>2294</v>
      </c>
      <c r="E208" s="27">
        <f>'GA post'!L56</f>
        <v>73</v>
      </c>
      <c r="F208" s="97">
        <f>'GA post'!O56</f>
        <v>115</v>
      </c>
      <c r="G208" s="27">
        <v>3266</v>
      </c>
      <c r="H208" s="97">
        <f>'GA post'!Y56</f>
        <v>39.893698630136988</v>
      </c>
      <c r="I208" s="27">
        <v>23115</v>
      </c>
      <c r="J208" s="27">
        <v>1</v>
      </c>
      <c r="K208" s="29">
        <f>'GA post'!AE56</f>
        <v>116800</v>
      </c>
      <c r="L208" s="41">
        <v>1925</v>
      </c>
      <c r="M208" s="4" t="s">
        <v>567</v>
      </c>
      <c r="N208" s="27" t="s">
        <v>2737</v>
      </c>
      <c r="O208" s="27" t="s">
        <v>2736</v>
      </c>
      <c r="P208" s="27" t="s">
        <v>2729</v>
      </c>
      <c r="Q208" s="27" t="s">
        <v>2728</v>
      </c>
      <c r="R208" s="27" t="s">
        <v>2734</v>
      </c>
      <c r="S208" s="27" t="s">
        <v>2735</v>
      </c>
      <c r="T208" s="27" t="s">
        <v>2732</v>
      </c>
      <c r="U208" s="27" t="s">
        <v>2733</v>
      </c>
    </row>
    <row r="209" spans="1:21" x14ac:dyDescent="0.25">
      <c r="A209" s="27" t="s">
        <v>778</v>
      </c>
      <c r="B209" s="27" t="str">
        <f t="shared" si="14"/>
        <v>Georgia</v>
      </c>
      <c r="C209" s="27" t="str">
        <f t="shared" si="15"/>
        <v>Fayette</v>
      </c>
      <c r="D209" s="27">
        <v>1798</v>
      </c>
      <c r="E209" s="27">
        <f>'GA post'!L57</f>
        <v>64</v>
      </c>
      <c r="F209" s="97">
        <f>'GA post'!O57</f>
        <v>146.25139043381535</v>
      </c>
      <c r="G209" s="27">
        <v>2601</v>
      </c>
      <c r="H209" s="97">
        <f>'GA post'!Y57</f>
        <v>67.262723404255311</v>
      </c>
      <c r="I209" s="27">
        <v>41892</v>
      </c>
      <c r="J209" s="27">
        <v>65</v>
      </c>
      <c r="K209" s="29">
        <f>'GA post'!AE57</f>
        <v>52500</v>
      </c>
      <c r="L209" s="41">
        <v>1925</v>
      </c>
      <c r="M209" s="4" t="s">
        <v>567</v>
      </c>
      <c r="N209" s="27" t="s">
        <v>2737</v>
      </c>
      <c r="O209" s="27" t="s">
        <v>2736</v>
      </c>
      <c r="P209" s="27" t="s">
        <v>2729</v>
      </c>
      <c r="Q209" s="27" t="s">
        <v>2728</v>
      </c>
      <c r="R209" s="27" t="s">
        <v>2734</v>
      </c>
      <c r="S209" s="27" t="s">
        <v>2735</v>
      </c>
      <c r="T209" s="27" t="s">
        <v>2732</v>
      </c>
      <c r="U209" s="27" t="s">
        <v>2733</v>
      </c>
    </row>
    <row r="210" spans="1:21" x14ac:dyDescent="0.25">
      <c r="A210" s="27" t="s">
        <v>779</v>
      </c>
      <c r="B210" s="27" t="str">
        <f t="shared" si="14"/>
        <v>Georgia</v>
      </c>
      <c r="C210" s="27" t="str">
        <f t="shared" si="15"/>
        <v>Floyd</v>
      </c>
      <c r="D210" s="27">
        <v>6739</v>
      </c>
      <c r="E210" s="27">
        <f>'GA post'!L58</f>
        <v>224</v>
      </c>
      <c r="F210" s="97"/>
      <c r="G210" s="27">
        <v>7750</v>
      </c>
      <c r="H210" s="97"/>
      <c r="I210" s="27">
        <v>205001</v>
      </c>
      <c r="J210" s="27">
        <v>46</v>
      </c>
      <c r="K210" s="29">
        <f>'GA post'!AE58</f>
        <v>358500</v>
      </c>
      <c r="L210" s="41">
        <v>1925</v>
      </c>
      <c r="M210" s="4" t="s">
        <v>567</v>
      </c>
      <c r="N210" s="27" t="s">
        <v>2737</v>
      </c>
      <c r="O210" s="27" t="s">
        <v>2736</v>
      </c>
      <c r="P210" s="27" t="s">
        <v>2729</v>
      </c>
      <c r="Q210" s="27" t="s">
        <v>2728</v>
      </c>
      <c r="R210" s="27" t="s">
        <v>2734</v>
      </c>
      <c r="S210" s="27" t="s">
        <v>2735</v>
      </c>
      <c r="T210" s="27" t="s">
        <v>2732</v>
      </c>
      <c r="U210" s="27" t="s">
        <v>2733</v>
      </c>
    </row>
    <row r="211" spans="1:21" x14ac:dyDescent="0.25">
      <c r="A211" s="27" t="s">
        <v>780</v>
      </c>
      <c r="B211" s="27" t="str">
        <f t="shared" si="14"/>
        <v>Georgia</v>
      </c>
      <c r="C211" s="27" t="str">
        <f t="shared" si="15"/>
        <v>Forsyth</v>
      </c>
      <c r="D211" s="27">
        <v>1520</v>
      </c>
      <c r="E211" s="27">
        <f>'GA post'!L59</f>
        <v>81</v>
      </c>
      <c r="F211" s="97">
        <f>'GA post'!O59</f>
        <v>120</v>
      </c>
      <c r="G211" s="27">
        <v>3379</v>
      </c>
      <c r="H211" s="97">
        <f>'GA post'!Y59</f>
        <v>47.839506172839499</v>
      </c>
      <c r="I211" s="27">
        <v>25605</v>
      </c>
      <c r="J211" s="27">
        <v>5</v>
      </c>
      <c r="K211" s="29">
        <f>'GA post'!AE59</f>
        <v>46500</v>
      </c>
      <c r="L211" s="41">
        <v>1925</v>
      </c>
      <c r="M211" s="4" t="s">
        <v>567</v>
      </c>
      <c r="N211" s="27" t="s">
        <v>2737</v>
      </c>
      <c r="O211" s="27" t="s">
        <v>2736</v>
      </c>
      <c r="P211" s="27" t="s">
        <v>2738</v>
      </c>
      <c r="Q211" s="27" t="s">
        <v>2739</v>
      </c>
      <c r="R211" s="27" t="s">
        <v>2734</v>
      </c>
      <c r="S211" s="27" t="s">
        <v>2735</v>
      </c>
      <c r="T211" s="27" t="s">
        <v>2732</v>
      </c>
      <c r="U211" s="27" t="s">
        <v>2733</v>
      </c>
    </row>
    <row r="212" spans="1:21" x14ac:dyDescent="0.25">
      <c r="A212" s="27" t="s">
        <v>781</v>
      </c>
      <c r="B212" s="27" t="str">
        <f t="shared" si="14"/>
        <v>Georgia</v>
      </c>
      <c r="C212" s="27" t="str">
        <f t="shared" si="15"/>
        <v>Franklin</v>
      </c>
      <c r="D212" s="27">
        <v>5202</v>
      </c>
      <c r="E212" s="27">
        <f>'GA post'!L60</f>
        <v>130</v>
      </c>
      <c r="F212" s="97">
        <f>'GA post'!O60</f>
        <v>120</v>
      </c>
      <c r="G212" s="27">
        <v>5952</v>
      </c>
      <c r="H212" s="97">
        <f>'GA post'!Y60</f>
        <v>368.75005128205129</v>
      </c>
      <c r="I212" s="27">
        <v>88207</v>
      </c>
      <c r="J212" s="27">
        <v>60</v>
      </c>
      <c r="K212" s="29">
        <f>'GA post'!AE60</f>
        <v>213200</v>
      </c>
      <c r="L212" s="41">
        <v>1925</v>
      </c>
      <c r="M212" s="4" t="s">
        <v>567</v>
      </c>
      <c r="N212" s="27" t="s">
        <v>2737</v>
      </c>
      <c r="O212" s="27" t="s">
        <v>2736</v>
      </c>
      <c r="P212" s="27" t="s">
        <v>2738</v>
      </c>
      <c r="Q212" s="27" t="s">
        <v>2739</v>
      </c>
      <c r="R212" s="27" t="s">
        <v>2734</v>
      </c>
      <c r="S212" s="27" t="s">
        <v>2735</v>
      </c>
      <c r="T212" s="27" t="s">
        <v>2732</v>
      </c>
      <c r="U212" s="27" t="s">
        <v>2733</v>
      </c>
    </row>
    <row r="213" spans="1:21" x14ac:dyDescent="0.25">
      <c r="A213" s="27" t="s">
        <v>782</v>
      </c>
      <c r="B213" s="27" t="str">
        <f t="shared" si="14"/>
        <v>Georgia</v>
      </c>
      <c r="C213" s="27" t="str">
        <f t="shared" si="15"/>
        <v>Fulton</v>
      </c>
      <c r="D213" s="27">
        <v>53210</v>
      </c>
      <c r="E213" s="27">
        <f>'GA post'!L61</f>
        <v>1233</v>
      </c>
      <c r="F213" s="97">
        <f>'GA post'!O61</f>
        <v>180</v>
      </c>
      <c r="G213" s="27">
        <v>58392</v>
      </c>
      <c r="H213" s="97">
        <f>'GA post'!Y61</f>
        <v>422.24055420383888</v>
      </c>
      <c r="I213" s="27">
        <v>4091437</v>
      </c>
      <c r="J213" s="27">
        <v>125</v>
      </c>
      <c r="K213" s="29">
        <f>'GA post'!AE61</f>
        <v>7366210</v>
      </c>
      <c r="L213" s="41">
        <v>1925</v>
      </c>
      <c r="M213" s="4" t="s">
        <v>567</v>
      </c>
      <c r="N213" s="27" t="s">
        <v>2737</v>
      </c>
      <c r="O213" s="27" t="s">
        <v>2736</v>
      </c>
      <c r="P213" s="27" t="s">
        <v>2740</v>
      </c>
      <c r="Q213" s="27" t="s">
        <v>2739</v>
      </c>
      <c r="R213" s="27" t="s">
        <v>2741</v>
      </c>
      <c r="S213" s="27" t="s">
        <v>2742</v>
      </c>
      <c r="T213" s="27" t="s">
        <v>2743</v>
      </c>
      <c r="U213" s="27" t="s">
        <v>2744</v>
      </c>
    </row>
    <row r="214" spans="1:21" x14ac:dyDescent="0.25">
      <c r="A214" s="27" t="s">
        <v>783</v>
      </c>
      <c r="B214" s="27" t="str">
        <f t="shared" si="14"/>
        <v>Georgia</v>
      </c>
      <c r="C214" s="27" t="str">
        <f t="shared" si="15"/>
        <v>Gilmer</v>
      </c>
      <c r="D214" s="27">
        <v>2406</v>
      </c>
      <c r="E214" s="27">
        <f>'GA post'!L62</f>
        <v>71</v>
      </c>
      <c r="F214" s="97">
        <f>'GA post'!O62</f>
        <v>44</v>
      </c>
      <c r="G214" s="27">
        <v>2864</v>
      </c>
      <c r="H214" s="97">
        <f>'GA post'!Y62</f>
        <v>46.737662337662336</v>
      </c>
      <c r="I214" s="27">
        <v>20286</v>
      </c>
      <c r="J214" s="27">
        <v>48</v>
      </c>
      <c r="K214" s="29">
        <f>'GA post'!AE62</f>
        <v>49200</v>
      </c>
      <c r="L214" s="41">
        <v>1925</v>
      </c>
      <c r="M214" s="4" t="s">
        <v>567</v>
      </c>
      <c r="N214" s="27" t="s">
        <v>2737</v>
      </c>
      <c r="O214" s="27" t="s">
        <v>2736</v>
      </c>
      <c r="P214" s="27" t="s">
        <v>2740</v>
      </c>
      <c r="Q214" s="27" t="s">
        <v>2739</v>
      </c>
      <c r="R214" s="27" t="s">
        <v>2745</v>
      </c>
      <c r="S214" s="27" t="s">
        <v>2746</v>
      </c>
      <c r="T214" s="27" t="s">
        <v>2743</v>
      </c>
      <c r="U214" s="27" t="s">
        <v>2744</v>
      </c>
    </row>
    <row r="215" spans="1:21" x14ac:dyDescent="0.25">
      <c r="A215" s="27" t="s">
        <v>784</v>
      </c>
      <c r="B215" s="27" t="str">
        <f t="shared" si="14"/>
        <v>Georgia</v>
      </c>
      <c r="C215" s="27" t="str">
        <f t="shared" si="15"/>
        <v>Glascock</v>
      </c>
      <c r="D215" s="27">
        <v>900</v>
      </c>
      <c r="E215" s="27">
        <f>'GA post'!L63</f>
        <v>29</v>
      </c>
      <c r="F215" s="97">
        <f>'GA post'!O63</f>
        <v>120</v>
      </c>
      <c r="G215" s="27">
        <v>1176</v>
      </c>
      <c r="H215" s="97">
        <f>'GA post'!Y63</f>
        <v>67.078125</v>
      </c>
      <c r="I215" s="27">
        <v>19440</v>
      </c>
      <c r="J215" s="27">
        <v>14</v>
      </c>
      <c r="K215" s="29">
        <f>'GA post'!AE63</f>
        <v>33000</v>
      </c>
      <c r="L215" s="41">
        <v>1925</v>
      </c>
      <c r="M215" s="4" t="s">
        <v>567</v>
      </c>
      <c r="N215" s="27" t="s">
        <v>2737</v>
      </c>
      <c r="O215" s="27" t="s">
        <v>2736</v>
      </c>
      <c r="P215" s="27" t="s">
        <v>2740</v>
      </c>
      <c r="Q215" s="27" t="s">
        <v>2739</v>
      </c>
      <c r="R215" s="27" t="s">
        <v>2745</v>
      </c>
      <c r="S215" s="27" t="s">
        <v>2746</v>
      </c>
      <c r="T215" s="27" t="s">
        <v>2743</v>
      </c>
      <c r="U215" s="27" t="s">
        <v>2744</v>
      </c>
    </row>
    <row r="216" spans="1:21" x14ac:dyDescent="0.25">
      <c r="A216" s="27" t="s">
        <v>785</v>
      </c>
      <c r="B216" s="27" t="str">
        <f t="shared" si="14"/>
        <v>Georgia</v>
      </c>
      <c r="C216" s="27" t="str">
        <f t="shared" si="15"/>
        <v>Glynn</v>
      </c>
      <c r="D216" s="27">
        <v>2412</v>
      </c>
      <c r="E216" s="27">
        <f>'GA post'!L64</f>
        <v>89</v>
      </c>
      <c r="F216" s="97">
        <f>'GA post'!O64</f>
        <v>180</v>
      </c>
      <c r="G216" s="27">
        <v>3167</v>
      </c>
      <c r="H216" s="97">
        <f>'GA post'!Y64</f>
        <v>84.610948813982517</v>
      </c>
      <c r="I216" s="27">
        <v>112177</v>
      </c>
      <c r="J216" s="27">
        <v>24</v>
      </c>
      <c r="K216" s="29">
        <f>'GA post'!AE64</f>
        <v>351500</v>
      </c>
      <c r="L216" s="41">
        <v>1925</v>
      </c>
      <c r="M216" s="4" t="s">
        <v>567</v>
      </c>
      <c r="N216" s="27" t="s">
        <v>2737</v>
      </c>
      <c r="O216" s="27" t="s">
        <v>2736</v>
      </c>
      <c r="P216" s="27" t="s">
        <v>2740</v>
      </c>
      <c r="Q216" s="27" t="s">
        <v>2739</v>
      </c>
      <c r="R216" s="27" t="s">
        <v>2745</v>
      </c>
      <c r="S216" s="27" t="s">
        <v>2746</v>
      </c>
      <c r="T216" s="27" t="s">
        <v>2743</v>
      </c>
      <c r="U216" s="27" t="s">
        <v>2744</v>
      </c>
    </row>
    <row r="217" spans="1:21" x14ac:dyDescent="0.25">
      <c r="A217" s="27" t="s">
        <v>786</v>
      </c>
      <c r="B217" s="27" t="str">
        <f t="shared" si="14"/>
        <v>Georgia</v>
      </c>
      <c r="C217" s="27" t="str">
        <f t="shared" si="15"/>
        <v>Gordon</v>
      </c>
      <c r="D217" s="27">
        <v>3265</v>
      </c>
      <c r="E217" s="27">
        <f>'GA post'!L65</f>
        <v>97</v>
      </c>
      <c r="F217" s="97">
        <f>'GA post'!O65</f>
        <v>120</v>
      </c>
      <c r="G217" s="27">
        <v>3643</v>
      </c>
      <c r="H217" s="97">
        <f>'GA post'!Y65</f>
        <v>52.8487972508591</v>
      </c>
      <c r="I217" s="27">
        <v>63083</v>
      </c>
      <c r="J217" s="27">
        <v>56</v>
      </c>
      <c r="K217" s="29">
        <f>'GA post'!AE65</f>
        <v>124500</v>
      </c>
      <c r="L217" s="41">
        <v>1925</v>
      </c>
      <c r="M217" s="4" t="s">
        <v>567</v>
      </c>
      <c r="N217" s="27" t="s">
        <v>2737</v>
      </c>
      <c r="O217" s="27" t="s">
        <v>2736</v>
      </c>
      <c r="P217" s="27" t="s">
        <v>2740</v>
      </c>
      <c r="Q217" s="27" t="s">
        <v>2739</v>
      </c>
      <c r="R217" s="27" t="s">
        <v>2745</v>
      </c>
      <c r="S217" s="27" t="s">
        <v>2746</v>
      </c>
      <c r="T217" s="27" t="s">
        <v>2743</v>
      </c>
      <c r="U217" s="27" t="s">
        <v>2744</v>
      </c>
    </row>
    <row r="218" spans="1:21" x14ac:dyDescent="0.25">
      <c r="A218" s="27" t="s">
        <v>787</v>
      </c>
      <c r="B218" s="27" t="str">
        <f t="shared" si="14"/>
        <v>Georgia</v>
      </c>
      <c r="C218" s="27" t="str">
        <f t="shared" si="15"/>
        <v>Grady</v>
      </c>
      <c r="D218" s="27">
        <v>4600</v>
      </c>
      <c r="E218" s="27">
        <f>'GA post'!L66</f>
        <v>126</v>
      </c>
      <c r="F218" s="97">
        <f>'GA post'!O66</f>
        <v>120</v>
      </c>
      <c r="G218" s="27">
        <v>5481</v>
      </c>
      <c r="H218" s="97">
        <f>'GA post'!Y66</f>
        <v>94.144232804232828</v>
      </c>
      <c r="I218" s="27">
        <v>77031</v>
      </c>
      <c r="J218" s="27">
        <v>73</v>
      </c>
      <c r="K218" s="29">
        <f>'GA post'!AE66</f>
        <v>134100</v>
      </c>
      <c r="L218" s="41">
        <v>1925</v>
      </c>
      <c r="M218" s="4" t="s">
        <v>567</v>
      </c>
      <c r="N218" s="27" t="s">
        <v>2737</v>
      </c>
      <c r="O218" s="27" t="s">
        <v>2736</v>
      </c>
      <c r="P218" s="27" t="s">
        <v>2740</v>
      </c>
      <c r="Q218" s="27" t="s">
        <v>2739</v>
      </c>
      <c r="R218" s="27" t="s">
        <v>2745</v>
      </c>
      <c r="S218" s="27" t="s">
        <v>2746</v>
      </c>
      <c r="T218" s="27" t="s">
        <v>2743</v>
      </c>
      <c r="U218" s="27" t="s">
        <v>2744</v>
      </c>
    </row>
    <row r="219" spans="1:21" x14ac:dyDescent="0.25">
      <c r="A219" s="27" t="s">
        <v>788</v>
      </c>
      <c r="B219" s="27" t="str">
        <f t="shared" si="14"/>
        <v>Georgia</v>
      </c>
      <c r="C219" s="27" t="str">
        <f t="shared" si="15"/>
        <v>Greene</v>
      </c>
      <c r="D219" s="27">
        <v>2802</v>
      </c>
      <c r="E219" s="27">
        <f>'GA post'!L67</f>
        <v>107</v>
      </c>
      <c r="F219" s="97">
        <f>'GA post'!O67</f>
        <v>131.10635260528196</v>
      </c>
      <c r="G219" s="27">
        <v>3946</v>
      </c>
      <c r="H219" s="97">
        <f>'GA post'!Y67</f>
        <v>115.57134943181818</v>
      </c>
      <c r="I219" s="27">
        <v>60437</v>
      </c>
      <c r="J219" s="27">
        <v>65</v>
      </c>
      <c r="K219" s="29">
        <f>'GA post'!AE67</f>
        <v>105500</v>
      </c>
      <c r="L219" s="41">
        <v>1925</v>
      </c>
      <c r="M219" s="4" t="s">
        <v>567</v>
      </c>
      <c r="N219" s="27" t="s">
        <v>2737</v>
      </c>
      <c r="O219" s="27" t="s">
        <v>2736</v>
      </c>
      <c r="P219" s="27" t="s">
        <v>2740</v>
      </c>
      <c r="Q219" s="27" t="s">
        <v>2739</v>
      </c>
      <c r="R219" s="27" t="s">
        <v>2745</v>
      </c>
      <c r="S219" s="27" t="s">
        <v>2746</v>
      </c>
      <c r="T219" s="27" t="s">
        <v>2743</v>
      </c>
      <c r="U219" s="27" t="s">
        <v>2744</v>
      </c>
    </row>
    <row r="220" spans="1:21" x14ac:dyDescent="0.25">
      <c r="A220" s="27" t="s">
        <v>789</v>
      </c>
      <c r="B220" s="27" t="str">
        <f t="shared" si="14"/>
        <v>Georgia</v>
      </c>
      <c r="C220" s="27" t="str">
        <f t="shared" si="15"/>
        <v>Gwinnett</v>
      </c>
      <c r="D220" s="27">
        <v>5283</v>
      </c>
      <c r="E220" s="27">
        <f>'GA post'!L68</f>
        <v>213</v>
      </c>
      <c r="F220" s="97">
        <f>'GA post'!O68</f>
        <v>143.90781752791975</v>
      </c>
      <c r="G220" s="27">
        <v>6783</v>
      </c>
      <c r="H220" s="97">
        <f>'GA post'!Y68</f>
        <v>185.68713327882261</v>
      </c>
      <c r="I220" s="27">
        <v>148898</v>
      </c>
      <c r="J220" s="27">
        <v>85</v>
      </c>
      <c r="K220" s="29">
        <f>'GA post'!AE68</f>
        <v>217600</v>
      </c>
      <c r="L220" s="41">
        <v>1925</v>
      </c>
      <c r="M220" s="4" t="s">
        <v>567</v>
      </c>
      <c r="N220" s="27" t="s">
        <v>2737</v>
      </c>
      <c r="O220" s="27" t="s">
        <v>2736</v>
      </c>
      <c r="P220" s="27" t="s">
        <v>2740</v>
      </c>
      <c r="Q220" s="27" t="s">
        <v>2739</v>
      </c>
      <c r="R220" s="27" t="s">
        <v>2745</v>
      </c>
      <c r="S220" s="27" t="s">
        <v>2746</v>
      </c>
      <c r="T220" s="27" t="s">
        <v>2743</v>
      </c>
      <c r="U220" s="27" t="s">
        <v>2744</v>
      </c>
    </row>
    <row r="221" spans="1:21" x14ac:dyDescent="0.25">
      <c r="A221" s="27" t="s">
        <v>790</v>
      </c>
      <c r="B221" s="27" t="str">
        <f t="shared" si="14"/>
        <v>Georgia</v>
      </c>
      <c r="C221" s="27" t="str">
        <f t="shared" si="15"/>
        <v>Habersham</v>
      </c>
      <c r="D221" s="27">
        <v>2194</v>
      </c>
      <c r="E221" s="27">
        <f>'GA post'!L69</f>
        <v>113</v>
      </c>
      <c r="F221" s="97">
        <f>'GA post'!O69</f>
        <v>120</v>
      </c>
      <c r="G221" s="27">
        <v>3721</v>
      </c>
      <c r="H221" s="97">
        <f>'GA post'!Y69</f>
        <v>68.960235988200594</v>
      </c>
      <c r="I221" s="27">
        <v>65291</v>
      </c>
      <c r="J221" s="27">
        <v>37</v>
      </c>
      <c r="K221" s="29">
        <f>'GA post'!AE69</f>
        <v>93000</v>
      </c>
      <c r="L221" s="41">
        <v>1925</v>
      </c>
      <c r="M221" s="4" t="s">
        <v>567</v>
      </c>
      <c r="N221" s="27" t="s">
        <v>2737</v>
      </c>
      <c r="O221" s="27" t="s">
        <v>2736</v>
      </c>
      <c r="P221" s="27" t="s">
        <v>2740</v>
      </c>
      <c r="Q221" s="27" t="s">
        <v>2739</v>
      </c>
      <c r="R221" s="27" t="s">
        <v>2745</v>
      </c>
      <c r="S221" s="27" t="s">
        <v>2746</v>
      </c>
      <c r="T221" s="27" t="s">
        <v>2743</v>
      </c>
      <c r="U221" s="27" t="s">
        <v>2744</v>
      </c>
    </row>
    <row r="222" spans="1:21" x14ac:dyDescent="0.25">
      <c r="A222" s="27" t="s">
        <v>791</v>
      </c>
      <c r="B222" s="27" t="str">
        <f t="shared" si="14"/>
        <v>Georgia</v>
      </c>
      <c r="C222" s="27" t="str">
        <f t="shared" si="15"/>
        <v>Hall</v>
      </c>
      <c r="D222" s="27">
        <v>4582</v>
      </c>
      <c r="E222" s="27">
        <f>'GA post'!L70</f>
        <v>177</v>
      </c>
      <c r="F222" s="97">
        <f>'GA post'!O70</f>
        <v>155.4663320786282</v>
      </c>
      <c r="G222" s="27">
        <v>7921</v>
      </c>
      <c r="H222" s="97">
        <f>'GA post'!Y70</f>
        <v>127.72717391304349</v>
      </c>
      <c r="I222" s="27">
        <v>163597</v>
      </c>
      <c r="J222" s="27">
        <v>21</v>
      </c>
      <c r="K222" s="29">
        <f>'GA post'!AE70</f>
        <v>527597</v>
      </c>
      <c r="L222" s="41">
        <v>1925</v>
      </c>
      <c r="M222" s="4" t="s">
        <v>567</v>
      </c>
      <c r="N222" s="27" t="s">
        <v>2737</v>
      </c>
      <c r="O222" s="27" t="s">
        <v>2736</v>
      </c>
      <c r="P222" s="27" t="s">
        <v>2740</v>
      </c>
      <c r="Q222" s="27" t="s">
        <v>2739</v>
      </c>
      <c r="R222" s="27" t="s">
        <v>2745</v>
      </c>
      <c r="S222" s="27" t="s">
        <v>2746</v>
      </c>
      <c r="T222" s="27" t="s">
        <v>2743</v>
      </c>
      <c r="U222" s="27" t="s">
        <v>2744</v>
      </c>
    </row>
    <row r="223" spans="1:21" x14ac:dyDescent="0.25">
      <c r="A223" s="27" t="s">
        <v>792</v>
      </c>
      <c r="B223" s="27" t="str">
        <f t="shared" si="14"/>
        <v>Georgia</v>
      </c>
      <c r="C223" s="27" t="str">
        <f t="shared" si="15"/>
        <v>Hancock</v>
      </c>
      <c r="D223" s="27">
        <v>925</v>
      </c>
      <c r="E223" s="27">
        <f>'GA post'!L71</f>
        <v>73</v>
      </c>
      <c r="F223" s="97">
        <f>'GA post'!O71</f>
        <v>160</v>
      </c>
      <c r="G223" s="27">
        <v>3150</v>
      </c>
      <c r="H223" s="97">
        <f>'GA post'!Y71</f>
        <v>44.875291095890411</v>
      </c>
      <c r="I223" s="27">
        <v>58460</v>
      </c>
      <c r="J223" s="27">
        <v>63</v>
      </c>
      <c r="K223" s="29">
        <f>'GA post'!AE71</f>
        <v>159500</v>
      </c>
      <c r="L223" s="41">
        <v>1925</v>
      </c>
      <c r="M223" s="4" t="s">
        <v>567</v>
      </c>
      <c r="N223" s="27" t="s">
        <v>2737</v>
      </c>
      <c r="O223" s="27" t="s">
        <v>2736</v>
      </c>
      <c r="P223" s="27" t="s">
        <v>2740</v>
      </c>
      <c r="Q223" s="27" t="s">
        <v>2739</v>
      </c>
      <c r="R223" s="27" t="s">
        <v>2745</v>
      </c>
      <c r="S223" s="27" t="s">
        <v>2746</v>
      </c>
      <c r="T223" s="27" t="s">
        <v>2743</v>
      </c>
      <c r="U223" s="27" t="s">
        <v>2744</v>
      </c>
    </row>
    <row r="224" spans="1:21" x14ac:dyDescent="0.25">
      <c r="A224" s="27" t="s">
        <v>793</v>
      </c>
      <c r="B224" s="27" t="str">
        <f t="shared" si="14"/>
        <v>Georgia</v>
      </c>
      <c r="C224" s="27" t="str">
        <f t="shared" si="15"/>
        <v>Haralson</v>
      </c>
      <c r="D224" s="27">
        <v>2966</v>
      </c>
      <c r="E224" s="27">
        <f>'GA post'!L72</f>
        <v>119</v>
      </c>
      <c r="F224" s="97">
        <f>'GA post'!O72</f>
        <v>120</v>
      </c>
      <c r="G224" s="27">
        <v>4255</v>
      </c>
      <c r="H224" s="97">
        <f>'GA post'!Y72</f>
        <v>68.630252100840337</v>
      </c>
      <c r="I224" s="27">
        <v>59840</v>
      </c>
      <c r="J224" s="27">
        <v>38</v>
      </c>
      <c r="K224" s="29">
        <f>'GA post'!AE72</f>
        <v>181500</v>
      </c>
      <c r="L224" s="41">
        <v>1925</v>
      </c>
      <c r="M224" s="4" t="s">
        <v>567</v>
      </c>
      <c r="N224" s="27" t="s">
        <v>2737</v>
      </c>
      <c r="O224" s="27" t="s">
        <v>2736</v>
      </c>
      <c r="P224" s="27" t="s">
        <v>2740</v>
      </c>
      <c r="Q224" s="27" t="s">
        <v>2739</v>
      </c>
      <c r="R224" s="27" t="s">
        <v>2745</v>
      </c>
      <c r="S224" s="27" t="s">
        <v>2746</v>
      </c>
      <c r="T224" s="27" t="s">
        <v>2743</v>
      </c>
      <c r="U224" s="27" t="s">
        <v>2744</v>
      </c>
    </row>
    <row r="225" spans="1:21" x14ac:dyDescent="0.25">
      <c r="A225" s="27" t="s">
        <v>794</v>
      </c>
      <c r="B225" s="27" t="str">
        <f t="shared" si="14"/>
        <v>Georgia</v>
      </c>
      <c r="C225" s="27" t="str">
        <f t="shared" si="15"/>
        <v>Harris</v>
      </c>
      <c r="D225" s="27">
        <v>3605</v>
      </c>
      <c r="E225" s="27">
        <f>'GA post'!L73</f>
        <v>86</v>
      </c>
      <c r="F225" s="97">
        <f>'GA post'!O73</f>
        <v>138.30790568654646</v>
      </c>
      <c r="G225" s="27">
        <v>3867</v>
      </c>
      <c r="H225" s="97">
        <f>'GA post'!Y73</f>
        <v>56.987756714060033</v>
      </c>
      <c r="I225" s="27">
        <v>47049</v>
      </c>
      <c r="J225" s="27">
        <v>60</v>
      </c>
      <c r="K225" s="29">
        <f>'GA post'!AE73</f>
        <v>39000</v>
      </c>
      <c r="L225" s="41">
        <v>1925</v>
      </c>
      <c r="M225" s="4" t="s">
        <v>567</v>
      </c>
      <c r="N225" s="27" t="s">
        <v>2737</v>
      </c>
      <c r="O225" s="27" t="s">
        <v>2736</v>
      </c>
      <c r="P225" s="27" t="s">
        <v>2740</v>
      </c>
      <c r="Q225" s="27" t="s">
        <v>2739</v>
      </c>
      <c r="R225" s="27" t="s">
        <v>2745</v>
      </c>
      <c r="S225" s="27" t="s">
        <v>2746</v>
      </c>
      <c r="T225" s="27" t="s">
        <v>2743</v>
      </c>
      <c r="U225" s="27" t="s">
        <v>2744</v>
      </c>
    </row>
    <row r="226" spans="1:21" x14ac:dyDescent="0.25">
      <c r="A226" s="27" t="s">
        <v>795</v>
      </c>
      <c r="B226" s="27" t="str">
        <f t="shared" si="14"/>
        <v>Georgia</v>
      </c>
      <c r="C226" s="27" t="str">
        <f t="shared" si="15"/>
        <v>Hart</v>
      </c>
      <c r="D226" s="27">
        <v>4100</v>
      </c>
      <c r="E226" s="27">
        <f>'GA post'!L74</f>
        <v>115</v>
      </c>
      <c r="F226" s="97">
        <f>'GA post'!O74</f>
        <v>123.45121951219512</v>
      </c>
      <c r="G226" s="27">
        <v>5061</v>
      </c>
      <c r="H226" s="97">
        <f>'GA post'!Y74</f>
        <v>137.36736033519554</v>
      </c>
      <c r="I226" s="27">
        <v>71922</v>
      </c>
      <c r="J226" s="27">
        <v>46</v>
      </c>
      <c r="K226" s="29">
        <f>'GA post'!AE74</f>
        <v>225500</v>
      </c>
      <c r="L226" s="41">
        <v>1925</v>
      </c>
      <c r="M226" s="4" t="s">
        <v>567</v>
      </c>
      <c r="N226" s="27" t="s">
        <v>2737</v>
      </c>
      <c r="O226" s="27" t="s">
        <v>2736</v>
      </c>
      <c r="P226" s="27" t="s">
        <v>2740</v>
      </c>
      <c r="Q226" s="27" t="s">
        <v>2739</v>
      </c>
      <c r="R226" s="27" t="s">
        <v>2745</v>
      </c>
      <c r="S226" s="27" t="s">
        <v>2746</v>
      </c>
      <c r="T226" s="27" t="s">
        <v>2743</v>
      </c>
      <c r="U226" s="27" t="s">
        <v>2744</v>
      </c>
    </row>
    <row r="227" spans="1:21" x14ac:dyDescent="0.25">
      <c r="A227" s="27" t="s">
        <v>796</v>
      </c>
      <c r="B227" s="27" t="str">
        <f t="shared" si="14"/>
        <v>Georgia</v>
      </c>
      <c r="C227" s="27" t="str">
        <f t="shared" si="15"/>
        <v>Heard</v>
      </c>
      <c r="D227" s="27">
        <v>2860</v>
      </c>
      <c r="E227" s="27">
        <f>'GA post'!L75</f>
        <v>75</v>
      </c>
      <c r="F227" s="97">
        <f>'GA post'!O75</f>
        <v>113.70629370629371</v>
      </c>
      <c r="G227" s="27">
        <v>3048</v>
      </c>
      <c r="H227" s="97">
        <f>'GA post'!Y75</f>
        <v>57.781902552204173</v>
      </c>
      <c r="I227" s="27">
        <v>49701</v>
      </c>
      <c r="J227" s="27">
        <v>51</v>
      </c>
      <c r="K227" s="29">
        <f>'GA post'!AE75</f>
        <v>122000</v>
      </c>
      <c r="L227" s="41">
        <v>1925</v>
      </c>
      <c r="M227" s="4" t="s">
        <v>567</v>
      </c>
      <c r="N227" s="27" t="s">
        <v>2737</v>
      </c>
      <c r="O227" s="27" t="s">
        <v>2736</v>
      </c>
      <c r="P227" s="27" t="s">
        <v>2740</v>
      </c>
      <c r="Q227" s="27" t="s">
        <v>2739</v>
      </c>
      <c r="R227" s="27" t="s">
        <v>2745</v>
      </c>
      <c r="S227" s="27" t="s">
        <v>2746</v>
      </c>
      <c r="T227" s="27" t="s">
        <v>2743</v>
      </c>
      <c r="U227" s="27" t="s">
        <v>2744</v>
      </c>
    </row>
    <row r="228" spans="1:21" x14ac:dyDescent="0.25">
      <c r="A228" s="27" t="s">
        <v>797</v>
      </c>
      <c r="B228" s="27" t="str">
        <f t="shared" si="14"/>
        <v>Georgia</v>
      </c>
      <c r="C228" s="27" t="str">
        <f t="shared" si="15"/>
        <v>Henry</v>
      </c>
      <c r="D228" s="27">
        <v>3108</v>
      </c>
      <c r="E228" s="27">
        <f>'GA post'!L76</f>
        <v>125</v>
      </c>
      <c r="F228" s="97">
        <f>'GA post'!O76</f>
        <v>116.1969111969112</v>
      </c>
      <c r="G228" s="27">
        <v>2515</v>
      </c>
      <c r="H228" s="97">
        <f>'GA post'!Y76</f>
        <v>64.04616681275705</v>
      </c>
      <c r="I228" s="27">
        <v>76340</v>
      </c>
      <c r="J228" s="27">
        <v>54</v>
      </c>
      <c r="K228" s="29">
        <f>'GA post'!AE76</f>
        <v>105500</v>
      </c>
      <c r="L228" s="41">
        <v>1925</v>
      </c>
      <c r="M228" s="4" t="s">
        <v>567</v>
      </c>
      <c r="N228" s="27" t="s">
        <v>2737</v>
      </c>
      <c r="O228" s="27" t="s">
        <v>2736</v>
      </c>
      <c r="P228" s="27" t="s">
        <v>2740</v>
      </c>
      <c r="Q228" s="27" t="s">
        <v>2739</v>
      </c>
      <c r="R228" s="27" t="s">
        <v>2745</v>
      </c>
      <c r="S228" s="27" t="s">
        <v>2746</v>
      </c>
      <c r="T228" s="27" t="s">
        <v>2743</v>
      </c>
      <c r="U228" s="27" t="s">
        <v>2744</v>
      </c>
    </row>
    <row r="229" spans="1:21" x14ac:dyDescent="0.25">
      <c r="A229" s="27" t="s">
        <v>798</v>
      </c>
      <c r="B229" s="27" t="str">
        <f t="shared" si="14"/>
        <v>Georgia</v>
      </c>
      <c r="C229" s="27" t="str">
        <f t="shared" si="15"/>
        <v>Houston</v>
      </c>
      <c r="D229" s="27">
        <v>3860</v>
      </c>
      <c r="E229" s="27">
        <f>'GA post'!L77</f>
        <v>124</v>
      </c>
      <c r="F229" s="97">
        <f>'GA post'!O77</f>
        <v>137.5440414507772</v>
      </c>
      <c r="G229" s="27">
        <v>6018</v>
      </c>
      <c r="H229" s="97">
        <f>'GA post'!Y77</f>
        <v>58.413931034482758</v>
      </c>
      <c r="I229" s="27">
        <v>110014</v>
      </c>
      <c r="J229" s="27">
        <v>26</v>
      </c>
      <c r="K229" s="29">
        <f>'GA post'!AE77</f>
        <v>250000</v>
      </c>
      <c r="L229" s="41">
        <v>1925</v>
      </c>
      <c r="M229" s="4" t="s">
        <v>567</v>
      </c>
      <c r="N229" s="27" t="s">
        <v>2737</v>
      </c>
      <c r="O229" s="27" t="s">
        <v>2736</v>
      </c>
      <c r="P229" s="27" t="s">
        <v>2740</v>
      </c>
      <c r="Q229" s="27" t="s">
        <v>2739</v>
      </c>
      <c r="R229" s="27" t="s">
        <v>2745</v>
      </c>
      <c r="S229" s="27" t="s">
        <v>2746</v>
      </c>
      <c r="T229" s="27" t="s">
        <v>2743</v>
      </c>
      <c r="U229" s="27" t="s">
        <v>2744</v>
      </c>
    </row>
    <row r="230" spans="1:21" x14ac:dyDescent="0.25">
      <c r="A230" s="27" t="s">
        <v>799</v>
      </c>
      <c r="B230" s="27" t="str">
        <f t="shared" si="14"/>
        <v>Georgia</v>
      </c>
      <c r="C230" s="27" t="str">
        <f t="shared" si="15"/>
        <v>Irwin</v>
      </c>
      <c r="D230" s="27">
        <v>2046</v>
      </c>
      <c r="E230" s="27">
        <f>'GA post'!L78</f>
        <v>84</v>
      </c>
      <c r="F230" s="97">
        <f>'GA post'!O78</f>
        <v>93.128054740957964</v>
      </c>
      <c r="G230" s="27">
        <v>3267</v>
      </c>
      <c r="H230" s="97">
        <f>'GA post'!Y78</f>
        <v>111.00501253132829</v>
      </c>
      <c r="I230" s="27">
        <v>45007</v>
      </c>
      <c r="J230" s="27">
        <v>43</v>
      </c>
      <c r="K230" s="29">
        <f>'GA post'!AE78</f>
        <v>91000</v>
      </c>
      <c r="L230" s="41">
        <v>1925</v>
      </c>
      <c r="M230" s="4" t="s">
        <v>567</v>
      </c>
      <c r="N230" s="27" t="s">
        <v>2737</v>
      </c>
      <c r="O230" s="27" t="s">
        <v>2736</v>
      </c>
      <c r="P230" s="27" t="s">
        <v>2740</v>
      </c>
      <c r="Q230" s="27" t="s">
        <v>2739</v>
      </c>
      <c r="R230" s="27" t="s">
        <v>2745</v>
      </c>
      <c r="S230" s="27" t="s">
        <v>2746</v>
      </c>
      <c r="T230" s="27" t="s">
        <v>2743</v>
      </c>
      <c r="U230" s="27" t="s">
        <v>2744</v>
      </c>
    </row>
    <row r="231" spans="1:21" x14ac:dyDescent="0.25">
      <c r="A231" s="27" t="s">
        <v>800</v>
      </c>
      <c r="B231" s="27" t="str">
        <f t="shared" si="14"/>
        <v>Georgia</v>
      </c>
      <c r="C231" s="27" t="str">
        <f t="shared" si="15"/>
        <v>Jackson</v>
      </c>
      <c r="D231" s="27">
        <v>3437</v>
      </c>
      <c r="E231" s="27">
        <f>'GA post'!L79</f>
        <v>142</v>
      </c>
      <c r="F231" s="97">
        <f>'GA post'!O79</f>
        <v>180</v>
      </c>
      <c r="G231" s="27">
        <v>6164</v>
      </c>
      <c r="H231" s="97">
        <f>'GA post'!Y79</f>
        <v>148.96736306729264</v>
      </c>
      <c r="I231" s="27">
        <v>91468</v>
      </c>
      <c r="J231" s="27">
        <v>65</v>
      </c>
      <c r="K231" s="29">
        <f>'GA post'!AE79</f>
        <v>214000</v>
      </c>
      <c r="L231" s="41">
        <v>1925</v>
      </c>
      <c r="M231" s="4" t="s">
        <v>567</v>
      </c>
      <c r="N231" s="27" t="s">
        <v>2737</v>
      </c>
      <c r="O231" s="27" t="s">
        <v>2736</v>
      </c>
      <c r="P231" s="27" t="s">
        <v>2740</v>
      </c>
      <c r="Q231" s="27" t="s">
        <v>2739</v>
      </c>
      <c r="R231" s="27" t="s">
        <v>2745</v>
      </c>
      <c r="S231" s="27" t="s">
        <v>2746</v>
      </c>
      <c r="T231" s="27" t="s">
        <v>2743</v>
      </c>
      <c r="U231" s="27" t="s">
        <v>2744</v>
      </c>
    </row>
    <row r="232" spans="1:21" x14ac:dyDescent="0.25">
      <c r="A232" s="27" t="s">
        <v>801</v>
      </c>
      <c r="B232" s="27" t="str">
        <f t="shared" si="14"/>
        <v>Georgia</v>
      </c>
      <c r="C232" s="27" t="str">
        <f t="shared" si="15"/>
        <v>Jasper</v>
      </c>
      <c r="D232" s="27">
        <v>1991</v>
      </c>
      <c r="E232" s="27">
        <f>'GA post'!L80</f>
        <v>81</v>
      </c>
      <c r="F232" s="97">
        <f>'GA post'!O80</f>
        <v>143.29482672024108</v>
      </c>
      <c r="G232" s="27">
        <v>6111</v>
      </c>
      <c r="H232" s="97">
        <f>'GA post'!Y80</f>
        <v>58.109883333333343</v>
      </c>
      <c r="I232" s="27">
        <v>42639</v>
      </c>
      <c r="J232" s="27">
        <v>51</v>
      </c>
      <c r="K232" s="29">
        <f>'GA post'!AE80</f>
        <v>172000</v>
      </c>
      <c r="L232" s="41">
        <v>1925</v>
      </c>
      <c r="M232" s="4" t="s">
        <v>567</v>
      </c>
      <c r="N232" s="27" t="s">
        <v>2737</v>
      </c>
      <c r="O232" s="27" t="s">
        <v>2736</v>
      </c>
      <c r="P232" s="27" t="s">
        <v>2740</v>
      </c>
      <c r="Q232" s="27" t="s">
        <v>2739</v>
      </c>
      <c r="R232" s="27" t="s">
        <v>2745</v>
      </c>
      <c r="S232" s="27" t="s">
        <v>2746</v>
      </c>
      <c r="T232" s="27" t="s">
        <v>2743</v>
      </c>
      <c r="U232" s="27" t="s">
        <v>2744</v>
      </c>
    </row>
    <row r="233" spans="1:21" x14ac:dyDescent="0.25">
      <c r="A233" s="27" t="s">
        <v>802</v>
      </c>
      <c r="B233" s="27" t="str">
        <f t="shared" si="14"/>
        <v>Georgia</v>
      </c>
      <c r="C233" s="27" t="str">
        <f t="shared" si="15"/>
        <v>Jeff Davis</v>
      </c>
      <c r="D233" s="27">
        <v>2463</v>
      </c>
      <c r="E233" s="27">
        <f>'GA post'!L81</f>
        <v>51</v>
      </c>
      <c r="F233" s="97">
        <f>'GA post'!O81</f>
        <v>100</v>
      </c>
      <c r="G233" s="27">
        <v>2288</v>
      </c>
      <c r="H233" s="97">
        <f>'GA post'!Y81</f>
        <v>51.928039215686269</v>
      </c>
      <c r="I233" s="27">
        <v>34869</v>
      </c>
      <c r="J233" s="27">
        <v>32</v>
      </c>
      <c r="K233" s="29">
        <f>'GA post'!AE81</f>
        <v>40500</v>
      </c>
      <c r="L233" s="41">
        <v>1925</v>
      </c>
      <c r="M233" s="4" t="s">
        <v>567</v>
      </c>
      <c r="N233" s="27" t="s">
        <v>2737</v>
      </c>
      <c r="O233" s="27" t="s">
        <v>2736</v>
      </c>
      <c r="P233" s="27" t="s">
        <v>2740</v>
      </c>
      <c r="Q233" s="27" t="s">
        <v>2739</v>
      </c>
      <c r="R233" s="27" t="s">
        <v>2745</v>
      </c>
      <c r="S233" s="27" t="s">
        <v>2746</v>
      </c>
      <c r="T233" s="27" t="s">
        <v>2743</v>
      </c>
      <c r="U233" s="27" t="s">
        <v>2744</v>
      </c>
    </row>
    <row r="234" spans="1:21" x14ac:dyDescent="0.25">
      <c r="A234" s="27" t="s">
        <v>803</v>
      </c>
      <c r="B234" s="27" t="str">
        <f t="shared" si="14"/>
        <v>Georgia</v>
      </c>
      <c r="C234" s="27" t="str">
        <f t="shared" si="15"/>
        <v>Jefferson</v>
      </c>
      <c r="D234" s="27">
        <v>5450</v>
      </c>
      <c r="E234" s="27">
        <f>'GA post'!L82</f>
        <v>140</v>
      </c>
      <c r="F234" s="97">
        <f>'GA post'!O82</f>
        <v>154.67889908256882</v>
      </c>
      <c r="G234" s="27">
        <v>6402</v>
      </c>
      <c r="H234" s="97">
        <f>'GA post'!Y82</f>
        <v>65.095850877192987</v>
      </c>
      <c r="I234" s="27">
        <v>223009</v>
      </c>
      <c r="J234" s="27">
        <v>55</v>
      </c>
      <c r="K234" s="29">
        <f>'GA post'!AE82</f>
        <v>550000</v>
      </c>
      <c r="L234" s="41">
        <v>1925</v>
      </c>
      <c r="M234" s="4" t="s">
        <v>567</v>
      </c>
      <c r="N234" s="27" t="s">
        <v>2747</v>
      </c>
      <c r="O234" s="27" t="s">
        <v>2748</v>
      </c>
      <c r="P234" s="27" t="s">
        <v>2740</v>
      </c>
      <c r="Q234" s="27" t="s">
        <v>2739</v>
      </c>
      <c r="R234" s="27" t="s">
        <v>2745</v>
      </c>
      <c r="S234" s="27" t="s">
        <v>2746</v>
      </c>
      <c r="T234" s="27" t="s">
        <v>2743</v>
      </c>
      <c r="U234" s="27" t="s">
        <v>2744</v>
      </c>
    </row>
    <row r="235" spans="1:21" x14ac:dyDescent="0.25">
      <c r="A235" s="27" t="s">
        <v>804</v>
      </c>
      <c r="B235" s="27" t="str">
        <f t="shared" si="14"/>
        <v>Georgia</v>
      </c>
      <c r="C235" s="27" t="str">
        <f t="shared" si="15"/>
        <v>Jenkins</v>
      </c>
      <c r="D235" s="27">
        <v>1893</v>
      </c>
      <c r="E235" s="27">
        <f>'GA post'!L83</f>
        <v>69</v>
      </c>
      <c r="F235" s="97">
        <f>'GA post'!O83</f>
        <v>150.26941362916006</v>
      </c>
      <c r="G235" s="27">
        <v>2832</v>
      </c>
      <c r="H235" s="97">
        <f>'GA post'!Y83</f>
        <v>58.206558935361215</v>
      </c>
      <c r="I235" s="27">
        <v>43736</v>
      </c>
      <c r="J235" s="27">
        <v>37</v>
      </c>
      <c r="K235" s="29">
        <f>'GA post'!AE83</f>
        <v>74150</v>
      </c>
      <c r="L235" s="41">
        <v>1925</v>
      </c>
      <c r="M235" s="4" t="s">
        <v>567</v>
      </c>
      <c r="N235" s="27" t="s">
        <v>2749</v>
      </c>
      <c r="O235" s="27" t="s">
        <v>2748</v>
      </c>
      <c r="P235" s="27" t="s">
        <v>2740</v>
      </c>
      <c r="Q235" s="27" t="s">
        <v>2739</v>
      </c>
      <c r="R235" s="27" t="s">
        <v>2745</v>
      </c>
      <c r="S235" s="27" t="s">
        <v>2746</v>
      </c>
      <c r="T235" s="27" t="s">
        <v>2743</v>
      </c>
      <c r="U235" s="27" t="s">
        <v>2744</v>
      </c>
    </row>
    <row r="236" spans="1:21" x14ac:dyDescent="0.25">
      <c r="A236" s="27" t="s">
        <v>805</v>
      </c>
      <c r="B236" s="27" t="str">
        <f t="shared" si="14"/>
        <v>Georgia</v>
      </c>
      <c r="C236" s="27" t="str">
        <f t="shared" si="15"/>
        <v>Johnson</v>
      </c>
      <c r="D236" s="27">
        <v>2935</v>
      </c>
      <c r="E236" s="27">
        <f>'GA post'!L84</f>
        <v>94</v>
      </c>
      <c r="F236" s="97">
        <f>'GA post'!O84</f>
        <v>180</v>
      </c>
      <c r="G236" s="27">
        <v>3573</v>
      </c>
      <c r="H236" s="97">
        <f>'GA post'!Y84</f>
        <v>53.947340425531905</v>
      </c>
      <c r="I236" s="27">
        <v>61922</v>
      </c>
      <c r="J236" s="27">
        <v>54</v>
      </c>
      <c r="K236" s="29">
        <f>'GA post'!AE84</f>
        <v>170250</v>
      </c>
      <c r="L236" s="41">
        <v>1925</v>
      </c>
      <c r="M236" s="4" t="s">
        <v>567</v>
      </c>
      <c r="N236" s="27" t="s">
        <v>2749</v>
      </c>
      <c r="O236" s="27" t="s">
        <v>2748</v>
      </c>
      <c r="P236" s="27" t="s">
        <v>2740</v>
      </c>
      <c r="Q236" s="27" t="s">
        <v>2739</v>
      </c>
      <c r="R236" s="27" t="s">
        <v>2745</v>
      </c>
      <c r="S236" s="27" t="s">
        <v>2746</v>
      </c>
      <c r="T236" s="27" t="s">
        <v>2743</v>
      </c>
      <c r="U236" s="27" t="s">
        <v>2744</v>
      </c>
    </row>
    <row r="237" spans="1:21" x14ac:dyDescent="0.25">
      <c r="A237" s="27" t="s">
        <v>806</v>
      </c>
      <c r="B237" s="27" t="str">
        <f t="shared" si="14"/>
        <v>Georgia</v>
      </c>
      <c r="C237" s="27" t="str">
        <f t="shared" si="15"/>
        <v>Jones</v>
      </c>
      <c r="D237" s="27">
        <v>1549</v>
      </c>
      <c r="E237" s="27">
        <f>'GA post'!L85</f>
        <v>78</v>
      </c>
      <c r="F237" s="97">
        <f>'GA post'!O85</f>
        <v>138.72175597159458</v>
      </c>
      <c r="G237" s="27">
        <v>2521</v>
      </c>
      <c r="H237" s="97">
        <f>'GA post'!Y85</f>
        <v>56.102116788321176</v>
      </c>
      <c r="I237" s="27">
        <v>48066</v>
      </c>
      <c r="J237" s="27">
        <v>28</v>
      </c>
      <c r="K237" s="29">
        <f>'GA post'!AE85</f>
        <v>80500</v>
      </c>
      <c r="L237" s="41">
        <v>1925</v>
      </c>
      <c r="M237" s="4" t="s">
        <v>567</v>
      </c>
      <c r="N237" s="27" t="s">
        <v>2749</v>
      </c>
      <c r="O237" s="27" t="s">
        <v>2748</v>
      </c>
      <c r="P237" s="27" t="s">
        <v>2740</v>
      </c>
      <c r="Q237" s="27" t="s">
        <v>2739</v>
      </c>
      <c r="R237" s="27" t="s">
        <v>2745</v>
      </c>
      <c r="S237" s="27" t="s">
        <v>2746</v>
      </c>
      <c r="T237" s="27" t="s">
        <v>2743</v>
      </c>
      <c r="U237" s="27" t="s">
        <v>2744</v>
      </c>
    </row>
    <row r="238" spans="1:21" x14ac:dyDescent="0.25">
      <c r="A238" s="27" t="s">
        <v>807</v>
      </c>
      <c r="B238" s="27" t="str">
        <f t="shared" si="14"/>
        <v>Georgia</v>
      </c>
      <c r="C238" s="27" t="str">
        <f t="shared" si="15"/>
        <v>Lamar</v>
      </c>
      <c r="D238" s="27">
        <v>1447</v>
      </c>
      <c r="E238" s="27">
        <f>'GA post'!L86</f>
        <v>59</v>
      </c>
      <c r="F238" s="97">
        <f>'GA post'!O86</f>
        <v>144.87906012439529</v>
      </c>
      <c r="G238" s="27">
        <v>2100</v>
      </c>
      <c r="H238" s="97">
        <f>'GA post'!Y86</f>
        <v>131.36046511627907</v>
      </c>
      <c r="I238" s="27">
        <v>58493</v>
      </c>
      <c r="J238" s="27">
        <v>30</v>
      </c>
      <c r="K238" s="29">
        <f>'GA post'!AE86</f>
        <v>86500</v>
      </c>
      <c r="L238" s="41">
        <v>1925</v>
      </c>
      <c r="M238" s="4" t="s">
        <v>567</v>
      </c>
      <c r="N238" s="27" t="s">
        <v>2749</v>
      </c>
      <c r="O238" s="27" t="s">
        <v>2748</v>
      </c>
      <c r="P238" s="27" t="s">
        <v>2740</v>
      </c>
      <c r="Q238" s="27" t="s">
        <v>2739</v>
      </c>
      <c r="R238" s="27" t="s">
        <v>2745</v>
      </c>
      <c r="S238" s="27" t="s">
        <v>2746</v>
      </c>
      <c r="T238" s="27" t="s">
        <v>2743</v>
      </c>
      <c r="U238" s="27" t="s">
        <v>2744</v>
      </c>
    </row>
    <row r="239" spans="1:21" x14ac:dyDescent="0.25">
      <c r="A239" s="27" t="s">
        <v>808</v>
      </c>
      <c r="B239" s="27" t="str">
        <f t="shared" si="14"/>
        <v>Georgia</v>
      </c>
      <c r="C239" s="27" t="str">
        <f t="shared" si="15"/>
        <v>Lanier</v>
      </c>
      <c r="D239" s="27">
        <v>1089</v>
      </c>
      <c r="E239" s="27">
        <f>'GA post'!L87</f>
        <v>35</v>
      </c>
      <c r="F239" s="97">
        <f>'GA post'!O87</f>
        <v>124.10468319559229</v>
      </c>
      <c r="G239" s="27">
        <v>1301</v>
      </c>
      <c r="H239" s="97">
        <f>'GA post'!Y87</f>
        <v>66.629370078740166</v>
      </c>
      <c r="I239" s="27">
        <v>32517</v>
      </c>
      <c r="J239" s="27">
        <v>15</v>
      </c>
      <c r="K239" s="29">
        <f>'GA post'!AE87</f>
        <v>29525</v>
      </c>
      <c r="L239" s="41">
        <v>1925</v>
      </c>
      <c r="M239" s="4" t="s">
        <v>567</v>
      </c>
      <c r="N239" s="27" t="s">
        <v>2749</v>
      </c>
      <c r="O239" s="27" t="s">
        <v>2748</v>
      </c>
      <c r="P239" s="27" t="s">
        <v>2740</v>
      </c>
      <c r="Q239" s="27" t="s">
        <v>2739</v>
      </c>
      <c r="R239" s="27" t="s">
        <v>2745</v>
      </c>
      <c r="S239" s="27" t="s">
        <v>2746</v>
      </c>
      <c r="T239" s="27" t="s">
        <v>2743</v>
      </c>
      <c r="U239" s="27" t="s">
        <v>2744</v>
      </c>
    </row>
    <row r="240" spans="1:21" x14ac:dyDescent="0.25">
      <c r="A240" s="27" t="s">
        <v>809</v>
      </c>
      <c r="B240" s="27" t="str">
        <f t="shared" si="14"/>
        <v>Georgia</v>
      </c>
      <c r="C240" s="27" t="str">
        <f t="shared" si="15"/>
        <v>Laurens</v>
      </c>
      <c r="D240" s="27">
        <v>7291</v>
      </c>
      <c r="E240" s="27">
        <f>'GA post'!L88</f>
        <v>187</v>
      </c>
      <c r="F240" s="97">
        <f>'GA post'!O88</f>
        <v>120</v>
      </c>
      <c r="G240" s="27">
        <v>9075</v>
      </c>
      <c r="H240" s="97">
        <f>'GA post'!Y88</f>
        <v>210.48841354723709</v>
      </c>
      <c r="I240" s="27">
        <v>150540</v>
      </c>
      <c r="J240" s="27">
        <v>112</v>
      </c>
      <c r="K240" s="29">
        <f>'GA post'!AE88</f>
        <v>534000</v>
      </c>
      <c r="L240" s="41">
        <v>1925</v>
      </c>
      <c r="M240" s="4" t="s">
        <v>567</v>
      </c>
      <c r="N240" s="27" t="s">
        <v>2749</v>
      </c>
      <c r="O240" s="27" t="s">
        <v>2748</v>
      </c>
      <c r="P240" s="27" t="s">
        <v>2740</v>
      </c>
      <c r="Q240" s="27" t="s">
        <v>2739</v>
      </c>
      <c r="R240" s="27" t="s">
        <v>2745</v>
      </c>
      <c r="S240" s="27" t="s">
        <v>2746</v>
      </c>
      <c r="T240" s="27" t="s">
        <v>2743</v>
      </c>
      <c r="U240" s="27" t="s">
        <v>2744</v>
      </c>
    </row>
    <row r="241" spans="1:21" x14ac:dyDescent="0.25">
      <c r="A241" s="27" t="s">
        <v>810</v>
      </c>
      <c r="B241" s="27" t="str">
        <f t="shared" si="14"/>
        <v>Georgia</v>
      </c>
      <c r="C241" s="27" t="str">
        <f t="shared" si="15"/>
        <v>Lee</v>
      </c>
      <c r="D241" s="27">
        <v>2333</v>
      </c>
      <c r="E241" s="27">
        <f>'GA post'!L89</f>
        <v>51</v>
      </c>
      <c r="F241" s="97">
        <f>'GA post'!O89</f>
        <v>131.63737676810973</v>
      </c>
      <c r="G241" s="27">
        <v>2990</v>
      </c>
      <c r="H241" s="97">
        <f>'GA post'!Y89</f>
        <v>49.747331460674154</v>
      </c>
      <c r="I241" s="27">
        <v>74638</v>
      </c>
      <c r="J241" s="27">
        <v>19</v>
      </c>
      <c r="K241" s="29">
        <f>'GA post'!AE89</f>
        <v>153065</v>
      </c>
      <c r="L241" s="41">
        <v>1925</v>
      </c>
      <c r="M241" s="4" t="s">
        <v>567</v>
      </c>
      <c r="N241" s="27" t="s">
        <v>2749</v>
      </c>
      <c r="O241" s="27" t="s">
        <v>2748</v>
      </c>
      <c r="P241" s="27" t="s">
        <v>2750</v>
      </c>
      <c r="Q241" s="27" t="s">
        <v>2751</v>
      </c>
      <c r="R241" s="27" t="s">
        <v>2745</v>
      </c>
      <c r="S241" s="27" t="s">
        <v>2746</v>
      </c>
      <c r="T241" s="27" t="s">
        <v>2743</v>
      </c>
      <c r="U241" s="27" t="s">
        <v>2744</v>
      </c>
    </row>
    <row r="242" spans="1:21" x14ac:dyDescent="0.25">
      <c r="A242" s="27" t="s">
        <v>811</v>
      </c>
      <c r="B242" s="27" t="str">
        <f t="shared" si="14"/>
        <v>Georgia</v>
      </c>
      <c r="C242" s="27" t="str">
        <f t="shared" si="15"/>
        <v>Liberty</v>
      </c>
      <c r="D242" s="27">
        <v>1799</v>
      </c>
      <c r="E242" s="27">
        <f>'GA post'!L90</f>
        <v>68</v>
      </c>
      <c r="F242" s="97">
        <f>'GA post'!O90</f>
        <v>100</v>
      </c>
      <c r="G242" s="27">
        <v>765</v>
      </c>
      <c r="H242" s="97">
        <f>'GA post'!Y90</f>
        <v>36.311323529411773</v>
      </c>
      <c r="I242" s="27">
        <v>25486</v>
      </c>
      <c r="J242" s="27">
        <v>37</v>
      </c>
      <c r="K242" s="29">
        <f>'GA post'!AE90</f>
        <v>36000</v>
      </c>
      <c r="L242" s="41">
        <v>1925</v>
      </c>
      <c r="M242" s="4" t="s">
        <v>567</v>
      </c>
      <c r="N242" s="27" t="s">
        <v>2749</v>
      </c>
      <c r="O242" s="27" t="s">
        <v>2748</v>
      </c>
      <c r="P242" s="27" t="s">
        <v>2750</v>
      </c>
      <c r="Q242" s="27" t="s">
        <v>2751</v>
      </c>
      <c r="R242" s="27" t="s">
        <v>2745</v>
      </c>
      <c r="S242" s="27" t="s">
        <v>2746</v>
      </c>
      <c r="T242" s="27" t="s">
        <v>2743</v>
      </c>
      <c r="U242" s="27" t="s">
        <v>2744</v>
      </c>
    </row>
    <row r="243" spans="1:21" x14ac:dyDescent="0.25">
      <c r="A243" s="27" t="s">
        <v>812</v>
      </c>
      <c r="B243" s="27" t="str">
        <f t="shared" si="14"/>
        <v>Georgia</v>
      </c>
      <c r="C243" s="27" t="str">
        <f t="shared" si="15"/>
        <v>Lincoln</v>
      </c>
      <c r="D243" s="27">
        <v>1879</v>
      </c>
      <c r="E243" s="27">
        <f>'GA post'!L91</f>
        <v>57</v>
      </c>
      <c r="F243" s="97">
        <f>'GA post'!O91</f>
        <v>124.18520489622139</v>
      </c>
      <c r="G243" s="27">
        <v>2706</v>
      </c>
      <c r="H243" s="97">
        <f>'GA post'!Y91</f>
        <v>51.93304836895387</v>
      </c>
      <c r="I243" s="27">
        <v>29381</v>
      </c>
      <c r="J243" s="27">
        <v>47</v>
      </c>
      <c r="K243" s="29">
        <f>'GA post'!AE91</f>
        <v>65900</v>
      </c>
      <c r="L243" s="41">
        <v>1925</v>
      </c>
      <c r="M243" s="4" t="s">
        <v>567</v>
      </c>
      <c r="N243" s="27" t="s">
        <v>2749</v>
      </c>
      <c r="O243" s="27" t="s">
        <v>2748</v>
      </c>
      <c r="P243" s="27" t="s">
        <v>2750</v>
      </c>
      <c r="Q243" s="27" t="s">
        <v>2751</v>
      </c>
      <c r="R243" s="27" t="s">
        <v>2752</v>
      </c>
      <c r="S243" s="27" t="s">
        <v>2753</v>
      </c>
      <c r="T243" s="27" t="s">
        <v>2754</v>
      </c>
      <c r="U243" s="27" t="s">
        <v>2755</v>
      </c>
    </row>
    <row r="244" spans="1:21" x14ac:dyDescent="0.25">
      <c r="A244" s="27" t="s">
        <v>813</v>
      </c>
      <c r="B244" s="27" t="str">
        <f t="shared" si="14"/>
        <v>Georgia</v>
      </c>
      <c r="C244" s="27" t="str">
        <f t="shared" si="15"/>
        <v>Long</v>
      </c>
      <c r="D244" s="27">
        <v>644</v>
      </c>
      <c r="E244" s="27">
        <f>'GA post'!L92</f>
        <v>31</v>
      </c>
      <c r="F244" s="97">
        <f>'GA post'!O92</f>
        <v>120</v>
      </c>
      <c r="G244" s="27">
        <v>464</v>
      </c>
      <c r="H244" s="97">
        <f>'GA post'!Y92</f>
        <v>43.322580645161288</v>
      </c>
      <c r="I244" s="27">
        <v>11274</v>
      </c>
      <c r="J244" s="27">
        <v>21</v>
      </c>
      <c r="K244" s="29">
        <f>'GA post'!AE92</f>
        <v>33450</v>
      </c>
      <c r="L244" s="41">
        <v>1925</v>
      </c>
      <c r="M244" s="4" t="s">
        <v>567</v>
      </c>
      <c r="N244" s="27" t="s">
        <v>2749</v>
      </c>
      <c r="O244" s="27" t="s">
        <v>2748</v>
      </c>
      <c r="P244" s="27" t="s">
        <v>2750</v>
      </c>
      <c r="Q244" s="27" t="s">
        <v>2751</v>
      </c>
      <c r="R244" s="27" t="s">
        <v>2752</v>
      </c>
      <c r="S244" s="27" t="s">
        <v>2753</v>
      </c>
      <c r="T244" s="27" t="s">
        <v>2754</v>
      </c>
      <c r="U244" s="27" t="s">
        <v>2755</v>
      </c>
    </row>
    <row r="245" spans="1:21" x14ac:dyDescent="0.25">
      <c r="A245" s="27" t="s">
        <v>814</v>
      </c>
      <c r="B245" s="27" t="str">
        <f t="shared" si="14"/>
        <v>Georgia</v>
      </c>
      <c r="C245" s="27" t="str">
        <f t="shared" si="15"/>
        <v>Lowndes</v>
      </c>
      <c r="D245" s="27">
        <v>5151</v>
      </c>
      <c r="E245" s="27">
        <f>'GA post'!L93</f>
        <v>170</v>
      </c>
      <c r="F245" s="97">
        <f>'GA post'!O93</f>
        <v>133.95457192778102</v>
      </c>
      <c r="G245" s="27">
        <v>6449</v>
      </c>
      <c r="H245" s="97">
        <f>'GA post'!Y93</f>
        <v>162.65258118234806</v>
      </c>
      <c r="I245" s="27">
        <v>177472</v>
      </c>
      <c r="J245" s="27">
        <v>45</v>
      </c>
      <c r="K245" s="29">
        <f>'GA post'!AE93</f>
        <v>312500</v>
      </c>
      <c r="L245" s="41">
        <v>1925</v>
      </c>
      <c r="M245" s="4" t="s">
        <v>567</v>
      </c>
      <c r="N245" s="27" t="s">
        <v>2749</v>
      </c>
      <c r="O245" s="27" t="s">
        <v>2748</v>
      </c>
      <c r="P245" s="27" t="s">
        <v>2756</v>
      </c>
      <c r="Q245" s="27" t="s">
        <v>2751</v>
      </c>
      <c r="R245" s="27" t="s">
        <v>2752</v>
      </c>
      <c r="S245" s="27" t="s">
        <v>2753</v>
      </c>
      <c r="T245" s="27" t="s">
        <v>2754</v>
      </c>
      <c r="U245" s="27" t="s">
        <v>2755</v>
      </c>
    </row>
    <row r="246" spans="1:21" x14ac:dyDescent="0.25">
      <c r="A246" s="27" t="s">
        <v>815</v>
      </c>
      <c r="B246" s="27" t="str">
        <f t="shared" si="14"/>
        <v>Georgia</v>
      </c>
      <c r="C246" s="27" t="str">
        <f t="shared" si="15"/>
        <v>Lumpkin</v>
      </c>
      <c r="D246" s="27">
        <v>726</v>
      </c>
      <c r="E246" s="27">
        <f>'GA post'!L94</f>
        <v>49</v>
      </c>
      <c r="F246" s="97">
        <f>'GA post'!O94</f>
        <v>118.84297520661157</v>
      </c>
      <c r="G246" s="27">
        <v>1294</v>
      </c>
      <c r="H246" s="97">
        <f>'GA post'!Y94</f>
        <v>78.66342465753425</v>
      </c>
      <c r="I246" s="27">
        <v>22643</v>
      </c>
      <c r="J246" s="27">
        <v>35</v>
      </c>
      <c r="K246" s="29">
        <f>'GA post'!AE94</f>
        <v>25150</v>
      </c>
      <c r="L246" s="41">
        <v>1925</v>
      </c>
      <c r="M246" s="4" t="s">
        <v>567</v>
      </c>
      <c r="N246" s="27" t="s">
        <v>2749</v>
      </c>
      <c r="O246" s="27" t="s">
        <v>2748</v>
      </c>
      <c r="P246" s="27" t="s">
        <v>2756</v>
      </c>
      <c r="Q246" s="27" t="s">
        <v>2751</v>
      </c>
      <c r="R246" s="27" t="s">
        <v>2752</v>
      </c>
      <c r="S246" s="27" t="s">
        <v>2753</v>
      </c>
      <c r="T246" s="27" t="s">
        <v>2754</v>
      </c>
      <c r="U246" s="27" t="s">
        <v>2755</v>
      </c>
    </row>
    <row r="247" spans="1:21" x14ac:dyDescent="0.25">
      <c r="A247" s="27" t="s">
        <v>818</v>
      </c>
      <c r="B247" s="27" t="str">
        <f t="shared" si="14"/>
        <v>Georgia</v>
      </c>
      <c r="C247" s="27" t="str">
        <f t="shared" si="15"/>
        <v>Macon</v>
      </c>
      <c r="D247" s="27">
        <v>2630</v>
      </c>
      <c r="E247" s="27">
        <f>'GA post'!L95</f>
        <v>91</v>
      </c>
      <c r="F247" s="97">
        <f>'GA post'!O95</f>
        <v>136.50190114068442</v>
      </c>
      <c r="G247" s="27">
        <v>4201</v>
      </c>
      <c r="H247" s="97">
        <f>'GA post'!Y95</f>
        <v>59.395250783699055</v>
      </c>
      <c r="I247" s="27">
        <v>83442</v>
      </c>
      <c r="J247" s="27">
        <v>32</v>
      </c>
      <c r="K247" s="29">
        <f>'GA post'!AE95</f>
        <v>151050</v>
      </c>
      <c r="L247" s="41">
        <v>1925</v>
      </c>
      <c r="M247" s="4" t="s">
        <v>567</v>
      </c>
      <c r="N247" s="27" t="s">
        <v>2749</v>
      </c>
      <c r="O247" s="27" t="s">
        <v>2748</v>
      </c>
      <c r="P247" s="27" t="s">
        <v>2756</v>
      </c>
      <c r="Q247" s="27" t="s">
        <v>2751</v>
      </c>
      <c r="R247" s="27" t="s">
        <v>2752</v>
      </c>
      <c r="S247" s="27" t="s">
        <v>2753</v>
      </c>
      <c r="T247" s="27" t="s">
        <v>2754</v>
      </c>
      <c r="U247" s="27" t="s">
        <v>2755</v>
      </c>
    </row>
    <row r="248" spans="1:21" x14ac:dyDescent="0.25">
      <c r="A248" s="27" t="s">
        <v>819</v>
      </c>
      <c r="B248" s="27" t="str">
        <f t="shared" si="14"/>
        <v>Georgia</v>
      </c>
      <c r="C248" s="27" t="str">
        <f t="shared" si="15"/>
        <v>Madison</v>
      </c>
      <c r="D248" s="27">
        <v>3188</v>
      </c>
      <c r="E248" s="27">
        <f>'GA post'!L96</f>
        <v>110</v>
      </c>
      <c r="F248" s="97">
        <f>'GA post'!O96</f>
        <v>142.71016311166875</v>
      </c>
      <c r="G248" s="27">
        <v>4799</v>
      </c>
      <c r="H248" s="97">
        <f>'GA post'!Y96</f>
        <v>61.572327044025158</v>
      </c>
      <c r="I248" s="27">
        <v>62624</v>
      </c>
      <c r="J248" s="27">
        <v>48</v>
      </c>
      <c r="K248" s="29">
        <f>'GA post'!AE96</f>
        <v>78350</v>
      </c>
      <c r="L248" s="41">
        <v>1925</v>
      </c>
      <c r="M248" s="4" t="s">
        <v>567</v>
      </c>
      <c r="N248" s="27" t="s">
        <v>2749</v>
      </c>
      <c r="O248" s="27" t="s">
        <v>2748</v>
      </c>
      <c r="P248" s="27" t="s">
        <v>2756</v>
      </c>
      <c r="Q248" s="27" t="s">
        <v>2751</v>
      </c>
      <c r="R248" s="27" t="s">
        <v>2752</v>
      </c>
      <c r="S248" s="27" t="s">
        <v>2753</v>
      </c>
      <c r="T248" s="27" t="s">
        <v>2754</v>
      </c>
      <c r="U248" s="27" t="s">
        <v>2755</v>
      </c>
    </row>
    <row r="249" spans="1:21" x14ac:dyDescent="0.25">
      <c r="A249" s="27" t="s">
        <v>820</v>
      </c>
      <c r="B249" s="27" t="str">
        <f t="shared" si="14"/>
        <v>Georgia</v>
      </c>
      <c r="C249" s="27" t="str">
        <f t="shared" si="15"/>
        <v>Marion</v>
      </c>
      <c r="D249" s="27">
        <v>1468</v>
      </c>
      <c r="E249" s="27">
        <f>'GA post'!L97</f>
        <v>47</v>
      </c>
      <c r="F249" s="97">
        <f>'GA post'!O97</f>
        <v>109.57765667574932</v>
      </c>
      <c r="G249" s="27">
        <v>2015</v>
      </c>
      <c r="H249" s="97">
        <f>'GA post'!Y97</f>
        <v>44.732692307692304</v>
      </c>
      <c r="I249" s="27">
        <v>42595</v>
      </c>
      <c r="J249" s="27">
        <v>45</v>
      </c>
      <c r="K249" s="29">
        <f>'GA post'!AE97</f>
        <v>72000</v>
      </c>
      <c r="L249" s="41">
        <v>1925</v>
      </c>
      <c r="M249" s="4" t="s">
        <v>567</v>
      </c>
      <c r="N249" s="27" t="s">
        <v>2749</v>
      </c>
      <c r="O249" s="27" t="s">
        <v>2748</v>
      </c>
      <c r="P249" s="27" t="s">
        <v>2756</v>
      </c>
      <c r="Q249" s="27" t="s">
        <v>2751</v>
      </c>
      <c r="R249" s="27" t="s">
        <v>2757</v>
      </c>
      <c r="S249" s="27" t="s">
        <v>2758</v>
      </c>
      <c r="T249" s="27" t="s">
        <v>2754</v>
      </c>
      <c r="U249" s="27" t="s">
        <v>2755</v>
      </c>
    </row>
    <row r="250" spans="1:21" x14ac:dyDescent="0.25">
      <c r="A250" s="27" t="s">
        <v>821</v>
      </c>
      <c r="B250" s="27" t="str">
        <f t="shared" si="14"/>
        <v>Georgia</v>
      </c>
      <c r="C250" s="27" t="str">
        <f t="shared" si="15"/>
        <v>Meriwether</v>
      </c>
      <c r="D250" s="27">
        <v>4226</v>
      </c>
      <c r="E250" s="27">
        <f>'GA post'!L98</f>
        <v>138</v>
      </c>
      <c r="F250" s="97">
        <f>'GA post'!O98</f>
        <v>180</v>
      </c>
      <c r="G250" s="27">
        <v>5695</v>
      </c>
      <c r="H250" s="97">
        <f>'GA post'!Y98</f>
        <v>59.927536231884055</v>
      </c>
      <c r="I250" s="27">
        <v>84794</v>
      </c>
      <c r="J250" s="27">
        <v>74</v>
      </c>
      <c r="K250" s="29">
        <f>'GA post'!AE98</f>
        <v>156507</v>
      </c>
      <c r="L250" s="41">
        <v>1925</v>
      </c>
      <c r="M250" s="4" t="s">
        <v>567</v>
      </c>
      <c r="N250" s="27" t="s">
        <v>2749</v>
      </c>
      <c r="O250" s="27" t="s">
        <v>2748</v>
      </c>
      <c r="P250" s="27" t="s">
        <v>2756</v>
      </c>
      <c r="Q250" s="27" t="s">
        <v>2751</v>
      </c>
      <c r="R250" s="27" t="s">
        <v>2757</v>
      </c>
      <c r="S250" s="27" t="s">
        <v>2758</v>
      </c>
      <c r="T250" s="27" t="s">
        <v>2754</v>
      </c>
      <c r="U250" s="27" t="s">
        <v>2755</v>
      </c>
    </row>
    <row r="251" spans="1:21" x14ac:dyDescent="0.25">
      <c r="A251" s="27" t="s">
        <v>822</v>
      </c>
      <c r="B251" s="27" t="str">
        <f t="shared" si="14"/>
        <v>Georgia</v>
      </c>
      <c r="C251" s="27" t="str">
        <f t="shared" si="15"/>
        <v>Miller</v>
      </c>
      <c r="D251" s="27">
        <v>1700</v>
      </c>
      <c r="E251" s="27">
        <f>'GA post'!L99</f>
        <v>69</v>
      </c>
      <c r="F251" s="97">
        <f>'GA post'!O99</f>
        <v>160.58823529411765</v>
      </c>
      <c r="G251" s="27">
        <v>2272</v>
      </c>
      <c r="H251" s="97">
        <f>'GA post'!Y99</f>
        <v>65.518198198198206</v>
      </c>
      <c r="I251" s="27">
        <v>31570</v>
      </c>
      <c r="J251" s="27">
        <v>34</v>
      </c>
      <c r="K251" s="29">
        <f>'GA post'!AE99</f>
        <v>41500</v>
      </c>
      <c r="L251" s="41">
        <v>1925</v>
      </c>
      <c r="M251" s="4" t="s">
        <v>567</v>
      </c>
      <c r="N251" s="27" t="s">
        <v>2749</v>
      </c>
      <c r="O251" s="27" t="s">
        <v>2748</v>
      </c>
      <c r="P251" s="27" t="s">
        <v>2756</v>
      </c>
      <c r="Q251" s="27" t="s">
        <v>2751</v>
      </c>
      <c r="R251" s="27" t="s">
        <v>2757</v>
      </c>
      <c r="S251" s="27" t="s">
        <v>2758</v>
      </c>
      <c r="T251" s="27" t="s">
        <v>2754</v>
      </c>
      <c r="U251" s="27" t="s">
        <v>2755</v>
      </c>
    </row>
    <row r="252" spans="1:21" x14ac:dyDescent="0.25">
      <c r="A252" s="27" t="s">
        <v>823</v>
      </c>
      <c r="B252" s="27" t="str">
        <f t="shared" si="14"/>
        <v>Georgia</v>
      </c>
      <c r="C252" s="27" t="str">
        <f t="shared" si="15"/>
        <v>Milton</v>
      </c>
      <c r="D252" s="27">
        <v>1259</v>
      </c>
      <c r="E252" s="27">
        <f>'GA post'!L100</f>
        <v>16</v>
      </c>
      <c r="F252" s="97">
        <f>'GA post'!O100</f>
        <v>125.81413820492455</v>
      </c>
      <c r="G252" s="27">
        <v>1776</v>
      </c>
      <c r="H252" s="97">
        <f>'GA post'!Y100</f>
        <v>54.113425925925924</v>
      </c>
      <c r="I252" s="27">
        <v>21791</v>
      </c>
      <c r="J252" s="27">
        <v>25</v>
      </c>
      <c r="K252" s="29">
        <f>'GA post'!AE100</f>
        <v>35300</v>
      </c>
      <c r="L252" s="41">
        <v>1925</v>
      </c>
      <c r="M252" s="4" t="s">
        <v>567</v>
      </c>
      <c r="N252" s="27" t="s">
        <v>2749</v>
      </c>
      <c r="O252" s="27" t="s">
        <v>2748</v>
      </c>
      <c r="P252" s="27" t="s">
        <v>2756</v>
      </c>
      <c r="Q252" s="27" t="s">
        <v>2751</v>
      </c>
      <c r="R252" s="27" t="s">
        <v>2757</v>
      </c>
      <c r="S252" s="27" t="s">
        <v>2758</v>
      </c>
      <c r="T252" s="27" t="s">
        <v>2754</v>
      </c>
      <c r="U252" s="27" t="s">
        <v>2755</v>
      </c>
    </row>
    <row r="253" spans="1:21" x14ac:dyDescent="0.25">
      <c r="A253" s="27" t="s">
        <v>824</v>
      </c>
      <c r="B253" s="27" t="str">
        <f t="shared" si="14"/>
        <v>Georgia</v>
      </c>
      <c r="C253" s="27" t="str">
        <f t="shared" si="15"/>
        <v>Mitchell</v>
      </c>
      <c r="D253" s="27">
        <v>4404</v>
      </c>
      <c r="E253" s="27">
        <f>'GA post'!L101</f>
        <v>181</v>
      </c>
      <c r="F253" s="97">
        <f>'GA post'!O101</f>
        <v>140</v>
      </c>
      <c r="G253" s="27">
        <v>6557</v>
      </c>
      <c r="H253" s="97">
        <f>'GA post'!Y101</f>
        <v>126.58034727703237</v>
      </c>
      <c r="I253" s="27">
        <v>116733</v>
      </c>
      <c r="J253" s="27">
        <v>64</v>
      </c>
      <c r="K253" s="29">
        <f>'GA post'!AE101</f>
        <v>207341</v>
      </c>
      <c r="L253" s="41">
        <v>1925</v>
      </c>
      <c r="M253" s="4" t="s">
        <v>567</v>
      </c>
      <c r="N253" s="27" t="s">
        <v>2749</v>
      </c>
      <c r="O253" s="27" t="s">
        <v>2748</v>
      </c>
      <c r="P253" s="27" t="s">
        <v>2756</v>
      </c>
      <c r="Q253" s="27" t="s">
        <v>2751</v>
      </c>
      <c r="R253" s="27" t="s">
        <v>2757</v>
      </c>
      <c r="S253" s="27" t="s">
        <v>2758</v>
      </c>
      <c r="T253" s="27" t="s">
        <v>2754</v>
      </c>
      <c r="U253" s="27" t="s">
        <v>2755</v>
      </c>
    </row>
    <row r="254" spans="1:21" x14ac:dyDescent="0.25">
      <c r="A254" s="27" t="s">
        <v>825</v>
      </c>
      <c r="B254" s="27" t="str">
        <f t="shared" si="14"/>
        <v>Georgia</v>
      </c>
      <c r="C254" s="27" t="str">
        <f t="shared" si="15"/>
        <v>Monroe</v>
      </c>
      <c r="D254" s="27">
        <v>3350</v>
      </c>
      <c r="E254" s="27">
        <f>'GA post'!L102</f>
        <v>31</v>
      </c>
      <c r="F254" s="97"/>
      <c r="G254" s="27">
        <v>3602</v>
      </c>
      <c r="H254" s="97"/>
      <c r="I254" s="27">
        <v>89371</v>
      </c>
      <c r="J254" s="27">
        <v>33</v>
      </c>
      <c r="K254" s="29">
        <f>'GA post'!AE102</f>
        <v>116000</v>
      </c>
      <c r="L254" s="41">
        <v>1925</v>
      </c>
      <c r="M254" s="4" t="s">
        <v>567</v>
      </c>
      <c r="N254" s="27" t="s">
        <v>2749</v>
      </c>
      <c r="O254" s="27" t="s">
        <v>2748</v>
      </c>
      <c r="P254" s="27" t="s">
        <v>2756</v>
      </c>
      <c r="Q254" s="27" t="s">
        <v>2751</v>
      </c>
      <c r="R254" s="27" t="s">
        <v>2757</v>
      </c>
      <c r="S254" s="27" t="s">
        <v>2758</v>
      </c>
      <c r="T254" s="27" t="s">
        <v>2754</v>
      </c>
      <c r="U254" s="27" t="s">
        <v>2755</v>
      </c>
    </row>
    <row r="255" spans="1:21" x14ac:dyDescent="0.25">
      <c r="A255" s="27" t="s">
        <v>826</v>
      </c>
      <c r="B255" s="27" t="str">
        <f t="shared" si="14"/>
        <v>Georgia</v>
      </c>
      <c r="C255" s="27" t="str">
        <f t="shared" si="15"/>
        <v>Montgomery</v>
      </c>
      <c r="D255" s="27">
        <v>1747</v>
      </c>
      <c r="E255" s="27">
        <f>'GA post'!L103</f>
        <v>73</v>
      </c>
      <c r="F255" s="97">
        <f>'GA post'!O103</f>
        <v>120</v>
      </c>
      <c r="G255" s="27">
        <v>2844</v>
      </c>
      <c r="H255" s="97">
        <f>'GA post'!Y103</f>
        <v>58.470867579908678</v>
      </c>
      <c r="I255" s="27">
        <v>28821</v>
      </c>
      <c r="J255" s="27">
        <v>40</v>
      </c>
      <c r="K255" s="29">
        <f>'GA post'!AE103</f>
        <v>126300</v>
      </c>
      <c r="L255" s="41">
        <v>1925</v>
      </c>
      <c r="M255" s="4" t="s">
        <v>567</v>
      </c>
      <c r="N255" s="27" t="s">
        <v>2749</v>
      </c>
      <c r="O255" s="27" t="s">
        <v>2748</v>
      </c>
      <c r="P255" s="27" t="s">
        <v>2756</v>
      </c>
      <c r="Q255" s="27" t="s">
        <v>2751</v>
      </c>
      <c r="R255" s="27" t="s">
        <v>2757</v>
      </c>
      <c r="S255" s="27" t="s">
        <v>2758</v>
      </c>
      <c r="T255" s="27" t="s">
        <v>2754</v>
      </c>
      <c r="U255" s="27" t="s">
        <v>2755</v>
      </c>
    </row>
    <row r="256" spans="1:21" x14ac:dyDescent="0.25">
      <c r="A256" s="27" t="s">
        <v>827</v>
      </c>
      <c r="B256" s="27" t="str">
        <f t="shared" si="14"/>
        <v>Georgia</v>
      </c>
      <c r="C256" s="27" t="str">
        <f t="shared" si="15"/>
        <v>Morgan</v>
      </c>
      <c r="D256" s="27">
        <v>2792</v>
      </c>
      <c r="E256" s="27">
        <f>'GA post'!L104</f>
        <v>95</v>
      </c>
      <c r="F256" s="97">
        <f>'GA post'!O104</f>
        <v>140.93660458452723</v>
      </c>
      <c r="G256" s="27">
        <v>4044</v>
      </c>
      <c r="H256" s="97">
        <f>'GA post'!Y104</f>
        <v>114.33785298398834</v>
      </c>
      <c r="I256" s="27">
        <v>26107</v>
      </c>
      <c r="J256" s="27">
        <v>65</v>
      </c>
      <c r="K256" s="29">
        <f>'GA post'!AE104</f>
        <v>173500</v>
      </c>
      <c r="L256" s="41">
        <v>1925</v>
      </c>
      <c r="M256" s="4" t="s">
        <v>567</v>
      </c>
      <c r="N256" s="27" t="s">
        <v>2749</v>
      </c>
      <c r="O256" s="27" t="s">
        <v>2748</v>
      </c>
      <c r="P256" s="27" t="s">
        <v>2756</v>
      </c>
      <c r="Q256" s="27" t="s">
        <v>2751</v>
      </c>
      <c r="R256" s="27" t="s">
        <v>2757</v>
      </c>
      <c r="S256" s="27" t="s">
        <v>2758</v>
      </c>
      <c r="T256" s="27" t="s">
        <v>2754</v>
      </c>
      <c r="U256" s="27" t="s">
        <v>2755</v>
      </c>
    </row>
    <row r="257" spans="1:21" x14ac:dyDescent="0.25">
      <c r="A257" s="27" t="s">
        <v>828</v>
      </c>
      <c r="B257" s="27" t="str">
        <f t="shared" si="14"/>
        <v>Georgia</v>
      </c>
      <c r="C257" s="27" t="str">
        <f t="shared" si="15"/>
        <v>Murray</v>
      </c>
      <c r="D257" s="27">
        <v>1691</v>
      </c>
      <c r="E257" s="27">
        <f>'GA post'!L105</f>
        <v>63</v>
      </c>
      <c r="F257" s="97">
        <f>'GA post'!O105</f>
        <v>100</v>
      </c>
      <c r="G257" s="27">
        <v>2688</v>
      </c>
      <c r="H257" s="97">
        <f>'GA post'!Y105</f>
        <v>63.095079365079357</v>
      </c>
      <c r="I257" s="27">
        <v>42809</v>
      </c>
      <c r="J257" s="27">
        <v>37</v>
      </c>
      <c r="K257" s="29">
        <f>'GA post'!AE105</f>
        <v>75238</v>
      </c>
      <c r="L257" s="41">
        <v>1925</v>
      </c>
      <c r="M257" s="4" t="s">
        <v>567</v>
      </c>
      <c r="N257" s="27" t="s">
        <v>2749</v>
      </c>
      <c r="O257" s="27" t="s">
        <v>2748</v>
      </c>
      <c r="P257" s="27" t="s">
        <v>2756</v>
      </c>
      <c r="Q257" s="27" t="s">
        <v>2751</v>
      </c>
      <c r="R257" s="27" t="s">
        <v>2757</v>
      </c>
      <c r="S257" s="27" t="s">
        <v>2758</v>
      </c>
      <c r="T257" s="27" t="s">
        <v>2754</v>
      </c>
      <c r="U257" s="27" t="s">
        <v>2755</v>
      </c>
    </row>
    <row r="258" spans="1:21" x14ac:dyDescent="0.25">
      <c r="A258" s="27" t="s">
        <v>829</v>
      </c>
      <c r="B258" s="27" t="str">
        <f t="shared" ref="B258:B321" si="16">LEFT(A258,FIND(";",A258)-1)</f>
        <v>Georgia</v>
      </c>
      <c r="C258" s="27" t="str">
        <f t="shared" ref="C258:C321" si="17">MID(A258,FIND(";",A258)+1,100)</f>
        <v>Muscogee</v>
      </c>
      <c r="D258" s="27">
        <v>8903</v>
      </c>
      <c r="E258" s="27">
        <f>'GA post'!L106</f>
        <v>230</v>
      </c>
      <c r="F258" s="97">
        <f>'GA post'!O106</f>
        <v>162.47646860608785</v>
      </c>
      <c r="G258" s="27">
        <v>11096</v>
      </c>
      <c r="H258" s="97">
        <f>'GA post'!Y106</f>
        <v>140.11128919491526</v>
      </c>
      <c r="I258" s="27">
        <v>338622</v>
      </c>
      <c r="J258" s="27">
        <v>49</v>
      </c>
      <c r="K258" s="29">
        <f>'GA post'!AE106</f>
        <v>1130000</v>
      </c>
      <c r="L258" s="41">
        <v>1925</v>
      </c>
      <c r="M258" s="4" t="s">
        <v>567</v>
      </c>
      <c r="N258" s="27" t="s">
        <v>2749</v>
      </c>
      <c r="O258" s="27" t="s">
        <v>2748</v>
      </c>
      <c r="P258" s="27" t="s">
        <v>2756</v>
      </c>
      <c r="Q258" s="27" t="s">
        <v>2751</v>
      </c>
      <c r="R258" s="27" t="s">
        <v>2757</v>
      </c>
      <c r="S258" s="27" t="s">
        <v>2758</v>
      </c>
      <c r="T258" s="27" t="s">
        <v>2754</v>
      </c>
      <c r="U258" s="27" t="s">
        <v>2755</v>
      </c>
    </row>
    <row r="259" spans="1:21" x14ac:dyDescent="0.25">
      <c r="A259" s="27" t="s">
        <v>816</v>
      </c>
      <c r="B259" s="27" t="str">
        <f t="shared" si="16"/>
        <v>Georgia</v>
      </c>
      <c r="C259" s="27" t="str">
        <f t="shared" si="17"/>
        <v>McDuffie</v>
      </c>
      <c r="D259" s="27">
        <v>2328</v>
      </c>
      <c r="E259" s="27">
        <f>'GA post'!L107</f>
        <v>53</v>
      </c>
      <c r="F259" s="97">
        <f>'GA post'!O107</f>
        <v>135.74742268041237</v>
      </c>
      <c r="G259" s="27">
        <v>2775</v>
      </c>
      <c r="H259" s="97">
        <f>'GA post'!Y107</f>
        <v>56.143087431693992</v>
      </c>
      <c r="I259" s="27">
        <v>29204</v>
      </c>
      <c r="J259" s="27">
        <v>42</v>
      </c>
      <c r="K259" s="29">
        <f>'GA post'!AE107</f>
        <v>88000</v>
      </c>
      <c r="L259" s="41">
        <v>1925</v>
      </c>
      <c r="M259" s="4" t="s">
        <v>567</v>
      </c>
      <c r="N259" s="27" t="s">
        <v>2749</v>
      </c>
      <c r="O259" s="27" t="s">
        <v>2748</v>
      </c>
      <c r="P259" s="27" t="s">
        <v>2756</v>
      </c>
      <c r="Q259" s="27" t="s">
        <v>2751</v>
      </c>
      <c r="R259" s="27" t="s">
        <v>2757</v>
      </c>
      <c r="S259" s="27" t="s">
        <v>2758</v>
      </c>
      <c r="T259" s="27" t="s">
        <v>2754</v>
      </c>
      <c r="U259" s="27" t="s">
        <v>2755</v>
      </c>
    </row>
    <row r="260" spans="1:21" x14ac:dyDescent="0.25">
      <c r="A260" s="27" t="s">
        <v>817</v>
      </c>
      <c r="B260" s="27" t="str">
        <f t="shared" si="16"/>
        <v>Georgia</v>
      </c>
      <c r="C260" s="27" t="str">
        <f t="shared" si="17"/>
        <v>McIntosh</v>
      </c>
      <c r="D260" s="27">
        <v>1352</v>
      </c>
      <c r="E260" s="27">
        <f>'GA post'!L108</f>
        <v>34</v>
      </c>
      <c r="F260" s="97">
        <f>'GA post'!O108</f>
        <v>160</v>
      </c>
      <c r="G260" s="27">
        <v>1664</v>
      </c>
      <c r="H260" s="97">
        <f>'GA post'!Y108</f>
        <v>33.867647058823529</v>
      </c>
      <c r="I260" s="27">
        <v>16984</v>
      </c>
      <c r="J260" s="27">
        <v>10</v>
      </c>
      <c r="K260" s="29">
        <f>'GA post'!AE108</f>
        <v>77500</v>
      </c>
      <c r="L260" s="41">
        <v>1925</v>
      </c>
      <c r="M260" s="4" t="s">
        <v>567</v>
      </c>
      <c r="N260" s="27" t="s">
        <v>2749</v>
      </c>
      <c r="O260" s="27" t="s">
        <v>2748</v>
      </c>
      <c r="P260" s="27" t="s">
        <v>2756</v>
      </c>
      <c r="Q260" s="27" t="s">
        <v>2751</v>
      </c>
      <c r="R260" s="27" t="s">
        <v>2757</v>
      </c>
      <c r="S260" s="27" t="s">
        <v>2758</v>
      </c>
      <c r="T260" s="27" t="s">
        <v>2754</v>
      </c>
      <c r="U260" s="27" t="s">
        <v>2755</v>
      </c>
    </row>
    <row r="261" spans="1:21" x14ac:dyDescent="0.25">
      <c r="A261" s="27" t="s">
        <v>830</v>
      </c>
      <c r="B261" s="27" t="str">
        <f t="shared" si="16"/>
        <v>Georgia</v>
      </c>
      <c r="C261" s="27" t="str">
        <f t="shared" si="17"/>
        <v>Newton</v>
      </c>
      <c r="D261" s="27">
        <v>3733</v>
      </c>
      <c r="E261" s="27">
        <f>'GA post'!L109</f>
        <v>120</v>
      </c>
      <c r="F261" s="97">
        <f>'GA post'!O109</f>
        <v>140</v>
      </c>
      <c r="G261" s="27">
        <v>5088</v>
      </c>
      <c r="H261" s="97">
        <f>'GA post'!Y109</f>
        <v>118.22254761904763</v>
      </c>
      <c r="I261" s="27">
        <v>66679</v>
      </c>
      <c r="J261" s="27">
        <v>47</v>
      </c>
      <c r="K261" s="29">
        <f>'GA post'!AE109</f>
        <v>210000</v>
      </c>
      <c r="L261" s="41">
        <v>1925</v>
      </c>
      <c r="M261" s="4" t="s">
        <v>567</v>
      </c>
      <c r="N261" s="27" t="s">
        <v>2749</v>
      </c>
      <c r="O261" s="27" t="s">
        <v>2748</v>
      </c>
      <c r="P261" s="27" t="s">
        <v>2756</v>
      </c>
      <c r="Q261" s="27" t="s">
        <v>2751</v>
      </c>
      <c r="R261" s="27" t="s">
        <v>2757</v>
      </c>
      <c r="S261" s="27" t="s">
        <v>2758</v>
      </c>
      <c r="T261" s="27" t="s">
        <v>2754</v>
      </c>
      <c r="U261" s="27" t="s">
        <v>2755</v>
      </c>
    </row>
    <row r="262" spans="1:21" x14ac:dyDescent="0.25">
      <c r="A262" s="27" t="s">
        <v>831</v>
      </c>
      <c r="B262" s="27" t="str">
        <f t="shared" si="16"/>
        <v>Georgia</v>
      </c>
      <c r="C262" s="27" t="str">
        <f t="shared" si="17"/>
        <v>Oconee</v>
      </c>
      <c r="D262" s="27">
        <v>1670</v>
      </c>
      <c r="E262" s="27">
        <f>'GA post'!L110</f>
        <v>61</v>
      </c>
      <c r="F262" s="97">
        <f>'GA post'!O110</f>
        <v>120</v>
      </c>
      <c r="G262" s="27">
        <v>2020</v>
      </c>
      <c r="H262" s="97">
        <f>'GA post'!Y110</f>
        <v>55.355874316939889</v>
      </c>
      <c r="I262" s="27">
        <v>22288</v>
      </c>
      <c r="J262" s="27">
        <v>33</v>
      </c>
      <c r="K262" s="29">
        <f>'GA post'!AE110</f>
        <v>55200</v>
      </c>
      <c r="L262" s="41">
        <v>1925</v>
      </c>
      <c r="M262" s="4" t="s">
        <v>567</v>
      </c>
      <c r="N262" s="27" t="s">
        <v>2749</v>
      </c>
      <c r="O262" s="27" t="s">
        <v>2748</v>
      </c>
      <c r="P262" s="27" t="s">
        <v>2756</v>
      </c>
      <c r="Q262" s="27" t="s">
        <v>2751</v>
      </c>
      <c r="R262" s="27" t="s">
        <v>2757</v>
      </c>
      <c r="S262" s="27" t="s">
        <v>2758</v>
      </c>
      <c r="T262" s="27" t="s">
        <v>2754</v>
      </c>
      <c r="U262" s="27" t="s">
        <v>2755</v>
      </c>
    </row>
    <row r="263" spans="1:21" x14ac:dyDescent="0.25">
      <c r="A263" s="27" t="s">
        <v>832</v>
      </c>
      <c r="B263" s="27" t="str">
        <f t="shared" si="16"/>
        <v>Georgia</v>
      </c>
      <c r="C263" s="27" t="str">
        <f t="shared" si="17"/>
        <v>Oglethorpe</v>
      </c>
      <c r="D263" s="27">
        <v>3233</v>
      </c>
      <c r="E263" s="27">
        <f>'GA post'!L111</f>
        <v>111</v>
      </c>
      <c r="F263" s="97">
        <f>'GA post'!O111</f>
        <v>120</v>
      </c>
      <c r="G263" s="27">
        <v>4819</v>
      </c>
      <c r="H263" s="97">
        <f>'GA post'!Y111</f>
        <v>57.886636636636638</v>
      </c>
      <c r="I263" s="27">
        <v>38501</v>
      </c>
      <c r="J263" s="27">
        <v>77</v>
      </c>
      <c r="K263" s="29">
        <f>'GA post'!AE111</f>
        <v>67500</v>
      </c>
      <c r="L263" s="41">
        <v>1925</v>
      </c>
      <c r="M263" s="4" t="s">
        <v>567</v>
      </c>
      <c r="N263" s="27" t="s">
        <v>2749</v>
      </c>
      <c r="O263" s="27" t="s">
        <v>2748</v>
      </c>
      <c r="P263" s="27" t="s">
        <v>2756</v>
      </c>
      <c r="Q263" s="27" t="s">
        <v>2751</v>
      </c>
      <c r="R263" s="27" t="s">
        <v>2757</v>
      </c>
      <c r="S263" s="27" t="s">
        <v>2758</v>
      </c>
      <c r="T263" s="27" t="s">
        <v>2754</v>
      </c>
      <c r="U263" s="27" t="s">
        <v>2755</v>
      </c>
    </row>
    <row r="264" spans="1:21" x14ac:dyDescent="0.25">
      <c r="A264" s="27" t="s">
        <v>833</v>
      </c>
      <c r="B264" s="27" t="str">
        <f t="shared" si="16"/>
        <v>Georgia</v>
      </c>
      <c r="C264" s="27" t="str">
        <f t="shared" si="17"/>
        <v>Paulding</v>
      </c>
      <c r="D264" s="27">
        <v>2344</v>
      </c>
      <c r="E264" s="27">
        <f>'GA post'!L112</f>
        <v>86</v>
      </c>
      <c r="F264" s="97">
        <f>'GA post'!O112</f>
        <v>120</v>
      </c>
      <c r="G264" s="27">
        <v>3685</v>
      </c>
      <c r="H264" s="97">
        <f>'GA post'!Y112</f>
        <v>71.96377906976744</v>
      </c>
      <c r="I264" s="27">
        <v>39584</v>
      </c>
      <c r="J264" s="27">
        <v>48</v>
      </c>
      <c r="K264" s="29">
        <f>'GA post'!AE112</f>
        <v>78000</v>
      </c>
      <c r="L264" s="41">
        <v>1925</v>
      </c>
      <c r="M264" s="4" t="s">
        <v>567</v>
      </c>
      <c r="N264" s="27" t="s">
        <v>2749</v>
      </c>
      <c r="O264" s="27" t="s">
        <v>2748</v>
      </c>
      <c r="P264" s="27" t="s">
        <v>2756</v>
      </c>
      <c r="Q264" s="27" t="s">
        <v>2751</v>
      </c>
      <c r="R264" s="27" t="s">
        <v>2757</v>
      </c>
      <c r="S264" s="27" t="s">
        <v>2758</v>
      </c>
      <c r="T264" s="27" t="s">
        <v>2754</v>
      </c>
      <c r="U264" s="27" t="s">
        <v>2755</v>
      </c>
    </row>
    <row r="265" spans="1:21" x14ac:dyDescent="0.25">
      <c r="A265" s="27" t="s">
        <v>835</v>
      </c>
      <c r="B265" s="27" t="str">
        <f t="shared" si="16"/>
        <v>Georgia</v>
      </c>
      <c r="C265" s="27" t="str">
        <f t="shared" si="17"/>
        <v>Pickens</v>
      </c>
      <c r="D265" s="27">
        <v>2086</v>
      </c>
      <c r="E265" s="27">
        <f>'GA post'!L113</f>
        <v>73</v>
      </c>
      <c r="F265" s="97">
        <f>'GA post'!O113</f>
        <v>139.44391179290508</v>
      </c>
      <c r="G265" s="27">
        <v>2951</v>
      </c>
      <c r="H265" s="97">
        <f>'GA post'!Y113</f>
        <v>127.74114173228345</v>
      </c>
      <c r="I265" s="27">
        <v>44479</v>
      </c>
      <c r="J265" s="27">
        <v>33</v>
      </c>
      <c r="K265" s="29">
        <f>'GA post'!AE113</f>
        <v>87000</v>
      </c>
      <c r="L265" s="41">
        <v>1925</v>
      </c>
      <c r="M265" s="4" t="s">
        <v>567</v>
      </c>
      <c r="N265" s="27" t="s">
        <v>2749</v>
      </c>
      <c r="O265" s="27" t="s">
        <v>2748</v>
      </c>
      <c r="P265" s="27" t="s">
        <v>2756</v>
      </c>
      <c r="Q265" s="27" t="s">
        <v>2751</v>
      </c>
      <c r="R265" s="27" t="s">
        <v>2757</v>
      </c>
      <c r="S265" s="27" t="s">
        <v>2758</v>
      </c>
      <c r="T265" s="27" t="s">
        <v>2754</v>
      </c>
      <c r="U265" s="27" t="s">
        <v>2755</v>
      </c>
    </row>
    <row r="266" spans="1:21" x14ac:dyDescent="0.25">
      <c r="A266" s="27" t="s">
        <v>836</v>
      </c>
      <c r="B266" s="27" t="str">
        <f t="shared" si="16"/>
        <v>Georgia</v>
      </c>
      <c r="C266" s="27" t="str">
        <f t="shared" si="17"/>
        <v>Pierce</v>
      </c>
      <c r="D266" s="27">
        <v>2641</v>
      </c>
      <c r="E266" s="27">
        <f>'GA post'!L114</f>
        <v>75</v>
      </c>
      <c r="F266" s="97">
        <f>'GA post'!O114</f>
        <v>100</v>
      </c>
      <c r="G266" s="27">
        <v>3255</v>
      </c>
      <c r="H266" s="97">
        <f>'GA post'!Y114</f>
        <v>137.37773333333334</v>
      </c>
      <c r="I266" s="27">
        <v>21244</v>
      </c>
      <c r="J266" s="27">
        <v>36</v>
      </c>
      <c r="K266" s="29">
        <f>'GA post'!AE114</f>
        <v>132960</v>
      </c>
      <c r="L266" s="41">
        <v>1925</v>
      </c>
      <c r="M266" s="4" t="s">
        <v>567</v>
      </c>
      <c r="N266" s="27" t="s">
        <v>2749</v>
      </c>
      <c r="O266" s="27" t="s">
        <v>2748</v>
      </c>
      <c r="P266" s="27" t="s">
        <v>2756</v>
      </c>
      <c r="Q266" s="27" t="s">
        <v>2751</v>
      </c>
      <c r="R266" s="27" t="s">
        <v>2757</v>
      </c>
      <c r="S266" s="27" t="s">
        <v>2758</v>
      </c>
      <c r="T266" s="27" t="s">
        <v>2754</v>
      </c>
      <c r="U266" s="27" t="s">
        <v>2755</v>
      </c>
    </row>
    <row r="267" spans="1:21" x14ac:dyDescent="0.25">
      <c r="A267" s="27" t="s">
        <v>837</v>
      </c>
      <c r="B267" s="27" t="str">
        <f t="shared" si="16"/>
        <v>Georgia</v>
      </c>
      <c r="C267" s="27" t="str">
        <f t="shared" si="17"/>
        <v>Pike</v>
      </c>
      <c r="D267" s="27">
        <v>2377</v>
      </c>
      <c r="E267" s="27">
        <f>'GA post'!L115</f>
        <v>78</v>
      </c>
      <c r="F267" s="97">
        <f>'GA post'!O115</f>
        <v>142.66722759781237</v>
      </c>
      <c r="G267" s="27">
        <v>3095</v>
      </c>
      <c r="H267" s="97">
        <f>'GA post'!Y115</f>
        <v>65.862676056338032</v>
      </c>
      <c r="I267" s="27">
        <v>42439</v>
      </c>
      <c r="J267" s="27">
        <v>39</v>
      </c>
      <c r="K267" s="29">
        <f>'GA post'!AE115</f>
        <v>32200</v>
      </c>
      <c r="L267" s="41">
        <v>1925</v>
      </c>
      <c r="M267" s="4" t="s">
        <v>567</v>
      </c>
      <c r="N267" s="27" t="s">
        <v>2749</v>
      </c>
      <c r="O267" s="27" t="s">
        <v>2748</v>
      </c>
      <c r="P267" s="27" t="s">
        <v>2756</v>
      </c>
      <c r="Q267" s="27" t="s">
        <v>2751</v>
      </c>
      <c r="R267" s="27" t="s">
        <v>2757</v>
      </c>
      <c r="S267" s="27" t="s">
        <v>2758</v>
      </c>
      <c r="T267" s="27" t="s">
        <v>2754</v>
      </c>
      <c r="U267" s="27" t="s">
        <v>2755</v>
      </c>
    </row>
    <row r="268" spans="1:21" x14ac:dyDescent="0.25">
      <c r="A268" s="27" t="s">
        <v>838</v>
      </c>
      <c r="B268" s="27" t="str">
        <f t="shared" si="16"/>
        <v>Georgia</v>
      </c>
      <c r="C268" s="27" t="str">
        <f t="shared" si="17"/>
        <v>Polk</v>
      </c>
      <c r="D268" s="27">
        <v>3006</v>
      </c>
      <c r="E268" s="27">
        <f>'GA post'!L116</f>
        <v>116</v>
      </c>
      <c r="F268" s="97">
        <f>'GA post'!O116</f>
        <v>135.55555555555554</v>
      </c>
      <c r="G268" s="27">
        <v>5055</v>
      </c>
      <c r="H268" s="97">
        <f>'GA post'!Y116</f>
        <v>147.6436305732484</v>
      </c>
      <c r="I268" s="27">
        <v>90690</v>
      </c>
      <c r="J268" s="27">
        <v>48</v>
      </c>
      <c r="K268" s="29">
        <f>'GA post'!AE116</f>
        <v>192050</v>
      </c>
      <c r="L268" s="41">
        <v>1925</v>
      </c>
      <c r="M268" s="4" t="s">
        <v>567</v>
      </c>
      <c r="N268" s="27" t="s">
        <v>2749</v>
      </c>
      <c r="O268" s="27" t="s">
        <v>2748</v>
      </c>
      <c r="P268" s="27" t="s">
        <v>2756</v>
      </c>
      <c r="Q268" s="27" t="s">
        <v>2751</v>
      </c>
      <c r="R268" s="27" t="s">
        <v>2757</v>
      </c>
      <c r="S268" s="27" t="s">
        <v>2758</v>
      </c>
      <c r="T268" s="27" t="s">
        <v>2754</v>
      </c>
      <c r="U268" s="27" t="s">
        <v>2755</v>
      </c>
    </row>
    <row r="269" spans="1:21" x14ac:dyDescent="0.25">
      <c r="A269" s="27" t="s">
        <v>839</v>
      </c>
      <c r="B269" s="27" t="str">
        <f t="shared" si="16"/>
        <v>Georgia</v>
      </c>
      <c r="C269" s="27" t="str">
        <f t="shared" si="17"/>
        <v>Pulaski</v>
      </c>
      <c r="D269" s="27">
        <v>1573</v>
      </c>
      <c r="E269" s="27">
        <f>'GA post'!L117</f>
        <v>69</v>
      </c>
      <c r="F269" s="97">
        <f>'GA post'!O117</f>
        <v>123.42021614748887</v>
      </c>
      <c r="G269" s="27">
        <v>2915</v>
      </c>
      <c r="H269" s="97">
        <f>'GA post'!Y117</f>
        <v>114.26541966426858</v>
      </c>
      <c r="I269" s="27">
        <v>49463</v>
      </c>
      <c r="J269" s="27">
        <v>26</v>
      </c>
      <c r="K269" s="29">
        <f>'GA post'!AE117</f>
        <v>112500</v>
      </c>
      <c r="L269" s="41">
        <v>1925</v>
      </c>
      <c r="M269" s="4" t="s">
        <v>567</v>
      </c>
      <c r="N269" s="27" t="s">
        <v>2749</v>
      </c>
      <c r="O269" s="27" t="s">
        <v>2748</v>
      </c>
      <c r="P269" s="27" t="s">
        <v>2756</v>
      </c>
      <c r="Q269" s="27" t="s">
        <v>2751</v>
      </c>
      <c r="R269" s="27" t="s">
        <v>2757</v>
      </c>
      <c r="S269" s="27" t="s">
        <v>2758</v>
      </c>
      <c r="T269" s="27" t="s">
        <v>2754</v>
      </c>
      <c r="U269" s="27" t="s">
        <v>2755</v>
      </c>
    </row>
    <row r="270" spans="1:21" x14ac:dyDescent="0.25">
      <c r="A270" s="27" t="s">
        <v>840</v>
      </c>
      <c r="B270" s="27" t="str">
        <f t="shared" si="16"/>
        <v>Georgia</v>
      </c>
      <c r="C270" s="27" t="str">
        <f t="shared" si="17"/>
        <v>Putnam</v>
      </c>
      <c r="D270" s="27">
        <v>1451</v>
      </c>
      <c r="E270" s="27">
        <f>'GA post'!L118</f>
        <v>57</v>
      </c>
      <c r="F270" s="97">
        <f>'GA post'!O118</f>
        <v>128.7250172294969</v>
      </c>
      <c r="G270" s="27">
        <v>2235</v>
      </c>
      <c r="H270" s="97">
        <f>'GA post'!Y118</f>
        <v>59.835971223021581</v>
      </c>
      <c r="I270" s="27">
        <v>27943</v>
      </c>
      <c r="J270" s="27">
        <v>43</v>
      </c>
      <c r="K270" s="29">
        <f>'GA post'!AE118</f>
        <v>70250</v>
      </c>
      <c r="L270" s="41">
        <v>1925</v>
      </c>
      <c r="M270" s="4" t="s">
        <v>567</v>
      </c>
      <c r="N270" s="27" t="s">
        <v>2749</v>
      </c>
      <c r="O270" s="27" t="s">
        <v>2748</v>
      </c>
      <c r="P270" s="27" t="s">
        <v>2756</v>
      </c>
      <c r="Q270" s="27" t="s">
        <v>2751</v>
      </c>
      <c r="R270" s="27" t="s">
        <v>2757</v>
      </c>
      <c r="S270" s="27" t="s">
        <v>2758</v>
      </c>
      <c r="T270" s="27" t="s">
        <v>2754</v>
      </c>
      <c r="U270" s="27" t="s">
        <v>2755</v>
      </c>
    </row>
    <row r="271" spans="1:21" x14ac:dyDescent="0.25">
      <c r="A271" s="27" t="s">
        <v>841</v>
      </c>
      <c r="B271" s="27" t="str">
        <f t="shared" si="16"/>
        <v>Georgia</v>
      </c>
      <c r="C271" s="27" t="str">
        <f t="shared" si="17"/>
        <v>Quitman</v>
      </c>
      <c r="D271" s="27">
        <v>421</v>
      </c>
      <c r="E271" s="27">
        <f>'GA post'!L119</f>
        <v>33</v>
      </c>
      <c r="F271" s="97">
        <f>'GA post'!O119</f>
        <v>132.92161520190024</v>
      </c>
      <c r="G271" s="27">
        <v>900</v>
      </c>
      <c r="H271" s="97">
        <f>'GA post'!Y119</f>
        <v>50.502217391304349</v>
      </c>
      <c r="I271" s="27">
        <v>11021</v>
      </c>
      <c r="J271" s="27">
        <v>16</v>
      </c>
      <c r="K271" s="29">
        <f>'GA post'!AE119</f>
        <v>5550</v>
      </c>
      <c r="L271" s="41">
        <v>1925</v>
      </c>
      <c r="M271" s="4" t="s">
        <v>567</v>
      </c>
      <c r="N271" s="27" t="s">
        <v>2749</v>
      </c>
      <c r="O271" s="27" t="s">
        <v>2748</v>
      </c>
      <c r="P271" s="27" t="s">
        <v>2756</v>
      </c>
      <c r="Q271" s="27" t="s">
        <v>2751</v>
      </c>
      <c r="R271" s="27" t="s">
        <v>2757</v>
      </c>
      <c r="S271" s="27" t="s">
        <v>2758</v>
      </c>
      <c r="T271" s="27" t="s">
        <v>2754</v>
      </c>
      <c r="U271" s="27" t="s">
        <v>2755</v>
      </c>
    </row>
    <row r="272" spans="1:21" x14ac:dyDescent="0.25">
      <c r="A272" s="27" t="s">
        <v>842</v>
      </c>
      <c r="B272" s="27" t="str">
        <f t="shared" si="16"/>
        <v>Georgia</v>
      </c>
      <c r="C272" s="27" t="str">
        <f t="shared" si="17"/>
        <v>Rabun</v>
      </c>
      <c r="D272" s="27">
        <v>1237</v>
      </c>
      <c r="E272" s="27">
        <f>'GA post'!L120</f>
        <v>39</v>
      </c>
      <c r="F272" s="97">
        <f>'GA post'!O120</f>
        <v>100</v>
      </c>
      <c r="G272" s="27">
        <v>1713</v>
      </c>
      <c r="H272" s="97">
        <f>'GA post'!Y120</f>
        <v>66.804307692307688</v>
      </c>
      <c r="I272" s="27">
        <v>26252</v>
      </c>
      <c r="J272" s="27">
        <v>28</v>
      </c>
      <c r="K272" s="29">
        <f>'GA post'!AE120</f>
        <v>38000</v>
      </c>
      <c r="L272" s="41">
        <v>1925</v>
      </c>
      <c r="M272" s="4" t="s">
        <v>567</v>
      </c>
      <c r="N272" s="27" t="s">
        <v>2749</v>
      </c>
      <c r="O272" s="27" t="s">
        <v>2748</v>
      </c>
      <c r="P272" s="27" t="s">
        <v>2756</v>
      </c>
      <c r="Q272" s="27" t="s">
        <v>2751</v>
      </c>
      <c r="R272" s="27" t="s">
        <v>2757</v>
      </c>
      <c r="S272" s="27" t="s">
        <v>2758</v>
      </c>
      <c r="T272" s="27" t="s">
        <v>2754</v>
      </c>
      <c r="U272" s="27" t="s">
        <v>2755</v>
      </c>
    </row>
    <row r="273" spans="1:21" x14ac:dyDescent="0.25">
      <c r="A273" s="27" t="s">
        <v>843</v>
      </c>
      <c r="B273" s="27" t="str">
        <f t="shared" si="16"/>
        <v>Georgia</v>
      </c>
      <c r="C273" s="27" t="str">
        <f t="shared" si="17"/>
        <v>Randolph</v>
      </c>
      <c r="D273" s="27">
        <v>2742</v>
      </c>
      <c r="E273" s="27">
        <f>'GA post'!L121</f>
        <v>96</v>
      </c>
      <c r="F273" s="97">
        <f>'GA post'!O121</f>
        <v>140.56017505470459</v>
      </c>
      <c r="G273" s="27">
        <v>4442</v>
      </c>
      <c r="H273" s="97">
        <f>'GA post'!Y121</f>
        <v>72.496833226106233</v>
      </c>
      <c r="I273" s="27">
        <v>85270</v>
      </c>
      <c r="J273" s="27">
        <v>46</v>
      </c>
      <c r="K273" s="29">
        <f>'GA post'!AE121</f>
        <v>161700</v>
      </c>
      <c r="L273" s="41">
        <v>1925</v>
      </c>
      <c r="M273" s="4" t="s">
        <v>567</v>
      </c>
      <c r="N273" s="27" t="s">
        <v>2749</v>
      </c>
      <c r="O273" s="27" t="s">
        <v>2748</v>
      </c>
      <c r="P273" s="27" t="s">
        <v>2756</v>
      </c>
      <c r="Q273" s="27" t="s">
        <v>2751</v>
      </c>
      <c r="R273" s="27" t="s">
        <v>2757</v>
      </c>
      <c r="S273" s="27" t="s">
        <v>2758</v>
      </c>
      <c r="T273" s="27" t="s">
        <v>2754</v>
      </c>
      <c r="U273" s="27" t="s">
        <v>2755</v>
      </c>
    </row>
    <row r="274" spans="1:21" x14ac:dyDescent="0.25">
      <c r="A274" s="27" t="s">
        <v>844</v>
      </c>
      <c r="B274" s="27" t="str">
        <f t="shared" si="16"/>
        <v>Georgia</v>
      </c>
      <c r="C274" s="27" t="str">
        <f t="shared" si="17"/>
        <v>Richmond</v>
      </c>
      <c r="D274" s="27">
        <v>9498</v>
      </c>
      <c r="E274" s="27">
        <f>'GA post'!L122</f>
        <v>368</v>
      </c>
      <c r="F274" s="97">
        <f>'GA post'!O122</f>
        <v>168.23657612128869</v>
      </c>
      <c r="G274" s="27">
        <v>13269</v>
      </c>
      <c r="H274" s="97">
        <f>'GA post'!Y122</f>
        <v>109.44998762938258</v>
      </c>
      <c r="I274" s="27">
        <v>1053820</v>
      </c>
      <c r="J274" s="27">
        <v>60</v>
      </c>
      <c r="K274" s="29">
        <f>'GA post'!AE122</f>
        <v>1154605</v>
      </c>
      <c r="L274" s="41">
        <v>1925</v>
      </c>
      <c r="M274" s="4" t="s">
        <v>567</v>
      </c>
      <c r="N274" s="27" t="s">
        <v>2749</v>
      </c>
      <c r="O274" s="27" t="s">
        <v>2748</v>
      </c>
      <c r="P274" s="27" t="s">
        <v>2756</v>
      </c>
      <c r="Q274" s="27" t="s">
        <v>2751</v>
      </c>
      <c r="R274" s="27" t="s">
        <v>2757</v>
      </c>
      <c r="S274" s="27" t="s">
        <v>2758</v>
      </c>
      <c r="T274" s="27" t="s">
        <v>2754</v>
      </c>
      <c r="U274" s="27" t="s">
        <v>2755</v>
      </c>
    </row>
    <row r="275" spans="1:21" x14ac:dyDescent="0.25">
      <c r="A275" s="27" t="s">
        <v>845</v>
      </c>
      <c r="B275" s="27" t="str">
        <f t="shared" si="16"/>
        <v>Georgia</v>
      </c>
      <c r="C275" s="27" t="str">
        <f t="shared" si="17"/>
        <v>Rockdale</v>
      </c>
      <c r="D275" s="27">
        <v>1844</v>
      </c>
      <c r="E275" s="27">
        <f>'GA post'!L123</f>
        <v>63</v>
      </c>
      <c r="F275" s="97">
        <f>'GA post'!O123</f>
        <v>120</v>
      </c>
      <c r="G275" s="27">
        <v>2884</v>
      </c>
      <c r="H275" s="97">
        <f>'GA post'!Y123</f>
        <v>108.44007936507937</v>
      </c>
      <c r="I275" s="27">
        <v>31391</v>
      </c>
      <c r="J275" s="27">
        <v>20</v>
      </c>
      <c r="K275" s="29">
        <f>'GA post'!AE123</f>
        <v>116245</v>
      </c>
      <c r="L275" s="41">
        <v>1925</v>
      </c>
      <c r="M275" s="4" t="s">
        <v>567</v>
      </c>
      <c r="N275" s="27" t="s">
        <v>2749</v>
      </c>
      <c r="O275" s="27" t="s">
        <v>2748</v>
      </c>
      <c r="P275" s="27" t="s">
        <v>2756</v>
      </c>
      <c r="Q275" s="27" t="s">
        <v>2751</v>
      </c>
      <c r="R275" s="27" t="s">
        <v>2757</v>
      </c>
      <c r="S275" s="27" t="s">
        <v>2758</v>
      </c>
      <c r="T275" s="27" t="s">
        <v>2754</v>
      </c>
      <c r="U275" s="27" t="s">
        <v>2755</v>
      </c>
    </row>
    <row r="276" spans="1:21" x14ac:dyDescent="0.25">
      <c r="A276" s="27" t="s">
        <v>846</v>
      </c>
      <c r="B276" s="27" t="str">
        <f t="shared" si="16"/>
        <v>Georgia</v>
      </c>
      <c r="C276" s="27" t="str">
        <f t="shared" si="17"/>
        <v>Schley</v>
      </c>
      <c r="D276" s="27">
        <v>1500</v>
      </c>
      <c r="E276" s="27">
        <f>'GA post'!L124</f>
        <v>37</v>
      </c>
      <c r="F276" s="97">
        <f>'GA post'!O124</f>
        <v>128</v>
      </c>
      <c r="G276" s="27">
        <v>1819</v>
      </c>
      <c r="H276" s="97">
        <f>'GA post'!Y124</f>
        <v>64.201975308641977</v>
      </c>
      <c r="I276" s="27">
        <v>24834</v>
      </c>
      <c r="J276" s="27">
        <v>21</v>
      </c>
      <c r="K276" s="29">
        <f>'GA post'!AE124</f>
        <v>25700</v>
      </c>
      <c r="L276" s="41">
        <v>1925</v>
      </c>
      <c r="M276" s="4" t="s">
        <v>567</v>
      </c>
      <c r="N276" s="27" t="s">
        <v>2749</v>
      </c>
      <c r="O276" s="27" t="s">
        <v>2748</v>
      </c>
      <c r="P276" s="27" t="s">
        <v>2756</v>
      </c>
      <c r="Q276" s="27" t="s">
        <v>2751</v>
      </c>
      <c r="R276" s="27" t="s">
        <v>2757</v>
      </c>
      <c r="S276" s="27" t="s">
        <v>2758</v>
      </c>
      <c r="T276" s="27" t="s">
        <v>2754</v>
      </c>
      <c r="U276" s="27" t="s">
        <v>2755</v>
      </c>
    </row>
    <row r="277" spans="1:21" x14ac:dyDescent="0.25">
      <c r="A277" s="27" t="s">
        <v>847</v>
      </c>
      <c r="B277" s="27" t="str">
        <f t="shared" si="16"/>
        <v>Georgia</v>
      </c>
      <c r="C277" s="27" t="str">
        <f t="shared" si="17"/>
        <v>Screven</v>
      </c>
      <c r="D277" s="27">
        <v>3964</v>
      </c>
      <c r="E277" s="27">
        <f>'GA post'!L125</f>
        <v>149</v>
      </c>
      <c r="F277" s="97">
        <f>'GA post'!O125</f>
        <v>142.54425897824987</v>
      </c>
      <c r="G277" s="27">
        <v>6237</v>
      </c>
      <c r="H277" s="97">
        <f>'GA post'!Y125</f>
        <v>58.965509921550535</v>
      </c>
      <c r="I277" s="27">
        <v>130197</v>
      </c>
      <c r="J277" s="27">
        <v>84</v>
      </c>
      <c r="K277" s="29">
        <f>'GA post'!AE125</f>
        <v>195550</v>
      </c>
      <c r="L277" s="41">
        <v>1925</v>
      </c>
      <c r="M277" s="4" t="s">
        <v>567</v>
      </c>
      <c r="N277" s="27" t="s">
        <v>2749</v>
      </c>
      <c r="O277" s="27" t="s">
        <v>2748</v>
      </c>
      <c r="P277" s="27" t="s">
        <v>2756</v>
      </c>
      <c r="Q277" s="27" t="s">
        <v>2751</v>
      </c>
      <c r="R277" s="27" t="s">
        <v>2757</v>
      </c>
      <c r="S277" s="27" t="s">
        <v>2758</v>
      </c>
      <c r="T277" s="27" t="s">
        <v>2754</v>
      </c>
      <c r="U277" s="27" t="s">
        <v>2755</v>
      </c>
    </row>
    <row r="278" spans="1:21" x14ac:dyDescent="0.25">
      <c r="A278" s="27" t="s">
        <v>848</v>
      </c>
      <c r="B278" s="27" t="str">
        <f t="shared" si="16"/>
        <v>Georgia</v>
      </c>
      <c r="C278" s="27" t="str">
        <f t="shared" si="17"/>
        <v>Seminole</v>
      </c>
      <c r="D278" s="27">
        <v>2204</v>
      </c>
      <c r="E278" s="27">
        <f>'GA post'!L126</f>
        <v>54</v>
      </c>
      <c r="F278" s="97">
        <f>'GA post'!O126</f>
        <v>156.98729582577133</v>
      </c>
      <c r="G278" s="27">
        <v>2403</v>
      </c>
      <c r="H278" s="97">
        <f>'GA post'!Y126</f>
        <v>68.013194444444451</v>
      </c>
      <c r="I278" s="27">
        <v>42122</v>
      </c>
      <c r="J278" s="27">
        <v>22</v>
      </c>
      <c r="K278" s="29">
        <f>'GA post'!AE126</f>
        <v>54000</v>
      </c>
      <c r="L278" s="41">
        <v>1925</v>
      </c>
      <c r="M278" s="4" t="s">
        <v>567</v>
      </c>
      <c r="N278" s="27" t="s">
        <v>2749</v>
      </c>
      <c r="O278" s="27" t="s">
        <v>2748</v>
      </c>
      <c r="P278" s="27" t="s">
        <v>2759</v>
      </c>
      <c r="Q278" s="27" t="s">
        <v>2760</v>
      </c>
      <c r="R278" s="27" t="s">
        <v>2757</v>
      </c>
      <c r="S278" s="27" t="s">
        <v>2758</v>
      </c>
      <c r="T278" s="27" t="s">
        <v>2754</v>
      </c>
      <c r="U278" s="27" t="s">
        <v>2755</v>
      </c>
    </row>
    <row r="279" spans="1:21" x14ac:dyDescent="0.25">
      <c r="A279" s="27" t="s">
        <v>849</v>
      </c>
      <c r="B279" s="27" t="str">
        <f t="shared" si="16"/>
        <v>Georgia</v>
      </c>
      <c r="C279" s="27" t="str">
        <f t="shared" si="17"/>
        <v>Spalding</v>
      </c>
      <c r="D279" s="27">
        <v>3853</v>
      </c>
      <c r="E279" s="27">
        <f>'GA post'!L127</f>
        <v>109</v>
      </c>
      <c r="F279" s="97">
        <f>'GA post'!O127</f>
        <v>149.09940306254867</v>
      </c>
      <c r="G279" s="27">
        <v>4504</v>
      </c>
      <c r="H279" s="97">
        <f>'GA post'!Y127</f>
        <v>146.41727499999999</v>
      </c>
      <c r="I279" s="27">
        <v>143289</v>
      </c>
      <c r="J279" s="27">
        <v>45</v>
      </c>
      <c r="K279" s="29">
        <f>'GA post'!AE127</f>
        <v>200000</v>
      </c>
      <c r="L279" s="41">
        <v>1925</v>
      </c>
      <c r="M279" s="4" t="s">
        <v>567</v>
      </c>
      <c r="N279" s="27" t="s">
        <v>2749</v>
      </c>
      <c r="O279" s="27" t="s">
        <v>2748</v>
      </c>
      <c r="P279" s="27" t="s">
        <v>2759</v>
      </c>
      <c r="Q279" s="27" t="s">
        <v>2760</v>
      </c>
      <c r="R279" s="27" t="s">
        <v>2757</v>
      </c>
      <c r="S279" s="27" t="s">
        <v>2758</v>
      </c>
      <c r="T279" s="27" t="s">
        <v>2754</v>
      </c>
      <c r="U279" s="27" t="s">
        <v>2755</v>
      </c>
    </row>
    <row r="280" spans="1:21" x14ac:dyDescent="0.25">
      <c r="A280" s="27" t="s">
        <v>850</v>
      </c>
      <c r="B280" s="27" t="str">
        <f t="shared" si="16"/>
        <v>Georgia</v>
      </c>
      <c r="C280" s="27" t="str">
        <f t="shared" si="17"/>
        <v>Stephens</v>
      </c>
      <c r="D280" s="27">
        <v>2282</v>
      </c>
      <c r="E280" s="27">
        <f>'GA post'!L128</f>
        <v>82</v>
      </c>
      <c r="F280" s="97">
        <f>'GA post'!O128</f>
        <v>161.98071866783522</v>
      </c>
      <c r="G280" s="27">
        <v>2630</v>
      </c>
      <c r="H280" s="97">
        <f>'GA post'!Y128</f>
        <v>150.97067629179335</v>
      </c>
      <c r="I280" s="27">
        <v>54881</v>
      </c>
      <c r="J280" s="27">
        <v>37</v>
      </c>
      <c r="K280" s="29">
        <f>'GA post'!AE128</f>
        <v>227000</v>
      </c>
      <c r="L280" s="41">
        <v>1925</v>
      </c>
      <c r="M280" s="4" t="s">
        <v>567</v>
      </c>
      <c r="N280" s="27" t="s">
        <v>2749</v>
      </c>
      <c r="O280" s="27" t="s">
        <v>2748</v>
      </c>
      <c r="P280" s="27" t="s">
        <v>2759</v>
      </c>
      <c r="Q280" s="27" t="s">
        <v>2760</v>
      </c>
      <c r="R280" s="27" t="s">
        <v>2757</v>
      </c>
      <c r="S280" s="27" t="s">
        <v>2758</v>
      </c>
      <c r="T280" s="27" t="s">
        <v>2754</v>
      </c>
      <c r="U280" s="27" t="s">
        <v>2755</v>
      </c>
    </row>
    <row r="281" spans="1:21" x14ac:dyDescent="0.25">
      <c r="A281" s="27" t="s">
        <v>851</v>
      </c>
      <c r="B281" s="27" t="str">
        <f t="shared" si="16"/>
        <v>Georgia</v>
      </c>
      <c r="C281" s="27" t="str">
        <f t="shared" si="17"/>
        <v>Stewart</v>
      </c>
      <c r="D281" s="27">
        <v>2033</v>
      </c>
      <c r="E281" s="27">
        <f>'GA post'!L129</f>
        <v>71</v>
      </c>
      <c r="F281" s="97">
        <f>'GA post'!O129</f>
        <v>122.20511559272012</v>
      </c>
      <c r="G281" s="27">
        <v>3182</v>
      </c>
      <c r="H281" s="97">
        <f>'GA post'!Y129</f>
        <v>116.84848445171849</v>
      </c>
      <c r="I281" s="27">
        <v>83161</v>
      </c>
      <c r="J281" s="27">
        <v>42</v>
      </c>
      <c r="K281" s="29">
        <f>'GA post'!AE129</f>
        <v>59250</v>
      </c>
      <c r="L281" s="41">
        <v>1925</v>
      </c>
      <c r="M281" s="4" t="s">
        <v>567</v>
      </c>
      <c r="N281" s="27" t="s">
        <v>2749</v>
      </c>
      <c r="O281" s="27" t="s">
        <v>2748</v>
      </c>
      <c r="P281" s="27" t="s">
        <v>2759</v>
      </c>
      <c r="Q281" s="27" t="s">
        <v>2760</v>
      </c>
      <c r="R281" s="27" t="s">
        <v>2757</v>
      </c>
      <c r="S281" s="27" t="s">
        <v>2761</v>
      </c>
      <c r="T281" s="27" t="s">
        <v>2754</v>
      </c>
      <c r="U281" s="27" t="s">
        <v>2762</v>
      </c>
    </row>
    <row r="282" spans="1:21" x14ac:dyDescent="0.25">
      <c r="A282" s="27" t="s">
        <v>852</v>
      </c>
      <c r="B282" s="27" t="str">
        <f t="shared" si="16"/>
        <v>Georgia</v>
      </c>
      <c r="C282" s="27" t="str">
        <f t="shared" si="17"/>
        <v>Sumter</v>
      </c>
      <c r="D282" s="27">
        <v>5172</v>
      </c>
      <c r="E282" s="27">
        <f>'GA post'!L130</f>
        <v>150</v>
      </c>
      <c r="F282" s="97">
        <f>'GA post'!O130</f>
        <v>180</v>
      </c>
      <c r="G282" s="27">
        <v>6822</v>
      </c>
      <c r="H282" s="97">
        <f>'GA post'!Y130</f>
        <v>124.18525925925925</v>
      </c>
      <c r="I282" s="27">
        <v>117867</v>
      </c>
      <c r="J282" s="27">
        <v>29</v>
      </c>
      <c r="K282" s="29">
        <f>'GA post'!AE130</f>
        <v>336725</v>
      </c>
      <c r="L282" s="41">
        <v>1925</v>
      </c>
      <c r="M282" s="4" t="s">
        <v>567</v>
      </c>
      <c r="N282" s="27" t="s">
        <v>2763</v>
      </c>
      <c r="O282" s="27" t="s">
        <v>2764</v>
      </c>
      <c r="P282" s="27" t="s">
        <v>2765</v>
      </c>
      <c r="Q282" s="27" t="s">
        <v>2760</v>
      </c>
      <c r="R282" s="27" t="s">
        <v>2766</v>
      </c>
      <c r="S282" s="27" t="s">
        <v>2761</v>
      </c>
      <c r="T282" s="27" t="s">
        <v>2767</v>
      </c>
      <c r="U282" s="27" t="s">
        <v>2768</v>
      </c>
    </row>
    <row r="283" spans="1:21" x14ac:dyDescent="0.25">
      <c r="A283" s="27" t="s">
        <v>853</v>
      </c>
      <c r="B283" s="27" t="str">
        <f t="shared" si="16"/>
        <v>Georgia</v>
      </c>
      <c r="C283" s="27" t="str">
        <f t="shared" si="17"/>
        <v>Talbot</v>
      </c>
      <c r="D283" s="27">
        <v>1569</v>
      </c>
      <c r="E283" s="27">
        <f>'GA post'!L131</f>
        <v>46</v>
      </c>
      <c r="F283" s="97">
        <f>'GA post'!O131</f>
        <v>140</v>
      </c>
      <c r="G283" s="27">
        <v>1999</v>
      </c>
      <c r="H283" s="97">
        <f>'GA post'!Y131</f>
        <v>49.884565217391305</v>
      </c>
      <c r="I283" s="27">
        <v>29448</v>
      </c>
      <c r="J283" s="27">
        <v>24</v>
      </c>
      <c r="K283" s="29">
        <f>'GA post'!AE131</f>
        <v>9000</v>
      </c>
      <c r="L283" s="41">
        <v>1925</v>
      </c>
      <c r="M283" s="4" t="s">
        <v>567</v>
      </c>
      <c r="N283" s="27" t="s">
        <v>2763</v>
      </c>
      <c r="O283" s="27" t="s">
        <v>2764</v>
      </c>
      <c r="P283" s="27" t="s">
        <v>2765</v>
      </c>
      <c r="Q283" s="27" t="s">
        <v>2760</v>
      </c>
      <c r="R283" s="27" t="s">
        <v>2766</v>
      </c>
      <c r="S283" s="27" t="s">
        <v>2761</v>
      </c>
      <c r="T283" s="27" t="s">
        <v>2767</v>
      </c>
      <c r="U283" s="27" t="s">
        <v>2768</v>
      </c>
    </row>
    <row r="284" spans="1:21" x14ac:dyDescent="0.25">
      <c r="A284" s="27" t="s">
        <v>854</v>
      </c>
      <c r="B284" s="27" t="str">
        <f t="shared" si="16"/>
        <v>Georgia</v>
      </c>
      <c r="C284" s="27" t="str">
        <f t="shared" si="17"/>
        <v>Taliaferro</v>
      </c>
      <c r="D284" s="27">
        <v>1450</v>
      </c>
      <c r="E284" s="27">
        <f>'GA post'!L132</f>
        <v>53</v>
      </c>
      <c r="F284" s="97">
        <f>'GA post'!O132</f>
        <v>140.41379310344828</v>
      </c>
      <c r="G284" s="27">
        <v>2149</v>
      </c>
      <c r="H284" s="97">
        <f>'GA post'!Y132</f>
        <v>92.438829787234042</v>
      </c>
      <c r="I284" s="27">
        <v>35490</v>
      </c>
      <c r="J284" s="27">
        <v>36</v>
      </c>
      <c r="K284" s="29">
        <f>'GA post'!AE132</f>
        <v>57850</v>
      </c>
      <c r="L284" s="41">
        <v>1925</v>
      </c>
      <c r="M284" s="4" t="s">
        <v>567</v>
      </c>
      <c r="N284" s="27" t="s">
        <v>2769</v>
      </c>
      <c r="O284" s="27" t="s">
        <v>2764</v>
      </c>
      <c r="P284" s="27" t="s">
        <v>2765</v>
      </c>
      <c r="Q284" s="27" t="s">
        <v>2760</v>
      </c>
      <c r="R284" s="27" t="s">
        <v>2766</v>
      </c>
      <c r="S284" s="27" t="s">
        <v>2761</v>
      </c>
      <c r="T284" s="27" t="s">
        <v>2767</v>
      </c>
      <c r="U284" s="27" t="s">
        <v>2768</v>
      </c>
    </row>
    <row r="285" spans="1:21" x14ac:dyDescent="0.25">
      <c r="A285" s="27" t="s">
        <v>855</v>
      </c>
      <c r="B285" s="27" t="str">
        <f t="shared" si="16"/>
        <v>Georgia</v>
      </c>
      <c r="C285" s="27" t="str">
        <f t="shared" si="17"/>
        <v>Tattnall</v>
      </c>
      <c r="D285" s="27">
        <v>4491</v>
      </c>
      <c r="E285" s="27">
        <f>'GA post'!L133</f>
        <v>119</v>
      </c>
      <c r="F285" s="97">
        <f>'GA post'!O133</f>
        <v>100</v>
      </c>
      <c r="G285" s="27">
        <v>5009</v>
      </c>
      <c r="H285" s="97">
        <f>'GA post'!Y133</f>
        <v>53.109680672268915</v>
      </c>
      <c r="I285" s="27">
        <v>48650</v>
      </c>
      <c r="J285" s="27">
        <v>49</v>
      </c>
      <c r="K285" s="29">
        <f>'GA post'!AE133</f>
        <v>161000</v>
      </c>
      <c r="L285" s="41">
        <v>1925</v>
      </c>
      <c r="M285" s="4" t="s">
        <v>567</v>
      </c>
      <c r="N285" s="27" t="s">
        <v>2769</v>
      </c>
      <c r="O285" s="27" t="s">
        <v>2764</v>
      </c>
      <c r="P285" s="27" t="s">
        <v>2765</v>
      </c>
      <c r="Q285" s="27" t="s">
        <v>2760</v>
      </c>
      <c r="R285" s="27" t="s">
        <v>2766</v>
      </c>
      <c r="S285" s="27" t="s">
        <v>2761</v>
      </c>
      <c r="T285" s="27" t="s">
        <v>2767</v>
      </c>
      <c r="U285" s="27" t="s">
        <v>2768</v>
      </c>
    </row>
    <row r="286" spans="1:21" x14ac:dyDescent="0.25">
      <c r="A286" s="27" t="s">
        <v>856</v>
      </c>
      <c r="B286" s="27" t="str">
        <f t="shared" si="16"/>
        <v>Georgia</v>
      </c>
      <c r="C286" s="27" t="str">
        <f t="shared" si="17"/>
        <v>Taylor</v>
      </c>
      <c r="D286" s="27">
        <v>2695</v>
      </c>
      <c r="E286" s="27">
        <f>'GA post'!L134</f>
        <v>97</v>
      </c>
      <c r="F286" s="97">
        <f>'GA post'!O134</f>
        <v>127.38404452690168</v>
      </c>
      <c r="G286" s="27">
        <v>4096</v>
      </c>
      <c r="H286" s="97">
        <f>'GA post'!Y134</f>
        <v>102.31379687500001</v>
      </c>
      <c r="I286" s="27">
        <v>90333</v>
      </c>
      <c r="J286" s="27">
        <v>53</v>
      </c>
      <c r="K286" s="29">
        <f>'GA post'!AE134</f>
        <v>117000</v>
      </c>
      <c r="L286" s="41">
        <v>1925</v>
      </c>
      <c r="M286" s="4" t="s">
        <v>567</v>
      </c>
      <c r="N286" s="27" t="s">
        <v>2769</v>
      </c>
      <c r="O286" s="27" t="s">
        <v>2764</v>
      </c>
      <c r="P286" s="27" t="s">
        <v>2765</v>
      </c>
      <c r="Q286" s="27" t="s">
        <v>2760</v>
      </c>
      <c r="R286" s="27" t="s">
        <v>2766</v>
      </c>
      <c r="S286" s="27" t="s">
        <v>2761</v>
      </c>
      <c r="T286" s="27" t="s">
        <v>2767</v>
      </c>
      <c r="U286" s="27" t="s">
        <v>2768</v>
      </c>
    </row>
    <row r="287" spans="1:21" x14ac:dyDescent="0.25">
      <c r="A287" s="27" t="s">
        <v>857</v>
      </c>
      <c r="B287" s="27" t="str">
        <f t="shared" si="16"/>
        <v>Georgia</v>
      </c>
      <c r="C287" s="27" t="str">
        <f t="shared" si="17"/>
        <v>Telfair</v>
      </c>
      <c r="D287" s="27">
        <v>3275</v>
      </c>
      <c r="E287" s="27">
        <f>'GA post'!L135</f>
        <v>108</v>
      </c>
      <c r="F287" s="97">
        <f>'GA post'!O135</f>
        <v>120</v>
      </c>
      <c r="G287" s="27">
        <v>3700</v>
      </c>
      <c r="H287" s="97">
        <f>'GA post'!Y135</f>
        <v>105.09359567901232</v>
      </c>
      <c r="I287" s="27">
        <v>80371</v>
      </c>
      <c r="J287" s="27">
        <v>41</v>
      </c>
      <c r="K287" s="29">
        <f>'GA post'!AE135</f>
        <v>85000</v>
      </c>
      <c r="L287" s="41">
        <v>1925</v>
      </c>
      <c r="M287" s="4" t="s">
        <v>567</v>
      </c>
      <c r="N287" s="27" t="s">
        <v>2769</v>
      </c>
      <c r="O287" s="27" t="s">
        <v>2764</v>
      </c>
      <c r="P287" s="27" t="s">
        <v>2765</v>
      </c>
      <c r="Q287" s="27" t="s">
        <v>2760</v>
      </c>
      <c r="R287" s="27" t="s">
        <v>2770</v>
      </c>
      <c r="S287" s="27" t="s">
        <v>2771</v>
      </c>
      <c r="T287" s="27" t="s">
        <v>2767</v>
      </c>
      <c r="U287" s="27" t="s">
        <v>2768</v>
      </c>
    </row>
    <row r="288" spans="1:21" x14ac:dyDescent="0.25">
      <c r="A288" s="27" t="s">
        <v>858</v>
      </c>
      <c r="B288" s="27" t="str">
        <f t="shared" si="16"/>
        <v>Georgia</v>
      </c>
      <c r="C288" s="27" t="str">
        <f t="shared" si="17"/>
        <v>Terrell</v>
      </c>
      <c r="D288" s="27">
        <v>2982</v>
      </c>
      <c r="E288" s="27">
        <f>'GA post'!L136</f>
        <v>98</v>
      </c>
      <c r="F288" s="97">
        <f>'GA post'!O136</f>
        <v>118.67873910127432</v>
      </c>
      <c r="G288" s="27">
        <v>4681</v>
      </c>
      <c r="H288" s="97">
        <f>'GA post'!Y136</f>
        <v>130.37799176954732</v>
      </c>
      <c r="I288" s="27">
        <v>92505</v>
      </c>
      <c r="J288" s="27">
        <v>36</v>
      </c>
      <c r="K288" s="29">
        <f>'GA post'!AE136</f>
        <v>157500</v>
      </c>
      <c r="L288" s="41">
        <v>1925</v>
      </c>
      <c r="M288" s="4" t="s">
        <v>567</v>
      </c>
      <c r="N288" s="27" t="s">
        <v>2769</v>
      </c>
      <c r="O288" s="27" t="s">
        <v>2764</v>
      </c>
      <c r="P288" s="27" t="s">
        <v>2765</v>
      </c>
      <c r="Q288" s="27" t="s">
        <v>2760</v>
      </c>
      <c r="R288" s="27" t="s">
        <v>2770</v>
      </c>
      <c r="S288" s="27" t="s">
        <v>2771</v>
      </c>
      <c r="T288" s="27" t="s">
        <v>2767</v>
      </c>
      <c r="U288" s="27" t="s">
        <v>2768</v>
      </c>
    </row>
    <row r="289" spans="1:21" x14ac:dyDescent="0.25">
      <c r="A289" s="27" t="s">
        <v>859</v>
      </c>
      <c r="B289" s="27" t="str">
        <f t="shared" si="16"/>
        <v>Georgia</v>
      </c>
      <c r="C289" s="27" t="str">
        <f t="shared" si="17"/>
        <v>Thomas</v>
      </c>
      <c r="D289" s="27">
        <v>6160</v>
      </c>
      <c r="E289" s="27">
        <f>'GA post'!L137</f>
        <v>184</v>
      </c>
      <c r="F289" s="97">
        <f>'GA post'!O137</f>
        <v>146.15259740259739</v>
      </c>
      <c r="G289" s="27">
        <v>8128</v>
      </c>
      <c r="H289" s="97">
        <f>'GA post'!Y137</f>
        <v>215.56243616287097</v>
      </c>
      <c r="I289" s="27">
        <v>263941</v>
      </c>
      <c r="J289" s="27">
        <v>88</v>
      </c>
      <c r="K289" s="29">
        <f>'GA post'!AE137</f>
        <v>268000</v>
      </c>
      <c r="L289" s="41">
        <v>1925</v>
      </c>
      <c r="M289" s="4" t="s">
        <v>567</v>
      </c>
      <c r="N289" s="27" t="s">
        <v>2769</v>
      </c>
      <c r="O289" s="27" t="s">
        <v>2764</v>
      </c>
      <c r="P289" s="27" t="s">
        <v>2765</v>
      </c>
      <c r="Q289" s="27" t="s">
        <v>2760</v>
      </c>
      <c r="R289" s="27" t="s">
        <v>2770</v>
      </c>
      <c r="S289" s="27" t="s">
        <v>2771</v>
      </c>
      <c r="T289" s="27" t="s">
        <v>2767</v>
      </c>
      <c r="U289" s="27" t="s">
        <v>2768</v>
      </c>
    </row>
    <row r="290" spans="1:21" x14ac:dyDescent="0.25">
      <c r="A290" s="27" t="s">
        <v>860</v>
      </c>
      <c r="B290" s="27" t="str">
        <f t="shared" si="16"/>
        <v>Georgia</v>
      </c>
      <c r="C290" s="27" t="str">
        <f t="shared" si="17"/>
        <v>Tift</v>
      </c>
      <c r="D290" s="27">
        <v>2862</v>
      </c>
      <c r="E290" s="27">
        <f>'GA post'!L138</f>
        <v>102</v>
      </c>
      <c r="F290" s="97">
        <f>'GA post'!O138</f>
        <v>125</v>
      </c>
      <c r="G290" s="27">
        <v>4123</v>
      </c>
      <c r="H290" s="97">
        <f>'GA post'!Y138</f>
        <v>146.54932156862745</v>
      </c>
      <c r="I290" s="27">
        <v>92986</v>
      </c>
      <c r="J290" s="27">
        <v>36</v>
      </c>
      <c r="K290" s="29">
        <f>'GA post'!AE138</f>
        <v>149813</v>
      </c>
      <c r="L290" s="41">
        <v>1925</v>
      </c>
      <c r="M290" s="4" t="s">
        <v>567</v>
      </c>
      <c r="N290" s="27" t="s">
        <v>2769</v>
      </c>
      <c r="O290" s="27" t="s">
        <v>2764</v>
      </c>
      <c r="P290" s="27" t="s">
        <v>2765</v>
      </c>
      <c r="Q290" s="27" t="s">
        <v>2760</v>
      </c>
      <c r="R290" s="27" t="s">
        <v>2770</v>
      </c>
      <c r="S290" s="27" t="s">
        <v>2771</v>
      </c>
      <c r="T290" s="27" t="s">
        <v>2767</v>
      </c>
      <c r="U290" s="27" t="s">
        <v>2768</v>
      </c>
    </row>
    <row r="291" spans="1:21" x14ac:dyDescent="0.25">
      <c r="A291" s="27" t="s">
        <v>861</v>
      </c>
      <c r="B291" s="27" t="str">
        <f t="shared" si="16"/>
        <v>Georgia</v>
      </c>
      <c r="C291" s="27" t="str">
        <f t="shared" si="17"/>
        <v>Toombs</v>
      </c>
      <c r="D291" s="27">
        <v>1865</v>
      </c>
      <c r="E291" s="27">
        <f>'GA post'!L139</f>
        <v>76</v>
      </c>
      <c r="F291" s="97">
        <f>'GA post'!O139</f>
        <v>120</v>
      </c>
      <c r="G291" s="27">
        <v>2300</v>
      </c>
      <c r="H291" s="97">
        <f>'GA post'!Y139</f>
        <v>20.302777777777777</v>
      </c>
      <c r="I291" s="27">
        <v>38141</v>
      </c>
      <c r="J291" s="27">
        <v>41</v>
      </c>
      <c r="K291" s="29">
        <f>'GA post'!AE139</f>
        <v>49700</v>
      </c>
      <c r="L291" s="41">
        <v>1925</v>
      </c>
      <c r="M291" s="4" t="s">
        <v>567</v>
      </c>
      <c r="N291" s="27" t="s">
        <v>2769</v>
      </c>
      <c r="O291" s="27" t="s">
        <v>2764</v>
      </c>
      <c r="P291" s="27" t="s">
        <v>2765</v>
      </c>
      <c r="Q291" s="27" t="s">
        <v>2760</v>
      </c>
      <c r="R291" s="27" t="s">
        <v>2770</v>
      </c>
      <c r="S291" s="27" t="s">
        <v>2771</v>
      </c>
      <c r="T291" s="27" t="s">
        <v>2767</v>
      </c>
      <c r="U291" s="27" t="s">
        <v>2768</v>
      </c>
    </row>
    <row r="292" spans="1:21" x14ac:dyDescent="0.25">
      <c r="A292" s="27" t="s">
        <v>862</v>
      </c>
      <c r="B292" s="27" t="str">
        <f t="shared" si="16"/>
        <v>Georgia</v>
      </c>
      <c r="C292" s="27" t="str">
        <f t="shared" si="17"/>
        <v>Towns</v>
      </c>
      <c r="D292" s="27">
        <v>761</v>
      </c>
      <c r="E292" s="27">
        <f>'GA post'!L140</f>
        <v>23</v>
      </c>
      <c r="F292" s="97">
        <f>'GA post'!O140</f>
        <v>140</v>
      </c>
      <c r="G292" s="27">
        <v>1244</v>
      </c>
      <c r="H292" s="97">
        <f>'GA post'!Y140</f>
        <v>57.810434782608695</v>
      </c>
      <c r="I292" s="27">
        <v>13691</v>
      </c>
      <c r="J292" s="27">
        <v>17</v>
      </c>
      <c r="K292" s="29">
        <f>'GA post'!AE140</f>
        <v>16250</v>
      </c>
      <c r="L292" s="41">
        <v>1925</v>
      </c>
      <c r="M292" s="4" t="s">
        <v>567</v>
      </c>
      <c r="N292" s="27" t="s">
        <v>2769</v>
      </c>
      <c r="O292" s="27" t="s">
        <v>2764</v>
      </c>
      <c r="P292" s="27" t="s">
        <v>2765</v>
      </c>
      <c r="Q292" s="27" t="s">
        <v>2760</v>
      </c>
      <c r="R292" s="27" t="s">
        <v>2770</v>
      </c>
      <c r="S292" s="27" t="s">
        <v>2771</v>
      </c>
      <c r="T292" s="27" t="s">
        <v>2767</v>
      </c>
      <c r="U292" s="27" t="s">
        <v>2768</v>
      </c>
    </row>
    <row r="293" spans="1:21" x14ac:dyDescent="0.25">
      <c r="A293" s="27" t="s">
        <v>864</v>
      </c>
      <c r="B293" s="27" t="str">
        <f t="shared" si="16"/>
        <v>Georgia</v>
      </c>
      <c r="C293" s="27" t="str">
        <f t="shared" si="17"/>
        <v>Troup</v>
      </c>
      <c r="D293" s="27">
        <v>6148</v>
      </c>
      <c r="E293" s="27">
        <f>'GA post'!L141</f>
        <v>212</v>
      </c>
      <c r="F293" s="97">
        <f>'GA post'!O141</f>
        <v>135.38711776187378</v>
      </c>
      <c r="G293" s="27">
        <v>8067</v>
      </c>
      <c r="H293" s="97">
        <f>'GA post'!Y141</f>
        <v>329.73565159574468</v>
      </c>
      <c r="I293" s="27">
        <v>230364</v>
      </c>
      <c r="J293" s="27">
        <v>66</v>
      </c>
      <c r="K293" s="29">
        <f>'GA post'!AE141</f>
        <v>564000</v>
      </c>
      <c r="L293" s="41">
        <v>1925</v>
      </c>
      <c r="M293" s="4" t="s">
        <v>567</v>
      </c>
      <c r="N293" s="27" t="s">
        <v>2769</v>
      </c>
      <c r="O293" s="27" t="s">
        <v>2764</v>
      </c>
      <c r="P293" s="27" t="s">
        <v>2765</v>
      </c>
      <c r="Q293" s="27" t="s">
        <v>2760</v>
      </c>
      <c r="R293" s="27" t="s">
        <v>2770</v>
      </c>
      <c r="S293" s="27" t="s">
        <v>2771</v>
      </c>
      <c r="T293" s="27" t="s">
        <v>2767</v>
      </c>
      <c r="U293" s="27" t="s">
        <v>2768</v>
      </c>
    </row>
    <row r="294" spans="1:21" x14ac:dyDescent="0.25">
      <c r="A294" s="27" t="s">
        <v>863</v>
      </c>
      <c r="B294" s="27" t="str">
        <f t="shared" si="16"/>
        <v>Georgia</v>
      </c>
      <c r="C294" s="27" t="str">
        <f t="shared" si="17"/>
        <v>Treutlen</v>
      </c>
      <c r="D294" s="27">
        <v>1429</v>
      </c>
      <c r="E294" s="27">
        <f>'GA post'!L142</f>
        <v>52</v>
      </c>
      <c r="F294" s="97">
        <f>'GA post'!O142</f>
        <v>100</v>
      </c>
      <c r="G294" s="27">
        <v>2382</v>
      </c>
      <c r="H294" s="97">
        <f>'GA post'!Y142</f>
        <v>57.060115384615393</v>
      </c>
      <c r="I294" s="27">
        <v>42874</v>
      </c>
      <c r="J294" s="27">
        <v>24</v>
      </c>
      <c r="K294" s="29">
        <f>'GA post'!AE142</f>
        <v>71000</v>
      </c>
      <c r="L294" s="41">
        <v>1925</v>
      </c>
      <c r="M294" s="4" t="s">
        <v>567</v>
      </c>
      <c r="N294" s="27" t="s">
        <v>2769</v>
      </c>
      <c r="O294" s="27" t="s">
        <v>2764</v>
      </c>
      <c r="P294" s="27" t="s">
        <v>2765</v>
      </c>
      <c r="Q294" s="27" t="s">
        <v>2760</v>
      </c>
      <c r="R294" s="27" t="s">
        <v>2770</v>
      </c>
      <c r="S294" s="27" t="s">
        <v>2771</v>
      </c>
      <c r="T294" s="27" t="s">
        <v>2767</v>
      </c>
      <c r="U294" s="27" t="s">
        <v>2768</v>
      </c>
    </row>
    <row r="295" spans="1:21" x14ac:dyDescent="0.25">
      <c r="A295" s="27" t="s">
        <v>865</v>
      </c>
      <c r="B295" s="27" t="str">
        <f t="shared" si="16"/>
        <v>Georgia</v>
      </c>
      <c r="C295" s="27" t="str">
        <f t="shared" si="17"/>
        <v>Turner</v>
      </c>
      <c r="D295" s="27">
        <v>2600</v>
      </c>
      <c r="E295" s="27">
        <f>'GA post'!L143</f>
        <v>76</v>
      </c>
      <c r="F295" s="97">
        <f>'GA post'!O143</f>
        <v>114.92307692307692</v>
      </c>
      <c r="G295" s="27">
        <v>3127</v>
      </c>
      <c r="H295" s="97">
        <f>'GA post'!Y143</f>
        <v>154.587899543379</v>
      </c>
      <c r="I295" s="27">
        <v>46294</v>
      </c>
      <c r="J295" s="27">
        <v>44</v>
      </c>
      <c r="K295" s="29">
        <f>'GA post'!AE143</f>
        <v>75500</v>
      </c>
      <c r="L295" s="41">
        <v>1925</v>
      </c>
      <c r="M295" s="4" t="s">
        <v>567</v>
      </c>
      <c r="N295" s="27" t="s">
        <v>2769</v>
      </c>
      <c r="O295" s="27" t="s">
        <v>2764</v>
      </c>
      <c r="P295" s="27" t="s">
        <v>2765</v>
      </c>
      <c r="Q295" s="27" t="s">
        <v>2760</v>
      </c>
      <c r="R295" s="27" t="s">
        <v>2770</v>
      </c>
      <c r="S295" s="27" t="s">
        <v>2771</v>
      </c>
      <c r="T295" s="27" t="s">
        <v>2767</v>
      </c>
      <c r="U295" s="27" t="s">
        <v>2768</v>
      </c>
    </row>
    <row r="296" spans="1:21" x14ac:dyDescent="0.25">
      <c r="A296" s="27" t="s">
        <v>866</v>
      </c>
      <c r="B296" s="27" t="str">
        <f t="shared" si="16"/>
        <v>Georgia</v>
      </c>
      <c r="C296" s="27" t="str">
        <f t="shared" si="17"/>
        <v>Twiggs</v>
      </c>
      <c r="D296" s="27">
        <v>1405</v>
      </c>
      <c r="E296" s="27">
        <f>'GA post'!L144</f>
        <v>54</v>
      </c>
      <c r="F296" s="97">
        <f>'GA post'!O144</f>
        <v>137.65124555160142</v>
      </c>
      <c r="G296" s="27">
        <v>2541</v>
      </c>
      <c r="H296" s="97">
        <f>'GA post'!Y144</f>
        <v>52.685207253886006</v>
      </c>
      <c r="I296" s="27">
        <v>34712</v>
      </c>
      <c r="J296" s="27">
        <v>37</v>
      </c>
      <c r="K296" s="29">
        <f>'GA post'!AE144</f>
        <v>51950</v>
      </c>
      <c r="L296" s="41">
        <v>1925</v>
      </c>
      <c r="M296" s="4" t="s">
        <v>567</v>
      </c>
      <c r="N296" s="27" t="s">
        <v>2769</v>
      </c>
      <c r="O296" s="27" t="s">
        <v>2764</v>
      </c>
      <c r="P296" s="27" t="s">
        <v>2765</v>
      </c>
      <c r="Q296" s="27" t="s">
        <v>2760</v>
      </c>
      <c r="R296" s="27" t="s">
        <v>2770</v>
      </c>
      <c r="S296" s="27" t="s">
        <v>2771</v>
      </c>
      <c r="T296" s="27" t="s">
        <v>2767</v>
      </c>
      <c r="U296" s="27" t="s">
        <v>2768</v>
      </c>
    </row>
    <row r="297" spans="1:21" x14ac:dyDescent="0.25">
      <c r="A297" s="27" t="s">
        <v>867</v>
      </c>
      <c r="B297" s="27" t="str">
        <f t="shared" si="16"/>
        <v>Georgia</v>
      </c>
      <c r="C297" s="27" t="str">
        <f t="shared" si="17"/>
        <v>Union</v>
      </c>
      <c r="D297" s="27">
        <v>1110</v>
      </c>
      <c r="E297" s="27">
        <f>'GA post'!L145</f>
        <v>44</v>
      </c>
      <c r="F297" s="97">
        <f>'GA post'!O145</f>
        <v>99.909909909909913</v>
      </c>
      <c r="G297" s="27">
        <v>1785</v>
      </c>
      <c r="H297" s="97">
        <f>'GA post'!Y145</f>
        <v>41.660000000000004</v>
      </c>
      <c r="I297" s="27">
        <v>19637</v>
      </c>
      <c r="J297" s="27">
        <v>34</v>
      </c>
      <c r="K297" s="29">
        <f>'GA post'!AE145</f>
        <v>17000</v>
      </c>
      <c r="L297" s="41">
        <v>1925</v>
      </c>
      <c r="M297" s="4" t="s">
        <v>567</v>
      </c>
      <c r="N297" s="27" t="s">
        <v>2769</v>
      </c>
      <c r="O297" s="27" t="s">
        <v>2764</v>
      </c>
      <c r="P297" s="27" t="s">
        <v>2765</v>
      </c>
      <c r="Q297" s="27" t="s">
        <v>2760</v>
      </c>
      <c r="R297" s="27" t="s">
        <v>2770</v>
      </c>
      <c r="S297" s="27" t="s">
        <v>2771</v>
      </c>
      <c r="T297" s="27" t="s">
        <v>2767</v>
      </c>
      <c r="U297" s="27" t="s">
        <v>2768</v>
      </c>
    </row>
    <row r="298" spans="1:21" x14ac:dyDescent="0.25">
      <c r="A298" s="27" t="s">
        <v>868</v>
      </c>
      <c r="B298" s="27" t="str">
        <f t="shared" si="16"/>
        <v>Georgia</v>
      </c>
      <c r="C298" s="27" t="str">
        <f t="shared" si="17"/>
        <v>Upson</v>
      </c>
      <c r="D298" s="27">
        <v>2643</v>
      </c>
      <c r="E298" s="27">
        <f>'GA post'!L146</f>
        <v>70</v>
      </c>
      <c r="F298" s="97">
        <f>'GA post'!O146</f>
        <v>130.45781309118425</v>
      </c>
      <c r="G298" s="27">
        <v>3683</v>
      </c>
      <c r="H298" s="97">
        <f>'GA post'!Y146</f>
        <v>54.567434210526315</v>
      </c>
      <c r="I298" s="27">
        <v>42068</v>
      </c>
      <c r="J298" s="27">
        <v>48</v>
      </c>
      <c r="K298" s="29">
        <f>'GA post'!AE146</f>
        <v>189000</v>
      </c>
      <c r="L298" s="41">
        <v>1925</v>
      </c>
      <c r="M298" s="4" t="s">
        <v>567</v>
      </c>
      <c r="N298" s="27" t="s">
        <v>2769</v>
      </c>
      <c r="O298" s="27" t="s">
        <v>2764</v>
      </c>
      <c r="P298" s="27" t="s">
        <v>2765</v>
      </c>
      <c r="Q298" s="27" t="s">
        <v>2760</v>
      </c>
      <c r="R298" s="27" t="s">
        <v>2770</v>
      </c>
      <c r="S298" s="27" t="s">
        <v>2771</v>
      </c>
      <c r="T298" s="27" t="s">
        <v>2767</v>
      </c>
      <c r="U298" s="27" t="s">
        <v>2768</v>
      </c>
    </row>
    <row r="299" spans="1:21" x14ac:dyDescent="0.25">
      <c r="A299" s="27" t="s">
        <v>869</v>
      </c>
      <c r="B299" s="27" t="str">
        <f t="shared" si="16"/>
        <v>Georgia</v>
      </c>
      <c r="C299" s="27" t="str">
        <f t="shared" si="17"/>
        <v>Walker</v>
      </c>
      <c r="D299" s="27">
        <v>4751</v>
      </c>
      <c r="E299" s="27">
        <f>'GA post'!L147</f>
        <v>127</v>
      </c>
      <c r="F299" s="97">
        <f>'GA post'!O147</f>
        <v>120</v>
      </c>
      <c r="G299" s="27">
        <v>5520</v>
      </c>
      <c r="H299" s="97">
        <f>'GA post'!Y147</f>
        <v>213.89523622047241</v>
      </c>
      <c r="I299" s="27">
        <v>116787</v>
      </c>
      <c r="J299" s="27">
        <v>67</v>
      </c>
      <c r="K299" s="29">
        <f>'GA post'!AE147</f>
        <v>283000</v>
      </c>
      <c r="L299" s="41">
        <v>1925</v>
      </c>
      <c r="M299" s="4" t="s">
        <v>567</v>
      </c>
      <c r="N299" s="27" t="s">
        <v>2769</v>
      </c>
      <c r="O299" s="27" t="s">
        <v>2764</v>
      </c>
      <c r="P299" s="27" t="s">
        <v>2765</v>
      </c>
      <c r="Q299" s="27" t="s">
        <v>2760</v>
      </c>
      <c r="R299" s="27" t="s">
        <v>2770</v>
      </c>
      <c r="S299" s="27" t="s">
        <v>2771</v>
      </c>
      <c r="T299" s="27" t="s">
        <v>2767</v>
      </c>
      <c r="U299" s="27" t="s">
        <v>2768</v>
      </c>
    </row>
    <row r="300" spans="1:21" x14ac:dyDescent="0.25">
      <c r="A300" s="27" t="s">
        <v>870</v>
      </c>
      <c r="B300" s="27" t="str">
        <f t="shared" si="16"/>
        <v>Georgia</v>
      </c>
      <c r="C300" s="27" t="str">
        <f t="shared" si="17"/>
        <v>Walton</v>
      </c>
      <c r="D300" s="27">
        <v>3546</v>
      </c>
      <c r="E300" s="27">
        <f>'GA post'!L148</f>
        <v>124</v>
      </c>
      <c r="F300" s="97">
        <f>'GA post'!O148</f>
        <v>149.024252679075</v>
      </c>
      <c r="G300" s="27">
        <v>5361</v>
      </c>
      <c r="H300" s="97">
        <f>'GA post'!Y148</f>
        <v>114.52290948275864</v>
      </c>
      <c r="I300" s="27">
        <v>75706</v>
      </c>
      <c r="J300" s="27">
        <v>63</v>
      </c>
      <c r="K300" s="29">
        <f>'GA post'!AE148</f>
        <v>255000</v>
      </c>
      <c r="L300" s="41">
        <v>1925</v>
      </c>
      <c r="M300" s="4" t="s">
        <v>567</v>
      </c>
      <c r="N300" s="27" t="s">
        <v>2769</v>
      </c>
      <c r="O300" s="27" t="s">
        <v>2764</v>
      </c>
      <c r="P300" s="27" t="s">
        <v>2765</v>
      </c>
      <c r="Q300" s="27" t="s">
        <v>2760</v>
      </c>
      <c r="R300" s="27" t="s">
        <v>2770</v>
      </c>
      <c r="S300" s="27" t="s">
        <v>2771</v>
      </c>
      <c r="T300" s="27" t="s">
        <v>2767</v>
      </c>
      <c r="U300" s="27" t="s">
        <v>2768</v>
      </c>
    </row>
    <row r="301" spans="1:21" x14ac:dyDescent="0.25">
      <c r="A301" s="27" t="s">
        <v>871</v>
      </c>
      <c r="B301" s="27" t="str">
        <f t="shared" si="16"/>
        <v>Georgia</v>
      </c>
      <c r="C301" s="27" t="str">
        <f t="shared" si="17"/>
        <v>Ware</v>
      </c>
      <c r="D301" s="27">
        <v>4099</v>
      </c>
      <c r="E301" s="27">
        <f>'GA post'!L149</f>
        <v>156</v>
      </c>
      <c r="F301" s="97">
        <f>'GA post'!O149</f>
        <v>120</v>
      </c>
      <c r="G301" s="27">
        <v>5822</v>
      </c>
      <c r="H301" s="97">
        <f>'GA post'!Y149</f>
        <v>165.12276709401706</v>
      </c>
      <c r="I301" s="27">
        <v>122823</v>
      </c>
      <c r="J301" s="27">
        <v>56</v>
      </c>
      <c r="K301" s="29">
        <f>'GA post'!AE149</f>
        <v>333700</v>
      </c>
      <c r="L301" s="41">
        <v>1925</v>
      </c>
      <c r="M301" s="4" t="s">
        <v>567</v>
      </c>
      <c r="N301" s="27" t="s">
        <v>2769</v>
      </c>
      <c r="O301" s="27" t="s">
        <v>2764</v>
      </c>
      <c r="P301" s="27" t="s">
        <v>2765</v>
      </c>
      <c r="Q301" s="27" t="s">
        <v>2760</v>
      </c>
      <c r="R301" s="27" t="s">
        <v>2770</v>
      </c>
      <c r="S301" s="27" t="s">
        <v>2771</v>
      </c>
      <c r="T301" s="27" t="s">
        <v>2767</v>
      </c>
      <c r="U301" s="27" t="s">
        <v>2768</v>
      </c>
    </row>
    <row r="302" spans="1:21" x14ac:dyDescent="0.25">
      <c r="A302" s="27" t="s">
        <v>872</v>
      </c>
      <c r="B302" s="27" t="str">
        <f t="shared" si="16"/>
        <v>Georgia</v>
      </c>
      <c r="C302" s="27" t="str">
        <f t="shared" si="17"/>
        <v>Warren</v>
      </c>
      <c r="D302" s="27">
        <v>2824</v>
      </c>
      <c r="E302" s="27">
        <f>'GA post'!L150</f>
        <v>66</v>
      </c>
      <c r="F302" s="97">
        <f>'GA post'!O150</f>
        <v>126.79886685552408</v>
      </c>
      <c r="G302" s="27">
        <v>3655</v>
      </c>
      <c r="H302" s="97">
        <f>'GA post'!Y150</f>
        <v>58.006976744186048</v>
      </c>
      <c r="I302" s="27">
        <v>33214</v>
      </c>
      <c r="J302" s="27">
        <v>44</v>
      </c>
      <c r="K302" s="29">
        <f>'GA post'!AE150</f>
        <v>42000</v>
      </c>
      <c r="L302" s="41">
        <v>1925</v>
      </c>
      <c r="M302" s="4" t="s">
        <v>567</v>
      </c>
      <c r="N302" s="27" t="s">
        <v>2769</v>
      </c>
      <c r="O302" s="27" t="s">
        <v>2764</v>
      </c>
      <c r="P302" s="27" t="s">
        <v>2765</v>
      </c>
      <c r="Q302" s="27" t="s">
        <v>2760</v>
      </c>
      <c r="R302" s="27" t="s">
        <v>2770</v>
      </c>
      <c r="S302" s="27" t="s">
        <v>2771</v>
      </c>
      <c r="T302" s="27" t="s">
        <v>2767</v>
      </c>
      <c r="U302" s="27" t="s">
        <v>2768</v>
      </c>
    </row>
    <row r="303" spans="1:21" x14ac:dyDescent="0.25">
      <c r="A303" s="27" t="s">
        <v>873</v>
      </c>
      <c r="B303" s="27" t="str">
        <f t="shared" si="16"/>
        <v>Georgia</v>
      </c>
      <c r="C303" s="27" t="str">
        <f t="shared" si="17"/>
        <v>Washington</v>
      </c>
      <c r="D303" s="27">
        <v>6050</v>
      </c>
      <c r="E303" s="27">
        <f>'GA post'!L151</f>
        <v>136</v>
      </c>
      <c r="F303" s="97">
        <f>'GA post'!O151</f>
        <v>120</v>
      </c>
      <c r="G303" s="27">
        <v>6692</v>
      </c>
      <c r="H303" s="97">
        <f>'GA post'!Y151</f>
        <v>44.23306372549019</v>
      </c>
      <c r="I303" s="27">
        <v>83697</v>
      </c>
      <c r="J303" s="27">
        <v>83</v>
      </c>
      <c r="K303" s="29">
        <f>'GA post'!AE151</f>
        <v>85000</v>
      </c>
      <c r="L303" s="41">
        <v>1925</v>
      </c>
      <c r="M303" s="4" t="s">
        <v>567</v>
      </c>
      <c r="N303" s="27" t="s">
        <v>2769</v>
      </c>
      <c r="O303" s="27" t="s">
        <v>2764</v>
      </c>
      <c r="P303" s="27" t="s">
        <v>2765</v>
      </c>
      <c r="Q303" s="27" t="s">
        <v>2760</v>
      </c>
      <c r="R303" s="27" t="s">
        <v>2770</v>
      </c>
      <c r="S303" s="27" t="s">
        <v>2771</v>
      </c>
      <c r="T303" s="27" t="s">
        <v>2767</v>
      </c>
      <c r="U303" s="27" t="s">
        <v>2768</v>
      </c>
    </row>
    <row r="304" spans="1:21" x14ac:dyDescent="0.25">
      <c r="A304" s="27" t="s">
        <v>874</v>
      </c>
      <c r="B304" s="27" t="str">
        <f t="shared" si="16"/>
        <v>Georgia</v>
      </c>
      <c r="C304" s="27" t="str">
        <f t="shared" si="17"/>
        <v>Wayne</v>
      </c>
      <c r="D304" s="27">
        <v>2421</v>
      </c>
      <c r="E304" s="27">
        <f>'GA post'!L152</f>
        <v>93</v>
      </c>
      <c r="F304" s="97">
        <f>'GA post'!O152</f>
        <v>124.61173068979761</v>
      </c>
      <c r="G304" s="27">
        <v>3706</v>
      </c>
      <c r="H304" s="97">
        <f>'GA post'!Y152</f>
        <v>64.314671614740661</v>
      </c>
      <c r="I304" s="27">
        <v>64253</v>
      </c>
      <c r="J304" s="27">
        <v>45</v>
      </c>
      <c r="K304" s="29">
        <f>'GA post'!AE152</f>
        <v>119300</v>
      </c>
      <c r="L304" s="41">
        <v>1925</v>
      </c>
      <c r="M304" s="4" t="s">
        <v>567</v>
      </c>
      <c r="N304" s="27" t="s">
        <v>2769</v>
      </c>
      <c r="O304" s="27" t="s">
        <v>2764</v>
      </c>
      <c r="P304" s="27" t="s">
        <v>2765</v>
      </c>
      <c r="Q304" s="27" t="s">
        <v>2760</v>
      </c>
      <c r="R304" s="27" t="s">
        <v>2770</v>
      </c>
      <c r="S304" s="27" t="s">
        <v>2771</v>
      </c>
      <c r="T304" s="27" t="s">
        <v>2767</v>
      </c>
      <c r="U304" s="27" t="s">
        <v>2768</v>
      </c>
    </row>
    <row r="305" spans="1:21" x14ac:dyDescent="0.25">
      <c r="A305" s="27" t="s">
        <v>875</v>
      </c>
      <c r="B305" s="27" t="str">
        <f t="shared" si="16"/>
        <v>Georgia</v>
      </c>
      <c r="C305" s="27" t="str">
        <f t="shared" si="17"/>
        <v>Webster</v>
      </c>
      <c r="D305" s="27">
        <v>664</v>
      </c>
      <c r="E305" s="27">
        <f>'GA post'!L153</f>
        <v>37</v>
      </c>
      <c r="F305" s="97">
        <f>'GA post'!O153</f>
        <v>150.99397590361446</v>
      </c>
      <c r="G305" s="27">
        <v>1217</v>
      </c>
      <c r="H305" s="97">
        <f>'GA post'!Y153</f>
        <v>56.266041666666666</v>
      </c>
      <c r="I305" s="27">
        <v>27871</v>
      </c>
      <c r="J305" s="27">
        <v>20</v>
      </c>
      <c r="K305" s="29">
        <f>'GA post'!AE153</f>
        <v>57600</v>
      </c>
      <c r="L305" s="41">
        <v>1925</v>
      </c>
      <c r="M305" s="4" t="s">
        <v>567</v>
      </c>
      <c r="N305" s="27" t="s">
        <v>2769</v>
      </c>
      <c r="O305" s="27" t="s">
        <v>2764</v>
      </c>
      <c r="P305" s="27" t="s">
        <v>2765</v>
      </c>
      <c r="Q305" s="27" t="s">
        <v>2760</v>
      </c>
      <c r="R305" s="27" t="s">
        <v>2770</v>
      </c>
      <c r="S305" s="27" t="s">
        <v>2771</v>
      </c>
      <c r="T305" s="27" t="s">
        <v>2767</v>
      </c>
      <c r="U305" s="27" t="s">
        <v>2768</v>
      </c>
    </row>
    <row r="306" spans="1:21" x14ac:dyDescent="0.25">
      <c r="A306" s="27" t="s">
        <v>876</v>
      </c>
      <c r="B306" s="27" t="str">
        <f t="shared" si="16"/>
        <v>Georgia</v>
      </c>
      <c r="C306" s="27" t="str">
        <f t="shared" si="17"/>
        <v>Wheeler</v>
      </c>
      <c r="D306" s="27">
        <v>1426</v>
      </c>
      <c r="E306" s="27">
        <f>'GA post'!L154</f>
        <v>69</v>
      </c>
      <c r="F306" s="97">
        <f>'GA post'!O154</f>
        <v>120</v>
      </c>
      <c r="G306" s="27">
        <v>1869</v>
      </c>
      <c r="H306" s="97">
        <f>'GA post'!Y154</f>
        <v>51.634323671497583</v>
      </c>
      <c r="I306" s="27">
        <v>37994</v>
      </c>
      <c r="J306" s="27">
        <v>30</v>
      </c>
      <c r="K306" s="29">
        <f>'GA post'!AE154</f>
        <v>53000</v>
      </c>
      <c r="L306" s="41">
        <v>1925</v>
      </c>
      <c r="M306" s="4" t="s">
        <v>567</v>
      </c>
      <c r="N306" s="27" t="s">
        <v>2769</v>
      </c>
      <c r="O306" s="27" t="s">
        <v>2764</v>
      </c>
      <c r="P306" s="27" t="s">
        <v>2765</v>
      </c>
      <c r="Q306" s="27" t="s">
        <v>2760</v>
      </c>
      <c r="R306" s="27" t="s">
        <v>2770</v>
      </c>
      <c r="S306" s="27" t="s">
        <v>2771</v>
      </c>
      <c r="T306" s="27" t="s">
        <v>2767</v>
      </c>
      <c r="U306" s="27" t="s">
        <v>2768</v>
      </c>
    </row>
    <row r="307" spans="1:21" x14ac:dyDescent="0.25">
      <c r="A307" s="27" t="s">
        <v>877</v>
      </c>
      <c r="B307" s="27" t="str">
        <f t="shared" si="16"/>
        <v>Georgia</v>
      </c>
      <c r="C307" s="27" t="str">
        <f t="shared" si="17"/>
        <v>White</v>
      </c>
      <c r="D307" s="27">
        <v>1256</v>
      </c>
      <c r="E307" s="27">
        <f>'GA post'!L155</f>
        <v>47</v>
      </c>
      <c r="F307" s="97">
        <f>'GA post'!O155</f>
        <v>120</v>
      </c>
      <c r="G307" s="27">
        <v>1878</v>
      </c>
      <c r="H307" s="97">
        <f>'GA post'!Y155</f>
        <v>49.89361702127659</v>
      </c>
      <c r="I307" s="27">
        <v>19700</v>
      </c>
      <c r="J307" s="27">
        <v>27</v>
      </c>
      <c r="K307" s="29">
        <f>'GA post'!AE155</f>
        <v>60600</v>
      </c>
      <c r="L307" s="41">
        <v>1925</v>
      </c>
      <c r="M307" s="4" t="s">
        <v>567</v>
      </c>
      <c r="N307" s="27" t="s">
        <v>2769</v>
      </c>
      <c r="O307" s="27" t="s">
        <v>2764</v>
      </c>
      <c r="P307" s="27" t="s">
        <v>2765</v>
      </c>
      <c r="Q307" s="27" t="s">
        <v>2760</v>
      </c>
      <c r="R307" s="27" t="s">
        <v>2770</v>
      </c>
      <c r="S307" s="27" t="s">
        <v>2771</v>
      </c>
      <c r="T307" s="27" t="s">
        <v>2767</v>
      </c>
      <c r="U307" s="27" t="s">
        <v>2768</v>
      </c>
    </row>
    <row r="308" spans="1:21" x14ac:dyDescent="0.25">
      <c r="A308" s="27" t="s">
        <v>878</v>
      </c>
      <c r="B308" s="27" t="str">
        <f t="shared" si="16"/>
        <v>Georgia</v>
      </c>
      <c r="C308" s="27" t="str">
        <f t="shared" si="17"/>
        <v>Whitfield</v>
      </c>
      <c r="D308" s="27">
        <v>3921</v>
      </c>
      <c r="E308" s="27">
        <f>'GA post'!L156</f>
        <v>111</v>
      </c>
      <c r="F308" s="97">
        <f>'GA post'!O156</f>
        <v>100</v>
      </c>
      <c r="G308" s="27">
        <v>4921</v>
      </c>
      <c r="H308" s="97">
        <f>'GA post'!Y156</f>
        <v>136.01477477477476</v>
      </c>
      <c r="I308" s="27">
        <v>98589</v>
      </c>
      <c r="J308" s="27">
        <v>51</v>
      </c>
      <c r="K308" s="29">
        <f>'GA post'!AE156</f>
        <v>203000</v>
      </c>
      <c r="L308" s="41">
        <v>1925</v>
      </c>
      <c r="M308" s="4" t="s">
        <v>567</v>
      </c>
      <c r="N308" s="27" t="s">
        <v>2769</v>
      </c>
      <c r="O308" s="27" t="s">
        <v>2764</v>
      </c>
      <c r="P308" s="27" t="s">
        <v>2772</v>
      </c>
      <c r="Q308" s="27" t="s">
        <v>2773</v>
      </c>
      <c r="R308" s="27" t="s">
        <v>2770</v>
      </c>
      <c r="S308" s="27" t="s">
        <v>2771</v>
      </c>
      <c r="T308" s="27" t="s">
        <v>2767</v>
      </c>
      <c r="U308" s="27" t="s">
        <v>2768</v>
      </c>
    </row>
    <row r="309" spans="1:21" x14ac:dyDescent="0.25">
      <c r="A309" s="27" t="s">
        <v>879</v>
      </c>
      <c r="B309" s="27" t="str">
        <f t="shared" si="16"/>
        <v>Georgia</v>
      </c>
      <c r="C309" s="27" t="str">
        <f t="shared" si="17"/>
        <v>Wilcox</v>
      </c>
      <c r="D309" s="27">
        <v>2456</v>
      </c>
      <c r="E309" s="27">
        <f>'GA post'!L157</f>
        <v>87</v>
      </c>
      <c r="F309" s="97">
        <f>'GA post'!O157</f>
        <v>145.79804560260587</v>
      </c>
      <c r="G309" s="27">
        <v>3378</v>
      </c>
      <c r="H309" s="97">
        <f>'GA post'!Y157</f>
        <v>65.316433021806859</v>
      </c>
      <c r="I309" s="27">
        <v>102381</v>
      </c>
      <c r="J309" s="27">
        <v>39</v>
      </c>
      <c r="K309" s="29">
        <f>'GA post'!AE157</f>
        <v>154400</v>
      </c>
      <c r="L309" s="41">
        <v>1925</v>
      </c>
      <c r="M309" s="4" t="s">
        <v>567</v>
      </c>
      <c r="N309" s="27" t="s">
        <v>2769</v>
      </c>
      <c r="O309" s="27" t="s">
        <v>2764</v>
      </c>
      <c r="P309" s="27" t="s">
        <v>2772</v>
      </c>
      <c r="Q309" s="27" t="s">
        <v>2773</v>
      </c>
      <c r="R309" s="27" t="s">
        <v>2770</v>
      </c>
      <c r="S309" s="27" t="s">
        <v>2771</v>
      </c>
      <c r="T309" s="27" t="s">
        <v>2767</v>
      </c>
      <c r="U309" s="27" t="s">
        <v>2768</v>
      </c>
    </row>
    <row r="310" spans="1:21" x14ac:dyDescent="0.25">
      <c r="A310" s="27" t="s">
        <v>880</v>
      </c>
      <c r="B310" s="27" t="str">
        <f t="shared" si="16"/>
        <v>Georgia</v>
      </c>
      <c r="C310" s="27" t="str">
        <f t="shared" si="17"/>
        <v>Wilkes</v>
      </c>
      <c r="D310" s="27">
        <v>2636</v>
      </c>
      <c r="E310" s="27">
        <f>'GA post'!L158</f>
        <v>96</v>
      </c>
      <c r="F310" s="97">
        <f>'GA post'!O158</f>
        <v>135.38694992412746</v>
      </c>
      <c r="G310" s="27">
        <v>4234</v>
      </c>
      <c r="H310" s="97">
        <f>'GA post'!Y158</f>
        <v>59.539472140762456</v>
      </c>
      <c r="I310" s="27">
        <v>60093</v>
      </c>
      <c r="J310" s="27">
        <v>70</v>
      </c>
      <c r="K310" s="29">
        <f>'GA post'!AE158</f>
        <v>40100</v>
      </c>
      <c r="L310" s="41">
        <v>1925</v>
      </c>
      <c r="M310" s="4" t="s">
        <v>567</v>
      </c>
      <c r="N310" s="27" t="s">
        <v>2769</v>
      </c>
      <c r="O310" s="27" t="s">
        <v>2764</v>
      </c>
      <c r="P310" s="27" t="s">
        <v>2772</v>
      </c>
      <c r="Q310" s="27" t="s">
        <v>2773</v>
      </c>
      <c r="R310" s="27" t="s">
        <v>2770</v>
      </c>
      <c r="S310" s="27" t="s">
        <v>2771</v>
      </c>
      <c r="T310" s="27" t="s">
        <v>2767</v>
      </c>
      <c r="U310" s="27" t="s">
        <v>2768</v>
      </c>
    </row>
    <row r="311" spans="1:21" x14ac:dyDescent="0.25">
      <c r="A311" s="27" t="s">
        <v>881</v>
      </c>
      <c r="B311" s="27" t="str">
        <f t="shared" si="16"/>
        <v>Georgia</v>
      </c>
      <c r="C311" s="27" t="str">
        <f t="shared" si="17"/>
        <v>Wilkinson</v>
      </c>
      <c r="D311" s="27">
        <v>2700</v>
      </c>
      <c r="E311" s="27">
        <f>'GA post'!L159</f>
        <v>84</v>
      </c>
      <c r="F311" s="97">
        <f>'GA post'!O159</f>
        <v>141.11111111111111</v>
      </c>
      <c r="G311" s="27">
        <v>3122</v>
      </c>
      <c r="H311" s="97">
        <f>'GA post'!Y159</f>
        <v>53.949414782748107</v>
      </c>
      <c r="I311" s="27">
        <v>71324</v>
      </c>
      <c r="J311" s="27">
        <v>39</v>
      </c>
      <c r="K311" s="29">
        <f>'GA post'!AE159</f>
        <v>152500</v>
      </c>
      <c r="L311" s="41">
        <v>1925</v>
      </c>
      <c r="M311" s="4" t="s">
        <v>567</v>
      </c>
      <c r="N311" s="27" t="s">
        <v>2769</v>
      </c>
      <c r="O311" s="27" t="s">
        <v>2764</v>
      </c>
      <c r="P311" s="27" t="s">
        <v>2772</v>
      </c>
      <c r="Q311" s="27" t="s">
        <v>2773</v>
      </c>
      <c r="R311" s="27" t="s">
        <v>2770</v>
      </c>
      <c r="S311" s="27" t="s">
        <v>2771</v>
      </c>
      <c r="T311" s="27" t="s">
        <v>2767</v>
      </c>
      <c r="U311" s="27" t="s">
        <v>2768</v>
      </c>
    </row>
    <row r="312" spans="1:21" x14ac:dyDescent="0.25">
      <c r="A312" s="27" t="s">
        <v>882</v>
      </c>
      <c r="B312" s="27" t="str">
        <f t="shared" si="16"/>
        <v>Georgia</v>
      </c>
      <c r="C312" s="27" t="str">
        <f t="shared" si="17"/>
        <v>Worth</v>
      </c>
      <c r="D312" s="27">
        <v>4971</v>
      </c>
      <c r="E312" s="27">
        <f>'GA post'!L160</f>
        <v>133</v>
      </c>
      <c r="F312" s="97">
        <f>'GA post'!O160</f>
        <v>114.71333735666867</v>
      </c>
      <c r="G312" s="27">
        <v>6036</v>
      </c>
      <c r="H312" s="97">
        <f>'GA post'!Y160</f>
        <v>70.471042566317095</v>
      </c>
      <c r="I312" s="27">
        <v>62700</v>
      </c>
      <c r="J312" s="27">
        <v>59</v>
      </c>
      <c r="K312" s="29">
        <f>'GA post'!AE160</f>
        <v>163000</v>
      </c>
      <c r="L312" s="41">
        <v>1925</v>
      </c>
      <c r="M312" s="4" t="s">
        <v>567</v>
      </c>
      <c r="N312" s="27" t="s">
        <v>2769</v>
      </c>
      <c r="O312" s="27" t="s">
        <v>2764</v>
      </c>
      <c r="P312" s="27" t="s">
        <v>2772</v>
      </c>
      <c r="Q312" s="27" t="s">
        <v>2773</v>
      </c>
      <c r="R312" s="27" t="s">
        <v>2770</v>
      </c>
      <c r="S312" s="27" t="s">
        <v>2771</v>
      </c>
      <c r="T312" s="27" t="s">
        <v>2767</v>
      </c>
      <c r="U312" s="27" t="s">
        <v>2768</v>
      </c>
    </row>
    <row r="313" spans="1:21" x14ac:dyDescent="0.25">
      <c r="A313" s="27" t="s">
        <v>883</v>
      </c>
      <c r="B313" s="27" t="str">
        <f t="shared" si="16"/>
        <v>Kentucky</v>
      </c>
      <c r="C313" s="27" t="str">
        <f t="shared" si="17"/>
        <v>Adair</v>
      </c>
      <c r="D313" s="96">
        <f>2465+224+235</f>
        <v>2924</v>
      </c>
      <c r="E313" s="41">
        <f>29+76+4+3</f>
        <v>112</v>
      </c>
      <c r="F313" s="7">
        <f>'KY post'!G2</f>
        <v>160</v>
      </c>
      <c r="G313" s="41">
        <f>3869+360+228+52</f>
        <v>4509</v>
      </c>
      <c r="H313" s="115">
        <f>'KY post'!K2</f>
        <v>48.395234374999994</v>
      </c>
      <c r="I313" s="2">
        <f>48064.4+7746.61</f>
        <v>55811.01</v>
      </c>
      <c r="J313" s="27">
        <f>87+10+1</f>
        <v>98</v>
      </c>
      <c r="K313" s="29">
        <f>'KY post'!P2</f>
        <v>28250</v>
      </c>
      <c r="L313" s="41">
        <v>1922</v>
      </c>
      <c r="N313" s="27" t="s">
        <v>2576</v>
      </c>
      <c r="O313" s="27" t="str">
        <f>'KY post'!T2&amp;"; "&amp;'KY post'!W2</f>
        <v>https://babel.hathitrust.org/cgi/pt?id=njp.32101060099841;view=1up;seq=180; https://babel.hathitrust.org/cgi/pt?id=njp.32101060099841;view=1up;seq=150</v>
      </c>
      <c r="P313" s="27" t="s">
        <v>2577</v>
      </c>
      <c r="Q313" s="27" t="str">
        <f>'KY post'!V2&amp;"; "&amp;'KY post'!W2</f>
        <v>https://babel.hathitrust.org/cgi/pt?id=njp.32101060099841;view=1up;seq=242; https://babel.hathitrust.org/cgi/pt?id=njp.32101060099841;view=1up;seq=150</v>
      </c>
      <c r="R313" s="27" t="s">
        <v>2579</v>
      </c>
      <c r="S313" s="27" t="s">
        <v>2578</v>
      </c>
      <c r="T313" s="27" t="s">
        <v>2577</v>
      </c>
      <c r="U313" s="27" t="s">
        <v>2602</v>
      </c>
    </row>
    <row r="314" spans="1:21" x14ac:dyDescent="0.25">
      <c r="A314" s="27" t="s">
        <v>884</v>
      </c>
      <c r="B314" s="27" t="str">
        <f t="shared" si="16"/>
        <v>Kentucky</v>
      </c>
      <c r="C314" s="27" t="str">
        <f t="shared" si="17"/>
        <v>Allen</v>
      </c>
      <c r="D314" s="96">
        <f>1964+57+413+71</f>
        <v>2505</v>
      </c>
      <c r="E314" s="41">
        <f>73+1+9+0+1+4+1</f>
        <v>89</v>
      </c>
      <c r="F314" s="7">
        <f>'KY post'!G3</f>
        <v>160</v>
      </c>
      <c r="G314" s="41">
        <f>3375+139+540+97+23+196+5</f>
        <v>4375</v>
      </c>
      <c r="H314" s="115">
        <f>'KY post'!K3</f>
        <v>74.519311797752806</v>
      </c>
      <c r="I314" s="2">
        <f>56720.01+17522.88</f>
        <v>74242.89</v>
      </c>
      <c r="J314" s="27">
        <f>71+1+1+1</f>
        <v>74</v>
      </c>
      <c r="K314" s="29">
        <f>'KY post'!P3</f>
        <v>57000</v>
      </c>
      <c r="L314" s="41">
        <v>1922</v>
      </c>
      <c r="N314" s="27" t="s">
        <v>2576</v>
      </c>
      <c r="O314" s="27" t="str">
        <f>'KY post'!T3&amp;"; "&amp;'KY post'!W3</f>
        <v>https://babel.hathitrust.org/cgi/pt?id=njp.32101060099841;view=1up;seq=180; https://babel.hathitrust.org/cgi/pt?id=njp.32101060099841;view=1up;seq=150</v>
      </c>
      <c r="P314" s="27" t="s">
        <v>2577</v>
      </c>
      <c r="Q314" s="27" t="str">
        <f>'KY post'!V3&amp;"; "&amp;'KY post'!W3</f>
        <v>https://babel.hathitrust.org/cgi/pt?id=njp.32101060099841;view=1up;seq=242; https://babel.hathitrust.org/cgi/pt?id=njp.32101060099841;view=1up;seq=150</v>
      </c>
      <c r="R314" s="27" t="s">
        <v>2579</v>
      </c>
      <c r="S314" s="27" t="s">
        <v>2578</v>
      </c>
      <c r="T314" s="27" t="s">
        <v>2577</v>
      </c>
      <c r="U314" s="27" t="s">
        <v>2602</v>
      </c>
    </row>
    <row r="315" spans="1:21" x14ac:dyDescent="0.25">
      <c r="A315" s="27" t="s">
        <v>885</v>
      </c>
      <c r="B315" s="27" t="str">
        <f t="shared" si="16"/>
        <v>Kentucky</v>
      </c>
      <c r="C315" s="27" t="str">
        <f t="shared" si="17"/>
        <v>Anderson</v>
      </c>
      <c r="D315" s="96">
        <f>1300+31+389+72+59</f>
        <v>1851</v>
      </c>
      <c r="E315" s="41">
        <f>46+11+1+2+0+0+5+1+4</f>
        <v>70</v>
      </c>
      <c r="F315" s="7">
        <f>'KY post'!G4</f>
        <v>180</v>
      </c>
      <c r="G315" s="41">
        <f>1588+55+354+91+64+85+128+6+81</f>
        <v>2452</v>
      </c>
      <c r="H315" s="115">
        <f>'KY post'!K4</f>
        <v>69.593507936507933</v>
      </c>
      <c r="I315" s="2">
        <f>34732.41+16409.52+210.61+3125.25</f>
        <v>54477.790000000008</v>
      </c>
      <c r="J315" s="27">
        <f>36+5+2+1+1</f>
        <v>45</v>
      </c>
      <c r="K315" s="29">
        <f>'KY post'!P4</f>
        <v>32200</v>
      </c>
      <c r="L315" s="41">
        <v>1922</v>
      </c>
      <c r="N315" s="27" t="s">
        <v>2576</v>
      </c>
      <c r="O315" s="27" t="str">
        <f>'KY post'!T4&amp;"; "&amp;'KY post'!W4</f>
        <v>https://babel.hathitrust.org/cgi/pt?id=njp.32101060099841;view=1up;seq=180; https://babel.hathitrust.org/cgi/pt?id=njp.32101060099841;view=1up;seq=150</v>
      </c>
      <c r="P315" s="27" t="s">
        <v>2577</v>
      </c>
      <c r="Q315" s="27" t="str">
        <f>'KY post'!V4&amp;"; "&amp;'KY post'!W4</f>
        <v>https://babel.hathitrust.org/cgi/pt?id=njp.32101060099841;view=1up;seq=242; https://babel.hathitrust.org/cgi/pt?id=njp.32101060099841;view=1up;seq=150</v>
      </c>
      <c r="R315" s="27" t="s">
        <v>2579</v>
      </c>
      <c r="S315" s="27" t="s">
        <v>2578</v>
      </c>
      <c r="T315" s="27" t="s">
        <v>2577</v>
      </c>
      <c r="U315" s="27" t="s">
        <v>2602</v>
      </c>
    </row>
    <row r="316" spans="1:21" x14ac:dyDescent="0.25">
      <c r="A316" s="27" t="s">
        <v>886</v>
      </c>
      <c r="B316" s="27" t="str">
        <f t="shared" si="16"/>
        <v>Kentucky</v>
      </c>
      <c r="C316" s="27" t="str">
        <f t="shared" si="17"/>
        <v>Ballard</v>
      </c>
      <c r="D316" s="96">
        <f>2579+308</f>
        <v>2887</v>
      </c>
      <c r="E316" s="41">
        <f>78+0+4+2+4+2+2+2+3</f>
        <v>97</v>
      </c>
      <c r="F316" s="7">
        <f>'KY post'!G5</f>
        <v>140</v>
      </c>
      <c r="G316" s="41">
        <f>2862+430+94+63+78+16+43+19+67</f>
        <v>3672</v>
      </c>
      <c r="H316" s="115">
        <f>'KY post'!K5</f>
        <v>85.263210603829165</v>
      </c>
      <c r="I316" s="2">
        <v>124186.47</v>
      </c>
      <c r="J316" s="27">
        <f>34+11</f>
        <v>45</v>
      </c>
      <c r="K316" s="29">
        <f>'KY post'!P5</f>
        <v>100385</v>
      </c>
      <c r="L316" s="41">
        <v>1922</v>
      </c>
      <c r="N316" s="27" t="s">
        <v>2576</v>
      </c>
      <c r="O316" s="27" t="str">
        <f>'KY post'!T5&amp;"; "&amp;'KY post'!W5</f>
        <v>https://babel.hathitrust.org/cgi/pt?id=njp.32101060099841;view=1up;seq=180; https://babel.hathitrust.org/cgi/pt?id=njp.32101060099841;view=1up;seq=150</v>
      </c>
      <c r="P316" s="27" t="s">
        <v>2577</v>
      </c>
      <c r="Q316" s="27" t="str">
        <f>'KY post'!V5&amp;"; "&amp;'KY post'!W5</f>
        <v>https://babel.hathitrust.org/cgi/pt?id=njp.32101060099841;view=1up;seq=242; https://babel.hathitrust.org/cgi/pt?id=njp.32101060099841;view=1up;seq=150</v>
      </c>
      <c r="R316" s="27" t="s">
        <v>2579</v>
      </c>
      <c r="S316" s="27" t="s">
        <v>2578</v>
      </c>
      <c r="T316" s="27" t="s">
        <v>2577</v>
      </c>
      <c r="U316" s="27" t="s">
        <v>2602</v>
      </c>
    </row>
    <row r="317" spans="1:21" x14ac:dyDescent="0.25">
      <c r="A317" s="27" t="s">
        <v>887</v>
      </c>
      <c r="B317" s="27" t="str">
        <f t="shared" si="16"/>
        <v>Kentucky</v>
      </c>
      <c r="C317" s="27" t="str">
        <f t="shared" si="17"/>
        <v>Barren</v>
      </c>
      <c r="D317" s="96">
        <f>2497+420+208+863+70+117</f>
        <v>4175</v>
      </c>
      <c r="E317" s="41">
        <f>113+4+12+2+2+0+3+5+1+2</f>
        <v>144</v>
      </c>
      <c r="F317" s="7">
        <f>'KY post'!G6</f>
        <v>160</v>
      </c>
      <c r="G317" s="41">
        <f>4540+873+193+765+58+89+75+120+8+30</f>
        <v>6751</v>
      </c>
      <c r="H317" s="115">
        <f>'KY post'!K6</f>
        <v>71.411979166666669</v>
      </c>
      <c r="I317" s="2">
        <f>81423.13+15461.7+24506.52+2371.95+2947.81</f>
        <v>126711.11</v>
      </c>
      <c r="J317" s="27">
        <f>104+3+1+1+1+1</f>
        <v>111</v>
      </c>
      <c r="K317" s="29">
        <f>'KY post'!P6</f>
        <v>149850</v>
      </c>
      <c r="L317" s="41">
        <v>1922</v>
      </c>
      <c r="N317" s="27" t="s">
        <v>2576</v>
      </c>
      <c r="O317" s="27" t="str">
        <f>'KY post'!T6&amp;"; "&amp;'KY post'!W6</f>
        <v>https://babel.hathitrust.org/cgi/pt?id=njp.32101060099841;view=1up;seq=180; https://babel.hathitrust.org/cgi/pt?id=njp.32101060099841;view=1up;seq=150</v>
      </c>
      <c r="P317" s="27" t="s">
        <v>2577</v>
      </c>
      <c r="Q317" s="27" t="str">
        <f>'KY post'!V6&amp;"; "&amp;'KY post'!W6</f>
        <v>https://babel.hathitrust.org/cgi/pt?id=njp.32101060099841;view=1up;seq=242; https://babel.hathitrust.org/cgi/pt?id=njp.32101060099841;view=1up;seq=150</v>
      </c>
      <c r="R317" s="27" t="s">
        <v>2579</v>
      </c>
      <c r="S317" s="27" t="s">
        <v>2578</v>
      </c>
      <c r="T317" s="27" t="s">
        <v>2577</v>
      </c>
      <c r="U317" s="27" t="s">
        <v>2602</v>
      </c>
    </row>
    <row r="318" spans="1:21" x14ac:dyDescent="0.25">
      <c r="A318" s="27" t="s">
        <v>888</v>
      </c>
      <c r="B318" s="27" t="str">
        <f t="shared" si="16"/>
        <v>Kentucky</v>
      </c>
      <c r="C318" s="27" t="str">
        <f t="shared" si="17"/>
        <v>Bath</v>
      </c>
      <c r="D318" s="96">
        <f>1769+191+83+220+160+128</f>
        <v>2551</v>
      </c>
      <c r="E318" s="41">
        <f>58+3+5+3+4+0+2+3+2+2</f>
        <v>82</v>
      </c>
      <c r="F318" s="7">
        <f>'KY post'!G7</f>
        <v>180</v>
      </c>
      <c r="G318" s="41">
        <f>2354+263+97+214+180+161+21+80+31+22</f>
        <v>3423</v>
      </c>
      <c r="H318" s="115">
        <f>'KY post'!K7</f>
        <v>69.929539295392956</v>
      </c>
      <c r="I318" s="2">
        <f>52029.79+7543.28+14032.61+4518.74+8637.9</f>
        <v>86762.319999999992</v>
      </c>
      <c r="J318" s="27">
        <f>46+6+1+1+1+1</f>
        <v>56</v>
      </c>
      <c r="K318" s="29">
        <f>'KY post'!P7</f>
        <v>89730</v>
      </c>
      <c r="L318" s="41">
        <v>1922</v>
      </c>
      <c r="N318" s="27" t="s">
        <v>2576</v>
      </c>
      <c r="O318" s="27" t="str">
        <f>'KY post'!T7&amp;"; "&amp;'KY post'!W7</f>
        <v>https://babel.hathitrust.org/cgi/pt?id=njp.32101060099841;view=1up;seq=180; https://babel.hathitrust.org/cgi/pt?id=njp.32101060099841;view=1up;seq=150</v>
      </c>
      <c r="P318" s="27" t="s">
        <v>2577</v>
      </c>
      <c r="Q318" s="27" t="str">
        <f>'KY post'!V7&amp;"; "&amp;'KY post'!W7</f>
        <v>https://babel.hathitrust.org/cgi/pt?id=njp.32101060099841;view=1up;seq=242; https://babel.hathitrust.org/cgi/pt?id=njp.32101060099841;view=1up;seq=150</v>
      </c>
      <c r="R318" s="27" t="s">
        <v>2579</v>
      </c>
      <c r="S318" s="27" t="s">
        <v>2578</v>
      </c>
      <c r="T318" s="27" t="s">
        <v>2577</v>
      </c>
      <c r="U318" s="27" t="s">
        <v>2602</v>
      </c>
    </row>
    <row r="319" spans="1:21" x14ac:dyDescent="0.25">
      <c r="A319" s="27" t="s">
        <v>889</v>
      </c>
      <c r="B319" s="27" t="str">
        <f t="shared" si="16"/>
        <v>Kentucky</v>
      </c>
      <c r="C319" s="27" t="str">
        <f t="shared" si="17"/>
        <v>Bell</v>
      </c>
      <c r="D319" s="96">
        <f>5132+255+1507+188+613+98+131+156+167+235</f>
        <v>8482</v>
      </c>
      <c r="E319" s="41">
        <f>133+35+15+2+3+5+0+0+0+0+8+5+1</f>
        <v>207</v>
      </c>
      <c r="F319" s="7">
        <f>'KY post'!G8</f>
        <v>180</v>
      </c>
      <c r="G319" s="41">
        <f>5318+252+1656+240+796+81+106+241+170+354+184+121+34</f>
        <v>9553</v>
      </c>
      <c r="H319" s="115">
        <f>'KY post'!K8</f>
        <v>65.677214170692423</v>
      </c>
      <c r="I319" s="2">
        <f>73607.33+55475.29+43366.69+2240.18+2988.5+3442.05+6844.67</f>
        <v>187964.71</v>
      </c>
      <c r="J319" s="27">
        <f>64+15+2+2+1+1+1+1</f>
        <v>87</v>
      </c>
      <c r="K319" s="29">
        <f>'KY post'!P8</f>
        <v>71600</v>
      </c>
      <c r="L319" s="41">
        <v>1922</v>
      </c>
      <c r="N319" s="27" t="s">
        <v>2576</v>
      </c>
      <c r="O319" s="27" t="str">
        <f>'KY post'!T8&amp;"; "&amp;'KY post'!W8</f>
        <v>https://babel.hathitrust.org/cgi/pt?id=njp.32101060099841;view=1up;seq=180; https://babel.hathitrust.org/cgi/pt?id=njp.32101060099841;view=1up;seq=150</v>
      </c>
      <c r="P319" s="27" t="s">
        <v>2577</v>
      </c>
      <c r="Q319" s="27" t="str">
        <f>'KY post'!V8&amp;"; "&amp;'KY post'!W8</f>
        <v>https://babel.hathitrust.org/cgi/pt?id=njp.32101060099841;view=1up;seq=242; https://babel.hathitrust.org/cgi/pt?id=njp.32101060099841;view=1up;seq=150</v>
      </c>
      <c r="R319" s="27" t="s">
        <v>2579</v>
      </c>
      <c r="S319" s="27" t="s">
        <v>2578</v>
      </c>
      <c r="T319" s="27" t="s">
        <v>2577</v>
      </c>
      <c r="U319" s="27" t="s">
        <v>2602</v>
      </c>
    </row>
    <row r="320" spans="1:21" x14ac:dyDescent="0.25">
      <c r="A320" s="27" t="s">
        <v>890</v>
      </c>
      <c r="B320" s="27" t="str">
        <f t="shared" si="16"/>
        <v>Kentucky</v>
      </c>
      <c r="C320" s="27" t="str">
        <f t="shared" si="17"/>
        <v>Boone</v>
      </c>
      <c r="D320" s="96">
        <f>779+63+71+105+150+76+123+169</f>
        <v>1536</v>
      </c>
      <c r="E320" s="41">
        <f>57+2+3+3+2+4+4+0+3+3+1+2+2+3</f>
        <v>89</v>
      </c>
      <c r="F320" s="7">
        <f>'KY post'!G9</f>
        <v>160</v>
      </c>
      <c r="G320" s="41">
        <f>1132+73+60+124+144+84+117+135+22+31+31+16+28+3+22+40+52</f>
        <v>2114</v>
      </c>
      <c r="H320" s="115">
        <f>'KY post'!K9</f>
        <v>75.07592696629213</v>
      </c>
      <c r="I320" s="2">
        <f>42211.26+2720.34+5521.56+6262.59+5434.34+5641.57+10849.87</f>
        <v>78641.53</v>
      </c>
      <c r="J320" s="27">
        <f>29+11+1+1+1+1+1+1</f>
        <v>46</v>
      </c>
      <c r="K320" s="29">
        <f>'KY post'!P9</f>
        <v>63200</v>
      </c>
      <c r="L320" s="41">
        <v>1922</v>
      </c>
      <c r="N320" s="27" t="s">
        <v>2576</v>
      </c>
      <c r="O320" s="27" t="str">
        <f>'KY post'!T9&amp;"; "&amp;'KY post'!W9</f>
        <v>https://babel.hathitrust.org/cgi/pt?id=njp.32101060099841;view=1up;seq=180; https://babel.hathitrust.org/cgi/pt?id=njp.32101060099841;view=1up;seq=150</v>
      </c>
      <c r="P320" s="27" t="s">
        <v>2577</v>
      </c>
      <c r="Q320" s="27" t="str">
        <f>'KY post'!V9&amp;"; "&amp;'KY post'!W9</f>
        <v>https://babel.hathitrust.org/cgi/pt?id=njp.32101060099841;view=1up;seq=242; https://babel.hathitrust.org/cgi/pt?id=njp.32101060099841;view=1up;seq=150</v>
      </c>
      <c r="R320" s="27" t="s">
        <v>2579</v>
      </c>
      <c r="S320" s="27" t="s">
        <v>2578</v>
      </c>
      <c r="T320" s="27" t="s">
        <v>2577</v>
      </c>
      <c r="U320" s="27" t="s">
        <v>2602</v>
      </c>
    </row>
    <row r="321" spans="1:21" x14ac:dyDescent="0.25">
      <c r="A321" s="27" t="s">
        <v>891</v>
      </c>
      <c r="B321" s="27" t="str">
        <f t="shared" si="16"/>
        <v>Kentucky</v>
      </c>
      <c r="C321" s="27" t="str">
        <f t="shared" si="17"/>
        <v>Bourbon</v>
      </c>
      <c r="D321" s="96">
        <f>1375+525+1002+621+102+167</f>
        <v>3792</v>
      </c>
      <c r="E321" s="41">
        <f>50+2+26+2+7+0+4+2+3+4+18+4+1</f>
        <v>123</v>
      </c>
      <c r="F321" s="7">
        <f>'KY post'!G10</f>
        <v>180</v>
      </c>
      <c r="G321" s="41">
        <f>1454+577+776+431+103+189+66+21+26+33+340+20+5+106</f>
        <v>4147</v>
      </c>
      <c r="H321" s="115">
        <f>'KY post'!K10</f>
        <v>105.02446251129179</v>
      </c>
      <c r="I321" s="2">
        <f>106448.51+80337.42+5769.56+9733.46</f>
        <v>202288.94999999998</v>
      </c>
      <c r="J321" s="27">
        <f>27+7+2+1+1</f>
        <v>38</v>
      </c>
      <c r="K321" s="29">
        <f>'KY post'!P10</f>
        <v>75900</v>
      </c>
      <c r="L321" s="41">
        <v>1922</v>
      </c>
      <c r="N321" s="27" t="s">
        <v>2576</v>
      </c>
      <c r="O321" s="27" t="str">
        <f>'KY post'!T10&amp;"; "&amp;'KY post'!W10</f>
        <v>https://babel.hathitrust.org/cgi/pt?id=njp.32101060099841;view=1up;seq=180; https://babel.hathitrust.org/cgi/pt?id=njp.32101060099841;view=1up;seq=150</v>
      </c>
      <c r="P321" s="27" t="s">
        <v>2577</v>
      </c>
      <c r="Q321" s="27" t="str">
        <f>'KY post'!V10&amp;"; "&amp;'KY post'!W10</f>
        <v>https://babel.hathitrust.org/cgi/pt?id=njp.32101060099841;view=1up;seq=242; https://babel.hathitrust.org/cgi/pt?id=njp.32101060099841;view=1up;seq=150</v>
      </c>
      <c r="R321" s="27" t="s">
        <v>2579</v>
      </c>
      <c r="S321" s="27" t="s">
        <v>2578</v>
      </c>
      <c r="T321" s="27" t="s">
        <v>2577</v>
      </c>
      <c r="U321" s="27" t="s">
        <v>2602</v>
      </c>
    </row>
    <row r="322" spans="1:21" x14ac:dyDescent="0.25">
      <c r="A322" s="27" t="s">
        <v>892</v>
      </c>
      <c r="B322" s="27" t="str">
        <f t="shared" ref="B322:B385" si="18">LEFT(A322,FIND(";",A322)-1)</f>
        <v>Kentucky</v>
      </c>
      <c r="C322" s="27" t="str">
        <f t="shared" ref="C322:C385" si="19">MID(A322,FIND(";",A322)+1,100)</f>
        <v>Boyd</v>
      </c>
      <c r="D322" s="96">
        <f>1297+3625+84+906+26+156</f>
        <v>6094</v>
      </c>
      <c r="E322" s="41">
        <f>35+90+20+4+0+0+0+28+6+1</f>
        <v>184</v>
      </c>
      <c r="F322" s="7">
        <f>'KY post'!G11</f>
        <v>180</v>
      </c>
      <c r="G322" s="41">
        <f>1788+3707+99+1023+28+231+582+142+9</f>
        <v>7609</v>
      </c>
      <c r="H322" s="115">
        <f>'KY post'!K11</f>
        <v>101.76847222222221</v>
      </c>
      <c r="I322" s="2">
        <f>34071.17+224971.64+71416.84+3198.27</f>
        <v>333657.92000000004</v>
      </c>
      <c r="J322" s="27">
        <f>31+2+1+1+1</f>
        <v>36</v>
      </c>
      <c r="K322" s="29">
        <f>'KY post'!P11</f>
        <v>63600</v>
      </c>
      <c r="L322" s="41">
        <v>1922</v>
      </c>
      <c r="N322" s="27" t="s">
        <v>2576</v>
      </c>
      <c r="O322" s="27" t="str">
        <f>'KY post'!T11&amp;"; "&amp;'KY post'!W11</f>
        <v>https://babel.hathitrust.org/cgi/pt?id=njp.32101060099841;view=1up;seq=180; https://babel.hathitrust.org/cgi/pt?id=njp.32101060099841;view=1up;seq=150</v>
      </c>
      <c r="P322" s="27" t="s">
        <v>2577</v>
      </c>
      <c r="Q322" s="27" t="str">
        <f>'KY post'!V11&amp;"; "&amp;'KY post'!W11</f>
        <v>https://babel.hathitrust.org/cgi/pt?id=njp.32101060099841;view=1up;seq=242; https://babel.hathitrust.org/cgi/pt?id=njp.32101060099841;view=1up;seq=150</v>
      </c>
      <c r="R322" s="27" t="s">
        <v>2579</v>
      </c>
      <c r="S322" s="27" t="s">
        <v>2578</v>
      </c>
      <c r="T322" s="27" t="s">
        <v>2577</v>
      </c>
      <c r="U322" s="27" t="s">
        <v>2602</v>
      </c>
    </row>
    <row r="323" spans="1:21" x14ac:dyDescent="0.25">
      <c r="A323" s="27" t="s">
        <v>893</v>
      </c>
      <c r="B323" s="27" t="str">
        <f t="shared" si="18"/>
        <v>Kentucky</v>
      </c>
      <c r="C323" s="27" t="str">
        <f t="shared" si="19"/>
        <v>Boyle</v>
      </c>
      <c r="D323" s="96">
        <f>11359+252+840+298</f>
        <v>12749</v>
      </c>
      <c r="E323" s="41">
        <f>49+28+0+0+6+3+3+5</f>
        <v>94</v>
      </c>
      <c r="F323" s="7">
        <f>'KY post'!G12</f>
        <v>160</v>
      </c>
      <c r="G323" s="41">
        <f>1787+355+31+392+163+47+22+51+14+33</f>
        <v>2895</v>
      </c>
      <c r="H323" s="115">
        <f>'KY post'!K12</f>
        <v>93.563018617021271</v>
      </c>
      <c r="I323" s="2">
        <f>71756.91+51996.81</f>
        <v>123753.72</v>
      </c>
      <c r="J323" s="27">
        <f>31+6+1+1</f>
        <v>39</v>
      </c>
      <c r="K323" s="29">
        <f>'KY post'!P12</f>
        <v>154000</v>
      </c>
      <c r="L323" s="41">
        <v>1922</v>
      </c>
      <c r="N323" s="27" t="s">
        <v>2576</v>
      </c>
      <c r="O323" s="27" t="str">
        <f>'KY post'!T12&amp;"; "&amp;'KY post'!W12</f>
        <v>https://babel.hathitrust.org/cgi/pt?id=njp.32101060099841;view=1up;seq=180; https://babel.hathitrust.org/cgi/pt?id=njp.32101060099841;view=1up;seq=150</v>
      </c>
      <c r="P323" s="27" t="s">
        <v>2577</v>
      </c>
      <c r="Q323" s="27" t="str">
        <f>'KY post'!V12&amp;"; "&amp;'KY post'!W12</f>
        <v>https://babel.hathitrust.org/cgi/pt?id=njp.32101060099841;view=1up;seq=242; https://babel.hathitrust.org/cgi/pt?id=njp.32101060099841;view=1up;seq=150</v>
      </c>
      <c r="R323" s="27" t="s">
        <v>2579</v>
      </c>
      <c r="S323" s="27" t="s">
        <v>2578</v>
      </c>
      <c r="T323" s="27" t="s">
        <v>2577</v>
      </c>
      <c r="U323" s="27" t="s">
        <v>2602</v>
      </c>
    </row>
    <row r="324" spans="1:21" x14ac:dyDescent="0.25">
      <c r="A324" s="27" t="s">
        <v>894</v>
      </c>
      <c r="B324" s="27" t="str">
        <f t="shared" si="18"/>
        <v>Kentucky</v>
      </c>
      <c r="C324" s="27" t="str">
        <f t="shared" si="19"/>
        <v>Bracken</v>
      </c>
      <c r="D324" s="96">
        <f>910+44+293+160+106</f>
        <v>1513</v>
      </c>
      <c r="E324" s="41">
        <f>42+6+4+3+0+4+4+2</f>
        <v>65</v>
      </c>
      <c r="F324" s="7">
        <f>'KY post'!G13</f>
        <v>160</v>
      </c>
      <c r="G324" s="41">
        <f>1573+63+165+132+97+76+69+36</f>
        <v>2211</v>
      </c>
      <c r="H324" s="115">
        <f>'KY post'!K13</f>
        <v>87.404769230769233</v>
      </c>
      <c r="I324" s="2">
        <f>40200.14+12929.05+8790.1+7829.94</f>
        <v>69749.23</v>
      </c>
      <c r="J324" s="27">
        <f>38+3+1+1+1</f>
        <v>44</v>
      </c>
      <c r="K324" s="29">
        <f>'KY post'!P13</f>
        <v>87200</v>
      </c>
      <c r="L324" s="41">
        <v>1922</v>
      </c>
      <c r="N324" s="27" t="s">
        <v>2576</v>
      </c>
      <c r="O324" s="27" t="str">
        <f>'KY post'!T13&amp;"; "&amp;'KY post'!W13</f>
        <v>https://babel.hathitrust.org/cgi/pt?id=njp.32101060099841;view=1up;seq=180; https://babel.hathitrust.org/cgi/pt?id=njp.32101060099841;view=1up;seq=150</v>
      </c>
      <c r="P324" s="27" t="s">
        <v>2577</v>
      </c>
      <c r="Q324" s="27" t="str">
        <f>'KY post'!V13&amp;"; "&amp;'KY post'!W13</f>
        <v>https://babel.hathitrust.org/cgi/pt?id=njp.32101060099841;view=1up;seq=242; https://babel.hathitrust.org/cgi/pt?id=njp.32101060099841;view=1up;seq=150</v>
      </c>
      <c r="R324" s="27" t="s">
        <v>2579</v>
      </c>
      <c r="S324" s="27" t="s">
        <v>2578</v>
      </c>
      <c r="T324" s="27" t="s">
        <v>2577</v>
      </c>
      <c r="U324" s="27" t="s">
        <v>2602</v>
      </c>
    </row>
    <row r="325" spans="1:21" x14ac:dyDescent="0.25">
      <c r="A325" s="27" t="s">
        <v>895</v>
      </c>
      <c r="B325" s="27" t="str">
        <f t="shared" si="18"/>
        <v>Kentucky</v>
      </c>
      <c r="C325" s="27" t="str">
        <f t="shared" si="19"/>
        <v>Breathitt</v>
      </c>
      <c r="D325" s="96">
        <f>3623+312+50+170</f>
        <v>4155</v>
      </c>
      <c r="E325" s="41">
        <f>126+8+6+0+2+3</f>
        <v>145</v>
      </c>
      <c r="F325" s="7">
        <f>'KY post'!G14</f>
        <v>160</v>
      </c>
      <c r="G325" s="41">
        <f>5304+473+306+42+22</f>
        <v>6147</v>
      </c>
      <c r="H325" s="115">
        <f>'KY post'!K14</f>
        <v>56.181568965517236</v>
      </c>
      <c r="I325" s="2">
        <f>71616.6+11088.71+7734</f>
        <v>90439.31</v>
      </c>
      <c r="J325" s="27">
        <f>101+3+1+1+1</f>
        <v>107</v>
      </c>
      <c r="K325" s="29">
        <f>'KY post'!P14</f>
        <v>87000</v>
      </c>
      <c r="L325" s="41">
        <v>1922</v>
      </c>
      <c r="N325" s="27" t="s">
        <v>2576</v>
      </c>
      <c r="O325" s="27" t="str">
        <f>'KY post'!T14&amp;"; "&amp;'KY post'!W14</f>
        <v>https://babel.hathitrust.org/cgi/pt?id=njp.32101060099841;view=1up;seq=180; https://babel.hathitrust.org/cgi/pt?id=njp.32101060099841;view=1up;seq=150</v>
      </c>
      <c r="P325" s="27" t="s">
        <v>2577</v>
      </c>
      <c r="Q325" s="27" t="str">
        <f>'KY post'!V14&amp;"; "&amp;'KY post'!W14</f>
        <v>https://babel.hathitrust.org/cgi/pt?id=njp.32101060099841;view=1up;seq=242; https://babel.hathitrust.org/cgi/pt?id=njp.32101060099841;view=1up;seq=150</v>
      </c>
      <c r="R325" s="27" t="s">
        <v>2579</v>
      </c>
      <c r="S325" s="27" t="s">
        <v>2578</v>
      </c>
      <c r="T325" s="27" t="s">
        <v>2577</v>
      </c>
      <c r="U325" s="27" t="s">
        <v>2602</v>
      </c>
    </row>
    <row r="326" spans="1:21" x14ac:dyDescent="0.25">
      <c r="A326" s="27" t="s">
        <v>896</v>
      </c>
      <c r="B326" s="27" t="str">
        <f t="shared" si="18"/>
        <v>Kentucky</v>
      </c>
      <c r="C326" s="27" t="str">
        <f t="shared" si="19"/>
        <v>Breckinridge</v>
      </c>
      <c r="D326" s="96">
        <f>2152+276+266+206+127+55</f>
        <v>3082</v>
      </c>
      <c r="E326" s="41">
        <f>105+5+4+3+2+0+2+3+2</f>
        <v>126</v>
      </c>
      <c r="F326" s="7">
        <f>'KY post'!G15</f>
        <v>160</v>
      </c>
      <c r="G326" s="41">
        <f>4284+314+276+196+125+88+55+85+30</f>
        <v>5453</v>
      </c>
      <c r="H326" s="115">
        <f>'KY post'!K15</f>
        <v>71.354742063492068</v>
      </c>
      <c r="I326" s="2">
        <f>58796.73+7540.24+12374.16+5224.58+1504.15</f>
        <v>85439.86</v>
      </c>
      <c r="J326" s="27">
        <f>92+6+1+1+1+1</f>
        <v>102</v>
      </c>
      <c r="K326" s="29">
        <f>'KY post'!P15</f>
        <v>39500</v>
      </c>
      <c r="L326" s="41">
        <v>1922</v>
      </c>
      <c r="N326" s="27" t="s">
        <v>2576</v>
      </c>
      <c r="O326" s="27" t="str">
        <f>'KY post'!T15&amp;"; "&amp;'KY post'!W15</f>
        <v>https://babel.hathitrust.org/cgi/pt?id=njp.32101060099841;view=1up;seq=180; https://babel.hathitrust.org/cgi/pt?id=njp.32101060099841;view=1up;seq=150</v>
      </c>
      <c r="P326" s="27" t="s">
        <v>2577</v>
      </c>
      <c r="Q326" s="27" t="str">
        <f>'KY post'!V15&amp;"; "&amp;'KY post'!W15</f>
        <v>https://babel.hathitrust.org/cgi/pt?id=njp.32101060099841;view=1up;seq=242; https://babel.hathitrust.org/cgi/pt?id=njp.32101060099841;view=1up;seq=150</v>
      </c>
      <c r="R326" s="27" t="s">
        <v>2579</v>
      </c>
      <c r="S326" s="27" t="s">
        <v>2578</v>
      </c>
      <c r="T326" s="27" t="s">
        <v>2577</v>
      </c>
      <c r="U326" s="27" t="s">
        <v>2602</v>
      </c>
    </row>
    <row r="327" spans="1:21" x14ac:dyDescent="0.25">
      <c r="A327" s="27" t="s">
        <v>897</v>
      </c>
      <c r="B327" s="27" t="str">
        <f t="shared" si="18"/>
        <v>Kentucky</v>
      </c>
      <c r="C327" s="27" t="str">
        <f t="shared" si="19"/>
        <v>Bullitt</v>
      </c>
      <c r="D327" s="96">
        <f>908+44+297+150</f>
        <v>1399</v>
      </c>
      <c r="E327" s="41">
        <f>41+2+2+6+4+0+2+4</f>
        <v>61</v>
      </c>
      <c r="F327" s="7">
        <f>'KY post'!G16</f>
        <v>160</v>
      </c>
      <c r="G327" s="41">
        <f>1485+130+49+60+329+184+56+131</f>
        <v>2424</v>
      </c>
      <c r="H327" s="115">
        <f>'KY post'!K16</f>
        <v>82.649118852459011</v>
      </c>
      <c r="I327" s="2">
        <f>29156.85+1695.2+1719.84+7637.58+11159.81</f>
        <v>51369.279999999999</v>
      </c>
      <c r="J327" s="27">
        <f>33+4+1+1+1+1</f>
        <v>41</v>
      </c>
      <c r="K327" s="29">
        <f>'KY post'!P16</f>
        <v>35650</v>
      </c>
      <c r="L327" s="41">
        <v>1922</v>
      </c>
      <c r="N327" s="27" t="s">
        <v>2576</v>
      </c>
      <c r="O327" s="27" t="str">
        <f>'KY post'!T16&amp;"; "&amp;'KY post'!W16</f>
        <v>https://babel.hathitrust.org/cgi/pt?id=njp.32101060099841;view=1up;seq=180; https://babel.hathitrust.org/cgi/pt?id=njp.32101060099841;view=1up;seq=150</v>
      </c>
      <c r="P327" s="27" t="s">
        <v>2577</v>
      </c>
      <c r="Q327" s="27" t="str">
        <f>'KY post'!V16&amp;"; "&amp;'KY post'!W16</f>
        <v>https://babel.hathitrust.org/cgi/pt?id=njp.32101060099841;view=1up;seq=242; https://babel.hathitrust.org/cgi/pt?id=njp.32101060099841;view=1up;seq=150</v>
      </c>
      <c r="R327" s="27" t="s">
        <v>2579</v>
      </c>
      <c r="S327" s="27" t="s">
        <v>2578</v>
      </c>
      <c r="T327" s="27" t="s">
        <v>2577</v>
      </c>
      <c r="U327" s="27" t="s">
        <v>2602</v>
      </c>
    </row>
    <row r="328" spans="1:21" x14ac:dyDescent="0.25">
      <c r="A328" s="27" t="s">
        <v>898</v>
      </c>
      <c r="B328" s="27" t="str">
        <f t="shared" si="18"/>
        <v>Kentucky</v>
      </c>
      <c r="C328" s="27" t="str">
        <f t="shared" si="19"/>
        <v>Butler</v>
      </c>
      <c r="D328" s="96">
        <f>2062+59+116</f>
        <v>2237</v>
      </c>
      <c r="E328" s="41">
        <f>89+2+0+3+2</f>
        <v>96</v>
      </c>
      <c r="F328" s="7">
        <f>'KY post'!G17</f>
        <v>160</v>
      </c>
      <c r="G328" s="41">
        <f>3297+97+146+104+60</f>
        <v>3704</v>
      </c>
      <c r="H328" s="115">
        <f>'KY post'!K17</f>
        <v>57.026041666666664</v>
      </c>
      <c r="I328" s="2">
        <f>55314.48+2921.9</f>
        <v>58236.380000000005</v>
      </c>
      <c r="J328" s="27">
        <f>83+2+1</f>
        <v>86</v>
      </c>
      <c r="K328" s="29">
        <f>'KY post'!P17</f>
        <v>55820</v>
      </c>
      <c r="L328" s="41">
        <v>1922</v>
      </c>
      <c r="N328" s="27" t="s">
        <v>2576</v>
      </c>
      <c r="O328" s="27" t="str">
        <f>'KY post'!T17&amp;"; "&amp;'KY post'!W17</f>
        <v>https://babel.hathitrust.org/cgi/pt?id=njp.32101060099841;view=1up;seq=180; https://babel.hathitrust.org/cgi/pt?id=njp.32101060099841;view=1up;seq=150</v>
      </c>
      <c r="P328" s="27" t="s">
        <v>2577</v>
      </c>
      <c r="Q328" s="27" t="str">
        <f>'KY post'!V17&amp;"; "&amp;'KY post'!W17</f>
        <v>https://babel.hathitrust.org/cgi/pt?id=njp.32101060099841;view=1up;seq=242; https://babel.hathitrust.org/cgi/pt?id=njp.32101060099841;view=1up;seq=150</v>
      </c>
      <c r="R328" s="27" t="s">
        <v>2579</v>
      </c>
      <c r="S328" s="27" t="s">
        <v>2578</v>
      </c>
      <c r="T328" s="27" t="s">
        <v>2577</v>
      </c>
      <c r="U328" s="27" t="s">
        <v>2602</v>
      </c>
    </row>
    <row r="329" spans="1:21" x14ac:dyDescent="0.25">
      <c r="A329" s="27" t="s">
        <v>899</v>
      </c>
      <c r="B329" s="27" t="str">
        <f t="shared" si="18"/>
        <v>Kentucky</v>
      </c>
      <c r="C329" s="27" t="str">
        <f t="shared" si="19"/>
        <v>Caldwell</v>
      </c>
      <c r="D329" s="96">
        <f>1955+179+919+134+124</f>
        <v>3311</v>
      </c>
      <c r="E329" s="41">
        <f>54+14+3+3+0+2+2+2+2+2+1+7+2</f>
        <v>94</v>
      </c>
      <c r="F329" s="7">
        <f>'KY post'!G18</f>
        <v>170</v>
      </c>
      <c r="G329" s="41">
        <f>2151+255+708+226+112+43+26+38+58+26+16+178+40</f>
        <v>3877</v>
      </c>
      <c r="H329" s="115">
        <f>'KY post'!K18</f>
        <v>66.669173967459329</v>
      </c>
      <c r="I329" s="2">
        <f>46230.76+33067.46+3869.47+4627.06</f>
        <v>87794.75</v>
      </c>
      <c r="J329" s="27">
        <f>54+1+1+1</f>
        <v>57</v>
      </c>
      <c r="K329" s="29">
        <f>'KY post'!P18</f>
        <v>52600</v>
      </c>
      <c r="L329" s="41">
        <v>1922</v>
      </c>
      <c r="N329" s="27" t="s">
        <v>2576</v>
      </c>
      <c r="O329" s="27" t="str">
        <f>'KY post'!T18&amp;"; "&amp;'KY post'!W18</f>
        <v>https://babel.hathitrust.org/cgi/pt?id=njp.32101060099841;view=1up;seq=180; https://babel.hathitrust.org/cgi/pt?id=njp.32101060099841;view=1up;seq=150</v>
      </c>
      <c r="P329" s="27" t="s">
        <v>2577</v>
      </c>
      <c r="Q329" s="27" t="str">
        <f>'KY post'!V18&amp;"; "&amp;'KY post'!W18</f>
        <v>https://babel.hathitrust.org/cgi/pt?id=njp.32101060099841;view=1up;seq=242; https://babel.hathitrust.org/cgi/pt?id=njp.32101060099841;view=1up;seq=150</v>
      </c>
      <c r="R329" s="27" t="s">
        <v>2579</v>
      </c>
      <c r="S329" s="27" t="s">
        <v>2578</v>
      </c>
      <c r="T329" s="27" t="s">
        <v>2577</v>
      </c>
      <c r="U329" s="27" t="s">
        <v>2602</v>
      </c>
    </row>
    <row r="330" spans="1:21" x14ac:dyDescent="0.25">
      <c r="A330" s="27" t="s">
        <v>900</v>
      </c>
      <c r="B330" s="27" t="str">
        <f t="shared" si="18"/>
        <v>Kentucky</v>
      </c>
      <c r="C330" s="27" t="str">
        <f t="shared" si="19"/>
        <v>Calloway</v>
      </c>
      <c r="D330" s="96">
        <f>4111+36+699+99+189</f>
        <v>5134</v>
      </c>
      <c r="E330" s="41">
        <f>32+72+8+4+2+2+2+3+2+2+2+3+9+2+1</f>
        <v>146</v>
      </c>
      <c r="F330" s="7">
        <f>'KY post'!G19</f>
        <v>170</v>
      </c>
      <c r="G330" s="41">
        <f>4687+151+474+172+118+98+107+151+38+71+45+64+342+40+7</f>
        <v>6565</v>
      </c>
      <c r="H330" s="115">
        <f>'KY post'!K19</f>
        <v>62.79002417405318</v>
      </c>
      <c r="I330" s="2">
        <f>822318.14+52185.7+2011.19+2164.96+1586+89+1246.58+5204.49</f>
        <v>886806.05999999982</v>
      </c>
      <c r="J330" s="27">
        <f>54+21+1+1+1+1+1+1</f>
        <v>81</v>
      </c>
      <c r="K330" s="29">
        <f>'KY post'!P19</f>
        <v>93000</v>
      </c>
      <c r="L330" s="41">
        <v>1922</v>
      </c>
      <c r="N330" s="27" t="s">
        <v>2576</v>
      </c>
      <c r="O330" s="27" t="str">
        <f>'KY post'!T19&amp;"; "&amp;'KY post'!W19</f>
        <v>https://babel.hathitrust.org/cgi/pt?id=njp.32101060099841;view=1up;seq=180; https://babel.hathitrust.org/cgi/pt?id=njp.32101060099841;view=1up;seq=150</v>
      </c>
      <c r="P330" s="27" t="s">
        <v>2577</v>
      </c>
      <c r="Q330" s="27" t="str">
        <f>'KY post'!V19&amp;"; "&amp;'KY post'!W19</f>
        <v>https://babel.hathitrust.org/cgi/pt?id=njp.32101060099841;view=1up;seq=242; https://babel.hathitrust.org/cgi/pt?id=njp.32101060099841;view=1up;seq=150</v>
      </c>
      <c r="R330" s="27" t="s">
        <v>2579</v>
      </c>
      <c r="S330" s="27" t="s">
        <v>2578</v>
      </c>
      <c r="T330" s="27" t="s">
        <v>2577</v>
      </c>
      <c r="U330" s="27" t="s">
        <v>2602</v>
      </c>
    </row>
    <row r="331" spans="1:21" x14ac:dyDescent="0.25">
      <c r="A331" s="27" t="s">
        <v>901</v>
      </c>
      <c r="B331" s="27" t="str">
        <f t="shared" si="18"/>
        <v>Kentucky</v>
      </c>
      <c r="C331" s="27" t="str">
        <f t="shared" si="19"/>
        <v>Campbell</v>
      </c>
      <c r="D331" s="96">
        <f>777+633+298+1193+626+2646+100+55+55+115+75+137</f>
        <v>6710</v>
      </c>
      <c r="E331" s="41">
        <f>33+17+9+23+17+84+2+2+2+4+3+4+0+0+3+5+8+11+17</f>
        <v>244</v>
      </c>
      <c r="F331" s="7">
        <f>'KY post'!G20</f>
        <v>170</v>
      </c>
      <c r="G331" s="41">
        <f>889+604+292+958+0+490+2695+122+58+88+64+103+93+140+61+131+9+161+193+459+7</f>
        <v>7617</v>
      </c>
      <c r="H331" s="115">
        <f>'KY post'!K20</f>
        <v>128.54912246865959</v>
      </c>
      <c r="I331" s="2">
        <f>62292.95+35745.48+19555.54+52280.31+84365.44+192650.03+1968.78+2423.74+5273.28+6369.76+4218.29+8372.59</f>
        <v>475516.19000000006</v>
      </c>
      <c r="J331" s="27">
        <f>29+2+3+2+3+2+1+1+1+1+1+1</f>
        <v>47</v>
      </c>
      <c r="K331" s="29">
        <f>'KY post'!P20</f>
        <v>275000</v>
      </c>
      <c r="L331" s="41">
        <v>1922</v>
      </c>
      <c r="N331" s="27" t="s">
        <v>2576</v>
      </c>
      <c r="O331" s="27" t="str">
        <f>'KY post'!T20&amp;"; "&amp;'KY post'!W20</f>
        <v>https://babel.hathitrust.org/cgi/pt?id=njp.32101060099841;view=1up;seq=180; https://babel.hathitrust.org/cgi/pt?id=njp.32101060099841;view=1up;seq=150</v>
      </c>
      <c r="P331" s="27" t="s">
        <v>2577</v>
      </c>
      <c r="Q331" s="27" t="str">
        <f>'KY post'!V20&amp;"; "&amp;'KY post'!W20</f>
        <v>https://babel.hathitrust.org/cgi/pt?id=njp.32101060099841;view=1up;seq=242; https://babel.hathitrust.org/cgi/pt?id=njp.32101060099841;view=1up;seq=150</v>
      </c>
      <c r="R331" s="27" t="s">
        <v>2579</v>
      </c>
      <c r="S331" s="27" t="s">
        <v>2578</v>
      </c>
      <c r="T331" s="27" t="s">
        <v>2577</v>
      </c>
      <c r="U331" s="27" t="s">
        <v>2602</v>
      </c>
    </row>
    <row r="332" spans="1:21" x14ac:dyDescent="0.25">
      <c r="A332" s="27" t="s">
        <v>902</v>
      </c>
      <c r="B332" s="27" t="str">
        <f t="shared" si="18"/>
        <v>Kentucky</v>
      </c>
      <c r="C332" s="27" t="str">
        <f t="shared" si="19"/>
        <v>Carlisle</v>
      </c>
      <c r="D332" s="96">
        <f>1061+73+173+232</f>
        <v>1539</v>
      </c>
      <c r="E332" s="41">
        <f>13+32+4+0+2+3+2</f>
        <v>56</v>
      </c>
      <c r="F332" s="7">
        <f>'KY post'!G21</f>
        <v>200</v>
      </c>
      <c r="G332" s="41">
        <f>1450+97+175+251+52+144+38+44</f>
        <v>2251</v>
      </c>
      <c r="H332" s="115">
        <f>'KY post'!K21</f>
        <v>67.288767857142858</v>
      </c>
      <c r="I332" s="2">
        <f>44613.27+7058.98+8375.32</f>
        <v>60047.57</v>
      </c>
      <c r="J332" s="27">
        <f>30+4+1+1</f>
        <v>36</v>
      </c>
      <c r="K332" s="29">
        <f>'KY post'!P21</f>
        <v>72494</v>
      </c>
      <c r="L332" s="41">
        <v>1922</v>
      </c>
      <c r="N332" s="27" t="s">
        <v>2576</v>
      </c>
      <c r="O332" s="27" t="str">
        <f>'KY post'!T21&amp;"; "&amp;'KY post'!W21</f>
        <v>https://babel.hathitrust.org/cgi/pt?id=njp.32101060099841;view=1up;seq=180; https://babel.hathitrust.org/cgi/pt?id=njp.32101060099841;view=1up;seq=150</v>
      </c>
      <c r="P332" s="27" t="s">
        <v>2577</v>
      </c>
      <c r="Q332" s="27" t="str">
        <f>'KY post'!V21&amp;"; "&amp;'KY post'!W21</f>
        <v>https://babel.hathitrust.org/cgi/pt?id=njp.32101060099841;view=1up;seq=242; https://babel.hathitrust.org/cgi/pt?id=njp.32101060099841;view=1up;seq=150</v>
      </c>
      <c r="R332" s="27" t="s">
        <v>2579</v>
      </c>
      <c r="S332" s="27" t="s">
        <v>2578</v>
      </c>
      <c r="T332" s="27" t="s">
        <v>2577</v>
      </c>
      <c r="U332" s="27" t="s">
        <v>2602</v>
      </c>
    </row>
    <row r="333" spans="1:21" x14ac:dyDescent="0.25">
      <c r="A333" s="27" t="s">
        <v>903</v>
      </c>
      <c r="B333" s="27" t="str">
        <f t="shared" si="18"/>
        <v>Kentucky</v>
      </c>
      <c r="C333" s="27" t="str">
        <f t="shared" si="19"/>
        <v>Carroll</v>
      </c>
      <c r="D333" s="96">
        <f>582+28+368+31+60+109+87</f>
        <v>1265</v>
      </c>
      <c r="E333" s="41">
        <f>32+7+2+3+2+0+0+4+2+1+2</f>
        <v>55</v>
      </c>
      <c r="F333" s="7">
        <f>'KY post'!G22</f>
        <v>180</v>
      </c>
      <c r="G333" s="41">
        <f>873+48+373+48+81+130+110+109+26+16+32</f>
        <v>1846</v>
      </c>
      <c r="H333" s="115">
        <f>'KY post'!K22</f>
        <v>76.261595959595965</v>
      </c>
      <c r="I333" s="108">
        <v>60170</v>
      </c>
      <c r="J333" s="27">
        <f>24+3+2+1+1+1</f>
        <v>32</v>
      </c>
      <c r="K333" s="29">
        <f>'KY post'!P22</f>
        <v>55700</v>
      </c>
      <c r="L333" s="41">
        <v>1922</v>
      </c>
      <c r="N333" s="27" t="s">
        <v>2576</v>
      </c>
      <c r="O333" s="27" t="str">
        <f>'KY post'!T22&amp;"; "&amp;'KY post'!W22</f>
        <v>https://babel.hathitrust.org/cgi/pt?id=njp.32101060099841;view=1up;seq=180; https://babel.hathitrust.org/cgi/pt?id=njp.32101060099841;view=1up;seq=150</v>
      </c>
      <c r="P333" s="27" t="s">
        <v>2577</v>
      </c>
      <c r="Q333" s="27" t="str">
        <f>'KY post'!V22&amp;"; "&amp;'KY post'!W22</f>
        <v>https://babel.hathitrust.org/cgi/pt?id=njp.32101060099841;view=1up;seq=242; https://babel.hathitrust.org/cgi/pt?id=njp.32101060099841;view=1up;seq=150</v>
      </c>
      <c r="R333" s="27" t="s">
        <v>2579</v>
      </c>
      <c r="S333" s="27" t="s">
        <v>2578</v>
      </c>
      <c r="T333" s="27" t="s">
        <v>2577</v>
      </c>
      <c r="U333" s="27" t="s">
        <v>2602</v>
      </c>
    </row>
    <row r="334" spans="1:21" x14ac:dyDescent="0.25">
      <c r="A334" s="27" t="s">
        <v>904</v>
      </c>
      <c r="B334" s="27" t="str">
        <f t="shared" si="18"/>
        <v>Kentucky</v>
      </c>
      <c r="C334" s="27" t="str">
        <f t="shared" si="19"/>
        <v>Carter</v>
      </c>
      <c r="D334" s="96">
        <f>3167+4+324+80+61+91+182+293+221+131+72</f>
        <v>4626</v>
      </c>
      <c r="E334" s="41">
        <f>101+7+1+2+2+3+7+5+2+2+0+0+1+3+2+3</f>
        <v>141</v>
      </c>
      <c r="F334" s="7">
        <f>'KY post'!G23</f>
        <v>160</v>
      </c>
      <c r="G334" s="41">
        <f>3511+17+388+86+75+122+194+271+217+123+89+3+73+10+50</f>
        <v>5229</v>
      </c>
      <c r="H334" s="115">
        <f>'KY post'!K23</f>
        <v>63.678368794326239</v>
      </c>
      <c r="I334" s="108">
        <v>94972</v>
      </c>
      <c r="J334" s="27">
        <f>97+1+1+1+1+1+1+1+1+1+1</f>
        <v>107</v>
      </c>
      <c r="K334" s="29">
        <f>'KY post'!P23</f>
        <v>79000</v>
      </c>
      <c r="L334" s="41">
        <v>1922</v>
      </c>
      <c r="N334" s="27" t="s">
        <v>2576</v>
      </c>
      <c r="O334" s="27" t="str">
        <f>'KY post'!T23&amp;"; "&amp;'KY post'!W23</f>
        <v>https://babel.hathitrust.org/cgi/pt?id=njp.32101060099841;view=1up;seq=180; https://babel.hathitrust.org/cgi/pt?id=njp.32101060099841;view=1up;seq=150</v>
      </c>
      <c r="P334" s="27" t="s">
        <v>2577</v>
      </c>
      <c r="Q334" s="27" t="str">
        <f>'KY post'!V23&amp;"; "&amp;'KY post'!W23</f>
        <v>https://babel.hathitrust.org/cgi/pt?id=njp.32101060099841;view=1up;seq=242; https://babel.hathitrust.org/cgi/pt?id=njp.32101060099841;view=1up;seq=150</v>
      </c>
      <c r="R334" s="27" t="s">
        <v>2579</v>
      </c>
      <c r="S334" s="27" t="s">
        <v>2578</v>
      </c>
      <c r="T334" s="27" t="s">
        <v>2577</v>
      </c>
      <c r="U334" s="27" t="s">
        <v>2602</v>
      </c>
    </row>
    <row r="335" spans="1:21" x14ac:dyDescent="0.25">
      <c r="A335" s="27" t="s">
        <v>905</v>
      </c>
      <c r="B335" s="27" t="str">
        <f t="shared" si="18"/>
        <v>Kentucky</v>
      </c>
      <c r="C335" s="27" t="str">
        <f t="shared" si="19"/>
        <v>Casey</v>
      </c>
      <c r="D335" s="96">
        <f>2979+32+92+49+136+164</f>
        <v>3452</v>
      </c>
      <c r="E335" s="41">
        <f>91+2+2+4+4+0+1+1+2+2</f>
        <v>109</v>
      </c>
      <c r="F335" s="7">
        <f>'KY post'!G24</f>
        <v>160</v>
      </c>
      <c r="G335" s="41">
        <f>4565+25+112+84+195+195+15+6+77+40</f>
        <v>5314</v>
      </c>
      <c r="H335" s="115">
        <f>'KY post'!K24</f>
        <v>55.868061926605499</v>
      </c>
      <c r="I335" s="108">
        <v>74264</v>
      </c>
      <c r="J335" s="27">
        <f>75+7+1+1+1+1</f>
        <v>86</v>
      </c>
      <c r="K335" s="29">
        <f>'KY post'!P24</f>
        <v>63900</v>
      </c>
      <c r="L335" s="41">
        <v>1922</v>
      </c>
      <c r="N335" s="27" t="s">
        <v>2576</v>
      </c>
      <c r="O335" s="27" t="str">
        <f>'KY post'!T24&amp;"; "&amp;'KY post'!W24</f>
        <v>https://babel.hathitrust.org/cgi/pt?id=njp.32101060099841;view=1up;seq=180; https://babel.hathitrust.org/cgi/pt?id=njp.32101060099841;view=1up;seq=150</v>
      </c>
      <c r="P335" s="27" t="s">
        <v>2577</v>
      </c>
      <c r="Q335" s="27" t="str">
        <f>'KY post'!V24&amp;"; "&amp;'KY post'!W24</f>
        <v>https://babel.hathitrust.org/cgi/pt?id=njp.32101060099841;view=1up;seq=242; https://babel.hathitrust.org/cgi/pt?id=njp.32101060099841;view=1up;seq=150</v>
      </c>
      <c r="R335" s="27" t="s">
        <v>2579</v>
      </c>
      <c r="S335" s="27" t="s">
        <v>2578</v>
      </c>
      <c r="T335" s="27" t="s">
        <v>2577</v>
      </c>
      <c r="U335" s="27" t="s">
        <v>2602</v>
      </c>
    </row>
    <row r="336" spans="1:21" x14ac:dyDescent="0.25">
      <c r="A336" s="27" t="s">
        <v>906</v>
      </c>
      <c r="B336" s="27" t="str">
        <f t="shared" si="18"/>
        <v>Kentucky</v>
      </c>
      <c r="C336" s="27" t="str">
        <f t="shared" si="19"/>
        <v>Christian</v>
      </c>
      <c r="D336" s="96">
        <f>2100+1800+1271+1004+135+50+122+197</f>
        <v>6679</v>
      </c>
      <c r="E336" s="41">
        <f>0+26+19+4+2+3+5+2+0+1+1+14+2+1+2+4+9+1</f>
        <v>96</v>
      </c>
      <c r="F336" s="7">
        <f>'KY post'!G25</f>
        <v>180</v>
      </c>
      <c r="G336" s="41">
        <f>2175+1553+1141+887+226+56+100+174+168+16+20+14+340+23+42+20+66+25+170+17</f>
        <v>7233</v>
      </c>
      <c r="H336" s="115">
        <f>'KY post'!K25</f>
        <v>212.41910879629629</v>
      </c>
      <c r="I336" s="2">
        <f>163497.5+77476.67+26786.68+6953.66+3384.92+5907.44+14563.87+2424.89</f>
        <v>300995.62999999995</v>
      </c>
      <c r="J336" s="27">
        <f>1+1+1+1+1+1</f>
        <v>6</v>
      </c>
      <c r="K336" s="29">
        <f>'KY post'!P25</f>
        <v>148700</v>
      </c>
      <c r="L336" s="41">
        <v>1922</v>
      </c>
      <c r="N336" s="27" t="s">
        <v>2576</v>
      </c>
      <c r="O336" s="27" t="str">
        <f>'KY post'!T25&amp;"; "&amp;'KY post'!W25</f>
        <v>https://babel.hathitrust.org/cgi/pt?id=njp.32101060099841;view=1up;seq=180; https://babel.hathitrust.org/cgi/pt?id=njp.32101060099841;view=1up;seq=150</v>
      </c>
      <c r="P336" s="27" t="s">
        <v>2577</v>
      </c>
      <c r="Q336" s="27" t="str">
        <f>'KY post'!V25&amp;"; "&amp;'KY post'!W25</f>
        <v>https://babel.hathitrust.org/cgi/pt?id=njp.32101060099841;view=1up;seq=242; https://babel.hathitrust.org/cgi/pt?id=njp.32101060099841;view=1up;seq=150</v>
      </c>
      <c r="R336" s="27" t="s">
        <v>2579</v>
      </c>
      <c r="S336" s="27" t="s">
        <v>2578</v>
      </c>
      <c r="T336" s="27" t="s">
        <v>2577</v>
      </c>
      <c r="U336" s="27" t="s">
        <v>2602</v>
      </c>
    </row>
    <row r="337" spans="1:21" x14ac:dyDescent="0.25">
      <c r="A337" s="27" t="s">
        <v>907</v>
      </c>
      <c r="B337" s="27" t="str">
        <f t="shared" si="18"/>
        <v>Kentucky</v>
      </c>
      <c r="C337" s="27" t="str">
        <f t="shared" si="19"/>
        <v>Clark</v>
      </c>
      <c r="D337" s="96">
        <f>1239+193+530+286+44+103</f>
        <v>2395</v>
      </c>
      <c r="E337" s="41">
        <f>45+42+1+1+2+0+0+8+1+11+4</f>
        <v>115</v>
      </c>
      <c r="F337" s="7">
        <f>'KY post'!G26</f>
        <v>164</v>
      </c>
      <c r="G337" s="41">
        <f>1667+272+909+325+94+73+126+150+12+13+190+52</f>
        <v>3883</v>
      </c>
      <c r="H337" s="115">
        <f>'KY post'!K26</f>
        <v>111.19617179215271</v>
      </c>
      <c r="I337" s="2">
        <f>93088.46+90599.55+1284.95+1740.13+2830.49</f>
        <v>189543.58000000002</v>
      </c>
      <c r="J337" s="27">
        <f>42+3+3+1+1+1</f>
        <v>51</v>
      </c>
      <c r="K337" s="29">
        <f>'KY post'!P26</f>
        <v>71650</v>
      </c>
      <c r="L337" s="41">
        <v>1922</v>
      </c>
      <c r="N337" s="27" t="s">
        <v>2576</v>
      </c>
      <c r="O337" s="27" t="str">
        <f>'KY post'!T26&amp;"; "&amp;'KY post'!W26</f>
        <v>https://babel.hathitrust.org/cgi/pt?id=njp.32101060099841;view=1up;seq=180; https://babel.hathitrust.org/cgi/pt?id=njp.32101060099841;view=1up;seq=150</v>
      </c>
      <c r="P337" s="27" t="s">
        <v>2577</v>
      </c>
      <c r="Q337" s="27" t="str">
        <f>'KY post'!V26&amp;"; "&amp;'KY post'!W26</f>
        <v>https://babel.hathitrust.org/cgi/pt?id=njp.32101060099841;view=1up;seq=242; https://babel.hathitrust.org/cgi/pt?id=njp.32101060099841;view=1up;seq=150</v>
      </c>
      <c r="R337" s="27" t="s">
        <v>2579</v>
      </c>
      <c r="S337" s="27" t="s">
        <v>2578</v>
      </c>
      <c r="T337" s="27" t="s">
        <v>2577</v>
      </c>
      <c r="U337" s="27" t="s">
        <v>2602</v>
      </c>
    </row>
    <row r="338" spans="1:21" x14ac:dyDescent="0.25">
      <c r="A338" s="27" t="s">
        <v>908</v>
      </c>
      <c r="B338" s="27" t="str">
        <f t="shared" si="18"/>
        <v>Kentucky</v>
      </c>
      <c r="C338" s="27" t="str">
        <f t="shared" si="19"/>
        <v>Clay</v>
      </c>
      <c r="D338" s="96">
        <f>4940+144+158</f>
        <v>5242</v>
      </c>
      <c r="E338" s="41">
        <f>131+4+0+1</f>
        <v>136</v>
      </c>
      <c r="F338" s="7">
        <f>'KY post'!G27</f>
        <v>160</v>
      </c>
      <c r="G338" s="41">
        <f>7154+198+195+26+36</f>
        <v>7609</v>
      </c>
      <c r="H338" s="115">
        <f>'KY post'!K27</f>
        <v>53.979871323529409</v>
      </c>
      <c r="I338" s="2">
        <f>79723.73+4330.4</f>
        <v>84054.12999999999</v>
      </c>
      <c r="J338" s="27">
        <f>101+10+1</f>
        <v>112</v>
      </c>
      <c r="K338" s="29">
        <f>'KY post'!P27</f>
        <v>52900</v>
      </c>
      <c r="L338" s="41">
        <v>1922</v>
      </c>
      <c r="N338" s="27" t="s">
        <v>2576</v>
      </c>
      <c r="O338" s="27" t="str">
        <f>'KY post'!T27&amp;"; "&amp;'KY post'!W27</f>
        <v>https://babel.hathitrust.org/cgi/pt?id=njp.32101060099841;view=1up;seq=180; https://babel.hathitrust.org/cgi/pt?id=njp.32101060099841;view=1up;seq=150</v>
      </c>
      <c r="P338" s="27" t="s">
        <v>2577</v>
      </c>
      <c r="Q338" s="27" t="str">
        <f>'KY post'!V27&amp;"; "&amp;'KY post'!W27</f>
        <v>https://babel.hathitrust.org/cgi/pt?id=njp.32101060099841;view=1up;seq=242; https://babel.hathitrust.org/cgi/pt?id=njp.32101060099841;view=1up;seq=150</v>
      </c>
      <c r="R338" s="27" t="s">
        <v>2579</v>
      </c>
      <c r="S338" s="27" t="s">
        <v>2578</v>
      </c>
      <c r="T338" s="27" t="s">
        <v>2577</v>
      </c>
      <c r="U338" s="27" t="s">
        <v>2602</v>
      </c>
    </row>
    <row r="339" spans="1:21" x14ac:dyDescent="0.25">
      <c r="A339" s="27" t="s">
        <v>909</v>
      </c>
      <c r="B339" s="27" t="str">
        <f t="shared" si="18"/>
        <v>Kentucky</v>
      </c>
      <c r="C339" s="27" t="str">
        <f t="shared" si="19"/>
        <v>Clinton</v>
      </c>
      <c r="D339" s="96">
        <f>1317+14+130</f>
        <v>1461</v>
      </c>
      <c r="E339" s="41">
        <f>51+3+0+2</f>
        <v>56</v>
      </c>
      <c r="F339" s="7">
        <f>'KY post'!G28</f>
        <v>150</v>
      </c>
      <c r="G339" s="41">
        <f>2354+20+250+107</f>
        <v>2731</v>
      </c>
      <c r="H339" s="115">
        <f>'KY post'!K28</f>
        <v>62.809547619047628</v>
      </c>
      <c r="I339" s="2">
        <f>34328.82+9878.07</f>
        <v>44206.89</v>
      </c>
      <c r="J339" s="27">
        <f>49+1+1</f>
        <v>51</v>
      </c>
      <c r="K339" s="29">
        <f>'KY post'!P28</f>
        <v>23700</v>
      </c>
      <c r="L339" s="41">
        <v>1922</v>
      </c>
      <c r="N339" s="27" t="s">
        <v>2576</v>
      </c>
      <c r="O339" s="27" t="str">
        <f>'KY post'!T28&amp;"; "&amp;'KY post'!W28</f>
        <v>https://babel.hathitrust.org/cgi/pt?id=njp.32101060099841;view=1up;seq=180; https://babel.hathitrust.org/cgi/pt?id=njp.32101060099841;view=1up;seq=150</v>
      </c>
      <c r="P339" s="27" t="s">
        <v>2577</v>
      </c>
      <c r="Q339" s="27" t="str">
        <f>'KY post'!V28&amp;"; "&amp;'KY post'!W28</f>
        <v>https://babel.hathitrust.org/cgi/pt?id=njp.32101060099841;view=1up;seq=242; https://babel.hathitrust.org/cgi/pt?id=njp.32101060099841;view=1up;seq=150</v>
      </c>
      <c r="R339" s="27" t="s">
        <v>2579</v>
      </c>
      <c r="S339" s="27" t="s">
        <v>2578</v>
      </c>
      <c r="T339" s="27" t="s">
        <v>2577</v>
      </c>
      <c r="U339" s="27" t="s">
        <v>2602</v>
      </c>
    </row>
    <row r="340" spans="1:21" x14ac:dyDescent="0.25">
      <c r="A340" s="27" t="s">
        <v>910</v>
      </c>
      <c r="B340" s="27" t="str">
        <f t="shared" si="18"/>
        <v>Kentucky</v>
      </c>
      <c r="C340" s="27" t="str">
        <f t="shared" si="19"/>
        <v>Crittenden</v>
      </c>
      <c r="D340" s="96">
        <f>1974+22+410+40+49+80</f>
        <v>2575</v>
      </c>
      <c r="E340" s="41">
        <f>73+10+2+2+2+0+2+6+2</f>
        <v>99</v>
      </c>
      <c r="F340" s="7">
        <f>'KY post'!G29</f>
        <v>160</v>
      </c>
      <c r="G340" s="41">
        <f>2720+37+368+73+94+116+39+155+37</f>
        <v>3639</v>
      </c>
      <c r="H340" s="115">
        <f>'KY post'!K29</f>
        <v>70.437487373737383</v>
      </c>
      <c r="I340" s="2">
        <f>49887.44+47449.09+989.258+1024.35+3212.43</f>
        <v>102562.568</v>
      </c>
      <c r="J340" s="27">
        <f>60+4+1+1+1+1</f>
        <v>68</v>
      </c>
      <c r="K340" s="29">
        <f>'KY post'!P29</f>
        <v>49150</v>
      </c>
      <c r="L340" s="41">
        <v>1922</v>
      </c>
      <c r="N340" s="27" t="s">
        <v>2576</v>
      </c>
      <c r="O340" s="27" t="str">
        <f>'KY post'!T29&amp;"; "&amp;'KY post'!W29</f>
        <v>https://babel.hathitrust.org/cgi/pt?id=njp.32101060099841;view=1up;seq=180; https://babel.hathitrust.org/cgi/pt?id=njp.32101060099841;view=1up;seq=150</v>
      </c>
      <c r="P340" s="27" t="s">
        <v>2577</v>
      </c>
      <c r="Q340" s="27" t="str">
        <f>'KY post'!V29&amp;"; "&amp;'KY post'!W29</f>
        <v>https://babel.hathitrust.org/cgi/pt?id=njp.32101060099841;view=1up;seq=242; https://babel.hathitrust.org/cgi/pt?id=njp.32101060099841;view=1up;seq=150</v>
      </c>
      <c r="R340" s="27" t="s">
        <v>2579</v>
      </c>
      <c r="S340" s="27" t="s">
        <v>2578</v>
      </c>
      <c r="T340" s="27" t="s">
        <v>2577</v>
      </c>
      <c r="U340" s="27" t="s">
        <v>2602</v>
      </c>
    </row>
    <row r="341" spans="1:21" x14ac:dyDescent="0.25">
      <c r="A341" s="27" t="s">
        <v>911</v>
      </c>
      <c r="B341" s="27" t="str">
        <f t="shared" si="18"/>
        <v>Kentucky</v>
      </c>
      <c r="C341" s="27" t="str">
        <f t="shared" si="19"/>
        <v>Cumberland</v>
      </c>
      <c r="D341" s="96">
        <f>1200+147+157+80</f>
        <v>1584</v>
      </c>
      <c r="E341" s="41">
        <f>56+3+2+0+4+2</f>
        <v>67</v>
      </c>
      <c r="F341" s="7">
        <f>'KY post'!G30</f>
        <v>160</v>
      </c>
      <c r="G341" s="41">
        <f>2334+281+155+57+32+17</f>
        <v>2876</v>
      </c>
      <c r="H341" s="115">
        <f>'KY post'!K30</f>
        <v>45.772779850746268</v>
      </c>
      <c r="I341" s="2">
        <f>29373.26+4129.48+1821.83</f>
        <v>35324.57</v>
      </c>
      <c r="J341" s="27">
        <f>50+2+1+1</f>
        <v>54</v>
      </c>
      <c r="K341" s="29">
        <f>'KY post'!P30</f>
        <v>42750</v>
      </c>
      <c r="L341" s="41">
        <v>1922</v>
      </c>
      <c r="N341" s="27" t="s">
        <v>2576</v>
      </c>
      <c r="O341" s="27" t="str">
        <f>'KY post'!T30&amp;"; "&amp;'KY post'!W30</f>
        <v>https://babel.hathitrust.org/cgi/pt?id=njp.32101060099841;view=1up;seq=180; https://babel.hathitrust.org/cgi/pt?id=njp.32101060099841;view=1up;seq=150</v>
      </c>
      <c r="P341" s="27" t="s">
        <v>2577</v>
      </c>
      <c r="Q341" s="27" t="str">
        <f>'KY post'!V30&amp;"; "&amp;'KY post'!W30</f>
        <v>https://babel.hathitrust.org/cgi/pt?id=njp.32101060099841;view=1up;seq=242; https://babel.hathitrust.org/cgi/pt?id=njp.32101060099841;view=1up;seq=150</v>
      </c>
      <c r="R341" s="27" t="s">
        <v>2579</v>
      </c>
      <c r="S341" s="27" t="s">
        <v>2578</v>
      </c>
      <c r="T341" s="27" t="s">
        <v>2577</v>
      </c>
      <c r="U341" s="27" t="s">
        <v>2602</v>
      </c>
    </row>
    <row r="342" spans="1:21" x14ac:dyDescent="0.25">
      <c r="A342" s="27" t="s">
        <v>1748</v>
      </c>
      <c r="B342" s="27" t="str">
        <f t="shared" si="18"/>
        <v>Kentucky</v>
      </c>
      <c r="C342" s="27" t="str">
        <f t="shared" si="19"/>
        <v>Daviess</v>
      </c>
      <c r="D342" s="96">
        <f>2641+261+2440+474+58+75</f>
        <v>5949</v>
      </c>
      <c r="E342" s="41">
        <f>99+80+1+1+0+0+5+1+23+3+4+5+5</f>
        <v>227</v>
      </c>
      <c r="F342" s="7">
        <f>'KY post'!G31</f>
        <v>160</v>
      </c>
      <c r="G342" s="41">
        <f>4060+354+2549+521+67+81+167+11+611+31+77+45+85+100</f>
        <v>8759</v>
      </c>
      <c r="H342" s="115">
        <f>'KY post'!K31</f>
        <v>115.12768722466959</v>
      </c>
      <c r="I342" s="2">
        <f>174527.99+164843.23+2253.07+1585.65</f>
        <v>343209.94</v>
      </c>
      <c r="J342" s="27">
        <f>87+8+1+1</f>
        <v>97</v>
      </c>
      <c r="K342" s="29">
        <f>'KY post'!P31</f>
        <v>174579.94999999998</v>
      </c>
      <c r="L342" s="41">
        <v>1922</v>
      </c>
      <c r="N342" s="27" t="s">
        <v>2576</v>
      </c>
      <c r="O342" s="27" t="str">
        <f>'KY post'!T31&amp;"; "&amp;'KY post'!W31</f>
        <v>https://babel.hathitrust.org/cgi/pt?id=njp.32101060099841;view=1up;seq=180; https://babel.hathitrust.org/cgi/pt?id=njp.32101060099841;view=1up;seq=150</v>
      </c>
      <c r="P342" s="27" t="s">
        <v>2577</v>
      </c>
      <c r="Q342" s="27" t="str">
        <f>'KY post'!V31&amp;"; "&amp;'KY post'!W31</f>
        <v>https://babel.hathitrust.org/cgi/pt?id=njp.32101060099841;view=1up;seq=242; https://babel.hathitrust.org/cgi/pt?id=njp.32101060099841;view=1up;seq=150</v>
      </c>
      <c r="R342" s="27" t="s">
        <v>2579</v>
      </c>
      <c r="S342" s="27" t="s">
        <v>2578</v>
      </c>
      <c r="T342" s="27" t="s">
        <v>2577</v>
      </c>
      <c r="U342" s="27" t="s">
        <v>2602</v>
      </c>
    </row>
    <row r="343" spans="1:21" x14ac:dyDescent="0.25">
      <c r="A343" s="27" t="s">
        <v>912</v>
      </c>
      <c r="B343" s="27" t="str">
        <f t="shared" si="18"/>
        <v>Kentucky</v>
      </c>
      <c r="C343" s="27" t="str">
        <f t="shared" si="19"/>
        <v>Edmonson</v>
      </c>
      <c r="D343" s="96">
        <f>1625+68+105</f>
        <v>1798</v>
      </c>
      <c r="E343" s="41">
        <f>59+2+0+2</f>
        <v>63</v>
      </c>
      <c r="F343" s="7">
        <f>'KY post'!G32</f>
        <v>150</v>
      </c>
      <c r="G343" s="41">
        <f>3142+120+73+45</f>
        <v>3380</v>
      </c>
      <c r="H343" s="115">
        <f>'KY post'!K32</f>
        <v>68.263492063492066</v>
      </c>
      <c r="I343" s="2">
        <f>34224.5+4074.07</f>
        <v>38298.57</v>
      </c>
      <c r="J343" s="27">
        <f>55+2+1</f>
        <v>58</v>
      </c>
      <c r="K343" s="29">
        <f>'KY post'!P32</f>
        <v>34900</v>
      </c>
      <c r="L343" s="41">
        <v>1922</v>
      </c>
      <c r="N343" s="27" t="s">
        <v>2576</v>
      </c>
      <c r="O343" s="27" t="str">
        <f>'KY post'!T32&amp;"; "&amp;'KY post'!W32</f>
        <v>https://babel.hathitrust.org/cgi/pt?id=njp.32101060099841;view=1up;seq=180; https://babel.hathitrust.org/cgi/pt?id=njp.32101060099841;view=1up;seq=150</v>
      </c>
      <c r="P343" s="27" t="s">
        <v>2577</v>
      </c>
      <c r="Q343" s="27" t="str">
        <f>'KY post'!V32&amp;"; "&amp;'KY post'!W32</f>
        <v>https://babel.hathitrust.org/cgi/pt?id=njp.32101060099841;view=1up;seq=242; https://babel.hathitrust.org/cgi/pt?id=njp.32101060099841;view=1up;seq=150</v>
      </c>
      <c r="R343" s="27" t="s">
        <v>2579</v>
      </c>
      <c r="S343" s="27" t="s">
        <v>2578</v>
      </c>
      <c r="T343" s="27" t="s">
        <v>2577</v>
      </c>
      <c r="U343" s="27" t="s">
        <v>2602</v>
      </c>
    </row>
    <row r="344" spans="1:21" x14ac:dyDescent="0.25">
      <c r="A344" s="27" t="s">
        <v>913</v>
      </c>
      <c r="B344" s="27" t="str">
        <f t="shared" si="18"/>
        <v>Kentucky</v>
      </c>
      <c r="C344" s="27" t="str">
        <f t="shared" si="19"/>
        <v>Elliott</v>
      </c>
      <c r="D344" s="96">
        <v>2666</v>
      </c>
      <c r="E344" s="41">
        <f>60</f>
        <v>60</v>
      </c>
      <c r="F344" s="7">
        <f>'KY post'!G33</f>
        <v>140</v>
      </c>
      <c r="G344" s="41">
        <f>3920</f>
        <v>3920</v>
      </c>
      <c r="H344" s="115">
        <f>'KY post'!K33</f>
        <v>46.984523809523807</v>
      </c>
      <c r="I344" s="2">
        <v>25003.5</v>
      </c>
      <c r="J344" s="27">
        <f>55+3</f>
        <v>58</v>
      </c>
      <c r="K344" s="29">
        <f>'KY post'!P33</f>
        <v>2000</v>
      </c>
      <c r="L344" s="41">
        <v>1922</v>
      </c>
      <c r="N344" s="27" t="s">
        <v>2576</v>
      </c>
      <c r="O344" s="27" t="str">
        <f>'KY post'!T33&amp;"; "&amp;'KY post'!W33</f>
        <v>https://babel.hathitrust.org/cgi/pt?id=njp.32101060099841;view=1up;seq=180; https://babel.hathitrust.org/cgi/pt?id=njp.32101060099841;view=1up;seq=150</v>
      </c>
      <c r="P344" s="27" t="s">
        <v>2577</v>
      </c>
      <c r="Q344" s="27" t="str">
        <f>'KY post'!V33&amp;"; "&amp;'KY post'!W33</f>
        <v>https://babel.hathitrust.org/cgi/pt?id=njp.32101060099841;view=1up;seq=242; https://babel.hathitrust.org/cgi/pt?id=njp.32101060099841;view=1up;seq=150</v>
      </c>
      <c r="R344" s="27" t="s">
        <v>2579</v>
      </c>
      <c r="S344" s="27" t="s">
        <v>2578</v>
      </c>
      <c r="T344" s="27" t="s">
        <v>2577</v>
      </c>
      <c r="U344" s="27" t="s">
        <v>2602</v>
      </c>
    </row>
    <row r="345" spans="1:21" x14ac:dyDescent="0.25">
      <c r="A345" s="27" t="s">
        <v>914</v>
      </c>
      <c r="B345" s="27" t="str">
        <f t="shared" si="18"/>
        <v>Kentucky</v>
      </c>
      <c r="C345" s="27" t="str">
        <f t="shared" si="19"/>
        <v>Estill</v>
      </c>
      <c r="D345" s="96">
        <f>2132+643+34+160</f>
        <v>2969</v>
      </c>
      <c r="E345" s="41">
        <f>75+13+3+0+0+4</f>
        <v>95</v>
      </c>
      <c r="F345" s="7">
        <f>'KY post'!G34</f>
        <v>160</v>
      </c>
      <c r="G345" s="41">
        <f>3370+30+682+186+114</f>
        <v>4382</v>
      </c>
      <c r="H345" s="115">
        <f>'KY post'!K34</f>
        <v>68.337315789473692</v>
      </c>
      <c r="I345" s="2">
        <f>57000.03+25456.2+1862.67</f>
        <v>84318.9</v>
      </c>
      <c r="J345" s="27">
        <f>70+2+1+1</f>
        <v>74</v>
      </c>
      <c r="K345" s="29">
        <f>'KY post'!P34</f>
        <v>47400</v>
      </c>
      <c r="L345" s="41">
        <v>1922</v>
      </c>
      <c r="N345" s="27" t="s">
        <v>2576</v>
      </c>
      <c r="O345" s="27" t="str">
        <f>'KY post'!T34&amp;"; "&amp;'KY post'!W34</f>
        <v>https://babel.hathitrust.org/cgi/pt?id=njp.32101060099841;view=1up;seq=180; https://babel.hathitrust.org/cgi/pt?id=njp.32101060099841;view=1up;seq=150</v>
      </c>
      <c r="P345" s="27" t="s">
        <v>2577</v>
      </c>
      <c r="Q345" s="27" t="str">
        <f>'KY post'!V34&amp;"; "&amp;'KY post'!W34</f>
        <v>https://babel.hathitrust.org/cgi/pt?id=njp.32101060099841;view=1up;seq=242; https://babel.hathitrust.org/cgi/pt?id=njp.32101060099841;view=1up;seq=150</v>
      </c>
      <c r="R345" s="27" t="s">
        <v>2579</v>
      </c>
      <c r="S345" s="27" t="s">
        <v>2578</v>
      </c>
      <c r="T345" s="27" t="s">
        <v>2577</v>
      </c>
      <c r="U345" s="27" t="s">
        <v>2602</v>
      </c>
    </row>
    <row r="346" spans="1:21" x14ac:dyDescent="0.25">
      <c r="A346" s="27" t="s">
        <v>915</v>
      </c>
      <c r="B346" s="27" t="str">
        <f t="shared" si="18"/>
        <v>Kentucky</v>
      </c>
      <c r="C346" s="27" t="str">
        <f t="shared" si="19"/>
        <v>Fayette</v>
      </c>
      <c r="D346" s="96">
        <f>1651+467+4192+1488</f>
        <v>7798</v>
      </c>
      <c r="E346" s="41">
        <f>72+122+0+0+4+26+8+32+4+5+11+4+1</f>
        <v>289</v>
      </c>
      <c r="F346" s="7">
        <f>'KY post'!G35</f>
        <v>190</v>
      </c>
      <c r="G346" s="41">
        <f>2329+687+4076+1572+43+528+98+93+24+178+7+10</f>
        <v>9645</v>
      </c>
      <c r="H346" s="115">
        <f>'KY post'!K35</f>
        <v>126.73021307594246</v>
      </c>
      <c r="I346" s="2">
        <f>289679.71+721991.05</f>
        <v>1011670.76</v>
      </c>
      <c r="J346" s="27">
        <f>17+19</f>
        <v>36</v>
      </c>
      <c r="K346" s="29">
        <f>'KY post'!P35</f>
        <v>57250</v>
      </c>
      <c r="L346" s="41">
        <v>1922</v>
      </c>
      <c r="N346" s="27" t="s">
        <v>2576</v>
      </c>
      <c r="O346" s="27" t="str">
        <f>'KY post'!T35&amp;"; "&amp;'KY post'!W35</f>
        <v>https://babel.hathitrust.org/cgi/pt?id=njp.32101060099841;view=1up;seq=180; https://babel.hathitrust.org/cgi/pt?id=njp.32101060099841;view=1up;seq=150</v>
      </c>
      <c r="P346" s="27" t="s">
        <v>2577</v>
      </c>
      <c r="Q346" s="27" t="str">
        <f>'KY post'!V35&amp;"; "&amp;'KY post'!W35</f>
        <v>https://babel.hathitrust.org/cgi/pt?id=njp.32101060099841;view=1up;seq=242; https://babel.hathitrust.org/cgi/pt?id=njp.32101060099841;view=1up;seq=150</v>
      </c>
      <c r="R346" s="27" t="s">
        <v>2579</v>
      </c>
      <c r="S346" s="27" t="s">
        <v>2578</v>
      </c>
      <c r="T346" s="27" t="s">
        <v>2577</v>
      </c>
      <c r="U346" s="27" t="s">
        <v>2602</v>
      </c>
    </row>
    <row r="347" spans="1:21" x14ac:dyDescent="0.25">
      <c r="A347" s="27" t="s">
        <v>916</v>
      </c>
      <c r="B347" s="27" t="str">
        <f t="shared" si="18"/>
        <v>Kentucky</v>
      </c>
      <c r="C347" s="27" t="str">
        <f t="shared" si="19"/>
        <v>Fleming</v>
      </c>
      <c r="D347" s="96">
        <f>1957+175+120+125+355</f>
        <v>2732</v>
      </c>
      <c r="E347" s="41">
        <f>74+3+4+8+0+2+2+6+3</f>
        <v>102</v>
      </c>
      <c r="F347" s="7">
        <f>'KY post'!G36</f>
        <v>170</v>
      </c>
      <c r="G347" s="41">
        <f>2803+233+113+105+291+27+35+147+17</f>
        <v>3771</v>
      </c>
      <c r="H347" s="115">
        <f>'KY post'!K36</f>
        <v>64.10683967704729</v>
      </c>
      <c r="I347" s="2">
        <f>55189.63+6295.93+18454.78</f>
        <v>79940.34</v>
      </c>
      <c r="J347" s="27">
        <f>56+8+1+1+1</f>
        <v>67</v>
      </c>
      <c r="K347" s="29">
        <f>'KY post'!P36</f>
        <v>101300</v>
      </c>
      <c r="L347" s="41">
        <v>1922</v>
      </c>
      <c r="N347" s="27" t="s">
        <v>2576</v>
      </c>
      <c r="O347" s="27" t="str">
        <f>'KY post'!T36&amp;"; "&amp;'KY post'!W36</f>
        <v>https://babel.hathitrust.org/cgi/pt?id=njp.32101060099841;view=1up;seq=180; https://babel.hathitrust.org/cgi/pt?id=njp.32101060099841;view=1up;seq=150</v>
      </c>
      <c r="P347" s="27" t="s">
        <v>2577</v>
      </c>
      <c r="Q347" s="27" t="str">
        <f>'KY post'!V36&amp;"; "&amp;'KY post'!W36</f>
        <v>https://babel.hathitrust.org/cgi/pt?id=njp.32101060099841;view=1up;seq=242; https://babel.hathitrust.org/cgi/pt?id=njp.32101060099841;view=1up;seq=150</v>
      </c>
      <c r="R347" s="27" t="s">
        <v>2579</v>
      </c>
      <c r="S347" s="27" t="s">
        <v>2578</v>
      </c>
      <c r="T347" s="27" t="s">
        <v>2577</v>
      </c>
      <c r="U347" s="27" t="s">
        <v>2602</v>
      </c>
    </row>
    <row r="348" spans="1:21" x14ac:dyDescent="0.25">
      <c r="A348" s="27" t="s">
        <v>917</v>
      </c>
      <c r="B348" s="27" t="str">
        <f t="shared" si="18"/>
        <v>Kentucky</v>
      </c>
      <c r="C348" s="27" t="str">
        <f t="shared" si="19"/>
        <v>Floyd</v>
      </c>
      <c r="D348" s="96">
        <f>4441+30+365+334+262+113</f>
        <v>5545</v>
      </c>
      <c r="E348" s="41">
        <f>121+8+6+3+0+0+3+1+1</f>
        <v>143</v>
      </c>
      <c r="F348" s="7">
        <f>'KY post'!G37</f>
        <v>164</v>
      </c>
      <c r="G348" s="41">
        <f>7131+35+396+378+109+109+84+16+6</f>
        <v>8264</v>
      </c>
      <c r="H348" s="115">
        <f>'KY post'!K37</f>
        <v>68.548354084939461</v>
      </c>
      <c r="I348" s="2">
        <f>81246.73+7473.96+6822.1+4495.99+2005</f>
        <v>102043.78000000001</v>
      </c>
      <c r="J348" s="27">
        <f>104+13+1+1+1+1</f>
        <v>121</v>
      </c>
      <c r="K348" s="29">
        <f>'KY post'!P37</f>
        <v>103225</v>
      </c>
      <c r="L348" s="41">
        <v>1922</v>
      </c>
      <c r="N348" s="27" t="s">
        <v>2576</v>
      </c>
      <c r="O348" s="27" t="str">
        <f>'KY post'!T37&amp;"; "&amp;'KY post'!W37</f>
        <v>https://babel.hathitrust.org/cgi/pt?id=njp.32101060099841;view=1up;seq=180; https://babel.hathitrust.org/cgi/pt?id=njp.32101060099841;view=1up;seq=150</v>
      </c>
      <c r="P348" s="27" t="s">
        <v>2577</v>
      </c>
      <c r="Q348" s="27" t="str">
        <f>'KY post'!V37&amp;"; "&amp;'KY post'!W37</f>
        <v>https://babel.hathitrust.org/cgi/pt?id=njp.32101060099841;view=1up;seq=242; https://babel.hathitrust.org/cgi/pt?id=njp.32101060099841;view=1up;seq=150</v>
      </c>
      <c r="R348" s="27" t="s">
        <v>2579</v>
      </c>
      <c r="S348" s="27" t="s">
        <v>2578</v>
      </c>
      <c r="T348" s="27" t="s">
        <v>2577</v>
      </c>
      <c r="U348" s="27" t="s">
        <v>2602</v>
      </c>
    </row>
    <row r="349" spans="1:21" x14ac:dyDescent="0.25">
      <c r="A349" s="27" t="s">
        <v>918</v>
      </c>
      <c r="B349" s="27" t="str">
        <f t="shared" si="18"/>
        <v>Kentucky</v>
      </c>
      <c r="C349" s="27" t="str">
        <f t="shared" si="19"/>
        <v>Franklin</v>
      </c>
      <c r="D349" s="96">
        <f>1912+97+1017+291</f>
        <v>3317</v>
      </c>
      <c r="E349" s="41">
        <f>57+33+0+0+2+2+2+12+2+6</f>
        <v>116</v>
      </c>
      <c r="F349" s="7">
        <f>'KY post'!G38</f>
        <v>170</v>
      </c>
      <c r="G349" s="41">
        <f>1938+123+981+265+37+38+35+264+29+67</f>
        <v>3777</v>
      </c>
      <c r="H349" s="115">
        <f>'KY post'!K38</f>
        <v>93.548935091277897</v>
      </c>
      <c r="I349" s="2">
        <f>56933.76+80791.87</f>
        <v>137725.63</v>
      </c>
      <c r="J349" s="27">
        <f>32+8+5</f>
        <v>45</v>
      </c>
      <c r="K349" s="29">
        <f>'KY post'!P38</f>
        <v>48900</v>
      </c>
      <c r="L349" s="41">
        <v>1922</v>
      </c>
      <c r="N349" s="27" t="s">
        <v>2576</v>
      </c>
      <c r="O349" s="27" t="str">
        <f>'KY post'!T38&amp;"; "&amp;'KY post'!W38</f>
        <v>https://babel.hathitrust.org/cgi/pt?id=njp.32101060099841;view=1up;seq=180; https://babel.hathitrust.org/cgi/pt?id=njp.32101060099841;view=1up;seq=150</v>
      </c>
      <c r="P349" s="27" t="s">
        <v>2577</v>
      </c>
      <c r="Q349" s="27" t="str">
        <f>'KY post'!V38&amp;"; "&amp;'KY post'!W38</f>
        <v>https://babel.hathitrust.org/cgi/pt?id=njp.32101060099841;view=1up;seq=242; https://babel.hathitrust.org/cgi/pt?id=njp.32101060099841;view=1up;seq=150</v>
      </c>
      <c r="R349" s="27" t="s">
        <v>2579</v>
      </c>
      <c r="S349" s="27" t="s">
        <v>2578</v>
      </c>
      <c r="T349" s="27" t="s">
        <v>2577</v>
      </c>
      <c r="U349" s="27" t="s">
        <v>2602</v>
      </c>
    </row>
    <row r="350" spans="1:21" x14ac:dyDescent="0.25">
      <c r="A350" s="27" t="s">
        <v>919</v>
      </c>
      <c r="B350" s="27" t="str">
        <f t="shared" si="18"/>
        <v>Kentucky</v>
      </c>
      <c r="C350" s="27" t="str">
        <f t="shared" si="19"/>
        <v>Fulton</v>
      </c>
      <c r="D350" s="96">
        <f>769+171+710+98+681+100</f>
        <v>2529</v>
      </c>
      <c r="E350" s="41">
        <f>39+15+15+3+0+0+2+2+10+5+3+2+1</f>
        <v>97</v>
      </c>
      <c r="F350" s="7">
        <f>'KY post'!G39</f>
        <v>176</v>
      </c>
      <c r="G350" s="41">
        <f>1265+404+691+137+900+192+40+21+249+95+16+21+10</f>
        <v>4041</v>
      </c>
      <c r="H350" s="115">
        <f>'KY post'!K39</f>
        <v>85.895243673851922</v>
      </c>
      <c r="I350" s="2">
        <f>47041.97+58155.53+30978.67+3370.85</f>
        <v>139547.01999999999</v>
      </c>
      <c r="J350" s="27">
        <f>24+6+2+1+2</f>
        <v>35</v>
      </c>
      <c r="K350" s="29">
        <f>'KY post'!P39</f>
        <v>119920</v>
      </c>
      <c r="L350" s="41">
        <v>1922</v>
      </c>
      <c r="N350" s="27" t="s">
        <v>2576</v>
      </c>
      <c r="O350" s="27" t="str">
        <f>'KY post'!T39&amp;"; "&amp;'KY post'!W39</f>
        <v>https://babel.hathitrust.org/cgi/pt?id=njp.32101060099841;view=1up;seq=180; https://babel.hathitrust.org/cgi/pt?id=njp.32101060099841;view=1up;seq=150</v>
      </c>
      <c r="P350" s="27" t="s">
        <v>2577</v>
      </c>
      <c r="Q350" s="27" t="str">
        <f>'KY post'!V39&amp;"; "&amp;'KY post'!W39</f>
        <v>https://babel.hathitrust.org/cgi/pt?id=njp.32101060099841;view=1up;seq=242; https://babel.hathitrust.org/cgi/pt?id=njp.32101060099841;view=1up;seq=150</v>
      </c>
      <c r="R350" s="27" t="s">
        <v>2579</v>
      </c>
      <c r="S350" s="27" t="s">
        <v>2578</v>
      </c>
      <c r="T350" s="27" t="s">
        <v>2577</v>
      </c>
      <c r="U350" s="27" t="s">
        <v>2602</v>
      </c>
    </row>
    <row r="351" spans="1:21" x14ac:dyDescent="0.25">
      <c r="A351" s="27" t="s">
        <v>920</v>
      </c>
      <c r="B351" s="27" t="str">
        <f t="shared" si="18"/>
        <v>Kentucky</v>
      </c>
      <c r="C351" s="27" t="str">
        <f t="shared" si="19"/>
        <v>Gallatin</v>
      </c>
      <c r="D351" s="96">
        <f>379+43+133+155</f>
        <v>710</v>
      </c>
      <c r="E351" s="41">
        <f>22+3+4+0+2+3</f>
        <v>34</v>
      </c>
      <c r="F351" s="7">
        <f>'KY post'!G40</f>
        <v>166</v>
      </c>
      <c r="G351" s="41">
        <f>634+60+129+130+30+55</f>
        <v>1038</v>
      </c>
      <c r="H351" s="115">
        <f>'KY post'!K40</f>
        <v>61.889440113394755</v>
      </c>
      <c r="I351" s="2">
        <f>14595.56+4247.35+5940.25</f>
        <v>24783.16</v>
      </c>
      <c r="J351" s="27">
        <f>22+1+1</f>
        <v>24</v>
      </c>
      <c r="K351" s="29">
        <f>'KY post'!P40</f>
        <v>40300</v>
      </c>
      <c r="L351" s="41">
        <v>1922</v>
      </c>
      <c r="N351" s="27" t="s">
        <v>2576</v>
      </c>
      <c r="O351" s="27" t="str">
        <f>'KY post'!T40&amp;"; "&amp;'KY post'!W40</f>
        <v>https://babel.hathitrust.org/cgi/pt?id=njp.32101060099841;view=1up;seq=180; https://babel.hathitrust.org/cgi/pt?id=njp.32101060099841;view=1up;seq=150</v>
      </c>
      <c r="P351" s="27" t="s">
        <v>2577</v>
      </c>
      <c r="Q351" s="27" t="str">
        <f>'KY post'!V40&amp;"; "&amp;'KY post'!W40</f>
        <v>https://babel.hathitrust.org/cgi/pt?id=njp.32101060099841;view=1up;seq=242; https://babel.hathitrust.org/cgi/pt?id=njp.32101060099841;view=1up;seq=150</v>
      </c>
      <c r="R351" s="27" t="s">
        <v>2579</v>
      </c>
      <c r="S351" s="27" t="s">
        <v>2578</v>
      </c>
      <c r="T351" s="27" t="s">
        <v>2577</v>
      </c>
      <c r="U351" s="27" t="s">
        <v>2602</v>
      </c>
    </row>
    <row r="352" spans="1:21" x14ac:dyDescent="0.25">
      <c r="A352" s="27" t="s">
        <v>921</v>
      </c>
      <c r="B352" s="27" t="str">
        <f t="shared" si="18"/>
        <v>Kentucky</v>
      </c>
      <c r="C352" s="27" t="str">
        <f t="shared" si="19"/>
        <v>Garrard</v>
      </c>
      <c r="D352" s="96">
        <f>2034+343+386</f>
        <v>2763</v>
      </c>
      <c r="E352" s="41">
        <f>68+10+0+2+2+4+1+1</f>
        <v>88</v>
      </c>
      <c r="F352" s="7">
        <f>'KY post'!G41</f>
        <v>160</v>
      </c>
      <c r="G352" s="41">
        <f>2518+440+378+3+18+20+90+5+6+33+2</f>
        <v>3513</v>
      </c>
      <c r="H352" s="115">
        <f>'KY post'!K41</f>
        <v>105.41832386363636</v>
      </c>
      <c r="I352" s="2">
        <f>90192.39+21642.69</f>
        <v>111835.08</v>
      </c>
      <c r="J352" s="27">
        <f>31+13+1</f>
        <v>45</v>
      </c>
      <c r="K352" s="29">
        <f>'KY post'!P41</f>
        <v>109646</v>
      </c>
      <c r="L352" s="41">
        <v>1922</v>
      </c>
      <c r="N352" s="27" t="s">
        <v>2576</v>
      </c>
      <c r="O352" s="27" t="str">
        <f>'KY post'!T41&amp;"; "&amp;'KY post'!W41</f>
        <v>https://babel.hathitrust.org/cgi/pt?id=njp.32101060099841;view=1up;seq=180; https://babel.hathitrust.org/cgi/pt?id=njp.32101060099841;view=1up;seq=150</v>
      </c>
      <c r="P352" s="27" t="s">
        <v>2577</v>
      </c>
      <c r="Q352" s="27" t="str">
        <f>'KY post'!V41&amp;"; "&amp;'KY post'!W41</f>
        <v>https://babel.hathitrust.org/cgi/pt?id=njp.32101060099841;view=1up;seq=242; https://babel.hathitrust.org/cgi/pt?id=njp.32101060099841;view=1up;seq=150</v>
      </c>
      <c r="R352" s="27" t="s">
        <v>2579</v>
      </c>
      <c r="S352" s="27" t="s">
        <v>2578</v>
      </c>
      <c r="T352" s="27" t="s">
        <v>2577</v>
      </c>
      <c r="U352" s="27" t="s">
        <v>2602</v>
      </c>
    </row>
    <row r="353" spans="1:21" x14ac:dyDescent="0.25">
      <c r="A353" s="27" t="s">
        <v>922</v>
      </c>
      <c r="B353" s="27" t="str">
        <f t="shared" si="18"/>
        <v>Kentucky</v>
      </c>
      <c r="C353" s="27" t="str">
        <f t="shared" si="19"/>
        <v>Grant</v>
      </c>
      <c r="D353" s="96">
        <f>1490+37+121+241</f>
        <v>1889</v>
      </c>
      <c r="E353" s="41">
        <f>53+3+5+0+2+2+3+2+2</f>
        <v>72</v>
      </c>
      <c r="F353" s="7">
        <f>'KY post'!G42</f>
        <v>166</v>
      </c>
      <c r="G353" s="41">
        <f>1851+49+121+130+50+24+83+20+52</f>
        <v>2380</v>
      </c>
      <c r="H353" s="115">
        <f>'KY post'!K42</f>
        <v>80.568674698795164</v>
      </c>
      <c r="I353" s="2">
        <f>70242.29+5753.53+8817.87</f>
        <v>84813.689999999988</v>
      </c>
      <c r="J353" s="27">
        <f>32+3+1+1</f>
        <v>37</v>
      </c>
      <c r="K353" s="29">
        <f>'KY post'!P42</f>
        <v>57000</v>
      </c>
      <c r="L353" s="41">
        <v>1922</v>
      </c>
      <c r="N353" s="27" t="s">
        <v>2576</v>
      </c>
      <c r="O353" s="27" t="str">
        <f>'KY post'!T42&amp;"; "&amp;'KY post'!W42</f>
        <v>https://babel.hathitrust.org/cgi/pt?id=njp.32101060099841;view=1up;seq=180; https://babel.hathitrust.org/cgi/pt?id=njp.32101060099841;view=1up;seq=150</v>
      </c>
      <c r="P353" s="27" t="s">
        <v>2577</v>
      </c>
      <c r="Q353" s="27" t="str">
        <f>'KY post'!V42&amp;"; "&amp;'KY post'!W42</f>
        <v>https://babel.hathitrust.org/cgi/pt?id=njp.32101060099841;view=1up;seq=242; https://babel.hathitrust.org/cgi/pt?id=njp.32101060099841;view=1up;seq=150</v>
      </c>
      <c r="R353" s="27" t="s">
        <v>2579</v>
      </c>
      <c r="S353" s="27" t="s">
        <v>2578</v>
      </c>
      <c r="T353" s="27" t="s">
        <v>2577</v>
      </c>
      <c r="U353" s="27" t="s">
        <v>2602</v>
      </c>
    </row>
    <row r="354" spans="1:21" x14ac:dyDescent="0.25">
      <c r="A354" s="27" t="s">
        <v>923</v>
      </c>
      <c r="B354" s="27" t="str">
        <f t="shared" si="18"/>
        <v>Kentucky</v>
      </c>
      <c r="C354" s="27" t="str">
        <f t="shared" si="19"/>
        <v>Graves</v>
      </c>
      <c r="D354" s="96">
        <f>4554+266+1239+238+191+89+149+356</f>
        <v>7082</v>
      </c>
      <c r="E354" s="41">
        <f>139+32+3+4+4+0+0+0+2+4+1+3+3+9+3+1+2+4+4</f>
        <v>218</v>
      </c>
      <c r="F354" s="7">
        <f>'KY post'!G43</f>
        <v>170</v>
      </c>
      <c r="G354" s="41">
        <f>5538+386+1056+302+144+102+186+207+48+100+30+97+98+309+67+33+67+155+32</f>
        <v>8957</v>
      </c>
      <c r="H354" s="115">
        <f>'KY post'!K43</f>
        <v>76.70005396654075</v>
      </c>
      <c r="I354" s="2">
        <f>147259.46+154607.28+5051.01+2495.03+6816.45+13754.13</f>
        <v>329983.36000000004</v>
      </c>
      <c r="J354" s="27">
        <f>87+24+2+1+1+1+1</f>
        <v>117</v>
      </c>
      <c r="K354" s="29">
        <f>'KY post'!P43</f>
        <v>100000</v>
      </c>
      <c r="L354" s="41">
        <v>1922</v>
      </c>
      <c r="N354" s="27" t="s">
        <v>2576</v>
      </c>
      <c r="O354" s="27" t="str">
        <f>'KY post'!T43&amp;"; "&amp;'KY post'!W43</f>
        <v>https://babel.hathitrust.org/cgi/pt?id=njp.32101060099841;view=1up;seq=180; https://babel.hathitrust.org/cgi/pt?id=njp.32101060099841;view=1up;seq=150</v>
      </c>
      <c r="P354" s="27" t="s">
        <v>2577</v>
      </c>
      <c r="Q354" s="27" t="str">
        <f>'KY post'!V43&amp;"; "&amp;'KY post'!W43</f>
        <v>https://babel.hathitrust.org/cgi/pt?id=njp.32101060099841;view=1up;seq=242; https://babel.hathitrust.org/cgi/pt?id=njp.32101060099841;view=1up;seq=150</v>
      </c>
      <c r="R354" s="27" t="s">
        <v>2579</v>
      </c>
      <c r="S354" s="27" t="s">
        <v>2578</v>
      </c>
      <c r="T354" s="27" t="s">
        <v>2577</v>
      </c>
      <c r="U354" s="27" t="s">
        <v>2602</v>
      </c>
    </row>
    <row r="355" spans="1:21" x14ac:dyDescent="0.25">
      <c r="A355" s="27" t="s">
        <v>924</v>
      </c>
      <c r="B355" s="27" t="str">
        <f t="shared" si="18"/>
        <v>Kentucky</v>
      </c>
      <c r="C355" s="27" t="str">
        <f t="shared" si="19"/>
        <v>Grayson</v>
      </c>
      <c r="D355" s="96">
        <f>3041+33+192+284+349</f>
        <v>3899</v>
      </c>
      <c r="E355" s="41">
        <f>91+3+4+8+0+3+3+3+1+1+1</f>
        <v>118</v>
      </c>
      <c r="F355" s="7">
        <f>'KY post'!G44</f>
        <v>172</v>
      </c>
      <c r="G355" s="41">
        <f>4144+51+207+246+415+45+103+93+19+12+21</f>
        <v>5356</v>
      </c>
      <c r="H355" s="115">
        <f>'KY post'!K44</f>
        <v>65.68365195112338</v>
      </c>
      <c r="I355" s="2">
        <f>56869.91+7443.17+5590.2+13754.55</f>
        <v>83657.83</v>
      </c>
      <c r="J355" s="27">
        <f>86+5+1+1+1</f>
        <v>94</v>
      </c>
      <c r="K355" s="29">
        <f>'KY post'!P44</f>
        <v>84375</v>
      </c>
      <c r="L355" s="41">
        <v>1922</v>
      </c>
      <c r="N355" s="27" t="s">
        <v>2576</v>
      </c>
      <c r="O355" s="27" t="str">
        <f>'KY post'!T44&amp;"; "&amp;'KY post'!W44</f>
        <v>https://babel.hathitrust.org/cgi/pt?id=njp.32101060099841;view=1up;seq=180; https://babel.hathitrust.org/cgi/pt?id=njp.32101060099841;view=1up;seq=150</v>
      </c>
      <c r="P355" s="27" t="s">
        <v>2577</v>
      </c>
      <c r="Q355" s="27" t="str">
        <f>'KY post'!V44&amp;"; "&amp;'KY post'!W44</f>
        <v>https://babel.hathitrust.org/cgi/pt?id=njp.32101060099841;view=1up;seq=242; https://babel.hathitrust.org/cgi/pt?id=njp.32101060099841;view=1up;seq=150</v>
      </c>
      <c r="R355" s="27" t="s">
        <v>2579</v>
      </c>
      <c r="S355" s="27" t="s">
        <v>2578</v>
      </c>
      <c r="T355" s="27" t="s">
        <v>2577</v>
      </c>
      <c r="U355" s="27" t="s">
        <v>2602</v>
      </c>
    </row>
    <row r="356" spans="1:21" x14ac:dyDescent="0.25">
      <c r="A356" s="27" t="s">
        <v>925</v>
      </c>
      <c r="B356" s="27" t="str">
        <f t="shared" si="18"/>
        <v>Kentucky</v>
      </c>
      <c r="C356" s="27" t="str">
        <f t="shared" si="19"/>
        <v>Green</v>
      </c>
      <c r="D356" s="96">
        <f>1244+159+181</f>
        <v>1584</v>
      </c>
      <c r="E356" s="41">
        <f>75+4+0</f>
        <v>79</v>
      </c>
      <c r="F356" s="7">
        <f>'KY post'!G45</f>
        <v>160</v>
      </c>
      <c r="G356" s="41">
        <f>2437+286+183</f>
        <v>2906</v>
      </c>
      <c r="H356" s="115">
        <f>'KY post'!K45</f>
        <v>48.184129746835438</v>
      </c>
      <c r="I356" s="2">
        <f>34015.21+16010.24</f>
        <v>50025.45</v>
      </c>
      <c r="J356" s="27">
        <f>69+3+1</f>
        <v>73</v>
      </c>
      <c r="K356" s="29">
        <f>'KY post'!P45</f>
        <v>27100</v>
      </c>
      <c r="L356" s="41">
        <v>1922</v>
      </c>
      <c r="N356" s="27" t="s">
        <v>2576</v>
      </c>
      <c r="O356" s="27" t="str">
        <f>'KY post'!T45&amp;"; "&amp;'KY post'!W45</f>
        <v>https://babel.hathitrust.org/cgi/pt?id=njp.32101060099841;view=1up;seq=180; https://babel.hathitrust.org/cgi/pt?id=njp.32101060099841;view=1up;seq=150</v>
      </c>
      <c r="P356" s="27" t="s">
        <v>2577</v>
      </c>
      <c r="Q356" s="27" t="str">
        <f>'KY post'!V45&amp;"; "&amp;'KY post'!W45</f>
        <v>https://babel.hathitrust.org/cgi/pt?id=njp.32101060099841;view=1up;seq=242; https://babel.hathitrust.org/cgi/pt?id=njp.32101060099841;view=1up;seq=150</v>
      </c>
      <c r="R356" s="27" t="s">
        <v>2579</v>
      </c>
      <c r="S356" s="27" t="s">
        <v>2578</v>
      </c>
      <c r="T356" s="27" t="s">
        <v>2577</v>
      </c>
      <c r="U356" s="27" t="s">
        <v>2602</v>
      </c>
    </row>
    <row r="357" spans="1:21" x14ac:dyDescent="0.25">
      <c r="A357" s="27" t="s">
        <v>926</v>
      </c>
      <c r="B357" s="27" t="str">
        <f t="shared" si="18"/>
        <v>Kentucky</v>
      </c>
      <c r="C357" s="27" t="str">
        <f t="shared" si="19"/>
        <v>Greenup</v>
      </c>
      <c r="D357" s="96">
        <f>2490+28+179+209+282+54+239+549+195+89</f>
        <v>4314</v>
      </c>
      <c r="E357" s="41">
        <f>78+3+4+5+5+7+4+2+0+1+3+3+1+3+1</f>
        <v>120</v>
      </c>
      <c r="F357" s="7">
        <f>'KY post'!G46</f>
        <v>160</v>
      </c>
      <c r="G357" s="41">
        <f>3931+35+275+357+242+328+472+274+116+19+95+82+20+85+15</f>
        <v>6346</v>
      </c>
      <c r="H357" s="115">
        <f>'KY post'!K46</f>
        <v>66.356635416666663</v>
      </c>
      <c r="I357" s="2">
        <f>43204.85+7906.8+4698.92+6484.68+5073.55+12409.46+4557.79+3123.2</f>
        <v>87459.25</v>
      </c>
      <c r="J357" s="27">
        <f>73+2+1+1+1+1+1+1+1</f>
        <v>82</v>
      </c>
      <c r="K357" s="29">
        <f>'KY post'!P46</f>
        <v>45760</v>
      </c>
      <c r="L357" s="41">
        <v>1922</v>
      </c>
      <c r="N357" s="27" t="s">
        <v>2576</v>
      </c>
      <c r="O357" s="27" t="str">
        <f>'KY post'!T46&amp;"; "&amp;'KY post'!W46</f>
        <v>https://babel.hathitrust.org/cgi/pt?id=njp.32101060099841;view=1up;seq=180; https://babel.hathitrust.org/cgi/pt?id=njp.32101060099841;view=1up;seq=150</v>
      </c>
      <c r="P357" s="27" t="s">
        <v>2577</v>
      </c>
      <c r="Q357" s="27" t="str">
        <f>'KY post'!V46&amp;"; "&amp;'KY post'!W46</f>
        <v>https://babel.hathitrust.org/cgi/pt?id=njp.32101060099841;view=1up;seq=242; https://babel.hathitrust.org/cgi/pt?id=njp.32101060099841;view=1up;seq=150</v>
      </c>
      <c r="R357" s="27" t="s">
        <v>2579</v>
      </c>
      <c r="S357" s="27" t="s">
        <v>2578</v>
      </c>
      <c r="T357" s="27" t="s">
        <v>2577</v>
      </c>
      <c r="U357" s="27" t="s">
        <v>2602</v>
      </c>
    </row>
    <row r="358" spans="1:21" x14ac:dyDescent="0.25">
      <c r="A358" s="27" t="s">
        <v>927</v>
      </c>
      <c r="B358" s="27" t="str">
        <f t="shared" si="18"/>
        <v>Kentucky</v>
      </c>
      <c r="C358" s="27" t="str">
        <f t="shared" si="19"/>
        <v>Hancock</v>
      </c>
      <c r="D358" s="96">
        <f>1003+54</f>
        <v>1057</v>
      </c>
      <c r="E358" s="41">
        <f>46+0+2+2</f>
        <v>50</v>
      </c>
      <c r="F358" s="7">
        <f>'KY post'!G47</f>
        <v>140</v>
      </c>
      <c r="G358" s="41">
        <f>1665+67+46+68</f>
        <v>1846</v>
      </c>
      <c r="H358" s="115">
        <f>'KY post'!K47</f>
        <v>75.604285714285723</v>
      </c>
      <c r="I358" s="2">
        <f>33113.49</f>
        <v>33113.49</v>
      </c>
      <c r="J358" s="27">
        <f>38+2</f>
        <v>40</v>
      </c>
      <c r="K358" s="29">
        <f>'KY post'!P47</f>
        <v>33500</v>
      </c>
      <c r="L358" s="41">
        <v>1922</v>
      </c>
      <c r="N358" s="27" t="s">
        <v>2576</v>
      </c>
      <c r="O358" s="27" t="str">
        <f>'KY post'!T47&amp;"; "&amp;'KY post'!W47</f>
        <v>https://babel.hathitrust.org/cgi/pt?id=njp.32101060099841;view=1up;seq=180; https://babel.hathitrust.org/cgi/pt?id=njp.32101060099841;view=1up;seq=150</v>
      </c>
      <c r="P358" s="27" t="s">
        <v>2577</v>
      </c>
      <c r="Q358" s="27" t="str">
        <f>'KY post'!V47&amp;"; "&amp;'KY post'!W47</f>
        <v>https://babel.hathitrust.org/cgi/pt?id=njp.32101060099841;view=1up;seq=242; https://babel.hathitrust.org/cgi/pt?id=njp.32101060099841;view=1up;seq=150</v>
      </c>
      <c r="R358" s="27" t="s">
        <v>2579</v>
      </c>
      <c r="S358" s="27" t="s">
        <v>2578</v>
      </c>
      <c r="T358" s="27" t="s">
        <v>2577</v>
      </c>
      <c r="U358" s="27" t="s">
        <v>2602</v>
      </c>
    </row>
    <row r="359" spans="1:21" x14ac:dyDescent="0.25">
      <c r="A359" s="27" t="s">
        <v>928</v>
      </c>
      <c r="B359" s="27" t="str">
        <f t="shared" si="18"/>
        <v>Kentucky</v>
      </c>
      <c r="C359" s="27" t="str">
        <f t="shared" si="19"/>
        <v>Hardin</v>
      </c>
      <c r="D359" s="96">
        <f>2300+253+481+272+70+134+93+180+173</f>
        <v>3956</v>
      </c>
      <c r="E359" s="41">
        <f>99+10+4+2+4+3+4+4+0+5+3+2+1+1+2+2+2+2+2</f>
        <v>152</v>
      </c>
      <c r="F359" s="7">
        <f>'KY post'!G48</f>
        <v>168</v>
      </c>
      <c r="G359" s="41">
        <f>3741+354+477+246+86+118+172+177+167+166+58+20+16+10+76+43+78+47+11</f>
        <v>6063</v>
      </c>
      <c r="H359" s="115">
        <f>'KY post'!K48</f>
        <v>72.062633145363392</v>
      </c>
      <c r="I359" s="2">
        <f>88117.31+19264.8+7003.55+1593.75+6289.13+6074.01+5891.57</f>
        <v>134234.12</v>
      </c>
      <c r="J359" s="27">
        <f>93+5+1+1+1+1+1+1+1</f>
        <v>105</v>
      </c>
      <c r="K359" s="29">
        <f>'KY post'!P48</f>
        <v>166920</v>
      </c>
      <c r="L359" s="41">
        <v>1922</v>
      </c>
      <c r="N359" s="27" t="s">
        <v>2576</v>
      </c>
      <c r="O359" s="27" t="str">
        <f>'KY post'!T48&amp;"; "&amp;'KY post'!W48</f>
        <v>https://babel.hathitrust.org/cgi/pt?id=njp.32101060099841;view=1up;seq=180; https://babel.hathitrust.org/cgi/pt?id=njp.32101060099841;view=1up;seq=150</v>
      </c>
      <c r="P359" s="27" t="s">
        <v>2577</v>
      </c>
      <c r="Q359" s="27" t="str">
        <f>'KY post'!V48&amp;"; "&amp;'KY post'!W48</f>
        <v>https://babel.hathitrust.org/cgi/pt?id=njp.32101060099841;view=1up;seq=242; https://babel.hathitrust.org/cgi/pt?id=njp.32101060099841;view=1up;seq=150</v>
      </c>
      <c r="R359" s="27" t="s">
        <v>2579</v>
      </c>
      <c r="S359" s="27" t="s">
        <v>2578</v>
      </c>
      <c r="T359" s="27" t="s">
        <v>2577</v>
      </c>
      <c r="U359" s="27" t="s">
        <v>2602</v>
      </c>
    </row>
    <row r="360" spans="1:21" x14ac:dyDescent="0.25">
      <c r="A360" s="27" t="s">
        <v>929</v>
      </c>
      <c r="B360" s="27" t="str">
        <f t="shared" si="18"/>
        <v>Kentucky</v>
      </c>
      <c r="C360" s="27" t="str">
        <f t="shared" si="19"/>
        <v>Harlan</v>
      </c>
      <c r="D360" s="96">
        <f>4302+166+1059+68+393+516+174+362</f>
        <v>7040</v>
      </c>
      <c r="E360" s="41">
        <f>97+23+7+15+4+4+0+0+2+2+7+4</f>
        <v>165</v>
      </c>
      <c r="F360" s="7">
        <f>'KY post'!G49</f>
        <v>172</v>
      </c>
      <c r="G360" s="41">
        <f>5684+243+1257+90+542+704+227+331+30+22+138+15+5</f>
        <v>9288</v>
      </c>
      <c r="H360" s="115">
        <f>'KY post'!K49</f>
        <v>81.217843551797031</v>
      </c>
      <c r="I360" s="2">
        <f>95845.47+54516.99+7401.37+34943.98+4649.58</f>
        <v>197357.38999999998</v>
      </c>
      <c r="J360" s="27">
        <f>39+22+1+1+1+1+1+1</f>
        <v>67</v>
      </c>
      <c r="K360" s="29">
        <f>'KY post'!P49</f>
        <v>50700</v>
      </c>
      <c r="L360" s="41">
        <v>1922</v>
      </c>
      <c r="N360" s="27" t="s">
        <v>2576</v>
      </c>
      <c r="O360" s="27" t="str">
        <f>'KY post'!T49&amp;"; "&amp;'KY post'!W49</f>
        <v>https://babel.hathitrust.org/cgi/pt?id=njp.32101060099841;view=1up;seq=180; https://babel.hathitrust.org/cgi/pt?id=njp.32101060099841;view=1up;seq=150</v>
      </c>
      <c r="P360" s="27" t="s">
        <v>2577</v>
      </c>
      <c r="Q360" s="27" t="str">
        <f>'KY post'!V49&amp;"; "&amp;'KY post'!W49</f>
        <v>https://babel.hathitrust.org/cgi/pt?id=njp.32101060099841;view=1up;seq=242; https://babel.hathitrust.org/cgi/pt?id=njp.32101060099841;view=1up;seq=150</v>
      </c>
      <c r="R360" s="27" t="s">
        <v>2579</v>
      </c>
      <c r="S360" s="27" t="s">
        <v>2578</v>
      </c>
      <c r="T360" s="27" t="s">
        <v>2577</v>
      </c>
      <c r="U360" s="27" t="s">
        <v>2602</v>
      </c>
    </row>
    <row r="361" spans="1:21" x14ac:dyDescent="0.25">
      <c r="A361" s="27" t="s">
        <v>930</v>
      </c>
      <c r="B361" s="27" t="str">
        <f t="shared" si="18"/>
        <v>Kentucky</v>
      </c>
      <c r="C361" s="27" t="str">
        <f t="shared" si="19"/>
        <v>Harrison</v>
      </c>
      <c r="D361" s="96">
        <f>1810+87+511+70</f>
        <v>2478</v>
      </c>
      <c r="E361" s="41">
        <f>78+18+0+0+2+2+2+7+2+1+1</f>
        <v>113</v>
      </c>
      <c r="F361" s="7">
        <f>'KY post'!G50</f>
        <v>170</v>
      </c>
      <c r="G361" s="41">
        <f>2498+173+480+128+53+38+17+201+30+9+18</f>
        <v>3645</v>
      </c>
      <c r="H361" s="115">
        <f>'KY post'!K50</f>
        <v>84.535002602811019</v>
      </c>
      <c r="I361" s="2">
        <f>100395.72+71824.71</f>
        <v>172220.43</v>
      </c>
      <c r="J361" s="27">
        <f>43+16+2</f>
        <v>61</v>
      </c>
      <c r="K361" s="29">
        <f>'KY post'!P50</f>
        <v>63200</v>
      </c>
      <c r="L361" s="41">
        <v>1922</v>
      </c>
      <c r="N361" s="27" t="s">
        <v>2576</v>
      </c>
      <c r="O361" s="27" t="str">
        <f>'KY post'!T50&amp;"; "&amp;'KY post'!W50</f>
        <v>https://babel.hathitrust.org/cgi/pt?id=njp.32101060099841;view=1up;seq=180; https://babel.hathitrust.org/cgi/pt?id=njp.32101060099841;view=1up;seq=150</v>
      </c>
      <c r="P361" s="27" t="s">
        <v>2577</v>
      </c>
      <c r="Q361" s="27" t="str">
        <f>'KY post'!V50&amp;"; "&amp;'KY post'!W50</f>
        <v>https://babel.hathitrust.org/cgi/pt?id=njp.32101060099841;view=1up;seq=242; https://babel.hathitrust.org/cgi/pt?id=njp.32101060099841;view=1up;seq=150</v>
      </c>
      <c r="R361" s="27" t="s">
        <v>2579</v>
      </c>
      <c r="S361" s="27" t="s">
        <v>2578</v>
      </c>
      <c r="T361" s="27" t="s">
        <v>2577</v>
      </c>
      <c r="U361" s="27" t="s">
        <v>2602</v>
      </c>
    </row>
    <row r="362" spans="1:21" x14ac:dyDescent="0.25">
      <c r="A362" s="27" t="s">
        <v>931</v>
      </c>
      <c r="B362" s="27" t="str">
        <f t="shared" si="18"/>
        <v>Kentucky</v>
      </c>
      <c r="C362" s="27" t="str">
        <f t="shared" si="19"/>
        <v>Hart</v>
      </c>
      <c r="D362" s="96">
        <f>3358+414+231+184</f>
        <v>4187</v>
      </c>
      <c r="E362" s="41">
        <f>96+5+4+0+1+3+1+4+3+1</f>
        <v>118</v>
      </c>
      <c r="F362" s="7">
        <f>'KY post'!G51</f>
        <v>166</v>
      </c>
      <c r="G362" s="41">
        <f>4024+490+240+157+22+62+13+72+71+11</f>
        <v>5162</v>
      </c>
      <c r="H362" s="115">
        <f>'KY post'!K51</f>
        <v>60.028854400653465</v>
      </c>
      <c r="I362" s="2">
        <f>87374.12+13578.53+9142.56</f>
        <v>110095.20999999999</v>
      </c>
      <c r="J362" s="27">
        <f>91+7+1+1</f>
        <v>100</v>
      </c>
      <c r="K362" s="29">
        <f>'KY post'!P51</f>
        <v>90100</v>
      </c>
      <c r="L362" s="41">
        <v>1922</v>
      </c>
      <c r="N362" s="27" t="s">
        <v>2576</v>
      </c>
      <c r="O362" s="27" t="str">
        <f>'KY post'!T51&amp;"; "&amp;'KY post'!W51</f>
        <v>https://babel.hathitrust.org/cgi/pt?id=njp.32101060099841;view=1up;seq=180; https://babel.hathitrust.org/cgi/pt?id=njp.32101060099841;view=1up;seq=150</v>
      </c>
      <c r="P362" s="27" t="s">
        <v>2577</v>
      </c>
      <c r="Q362" s="27" t="str">
        <f>'KY post'!V51&amp;"; "&amp;'KY post'!W51</f>
        <v>https://babel.hathitrust.org/cgi/pt?id=njp.32101060099841;view=1up;seq=242; https://babel.hathitrust.org/cgi/pt?id=njp.32101060099841;view=1up;seq=150</v>
      </c>
      <c r="R362" s="27" t="s">
        <v>2579</v>
      </c>
      <c r="S362" s="27" t="s">
        <v>2578</v>
      </c>
      <c r="T362" s="27" t="s">
        <v>2577</v>
      </c>
      <c r="U362" s="27" t="s">
        <v>2602</v>
      </c>
    </row>
    <row r="363" spans="1:21" x14ac:dyDescent="0.25">
      <c r="A363" s="27" t="s">
        <v>932</v>
      </c>
      <c r="B363" s="27" t="str">
        <f t="shared" si="18"/>
        <v>Kentucky</v>
      </c>
      <c r="C363" s="27" t="str">
        <f t="shared" si="19"/>
        <v>Henderson</v>
      </c>
      <c r="D363" s="96">
        <f>1826+681+1538+470+178</f>
        <v>4693</v>
      </c>
      <c r="E363" s="41">
        <f>97+57+4+3+2+0+0+3+1+2+15+3+1+3+1+7</f>
        <v>199</v>
      </c>
      <c r="F363" s="7">
        <f>'KY post'!G52</f>
        <v>176</v>
      </c>
      <c r="G363" s="41">
        <f>2541+807+1620+583+211+107+105+44+21+40+313+42+26+22+64+4+73</f>
        <v>6623</v>
      </c>
      <c r="H363" s="115">
        <f>'KY post'!K52</f>
        <v>78.10563042485154</v>
      </c>
      <c r="I363" s="2">
        <f>103879.64+103633.98+6875.28+3864.06+2571.95</f>
        <v>220824.91</v>
      </c>
      <c r="J363" s="27">
        <f>63+13+1+1+1</f>
        <v>79</v>
      </c>
      <c r="K363" s="29">
        <f>'KY post'!P52</f>
        <v>65000</v>
      </c>
      <c r="L363" s="41">
        <v>1922</v>
      </c>
      <c r="N363" s="27" t="s">
        <v>2576</v>
      </c>
      <c r="O363" s="27" t="str">
        <f>'KY post'!T52&amp;"; "&amp;'KY post'!W52</f>
        <v>https://babel.hathitrust.org/cgi/pt?id=njp.32101060099841;view=1up;seq=180; https://babel.hathitrust.org/cgi/pt?id=njp.32101060099841;view=1up;seq=150</v>
      </c>
      <c r="P363" s="27" t="s">
        <v>2577</v>
      </c>
      <c r="Q363" s="27" t="str">
        <f>'KY post'!V52&amp;"; "&amp;'KY post'!W52</f>
        <v>https://babel.hathitrust.org/cgi/pt?id=njp.32101060099841;view=1up;seq=242; https://babel.hathitrust.org/cgi/pt?id=njp.32101060099841;view=1up;seq=150</v>
      </c>
      <c r="R363" s="27" t="s">
        <v>2579</v>
      </c>
      <c r="S363" s="27" t="s">
        <v>2578</v>
      </c>
      <c r="T363" s="27" t="s">
        <v>2577</v>
      </c>
      <c r="U363" s="27" t="s">
        <v>2602</v>
      </c>
    </row>
    <row r="364" spans="1:21" x14ac:dyDescent="0.25">
      <c r="A364" s="27" t="s">
        <v>933</v>
      </c>
      <c r="B364" s="27" t="str">
        <f t="shared" si="18"/>
        <v>Kentucky</v>
      </c>
      <c r="C364" s="27" t="str">
        <f t="shared" si="19"/>
        <v>Henry</v>
      </c>
      <c r="D364" s="96">
        <f>1226+152+91+42+219+87+75+60+170+75+85</f>
        <v>2282</v>
      </c>
      <c r="E364" s="41">
        <f>47+2+2+5+2+1+2+2+4+2+2+0+0+2+2+3+1+2+2+1+2+2+1</f>
        <v>89</v>
      </c>
      <c r="F364" s="7">
        <f>'KY post'!G53</f>
        <v>160</v>
      </c>
      <c r="G364" s="41">
        <f>1293+219+87+66+222+102+5+63+59+185+97+94+58+23+45+50+12+47+42+2+21+24+6</f>
        <v>2822</v>
      </c>
      <c r="H364" s="115">
        <f>'KY post'!K53</f>
        <v>93.673469101123615</v>
      </c>
      <c r="I364" s="2">
        <f>54844.21+4001.48+1839.39+11750.34+1494.55+1654.32+2163.27+10179.54+2794.34+4177.44</f>
        <v>94898.880000000005</v>
      </c>
      <c r="J364" s="27">
        <f>37+7+1+1+1+1+1+1+1+1+1+1+1</f>
        <v>55</v>
      </c>
      <c r="K364" s="29">
        <f>'KY post'!P53</f>
        <v>100500</v>
      </c>
      <c r="L364" s="41">
        <v>1922</v>
      </c>
      <c r="N364" s="27" t="s">
        <v>2576</v>
      </c>
      <c r="O364" s="27" t="str">
        <f>'KY post'!T53&amp;"; "&amp;'KY post'!W53</f>
        <v>https://babel.hathitrust.org/cgi/pt?id=njp.32101060099841;view=1up;seq=180; https://babel.hathitrust.org/cgi/pt?id=njp.32101060099841;view=1up;seq=150</v>
      </c>
      <c r="P364" s="27" t="s">
        <v>2577</v>
      </c>
      <c r="Q364" s="27" t="str">
        <f>'KY post'!V53&amp;"; "&amp;'KY post'!W53</f>
        <v>https://babel.hathitrust.org/cgi/pt?id=njp.32101060099841;view=1up;seq=242; https://babel.hathitrust.org/cgi/pt?id=njp.32101060099841;view=1up;seq=150</v>
      </c>
      <c r="R364" s="27" t="s">
        <v>2579</v>
      </c>
      <c r="S364" s="27" t="s">
        <v>2578</v>
      </c>
      <c r="T364" s="27" t="s">
        <v>2577</v>
      </c>
      <c r="U364" s="27" t="s">
        <v>2602</v>
      </c>
    </row>
    <row r="365" spans="1:21" x14ac:dyDescent="0.25">
      <c r="A365" s="27" t="s">
        <v>934</v>
      </c>
      <c r="B365" s="27" t="str">
        <f t="shared" si="18"/>
        <v>Kentucky</v>
      </c>
      <c r="C365" s="27" t="str">
        <f t="shared" si="19"/>
        <v>Hickman</v>
      </c>
      <c r="D365" s="96">
        <f>1731+138</f>
        <v>1869</v>
      </c>
      <c r="E365" s="41">
        <f>51+3+2+5+2+2+2</f>
        <v>67</v>
      </c>
      <c r="F365" s="7">
        <f>'KY post'!G54</f>
        <v>140</v>
      </c>
      <c r="G365" s="41">
        <f>1961+240+35+164+28+66+15</f>
        <v>2509</v>
      </c>
      <c r="H365" s="115">
        <f>'KY post'!K54</f>
        <v>78.267441364605546</v>
      </c>
      <c r="I365" s="2">
        <v>58769.85</v>
      </c>
      <c r="J365" s="27">
        <f>38+5+1</f>
        <v>44</v>
      </c>
      <c r="K365" s="29">
        <f>'KY post'!P54</f>
        <v>82625</v>
      </c>
      <c r="L365" s="41">
        <v>1922</v>
      </c>
      <c r="N365" s="27" t="s">
        <v>2576</v>
      </c>
      <c r="O365" s="27" t="str">
        <f>'KY post'!T54&amp;"; "&amp;'KY post'!W54</f>
        <v>https://babel.hathitrust.org/cgi/pt?id=njp.32101060099841;view=1up;seq=180; https://babel.hathitrust.org/cgi/pt?id=njp.32101060099841;view=1up;seq=150</v>
      </c>
      <c r="P365" s="27" t="s">
        <v>2577</v>
      </c>
      <c r="Q365" s="27" t="str">
        <f>'KY post'!V54&amp;"; "&amp;'KY post'!W54</f>
        <v>https://babel.hathitrust.org/cgi/pt?id=njp.32101060099841;view=1up;seq=242; https://babel.hathitrust.org/cgi/pt?id=njp.32101060099841;view=1up;seq=150</v>
      </c>
      <c r="R365" s="27" t="s">
        <v>2579</v>
      </c>
      <c r="S365" s="27" t="s">
        <v>2578</v>
      </c>
      <c r="T365" s="27" t="s">
        <v>2577</v>
      </c>
      <c r="U365" s="27" t="s">
        <v>2602</v>
      </c>
    </row>
    <row r="366" spans="1:21" x14ac:dyDescent="0.25">
      <c r="A366" s="27" t="s">
        <v>935</v>
      </c>
      <c r="B366" s="27" t="str">
        <f t="shared" si="18"/>
        <v>Kentucky</v>
      </c>
      <c r="C366" s="27" t="str">
        <f t="shared" si="19"/>
        <v>Hopkins</v>
      </c>
      <c r="D366" s="96">
        <f>2789+296+412+382+1053+300+332+95</f>
        <v>5659</v>
      </c>
      <c r="E366" s="41">
        <f>120+9+6+27+7+2+0+0+4+3+2+10+1+3</f>
        <v>194</v>
      </c>
      <c r="F366" s="7">
        <f>'KY post'!G55</f>
        <v>176</v>
      </c>
      <c r="G366" s="41">
        <f>4977+491+455+417+871+482+416+99+90+63+32+238+6+41</f>
        <v>8678</v>
      </c>
      <c r="H366" s="115">
        <f>'KY post'!K55</f>
        <v>77.021385895032779</v>
      </c>
      <c r="I366" s="2">
        <f>88175.04+15285.35+6503.06+60789.97+11715.47+12955.42+2669.33</f>
        <v>198093.63999999998</v>
      </c>
      <c r="J366" s="27">
        <f>94+11+1+1+2+1+1</f>
        <v>111</v>
      </c>
      <c r="K366" s="29">
        <f>'KY post'!P55</f>
        <v>194870</v>
      </c>
      <c r="L366" s="41">
        <v>1922</v>
      </c>
      <c r="N366" s="27" t="s">
        <v>2576</v>
      </c>
      <c r="O366" s="27" t="str">
        <f>'KY post'!T55&amp;"; "&amp;'KY post'!W55</f>
        <v>https://babel.hathitrust.org/cgi/pt?id=njp.32101060099841;view=1up;seq=180; https://babel.hathitrust.org/cgi/pt?id=njp.32101060099841;view=1up;seq=150</v>
      </c>
      <c r="P366" s="27" t="s">
        <v>2577</v>
      </c>
      <c r="Q366" s="27" t="str">
        <f>'KY post'!V55&amp;"; "&amp;'KY post'!W55</f>
        <v>https://babel.hathitrust.org/cgi/pt?id=njp.32101060099841;view=1up;seq=242; https://babel.hathitrust.org/cgi/pt?id=njp.32101060099841;view=1up;seq=150</v>
      </c>
      <c r="R366" s="27" t="s">
        <v>2579</v>
      </c>
      <c r="S366" s="27" t="s">
        <v>2578</v>
      </c>
      <c r="T366" s="27" t="s">
        <v>2577</v>
      </c>
      <c r="U366" s="27" t="s">
        <v>2602</v>
      </c>
    </row>
    <row r="367" spans="1:21" x14ac:dyDescent="0.25">
      <c r="A367" s="27" t="s">
        <v>936</v>
      </c>
      <c r="B367" s="27" t="str">
        <f t="shared" si="18"/>
        <v>Kentucky</v>
      </c>
      <c r="C367" s="27" t="str">
        <f t="shared" si="19"/>
        <v>Jackson</v>
      </c>
      <c r="D367" s="96">
        <v>2011</v>
      </c>
      <c r="E367" s="41">
        <f>76+2</f>
        <v>78</v>
      </c>
      <c r="F367" s="7">
        <f>'KY post'!G56</f>
        <v>140</v>
      </c>
      <c r="G367" s="41">
        <f>2580+23</f>
        <v>2603</v>
      </c>
      <c r="H367" s="115">
        <f>'KY post'!K56</f>
        <v>58.220238095238095</v>
      </c>
      <c r="I367" s="2">
        <v>45279.67</v>
      </c>
      <c r="J367" s="27">
        <f>74+2</f>
        <v>76</v>
      </c>
      <c r="K367" s="29">
        <f>'KY post'!P56</f>
        <v>36160</v>
      </c>
      <c r="L367" s="41">
        <v>1922</v>
      </c>
      <c r="N367" s="27" t="s">
        <v>2576</v>
      </c>
      <c r="O367" s="27" t="str">
        <f>'KY post'!T56&amp;"; "&amp;'KY post'!W56</f>
        <v>https://babel.hathitrust.org/cgi/pt?id=njp.32101060099841;view=1up;seq=180; https://babel.hathitrust.org/cgi/pt?id=njp.32101060099841;view=1up;seq=150</v>
      </c>
      <c r="P367" s="27" t="s">
        <v>2577</v>
      </c>
      <c r="Q367" s="27" t="str">
        <f>'KY post'!V56&amp;"; "&amp;'KY post'!W56</f>
        <v>https://babel.hathitrust.org/cgi/pt?id=njp.32101060099841;view=1up;seq=242; https://babel.hathitrust.org/cgi/pt?id=njp.32101060099841;view=1up;seq=150</v>
      </c>
      <c r="R367" s="27" t="s">
        <v>2579</v>
      </c>
      <c r="S367" s="27" t="s">
        <v>2578</v>
      </c>
      <c r="T367" s="27" t="s">
        <v>2577</v>
      </c>
      <c r="U367" s="27" t="s">
        <v>2602</v>
      </c>
    </row>
    <row r="368" spans="1:21" x14ac:dyDescent="0.25">
      <c r="A368" s="27" t="s">
        <v>937</v>
      </c>
      <c r="B368" s="27" t="str">
        <f t="shared" si="18"/>
        <v>Kentucky</v>
      </c>
      <c r="C368" s="27" t="str">
        <f t="shared" si="19"/>
        <v>Jefferson</v>
      </c>
      <c r="D368" s="96">
        <f>3323+406+22540+5004+177+129</f>
        <v>31579</v>
      </c>
      <c r="E368" s="41">
        <f>159+813+4+4+7+1+51+78+33+27</f>
        <v>1177</v>
      </c>
      <c r="F368" s="7">
        <f>'KY post'!G57</f>
        <v>194</v>
      </c>
      <c r="G368" s="41">
        <f>4515+917+21027+5433+72+19+2616+1533+1009+796</f>
        <v>37937</v>
      </c>
      <c r="H368" s="115">
        <f>'KY post'!K57</f>
        <v>157.25941805568937</v>
      </c>
      <c r="I368" s="2">
        <f>253027.82+2366050.27+46642.78+8633.55</f>
        <v>2674354.4199999995</v>
      </c>
      <c r="J368" s="27">
        <f>42+2+1+1</f>
        <v>46</v>
      </c>
      <c r="K368" s="29">
        <f>'KY post'!P57</f>
        <v>370300</v>
      </c>
      <c r="L368" s="41">
        <v>1922</v>
      </c>
      <c r="N368" s="27" t="s">
        <v>2576</v>
      </c>
      <c r="O368" s="27" t="str">
        <f>'KY post'!T57&amp;"; "&amp;'KY post'!W57</f>
        <v>https://babel.hathitrust.org/cgi/pt?id=njp.32101060099841;view=1up;seq=180; https://babel.hathitrust.org/cgi/pt?id=njp.32101060099841;view=1up;seq=150</v>
      </c>
      <c r="P368" s="27" t="s">
        <v>2577</v>
      </c>
      <c r="Q368" s="27" t="str">
        <f>'KY post'!V57&amp;"; "&amp;'KY post'!W57</f>
        <v>https://babel.hathitrust.org/cgi/pt?id=njp.32101060099841;view=1up;seq=242; https://babel.hathitrust.org/cgi/pt?id=njp.32101060099841;view=1up;seq=150</v>
      </c>
      <c r="R368" s="27" t="s">
        <v>2579</v>
      </c>
      <c r="S368" s="27" t="s">
        <v>2578</v>
      </c>
      <c r="T368" s="27" t="s">
        <v>2577</v>
      </c>
      <c r="U368" s="27" t="s">
        <v>2602</v>
      </c>
    </row>
    <row r="369" spans="1:21" x14ac:dyDescent="0.25">
      <c r="A369" s="27" t="s">
        <v>938</v>
      </c>
      <c r="B369" s="27" t="str">
        <f t="shared" si="18"/>
        <v>Kentucky</v>
      </c>
      <c r="C369" s="27" t="str">
        <f t="shared" si="19"/>
        <v>Jessamine</v>
      </c>
      <c r="D369" s="96">
        <f>1257+227+511+147</f>
        <v>2142</v>
      </c>
      <c r="E369" s="41">
        <f>43+14+0+0+0+0+6+2+2</f>
        <v>67</v>
      </c>
      <c r="F369" s="7">
        <f>'KY post'!G58</f>
        <v>190</v>
      </c>
      <c r="G369" s="41">
        <f>130+142+1735+388+458+128+139+40+13</f>
        <v>3173</v>
      </c>
      <c r="H369" s="115">
        <f>'KY post'!K58</f>
        <v>78.317690494893952</v>
      </c>
      <c r="I369" s="2">
        <f>72799.54+23417.24</f>
        <v>96216.78</v>
      </c>
      <c r="J369" s="27">
        <f>24+7+2</f>
        <v>33</v>
      </c>
      <c r="K369" s="29">
        <f>'KY post'!P58</f>
        <v>50700</v>
      </c>
      <c r="L369" s="41">
        <v>1922</v>
      </c>
      <c r="N369" s="27" t="s">
        <v>2576</v>
      </c>
      <c r="O369" s="27" t="str">
        <f>'KY post'!T58&amp;"; "&amp;'KY post'!W58</f>
        <v>https://babel.hathitrust.org/cgi/pt?id=njp.32101060099841;view=1up;seq=180; https://babel.hathitrust.org/cgi/pt?id=njp.32101060099841;view=1up;seq=150</v>
      </c>
      <c r="P369" s="27" t="s">
        <v>2577</v>
      </c>
      <c r="Q369" s="27" t="str">
        <f>'KY post'!V58&amp;"; "&amp;'KY post'!W58</f>
        <v>https://babel.hathitrust.org/cgi/pt?id=njp.32101060099841;view=1up;seq=242; https://babel.hathitrust.org/cgi/pt?id=njp.32101060099841;view=1up;seq=150</v>
      </c>
      <c r="R369" s="27" t="s">
        <v>2579</v>
      </c>
      <c r="S369" s="27" t="s">
        <v>2578</v>
      </c>
      <c r="T369" s="27" t="s">
        <v>2577</v>
      </c>
      <c r="U369" s="27" t="s">
        <v>2602</v>
      </c>
    </row>
    <row r="370" spans="1:21" x14ac:dyDescent="0.25">
      <c r="A370" s="27" t="s">
        <v>939</v>
      </c>
      <c r="B370" s="27" t="str">
        <f t="shared" si="18"/>
        <v>Kentucky</v>
      </c>
      <c r="C370" s="27" t="str">
        <f t="shared" si="19"/>
        <v>Johnson</v>
      </c>
      <c r="D370" s="96">
        <f>3781+604+277</f>
        <v>4662</v>
      </c>
      <c r="E370" s="41">
        <f>86+2+10+10+4+3</f>
        <v>115</v>
      </c>
      <c r="F370" s="7">
        <f>'KY post'!G59</f>
        <v>166</v>
      </c>
      <c r="G370" s="41">
        <f>4704+98+633+566+123+52</f>
        <v>6176</v>
      </c>
      <c r="H370" s="115">
        <f>'KY post'!K59</f>
        <v>64.183530644316392</v>
      </c>
      <c r="I370" s="2">
        <f>71207.06+1138.6+18837.58+16458.46</f>
        <v>107641.70000000001</v>
      </c>
      <c r="J370" s="27">
        <f>67+9+1+1+1</f>
        <v>79</v>
      </c>
      <c r="K370" s="29">
        <f>'KY post'!P59</f>
        <v>141000</v>
      </c>
      <c r="L370" s="41">
        <v>1922</v>
      </c>
      <c r="N370" s="27" t="s">
        <v>2576</v>
      </c>
      <c r="O370" s="27" t="str">
        <f>'KY post'!T59&amp;"; "&amp;'KY post'!W59</f>
        <v>https://babel.hathitrust.org/cgi/pt?id=njp.32101060099841;view=1up;seq=180; https://babel.hathitrust.org/cgi/pt?id=njp.32101060099841;view=1up;seq=150</v>
      </c>
      <c r="P370" s="27" t="s">
        <v>2577</v>
      </c>
      <c r="Q370" s="27" t="str">
        <f>'KY post'!V59&amp;"; "&amp;'KY post'!W59</f>
        <v>https://babel.hathitrust.org/cgi/pt?id=njp.32101060099841;view=1up;seq=242; https://babel.hathitrust.org/cgi/pt?id=njp.32101060099841;view=1up;seq=150</v>
      </c>
      <c r="R370" s="27" t="s">
        <v>2579</v>
      </c>
      <c r="S370" s="27" t="s">
        <v>2578</v>
      </c>
      <c r="T370" s="27" t="s">
        <v>2577</v>
      </c>
      <c r="U370" s="27" t="s">
        <v>2602</v>
      </c>
    </row>
    <row r="371" spans="1:21" x14ac:dyDescent="0.25">
      <c r="A371" s="27" t="s">
        <v>940</v>
      </c>
      <c r="B371" s="27" t="str">
        <f t="shared" si="18"/>
        <v>Kentucky</v>
      </c>
      <c r="C371" s="27" t="str">
        <f t="shared" si="19"/>
        <v>Kenton</v>
      </c>
      <c r="D371" s="96">
        <f>1158+21+4949+384+543+91+112+176+176+169+53</f>
        <v>7832</v>
      </c>
      <c r="E371" s="41">
        <f>34+153+13+3+3+4+4+3+2+0+0+0+3+29+3+1+2+3+5+2+5</f>
        <v>272</v>
      </c>
      <c r="F371" s="7">
        <f>'KY post'!G60</f>
        <v>178</v>
      </c>
      <c r="G371" s="41">
        <f>1168+43+4753+495+524+3+65+122+172+154+103+60+6+903+36+22+49+73+103+55+3+48</f>
        <v>8960</v>
      </c>
      <c r="H371" s="115">
        <f>'KY post'!K60</f>
        <v>116.38266275611367</v>
      </c>
      <c r="I371" s="2">
        <f>61007.57+658119.4+31251.2+5177.81+3072.1+6710.73+9671.19+4138.55+2215.9</f>
        <v>781364.45</v>
      </c>
      <c r="J371" s="27">
        <f>29+2+1+1+1+1+1+1+1</f>
        <v>38</v>
      </c>
      <c r="K371" s="29">
        <f>'KY post'!P60</f>
        <v>187000</v>
      </c>
      <c r="L371" s="41">
        <v>1922</v>
      </c>
      <c r="N371" s="27" t="s">
        <v>2576</v>
      </c>
      <c r="O371" s="27" t="str">
        <f>'KY post'!T60&amp;"; "&amp;'KY post'!W60</f>
        <v>https://babel.hathitrust.org/cgi/pt?id=njp.32101060099841;view=1up;seq=180; https://babel.hathitrust.org/cgi/pt?id=njp.32101060099841;view=1up;seq=150</v>
      </c>
      <c r="P371" s="27" t="s">
        <v>2577</v>
      </c>
      <c r="Q371" s="27" t="str">
        <f>'KY post'!V60&amp;"; "&amp;'KY post'!W60</f>
        <v>https://babel.hathitrust.org/cgi/pt?id=njp.32101060099841;view=1up;seq=242; https://babel.hathitrust.org/cgi/pt?id=njp.32101060099841;view=1up;seq=150</v>
      </c>
      <c r="R371" s="27" t="s">
        <v>2579</v>
      </c>
      <c r="S371" s="27" t="s">
        <v>2578</v>
      </c>
      <c r="T371" s="27" t="s">
        <v>2577</v>
      </c>
      <c r="U371" s="27" t="s">
        <v>2602</v>
      </c>
    </row>
    <row r="372" spans="1:21" x14ac:dyDescent="0.25">
      <c r="A372" s="27" t="s">
        <v>941</v>
      </c>
      <c r="B372" s="27" t="str">
        <f t="shared" si="18"/>
        <v>Kentucky</v>
      </c>
      <c r="C372" s="27" t="str">
        <f t="shared" si="19"/>
        <v>Knott</v>
      </c>
      <c r="D372" s="96">
        <f>2910+17</f>
        <v>2927</v>
      </c>
      <c r="E372" s="41">
        <f>85+103+7+6</f>
        <v>201</v>
      </c>
      <c r="F372" s="7">
        <f>'KY post'!G61</f>
        <v>140</v>
      </c>
      <c r="G372" s="41">
        <f>3192+32+56+29</f>
        <v>3309</v>
      </c>
      <c r="H372" s="115">
        <f>'KY post'!K61</f>
        <v>25.910071073205405</v>
      </c>
      <c r="I372" s="2">
        <f>46732.81</f>
        <v>46732.81</v>
      </c>
      <c r="J372" s="27">
        <f>54+10</f>
        <v>64</v>
      </c>
      <c r="K372" s="29">
        <f>'KY post'!P61</f>
        <v>26350</v>
      </c>
      <c r="L372" s="41">
        <v>1922</v>
      </c>
      <c r="N372" s="27" t="s">
        <v>2576</v>
      </c>
      <c r="O372" s="27" t="str">
        <f>'KY post'!T61&amp;"; "&amp;'KY post'!W61</f>
        <v>https://babel.hathitrust.org/cgi/pt?id=njp.32101060099841;view=1up;seq=180; https://babel.hathitrust.org/cgi/pt?id=njp.32101060099841;view=1up;seq=150</v>
      </c>
      <c r="P372" s="27" t="s">
        <v>2577</v>
      </c>
      <c r="Q372" s="27" t="str">
        <f>'KY post'!V61&amp;"; "&amp;'KY post'!W61</f>
        <v>https://babel.hathitrust.org/cgi/pt?id=njp.32101060099841;view=1up;seq=242; https://babel.hathitrust.org/cgi/pt?id=njp.32101060099841;view=1up;seq=150</v>
      </c>
      <c r="R372" s="27" t="s">
        <v>2579</v>
      </c>
      <c r="S372" s="27" t="s">
        <v>2578</v>
      </c>
      <c r="T372" s="27" t="s">
        <v>2577</v>
      </c>
      <c r="U372" s="27" t="s">
        <v>2602</v>
      </c>
    </row>
    <row r="373" spans="1:21" x14ac:dyDescent="0.25">
      <c r="A373" s="27" t="s">
        <v>942</v>
      </c>
      <c r="B373" s="27" t="str">
        <f t="shared" si="18"/>
        <v>Kentucky</v>
      </c>
      <c r="C373" s="27" t="str">
        <f t="shared" si="19"/>
        <v>Knox</v>
      </c>
      <c r="D373" s="96">
        <f>3440+54+427+32+137+190+70+128</f>
        <v>4478</v>
      </c>
      <c r="E373" s="41">
        <f>9+2+4+2+3+0+0+0+1+5</f>
        <v>26</v>
      </c>
      <c r="F373" s="7">
        <f>'KY post'!G62</f>
        <v>160</v>
      </c>
      <c r="G373" s="41">
        <f>3915+64+446+51+180+254+103+295+20+67+6</f>
        <v>5401</v>
      </c>
      <c r="H373" s="115">
        <f>'KY post'!K62</f>
        <v>309.14014423076924</v>
      </c>
      <c r="I373" s="2">
        <f>58563.98+14822.42+6068.47+4392.27+809+3123.5</f>
        <v>87779.640000000014</v>
      </c>
      <c r="J373" s="27">
        <f>90+7+1+1+1+1+1+1</f>
        <v>103</v>
      </c>
      <c r="K373" s="29">
        <f>'KY post'!P62</f>
        <v>64500</v>
      </c>
      <c r="L373" s="41">
        <v>1922</v>
      </c>
      <c r="N373" s="27" t="s">
        <v>2576</v>
      </c>
      <c r="O373" s="27" t="str">
        <f>'KY post'!T62&amp;"; "&amp;'KY post'!W62</f>
        <v>https://babel.hathitrust.org/cgi/pt?id=njp.32101060099841;view=1up;seq=180; https://babel.hathitrust.org/cgi/pt?id=njp.32101060099841;view=1up;seq=150</v>
      </c>
      <c r="P373" s="27" t="s">
        <v>2577</v>
      </c>
      <c r="Q373" s="27" t="str">
        <f>'KY post'!V62&amp;"; "&amp;'KY post'!W62</f>
        <v>https://babel.hathitrust.org/cgi/pt?id=njp.32101060099841;view=1up;seq=242; https://babel.hathitrust.org/cgi/pt?id=njp.32101060099841;view=1up;seq=150</v>
      </c>
      <c r="R373" s="27" t="s">
        <v>2579</v>
      </c>
      <c r="S373" s="27" t="s">
        <v>2578</v>
      </c>
      <c r="T373" s="27" t="s">
        <v>2577</v>
      </c>
      <c r="U373" s="27" t="s">
        <v>2602</v>
      </c>
    </row>
    <row r="374" spans="1:21" x14ac:dyDescent="0.25">
      <c r="A374" s="27" t="s">
        <v>943</v>
      </c>
      <c r="B374" s="27" t="str">
        <f t="shared" si="18"/>
        <v>Kentucky</v>
      </c>
      <c r="C374" s="27" t="str">
        <f t="shared" si="19"/>
        <v>Larue</v>
      </c>
      <c r="D374" s="96">
        <f>1527+135+119+283</f>
        <v>2064</v>
      </c>
      <c r="E374" s="41">
        <f>51+3+4+0+2+3+2</f>
        <v>65</v>
      </c>
      <c r="F374" s="7">
        <f>'KY post'!G63</f>
        <v>166</v>
      </c>
      <c r="G374" s="41">
        <f>1912+165+127+249+34+77+16</f>
        <v>2580</v>
      </c>
      <c r="H374" s="115">
        <f>'KY post'!K63</f>
        <v>62.015088044485623</v>
      </c>
      <c r="I374" s="2">
        <f>28230.96+4374.9+9808.02</f>
        <v>42413.880000000005</v>
      </c>
      <c r="J374" s="27">
        <f>43+4+1+1</f>
        <v>49</v>
      </c>
      <c r="K374" s="29">
        <f>'KY post'!P63</f>
        <v>30000</v>
      </c>
      <c r="L374" s="41">
        <v>1922</v>
      </c>
      <c r="N374" s="27" t="s">
        <v>2576</v>
      </c>
      <c r="O374" s="27" t="str">
        <f>'KY post'!T63&amp;"; "&amp;'KY post'!W63</f>
        <v>https://babel.hathitrust.org/cgi/pt?id=njp.32101060099841;view=1up;seq=180; https://babel.hathitrust.org/cgi/pt?id=njp.32101060099841;view=1up;seq=150</v>
      </c>
      <c r="P374" s="27" t="s">
        <v>2577</v>
      </c>
      <c r="Q374" s="27" t="str">
        <f>'KY post'!V63&amp;"; "&amp;'KY post'!W63</f>
        <v>https://babel.hathitrust.org/cgi/pt?id=njp.32101060099841;view=1up;seq=242; https://babel.hathitrust.org/cgi/pt?id=njp.32101060099841;view=1up;seq=150</v>
      </c>
      <c r="R374" s="27" t="s">
        <v>2579</v>
      </c>
      <c r="S374" s="27" t="s">
        <v>2578</v>
      </c>
      <c r="T374" s="27" t="s">
        <v>2577</v>
      </c>
      <c r="U374" s="27" t="s">
        <v>2602</v>
      </c>
    </row>
    <row r="375" spans="1:21" x14ac:dyDescent="0.25">
      <c r="A375" s="27" t="s">
        <v>944</v>
      </c>
      <c r="B375" s="27" t="str">
        <f t="shared" si="18"/>
        <v>Kentucky</v>
      </c>
      <c r="C375" s="27" t="str">
        <f t="shared" si="19"/>
        <v>Laurel</v>
      </c>
      <c r="D375" s="96">
        <f>3774+59+131+347+220</f>
        <v>4531</v>
      </c>
      <c r="E375" s="41">
        <f>105+3+9+4+0+4</f>
        <v>125</v>
      </c>
      <c r="F375" s="7">
        <f>'KY post'!G64</f>
        <v>160</v>
      </c>
      <c r="G375" s="41">
        <f>4753+126+178+493+222+97</f>
        <v>5869</v>
      </c>
      <c r="H375" s="115">
        <f>'KY post'!K64</f>
        <v>61.185900000000004</v>
      </c>
      <c r="I375" s="2">
        <f>77727+2066.92+13717.14+2764.6</f>
        <v>96275.66</v>
      </c>
      <c r="J375" s="27">
        <f>75+14+1+1+1</f>
        <v>92</v>
      </c>
      <c r="K375" s="29">
        <f>'KY post'!P64</f>
        <v>79725</v>
      </c>
      <c r="L375" s="41">
        <v>1922</v>
      </c>
      <c r="N375" s="27" t="s">
        <v>2576</v>
      </c>
      <c r="O375" s="27" t="str">
        <f>'KY post'!T64&amp;"; "&amp;'KY post'!W64</f>
        <v>https://babel.hathitrust.org/cgi/pt?id=njp.32101060099841;view=1up;seq=180; https://babel.hathitrust.org/cgi/pt?id=njp.32101060099841;view=1up;seq=150</v>
      </c>
      <c r="P375" s="27" t="s">
        <v>2577</v>
      </c>
      <c r="Q375" s="27" t="str">
        <f>'KY post'!V64&amp;"; "&amp;'KY post'!W64</f>
        <v>https://babel.hathitrust.org/cgi/pt?id=njp.32101060099841;view=1up;seq=242; https://babel.hathitrust.org/cgi/pt?id=njp.32101060099841;view=1up;seq=150</v>
      </c>
      <c r="R375" s="27" t="s">
        <v>2579</v>
      </c>
      <c r="S375" s="27" t="s">
        <v>2578</v>
      </c>
      <c r="T375" s="27" t="s">
        <v>2577</v>
      </c>
      <c r="U375" s="27" t="s">
        <v>2602</v>
      </c>
    </row>
    <row r="376" spans="1:21" x14ac:dyDescent="0.25">
      <c r="A376" s="27" t="s">
        <v>945</v>
      </c>
      <c r="B376" s="27" t="str">
        <f t="shared" si="18"/>
        <v>Kentucky</v>
      </c>
      <c r="C376" s="27" t="str">
        <f t="shared" si="19"/>
        <v>Lawrence</v>
      </c>
      <c r="D376" s="96">
        <f>3581+26+294</f>
        <v>3901</v>
      </c>
      <c r="E376" s="41">
        <f>104+6+0+5</f>
        <v>115</v>
      </c>
      <c r="F376" s="7">
        <f>'KY post'!G65</f>
        <v>160</v>
      </c>
      <c r="G376" s="41">
        <f>4740+36+498+101</f>
        <v>5375</v>
      </c>
      <c r="H376" s="115">
        <f>'KY post'!K65</f>
        <v>58.498423913043482</v>
      </c>
      <c r="I376" s="2">
        <f>59871.51+11295.33</f>
        <v>71166.84</v>
      </c>
      <c r="J376" s="27">
        <f>98+3+1</f>
        <v>102</v>
      </c>
      <c r="K376" s="29">
        <f>'KY post'!P65</f>
        <v>100100</v>
      </c>
      <c r="L376" s="41">
        <v>1922</v>
      </c>
      <c r="N376" s="27" t="s">
        <v>2576</v>
      </c>
      <c r="O376" s="27" t="str">
        <f>'KY post'!T65&amp;"; "&amp;'KY post'!W65</f>
        <v>https://babel.hathitrust.org/cgi/pt?id=njp.32101060099841;view=1up;seq=180; https://babel.hathitrust.org/cgi/pt?id=njp.32101060099841;view=1up;seq=150</v>
      </c>
      <c r="P376" s="27" t="s">
        <v>2577</v>
      </c>
      <c r="Q376" s="27" t="str">
        <f>'KY post'!V65&amp;"; "&amp;'KY post'!W65</f>
        <v>https://babel.hathitrust.org/cgi/pt?id=njp.32101060099841;view=1up;seq=242; https://babel.hathitrust.org/cgi/pt?id=njp.32101060099841;view=1up;seq=150</v>
      </c>
      <c r="R376" s="27" t="s">
        <v>2579</v>
      </c>
      <c r="S376" s="27" t="s">
        <v>2578</v>
      </c>
      <c r="T376" s="27" t="s">
        <v>2577</v>
      </c>
      <c r="U376" s="27" t="s">
        <v>2602</v>
      </c>
    </row>
    <row r="377" spans="1:21" x14ac:dyDescent="0.25">
      <c r="A377" s="27" t="s">
        <v>946</v>
      </c>
      <c r="B377" s="27" t="str">
        <f t="shared" si="18"/>
        <v>Kentucky</v>
      </c>
      <c r="C377" s="27" t="str">
        <f t="shared" si="19"/>
        <v>Lee</v>
      </c>
      <c r="D377" s="96">
        <f>1424+209+30+96+125</f>
        <v>1884</v>
      </c>
      <c r="E377" s="41">
        <f>50+5+2+0+0+2+2</f>
        <v>61</v>
      </c>
      <c r="F377" s="7">
        <f>'KY post'!G66</f>
        <v>164</v>
      </c>
      <c r="G377" s="41">
        <f>2391+34+304+132+164+31+52</f>
        <v>3108</v>
      </c>
      <c r="H377" s="115">
        <f>'KY post'!K66</f>
        <v>68.360155937624967</v>
      </c>
      <c r="I377" s="2">
        <f>30465.05+7015.82+2372.06+3482.15</f>
        <v>43335.079999999994</v>
      </c>
      <c r="J377" s="27">
        <f>45+2+1+1+1</f>
        <v>50</v>
      </c>
      <c r="K377" s="29">
        <f>'KY post'!P66</f>
        <v>36900</v>
      </c>
      <c r="L377" s="41">
        <v>1922</v>
      </c>
      <c r="N377" s="27" t="s">
        <v>2576</v>
      </c>
      <c r="O377" s="27" t="str">
        <f>'KY post'!T66&amp;"; "&amp;'KY post'!W66</f>
        <v>https://babel.hathitrust.org/cgi/pt?id=njp.32101060099841;view=1up;seq=180; https://babel.hathitrust.org/cgi/pt?id=njp.32101060099841;view=1up;seq=150</v>
      </c>
      <c r="P377" s="27" t="s">
        <v>2577</v>
      </c>
      <c r="Q377" s="27" t="str">
        <f>'KY post'!V66&amp;"; "&amp;'KY post'!W66</f>
        <v>https://babel.hathitrust.org/cgi/pt?id=njp.32101060099841;view=1up;seq=242; https://babel.hathitrust.org/cgi/pt?id=njp.32101060099841;view=1up;seq=150</v>
      </c>
      <c r="R377" s="27" t="s">
        <v>2579</v>
      </c>
      <c r="S377" s="27" t="s">
        <v>2578</v>
      </c>
      <c r="T377" s="27" t="s">
        <v>2577</v>
      </c>
      <c r="U377" s="27" t="s">
        <v>2602</v>
      </c>
    </row>
    <row r="378" spans="1:21" x14ac:dyDescent="0.25">
      <c r="A378" s="27" t="s">
        <v>947</v>
      </c>
      <c r="B378" s="27" t="str">
        <f t="shared" si="18"/>
        <v>Kentucky</v>
      </c>
      <c r="C378" s="27" t="str">
        <f t="shared" si="19"/>
        <v>Leslie</v>
      </c>
      <c r="D378" s="96">
        <f>1966+89</f>
        <v>2055</v>
      </c>
      <c r="E378" s="41">
        <f>76+0+3+1</f>
        <v>80</v>
      </c>
      <c r="F378" s="7">
        <f>'KY post'!G67</f>
        <v>150</v>
      </c>
      <c r="G378" s="41">
        <f>2711+21+164+18</f>
        <v>2914</v>
      </c>
      <c r="H378" s="115">
        <f>'KY post'!K67</f>
        <v>56.382666666666665</v>
      </c>
      <c r="I378" s="2">
        <f>38654.23+2719.08</f>
        <v>41373.310000000005</v>
      </c>
      <c r="J378" s="27">
        <f>69+1+1</f>
        <v>71</v>
      </c>
      <c r="K378" s="29">
        <f>'KY post'!P67</f>
        <v>25200</v>
      </c>
      <c r="L378" s="41">
        <v>1922</v>
      </c>
      <c r="N378" s="27" t="s">
        <v>2576</v>
      </c>
      <c r="O378" s="27" t="str">
        <f>'KY post'!T67&amp;"; "&amp;'KY post'!W67</f>
        <v>https://babel.hathitrust.org/cgi/pt?id=njp.32101060099841;view=1up;seq=180; https://babel.hathitrust.org/cgi/pt?id=njp.32101060099841;view=1up;seq=150</v>
      </c>
      <c r="P378" s="27" t="s">
        <v>2577</v>
      </c>
      <c r="Q378" s="27" t="str">
        <f>'KY post'!V67&amp;"; "&amp;'KY post'!W67</f>
        <v>https://babel.hathitrust.org/cgi/pt?id=njp.32101060099841;view=1up;seq=242; https://babel.hathitrust.org/cgi/pt?id=njp.32101060099841;view=1up;seq=150</v>
      </c>
      <c r="R378" s="27" t="s">
        <v>2579</v>
      </c>
      <c r="S378" s="27" t="s">
        <v>2578</v>
      </c>
      <c r="T378" s="27" t="s">
        <v>2577</v>
      </c>
      <c r="U378" s="27" t="s">
        <v>2602</v>
      </c>
    </row>
    <row r="379" spans="1:21" x14ac:dyDescent="0.25">
      <c r="A379" s="27" t="s">
        <v>948</v>
      </c>
      <c r="B379" s="27" t="str">
        <f t="shared" si="18"/>
        <v>Kentucky</v>
      </c>
      <c r="C379" s="27" t="str">
        <f t="shared" si="19"/>
        <v>Letcher</v>
      </c>
      <c r="D379" s="96">
        <f>3142+257+96+227+924+316+312</f>
        <v>5274</v>
      </c>
      <c r="E379" s="41">
        <f>78+2+7+28+6+6+0+4+1+4+3</f>
        <v>139</v>
      </c>
      <c r="F379" s="7">
        <f>'KY post'!G68</f>
        <v>164</v>
      </c>
      <c r="G379" s="41">
        <f>4431+301+113+417+916+345+389+46+25+21+54</f>
        <v>7058</v>
      </c>
      <c r="H379" s="115">
        <f>'KY post'!K68</f>
        <v>87.219213897174939</v>
      </c>
      <c r="I379" s="2">
        <f>74232.2+1123.04+8575.14+50705.1+5413.65+12319.87</f>
        <v>152368.99999999997</v>
      </c>
      <c r="J379" s="27">
        <f>68+4+1+1+3+1+1</f>
        <v>79</v>
      </c>
      <c r="K379" s="29">
        <f>'KY post'!P68</f>
        <v>99000</v>
      </c>
      <c r="L379" s="41">
        <v>1922</v>
      </c>
      <c r="N379" s="27" t="s">
        <v>2576</v>
      </c>
      <c r="O379" s="27" t="str">
        <f>'KY post'!T68&amp;"; "&amp;'KY post'!W68</f>
        <v>https://babel.hathitrust.org/cgi/pt?id=njp.32101060099841;view=1up;seq=180; https://babel.hathitrust.org/cgi/pt?id=njp.32101060099841;view=1up;seq=150</v>
      </c>
      <c r="P379" s="27" t="s">
        <v>2577</v>
      </c>
      <c r="Q379" s="27" t="str">
        <f>'KY post'!V68&amp;"; "&amp;'KY post'!W68</f>
        <v>https://babel.hathitrust.org/cgi/pt?id=njp.32101060099841;view=1up;seq=242; https://babel.hathitrust.org/cgi/pt?id=njp.32101060099841;view=1up;seq=150</v>
      </c>
      <c r="R379" s="27" t="s">
        <v>2579</v>
      </c>
      <c r="S379" s="27" t="s">
        <v>2578</v>
      </c>
      <c r="T379" s="27" t="s">
        <v>2577</v>
      </c>
      <c r="U379" s="27" t="s">
        <v>2602</v>
      </c>
    </row>
    <row r="380" spans="1:21" x14ac:dyDescent="0.25">
      <c r="A380" s="27" t="s">
        <v>949</v>
      </c>
      <c r="B380" s="27" t="str">
        <f t="shared" si="18"/>
        <v>Kentucky</v>
      </c>
      <c r="C380" s="27" t="str">
        <f t="shared" si="19"/>
        <v>Lewis</v>
      </c>
      <c r="D380" s="96">
        <f>2322+4+229</f>
        <v>2555</v>
      </c>
      <c r="E380" s="41">
        <f>86+6+0+2+3</f>
        <v>97</v>
      </c>
      <c r="F380" s="7">
        <f>'KY post'!G69</f>
        <v>160</v>
      </c>
      <c r="G380" s="41">
        <f>4055+0+254+36+72</f>
        <v>4417</v>
      </c>
      <c r="H380" s="115">
        <f>'KY post'!K69</f>
        <v>66.667551546391749</v>
      </c>
      <c r="I380" s="2">
        <f>74309.5+6671.96</f>
        <v>80981.460000000006</v>
      </c>
      <c r="J380" s="27">
        <f>78+4+1</f>
        <v>83</v>
      </c>
      <c r="K380" s="29">
        <f>'KY post'!P69</f>
        <v>100000</v>
      </c>
      <c r="L380" s="41">
        <v>1922</v>
      </c>
      <c r="N380" s="27" t="s">
        <v>2576</v>
      </c>
      <c r="O380" s="27" t="str">
        <f>'KY post'!T69&amp;"; "&amp;'KY post'!W69</f>
        <v>https://babel.hathitrust.org/cgi/pt?id=njp.32101060099841;view=1up;seq=180; https://babel.hathitrust.org/cgi/pt?id=njp.32101060099841;view=1up;seq=150</v>
      </c>
      <c r="P380" s="27" t="s">
        <v>2577</v>
      </c>
      <c r="Q380" s="27" t="str">
        <f>'KY post'!V69&amp;"; "&amp;'KY post'!W69</f>
        <v>https://babel.hathitrust.org/cgi/pt?id=njp.32101060099841;view=1up;seq=242; https://babel.hathitrust.org/cgi/pt?id=njp.32101060099841;view=1up;seq=150</v>
      </c>
      <c r="R380" s="27" t="s">
        <v>2579</v>
      </c>
      <c r="S380" s="27" t="s">
        <v>2578</v>
      </c>
      <c r="T380" s="27" t="s">
        <v>2577</v>
      </c>
      <c r="U380" s="27" t="s">
        <v>2602</v>
      </c>
    </row>
    <row r="381" spans="1:21" x14ac:dyDescent="0.25">
      <c r="A381" s="27" t="s">
        <v>950</v>
      </c>
      <c r="B381" s="27" t="str">
        <f t="shared" si="18"/>
        <v>Kentucky</v>
      </c>
      <c r="C381" s="27" t="str">
        <f t="shared" si="19"/>
        <v>Lincoln</v>
      </c>
      <c r="D381" s="96">
        <f>2049+435+184+174+147+137+316+126</f>
        <v>3568</v>
      </c>
      <c r="E381" s="41">
        <f>72+4+4+4+3+8+3+0+2+2+1+2+4+1+1</f>
        <v>111</v>
      </c>
      <c r="F381" s="7">
        <f>'KY post'!G70</f>
        <v>180</v>
      </c>
      <c r="G381" s="41">
        <f>2872+569+217+153+180+160+323+135+40+46+16+34+83+13+14</f>
        <v>4855</v>
      </c>
      <c r="H381" s="115">
        <f>'KY post'!K70</f>
        <v>69.85421421421421</v>
      </c>
      <c r="I381" s="2">
        <f>59920.59+5131.4+9149.59+5735.74+5991.2+20745.21+4021.53</f>
        <v>110695.26000000001</v>
      </c>
      <c r="J381" s="27">
        <f>49+11+1+1+1+1+1+1</f>
        <v>66</v>
      </c>
      <c r="K381" s="29">
        <f>'KY post'!P70</f>
        <v>129500</v>
      </c>
      <c r="L381" s="41">
        <v>1922</v>
      </c>
      <c r="N381" s="27" t="s">
        <v>2576</v>
      </c>
      <c r="O381" s="27" t="str">
        <f>'KY post'!T70&amp;"; "&amp;'KY post'!W70</f>
        <v>https://babel.hathitrust.org/cgi/pt?id=njp.32101060099841;view=1up;seq=180; https://babel.hathitrust.org/cgi/pt?id=njp.32101060099841;view=1up;seq=150</v>
      </c>
      <c r="P381" s="27" t="s">
        <v>2577</v>
      </c>
      <c r="Q381" s="27" t="str">
        <f>'KY post'!V70&amp;"; "&amp;'KY post'!W70</f>
        <v>https://babel.hathitrust.org/cgi/pt?id=njp.32101060099841;view=1up;seq=242; https://babel.hathitrust.org/cgi/pt?id=njp.32101060099841;view=1up;seq=150</v>
      </c>
      <c r="R381" s="27" t="s">
        <v>2579</v>
      </c>
      <c r="S381" s="27" t="s">
        <v>2578</v>
      </c>
      <c r="T381" s="27" t="s">
        <v>2577</v>
      </c>
      <c r="U381" s="27" t="s">
        <v>2602</v>
      </c>
    </row>
    <row r="382" spans="1:21" x14ac:dyDescent="0.25">
      <c r="A382" s="27" t="s">
        <v>951</v>
      </c>
      <c r="B382" s="27" t="str">
        <f t="shared" si="18"/>
        <v>Kentucky</v>
      </c>
      <c r="C382" s="27" t="str">
        <f t="shared" si="19"/>
        <v>Livingston</v>
      </c>
      <c r="D382" s="96">
        <f>1800+100+71+117+61+77+86</f>
        <v>2312</v>
      </c>
      <c r="E382" s="41">
        <f>54+2+3+1+2+2+2+1+1+4</f>
        <v>72</v>
      </c>
      <c r="F382" s="7">
        <f>'KY post'!G71</f>
        <v>160</v>
      </c>
      <c r="G382" s="41">
        <f>2133+130+91+136+92+88+104+33+13+26+121</f>
        <v>2967</v>
      </c>
      <c r="H382" s="115">
        <f>'KY post'!K71</f>
        <v>58.511267361111109</v>
      </c>
      <c r="I382" s="2">
        <f>32924.59+1722.73+2525.57+1357.14+1484.4+2453.9+2687.36</f>
        <v>45155.69</v>
      </c>
      <c r="J382" s="27">
        <f>54+1+1+1+1+1+1</f>
        <v>60</v>
      </c>
      <c r="K382" s="29">
        <f>'KY post'!P71</f>
        <v>47500</v>
      </c>
      <c r="L382" s="41">
        <v>1922</v>
      </c>
      <c r="N382" s="27" t="s">
        <v>2576</v>
      </c>
      <c r="O382" s="27" t="str">
        <f>'KY post'!T71&amp;"; "&amp;'KY post'!W71</f>
        <v>https://babel.hathitrust.org/cgi/pt?id=njp.32101060099841;view=1up;seq=180; https://babel.hathitrust.org/cgi/pt?id=njp.32101060099841;view=1up;seq=150</v>
      </c>
      <c r="P382" s="27" t="s">
        <v>2577</v>
      </c>
      <c r="Q382" s="27" t="str">
        <f>'KY post'!V71&amp;"; "&amp;'KY post'!W71</f>
        <v>https://babel.hathitrust.org/cgi/pt?id=njp.32101060099841;view=1up;seq=242; https://babel.hathitrust.org/cgi/pt?id=njp.32101060099841;view=1up;seq=150</v>
      </c>
      <c r="R382" s="27" t="s">
        <v>2579</v>
      </c>
      <c r="S382" s="27" t="s">
        <v>2578</v>
      </c>
      <c r="T382" s="27" t="s">
        <v>2577</v>
      </c>
      <c r="U382" s="27" t="s">
        <v>2602</v>
      </c>
    </row>
    <row r="383" spans="1:21" x14ac:dyDescent="0.25">
      <c r="A383" s="27" t="s">
        <v>952</v>
      </c>
      <c r="B383" s="27" t="str">
        <f t="shared" si="18"/>
        <v>Kentucky</v>
      </c>
      <c r="C383" s="27" t="str">
        <f t="shared" si="19"/>
        <v>Logan</v>
      </c>
      <c r="D383" s="96">
        <f>2827+621+509+135</f>
        <v>4092</v>
      </c>
      <c r="E383" s="41">
        <f>122+15+0+0+4+3+3+2+3+1+1</f>
        <v>154</v>
      </c>
      <c r="F383" s="7">
        <f>'KY post'!G72</f>
        <v>160</v>
      </c>
      <c r="G383" s="41">
        <f>3864+910+507+200+64+71+54+42+78+17+4</f>
        <v>5811</v>
      </c>
      <c r="H383" s="115">
        <f>'KY post'!K72</f>
        <v>70.149220779220769</v>
      </c>
      <c r="I383" s="2">
        <f>104426.87+23532.9</f>
        <v>127959.76999999999</v>
      </c>
      <c r="J383" s="27">
        <f>99+4+2</f>
        <v>105</v>
      </c>
      <c r="K383" s="29">
        <f>'KY post'!P72</f>
        <v>101000</v>
      </c>
      <c r="L383" s="41">
        <v>1922</v>
      </c>
      <c r="N383" s="27" t="s">
        <v>2576</v>
      </c>
      <c r="O383" s="27" t="str">
        <f>'KY post'!T72&amp;"; "&amp;'KY post'!W72</f>
        <v>https://babel.hathitrust.org/cgi/pt?id=njp.32101060099841;view=1up;seq=180; https://babel.hathitrust.org/cgi/pt?id=njp.32101060099841;view=1up;seq=150</v>
      </c>
      <c r="P383" s="27" t="s">
        <v>2577</v>
      </c>
      <c r="Q383" s="27" t="str">
        <f>'KY post'!V72&amp;"; "&amp;'KY post'!W72</f>
        <v>https://babel.hathitrust.org/cgi/pt?id=njp.32101060099841;view=1up;seq=242; https://babel.hathitrust.org/cgi/pt?id=njp.32101060099841;view=1up;seq=150</v>
      </c>
      <c r="R383" s="27" t="s">
        <v>2579</v>
      </c>
      <c r="S383" s="27" t="s">
        <v>2578</v>
      </c>
      <c r="T383" s="27" t="s">
        <v>2577</v>
      </c>
      <c r="U383" s="27" t="s">
        <v>2602</v>
      </c>
    </row>
    <row r="384" spans="1:21" x14ac:dyDescent="0.25">
      <c r="A384" s="27" t="s">
        <v>953</v>
      </c>
      <c r="B384" s="27" t="str">
        <f t="shared" si="18"/>
        <v>Kentucky</v>
      </c>
      <c r="C384" s="27" t="str">
        <f t="shared" si="19"/>
        <v>Lyon</v>
      </c>
      <c r="D384" s="96">
        <f>871+121+163+172</f>
        <v>1327</v>
      </c>
      <c r="E384" s="41">
        <f>40+3+3+0+2+3</f>
        <v>51</v>
      </c>
      <c r="F384" s="7">
        <f>'KY post'!G73</f>
        <v>166</v>
      </c>
      <c r="G384" s="41">
        <f>1671+256+167+200+44+46</f>
        <v>2384</v>
      </c>
      <c r="H384" s="115">
        <f>'KY post'!K73</f>
        <v>64.520836286321753</v>
      </c>
      <c r="I384" s="2">
        <f>32736.67+5058.07+4246.83</f>
        <v>42041.57</v>
      </c>
      <c r="J384" s="27">
        <f>40+1+1</f>
        <v>42</v>
      </c>
      <c r="K384" s="29">
        <f>'KY post'!P73</f>
        <v>46280</v>
      </c>
      <c r="L384" s="41">
        <v>1922</v>
      </c>
      <c r="N384" s="27" t="s">
        <v>2576</v>
      </c>
      <c r="O384" s="27" t="str">
        <f>'KY post'!T73&amp;"; "&amp;'KY post'!W73</f>
        <v>https://babel.hathitrust.org/cgi/pt?id=njp.32101060099841;view=1up;seq=180; https://babel.hathitrust.org/cgi/pt?id=njp.32101060099841;view=1up;seq=150</v>
      </c>
      <c r="P384" s="27" t="s">
        <v>2577</v>
      </c>
      <c r="Q384" s="27" t="str">
        <f>'KY post'!V73&amp;"; "&amp;'KY post'!W73</f>
        <v>https://babel.hathitrust.org/cgi/pt?id=njp.32101060099841;view=1up;seq=242; https://babel.hathitrust.org/cgi/pt?id=njp.32101060099841;view=1up;seq=150</v>
      </c>
      <c r="R384" s="27" t="s">
        <v>2579</v>
      </c>
      <c r="S384" s="27" t="s">
        <v>2578</v>
      </c>
      <c r="T384" s="27" t="s">
        <v>2577</v>
      </c>
      <c r="U384" s="27" t="s">
        <v>2602</v>
      </c>
    </row>
    <row r="385" spans="1:21" x14ac:dyDescent="0.25">
      <c r="A385" s="27" t="s">
        <v>957</v>
      </c>
      <c r="B385" s="27" t="str">
        <f t="shared" si="18"/>
        <v>Kentucky</v>
      </c>
      <c r="C385" s="27" t="str">
        <f t="shared" si="19"/>
        <v>Madison</v>
      </c>
      <c r="D385" s="96">
        <f>2855+511+488+310+276</f>
        <v>4440</v>
      </c>
      <c r="E385" s="41">
        <f>106+29+8+0+0+7+2+2+2+1+1</f>
        <v>158</v>
      </c>
      <c r="F385" s="7">
        <f>'KY post'!G74</f>
        <v>166</v>
      </c>
      <c r="G385" s="41">
        <f>4025+852+658+391+355+197+22+9+20+28+59+19+30</f>
        <v>6665</v>
      </c>
      <c r="H385" s="115">
        <f>'KY post'!K74</f>
        <v>73.477992984596597</v>
      </c>
      <c r="I385" s="2">
        <f>120746.56+37606.36+6705.14</f>
        <v>165058.06</v>
      </c>
      <c r="J385" s="27">
        <f>78+6+2+1</f>
        <v>87</v>
      </c>
      <c r="K385" s="29">
        <f>'KY post'!P74</f>
        <v>82700</v>
      </c>
      <c r="L385" s="41">
        <v>1922</v>
      </c>
      <c r="N385" s="27" t="s">
        <v>2576</v>
      </c>
      <c r="O385" s="27" t="str">
        <f>'KY post'!T74&amp;"; "&amp;'KY post'!W74</f>
        <v>https://babel.hathitrust.org/cgi/pt?id=njp.32101060099841;view=1up;seq=180; https://babel.hathitrust.org/cgi/pt?id=njp.32101060099841;view=1up;seq=150</v>
      </c>
      <c r="P385" s="27" t="s">
        <v>2577</v>
      </c>
      <c r="Q385" s="27" t="str">
        <f>'KY post'!V74&amp;"; "&amp;'KY post'!W74</f>
        <v>https://babel.hathitrust.org/cgi/pt?id=njp.32101060099841;view=1up;seq=242; https://babel.hathitrust.org/cgi/pt?id=njp.32101060099841;view=1up;seq=150</v>
      </c>
      <c r="R385" s="27" t="s">
        <v>2579</v>
      </c>
      <c r="S385" s="27" t="s">
        <v>2578</v>
      </c>
      <c r="T385" s="27" t="s">
        <v>2577</v>
      </c>
      <c r="U385" s="27" t="s">
        <v>2602</v>
      </c>
    </row>
    <row r="386" spans="1:21" x14ac:dyDescent="0.25">
      <c r="A386" s="27" t="s">
        <v>958</v>
      </c>
      <c r="B386" s="27" t="str">
        <f t="shared" ref="B386:B449" si="20">LEFT(A386,FIND(";",A386)-1)</f>
        <v>Kentucky</v>
      </c>
      <c r="C386" s="27" t="str">
        <f t="shared" ref="C386:C449" si="21">MID(A386,FIND(";",A386)+1,100)</f>
        <v>Magoffin</v>
      </c>
      <c r="D386" s="96">
        <f>4131+0+153</f>
        <v>4284</v>
      </c>
      <c r="E386" s="41">
        <f>87+2+3+2</f>
        <v>94</v>
      </c>
      <c r="F386" s="7">
        <f>'KY post'!G75</f>
        <v>150</v>
      </c>
      <c r="G386" s="41">
        <f>4084+7+188+15</f>
        <v>4294</v>
      </c>
      <c r="H386" s="115">
        <f>'KY post'!K75</f>
        <v>48.817304964538998</v>
      </c>
      <c r="I386" s="2">
        <f>42824.86+464.25+549.5+506.75+2880.31+484.2</f>
        <v>47709.869999999995</v>
      </c>
      <c r="J386" s="27">
        <f>79+3+1+1+1</f>
        <v>85</v>
      </c>
      <c r="K386" s="29">
        <f>'KY post'!P75</f>
        <v>27500</v>
      </c>
      <c r="L386" s="41">
        <v>1922</v>
      </c>
      <c r="N386" s="27" t="s">
        <v>2576</v>
      </c>
      <c r="O386" s="27" t="str">
        <f>'KY post'!T75&amp;"; "&amp;'KY post'!W75</f>
        <v>https://babel.hathitrust.org/cgi/pt?id=njp.32101060099841;view=1up;seq=180; https://babel.hathitrust.org/cgi/pt?id=njp.32101060099841;view=1up;seq=150</v>
      </c>
      <c r="P386" s="27" t="s">
        <v>2577</v>
      </c>
      <c r="Q386" s="27" t="str">
        <f>'KY post'!V75&amp;"; "&amp;'KY post'!W75</f>
        <v>https://babel.hathitrust.org/cgi/pt?id=njp.32101060099841;view=1up;seq=242; https://babel.hathitrust.org/cgi/pt?id=njp.32101060099841;view=1up;seq=150</v>
      </c>
      <c r="R386" s="27" t="s">
        <v>2579</v>
      </c>
      <c r="S386" s="27" t="s">
        <v>2578</v>
      </c>
      <c r="T386" s="27" t="s">
        <v>2577</v>
      </c>
      <c r="U386" s="27" t="s">
        <v>2602</v>
      </c>
    </row>
    <row r="387" spans="1:21" x14ac:dyDescent="0.25">
      <c r="A387" s="27" t="s">
        <v>959</v>
      </c>
      <c r="B387" s="27" t="str">
        <f t="shared" si="20"/>
        <v>Kentucky</v>
      </c>
      <c r="C387" s="27" t="str">
        <f t="shared" si="21"/>
        <v>Marion</v>
      </c>
      <c r="D387" s="96">
        <f>2025+142+434+90</f>
        <v>2691</v>
      </c>
      <c r="E387" s="41">
        <f>76+9+3+2+0+2+1+6+2+2+3</f>
        <v>106</v>
      </c>
      <c r="F387" s="7">
        <f>'KY post'!G76</f>
        <v>160</v>
      </c>
      <c r="G387" s="41">
        <f>3031+188+377+167+89+24+23+165+23+30+2</f>
        <v>4119</v>
      </c>
      <c r="H387" s="115">
        <f>'KY post'!K76</f>
        <v>65.205188679245282</v>
      </c>
      <c r="I387" s="2">
        <f>75429.12+199953.1+1613+3948.76</f>
        <v>280943.98</v>
      </c>
      <c r="J387" s="27">
        <f>48+10+1+1+1</f>
        <v>61</v>
      </c>
      <c r="K387" s="29">
        <f>'KY post'!P76</f>
        <v>61500</v>
      </c>
      <c r="L387" s="41">
        <v>1922</v>
      </c>
      <c r="N387" s="27" t="s">
        <v>2576</v>
      </c>
      <c r="O387" s="27" t="str">
        <f>'KY post'!T76&amp;"; "&amp;'KY post'!W76</f>
        <v>https://babel.hathitrust.org/cgi/pt?id=njp.32101060099841;view=1up;seq=180; https://babel.hathitrust.org/cgi/pt?id=njp.32101060099841;view=1up;seq=150</v>
      </c>
      <c r="P387" s="27" t="s">
        <v>2577</v>
      </c>
      <c r="Q387" s="27" t="str">
        <f>'KY post'!V76&amp;"; "&amp;'KY post'!W76</f>
        <v>https://babel.hathitrust.org/cgi/pt?id=njp.32101060099841;view=1up;seq=242; https://babel.hathitrust.org/cgi/pt?id=njp.32101060099841;view=1up;seq=150</v>
      </c>
      <c r="R387" s="27" t="s">
        <v>2579</v>
      </c>
      <c r="S387" s="27" t="s">
        <v>2578</v>
      </c>
      <c r="T387" s="27" t="s">
        <v>2577</v>
      </c>
      <c r="U387" s="27" t="s">
        <v>2602</v>
      </c>
    </row>
    <row r="388" spans="1:21" x14ac:dyDescent="0.25">
      <c r="A388" s="27" t="s">
        <v>960</v>
      </c>
      <c r="B388" s="27" t="str">
        <f t="shared" si="20"/>
        <v>Kentucky</v>
      </c>
      <c r="C388" s="27" t="str">
        <f t="shared" si="21"/>
        <v>Marshall</v>
      </c>
      <c r="D388" s="96">
        <f>2627+300+209</f>
        <v>3136</v>
      </c>
      <c r="E388" s="41">
        <f>28+48+3+0+4+1+2+1+3+2</f>
        <v>92</v>
      </c>
      <c r="F388" s="7">
        <f>'KY post'!G77</f>
        <v>156</v>
      </c>
      <c r="G388" s="41">
        <f>3848+264+170+141+26+50+37+62+74</f>
        <v>4672</v>
      </c>
      <c r="H388" s="115">
        <f>'KY post'!K77</f>
        <v>77.315523968784845</v>
      </c>
      <c r="I388" s="2">
        <f>66535.93+11042.78+4926.76</f>
        <v>82505.469999999987</v>
      </c>
      <c r="J388" s="27">
        <f>58+7+1+1</f>
        <v>67</v>
      </c>
      <c r="K388" s="29">
        <f>'KY post'!P77</f>
        <v>54980</v>
      </c>
      <c r="L388" s="41">
        <v>1922</v>
      </c>
      <c r="N388" s="27" t="s">
        <v>2576</v>
      </c>
      <c r="O388" s="27" t="str">
        <f>'KY post'!T77&amp;"; "&amp;'KY post'!W77</f>
        <v>https://babel.hathitrust.org/cgi/pt?id=njp.32101060099841;view=1up;seq=180; https://babel.hathitrust.org/cgi/pt?id=njp.32101060099841;view=1up;seq=150</v>
      </c>
      <c r="P388" s="27" t="s">
        <v>2577</v>
      </c>
      <c r="Q388" s="27" t="str">
        <f>'KY post'!V77&amp;"; "&amp;'KY post'!W77</f>
        <v>https://babel.hathitrust.org/cgi/pt?id=njp.32101060099841;view=1up;seq=242; https://babel.hathitrust.org/cgi/pt?id=njp.32101060099841;view=1up;seq=150</v>
      </c>
      <c r="R388" s="27" t="s">
        <v>2579</v>
      </c>
      <c r="S388" s="27" t="s">
        <v>2578</v>
      </c>
      <c r="T388" s="27" t="s">
        <v>2577</v>
      </c>
      <c r="U388" s="27" t="s">
        <v>2602</v>
      </c>
    </row>
    <row r="389" spans="1:21" x14ac:dyDescent="0.25">
      <c r="A389" s="27" t="s">
        <v>961</v>
      </c>
      <c r="B389" s="27" t="str">
        <f t="shared" si="20"/>
        <v>Kentucky</v>
      </c>
      <c r="C389" s="27" t="str">
        <f t="shared" si="21"/>
        <v>Martin</v>
      </c>
      <c r="D389" s="96">
        <v>1707</v>
      </c>
      <c r="E389" s="41">
        <f>64</f>
        <v>64</v>
      </c>
      <c r="F389" s="7">
        <f>'KY post'!G78</f>
        <v>140</v>
      </c>
      <c r="G389" s="41">
        <f>2230+6</f>
        <v>2236</v>
      </c>
      <c r="H389" s="115">
        <f>'KY post'!K78</f>
        <v>55.684553571428573</v>
      </c>
      <c r="I389" s="2">
        <v>34072.22</v>
      </c>
      <c r="J389" s="27">
        <f>43+5</f>
        <v>48</v>
      </c>
      <c r="K389" s="29">
        <f>'KY post'!P78</f>
        <v>27300</v>
      </c>
      <c r="L389" s="41">
        <v>1922</v>
      </c>
      <c r="N389" s="27" t="s">
        <v>2576</v>
      </c>
      <c r="O389" s="27" t="str">
        <f>'KY post'!T78&amp;"; "&amp;'KY post'!W78</f>
        <v>https://babel.hathitrust.org/cgi/pt?id=njp.32101060099841;view=1up;seq=180; https://babel.hathitrust.org/cgi/pt?id=njp.32101060099841;view=1up;seq=150</v>
      </c>
      <c r="P389" s="27" t="s">
        <v>2577</v>
      </c>
      <c r="Q389" s="27" t="str">
        <f>'KY post'!V78&amp;"; "&amp;'KY post'!W78</f>
        <v>https://babel.hathitrust.org/cgi/pt?id=njp.32101060099841;view=1up;seq=242; https://babel.hathitrust.org/cgi/pt?id=njp.32101060099841;view=1up;seq=150</v>
      </c>
      <c r="R389" s="27" t="s">
        <v>2579</v>
      </c>
      <c r="S389" s="27" t="s">
        <v>2578</v>
      </c>
      <c r="T389" s="27" t="s">
        <v>2577</v>
      </c>
      <c r="U389" s="27" t="s">
        <v>2602</v>
      </c>
    </row>
    <row r="390" spans="1:21" x14ac:dyDescent="0.25">
      <c r="A390" s="27" t="s">
        <v>962</v>
      </c>
      <c r="B390" s="27" t="str">
        <f t="shared" si="20"/>
        <v>Kentucky</v>
      </c>
      <c r="C390" s="27" t="str">
        <f t="shared" si="21"/>
        <v>Mason</v>
      </c>
      <c r="D390" s="96">
        <f>1756+220+711+159</f>
        <v>2846</v>
      </c>
      <c r="E390" s="41">
        <f>61+23+0+0+2+4+10+2+1+2+2+1</f>
        <v>108</v>
      </c>
      <c r="F390" s="7">
        <f>'KY post'!G79</f>
        <v>180</v>
      </c>
      <c r="G390" s="41">
        <f>1923+318+628+182+14+64+201+32+12+20+33+19</f>
        <v>3446</v>
      </c>
      <c r="H390" s="115">
        <f>'KY post'!K79</f>
        <v>94.96682098765433</v>
      </c>
      <c r="I390" s="2">
        <f>96066.52+56716.67</f>
        <v>152783.19</v>
      </c>
      <c r="J390" s="27">
        <f>26+10+2</f>
        <v>38</v>
      </c>
      <c r="K390" s="29">
        <f>'KY post'!P79</f>
        <v>79100</v>
      </c>
      <c r="L390" s="41">
        <v>1922</v>
      </c>
      <c r="N390" s="27" t="s">
        <v>2576</v>
      </c>
      <c r="O390" s="27" t="str">
        <f>'KY post'!T79&amp;"; "&amp;'KY post'!W79</f>
        <v>https://babel.hathitrust.org/cgi/pt?id=njp.32101060099841;view=1up;seq=180; https://babel.hathitrust.org/cgi/pt?id=njp.32101060099841;view=1up;seq=150</v>
      </c>
      <c r="P390" s="27" t="s">
        <v>2577</v>
      </c>
      <c r="Q390" s="27" t="str">
        <f>'KY post'!V79&amp;"; "&amp;'KY post'!W79</f>
        <v>https://babel.hathitrust.org/cgi/pt?id=njp.32101060099841;view=1up;seq=242; https://babel.hathitrust.org/cgi/pt?id=njp.32101060099841;view=1up;seq=150</v>
      </c>
      <c r="R390" s="27" t="s">
        <v>2579</v>
      </c>
      <c r="S390" s="27" t="s">
        <v>2578</v>
      </c>
      <c r="T390" s="27" t="s">
        <v>2577</v>
      </c>
      <c r="U390" s="27" t="s">
        <v>2602</v>
      </c>
    </row>
    <row r="391" spans="1:21" x14ac:dyDescent="0.25">
      <c r="A391" s="27" t="s">
        <v>954</v>
      </c>
      <c r="B391" s="27" t="str">
        <f t="shared" si="20"/>
        <v>Kentucky</v>
      </c>
      <c r="C391" s="27" t="str">
        <f t="shared" si="21"/>
        <v>McCracken</v>
      </c>
      <c r="D391" s="96">
        <f>2111+257+3866+902+172</f>
        <v>7308</v>
      </c>
      <c r="E391" s="41">
        <f>66+87+6+0+0+2+3+5+18+3+6</f>
        <v>196</v>
      </c>
      <c r="F391" s="7">
        <f>'KY post'!G80</f>
        <v>166</v>
      </c>
      <c r="G391" s="41">
        <f>2532+444+2528+777+265+24+62+124+629+55+126</f>
        <v>7566</v>
      </c>
      <c r="H391" s="115">
        <f>'KY post'!K80</f>
        <v>96.879893041553956</v>
      </c>
      <c r="I391" s="2">
        <f>72478.16+254571.12+8959.79</f>
        <v>336009.07</v>
      </c>
      <c r="J391" s="27">
        <f>44+9+1</f>
        <v>54</v>
      </c>
      <c r="K391" s="29">
        <f>'KY post'!P80</f>
        <v>33300</v>
      </c>
      <c r="L391" s="41">
        <v>1922</v>
      </c>
      <c r="N391" s="27" t="s">
        <v>2576</v>
      </c>
      <c r="O391" s="27" t="str">
        <f>'KY post'!T80&amp;"; "&amp;'KY post'!W80</f>
        <v>https://babel.hathitrust.org/cgi/pt?id=njp.32101060099841;view=1up;seq=180; https://babel.hathitrust.org/cgi/pt?id=njp.32101060099841;view=1up;seq=150</v>
      </c>
      <c r="P391" s="27" t="s">
        <v>2577</v>
      </c>
      <c r="Q391" s="27" t="str">
        <f>'KY post'!V80&amp;"; "&amp;'KY post'!W80</f>
        <v>https://babel.hathitrust.org/cgi/pt?id=njp.32101060099841;view=1up;seq=242; https://babel.hathitrust.org/cgi/pt?id=njp.32101060099841;view=1up;seq=150</v>
      </c>
      <c r="R391" s="27" t="s">
        <v>2579</v>
      </c>
      <c r="S391" s="27" t="s">
        <v>2578</v>
      </c>
      <c r="T391" s="27" t="s">
        <v>2577</v>
      </c>
      <c r="U391" s="27" t="s">
        <v>2602</v>
      </c>
    </row>
    <row r="392" spans="1:21" x14ac:dyDescent="0.25">
      <c r="A392" s="27" t="s">
        <v>955</v>
      </c>
      <c r="B392" s="27" t="str">
        <f t="shared" si="20"/>
        <v>Kentucky</v>
      </c>
      <c r="C392" s="27" t="str">
        <f t="shared" si="21"/>
        <v>McCreary</v>
      </c>
      <c r="D392" s="96">
        <f>1316+8+51+40+45+87+189+244</f>
        <v>1980</v>
      </c>
      <c r="E392" s="41">
        <f>64+2+2+2+2+7+4+0+4+2</f>
        <v>89</v>
      </c>
      <c r="F392" s="7">
        <f>'KY post'!G81</f>
        <v>168</v>
      </c>
      <c r="G392" s="41">
        <f>2528+11+90+88+101+154+254+230+7+22+33</f>
        <v>3518</v>
      </c>
      <c r="H392" s="115">
        <f>'KY post'!K81</f>
        <v>56.69166666666667</v>
      </c>
      <c r="I392" s="2">
        <f>40016.1+2035.25+2084.01+2102.21+2620.49+6074.25+5066.26</f>
        <v>59998.57</v>
      </c>
      <c r="J392" s="27">
        <f>55+2+1+1+1+1+1+1</f>
        <v>63</v>
      </c>
      <c r="K392" s="29">
        <f>'KY post'!P81</f>
        <v>62350</v>
      </c>
      <c r="L392" s="41">
        <v>1922</v>
      </c>
      <c r="N392" s="27" t="s">
        <v>2576</v>
      </c>
      <c r="O392" s="27" t="str">
        <f>'KY post'!T81&amp;"; "&amp;'KY post'!W81</f>
        <v>https://babel.hathitrust.org/cgi/pt?id=njp.32101060099841;view=1up;seq=180; https://babel.hathitrust.org/cgi/pt?id=njp.32101060099841;view=1up;seq=150</v>
      </c>
      <c r="P392" s="27" t="s">
        <v>2577</v>
      </c>
      <c r="Q392" s="27" t="str">
        <f>'KY post'!V81&amp;"; "&amp;'KY post'!W81</f>
        <v>https://babel.hathitrust.org/cgi/pt?id=njp.32101060099841;view=1up;seq=242; https://babel.hathitrust.org/cgi/pt?id=njp.32101060099841;view=1up;seq=150</v>
      </c>
      <c r="R392" s="27" t="s">
        <v>2579</v>
      </c>
      <c r="S392" s="27" t="s">
        <v>2578</v>
      </c>
      <c r="T392" s="27" t="s">
        <v>2577</v>
      </c>
      <c r="U392" s="27" t="s">
        <v>2602</v>
      </c>
    </row>
    <row r="393" spans="1:21" x14ac:dyDescent="0.25">
      <c r="A393" s="27" t="s">
        <v>956</v>
      </c>
      <c r="B393" s="27" t="str">
        <f t="shared" si="20"/>
        <v>Kentucky</v>
      </c>
      <c r="C393" s="27" t="str">
        <f t="shared" si="21"/>
        <v>McLean</v>
      </c>
      <c r="D393" s="96">
        <f>1434+87+111+201+325+100</f>
        <v>2258</v>
      </c>
      <c r="E393" s="41">
        <f>58+4+4+4+2+0+3+3+4+2</f>
        <v>84</v>
      </c>
      <c r="F393" s="7">
        <f>'KY post'!G82</f>
        <v>168</v>
      </c>
      <c r="G393" s="41">
        <f>2385+264+109+133+303+69+63+120+123+41</f>
        <v>3610</v>
      </c>
      <c r="H393" s="115">
        <f>'KY post'!K82</f>
        <v>63.239271541950103</v>
      </c>
      <c r="I393" s="2">
        <f>49095.19+4193.04+10509.86-11730.14+3552.37</f>
        <v>55620.320000000007</v>
      </c>
      <c r="J393" s="27">
        <f>42+6+1+1+1+1</f>
        <v>52</v>
      </c>
      <c r="K393" s="29">
        <f>'KY post'!P82</f>
        <v>33600</v>
      </c>
      <c r="L393" s="41">
        <v>1922</v>
      </c>
      <c r="N393" s="27" t="s">
        <v>2576</v>
      </c>
      <c r="O393" s="27" t="str">
        <f>'KY post'!T82&amp;"; "&amp;'KY post'!W82</f>
        <v>https://babel.hathitrust.org/cgi/pt?id=njp.32101060099841;view=1up;seq=180; https://babel.hathitrust.org/cgi/pt?id=njp.32101060099841;view=1up;seq=150</v>
      </c>
      <c r="P393" s="27" t="s">
        <v>2577</v>
      </c>
      <c r="Q393" s="27" t="str">
        <f>'KY post'!V82&amp;"; "&amp;'KY post'!W82</f>
        <v>https://babel.hathitrust.org/cgi/pt?id=njp.32101060099841;view=1up;seq=242; https://babel.hathitrust.org/cgi/pt?id=njp.32101060099841;view=1up;seq=150</v>
      </c>
      <c r="R393" s="27" t="s">
        <v>2579</v>
      </c>
      <c r="S393" s="27" t="s">
        <v>2578</v>
      </c>
      <c r="T393" s="27" t="s">
        <v>2577</v>
      </c>
      <c r="U393" s="27" t="s">
        <v>2602</v>
      </c>
    </row>
    <row r="394" spans="1:21" x14ac:dyDescent="0.25">
      <c r="A394" s="27" t="s">
        <v>963</v>
      </c>
      <c r="B394" s="27" t="str">
        <f t="shared" si="20"/>
        <v>Kentucky</v>
      </c>
      <c r="C394" s="27" t="str">
        <f t="shared" si="21"/>
        <v>Meade</v>
      </c>
      <c r="D394" s="96">
        <f>1706+73</f>
        <v>1779</v>
      </c>
      <c r="E394" s="41">
        <f>68+2+0+3+2</f>
        <v>75</v>
      </c>
      <c r="F394" s="7">
        <f>'KY post'!G83</f>
        <v>140</v>
      </c>
      <c r="G394" s="41">
        <f>2222+123+69+71+54</f>
        <v>2539</v>
      </c>
      <c r="H394" s="115">
        <f>'KY post'!K83</f>
        <v>11.503714285714286</v>
      </c>
      <c r="I394" s="2">
        <f>66250.91+3638.14</f>
        <v>69889.05</v>
      </c>
      <c r="J394" s="27">
        <f>56+5+1</f>
        <v>62</v>
      </c>
      <c r="K394" s="29">
        <f>'KY post'!P83</f>
        <v>61150</v>
      </c>
      <c r="L394" s="41">
        <v>1922</v>
      </c>
      <c r="N394" s="27" t="s">
        <v>2576</v>
      </c>
      <c r="O394" s="27" t="str">
        <f>'KY post'!T83&amp;"; "&amp;'KY post'!W83</f>
        <v>https://babel.hathitrust.org/cgi/pt?id=njp.32101060099841;view=1up;seq=180; https://babel.hathitrust.org/cgi/pt?id=njp.32101060099841;view=1up;seq=150</v>
      </c>
      <c r="P394" s="27" t="s">
        <v>2577</v>
      </c>
      <c r="Q394" s="27" t="str">
        <f>'KY post'!V83&amp;"; "&amp;'KY post'!W83</f>
        <v>https://babel.hathitrust.org/cgi/pt?id=njp.32101060099841;view=1up;seq=242; https://babel.hathitrust.org/cgi/pt?id=njp.32101060099841;view=1up;seq=150</v>
      </c>
      <c r="R394" s="27" t="s">
        <v>2579</v>
      </c>
      <c r="S394" s="27" t="s">
        <v>2578</v>
      </c>
      <c r="T394" s="27" t="s">
        <v>2577</v>
      </c>
      <c r="U394" s="27" t="s">
        <v>2602</v>
      </c>
    </row>
    <row r="395" spans="1:21" x14ac:dyDescent="0.25">
      <c r="A395" s="27" t="s">
        <v>964</v>
      </c>
      <c r="B395" s="27" t="str">
        <f t="shared" si="20"/>
        <v>Kentucky</v>
      </c>
      <c r="C395" s="27" t="str">
        <f t="shared" si="21"/>
        <v>Menifee</v>
      </c>
      <c r="D395" s="96">
        <f>1047+16+131</f>
        <v>1194</v>
      </c>
      <c r="E395" s="41">
        <f>41+8+0</f>
        <v>49</v>
      </c>
      <c r="F395" s="7">
        <f>'KY post'!G84</f>
        <v>160</v>
      </c>
      <c r="G395" s="41">
        <f>1931+18+263</f>
        <v>2212</v>
      </c>
      <c r="H395" s="115">
        <f>'KY post'!K84</f>
        <v>44.140943877551024</v>
      </c>
      <c r="I395" s="2">
        <f>23680.41+1878.7</f>
        <v>25559.11</v>
      </c>
      <c r="J395" s="27">
        <f>41+1</f>
        <v>42</v>
      </c>
      <c r="K395" s="29">
        <f>'KY post'!P84</f>
        <v>55000</v>
      </c>
      <c r="L395" s="41">
        <v>1922</v>
      </c>
      <c r="N395" s="27" t="s">
        <v>2576</v>
      </c>
      <c r="O395" s="27" t="str">
        <f>'KY post'!T84&amp;"; "&amp;'KY post'!W84</f>
        <v>https://babel.hathitrust.org/cgi/pt?id=njp.32101060099841;view=1up;seq=180; https://babel.hathitrust.org/cgi/pt?id=njp.32101060099841;view=1up;seq=150</v>
      </c>
      <c r="P395" s="27" t="s">
        <v>2577</v>
      </c>
      <c r="Q395" s="27" t="str">
        <f>'KY post'!V84&amp;"; "&amp;'KY post'!W84</f>
        <v>https://babel.hathitrust.org/cgi/pt?id=njp.32101060099841;view=1up;seq=242; https://babel.hathitrust.org/cgi/pt?id=njp.32101060099841;view=1up;seq=150</v>
      </c>
      <c r="R395" s="27" t="s">
        <v>2579</v>
      </c>
      <c r="S395" s="27" t="s">
        <v>2578</v>
      </c>
      <c r="T395" s="27" t="s">
        <v>2577</v>
      </c>
      <c r="U395" s="27" t="s">
        <v>2602</v>
      </c>
    </row>
    <row r="396" spans="1:21" x14ac:dyDescent="0.25">
      <c r="A396" s="27" t="s">
        <v>965</v>
      </c>
      <c r="B396" s="27" t="str">
        <f t="shared" si="20"/>
        <v>Kentucky</v>
      </c>
      <c r="C396" s="27" t="str">
        <f t="shared" si="21"/>
        <v>Mercer</v>
      </c>
      <c r="D396" s="96">
        <f>1473+144+585+144+240+121</f>
        <v>2707</v>
      </c>
      <c r="E396" s="41">
        <f>51+0+5+2+0+0+2+6+2</f>
        <v>68</v>
      </c>
      <c r="F396" s="7">
        <f>'KY post'!G85</f>
        <v>160</v>
      </c>
      <c r="G396" s="41">
        <f>2087+175+533+220+220+82+41+218+37</f>
        <v>3613</v>
      </c>
      <c r="H396" s="115">
        <f>'KY post'!K85</f>
        <v>114.88755514705883</v>
      </c>
      <c r="I396" s="2">
        <f>46586.55+55587.69+12937.92+3246.62</f>
        <v>118358.78</v>
      </c>
      <c r="J396" s="27">
        <f>41+6+2+1+1</f>
        <v>51</v>
      </c>
      <c r="K396" s="29">
        <f>'KY post'!P85</f>
        <v>77350</v>
      </c>
      <c r="L396" s="41">
        <v>1922</v>
      </c>
      <c r="N396" s="27" t="s">
        <v>2576</v>
      </c>
      <c r="O396" s="27" t="str">
        <f>'KY post'!T85&amp;"; "&amp;'KY post'!W85</f>
        <v>https://babel.hathitrust.org/cgi/pt?id=njp.32101060099841;view=1up;seq=180; https://babel.hathitrust.org/cgi/pt?id=njp.32101060099841;view=1up;seq=150</v>
      </c>
      <c r="P396" s="27" t="s">
        <v>2577</v>
      </c>
      <c r="Q396" s="27" t="str">
        <f>'KY post'!V85&amp;"; "&amp;'KY post'!W85</f>
        <v>https://babel.hathitrust.org/cgi/pt?id=njp.32101060099841;view=1up;seq=242; https://babel.hathitrust.org/cgi/pt?id=njp.32101060099841;view=1up;seq=150</v>
      </c>
      <c r="R396" s="27" t="s">
        <v>2579</v>
      </c>
      <c r="S396" s="27" t="s">
        <v>2578</v>
      </c>
      <c r="T396" s="27" t="s">
        <v>2577</v>
      </c>
      <c r="U396" s="27" t="s">
        <v>2602</v>
      </c>
    </row>
    <row r="397" spans="1:21" x14ac:dyDescent="0.25">
      <c r="A397" s="27" t="s">
        <v>1749</v>
      </c>
      <c r="B397" s="27" t="str">
        <f t="shared" si="20"/>
        <v>Kentucky</v>
      </c>
      <c r="C397" s="27" t="str">
        <f t="shared" si="21"/>
        <v>Metcalfe</v>
      </c>
      <c r="D397" s="96">
        <f>1304+100+56</f>
        <v>1460</v>
      </c>
      <c r="E397" s="41">
        <f>62+2+1+0+1+2+1+1</f>
        <v>70</v>
      </c>
      <c r="F397" s="7">
        <f>'KY post'!G86</f>
        <v>150</v>
      </c>
      <c r="G397" s="41">
        <f>2330+212+99+72+16+64+9+3+13</f>
        <v>2818</v>
      </c>
      <c r="H397" s="115">
        <f>'KY post'!K86</f>
        <v>55.476761904761908</v>
      </c>
      <c r="I397" s="2">
        <f>235284.36+2179.02+1316.43</f>
        <v>238779.80999999997</v>
      </c>
      <c r="J397" s="27">
        <f>60+1+1+1</f>
        <v>63</v>
      </c>
      <c r="K397" s="29">
        <f>'KY post'!P86</f>
        <v>39400</v>
      </c>
      <c r="L397" s="41">
        <v>1922</v>
      </c>
      <c r="N397" s="27" t="s">
        <v>2576</v>
      </c>
      <c r="O397" s="27" t="str">
        <f>'KY post'!T86&amp;"; "&amp;'KY post'!W86</f>
        <v>https://babel.hathitrust.org/cgi/pt?id=njp.32101060099841;view=1up;seq=180; https://babel.hathitrust.org/cgi/pt?id=njp.32101060099841;view=1up;seq=150</v>
      </c>
      <c r="P397" s="27" t="s">
        <v>2577</v>
      </c>
      <c r="Q397" s="27" t="str">
        <f>'KY post'!V86&amp;"; "&amp;'KY post'!W86</f>
        <v>https://babel.hathitrust.org/cgi/pt?id=njp.32101060099841;view=1up;seq=242; https://babel.hathitrust.org/cgi/pt?id=njp.32101060099841;view=1up;seq=150</v>
      </c>
      <c r="R397" s="27" t="s">
        <v>2579</v>
      </c>
      <c r="S397" s="27" t="s">
        <v>2578</v>
      </c>
      <c r="T397" s="27" t="s">
        <v>2577</v>
      </c>
      <c r="U397" s="27" t="s">
        <v>2602</v>
      </c>
    </row>
    <row r="398" spans="1:21" x14ac:dyDescent="0.25">
      <c r="A398" s="27" t="s">
        <v>967</v>
      </c>
      <c r="B398" s="27" t="str">
        <f t="shared" si="20"/>
        <v>Kentucky</v>
      </c>
      <c r="C398" s="27" t="str">
        <f t="shared" si="21"/>
        <v>Monroe</v>
      </c>
      <c r="D398" s="96">
        <f>1760+108+96+148+91+290</f>
        <v>2493</v>
      </c>
      <c r="E398" s="41">
        <f>86+2+2+2+4+0+1+2+1+2</f>
        <v>102</v>
      </c>
      <c r="F398" s="7">
        <f>'KY post'!G87</f>
        <v>160</v>
      </c>
      <c r="G398" s="41">
        <f>3258+220+118+127+98+234+16+43+12+76</f>
        <v>4202</v>
      </c>
      <c r="H398" s="115">
        <f>'KY post'!K87</f>
        <v>54.317806372549022</v>
      </c>
      <c r="I398" s="2">
        <f>45920.15+2379.84+3278.98+1979.42+5812.39</f>
        <v>59370.780000000006</v>
      </c>
      <c r="J398" s="27">
        <f>71+6+1+1+1+1</f>
        <v>81</v>
      </c>
      <c r="K398" s="29">
        <f>'KY post'!P87</f>
        <v>57200</v>
      </c>
      <c r="L398" s="41">
        <v>1922</v>
      </c>
      <c r="N398" s="27" t="s">
        <v>2576</v>
      </c>
      <c r="O398" s="27" t="str">
        <f>'KY post'!T87&amp;"; "&amp;'KY post'!W87</f>
        <v>https://babel.hathitrust.org/cgi/pt?id=njp.32101060099841;view=1up;seq=180; https://babel.hathitrust.org/cgi/pt?id=njp.32101060099841;view=1up;seq=150</v>
      </c>
      <c r="P398" s="27" t="s">
        <v>2577</v>
      </c>
      <c r="Q398" s="27" t="str">
        <f>'KY post'!V87&amp;"; "&amp;'KY post'!W87</f>
        <v>https://babel.hathitrust.org/cgi/pt?id=njp.32101060099841;view=1up;seq=242; https://babel.hathitrust.org/cgi/pt?id=njp.32101060099841;view=1up;seq=150</v>
      </c>
      <c r="R398" s="27" t="s">
        <v>2579</v>
      </c>
      <c r="S398" s="27" t="s">
        <v>2578</v>
      </c>
      <c r="T398" s="27" t="s">
        <v>2577</v>
      </c>
      <c r="U398" s="27" t="s">
        <v>2602</v>
      </c>
    </row>
    <row r="399" spans="1:21" x14ac:dyDescent="0.25">
      <c r="A399" s="27" t="s">
        <v>968</v>
      </c>
      <c r="B399" s="27" t="str">
        <f t="shared" si="20"/>
        <v>Kentucky</v>
      </c>
      <c r="C399" s="27" t="str">
        <f t="shared" si="21"/>
        <v>Montgomery</v>
      </c>
      <c r="D399" s="96">
        <f>1163+219+502+138</f>
        <v>2022</v>
      </c>
      <c r="E399" s="41">
        <f>4+18+0+0+1+5+6+3</f>
        <v>37</v>
      </c>
      <c r="F399" s="7">
        <f>'KY post'!G88</f>
        <v>170</v>
      </c>
      <c r="G399" s="41">
        <f>1714+270+529+192+20+68+160+9</f>
        <v>2962</v>
      </c>
      <c r="H399" s="115">
        <f>'KY post'!K88</f>
        <v>161.42273449920509</v>
      </c>
      <c r="I399" s="2">
        <f>53348.72+30017.97</f>
        <v>83366.69</v>
      </c>
      <c r="J399" s="27">
        <f>34+3+2</f>
        <v>39</v>
      </c>
      <c r="K399" s="29">
        <f>'KY post'!P88</f>
        <v>44700</v>
      </c>
      <c r="L399" s="41">
        <v>1922</v>
      </c>
      <c r="N399" s="27" t="s">
        <v>2576</v>
      </c>
      <c r="O399" s="27" t="str">
        <f>'KY post'!T88&amp;"; "&amp;'KY post'!W88</f>
        <v>https://babel.hathitrust.org/cgi/pt?id=njp.32101060099841;view=1up;seq=180; https://babel.hathitrust.org/cgi/pt?id=njp.32101060099841;view=1up;seq=150</v>
      </c>
      <c r="P399" s="27" t="s">
        <v>2577</v>
      </c>
      <c r="Q399" s="27" t="str">
        <f>'KY post'!V88&amp;"; "&amp;'KY post'!W88</f>
        <v>https://babel.hathitrust.org/cgi/pt?id=njp.32101060099841;view=1up;seq=242; https://babel.hathitrust.org/cgi/pt?id=njp.32101060099841;view=1up;seq=150</v>
      </c>
      <c r="R399" s="27" t="s">
        <v>2579</v>
      </c>
      <c r="S399" s="27" t="s">
        <v>2578</v>
      </c>
      <c r="T399" s="27" t="s">
        <v>2577</v>
      </c>
      <c r="U399" s="27" t="s">
        <v>2602</v>
      </c>
    </row>
    <row r="400" spans="1:21" x14ac:dyDescent="0.25">
      <c r="A400" s="27" t="s">
        <v>969</v>
      </c>
      <c r="B400" s="27" t="str">
        <f t="shared" si="20"/>
        <v>Kentucky</v>
      </c>
      <c r="C400" s="27" t="str">
        <f t="shared" si="21"/>
        <v>Morgan</v>
      </c>
      <c r="D400" s="96">
        <f>2364+171</f>
        <v>2535</v>
      </c>
      <c r="E400" s="41">
        <f>109+2+4</f>
        <v>115</v>
      </c>
      <c r="F400" s="7">
        <f>'KY post'!G89</f>
        <v>150</v>
      </c>
      <c r="G400" s="41">
        <f>5481+228+22+80</f>
        <v>5811</v>
      </c>
      <c r="H400" s="115">
        <f>'KY post'!K89</f>
        <v>50.123350724637682</v>
      </c>
      <c r="I400" s="2">
        <f>62798.05+3514.27</f>
        <v>66312.320000000007</v>
      </c>
      <c r="J400" s="27">
        <f>81+9+1</f>
        <v>91</v>
      </c>
      <c r="K400" s="29">
        <f>'KY post'!P89</f>
        <v>58600</v>
      </c>
      <c r="L400" s="41">
        <v>1922</v>
      </c>
      <c r="N400" s="27" t="s">
        <v>2576</v>
      </c>
      <c r="O400" s="27" t="str">
        <f>'KY post'!T89&amp;"; "&amp;'KY post'!W89</f>
        <v>https://babel.hathitrust.org/cgi/pt?id=njp.32101060099841;view=1up;seq=180; https://babel.hathitrust.org/cgi/pt?id=njp.32101060099841;view=1up;seq=150</v>
      </c>
      <c r="P400" s="27" t="s">
        <v>2577</v>
      </c>
      <c r="Q400" s="27" t="str">
        <f>'KY post'!V89&amp;"; "&amp;'KY post'!W89</f>
        <v>https://babel.hathitrust.org/cgi/pt?id=njp.32101060099841;view=1up;seq=242; https://babel.hathitrust.org/cgi/pt?id=njp.32101060099841;view=1up;seq=150</v>
      </c>
      <c r="R400" s="27" t="s">
        <v>2579</v>
      </c>
      <c r="S400" s="27" t="s">
        <v>2578</v>
      </c>
      <c r="T400" s="27" t="s">
        <v>2577</v>
      </c>
      <c r="U400" s="27" t="s">
        <v>2602</v>
      </c>
    </row>
    <row r="401" spans="1:21" x14ac:dyDescent="0.25">
      <c r="A401" s="27" t="s">
        <v>970</v>
      </c>
      <c r="B401" s="27" t="str">
        <f t="shared" si="20"/>
        <v>Kentucky</v>
      </c>
      <c r="C401" s="27" t="str">
        <f t="shared" si="21"/>
        <v>Muhlenberg</v>
      </c>
      <c r="D401" s="96">
        <f>4521+843+833+70+309+278+483+54</f>
        <v>7391</v>
      </c>
      <c r="E401" s="41">
        <f>131+12+4+4+8+2+0+0+2+2+8+2+2+7+3+1+1</f>
        <v>189</v>
      </c>
      <c r="F401" s="7">
        <f>'KY post'!G90</f>
        <v>176</v>
      </c>
      <c r="G401" s="41">
        <f>6416+893+847+82+383+343+416+102+24+45+175+32+43+209+47+11+15</f>
        <v>10083</v>
      </c>
      <c r="H401" s="115">
        <f>'KY post'!K90</f>
        <v>67.683766233766235</v>
      </c>
      <c r="I401" s="2">
        <f>101528.55+52654.82+5448.36+6422.31+17923.48+2879.8</f>
        <v>186857.31999999998</v>
      </c>
      <c r="J401" s="27">
        <f>68+21+2+1+1+1+1</f>
        <v>95</v>
      </c>
      <c r="K401" s="29">
        <f>'KY post'!P90</f>
        <v>62800</v>
      </c>
      <c r="L401" s="41">
        <v>1922</v>
      </c>
      <c r="N401" s="27" t="s">
        <v>2576</v>
      </c>
      <c r="O401" s="27" t="str">
        <f>'KY post'!T90&amp;"; "&amp;'KY post'!W90</f>
        <v>https://babel.hathitrust.org/cgi/pt?id=njp.32101060099841;view=1up;seq=180; https://babel.hathitrust.org/cgi/pt?id=njp.32101060099841;view=1up;seq=150</v>
      </c>
      <c r="P401" s="27" t="s">
        <v>2577</v>
      </c>
      <c r="Q401" s="27" t="str">
        <f>'KY post'!V90&amp;"; "&amp;'KY post'!W90</f>
        <v>https://babel.hathitrust.org/cgi/pt?id=njp.32101060099841;view=1up;seq=242; https://babel.hathitrust.org/cgi/pt?id=njp.32101060099841;view=1up;seq=150</v>
      </c>
      <c r="R401" s="27" t="s">
        <v>2579</v>
      </c>
      <c r="S401" s="27" t="s">
        <v>2578</v>
      </c>
      <c r="T401" s="27" t="s">
        <v>2577</v>
      </c>
      <c r="U401" s="27" t="s">
        <v>2602</v>
      </c>
    </row>
    <row r="402" spans="1:21" x14ac:dyDescent="0.25">
      <c r="A402" s="27" t="s">
        <v>971</v>
      </c>
      <c r="B402" s="27" t="str">
        <f t="shared" si="20"/>
        <v>Kentucky</v>
      </c>
      <c r="C402" s="27" t="str">
        <f t="shared" si="21"/>
        <v>Nelson</v>
      </c>
      <c r="D402" s="96">
        <f>1638+440+277+177+157</f>
        <v>2689</v>
      </c>
      <c r="E402" s="41">
        <f>82+7+4+2+5+3+3+2+2</f>
        <v>110</v>
      </c>
      <c r="F402" s="7">
        <f>'KY post'!G91</f>
        <v>178</v>
      </c>
      <c r="G402" s="41">
        <f>2382+621+224+173+166+87+66+29+43</f>
        <v>3791</v>
      </c>
      <c r="H402" s="115">
        <f>'KY post'!K91</f>
        <v>73.863003064351375</v>
      </c>
      <c r="I402" s="2">
        <f>59377.38+16159.37+9663.99+6084.45+14408.89</f>
        <v>105694.08</v>
      </c>
      <c r="J402" s="27">
        <f>56+12+1+1+1+1</f>
        <v>72</v>
      </c>
      <c r="K402" s="29">
        <f>'KY post'!P91</f>
        <v>116588</v>
      </c>
      <c r="L402" s="41">
        <v>1922</v>
      </c>
      <c r="N402" s="27" t="s">
        <v>2576</v>
      </c>
      <c r="O402" s="27" t="str">
        <f>'KY post'!T91&amp;"; "&amp;'KY post'!W91</f>
        <v>https://babel.hathitrust.org/cgi/pt?id=njp.32101060099841;view=1up;seq=180; https://babel.hathitrust.org/cgi/pt?id=njp.32101060099841;view=1up;seq=150</v>
      </c>
      <c r="P402" s="27" t="s">
        <v>2577</v>
      </c>
      <c r="Q402" s="27" t="str">
        <f>'KY post'!V91&amp;"; "&amp;'KY post'!W91</f>
        <v>https://babel.hathitrust.org/cgi/pt?id=njp.32101060099841;view=1up;seq=242; https://babel.hathitrust.org/cgi/pt?id=njp.32101060099841;view=1up;seq=150</v>
      </c>
      <c r="R402" s="27" t="s">
        <v>2579</v>
      </c>
      <c r="S402" s="27" t="s">
        <v>2578</v>
      </c>
      <c r="T402" s="27" t="s">
        <v>2577</v>
      </c>
      <c r="U402" s="27" t="s">
        <v>2602</v>
      </c>
    </row>
    <row r="403" spans="1:21" x14ac:dyDescent="0.25">
      <c r="A403" s="27" t="s">
        <v>972</v>
      </c>
      <c r="B403" s="27" t="str">
        <f t="shared" si="20"/>
        <v>Kentucky</v>
      </c>
      <c r="C403" s="27" t="str">
        <f t="shared" si="21"/>
        <v>Nicholas</v>
      </c>
      <c r="D403" s="96">
        <f>1337+117+375</f>
        <v>1829</v>
      </c>
      <c r="E403" s="41">
        <f>49+9+0+1+4+1+2+1+1</f>
        <v>68</v>
      </c>
      <c r="F403" s="7">
        <f>'KY post'!G92</f>
        <v>160</v>
      </c>
      <c r="G403" s="41">
        <f>1604+123+352+9+111+7+17+12+9</f>
        <v>2244</v>
      </c>
      <c r="H403" s="115">
        <f>'KY post'!K92</f>
        <v>76.37363970588234</v>
      </c>
      <c r="I403" s="2">
        <f>48748.76+21652.53</f>
        <v>70401.290000000008</v>
      </c>
      <c r="J403" s="27">
        <f>36+6+1</f>
        <v>43</v>
      </c>
      <c r="K403" s="29">
        <f>'KY post'!P92</f>
        <v>111330</v>
      </c>
      <c r="L403" s="41">
        <v>1922</v>
      </c>
      <c r="N403" s="27" t="s">
        <v>2576</v>
      </c>
      <c r="O403" s="27" t="str">
        <f>'KY post'!T92&amp;"; "&amp;'KY post'!W92</f>
        <v>https://babel.hathitrust.org/cgi/pt?id=njp.32101060099841;view=1up;seq=180; https://babel.hathitrust.org/cgi/pt?id=njp.32101060099841;view=1up;seq=150</v>
      </c>
      <c r="P403" s="27" t="s">
        <v>2577</v>
      </c>
      <c r="Q403" s="27" t="str">
        <f>'KY post'!V92&amp;"; "&amp;'KY post'!W92</f>
        <v>https://babel.hathitrust.org/cgi/pt?id=njp.32101060099841;view=1up;seq=242; https://babel.hathitrust.org/cgi/pt?id=njp.32101060099841;view=1up;seq=150</v>
      </c>
      <c r="R403" s="27" t="s">
        <v>2579</v>
      </c>
      <c r="S403" s="27" t="s">
        <v>2578</v>
      </c>
      <c r="T403" s="27" t="s">
        <v>2577</v>
      </c>
      <c r="U403" s="27" t="s">
        <v>2602</v>
      </c>
    </row>
    <row r="404" spans="1:21" x14ac:dyDescent="0.25">
      <c r="A404" s="27" t="s">
        <v>973</v>
      </c>
      <c r="B404" s="27" t="str">
        <f t="shared" si="20"/>
        <v>Kentucky</v>
      </c>
      <c r="C404" s="27" t="str">
        <f t="shared" si="21"/>
        <v>Ohio</v>
      </c>
      <c r="D404" s="96">
        <f>3548+177+275+125+352+202+318+154</f>
        <v>5151</v>
      </c>
      <c r="E404" s="41">
        <f>126+4+3+6+4+4+4+0+4+1+2+1+3+5+1</f>
        <v>168</v>
      </c>
      <c r="F404" s="7">
        <f>'KY post'!G93</f>
        <v>178</v>
      </c>
      <c r="G404" s="41">
        <f>5220+268+205+155+408+161+212+269+106+23+47+23+86+140+21</f>
        <v>7344</v>
      </c>
      <c r="H404" s="115">
        <f>'KY post'!K93</f>
        <v>71.196956928838929</v>
      </c>
      <c r="I404" s="2">
        <f>102833.91+7930.68+3248.99+8907.35+8465.32+10801.18+3851.48</f>
        <v>146038.91</v>
      </c>
      <c r="J404" s="27">
        <f>115+7+1+1+1+1+1+1</f>
        <v>128</v>
      </c>
      <c r="K404" s="29">
        <f>'KY post'!P93</f>
        <v>143800</v>
      </c>
      <c r="L404" s="41">
        <v>1922</v>
      </c>
      <c r="N404" s="27" t="s">
        <v>2576</v>
      </c>
      <c r="O404" s="27" t="str">
        <f>'KY post'!T93&amp;"; "&amp;'KY post'!W93</f>
        <v>https://babel.hathitrust.org/cgi/pt?id=njp.32101060099841;view=1up;seq=180; https://babel.hathitrust.org/cgi/pt?id=njp.32101060099841;view=1up;seq=150</v>
      </c>
      <c r="P404" s="27" t="s">
        <v>2577</v>
      </c>
      <c r="Q404" s="27" t="str">
        <f>'KY post'!V93&amp;"; "&amp;'KY post'!W93</f>
        <v>https://babel.hathitrust.org/cgi/pt?id=njp.32101060099841;view=1up;seq=242; https://babel.hathitrust.org/cgi/pt?id=njp.32101060099841;view=1up;seq=150</v>
      </c>
      <c r="R404" s="27" t="s">
        <v>2579</v>
      </c>
      <c r="S404" s="27" t="s">
        <v>2578</v>
      </c>
      <c r="T404" s="27" t="s">
        <v>2577</v>
      </c>
      <c r="U404" s="27" t="s">
        <v>2602</v>
      </c>
    </row>
    <row r="405" spans="1:21" x14ac:dyDescent="0.25">
      <c r="A405" s="27" t="s">
        <v>974</v>
      </c>
      <c r="B405" s="27" t="str">
        <f t="shared" si="20"/>
        <v>Kentucky</v>
      </c>
      <c r="C405" s="27" t="str">
        <f t="shared" si="21"/>
        <v>Oldham</v>
      </c>
      <c r="D405" s="96">
        <f>888+135+315</f>
        <v>1338</v>
      </c>
      <c r="E405" s="41">
        <f>43+7+3+2+2+6+1</f>
        <v>64</v>
      </c>
      <c r="F405" s="7">
        <f>'KY post'!G94</f>
        <v>170</v>
      </c>
      <c r="G405" s="41">
        <f>1014+220+266+18+29+154+4</f>
        <v>1705</v>
      </c>
      <c r="H405" s="115">
        <f>'KY post'!K94</f>
        <v>78.648308823529419</v>
      </c>
      <c r="I405" s="2">
        <f>56436.81+17403.78+3469.31</f>
        <v>77309.899999999994</v>
      </c>
      <c r="J405" s="27">
        <f>18+8+1+1</f>
        <v>28</v>
      </c>
      <c r="K405" s="29">
        <f>'KY post'!P94</f>
        <v>80350</v>
      </c>
      <c r="L405" s="41">
        <v>1922</v>
      </c>
      <c r="N405" s="27" t="s">
        <v>2576</v>
      </c>
      <c r="O405" s="27" t="str">
        <f>'KY post'!T94&amp;"; "&amp;'KY post'!W94</f>
        <v>https://babel.hathitrust.org/cgi/pt?id=njp.32101060099841;view=1up;seq=180; https://babel.hathitrust.org/cgi/pt?id=njp.32101060099841;view=1up;seq=150</v>
      </c>
      <c r="P405" s="27" t="s">
        <v>2577</v>
      </c>
      <c r="Q405" s="27" t="str">
        <f>'KY post'!V94&amp;"; "&amp;'KY post'!W94</f>
        <v>https://babel.hathitrust.org/cgi/pt?id=njp.32101060099841;view=1up;seq=242; https://babel.hathitrust.org/cgi/pt?id=njp.32101060099841;view=1up;seq=150</v>
      </c>
      <c r="R405" s="27" t="s">
        <v>2579</v>
      </c>
      <c r="S405" s="27" t="s">
        <v>2578</v>
      </c>
      <c r="T405" s="27" t="s">
        <v>2577</v>
      </c>
      <c r="U405" s="27" t="s">
        <v>2602</v>
      </c>
    </row>
    <row r="406" spans="1:21" x14ac:dyDescent="0.25">
      <c r="A406" s="27" t="s">
        <v>975</v>
      </c>
      <c r="B406" s="27" t="str">
        <f t="shared" si="20"/>
        <v>Kentucky</v>
      </c>
      <c r="C406" s="27" t="str">
        <f t="shared" si="21"/>
        <v>Owen</v>
      </c>
      <c r="D406" s="96">
        <f>1355+83+43+61+295+81+84</f>
        <v>2002</v>
      </c>
      <c r="E406" s="41">
        <f>68+1+2+5+2+2+0+1+2+3+1</f>
        <v>87</v>
      </c>
      <c r="F406" s="7">
        <f>'KY post'!G95</f>
        <v>160</v>
      </c>
      <c r="G406" s="41">
        <f>1922+168+70+68+238+93+84+5+20+106+13+23</f>
        <v>2810</v>
      </c>
      <c r="H406" s="115">
        <f>'KY post'!K95</f>
        <v>62.492816091954026</v>
      </c>
      <c r="I406" s="2">
        <f>37246.51+1210.8+4348.34+8010.43+3218.75+3669.08</f>
        <v>57703.910000000011</v>
      </c>
      <c r="J406" s="27">
        <f>66+1+1+1+1+1+1</f>
        <v>72</v>
      </c>
      <c r="K406" s="29">
        <f>'KY post'!P95</f>
        <v>98470</v>
      </c>
      <c r="L406" s="41">
        <v>1922</v>
      </c>
      <c r="N406" s="27" t="s">
        <v>2576</v>
      </c>
      <c r="O406" s="27" t="str">
        <f>'KY post'!T95&amp;"; "&amp;'KY post'!W95</f>
        <v>https://babel.hathitrust.org/cgi/pt?id=njp.32101060099841;view=1up;seq=180; https://babel.hathitrust.org/cgi/pt?id=njp.32101060099841;view=1up;seq=150</v>
      </c>
      <c r="P406" s="27" t="s">
        <v>2577</v>
      </c>
      <c r="Q406" s="27" t="str">
        <f>'KY post'!V95&amp;"; "&amp;'KY post'!W95</f>
        <v>https://babel.hathitrust.org/cgi/pt?id=njp.32101060099841;view=1up;seq=242; https://babel.hathitrust.org/cgi/pt?id=njp.32101060099841;view=1up;seq=150</v>
      </c>
      <c r="R406" s="27" t="s">
        <v>2579</v>
      </c>
      <c r="S406" s="27" t="s">
        <v>2578</v>
      </c>
      <c r="T406" s="27" t="s">
        <v>2577</v>
      </c>
      <c r="U406" s="27" t="s">
        <v>2602</v>
      </c>
    </row>
    <row r="407" spans="1:21" x14ac:dyDescent="0.25">
      <c r="A407" s="27" t="s">
        <v>976</v>
      </c>
      <c r="B407" s="27" t="str">
        <f t="shared" si="20"/>
        <v>Kentucky</v>
      </c>
      <c r="C407" s="27" t="str">
        <f t="shared" si="21"/>
        <v>Owsley</v>
      </c>
      <c r="D407" s="96">
        <f>1349+150+93+50</f>
        <v>1642</v>
      </c>
      <c r="E407" s="41">
        <f>40+2+2+2+2+0+1</f>
        <v>49</v>
      </c>
      <c r="F407" s="7">
        <f>'KY post'!G96</f>
        <v>160</v>
      </c>
      <c r="G407" s="41">
        <f>1939+18+117+122+97+97+23</f>
        <v>2413</v>
      </c>
      <c r="H407" s="115">
        <f>'KY post'!K96</f>
        <v>52.483928571428571</v>
      </c>
      <c r="I407" s="2">
        <f>22050.2+7317.42+1355.88+829.27+1111.23</f>
        <v>32664.000000000004</v>
      </c>
      <c r="J407" s="27">
        <f>36+2+1+1+1+1</f>
        <v>42</v>
      </c>
      <c r="K407" s="29">
        <f>'KY post'!P96</f>
        <v>29700</v>
      </c>
      <c r="L407" s="41">
        <v>1922</v>
      </c>
      <c r="N407" s="27" t="s">
        <v>2576</v>
      </c>
      <c r="O407" s="27" t="str">
        <f>'KY post'!T96&amp;"; "&amp;'KY post'!W96</f>
        <v>https://babel.hathitrust.org/cgi/pt?id=njp.32101060099841;view=1up;seq=180; https://babel.hathitrust.org/cgi/pt?id=njp.32101060099841;view=1up;seq=150</v>
      </c>
      <c r="P407" s="27" t="s">
        <v>2577</v>
      </c>
      <c r="Q407" s="27" t="str">
        <f>'KY post'!V96&amp;"; "&amp;'KY post'!W96</f>
        <v>https://babel.hathitrust.org/cgi/pt?id=njp.32101060099841;view=1up;seq=242; https://babel.hathitrust.org/cgi/pt?id=njp.32101060099841;view=1up;seq=150</v>
      </c>
      <c r="R407" s="27" t="s">
        <v>2579</v>
      </c>
      <c r="S407" s="27" t="s">
        <v>2578</v>
      </c>
      <c r="T407" s="27" t="s">
        <v>2577</v>
      </c>
      <c r="U407" s="27" t="s">
        <v>2602</v>
      </c>
    </row>
    <row r="408" spans="1:21" x14ac:dyDescent="0.25">
      <c r="A408" s="27" t="s">
        <v>977</v>
      </c>
      <c r="B408" s="27" t="str">
        <f t="shared" si="20"/>
        <v>Kentucky</v>
      </c>
      <c r="C408" s="27" t="str">
        <f t="shared" si="21"/>
        <v>Pendleton</v>
      </c>
      <c r="D408" s="96">
        <f>1432+19+163+359+66</f>
        <v>2039</v>
      </c>
      <c r="E408" s="41">
        <f>56+4+2+7+2+0+0+2+2+4+1+1</f>
        <v>81</v>
      </c>
      <c r="F408" s="7">
        <f>'KY post'!G97</f>
        <v>166</v>
      </c>
      <c r="G408" s="41">
        <f>1736+25+144+63+314+61+18+59+24+113+11+9</f>
        <v>2577</v>
      </c>
      <c r="H408" s="115">
        <f>'KY post'!K97</f>
        <v>81.252714561951507</v>
      </c>
      <c r="I408" s="2">
        <f>41153.03+7062.7133237+26991.69+3406.51+1401.67</f>
        <v>80015.613323699989</v>
      </c>
      <c r="J408" s="27">
        <f>54+2+1+1+1+1</f>
        <v>60</v>
      </c>
      <c r="K408" s="29">
        <f>'KY post'!P97</f>
        <v>68100</v>
      </c>
      <c r="L408" s="41">
        <v>1922</v>
      </c>
      <c r="N408" s="27" t="s">
        <v>2576</v>
      </c>
      <c r="O408" s="27" t="str">
        <f>'KY post'!T97&amp;"; "&amp;'KY post'!W97</f>
        <v>https://babel.hathitrust.org/cgi/pt?id=njp.32101060099841;view=1up;seq=180; https://babel.hathitrust.org/cgi/pt?id=njp.32101060099841;view=1up;seq=150</v>
      </c>
      <c r="P408" s="27" t="s">
        <v>2577</v>
      </c>
      <c r="Q408" s="27" t="str">
        <f>'KY post'!V97&amp;"; "&amp;'KY post'!W97</f>
        <v>https://babel.hathitrust.org/cgi/pt?id=njp.32101060099841;view=1up;seq=242; https://babel.hathitrust.org/cgi/pt?id=njp.32101060099841;view=1up;seq=150</v>
      </c>
      <c r="R408" s="27" t="s">
        <v>2579</v>
      </c>
      <c r="S408" s="27" t="s">
        <v>2578</v>
      </c>
      <c r="T408" s="27" t="s">
        <v>2577</v>
      </c>
      <c r="U408" s="27" t="s">
        <v>2602</v>
      </c>
    </row>
    <row r="409" spans="1:21" x14ac:dyDescent="0.25">
      <c r="A409" s="27" t="s">
        <v>978</v>
      </c>
      <c r="B409" s="27" t="str">
        <f t="shared" si="20"/>
        <v>Kentucky</v>
      </c>
      <c r="C409" s="27" t="str">
        <f t="shared" si="21"/>
        <v>Perry</v>
      </c>
      <c r="D409" s="96">
        <f>4821+281+1019+71+99</f>
        <v>6291</v>
      </c>
      <c r="E409" s="41">
        <f>118+18+0+0+0+7</f>
        <v>143</v>
      </c>
      <c r="F409" s="7">
        <f>'KY post'!G98</f>
        <v>160</v>
      </c>
      <c r="G409" s="41">
        <f>7045+376+1158+86+110+104</f>
        <v>8879</v>
      </c>
      <c r="H409" s="115">
        <f>'KY post'!K98</f>
        <v>71.18440559440559</v>
      </c>
      <c r="I409" s="2">
        <f>80754.83+39321.76+2313.92</f>
        <v>122390.51</v>
      </c>
      <c r="J409" s="27">
        <f>65+24+2+1</f>
        <v>92</v>
      </c>
      <c r="K409" s="29">
        <f>'KY post'!P98</f>
        <v>72500</v>
      </c>
      <c r="L409" s="41">
        <v>1922</v>
      </c>
      <c r="N409" s="27" t="s">
        <v>2576</v>
      </c>
      <c r="O409" s="27" t="str">
        <f>'KY post'!T98&amp;"; "&amp;'KY post'!W98</f>
        <v>https://babel.hathitrust.org/cgi/pt?id=njp.32101060099841;view=1up;seq=180; https://babel.hathitrust.org/cgi/pt?id=njp.32101060099841;view=1up;seq=150</v>
      </c>
      <c r="P409" s="27" t="s">
        <v>2577</v>
      </c>
      <c r="Q409" s="27" t="str">
        <f>'KY post'!V98&amp;"; "&amp;'KY post'!W98</f>
        <v>https://babel.hathitrust.org/cgi/pt?id=njp.32101060099841;view=1up;seq=242; https://babel.hathitrust.org/cgi/pt?id=njp.32101060099841;view=1up;seq=150</v>
      </c>
      <c r="R409" s="27" t="s">
        <v>2579</v>
      </c>
      <c r="S409" s="27" t="s">
        <v>2578</v>
      </c>
      <c r="T409" s="27" t="s">
        <v>2577</v>
      </c>
      <c r="U409" s="27" t="s">
        <v>2602</v>
      </c>
    </row>
    <row r="410" spans="1:21" x14ac:dyDescent="0.25">
      <c r="A410" s="27" t="s">
        <v>979</v>
      </c>
      <c r="B410" s="27" t="str">
        <f t="shared" si="20"/>
        <v>Kentucky</v>
      </c>
      <c r="C410" s="27" t="str">
        <f t="shared" si="21"/>
        <v>Pike</v>
      </c>
      <c r="D410" s="96">
        <f>9740+164+446+317+166+172</f>
        <v>11005</v>
      </c>
      <c r="E410" s="41">
        <f>217+11+5+2+6+3+4+0+0+2+4</f>
        <v>254</v>
      </c>
      <c r="F410" s="7">
        <f>'KY post'!G99</f>
        <v>170</v>
      </c>
      <c r="G410" s="41">
        <f>12213+105+395+0+251+45+354+228+193+12+5+53</f>
        <v>13854</v>
      </c>
      <c r="H410" s="115">
        <f>'KY post'!K99</f>
        <v>66.919842519685034</v>
      </c>
      <c r="I410" s="2">
        <f>194690.88+30007.21+1960.62+2645.67+6970.35+4917.92+6286.71</f>
        <v>247479.36000000002</v>
      </c>
      <c r="J410" s="27">
        <f>171+22+1+1+1+1+1+1</f>
        <v>199</v>
      </c>
      <c r="K410" s="29">
        <f>'KY post'!P99</f>
        <v>201250</v>
      </c>
      <c r="L410" s="41">
        <v>1922</v>
      </c>
      <c r="N410" s="27" t="s">
        <v>2576</v>
      </c>
      <c r="O410" s="27" t="str">
        <f>'KY post'!T99&amp;"; "&amp;'KY post'!W99</f>
        <v>https://babel.hathitrust.org/cgi/pt?id=njp.32101060099841;view=1up;seq=180; https://babel.hathitrust.org/cgi/pt?id=njp.32101060099841;view=1up;seq=150</v>
      </c>
      <c r="P410" s="27" t="s">
        <v>2577</v>
      </c>
      <c r="Q410" s="27" t="str">
        <f>'KY post'!V99&amp;"; "&amp;'KY post'!W99</f>
        <v>https://babel.hathitrust.org/cgi/pt?id=njp.32101060099841;view=1up;seq=242; https://babel.hathitrust.org/cgi/pt?id=njp.32101060099841;view=1up;seq=150</v>
      </c>
      <c r="R410" s="27" t="s">
        <v>2579</v>
      </c>
      <c r="S410" s="27" t="s">
        <v>2578</v>
      </c>
      <c r="T410" s="27" t="s">
        <v>2577</v>
      </c>
      <c r="U410" s="27" t="s">
        <v>2602</v>
      </c>
    </row>
    <row r="411" spans="1:21" x14ac:dyDescent="0.25">
      <c r="A411" s="27" t="s">
        <v>980</v>
      </c>
      <c r="B411" s="27" t="str">
        <f t="shared" si="20"/>
        <v>Kentucky</v>
      </c>
      <c r="C411" s="27" t="str">
        <f t="shared" si="21"/>
        <v>Powell</v>
      </c>
      <c r="D411" s="96">
        <f>872+49+166+114</f>
        <v>1201</v>
      </c>
      <c r="E411" s="41">
        <f>33+3+1+0</f>
        <v>37</v>
      </c>
      <c r="F411" s="7">
        <f>'KY post'!G100</f>
        <v>160</v>
      </c>
      <c r="G411" s="41">
        <f>1582+70+169+107+18</f>
        <v>1946</v>
      </c>
      <c r="H411" s="115">
        <f>'KY post'!K100</f>
        <v>69.566689189189191</v>
      </c>
      <c r="I411" s="2">
        <f>21530.73+2923.7+11512.46</f>
        <v>35966.89</v>
      </c>
      <c r="J411" s="27">
        <f>29+1+1</f>
        <v>31</v>
      </c>
      <c r="K411" s="29">
        <f>'KY post'!P100</f>
        <v>43000</v>
      </c>
      <c r="L411" s="41">
        <v>1922</v>
      </c>
      <c r="N411" s="27" t="s">
        <v>2576</v>
      </c>
      <c r="O411" s="27" t="str">
        <f>'KY post'!T100&amp;"; "&amp;'KY post'!W100</f>
        <v>https://babel.hathitrust.org/cgi/pt?id=njp.32101060099841;view=1up;seq=180; https://babel.hathitrust.org/cgi/pt?id=njp.32101060099841;view=1up;seq=150</v>
      </c>
      <c r="P411" s="27" t="s">
        <v>2577</v>
      </c>
      <c r="Q411" s="27" t="str">
        <f>'KY post'!V100&amp;"; "&amp;'KY post'!W100</f>
        <v>https://babel.hathitrust.org/cgi/pt?id=njp.32101060099841;view=1up;seq=242; https://babel.hathitrust.org/cgi/pt?id=njp.32101060099841;view=1up;seq=150</v>
      </c>
      <c r="R411" s="27" t="s">
        <v>2579</v>
      </c>
      <c r="S411" s="27" t="s">
        <v>2578</v>
      </c>
      <c r="T411" s="27" t="s">
        <v>2577</v>
      </c>
      <c r="U411" s="27" t="s">
        <v>2602</v>
      </c>
    </row>
    <row r="412" spans="1:21" x14ac:dyDescent="0.25">
      <c r="A412" s="27" t="s">
        <v>981</v>
      </c>
      <c r="B412" s="27" t="str">
        <f t="shared" si="20"/>
        <v>Kentucky</v>
      </c>
      <c r="C412" s="27" t="str">
        <f t="shared" si="21"/>
        <v>Pulaski</v>
      </c>
      <c r="D412" s="96">
        <f>5299+63+1230+134+208+132+182+122+169</f>
        <v>7539</v>
      </c>
      <c r="E412" s="41">
        <f>161+29+6+3+4+3+3+0+0+3+2+2+1+2+14+1</f>
        <v>234</v>
      </c>
      <c r="F412" s="7">
        <f>'KY post'!G101</f>
        <v>180</v>
      </c>
      <c r="G412" s="41">
        <f>7681+77+1255+176+308+121+251+125+151+52+21+10+17+26+264+5</f>
        <v>10540</v>
      </c>
      <c r="H412" s="115">
        <f>'KY post'!K101</f>
        <v>57.482255460588789</v>
      </c>
      <c r="I412" s="2">
        <f>92432.91+63533.8+6175.36+3260.06+5528.59+2517.48+4124.01</f>
        <v>177572.21000000002</v>
      </c>
      <c r="J412" s="27">
        <f>121+19+4+1+1+1+1+1</f>
        <v>149</v>
      </c>
      <c r="K412" s="29">
        <f>'KY post'!P101</f>
        <v>220000</v>
      </c>
      <c r="L412" s="41">
        <v>1922</v>
      </c>
      <c r="N412" s="27" t="s">
        <v>2576</v>
      </c>
      <c r="O412" s="27" t="str">
        <f>'KY post'!T101&amp;"; "&amp;'KY post'!W101</f>
        <v>https://babel.hathitrust.org/cgi/pt?id=njp.32101060099841;view=1up;seq=180; https://babel.hathitrust.org/cgi/pt?id=njp.32101060099841;view=1up;seq=150</v>
      </c>
      <c r="P412" s="27" t="s">
        <v>2577</v>
      </c>
      <c r="Q412" s="27" t="str">
        <f>'KY post'!V101&amp;"; "&amp;'KY post'!W101</f>
        <v>https://babel.hathitrust.org/cgi/pt?id=njp.32101060099841;view=1up;seq=242; https://babel.hathitrust.org/cgi/pt?id=njp.32101060099841;view=1up;seq=150</v>
      </c>
      <c r="R412" s="27" t="s">
        <v>2579</v>
      </c>
      <c r="S412" s="27" t="s">
        <v>2578</v>
      </c>
      <c r="T412" s="27" t="s">
        <v>2577</v>
      </c>
      <c r="U412" s="27" t="s">
        <v>2602</v>
      </c>
    </row>
    <row r="413" spans="1:21" x14ac:dyDescent="0.25">
      <c r="A413" s="27" t="s">
        <v>982</v>
      </c>
      <c r="B413" s="27" t="str">
        <f t="shared" si="20"/>
        <v>Kentucky</v>
      </c>
      <c r="C413" s="27" t="str">
        <f t="shared" si="21"/>
        <v>Robertson</v>
      </c>
      <c r="D413" s="96"/>
      <c r="E413" s="41">
        <f>23+0+2</f>
        <v>25</v>
      </c>
      <c r="F413" s="7">
        <f>'KY post'!G102</f>
        <v>140</v>
      </c>
      <c r="G413" s="41">
        <f>732+15+58</f>
        <v>805</v>
      </c>
      <c r="H413" s="115">
        <f>'KY post'!K102</f>
        <v>75.630685714285718</v>
      </c>
      <c r="I413" s="2">
        <v>22322.87</v>
      </c>
      <c r="J413" s="27">
        <f>19+1</f>
        <v>20</v>
      </c>
      <c r="K413" s="29">
        <f>'KY post'!P102</f>
        <v>17575</v>
      </c>
      <c r="L413" s="41">
        <v>1922</v>
      </c>
      <c r="N413" s="27" t="s">
        <v>2576</v>
      </c>
      <c r="O413" s="27" t="str">
        <f>'KY post'!T102&amp;"; "&amp;'KY post'!W102</f>
        <v>https://babel.hathitrust.org/cgi/pt?id=njp.32101060099841;view=1up;seq=180; https://babel.hathitrust.org/cgi/pt?id=njp.32101060099841;view=1up;seq=150</v>
      </c>
      <c r="P413" s="27" t="s">
        <v>2577</v>
      </c>
      <c r="Q413" s="27" t="str">
        <f>'KY post'!V102&amp;"; "&amp;'KY post'!W102</f>
        <v>https://babel.hathitrust.org/cgi/pt?id=njp.32101060099841;view=1up;seq=242; https://babel.hathitrust.org/cgi/pt?id=njp.32101060099841;view=1up;seq=150</v>
      </c>
      <c r="R413" s="27" t="s">
        <v>2579</v>
      </c>
      <c r="S413" s="27" t="s">
        <v>2578</v>
      </c>
      <c r="T413" s="27" t="s">
        <v>2577</v>
      </c>
      <c r="U413" s="27" t="s">
        <v>2602</v>
      </c>
    </row>
    <row r="414" spans="1:21" x14ac:dyDescent="0.25">
      <c r="A414" s="27" t="s">
        <v>983</v>
      </c>
      <c r="B414" s="27" t="str">
        <f t="shared" si="20"/>
        <v>Kentucky</v>
      </c>
      <c r="C414" s="27" t="str">
        <f t="shared" si="21"/>
        <v>Rockcastle</v>
      </c>
      <c r="D414" s="96">
        <f>1463+15+217+170+333</f>
        <v>2198</v>
      </c>
      <c r="E414" s="41">
        <f>78+4+3+7+0+2+3</f>
        <v>97</v>
      </c>
      <c r="F414" s="7">
        <f>'KY post'!G103</f>
        <v>166</v>
      </c>
      <c r="G414" s="41">
        <f>4900+25+266+218+409+57+16+71</f>
        <v>5962</v>
      </c>
      <c r="H414" s="115">
        <f>'KY post'!K103</f>
        <v>66.918059868339327</v>
      </c>
      <c r="I414" s="2">
        <f>48696.04+5710.21+3527.06+9191.73</f>
        <v>67125.039999999994</v>
      </c>
      <c r="J414" s="27">
        <f>71+3+1+1+1</f>
        <v>77</v>
      </c>
      <c r="K414" s="29">
        <f>'KY post'!P103</f>
        <v>35350</v>
      </c>
      <c r="L414" s="41">
        <v>1922</v>
      </c>
      <c r="N414" s="27" t="s">
        <v>2576</v>
      </c>
      <c r="O414" s="27" t="str">
        <f>'KY post'!T103&amp;"; "&amp;'KY post'!W103</f>
        <v>https://babel.hathitrust.org/cgi/pt?id=njp.32101060099841;view=1up;seq=180; https://babel.hathitrust.org/cgi/pt?id=njp.32101060099841;view=1up;seq=150</v>
      </c>
      <c r="P414" s="27" t="s">
        <v>2577</v>
      </c>
      <c r="Q414" s="27" t="str">
        <f>'KY post'!V103&amp;"; "&amp;'KY post'!W103</f>
        <v>https://babel.hathitrust.org/cgi/pt?id=njp.32101060099841;view=1up;seq=242; https://babel.hathitrust.org/cgi/pt?id=njp.32101060099841;view=1up;seq=150</v>
      </c>
      <c r="R414" s="27" t="s">
        <v>2579</v>
      </c>
      <c r="S414" s="27" t="s">
        <v>2578</v>
      </c>
      <c r="T414" s="27" t="s">
        <v>2577</v>
      </c>
      <c r="U414" s="27" t="s">
        <v>2602</v>
      </c>
    </row>
    <row r="415" spans="1:21" x14ac:dyDescent="0.25">
      <c r="A415" s="27" t="s">
        <v>984</v>
      </c>
      <c r="B415" s="27" t="str">
        <f t="shared" si="20"/>
        <v>Kentucky</v>
      </c>
      <c r="C415" s="27" t="str">
        <f t="shared" si="21"/>
        <v>Rowan</v>
      </c>
      <c r="D415" s="96">
        <v>2320</v>
      </c>
      <c r="E415" s="41">
        <f>59+0+1</f>
        <v>60</v>
      </c>
      <c r="F415" s="7">
        <f>'KY post'!G104</f>
        <v>140</v>
      </c>
      <c r="G415" s="41">
        <f>3333+6+58</f>
        <v>3397</v>
      </c>
      <c r="H415" s="115">
        <f>'KY post'!K104</f>
        <v>61.647595238095242</v>
      </c>
      <c r="I415" s="2">
        <v>35197.58</v>
      </c>
      <c r="J415" s="27">
        <f>48+4</f>
        <v>52</v>
      </c>
      <c r="K415" s="29">
        <f>'KY post'!P104</f>
        <v>33100</v>
      </c>
      <c r="L415" s="41">
        <v>1922</v>
      </c>
      <c r="N415" s="27" t="s">
        <v>2576</v>
      </c>
      <c r="O415" s="27" t="str">
        <f>'KY post'!T104&amp;"; "&amp;'KY post'!W104</f>
        <v>https://babel.hathitrust.org/cgi/pt?id=njp.32101060099841;view=1up;seq=180; https://babel.hathitrust.org/cgi/pt?id=njp.32101060099841;view=1up;seq=150</v>
      </c>
      <c r="P415" s="27" t="s">
        <v>2577</v>
      </c>
      <c r="Q415" s="27" t="str">
        <f>'KY post'!V104&amp;"; "&amp;'KY post'!W104</f>
        <v>https://babel.hathitrust.org/cgi/pt?id=njp.32101060099841;view=1up;seq=242; https://babel.hathitrust.org/cgi/pt?id=njp.32101060099841;view=1up;seq=150</v>
      </c>
      <c r="R415" s="27" t="s">
        <v>2579</v>
      </c>
      <c r="S415" s="27" t="s">
        <v>2578</v>
      </c>
      <c r="T415" s="27" t="s">
        <v>2577</v>
      </c>
      <c r="U415" s="27" t="s">
        <v>2602</v>
      </c>
    </row>
    <row r="416" spans="1:21" x14ac:dyDescent="0.25">
      <c r="A416" s="27" t="s">
        <v>985</v>
      </c>
      <c r="B416" s="27" t="str">
        <f t="shared" si="20"/>
        <v>Kentucky</v>
      </c>
      <c r="C416" s="27" t="str">
        <f t="shared" si="21"/>
        <v>Russell</v>
      </c>
      <c r="D416" s="96">
        <f>2006+43+191+224</f>
        <v>2464</v>
      </c>
      <c r="E416" s="41">
        <f>65+3+3+0+2+2</f>
        <v>75</v>
      </c>
      <c r="F416" s="7">
        <f>'KY post'!G105</f>
        <v>166</v>
      </c>
      <c r="G416" s="41">
        <f>2944+79+141+143+52+92</f>
        <v>3451</v>
      </c>
      <c r="H416" s="115">
        <f>'KY post'!K105</f>
        <v>53.935341365461845</v>
      </c>
      <c r="I416" s="2">
        <f>44005.54+11685.77+10343.25</f>
        <v>66034.559999999998</v>
      </c>
      <c r="J416" s="27">
        <f>63+2+1+1</f>
        <v>67</v>
      </c>
      <c r="K416" s="29">
        <f>'KY post'!P105</f>
        <v>47850</v>
      </c>
      <c r="L416" s="41">
        <v>1922</v>
      </c>
      <c r="N416" s="27" t="s">
        <v>2576</v>
      </c>
      <c r="O416" s="27" t="str">
        <f>'KY post'!T105&amp;"; "&amp;'KY post'!W105</f>
        <v>https://babel.hathitrust.org/cgi/pt?id=njp.32101060099841;view=1up;seq=180; https://babel.hathitrust.org/cgi/pt?id=njp.32101060099841;view=1up;seq=150</v>
      </c>
      <c r="P416" s="27" t="s">
        <v>2577</v>
      </c>
      <c r="Q416" s="27" t="str">
        <f>'KY post'!V105&amp;"; "&amp;'KY post'!W105</f>
        <v>https://babel.hathitrust.org/cgi/pt?id=njp.32101060099841;view=1up;seq=242; https://babel.hathitrust.org/cgi/pt?id=njp.32101060099841;view=1up;seq=150</v>
      </c>
      <c r="R416" s="27" t="s">
        <v>2579</v>
      </c>
      <c r="S416" s="27" t="s">
        <v>2578</v>
      </c>
      <c r="T416" s="27" t="s">
        <v>2577</v>
      </c>
      <c r="U416" s="27" t="s">
        <v>2602</v>
      </c>
    </row>
    <row r="417" spans="1:21" x14ac:dyDescent="0.25">
      <c r="A417" s="27" t="s">
        <v>986</v>
      </c>
      <c r="B417" s="27" t="str">
        <f t="shared" si="20"/>
        <v>Kentucky</v>
      </c>
      <c r="C417" s="27" t="str">
        <f t="shared" si="21"/>
        <v>Scott</v>
      </c>
      <c r="D417" s="96">
        <f>1403+215+507+238+108</f>
        <v>2471</v>
      </c>
      <c r="E417" s="41">
        <f>42+10+3+0+0+7+1+1+1+2+3+3</f>
        <v>73</v>
      </c>
      <c r="F417" s="7">
        <f>'KY post'!G106</f>
        <v>186</v>
      </c>
      <c r="G417" s="41">
        <f>1557+260+471+258+119+167+25+17+22+33+68+40</f>
        <v>3037</v>
      </c>
      <c r="H417" s="115">
        <f>'KY post'!K106</f>
        <v>126.9718662542348</v>
      </c>
      <c r="I417" s="2">
        <f>98903.56+32760.29+6526.18</f>
        <v>138190.03</v>
      </c>
      <c r="J417" s="27">
        <f>35+7+2+1</f>
        <v>45</v>
      </c>
      <c r="K417" s="29">
        <f>'KY post'!P106</f>
        <v>47500</v>
      </c>
      <c r="L417" s="41">
        <v>1922</v>
      </c>
      <c r="N417" s="27" t="s">
        <v>2576</v>
      </c>
      <c r="O417" s="27" t="str">
        <f>'KY post'!T106&amp;"; "&amp;'KY post'!W106</f>
        <v>https://babel.hathitrust.org/cgi/pt?id=njp.32101060099841;view=1up;seq=180; https://babel.hathitrust.org/cgi/pt?id=njp.32101060099841;view=1up;seq=150</v>
      </c>
      <c r="P417" s="27" t="s">
        <v>2577</v>
      </c>
      <c r="Q417" s="27" t="str">
        <f>'KY post'!V106&amp;"; "&amp;'KY post'!W106</f>
        <v>https://babel.hathitrust.org/cgi/pt?id=njp.32101060099841;view=1up;seq=242; https://babel.hathitrust.org/cgi/pt?id=njp.32101060099841;view=1up;seq=150</v>
      </c>
      <c r="R417" s="27" t="s">
        <v>2579</v>
      </c>
      <c r="S417" s="27" t="s">
        <v>2578</v>
      </c>
      <c r="T417" s="27" t="s">
        <v>2577</v>
      </c>
      <c r="U417" s="27" t="s">
        <v>2602</v>
      </c>
    </row>
    <row r="418" spans="1:21" x14ac:dyDescent="0.25">
      <c r="A418" s="27" t="s">
        <v>987</v>
      </c>
      <c r="B418" s="27" t="str">
        <f t="shared" si="20"/>
        <v>Kentucky</v>
      </c>
      <c r="C418" s="27" t="str">
        <f t="shared" si="21"/>
        <v>Shelby</v>
      </c>
      <c r="D418" s="96">
        <f>1729+252+624+206</f>
        <v>2811</v>
      </c>
      <c r="E418" s="41">
        <f>72+17+4+0+5+2+2+1+8+4+2+4</f>
        <v>121</v>
      </c>
      <c r="F418" s="7">
        <f>'KY post'!G107</f>
        <v>180</v>
      </c>
      <c r="G418" s="41">
        <f>2083+307+614+256+39+23+27+16+143+53+48+21</f>
        <v>3630</v>
      </c>
      <c r="H418" s="115">
        <f>'KY post'!K107</f>
        <v>86.500247933884296</v>
      </c>
      <c r="I418" s="2">
        <f>105158.51+35681.03+4002.44</f>
        <v>144841.97999999998</v>
      </c>
      <c r="J418" s="27">
        <f>24+8+1+1</f>
        <v>34</v>
      </c>
      <c r="K418" s="29">
        <f>'KY post'!P107</f>
        <v>170000</v>
      </c>
      <c r="L418" s="41">
        <v>1922</v>
      </c>
      <c r="N418" s="27" t="s">
        <v>2576</v>
      </c>
      <c r="O418" s="27" t="str">
        <f>'KY post'!T107&amp;"; "&amp;'KY post'!W107</f>
        <v>https://babel.hathitrust.org/cgi/pt?id=njp.32101060099841;view=1up;seq=180; https://babel.hathitrust.org/cgi/pt?id=njp.32101060099841;view=1up;seq=150</v>
      </c>
      <c r="P418" s="27" t="s">
        <v>2577</v>
      </c>
      <c r="Q418" s="27" t="str">
        <f>'KY post'!V107&amp;"; "&amp;'KY post'!W107</f>
        <v>https://babel.hathitrust.org/cgi/pt?id=njp.32101060099841;view=1up;seq=242; https://babel.hathitrust.org/cgi/pt?id=njp.32101060099841;view=1up;seq=150</v>
      </c>
      <c r="R418" s="27" t="s">
        <v>2579</v>
      </c>
      <c r="S418" s="27" t="s">
        <v>2578</v>
      </c>
      <c r="T418" s="27" t="s">
        <v>2577</v>
      </c>
      <c r="U418" s="27" t="s">
        <v>2602</v>
      </c>
    </row>
    <row r="419" spans="1:21" x14ac:dyDescent="0.25">
      <c r="A419" s="27" t="s">
        <v>988</v>
      </c>
      <c r="B419" s="27" t="str">
        <f t="shared" si="20"/>
        <v>Kentucky</v>
      </c>
      <c r="C419" s="27" t="str">
        <f t="shared" si="21"/>
        <v>Simpson</v>
      </c>
      <c r="D419" s="96">
        <f>961+247+443+0</f>
        <v>1651</v>
      </c>
      <c r="E419" s="41">
        <f>43+9+4+0+2+6+1+3+1</f>
        <v>69</v>
      </c>
      <c r="F419" s="7">
        <f>'KY post'!G108</f>
        <v>160</v>
      </c>
      <c r="G419" s="41">
        <f>1532+284+457+185+18+137+7+34+6</f>
        <v>2660</v>
      </c>
      <c r="H419" s="115">
        <f>'KY post'!K108</f>
        <v>80.425615942028983</v>
      </c>
      <c r="I419" s="2">
        <f>41742.07+23190.8+3547.28</f>
        <v>68480.149999999994</v>
      </c>
      <c r="J419" s="27">
        <f>38+5+1+1</f>
        <v>45</v>
      </c>
      <c r="K419" s="29">
        <f>'KY post'!P108</f>
        <v>34765</v>
      </c>
      <c r="L419" s="41">
        <v>1922</v>
      </c>
      <c r="N419" s="27" t="s">
        <v>2576</v>
      </c>
      <c r="O419" s="27" t="str">
        <f>'KY post'!T108&amp;"; "&amp;'KY post'!W108</f>
        <v>https://babel.hathitrust.org/cgi/pt?id=njp.32101060099841;view=1up;seq=180; https://babel.hathitrust.org/cgi/pt?id=njp.32101060099841;view=1up;seq=150</v>
      </c>
      <c r="P419" s="27" t="s">
        <v>2577</v>
      </c>
      <c r="Q419" s="27" t="str">
        <f>'KY post'!V108&amp;"; "&amp;'KY post'!W108</f>
        <v>https://babel.hathitrust.org/cgi/pt?id=njp.32101060099841;view=1up;seq=242; https://babel.hathitrust.org/cgi/pt?id=njp.32101060099841;view=1up;seq=150</v>
      </c>
      <c r="R419" s="27" t="s">
        <v>2579</v>
      </c>
      <c r="S419" s="27" t="s">
        <v>2578</v>
      </c>
      <c r="T419" s="27" t="s">
        <v>2577</v>
      </c>
      <c r="U419" s="27" t="s">
        <v>2602</v>
      </c>
    </row>
    <row r="420" spans="1:21" x14ac:dyDescent="0.25">
      <c r="A420" s="27" t="s">
        <v>989</v>
      </c>
      <c r="B420" s="27" t="str">
        <f t="shared" si="20"/>
        <v>Kentucky</v>
      </c>
      <c r="C420" s="27" t="str">
        <f t="shared" si="21"/>
        <v>Spencer</v>
      </c>
      <c r="D420" s="96">
        <f>890+124+97+258</f>
        <v>1369</v>
      </c>
      <c r="E420" s="41">
        <f>43+3+6+0+1+3</f>
        <v>56</v>
      </c>
      <c r="F420" s="7">
        <f>'KY post'!G109</f>
        <v>160</v>
      </c>
      <c r="G420" s="41">
        <f>1290+172+114+254+17+90</f>
        <v>1937</v>
      </c>
      <c r="H420" s="115">
        <f>'KY post'!K109</f>
        <v>66.584665178571427</v>
      </c>
      <c r="I420" s="2">
        <f>32893.34+5319.39+11624.65</f>
        <v>49837.38</v>
      </c>
      <c r="J420" s="27">
        <f>33+1+1+1</f>
        <v>36</v>
      </c>
      <c r="K420" s="29">
        <f>'KY post'!P109</f>
        <v>42287</v>
      </c>
      <c r="L420" s="41">
        <v>1922</v>
      </c>
      <c r="N420" s="27" t="s">
        <v>2576</v>
      </c>
      <c r="O420" s="27" t="str">
        <f>'KY post'!T109&amp;"; "&amp;'KY post'!W109</f>
        <v>https://babel.hathitrust.org/cgi/pt?id=njp.32101060099841;view=1up;seq=180; https://babel.hathitrust.org/cgi/pt?id=njp.32101060099841;view=1up;seq=150</v>
      </c>
      <c r="P420" s="27" t="s">
        <v>2577</v>
      </c>
      <c r="Q420" s="27" t="str">
        <f>'KY post'!V109&amp;"; "&amp;'KY post'!W109</f>
        <v>https://babel.hathitrust.org/cgi/pt?id=njp.32101060099841;view=1up;seq=242; https://babel.hathitrust.org/cgi/pt?id=njp.32101060099841;view=1up;seq=150</v>
      </c>
      <c r="R420" s="27" t="s">
        <v>2579</v>
      </c>
      <c r="S420" s="27" t="s">
        <v>2578</v>
      </c>
      <c r="T420" s="27" t="s">
        <v>2577</v>
      </c>
      <c r="U420" s="27" t="s">
        <v>2602</v>
      </c>
    </row>
    <row r="421" spans="1:21" x14ac:dyDescent="0.25">
      <c r="A421" s="27" t="s">
        <v>990</v>
      </c>
      <c r="B421" s="27" t="str">
        <f t="shared" si="20"/>
        <v>Kentucky</v>
      </c>
      <c r="C421" s="27" t="str">
        <f t="shared" si="21"/>
        <v>Taylor</v>
      </c>
      <c r="D421" s="96">
        <f>1482+179+380</f>
        <v>2041</v>
      </c>
      <c r="E421" s="41">
        <f>67+8+0+1</f>
        <v>76</v>
      </c>
      <c r="F421" s="7">
        <f>'KY post'!G110</f>
        <v>160</v>
      </c>
      <c r="G421" s="41">
        <f>2234+317+395+128+10</f>
        <v>3084</v>
      </c>
      <c r="H421" s="115">
        <f>'KY post'!K110</f>
        <v>61.541661184210533</v>
      </c>
      <c r="I421" s="2">
        <f>38270.61+14715.3</f>
        <v>52985.91</v>
      </c>
      <c r="J421" s="27">
        <f>61+2+1</f>
        <v>64</v>
      </c>
      <c r="K421" s="29">
        <f>'KY post'!P110</f>
        <v>54200</v>
      </c>
      <c r="L421" s="41">
        <v>1922</v>
      </c>
      <c r="N421" s="27" t="s">
        <v>2576</v>
      </c>
      <c r="O421" s="27" t="str">
        <f>'KY post'!T110&amp;"; "&amp;'KY post'!W110</f>
        <v>https://babel.hathitrust.org/cgi/pt?id=njp.32101060099841;view=1up;seq=180; https://babel.hathitrust.org/cgi/pt?id=njp.32101060099841;view=1up;seq=150</v>
      </c>
      <c r="P421" s="27" t="s">
        <v>2577</v>
      </c>
      <c r="Q421" s="27" t="str">
        <f>'KY post'!V110&amp;"; "&amp;'KY post'!W110</f>
        <v>https://babel.hathitrust.org/cgi/pt?id=njp.32101060099841;view=1up;seq=242; https://babel.hathitrust.org/cgi/pt?id=njp.32101060099841;view=1up;seq=150</v>
      </c>
      <c r="R421" s="27" t="s">
        <v>2579</v>
      </c>
      <c r="S421" s="27" t="s">
        <v>2578</v>
      </c>
      <c r="T421" s="27" t="s">
        <v>2577</v>
      </c>
      <c r="U421" s="27" t="s">
        <v>2602</v>
      </c>
    </row>
    <row r="422" spans="1:21" x14ac:dyDescent="0.25">
      <c r="A422" s="27" t="s">
        <v>991</v>
      </c>
      <c r="B422" s="27" t="str">
        <f t="shared" si="20"/>
        <v>Kentucky</v>
      </c>
      <c r="C422" s="27" t="str">
        <f t="shared" si="21"/>
        <v>Todd</v>
      </c>
      <c r="D422" s="96">
        <f>1008+551+205+98+162+170</f>
        <v>2194</v>
      </c>
      <c r="E422" s="41">
        <f>64+5+3+4+4+0+1+3+1+2+1+2</f>
        <v>90</v>
      </c>
      <c r="F422" s="7">
        <f>'KY post'!G111</f>
        <v>170</v>
      </c>
      <c r="G422" s="41">
        <f>1691+1152+235+119+185+143+27+69+8+47+29+45</f>
        <v>3750</v>
      </c>
      <c r="H422" s="115">
        <f>'KY post'!K111</f>
        <v>68.921921568627454</v>
      </c>
      <c r="I422" s="2">
        <f>40462.46+8327.17+3201.67+7520.7+9267.05</f>
        <v>68779.049999999988</v>
      </c>
      <c r="J422" s="27">
        <f>50+7+1+1+1+1</f>
        <v>61</v>
      </c>
      <c r="K422" s="29">
        <f>'KY post'!P111</f>
        <v>157040</v>
      </c>
      <c r="L422" s="41">
        <v>1922</v>
      </c>
      <c r="N422" s="27" t="s">
        <v>2576</v>
      </c>
      <c r="O422" s="27" t="str">
        <f>'KY post'!T111&amp;"; "&amp;'KY post'!W111</f>
        <v>https://babel.hathitrust.org/cgi/pt?id=njp.32101060099841;view=1up;seq=180; https://babel.hathitrust.org/cgi/pt?id=njp.32101060099841;view=1up;seq=150</v>
      </c>
      <c r="P422" s="27" t="s">
        <v>2577</v>
      </c>
      <c r="Q422" s="27" t="str">
        <f>'KY post'!V111&amp;"; "&amp;'KY post'!W111</f>
        <v>https://babel.hathitrust.org/cgi/pt?id=njp.32101060099841;view=1up;seq=242; https://babel.hathitrust.org/cgi/pt?id=njp.32101060099841;view=1up;seq=150</v>
      </c>
      <c r="R422" s="27" t="s">
        <v>2579</v>
      </c>
      <c r="S422" s="27" t="s">
        <v>2578</v>
      </c>
      <c r="T422" s="27" t="s">
        <v>2577</v>
      </c>
      <c r="U422" s="27" t="s">
        <v>2602</v>
      </c>
    </row>
    <row r="423" spans="1:21" x14ac:dyDescent="0.25">
      <c r="A423" s="27" t="s">
        <v>1795</v>
      </c>
      <c r="B423" s="27" t="str">
        <f t="shared" si="20"/>
        <v>Kentucky</v>
      </c>
      <c r="C423" s="27" t="str">
        <f t="shared" si="21"/>
        <v>Trigg</v>
      </c>
      <c r="D423" s="96">
        <f>1514+416+266+76+50</f>
        <v>2322</v>
      </c>
      <c r="E423" s="41">
        <f>71+4+2+2+2+0+4+2+2</f>
        <v>89</v>
      </c>
      <c r="F423" s="7">
        <f>'KY post'!G112</f>
        <v>160</v>
      </c>
      <c r="G423" s="41">
        <f>2638+835+202+54+96+78+111+26+11</f>
        <v>4051</v>
      </c>
      <c r="H423" s="115">
        <f>'KY post'!K112</f>
        <v>68.953693820224714</v>
      </c>
      <c r="I423" s="2">
        <f>47924.88+11719.86+2039.83+1304.72+123.8</f>
        <v>63113.090000000004</v>
      </c>
      <c r="J423" s="27">
        <f>66+2+1+1+1+1</f>
        <v>72</v>
      </c>
      <c r="K423" s="29">
        <f>'KY post'!P112</f>
        <v>102740</v>
      </c>
      <c r="L423" s="41">
        <v>1922</v>
      </c>
      <c r="N423" s="27" t="s">
        <v>2576</v>
      </c>
      <c r="O423" s="27" t="str">
        <f>'KY post'!T112&amp;"; "&amp;'KY post'!W112</f>
        <v>https://babel.hathitrust.org/cgi/pt?id=njp.32101060099841;view=1up;seq=180; https://babel.hathitrust.org/cgi/pt?id=njp.32101060099841;view=1up;seq=150</v>
      </c>
      <c r="P423" s="27" t="s">
        <v>2577</v>
      </c>
      <c r="Q423" s="27" t="str">
        <f>'KY post'!V112&amp;"; "&amp;'KY post'!W112</f>
        <v>https://babel.hathitrust.org/cgi/pt?id=njp.32101060099841;view=1up;seq=242; https://babel.hathitrust.org/cgi/pt?id=njp.32101060099841;view=1up;seq=150</v>
      </c>
      <c r="R423" s="27" t="s">
        <v>2579</v>
      </c>
      <c r="S423" s="27" t="s">
        <v>2578</v>
      </c>
      <c r="T423" s="27" t="s">
        <v>2577</v>
      </c>
      <c r="U423" s="27" t="s">
        <v>2602</v>
      </c>
    </row>
    <row r="424" spans="1:21" x14ac:dyDescent="0.25">
      <c r="A424" s="27" t="s">
        <v>992</v>
      </c>
      <c r="B424" s="27" t="str">
        <f t="shared" si="20"/>
        <v>Kentucky</v>
      </c>
      <c r="C424" s="27" t="str">
        <f t="shared" si="21"/>
        <v>Trimble</v>
      </c>
      <c r="D424" s="96">
        <f>913+100+120</f>
        <v>1133</v>
      </c>
      <c r="E424" s="41">
        <f>35+3+3+0+3+2</f>
        <v>46</v>
      </c>
      <c r="F424" s="7">
        <f>'KY post'!G113</f>
        <v>160</v>
      </c>
      <c r="G424" s="41">
        <f>1264+9+101+132+81+34</f>
        <v>1621</v>
      </c>
      <c r="H424" s="115">
        <f>'KY post'!K113</f>
        <v>64.954565217391306</v>
      </c>
      <c r="I424" s="2">
        <f>26507.8+4359.88+5743.88</f>
        <v>36611.56</v>
      </c>
      <c r="J424" s="27">
        <f>31+1+1+1</f>
        <v>34</v>
      </c>
      <c r="K424" s="29">
        <f>'KY post'!P113</f>
        <v>33775</v>
      </c>
      <c r="L424" s="41">
        <v>1922</v>
      </c>
      <c r="N424" s="27" t="s">
        <v>2576</v>
      </c>
      <c r="O424" s="27" t="str">
        <f>'KY post'!T113&amp;"; "&amp;'KY post'!W113</f>
        <v>https://babel.hathitrust.org/cgi/pt?id=njp.32101060099841;view=1up;seq=180; https://babel.hathitrust.org/cgi/pt?id=njp.32101060099841;view=1up;seq=150</v>
      </c>
      <c r="P424" s="27" t="s">
        <v>2577</v>
      </c>
      <c r="Q424" s="27" t="str">
        <f>'KY post'!V113&amp;"; "&amp;'KY post'!W113</f>
        <v>https://babel.hathitrust.org/cgi/pt?id=njp.32101060099841;view=1up;seq=242; https://babel.hathitrust.org/cgi/pt?id=njp.32101060099841;view=1up;seq=150</v>
      </c>
      <c r="R424" s="27" t="s">
        <v>2579</v>
      </c>
      <c r="S424" s="27" t="s">
        <v>2578</v>
      </c>
      <c r="T424" s="27" t="s">
        <v>2577</v>
      </c>
      <c r="U424" s="27" t="s">
        <v>2602</v>
      </c>
    </row>
    <row r="425" spans="1:21" x14ac:dyDescent="0.25">
      <c r="A425" s="27" t="s">
        <v>993</v>
      </c>
      <c r="B425" s="27" t="str">
        <f t="shared" si="20"/>
        <v>Kentucky</v>
      </c>
      <c r="C425" s="27" t="str">
        <f t="shared" si="21"/>
        <v>Union</v>
      </c>
      <c r="D425" s="96">
        <f>1741+88+452+108+586+0+180</f>
        <v>3155</v>
      </c>
      <c r="E425" s="41">
        <f>71+13+10+5+0+0+2+2+1+6+2+6+2</f>
        <v>120</v>
      </c>
      <c r="F425" s="7">
        <f>'KY post'!G114</f>
        <v>170</v>
      </c>
      <c r="G425" s="41">
        <f>2421+227+405+157+397+231+52+31+9+147+23+175+36</f>
        <v>4311</v>
      </c>
      <c r="H425" s="115">
        <f>'KY post'!K114</f>
        <v>88.076264705882366</v>
      </c>
      <c r="I425" s="2">
        <f>83299.31+26091.27+31331.1+8396.13</f>
        <v>149117.81</v>
      </c>
      <c r="J425" s="27">
        <f>44+11+2+1+1</f>
        <v>59</v>
      </c>
      <c r="K425" s="29">
        <f>'KY post'!P114</f>
        <v>226000</v>
      </c>
      <c r="L425" s="41">
        <v>1922</v>
      </c>
      <c r="N425" s="27" t="s">
        <v>2576</v>
      </c>
      <c r="O425" s="27" t="str">
        <f>'KY post'!T114&amp;"; "&amp;'KY post'!W114</f>
        <v>https://babel.hathitrust.org/cgi/pt?id=njp.32101060099841;view=1up;seq=180; https://babel.hathitrust.org/cgi/pt?id=njp.32101060099841;view=1up;seq=150</v>
      </c>
      <c r="P425" s="27" t="s">
        <v>2577</v>
      </c>
      <c r="Q425" s="27" t="str">
        <f>'KY post'!V114&amp;"; "&amp;'KY post'!W114</f>
        <v>https://babel.hathitrust.org/cgi/pt?id=njp.32101060099841;view=1up;seq=242; https://babel.hathitrust.org/cgi/pt?id=njp.32101060099841;view=1up;seq=150</v>
      </c>
      <c r="R425" s="27" t="s">
        <v>2579</v>
      </c>
      <c r="S425" s="27" t="s">
        <v>2578</v>
      </c>
      <c r="T425" s="27" t="s">
        <v>2577</v>
      </c>
      <c r="U425" s="27" t="s">
        <v>2602</v>
      </c>
    </row>
    <row r="426" spans="1:21" x14ac:dyDescent="0.25">
      <c r="A426" s="27" t="s">
        <v>994</v>
      </c>
      <c r="B426" s="27" t="str">
        <f t="shared" si="20"/>
        <v>Kentucky</v>
      </c>
      <c r="C426" s="27" t="str">
        <f t="shared" si="21"/>
        <v>Warren</v>
      </c>
      <c r="D426" s="96">
        <f>3081+445+1245+355</f>
        <v>5126</v>
      </c>
      <c r="E426" s="41">
        <f>119+38+0+0+10+1+2+1+3+2+5</f>
        <v>181</v>
      </c>
      <c r="F426" s="7">
        <f>'KY post'!G115</f>
        <v>160</v>
      </c>
      <c r="G426" s="41">
        <f>4618+797+1315+407+276+11+27+21+13+76+32+54</f>
        <v>7647</v>
      </c>
      <c r="H426" s="115">
        <f>'KY post'!K115</f>
        <v>85.891837016574584</v>
      </c>
      <c r="I426" s="2">
        <f>129233.44+67423.71</f>
        <v>196657.15000000002</v>
      </c>
      <c r="J426" s="27">
        <f>56+21</f>
        <v>77</v>
      </c>
      <c r="K426" s="29">
        <f>'KY post'!P115</f>
        <v>72853</v>
      </c>
      <c r="L426" s="41">
        <v>1922</v>
      </c>
      <c r="N426" s="27" t="s">
        <v>2576</v>
      </c>
      <c r="O426" s="27" t="str">
        <f>'KY post'!T115&amp;"; "&amp;'KY post'!W115</f>
        <v>https://babel.hathitrust.org/cgi/pt?id=njp.32101060099841;view=1up;seq=180; https://babel.hathitrust.org/cgi/pt?id=njp.32101060099841;view=1up;seq=150</v>
      </c>
      <c r="P426" s="27" t="s">
        <v>2577</v>
      </c>
      <c r="Q426" s="27" t="str">
        <f>'KY post'!V115&amp;"; "&amp;'KY post'!W115</f>
        <v>https://babel.hathitrust.org/cgi/pt?id=njp.32101060099841;view=1up;seq=242; https://babel.hathitrust.org/cgi/pt?id=njp.32101060099841;view=1up;seq=150</v>
      </c>
      <c r="R426" s="27" t="s">
        <v>2579</v>
      </c>
      <c r="S426" s="27" t="s">
        <v>2578</v>
      </c>
      <c r="T426" s="27" t="s">
        <v>2577</v>
      </c>
      <c r="U426" s="27" t="s">
        <v>2602</v>
      </c>
    </row>
    <row r="427" spans="1:21" x14ac:dyDescent="0.25">
      <c r="A427" s="27" t="s">
        <v>995</v>
      </c>
      <c r="B427" s="27" t="str">
        <f t="shared" si="20"/>
        <v>Kentucky</v>
      </c>
      <c r="C427" s="27" t="str">
        <f t="shared" si="21"/>
        <v>Washington</v>
      </c>
      <c r="D427" s="96">
        <f>1949+273+435</f>
        <v>2657</v>
      </c>
      <c r="E427" s="41">
        <f>70+7+2+0+3+4+1+1+1</f>
        <v>89</v>
      </c>
      <c r="F427" s="7">
        <f>'KY post'!G116</f>
        <v>160</v>
      </c>
      <c r="G427" s="41">
        <f>2564+461+342+98+76+150+6+27+9</f>
        <v>3733</v>
      </c>
      <c r="H427" s="115">
        <f>'KY post'!K116</f>
        <v>77.089887640449433</v>
      </c>
      <c r="I427" s="2">
        <f>56901.86+15680.81+2004.48</f>
        <v>74587.149999999994</v>
      </c>
      <c r="J427" s="27">
        <f>48+9+1+1</f>
        <v>59</v>
      </c>
      <c r="K427" s="29">
        <f>'KY post'!P116</f>
        <v>152000</v>
      </c>
      <c r="L427" s="41">
        <v>1922</v>
      </c>
      <c r="N427" s="27" t="s">
        <v>2576</v>
      </c>
      <c r="O427" s="27" t="str">
        <f>'KY post'!T116&amp;"; "&amp;'KY post'!W116</f>
        <v>https://babel.hathitrust.org/cgi/pt?id=njp.32101060099841;view=1up;seq=180; https://babel.hathitrust.org/cgi/pt?id=njp.32101060099841;view=1up;seq=150</v>
      </c>
      <c r="P427" s="27" t="s">
        <v>2577</v>
      </c>
      <c r="Q427" s="27" t="str">
        <f>'KY post'!V116&amp;"; "&amp;'KY post'!W116</f>
        <v>https://babel.hathitrust.org/cgi/pt?id=njp.32101060099841;view=1up;seq=242; https://babel.hathitrust.org/cgi/pt?id=njp.32101060099841;view=1up;seq=150</v>
      </c>
      <c r="R427" s="27" t="s">
        <v>2579</v>
      </c>
      <c r="S427" s="27" t="s">
        <v>2578</v>
      </c>
      <c r="T427" s="27" t="s">
        <v>2577</v>
      </c>
      <c r="U427" s="27" t="s">
        <v>2602</v>
      </c>
    </row>
    <row r="428" spans="1:21" x14ac:dyDescent="0.25">
      <c r="A428" s="27" t="s">
        <v>996</v>
      </c>
      <c r="B428" s="27" t="str">
        <f t="shared" si="20"/>
        <v>Kentucky</v>
      </c>
      <c r="C428" s="27" t="str">
        <f t="shared" si="21"/>
        <v>Wayne</v>
      </c>
      <c r="D428" s="96">
        <f>2007+98+412</f>
        <v>2517</v>
      </c>
      <c r="E428" s="41">
        <f>99+8+0+4</f>
        <v>111</v>
      </c>
      <c r="F428" s="7">
        <f>'KY post'!G117</f>
        <v>160</v>
      </c>
      <c r="G428" s="41">
        <f>3691+208+411+59</f>
        <v>4369</v>
      </c>
      <c r="H428" s="115">
        <f>'KY post'!K117</f>
        <v>58.338963963963963</v>
      </c>
      <c r="I428" s="2">
        <f>55620.91+14733.07</f>
        <v>70353.98000000001</v>
      </c>
      <c r="J428" s="27">
        <f>89+5+1</f>
        <v>95</v>
      </c>
      <c r="K428" s="29">
        <f>'KY post'!P117</f>
        <v>58000</v>
      </c>
      <c r="L428" s="41">
        <v>1922</v>
      </c>
      <c r="N428" s="27" t="s">
        <v>2576</v>
      </c>
      <c r="O428" s="27" t="str">
        <f>'KY post'!T117&amp;"; "&amp;'KY post'!W117</f>
        <v>https://babel.hathitrust.org/cgi/pt?id=njp.32101060099841;view=1up;seq=180; https://babel.hathitrust.org/cgi/pt?id=njp.32101060099841;view=1up;seq=150</v>
      </c>
      <c r="P428" s="27" t="s">
        <v>2577</v>
      </c>
      <c r="Q428" s="27" t="str">
        <f>'KY post'!V117&amp;"; "&amp;'KY post'!W117</f>
        <v>https://babel.hathitrust.org/cgi/pt?id=njp.32101060099841;view=1up;seq=242; https://babel.hathitrust.org/cgi/pt?id=njp.32101060099841;view=1up;seq=150</v>
      </c>
      <c r="R428" s="27" t="s">
        <v>2579</v>
      </c>
      <c r="S428" s="27" t="s">
        <v>2578</v>
      </c>
      <c r="T428" s="27" t="s">
        <v>2577</v>
      </c>
      <c r="U428" s="27" t="s">
        <v>2602</v>
      </c>
    </row>
    <row r="429" spans="1:21" x14ac:dyDescent="0.25">
      <c r="A429" s="27" t="s">
        <v>997</v>
      </c>
      <c r="B429" s="27" t="str">
        <f t="shared" si="20"/>
        <v>Kentucky</v>
      </c>
      <c r="C429" s="27" t="str">
        <f t="shared" si="21"/>
        <v>Webster</v>
      </c>
      <c r="D429" s="96">
        <f>1518+220+1005+261+100+409+137+250+155</f>
        <v>4055</v>
      </c>
      <c r="E429" s="41">
        <f>76+20+3+8+4+5+3+0+0+1+3+2+2+2+7+3+2+4</f>
        <v>145</v>
      </c>
      <c r="F429" s="7">
        <f>'KY post'!G118</f>
        <v>166</v>
      </c>
      <c r="G429" s="41">
        <f>2658+302+916+251+146+467+156+219+147+16+91+58+37+26+173+61+54+24</f>
        <v>5802</v>
      </c>
      <c r="H429" s="115">
        <f>'KY post'!K118</f>
        <v>65.311267137515586</v>
      </c>
      <c r="I429" s="2">
        <f>68758.05+46169.61+2841.16+11613.17+5267.89+7821.32+5383.93</f>
        <v>147855.13</v>
      </c>
      <c r="J429" s="27">
        <f>60+8+2+1+1+1+1+1</f>
        <v>75</v>
      </c>
      <c r="K429" s="29">
        <f>'KY post'!P118</f>
        <v>113135</v>
      </c>
      <c r="L429" s="41">
        <v>1922</v>
      </c>
      <c r="N429" s="27" t="s">
        <v>2576</v>
      </c>
      <c r="O429" s="27" t="str">
        <f>'KY post'!T118&amp;"; "&amp;'KY post'!W118</f>
        <v>https://babel.hathitrust.org/cgi/pt?id=njp.32101060099841;view=1up;seq=180; https://babel.hathitrust.org/cgi/pt?id=njp.32101060099841;view=1up;seq=150</v>
      </c>
      <c r="P429" s="27" t="s">
        <v>2577</v>
      </c>
      <c r="Q429" s="27" t="str">
        <f>'KY post'!V118&amp;"; "&amp;'KY post'!W118</f>
        <v>https://babel.hathitrust.org/cgi/pt?id=njp.32101060099841;view=1up;seq=242; https://babel.hathitrust.org/cgi/pt?id=njp.32101060099841;view=1up;seq=150</v>
      </c>
      <c r="R429" s="27" t="s">
        <v>2579</v>
      </c>
      <c r="S429" s="27" t="s">
        <v>2578</v>
      </c>
      <c r="T429" s="27" t="s">
        <v>2577</v>
      </c>
      <c r="U429" s="27" t="s">
        <v>2602</v>
      </c>
    </row>
    <row r="430" spans="1:21" x14ac:dyDescent="0.25">
      <c r="A430" s="27" t="s">
        <v>998</v>
      </c>
      <c r="B430" s="27" t="str">
        <f t="shared" si="20"/>
        <v>Kentucky</v>
      </c>
      <c r="C430" s="27" t="str">
        <f t="shared" si="21"/>
        <v>Whitley</v>
      </c>
      <c r="D430" s="96">
        <f>4238+71+1105+427+39+271+60+84+102</f>
        <v>6397</v>
      </c>
      <c r="E430" s="41">
        <f>118+21+9+6+1+2+0+4+2+4</f>
        <v>167</v>
      </c>
      <c r="F430" s="7">
        <f>'KY post'!G119</f>
        <v>176</v>
      </c>
      <c r="G430" s="41">
        <f>5564+162+1432+398+102+165+459+102+13+45</f>
        <v>8442</v>
      </c>
      <c r="H430" s="115">
        <f>'KY post'!K119</f>
        <v>56.413370985302116</v>
      </c>
      <c r="I430" s="2">
        <f>68341.35+30018.46+6256.75+1154.65+3040.67+11813.57</f>
        <v>120625.44999999998</v>
      </c>
      <c r="J430" s="27">
        <f>89+13+1+1+1+1</f>
        <v>106</v>
      </c>
      <c r="K430" s="29">
        <f>'KY post'!P119</f>
        <v>19300</v>
      </c>
      <c r="L430" s="41">
        <v>1922</v>
      </c>
      <c r="N430" s="27" t="s">
        <v>2576</v>
      </c>
      <c r="O430" s="27" t="str">
        <f>'KY post'!T119&amp;"; "&amp;'KY post'!W119</f>
        <v>https://babel.hathitrust.org/cgi/pt?id=njp.32101060099841;view=1up;seq=180; https://babel.hathitrust.org/cgi/pt?id=njp.32101060099841;view=1up;seq=150</v>
      </c>
      <c r="P430" s="27" t="s">
        <v>2577</v>
      </c>
      <c r="Q430" s="27" t="str">
        <f>'KY post'!V119&amp;"; "&amp;'KY post'!W119</f>
        <v>https://babel.hathitrust.org/cgi/pt?id=njp.32101060099841;view=1up;seq=242; https://babel.hathitrust.org/cgi/pt?id=njp.32101060099841;view=1up;seq=150</v>
      </c>
      <c r="R430" s="27" t="s">
        <v>2579</v>
      </c>
      <c r="S430" s="27" t="s">
        <v>2578</v>
      </c>
      <c r="T430" s="27" t="s">
        <v>2577</v>
      </c>
      <c r="U430" s="27" t="s">
        <v>2602</v>
      </c>
    </row>
    <row r="431" spans="1:21" x14ac:dyDescent="0.25">
      <c r="A431" s="27" t="s">
        <v>999</v>
      </c>
      <c r="B431" s="27" t="str">
        <f t="shared" si="20"/>
        <v>Kentucky</v>
      </c>
      <c r="C431" s="27" t="str">
        <f t="shared" si="21"/>
        <v>Wolfe</v>
      </c>
      <c r="D431" s="96">
        <f>2418+237</f>
        <v>2655</v>
      </c>
      <c r="E431" s="41">
        <f>57+4+2</f>
        <v>63</v>
      </c>
      <c r="F431" s="7">
        <f>'KY post'!G120</f>
        <v>160</v>
      </c>
      <c r="G431" s="41">
        <f>2398+273+54</f>
        <v>2725</v>
      </c>
      <c r="H431" s="115">
        <f>'KY post'!K120</f>
        <v>79.01150793650794</v>
      </c>
      <c r="I431" s="2">
        <f>35265.3+5670.16</f>
        <v>40935.460000000006</v>
      </c>
      <c r="J431" s="27">
        <f>51+3+1</f>
        <v>55</v>
      </c>
      <c r="K431" s="29">
        <f>'KY post'!P120</f>
        <v>44050</v>
      </c>
      <c r="L431" s="41">
        <v>1922</v>
      </c>
      <c r="N431" s="27" t="s">
        <v>2576</v>
      </c>
      <c r="O431" s="27" t="str">
        <f>'KY post'!T120&amp;"; "&amp;'KY post'!W120</f>
        <v>https://babel.hathitrust.org/cgi/pt?id=njp.32101060099841;view=1up;seq=180; https://babel.hathitrust.org/cgi/pt?id=njp.32101060099841;view=1up;seq=150</v>
      </c>
      <c r="P431" s="27" t="s">
        <v>2577</v>
      </c>
      <c r="Q431" s="27" t="str">
        <f>'KY post'!V120&amp;"; "&amp;'KY post'!W120</f>
        <v>https://babel.hathitrust.org/cgi/pt?id=njp.32101060099841;view=1up;seq=242; https://babel.hathitrust.org/cgi/pt?id=njp.32101060099841;view=1up;seq=150</v>
      </c>
      <c r="R431" s="27" t="s">
        <v>2579</v>
      </c>
      <c r="S431" s="27" t="s">
        <v>2578</v>
      </c>
      <c r="T431" s="27" t="s">
        <v>2577</v>
      </c>
      <c r="U431" s="27" t="s">
        <v>2602</v>
      </c>
    </row>
    <row r="432" spans="1:21" x14ac:dyDescent="0.25">
      <c r="A432" s="27" t="s">
        <v>1000</v>
      </c>
      <c r="B432" s="27" t="str">
        <f t="shared" si="20"/>
        <v>Kentucky</v>
      </c>
      <c r="C432" s="27" t="str">
        <f t="shared" si="21"/>
        <v>Woodford</v>
      </c>
      <c r="D432" s="96">
        <f>872+302+382+156+307</f>
        <v>2019</v>
      </c>
      <c r="E432" s="41">
        <f>45+16+6+0+0+4+2+7+2</f>
        <v>82</v>
      </c>
      <c r="F432" s="7">
        <f>'KY post'!G121</f>
        <v>174</v>
      </c>
      <c r="G432" s="41">
        <f>1318+452+386+215+283+81+25+97+24</f>
        <v>2881</v>
      </c>
      <c r="H432" s="115">
        <f>'KY post'!K121</f>
        <v>94.361550322399779</v>
      </c>
      <c r="I432" s="2">
        <f>57547.72+37793.27+15456.65</f>
        <v>110797.63999999998</v>
      </c>
      <c r="J432" s="27">
        <f>30+6+2+1</f>
        <v>39</v>
      </c>
      <c r="K432" s="29">
        <f>'KY post'!P121</f>
        <v>93662</v>
      </c>
      <c r="L432" s="41">
        <v>1922</v>
      </c>
      <c r="N432" s="27" t="s">
        <v>2576</v>
      </c>
      <c r="O432" s="27" t="str">
        <f>'KY post'!T121&amp;"; "&amp;'KY post'!W121</f>
        <v>https://babel.hathitrust.org/cgi/pt?id=njp.32101060099841;view=1up;seq=180; https://babel.hathitrust.org/cgi/pt?id=njp.32101060099841;view=1up;seq=150</v>
      </c>
      <c r="P432" s="27" t="s">
        <v>2577</v>
      </c>
      <c r="Q432" s="27" t="str">
        <f>'KY post'!V121&amp;"; "&amp;'KY post'!W121</f>
        <v>https://babel.hathitrust.org/cgi/pt?id=njp.32101060099841;view=1up;seq=242; https://babel.hathitrust.org/cgi/pt?id=njp.32101060099841;view=1up;seq=150</v>
      </c>
      <c r="R432" s="27" t="s">
        <v>2579</v>
      </c>
      <c r="S432" s="27" t="s">
        <v>2578</v>
      </c>
      <c r="T432" s="27" t="s">
        <v>2577</v>
      </c>
      <c r="U432" s="27" t="s">
        <v>2602</v>
      </c>
    </row>
    <row r="433" spans="1:21" x14ac:dyDescent="0.25">
      <c r="A433" s="27" t="s">
        <v>1001</v>
      </c>
      <c r="B433" s="27" t="str">
        <f t="shared" si="20"/>
        <v>Louisiana</v>
      </c>
      <c r="C433" s="27" t="str">
        <f t="shared" si="21"/>
        <v>Acadia</v>
      </c>
      <c r="D433" s="27">
        <f>'LA post'!F2</f>
        <v>5912</v>
      </c>
      <c r="E433" s="27">
        <f>'LA post'!I2</f>
        <v>204</v>
      </c>
      <c r="F433" s="26">
        <f>'LA post'!L2</f>
        <v>160</v>
      </c>
      <c r="G433" s="27">
        <v>6633</v>
      </c>
      <c r="H433" s="28">
        <f>'LA post'!Q2</f>
        <v>98.85</v>
      </c>
      <c r="I433" s="2">
        <v>424621</v>
      </c>
      <c r="J433" s="27">
        <v>57</v>
      </c>
      <c r="K433" s="2">
        <v>747840</v>
      </c>
      <c r="L433" s="41">
        <v>1925</v>
      </c>
      <c r="M433" s="27" t="s">
        <v>2586</v>
      </c>
      <c r="N433" s="27" t="s">
        <v>2588</v>
      </c>
      <c r="O433" s="27" t="s">
        <v>2587</v>
      </c>
      <c r="P433" s="27" t="s">
        <v>2588</v>
      </c>
      <c r="Q433" s="27" t="s">
        <v>2591</v>
      </c>
      <c r="R433" s="27" t="s">
        <v>2592</v>
      </c>
      <c r="S433" s="27" t="s">
        <v>2589</v>
      </c>
      <c r="T433" s="27" t="s">
        <v>2590</v>
      </c>
      <c r="U433" s="27" t="s">
        <v>2590</v>
      </c>
    </row>
    <row r="434" spans="1:21" x14ac:dyDescent="0.25">
      <c r="A434" s="27" t="s">
        <v>1002</v>
      </c>
      <c r="B434" s="27" t="str">
        <f t="shared" si="20"/>
        <v>Louisiana</v>
      </c>
      <c r="C434" s="27" t="str">
        <f t="shared" si="21"/>
        <v>Allen</v>
      </c>
      <c r="D434" s="27">
        <f>'LA post'!F3</f>
        <v>3564</v>
      </c>
      <c r="E434" s="27">
        <f>'LA post'!I3</f>
        <v>127</v>
      </c>
      <c r="F434" s="26">
        <f>'LA post'!L3</f>
        <v>163</v>
      </c>
      <c r="G434" s="27">
        <v>4780</v>
      </c>
      <c r="H434" s="28">
        <f>'LA post'!Q3</f>
        <v>112.96</v>
      </c>
      <c r="I434" s="2">
        <v>303680</v>
      </c>
      <c r="J434" s="27">
        <v>42</v>
      </c>
      <c r="K434" s="2">
        <v>626446</v>
      </c>
      <c r="L434" s="41">
        <v>1925</v>
      </c>
      <c r="M434" s="27" t="str">
        <f t="shared" ref="M434" si="22">M433</f>
        <v>https://ia601502.us.archive.org/19/items/LA192425/LApics.pdf</v>
      </c>
      <c r="N434" s="27" t="s">
        <v>2588</v>
      </c>
      <c r="O434" s="27" t="s">
        <v>2587</v>
      </c>
      <c r="P434" s="27" t="s">
        <v>2588</v>
      </c>
      <c r="Q434" s="27" t="s">
        <v>2591</v>
      </c>
      <c r="R434" s="27" t="s">
        <v>2592</v>
      </c>
      <c r="S434" s="27" t="s">
        <v>2589</v>
      </c>
      <c r="T434" s="27" t="s">
        <v>2590</v>
      </c>
      <c r="U434" s="27" t="s">
        <v>2590</v>
      </c>
    </row>
    <row r="435" spans="1:21" x14ac:dyDescent="0.25">
      <c r="A435" s="27" t="s">
        <v>1003</v>
      </c>
      <c r="B435" s="27" t="str">
        <f t="shared" si="20"/>
        <v>Louisiana</v>
      </c>
      <c r="C435" s="27" t="str">
        <f t="shared" si="21"/>
        <v>Ascension</v>
      </c>
      <c r="D435" s="27">
        <f>'LA post'!F4</f>
        <v>2673</v>
      </c>
      <c r="E435" s="27">
        <f>'LA post'!I4</f>
        <v>93</v>
      </c>
      <c r="F435" s="26">
        <f>'LA post'!L4</f>
        <v>159</v>
      </c>
      <c r="G435" s="27">
        <v>3438</v>
      </c>
      <c r="H435" s="28">
        <f>'LA post'!Q4</f>
        <v>97.82</v>
      </c>
      <c r="I435" s="27">
        <v>275184</v>
      </c>
      <c r="J435" s="27">
        <v>24</v>
      </c>
      <c r="K435" s="2">
        <v>295000</v>
      </c>
      <c r="L435" s="41">
        <v>1925</v>
      </c>
      <c r="M435" s="27" t="str">
        <f t="shared" ref="M435:M498" si="23">M434</f>
        <v>https://ia601502.us.archive.org/19/items/LA192425/LApics.pdf</v>
      </c>
      <c r="N435" s="27" t="s">
        <v>2588</v>
      </c>
      <c r="O435" s="27" t="s">
        <v>2587</v>
      </c>
      <c r="P435" s="27" t="s">
        <v>2588</v>
      </c>
      <c r="Q435" s="27" t="s">
        <v>2591</v>
      </c>
      <c r="R435" s="27" t="s">
        <v>2592</v>
      </c>
      <c r="S435" s="27" t="s">
        <v>2589</v>
      </c>
      <c r="T435" s="27" t="s">
        <v>2590</v>
      </c>
      <c r="U435" s="27" t="s">
        <v>2590</v>
      </c>
    </row>
    <row r="436" spans="1:21" x14ac:dyDescent="0.25">
      <c r="A436" s="27" t="s">
        <v>1004</v>
      </c>
      <c r="B436" s="27" t="str">
        <f t="shared" si="20"/>
        <v>Louisiana</v>
      </c>
      <c r="C436" s="27" t="str">
        <f t="shared" si="21"/>
        <v>Assumption</v>
      </c>
      <c r="D436" s="27">
        <f>'LA post'!F5</f>
        <v>2675</v>
      </c>
      <c r="E436" s="27">
        <f>'LA post'!I5</f>
        <v>87</v>
      </c>
      <c r="F436" s="26">
        <f>'LA post'!L5</f>
        <v>406</v>
      </c>
      <c r="G436" s="27">
        <v>2840</v>
      </c>
      <c r="H436" s="28">
        <f>'LA post'!Q5</f>
        <v>28.06</v>
      </c>
      <c r="I436" s="2">
        <v>113739</v>
      </c>
      <c r="J436" s="27">
        <v>24</v>
      </c>
      <c r="K436" s="2">
        <v>235321</v>
      </c>
      <c r="L436" s="41">
        <v>1925</v>
      </c>
      <c r="M436" s="27" t="str">
        <f t="shared" si="23"/>
        <v>https://ia601502.us.archive.org/19/items/LA192425/LApics.pdf</v>
      </c>
      <c r="N436" s="27" t="s">
        <v>2588</v>
      </c>
      <c r="O436" s="27" t="s">
        <v>2587</v>
      </c>
      <c r="P436" s="27" t="s">
        <v>2588</v>
      </c>
      <c r="Q436" s="27" t="s">
        <v>2591</v>
      </c>
      <c r="R436" s="27" t="s">
        <v>2592</v>
      </c>
      <c r="S436" s="27" t="s">
        <v>2589</v>
      </c>
      <c r="T436" s="27" t="s">
        <v>2590</v>
      </c>
      <c r="U436" s="27" t="s">
        <v>2590</v>
      </c>
    </row>
    <row r="437" spans="1:21" x14ac:dyDescent="0.25">
      <c r="A437" s="27" t="s">
        <v>1005</v>
      </c>
      <c r="B437" s="27" t="str">
        <f t="shared" si="20"/>
        <v>Louisiana</v>
      </c>
      <c r="C437" s="27" t="str">
        <f t="shared" si="21"/>
        <v>Avoyelles</v>
      </c>
      <c r="D437" s="27">
        <f>'LA post'!F6</f>
        <v>6222</v>
      </c>
      <c r="E437" s="27">
        <f>'LA post'!I6</f>
        <v>219</v>
      </c>
      <c r="F437" s="26">
        <f>'LA post'!L6</f>
        <v>151</v>
      </c>
      <c r="G437" s="27">
        <v>7705</v>
      </c>
      <c r="H437" s="28">
        <f>'LA post'!Q6</f>
        <v>95.05</v>
      </c>
      <c r="I437" s="2">
        <v>435008</v>
      </c>
      <c r="J437" s="27">
        <v>59</v>
      </c>
      <c r="K437" s="2">
        <v>524245</v>
      </c>
      <c r="L437" s="41">
        <v>1925</v>
      </c>
      <c r="M437" s="27" t="str">
        <f t="shared" si="23"/>
        <v>https://ia601502.us.archive.org/19/items/LA192425/LApics.pdf</v>
      </c>
      <c r="N437" s="27" t="s">
        <v>2588</v>
      </c>
      <c r="O437" s="27" t="s">
        <v>2587</v>
      </c>
      <c r="P437" s="27" t="s">
        <v>2588</v>
      </c>
      <c r="Q437" s="27" t="s">
        <v>2591</v>
      </c>
      <c r="R437" s="27" t="s">
        <v>2592</v>
      </c>
      <c r="S437" s="27" t="s">
        <v>2589</v>
      </c>
      <c r="T437" s="27" t="s">
        <v>2590</v>
      </c>
      <c r="U437" s="27" t="s">
        <v>2590</v>
      </c>
    </row>
    <row r="438" spans="1:21" x14ac:dyDescent="0.25">
      <c r="A438" s="27" t="s">
        <v>1016</v>
      </c>
      <c r="B438" s="27" t="str">
        <f t="shared" si="20"/>
        <v>Louisiana</v>
      </c>
      <c r="C438" s="27" t="str">
        <f t="shared" si="21"/>
        <v>East Baton Rouge</v>
      </c>
      <c r="D438" s="27">
        <f>'LA post'!F7</f>
        <v>9036</v>
      </c>
      <c r="E438" s="27">
        <f>'LA post'!I7</f>
        <v>271</v>
      </c>
      <c r="F438" s="26">
        <f>'LA post'!L7</f>
        <v>171</v>
      </c>
      <c r="G438" s="27">
        <v>10513</v>
      </c>
      <c r="H438" s="28">
        <f>'LA post'!Q7</f>
        <v>116.78</v>
      </c>
      <c r="I438" s="2">
        <v>583472</v>
      </c>
      <c r="J438" s="27">
        <v>56</v>
      </c>
      <c r="K438" s="2">
        <v>1528264</v>
      </c>
      <c r="L438" s="41">
        <v>1925</v>
      </c>
      <c r="M438" s="27" t="str">
        <f t="shared" si="23"/>
        <v>https://ia601502.us.archive.org/19/items/LA192425/LApics.pdf</v>
      </c>
      <c r="N438" s="27" t="s">
        <v>2588</v>
      </c>
      <c r="O438" s="27" t="s">
        <v>2587</v>
      </c>
      <c r="P438" s="27" t="s">
        <v>2588</v>
      </c>
      <c r="Q438" s="27" t="s">
        <v>2591</v>
      </c>
      <c r="R438" s="27" t="s">
        <v>2592</v>
      </c>
      <c r="S438" s="27" t="s">
        <v>2589</v>
      </c>
      <c r="T438" s="27" t="s">
        <v>2590</v>
      </c>
      <c r="U438" s="27" t="s">
        <v>2590</v>
      </c>
    </row>
    <row r="439" spans="1:21" x14ac:dyDescent="0.25">
      <c r="A439" s="27" t="s">
        <v>1047</v>
      </c>
      <c r="B439" s="27" t="str">
        <f t="shared" si="20"/>
        <v>Louisiana</v>
      </c>
      <c r="C439" s="27" t="str">
        <f t="shared" si="21"/>
        <v>West Baton Rouge</v>
      </c>
      <c r="D439" s="27">
        <f>'LA post'!F8</f>
        <v>1769</v>
      </c>
      <c r="E439" s="27">
        <f>'LA post'!I8</f>
        <v>52</v>
      </c>
      <c r="F439" s="26">
        <f>'LA post'!L8</f>
        <v>137</v>
      </c>
      <c r="G439" s="27">
        <v>2059</v>
      </c>
      <c r="H439" s="28">
        <f>'LA post'!Q8</f>
        <v>111.86</v>
      </c>
      <c r="I439" s="2">
        <v>81022</v>
      </c>
      <c r="J439" s="27">
        <v>16</v>
      </c>
      <c r="K439" s="2">
        <v>190118</v>
      </c>
      <c r="L439" s="41">
        <v>1925</v>
      </c>
      <c r="M439" s="27" t="str">
        <f t="shared" si="23"/>
        <v>https://ia601502.us.archive.org/19/items/LA192425/LApics.pdf</v>
      </c>
      <c r="N439" s="27" t="s">
        <v>2588</v>
      </c>
      <c r="O439" s="27" t="s">
        <v>2587</v>
      </c>
      <c r="P439" s="27" t="s">
        <v>2588</v>
      </c>
      <c r="Q439" s="27" t="s">
        <v>2591</v>
      </c>
      <c r="R439" s="27" t="s">
        <v>2592</v>
      </c>
      <c r="S439" s="27" t="s">
        <v>2589</v>
      </c>
      <c r="T439" s="27" t="s">
        <v>2590</v>
      </c>
      <c r="U439" s="27" t="s">
        <v>2590</v>
      </c>
    </row>
    <row r="440" spans="1:21" x14ac:dyDescent="0.25">
      <c r="A440" s="27" t="s">
        <v>1006</v>
      </c>
      <c r="B440" s="27" t="str">
        <f t="shared" si="20"/>
        <v>Louisiana</v>
      </c>
      <c r="C440" s="27" t="str">
        <f t="shared" si="21"/>
        <v>Beauregard</v>
      </c>
      <c r="D440" s="27">
        <f>'LA post'!F9</f>
        <v>4343</v>
      </c>
      <c r="E440" s="27">
        <f>'LA post'!I9</f>
        <v>153</v>
      </c>
      <c r="F440" s="26">
        <f>'LA post'!L9</f>
        <v>177</v>
      </c>
      <c r="G440" s="27">
        <v>5392</v>
      </c>
      <c r="H440" s="28">
        <f>'LA post'!Q9</f>
        <v>104.28</v>
      </c>
      <c r="I440" s="2">
        <v>440941</v>
      </c>
      <c r="J440" s="27">
        <v>30</v>
      </c>
      <c r="K440" s="2">
        <v>726390</v>
      </c>
      <c r="L440" s="41">
        <v>1925</v>
      </c>
      <c r="M440" s="27" t="str">
        <f t="shared" si="23"/>
        <v>https://ia601502.us.archive.org/19/items/LA192425/LApics.pdf</v>
      </c>
      <c r="N440" s="27" t="s">
        <v>2588</v>
      </c>
      <c r="O440" s="27" t="s">
        <v>2587</v>
      </c>
      <c r="P440" s="27" t="s">
        <v>2588</v>
      </c>
      <c r="Q440" s="27" t="s">
        <v>2591</v>
      </c>
      <c r="R440" s="27" t="s">
        <v>2592</v>
      </c>
      <c r="S440" s="27" t="s">
        <v>2589</v>
      </c>
      <c r="T440" s="27" t="s">
        <v>2590</v>
      </c>
      <c r="U440" s="27" t="s">
        <v>2590</v>
      </c>
    </row>
    <row r="441" spans="1:21" x14ac:dyDescent="0.25">
      <c r="A441" s="27" t="s">
        <v>1007</v>
      </c>
      <c r="B441" s="27" t="str">
        <f t="shared" si="20"/>
        <v>Louisiana</v>
      </c>
      <c r="C441" s="27" t="str">
        <f t="shared" si="21"/>
        <v>Bienville</v>
      </c>
      <c r="D441" s="27">
        <f>'LA post'!F10</f>
        <v>5411</v>
      </c>
      <c r="E441" s="27">
        <f>'LA post'!I10</f>
        <v>188</v>
      </c>
      <c r="F441" s="26">
        <f>'LA post'!L10</f>
        <v>136</v>
      </c>
      <c r="G441" s="27">
        <v>7379</v>
      </c>
      <c r="H441" s="28">
        <f>'LA post'!Q10</f>
        <v>108.49</v>
      </c>
      <c r="I441" s="2">
        <v>322079</v>
      </c>
      <c r="J441" s="27">
        <v>62</v>
      </c>
      <c r="K441" s="2">
        <v>819051</v>
      </c>
      <c r="L441" s="41">
        <v>1925</v>
      </c>
      <c r="M441" s="27" t="str">
        <f t="shared" si="23"/>
        <v>https://ia601502.us.archive.org/19/items/LA192425/LApics.pdf</v>
      </c>
      <c r="N441" s="27" t="s">
        <v>2588</v>
      </c>
      <c r="O441" s="27" t="s">
        <v>2587</v>
      </c>
      <c r="P441" s="27" t="s">
        <v>2588</v>
      </c>
      <c r="Q441" s="27" t="s">
        <v>2591</v>
      </c>
      <c r="R441" s="27" t="s">
        <v>2592</v>
      </c>
      <c r="S441" s="27" t="s">
        <v>2589</v>
      </c>
      <c r="T441" s="27" t="s">
        <v>2590</v>
      </c>
      <c r="U441" s="27" t="s">
        <v>2590</v>
      </c>
    </row>
    <row r="442" spans="1:21" x14ac:dyDescent="0.25">
      <c r="A442" s="27" t="s">
        <v>1008</v>
      </c>
      <c r="B442" s="27" t="str">
        <f t="shared" si="20"/>
        <v>Louisiana</v>
      </c>
      <c r="C442" s="27" t="str">
        <f t="shared" si="21"/>
        <v>Bossier</v>
      </c>
      <c r="D442" s="27">
        <f>'LA post'!F11</f>
        <v>4422</v>
      </c>
      <c r="E442" s="27">
        <f>'LA post'!I11</f>
        <v>166</v>
      </c>
      <c r="F442" s="26">
        <f>'LA post'!L11</f>
        <v>120</v>
      </c>
      <c r="G442" s="27">
        <v>6232</v>
      </c>
      <c r="H442" s="28">
        <f>'LA post'!Q11</f>
        <v>106.1</v>
      </c>
      <c r="I442" s="2">
        <v>202978</v>
      </c>
      <c r="J442" s="27">
        <v>74</v>
      </c>
      <c r="K442" s="2">
        <v>486730</v>
      </c>
      <c r="L442" s="41">
        <v>1925</v>
      </c>
      <c r="M442" s="27" t="str">
        <f t="shared" si="23"/>
        <v>https://ia601502.us.archive.org/19/items/LA192425/LApics.pdf</v>
      </c>
      <c r="N442" s="27" t="s">
        <v>2588</v>
      </c>
      <c r="O442" s="27" t="s">
        <v>2587</v>
      </c>
      <c r="P442" s="27" t="s">
        <v>2588</v>
      </c>
      <c r="Q442" s="27" t="s">
        <v>2591</v>
      </c>
      <c r="R442" s="27" t="s">
        <v>2592</v>
      </c>
      <c r="S442" s="27" t="s">
        <v>2589</v>
      </c>
      <c r="T442" s="27" t="s">
        <v>2590</v>
      </c>
      <c r="U442" s="27" t="s">
        <v>2590</v>
      </c>
    </row>
    <row r="443" spans="1:21" x14ac:dyDescent="0.25">
      <c r="A443" s="27" t="s">
        <v>1009</v>
      </c>
      <c r="B443" s="27" t="str">
        <f t="shared" si="20"/>
        <v>Louisiana</v>
      </c>
      <c r="C443" s="27" t="str">
        <f t="shared" si="21"/>
        <v>Caddo</v>
      </c>
      <c r="D443" s="27">
        <f>'LA post'!F12</f>
        <v>18359</v>
      </c>
      <c r="E443" s="27">
        <f>'LA post'!I12</f>
        <v>689</v>
      </c>
      <c r="F443" s="26">
        <f>'LA post'!L12</f>
        <v>157</v>
      </c>
      <c r="G443" s="27">
        <v>25682</v>
      </c>
      <c r="H443" s="28">
        <f>'LA post'!Q12</f>
        <v>118.24</v>
      </c>
      <c r="I443" s="2">
        <v>2312519</v>
      </c>
      <c r="J443" s="27">
        <v>122</v>
      </c>
      <c r="K443" s="2">
        <v>4276800</v>
      </c>
      <c r="L443" s="41">
        <v>1925</v>
      </c>
      <c r="M443" s="27" t="str">
        <f t="shared" si="23"/>
        <v>https://ia601502.us.archive.org/19/items/LA192425/LApics.pdf</v>
      </c>
      <c r="N443" s="27" t="s">
        <v>2588</v>
      </c>
      <c r="O443" s="27" t="s">
        <v>2587</v>
      </c>
      <c r="P443" s="27" t="s">
        <v>2588</v>
      </c>
      <c r="Q443" s="27" t="s">
        <v>2591</v>
      </c>
      <c r="R443" s="27" t="s">
        <v>2592</v>
      </c>
      <c r="S443" s="27" t="s">
        <v>2589</v>
      </c>
      <c r="T443" s="27" t="s">
        <v>2590</v>
      </c>
      <c r="U443" s="27" t="s">
        <v>2590</v>
      </c>
    </row>
    <row r="444" spans="1:21" x14ac:dyDescent="0.25">
      <c r="A444" s="27" t="s">
        <v>1010</v>
      </c>
      <c r="B444" s="27" t="str">
        <f t="shared" si="20"/>
        <v>Louisiana</v>
      </c>
      <c r="C444" s="27" t="str">
        <f t="shared" si="21"/>
        <v>Calcasieu</v>
      </c>
      <c r="D444" s="27">
        <f>'LA post'!F13</f>
        <v>4332</v>
      </c>
      <c r="E444" s="27">
        <f>'LA post'!I13</f>
        <v>161</v>
      </c>
      <c r="F444" s="26">
        <f>'LA post'!L13</f>
        <v>169</v>
      </c>
      <c r="G444" s="27">
        <v>6024</v>
      </c>
      <c r="H444" s="28">
        <f>'LA post'!Q13</f>
        <v>117.59</v>
      </c>
      <c r="I444" s="2">
        <v>286823</v>
      </c>
      <c r="J444" s="27">
        <v>61</v>
      </c>
      <c r="K444" s="2">
        <v>736468</v>
      </c>
      <c r="L444" s="41">
        <v>1925</v>
      </c>
      <c r="M444" s="27" t="str">
        <f t="shared" si="23"/>
        <v>https://ia601502.us.archive.org/19/items/LA192425/LApics.pdf</v>
      </c>
      <c r="N444" s="27" t="s">
        <v>2588</v>
      </c>
      <c r="O444" s="27" t="s">
        <v>2587</v>
      </c>
      <c r="P444" s="27" t="s">
        <v>2588</v>
      </c>
      <c r="Q444" s="27" t="s">
        <v>2591</v>
      </c>
      <c r="R444" s="27" t="s">
        <v>2592</v>
      </c>
      <c r="S444" s="27" t="s">
        <v>2589</v>
      </c>
      <c r="T444" s="27" t="s">
        <v>2590</v>
      </c>
      <c r="U444" s="27" t="s">
        <v>2590</v>
      </c>
    </row>
    <row r="445" spans="1:21" x14ac:dyDescent="0.25">
      <c r="A445" s="27" t="s">
        <v>1011</v>
      </c>
      <c r="B445" s="27" t="str">
        <f t="shared" si="20"/>
        <v>Louisiana</v>
      </c>
      <c r="C445" s="27" t="str">
        <f t="shared" si="21"/>
        <v>Caldwell</v>
      </c>
      <c r="D445" s="27">
        <f>'LA post'!F14</f>
        <v>2427</v>
      </c>
      <c r="E445" s="27">
        <f>'LA post'!I14</f>
        <v>86</v>
      </c>
      <c r="F445" s="26">
        <f>'LA post'!L14</f>
        <v>127</v>
      </c>
      <c r="G445" s="27">
        <v>2907</v>
      </c>
      <c r="H445" s="28">
        <f>'LA post'!Q14</f>
        <v>112.98</v>
      </c>
      <c r="I445" s="2">
        <v>210789</v>
      </c>
      <c r="J445" s="27">
        <v>30</v>
      </c>
      <c r="K445" s="2">
        <v>181900</v>
      </c>
      <c r="L445" s="41">
        <v>1925</v>
      </c>
      <c r="M445" s="27" t="str">
        <f t="shared" si="23"/>
        <v>https://ia601502.us.archive.org/19/items/LA192425/LApics.pdf</v>
      </c>
      <c r="N445" s="27" t="s">
        <v>2588</v>
      </c>
      <c r="O445" s="27" t="s">
        <v>2587</v>
      </c>
      <c r="P445" s="27" t="s">
        <v>2588</v>
      </c>
      <c r="Q445" s="27" t="s">
        <v>2591</v>
      </c>
      <c r="R445" s="27" t="s">
        <v>2592</v>
      </c>
      <c r="S445" s="27" t="s">
        <v>2589</v>
      </c>
      <c r="T445" s="27" t="s">
        <v>2590</v>
      </c>
      <c r="U445" s="27" t="s">
        <v>2590</v>
      </c>
    </row>
    <row r="446" spans="1:21" x14ac:dyDescent="0.25">
      <c r="A446" s="27" t="s">
        <v>1012</v>
      </c>
      <c r="B446" s="27" t="str">
        <f t="shared" si="20"/>
        <v>Louisiana</v>
      </c>
      <c r="C446" s="27" t="str">
        <f t="shared" si="21"/>
        <v>Cameron</v>
      </c>
      <c r="D446" s="27">
        <f>'LA post'!F15</f>
        <v>743</v>
      </c>
      <c r="E446" s="27">
        <f>'LA post'!I15</f>
        <v>38</v>
      </c>
      <c r="F446" s="26">
        <f>'LA post'!L15</f>
        <v>151</v>
      </c>
      <c r="G446" s="27">
        <v>943</v>
      </c>
      <c r="H446" s="28">
        <f>'LA post'!Q15</f>
        <v>84.77</v>
      </c>
      <c r="I446" s="2">
        <v>37782</v>
      </c>
      <c r="J446" s="27">
        <v>29</v>
      </c>
      <c r="K446" s="2">
        <v>129825</v>
      </c>
      <c r="L446" s="41">
        <v>1925</v>
      </c>
      <c r="M446" s="27" t="str">
        <f t="shared" si="23"/>
        <v>https://ia601502.us.archive.org/19/items/LA192425/LApics.pdf</v>
      </c>
      <c r="N446" s="27" t="s">
        <v>2588</v>
      </c>
      <c r="O446" s="27" t="s">
        <v>2587</v>
      </c>
      <c r="P446" s="27" t="s">
        <v>2588</v>
      </c>
      <c r="Q446" s="27" t="s">
        <v>2591</v>
      </c>
      <c r="R446" s="27" t="s">
        <v>2592</v>
      </c>
      <c r="S446" s="27" t="s">
        <v>2589</v>
      </c>
      <c r="T446" s="27" t="s">
        <v>2590</v>
      </c>
      <c r="U446" s="27" t="s">
        <v>2590</v>
      </c>
    </row>
    <row r="447" spans="1:21" x14ac:dyDescent="0.25">
      <c r="A447" s="27" t="s">
        <v>1780</v>
      </c>
      <c r="B447" s="27" t="str">
        <f t="shared" si="20"/>
        <v>Louisiana</v>
      </c>
      <c r="C447" s="27" t="str">
        <f t="shared" si="21"/>
        <v>East Carroll/Carroll</v>
      </c>
      <c r="D447" s="27">
        <f>'LA post'!F16</f>
        <v>1829</v>
      </c>
      <c r="E447" s="27">
        <f>'LA post'!I16</f>
        <v>48</v>
      </c>
      <c r="F447" s="26">
        <f>'LA post'!L16</f>
        <v>119</v>
      </c>
      <c r="G447" s="27">
        <v>2400</v>
      </c>
      <c r="H447" s="28">
        <f>'LA post'!Q16</f>
        <v>95.86</v>
      </c>
      <c r="I447" s="2">
        <v>81367</v>
      </c>
      <c r="J447" s="27">
        <v>11</v>
      </c>
      <c r="K447" s="2">
        <v>196741</v>
      </c>
      <c r="L447" s="41">
        <v>1925</v>
      </c>
      <c r="M447" s="27" t="str">
        <f t="shared" si="23"/>
        <v>https://ia601502.us.archive.org/19/items/LA192425/LApics.pdf</v>
      </c>
      <c r="N447" s="27" t="s">
        <v>2588</v>
      </c>
      <c r="O447" s="27" t="s">
        <v>2587</v>
      </c>
      <c r="P447" s="27" t="s">
        <v>2588</v>
      </c>
      <c r="Q447" s="27" t="s">
        <v>2591</v>
      </c>
      <c r="R447" s="27" t="s">
        <v>2592</v>
      </c>
      <c r="S447" s="27" t="s">
        <v>2589</v>
      </c>
      <c r="T447" s="27" t="s">
        <v>2590</v>
      </c>
      <c r="U447" s="27" t="s">
        <v>2590</v>
      </c>
    </row>
    <row r="448" spans="1:21" x14ac:dyDescent="0.25">
      <c r="A448" s="27" t="s">
        <v>1048</v>
      </c>
      <c r="B448" s="27" t="str">
        <f t="shared" si="20"/>
        <v>Louisiana</v>
      </c>
      <c r="C448" s="27" t="str">
        <f t="shared" si="21"/>
        <v>West Carroll</v>
      </c>
      <c r="D448" s="27">
        <f>'LA post'!F17</f>
        <v>2052</v>
      </c>
      <c r="E448" s="27">
        <f>'LA post'!I17</f>
        <v>80</v>
      </c>
      <c r="F448" s="26">
        <f>'LA post'!L17</f>
        <v>157</v>
      </c>
      <c r="G448" s="27">
        <v>2777</v>
      </c>
      <c r="H448" s="28">
        <f>'LA post'!Q17</f>
        <v>88.59</v>
      </c>
      <c r="I448" s="2">
        <v>136586</v>
      </c>
      <c r="J448" s="27">
        <v>23</v>
      </c>
      <c r="K448" s="2">
        <v>325829</v>
      </c>
      <c r="L448" s="41">
        <v>1925</v>
      </c>
      <c r="M448" s="27" t="str">
        <f t="shared" si="23"/>
        <v>https://ia601502.us.archive.org/19/items/LA192425/LApics.pdf</v>
      </c>
      <c r="N448" s="27" t="s">
        <v>2588</v>
      </c>
      <c r="O448" s="27" t="s">
        <v>2587</v>
      </c>
      <c r="P448" s="27" t="s">
        <v>2588</v>
      </c>
      <c r="Q448" s="27" t="s">
        <v>2591</v>
      </c>
      <c r="R448" s="27" t="s">
        <v>2592</v>
      </c>
      <c r="S448" s="27" t="s">
        <v>2589</v>
      </c>
      <c r="T448" s="27" t="s">
        <v>2590</v>
      </c>
      <c r="U448" s="27" t="s">
        <v>2590</v>
      </c>
    </row>
    <row r="449" spans="1:21" x14ac:dyDescent="0.25">
      <c r="A449" s="27" t="s">
        <v>1013</v>
      </c>
      <c r="B449" s="27" t="str">
        <f t="shared" si="20"/>
        <v>Louisiana</v>
      </c>
      <c r="C449" s="27" t="str">
        <f t="shared" si="21"/>
        <v>Catahoula</v>
      </c>
      <c r="D449" s="27">
        <f>'LA post'!F18</f>
        <v>2446</v>
      </c>
      <c r="E449" s="27">
        <f>'LA post'!I18</f>
        <v>93</v>
      </c>
      <c r="F449" s="26">
        <f>'LA post'!L18</f>
        <v>135</v>
      </c>
      <c r="G449" s="27">
        <v>3120</v>
      </c>
      <c r="H449" s="28">
        <f>'LA post'!Q18</f>
        <v>103.94</v>
      </c>
      <c r="I449" s="2">
        <v>166529</v>
      </c>
      <c r="J449" s="27">
        <v>25</v>
      </c>
      <c r="K449" s="2">
        <v>328200</v>
      </c>
      <c r="L449" s="41">
        <v>1925</v>
      </c>
      <c r="M449" s="27" t="str">
        <f t="shared" si="23"/>
        <v>https://ia601502.us.archive.org/19/items/LA192425/LApics.pdf</v>
      </c>
      <c r="N449" s="27" t="s">
        <v>2588</v>
      </c>
      <c r="O449" s="27" t="s">
        <v>2587</v>
      </c>
      <c r="P449" s="27" t="s">
        <v>2588</v>
      </c>
      <c r="Q449" s="27" t="s">
        <v>2591</v>
      </c>
      <c r="R449" s="27" t="s">
        <v>2592</v>
      </c>
      <c r="S449" s="27" t="s">
        <v>2589</v>
      </c>
      <c r="T449" s="27" t="s">
        <v>2590</v>
      </c>
      <c r="U449" s="27" t="s">
        <v>2590</v>
      </c>
    </row>
    <row r="450" spans="1:21" x14ac:dyDescent="0.25">
      <c r="A450" s="27" t="s">
        <v>1014</v>
      </c>
      <c r="B450" s="27" t="str">
        <f t="shared" ref="B450:B513" si="24">LEFT(A450,FIND(";",A450)-1)</f>
        <v>Louisiana</v>
      </c>
      <c r="C450" s="27" t="str">
        <f t="shared" ref="C450:C513" si="25">MID(A450,FIND(";",A450)+1,100)</f>
        <v>Claiborne</v>
      </c>
      <c r="D450" s="27">
        <f>'LA post'!F19</f>
        <v>7404</v>
      </c>
      <c r="E450" s="27">
        <f>'LA post'!I19</f>
        <v>268</v>
      </c>
      <c r="F450" s="26">
        <f>'LA post'!L19</f>
        <v>140</v>
      </c>
      <c r="G450" s="27">
        <v>8986</v>
      </c>
      <c r="H450" s="28">
        <f>'LA post'!Q19</f>
        <v>118.91</v>
      </c>
      <c r="I450" s="2">
        <v>828320</v>
      </c>
      <c r="J450" s="27">
        <v>64</v>
      </c>
      <c r="K450" s="2">
        <v>861022</v>
      </c>
      <c r="L450" s="41">
        <v>1925</v>
      </c>
      <c r="M450" s="27" t="str">
        <f t="shared" si="23"/>
        <v>https://ia601502.us.archive.org/19/items/LA192425/LApics.pdf</v>
      </c>
      <c r="N450" s="27" t="s">
        <v>2588</v>
      </c>
      <c r="O450" s="27" t="s">
        <v>2587</v>
      </c>
      <c r="P450" s="27" t="s">
        <v>2588</v>
      </c>
      <c r="Q450" s="27" t="s">
        <v>2591</v>
      </c>
      <c r="R450" s="27" t="s">
        <v>2592</v>
      </c>
      <c r="S450" s="27" t="s">
        <v>2589</v>
      </c>
      <c r="T450" s="27" t="s">
        <v>2590</v>
      </c>
      <c r="U450" s="27" t="s">
        <v>2590</v>
      </c>
    </row>
    <row r="451" spans="1:21" x14ac:dyDescent="0.25">
      <c r="A451" s="27" t="s">
        <v>1015</v>
      </c>
      <c r="B451" s="27" t="str">
        <f t="shared" si="24"/>
        <v>Louisiana</v>
      </c>
      <c r="C451" s="27" t="str">
        <f t="shared" si="25"/>
        <v>Concordia</v>
      </c>
      <c r="D451" s="27">
        <f>'LA post'!F20</f>
        <v>2124</v>
      </c>
      <c r="E451" s="27">
        <f>'LA post'!I20</f>
        <v>63</v>
      </c>
      <c r="F451" s="26">
        <f>'LA post'!L20</f>
        <v>102</v>
      </c>
      <c r="G451" s="27">
        <v>2780</v>
      </c>
      <c r="H451" s="28">
        <f>'LA post'!Q20</f>
        <v>135.04</v>
      </c>
      <c r="I451" s="2">
        <v>139890</v>
      </c>
      <c r="J451" s="27">
        <v>31</v>
      </c>
      <c r="K451" s="2">
        <v>179163</v>
      </c>
      <c r="L451" s="41">
        <v>1925</v>
      </c>
      <c r="M451" s="27" t="str">
        <f t="shared" si="23"/>
        <v>https://ia601502.us.archive.org/19/items/LA192425/LApics.pdf</v>
      </c>
      <c r="N451" s="27" t="s">
        <v>2588</v>
      </c>
      <c r="O451" s="27" t="s">
        <v>2587</v>
      </c>
      <c r="P451" s="27" t="s">
        <v>2588</v>
      </c>
      <c r="Q451" s="27" t="s">
        <v>2591</v>
      </c>
      <c r="R451" s="27" t="s">
        <v>2592</v>
      </c>
      <c r="S451" s="27" t="s">
        <v>2589</v>
      </c>
      <c r="T451" s="27" t="s">
        <v>2590</v>
      </c>
      <c r="U451" s="27" t="s">
        <v>2590</v>
      </c>
    </row>
    <row r="452" spans="1:21" x14ac:dyDescent="0.25">
      <c r="A452" s="27" t="s">
        <v>1962</v>
      </c>
      <c r="B452" s="27" t="str">
        <f t="shared" si="24"/>
        <v>Louisiana</v>
      </c>
      <c r="C452" s="27" t="str">
        <f t="shared" si="25"/>
        <v>Desoto</v>
      </c>
      <c r="D452" s="27">
        <f>'LA post'!F21</f>
        <v>5965</v>
      </c>
      <c r="E452" s="27">
        <f>'LA post'!I21</f>
        <v>221</v>
      </c>
      <c r="F452" s="26">
        <f>'LA post'!L21</f>
        <v>117</v>
      </c>
      <c r="G452" s="27">
        <v>7301</v>
      </c>
      <c r="H452" s="28">
        <f>'LA post'!Q21</f>
        <v>132.59</v>
      </c>
      <c r="I452" s="2">
        <v>458988</v>
      </c>
      <c r="J452" s="27">
        <v>38</v>
      </c>
      <c r="K452" s="2">
        <v>727052</v>
      </c>
      <c r="L452" s="41">
        <v>1925</v>
      </c>
      <c r="M452" s="27" t="str">
        <f t="shared" si="23"/>
        <v>https://ia601502.us.archive.org/19/items/LA192425/LApics.pdf</v>
      </c>
      <c r="N452" s="27" t="s">
        <v>2588</v>
      </c>
      <c r="O452" s="27" t="s">
        <v>2587</v>
      </c>
      <c r="P452" s="27" t="s">
        <v>2588</v>
      </c>
      <c r="Q452" s="27" t="s">
        <v>2591</v>
      </c>
      <c r="R452" s="27" t="s">
        <v>2592</v>
      </c>
      <c r="S452" s="27" t="s">
        <v>2589</v>
      </c>
      <c r="T452" s="27" t="s">
        <v>2590</v>
      </c>
      <c r="U452" s="27" t="s">
        <v>2590</v>
      </c>
    </row>
    <row r="453" spans="1:21" x14ac:dyDescent="0.25">
      <c r="A453" s="27" t="s">
        <v>1018</v>
      </c>
      <c r="B453" s="27" t="str">
        <f t="shared" si="24"/>
        <v>Louisiana</v>
      </c>
      <c r="C453" s="27" t="str">
        <f t="shared" si="25"/>
        <v>Evangeline</v>
      </c>
      <c r="D453" s="27">
        <f>'LA post'!F22</f>
        <v>4466</v>
      </c>
      <c r="E453" s="27">
        <f>'LA post'!I22</f>
        <v>152</v>
      </c>
      <c r="F453" s="26">
        <f>'LA post'!L22</f>
        <v>154</v>
      </c>
      <c r="G453" s="27">
        <v>6369</v>
      </c>
      <c r="H453" s="28">
        <f>'LA post'!Q22</f>
        <v>100.89</v>
      </c>
      <c r="I453" s="2">
        <v>291081</v>
      </c>
      <c r="J453" s="27">
        <v>59</v>
      </c>
      <c r="K453" s="2">
        <v>524700</v>
      </c>
      <c r="L453" s="41">
        <v>1925</v>
      </c>
      <c r="M453" s="27" t="str">
        <f t="shared" si="23"/>
        <v>https://ia601502.us.archive.org/19/items/LA192425/LApics.pdf</v>
      </c>
      <c r="N453" s="27" t="s">
        <v>2588</v>
      </c>
      <c r="O453" s="27" t="s">
        <v>2587</v>
      </c>
      <c r="P453" s="27" t="s">
        <v>2588</v>
      </c>
      <c r="Q453" s="27" t="s">
        <v>2591</v>
      </c>
      <c r="R453" s="27" t="s">
        <v>2592</v>
      </c>
      <c r="S453" s="27" t="s">
        <v>2589</v>
      </c>
      <c r="T453" s="27" t="s">
        <v>2590</v>
      </c>
      <c r="U453" s="27" t="s">
        <v>2590</v>
      </c>
    </row>
    <row r="454" spans="1:21" x14ac:dyDescent="0.25">
      <c r="A454" s="27" t="s">
        <v>1017</v>
      </c>
      <c r="B454" s="27" t="str">
        <f t="shared" si="24"/>
        <v>Louisiana</v>
      </c>
      <c r="C454" s="27" t="str">
        <f t="shared" si="25"/>
        <v>East Feliciana</v>
      </c>
      <c r="D454" s="27">
        <f>'LA post'!F23</f>
        <v>2682</v>
      </c>
      <c r="E454" s="27">
        <f>'LA post'!I23</f>
        <v>78</v>
      </c>
      <c r="F454" s="26">
        <f>'LA post'!L23</f>
        <v>126</v>
      </c>
      <c r="G454" s="27">
        <v>2778</v>
      </c>
      <c r="H454" s="28">
        <f>'LA post'!Q23</f>
        <v>103.17</v>
      </c>
      <c r="I454" s="2">
        <v>116848</v>
      </c>
      <c r="J454" s="27">
        <v>16</v>
      </c>
      <c r="K454" s="2">
        <v>155300</v>
      </c>
      <c r="L454" s="41">
        <v>1925</v>
      </c>
      <c r="M454" s="27" t="str">
        <f t="shared" si="23"/>
        <v>https://ia601502.us.archive.org/19/items/LA192425/LApics.pdf</v>
      </c>
      <c r="N454" s="27" t="s">
        <v>2588</v>
      </c>
      <c r="O454" s="27" t="s">
        <v>2587</v>
      </c>
      <c r="P454" s="27" t="s">
        <v>2588</v>
      </c>
      <c r="Q454" s="27" t="s">
        <v>2591</v>
      </c>
      <c r="R454" s="27" t="s">
        <v>2592</v>
      </c>
      <c r="S454" s="27" t="s">
        <v>2589</v>
      </c>
      <c r="T454" s="27" t="s">
        <v>2590</v>
      </c>
      <c r="U454" s="27" t="s">
        <v>2590</v>
      </c>
    </row>
    <row r="455" spans="1:21" x14ac:dyDescent="0.25">
      <c r="A455" s="27" t="s">
        <v>1049</v>
      </c>
      <c r="B455" s="27" t="str">
        <f t="shared" si="24"/>
        <v>Louisiana</v>
      </c>
      <c r="C455" s="27" t="str">
        <f t="shared" si="25"/>
        <v>West Feliciana</v>
      </c>
      <c r="D455" s="27">
        <f>'LA post'!F24</f>
        <v>1156</v>
      </c>
      <c r="E455" s="27">
        <f>'LA post'!I24</f>
        <v>32</v>
      </c>
      <c r="F455" s="26">
        <f>'LA post'!L24</f>
        <v>111</v>
      </c>
      <c r="G455" s="27">
        <v>1911</v>
      </c>
      <c r="H455" s="28">
        <f>'LA post'!Q24</f>
        <v>132.81</v>
      </c>
      <c r="I455" s="2">
        <v>47250</v>
      </c>
      <c r="J455" s="27">
        <v>23</v>
      </c>
      <c r="K455" s="2">
        <v>80850</v>
      </c>
      <c r="L455" s="41">
        <v>1925</v>
      </c>
      <c r="M455" s="27" t="str">
        <f t="shared" si="23"/>
        <v>https://ia601502.us.archive.org/19/items/LA192425/LApics.pdf</v>
      </c>
      <c r="N455" s="27" t="s">
        <v>2588</v>
      </c>
      <c r="O455" s="27" t="s">
        <v>2587</v>
      </c>
      <c r="P455" s="27" t="s">
        <v>2588</v>
      </c>
      <c r="Q455" s="27" t="s">
        <v>2591</v>
      </c>
      <c r="R455" s="27" t="s">
        <v>2592</v>
      </c>
      <c r="S455" s="27" t="s">
        <v>2589</v>
      </c>
      <c r="T455" s="27" t="s">
        <v>2590</v>
      </c>
      <c r="U455" s="27" t="s">
        <v>2590</v>
      </c>
    </row>
    <row r="456" spans="1:21" x14ac:dyDescent="0.25">
      <c r="A456" s="27" t="s">
        <v>1019</v>
      </c>
      <c r="B456" s="27" t="str">
        <f t="shared" si="24"/>
        <v>Louisiana</v>
      </c>
      <c r="C456" s="27" t="str">
        <f t="shared" si="25"/>
        <v>Franklin</v>
      </c>
      <c r="D456" s="27">
        <f>'LA post'!F25</f>
        <v>4951</v>
      </c>
      <c r="E456" s="27">
        <f>'LA post'!I25</f>
        <v>160</v>
      </c>
      <c r="F456" s="26">
        <f>'LA post'!L25</f>
        <v>151</v>
      </c>
      <c r="G456" s="27">
        <v>7332</v>
      </c>
      <c r="H456" s="28">
        <f>'LA post'!Q25</f>
        <v>95.32</v>
      </c>
      <c r="I456" s="2">
        <v>377096</v>
      </c>
      <c r="J456" s="27">
        <v>48</v>
      </c>
      <c r="K456" s="2">
        <v>466789</v>
      </c>
      <c r="L456" s="41">
        <v>1925</v>
      </c>
      <c r="M456" s="27" t="str">
        <f t="shared" si="23"/>
        <v>https://ia601502.us.archive.org/19/items/LA192425/LApics.pdf</v>
      </c>
      <c r="N456" s="27" t="s">
        <v>2588</v>
      </c>
      <c r="O456" s="27" t="s">
        <v>2587</v>
      </c>
      <c r="P456" s="27" t="s">
        <v>2588</v>
      </c>
      <c r="Q456" s="27" t="s">
        <v>2591</v>
      </c>
      <c r="R456" s="27" t="s">
        <v>2592</v>
      </c>
      <c r="S456" s="27" t="s">
        <v>2589</v>
      </c>
      <c r="T456" s="27" t="s">
        <v>2590</v>
      </c>
      <c r="U456" s="27" t="s">
        <v>2590</v>
      </c>
    </row>
    <row r="457" spans="1:21" x14ac:dyDescent="0.25">
      <c r="A457" s="27" t="s">
        <v>1020</v>
      </c>
      <c r="B457" s="27" t="str">
        <f t="shared" si="24"/>
        <v>Louisiana</v>
      </c>
      <c r="C457" s="27" t="str">
        <f t="shared" si="25"/>
        <v>Grant</v>
      </c>
      <c r="D457" s="27">
        <f>'LA post'!F26</f>
        <v>3834</v>
      </c>
      <c r="E457" s="27">
        <f>'LA post'!I26</f>
        <v>135</v>
      </c>
      <c r="F457" s="26">
        <f>'LA post'!L26</f>
        <v>144</v>
      </c>
      <c r="G457" s="27">
        <v>4936</v>
      </c>
      <c r="H457" s="28">
        <f>'LA post'!Q26</f>
        <v>96.36</v>
      </c>
      <c r="I457" s="2">
        <v>340656</v>
      </c>
      <c r="J457" s="27">
        <v>38</v>
      </c>
      <c r="K457" s="2">
        <v>389700</v>
      </c>
      <c r="L457" s="41">
        <v>1925</v>
      </c>
      <c r="M457" s="27" t="str">
        <f t="shared" si="23"/>
        <v>https://ia601502.us.archive.org/19/items/LA192425/LApics.pdf</v>
      </c>
      <c r="N457" s="27" t="s">
        <v>2588</v>
      </c>
      <c r="O457" s="27" t="s">
        <v>2587</v>
      </c>
      <c r="P457" s="27" t="s">
        <v>2588</v>
      </c>
      <c r="Q457" s="27" t="s">
        <v>2591</v>
      </c>
      <c r="R457" s="27" t="s">
        <v>2592</v>
      </c>
      <c r="S457" s="27" t="s">
        <v>2589</v>
      </c>
      <c r="T457" s="27" t="s">
        <v>2590</v>
      </c>
      <c r="U457" s="27" t="s">
        <v>2590</v>
      </c>
    </row>
    <row r="458" spans="1:21" x14ac:dyDescent="0.25">
      <c r="A458" s="27" t="s">
        <v>1021</v>
      </c>
      <c r="B458" s="27" t="str">
        <f t="shared" si="24"/>
        <v>Louisiana</v>
      </c>
      <c r="C458" s="27" t="str">
        <f t="shared" si="25"/>
        <v>Iberia</v>
      </c>
      <c r="D458" s="27">
        <f>'LA post'!F27</f>
        <v>4106</v>
      </c>
      <c r="E458" s="27">
        <f>'LA post'!I27</f>
        <v>136</v>
      </c>
      <c r="F458" s="26">
        <f>'LA post'!L27</f>
        <v>179</v>
      </c>
      <c r="G458" s="27">
        <v>5040</v>
      </c>
      <c r="H458" s="28">
        <f>'LA post'!Q27</f>
        <v>93.71</v>
      </c>
      <c r="I458" s="2">
        <v>347584</v>
      </c>
      <c r="J458" s="27">
        <v>45</v>
      </c>
      <c r="K458" s="2">
        <v>546064</v>
      </c>
      <c r="L458" s="41">
        <v>1925</v>
      </c>
      <c r="M458" s="27" t="str">
        <f t="shared" si="23"/>
        <v>https://ia601502.us.archive.org/19/items/LA192425/LApics.pdf</v>
      </c>
      <c r="N458" s="27" t="s">
        <v>2588</v>
      </c>
      <c r="O458" s="27" t="s">
        <v>2587</v>
      </c>
      <c r="P458" s="27" t="s">
        <v>2588</v>
      </c>
      <c r="Q458" s="27" t="s">
        <v>2591</v>
      </c>
      <c r="R458" s="27" t="s">
        <v>2592</v>
      </c>
      <c r="S458" s="27" t="s">
        <v>2589</v>
      </c>
      <c r="T458" s="27" t="s">
        <v>2590</v>
      </c>
      <c r="U458" s="27" t="s">
        <v>2590</v>
      </c>
    </row>
    <row r="459" spans="1:21" x14ac:dyDescent="0.25">
      <c r="A459" s="27" t="s">
        <v>1022</v>
      </c>
      <c r="B459" s="27" t="str">
        <f t="shared" si="24"/>
        <v>Louisiana</v>
      </c>
      <c r="C459" s="27" t="str">
        <f t="shared" si="25"/>
        <v>Iberville</v>
      </c>
      <c r="D459" s="27">
        <f>'LA post'!F28</f>
        <v>20317</v>
      </c>
      <c r="E459" s="27">
        <f>'LA post'!I28</f>
        <v>96</v>
      </c>
      <c r="F459" s="26">
        <f>'LA post'!L28</f>
        <v>174</v>
      </c>
      <c r="G459" s="27">
        <v>3833</v>
      </c>
      <c r="H459" s="28">
        <f>'LA post'!Q28</f>
        <v>99.58</v>
      </c>
      <c r="I459" s="2">
        <v>150624</v>
      </c>
      <c r="J459" s="27">
        <v>19</v>
      </c>
      <c r="K459" s="2">
        <v>215532</v>
      </c>
      <c r="L459" s="41">
        <v>1925</v>
      </c>
      <c r="M459" s="27" t="str">
        <f t="shared" si="23"/>
        <v>https://ia601502.us.archive.org/19/items/LA192425/LApics.pdf</v>
      </c>
      <c r="N459" s="27" t="s">
        <v>2588</v>
      </c>
      <c r="O459" s="27" t="s">
        <v>2587</v>
      </c>
      <c r="P459" s="27" t="s">
        <v>2588</v>
      </c>
      <c r="Q459" s="27" t="s">
        <v>2591</v>
      </c>
      <c r="R459" s="27" t="s">
        <v>2592</v>
      </c>
      <c r="S459" s="27" t="s">
        <v>2589</v>
      </c>
      <c r="T459" s="27" t="s">
        <v>2590</v>
      </c>
      <c r="U459" s="27" t="s">
        <v>2590</v>
      </c>
    </row>
    <row r="460" spans="1:21" x14ac:dyDescent="0.25">
      <c r="A460" s="27" t="s">
        <v>1023</v>
      </c>
      <c r="B460" s="27" t="str">
        <f t="shared" si="24"/>
        <v>Louisiana</v>
      </c>
      <c r="C460" s="27" t="str">
        <f t="shared" si="25"/>
        <v>Jackson</v>
      </c>
      <c r="D460" s="27">
        <f>'LA post'!F29</f>
        <v>2441</v>
      </c>
      <c r="E460" s="27">
        <f>'LA post'!I29</f>
        <v>106</v>
      </c>
      <c r="F460" s="26">
        <f>'LA post'!L29</f>
        <v>127</v>
      </c>
      <c r="G460" s="27">
        <v>3875</v>
      </c>
      <c r="H460" s="28">
        <f>'LA post'!Q29</f>
        <v>106.66</v>
      </c>
      <c r="I460" s="2">
        <v>224334</v>
      </c>
      <c r="J460" s="27">
        <v>42</v>
      </c>
      <c r="K460" s="2">
        <v>324500</v>
      </c>
      <c r="L460" s="41">
        <v>1925</v>
      </c>
      <c r="M460" s="27" t="str">
        <f t="shared" si="23"/>
        <v>https://ia601502.us.archive.org/19/items/LA192425/LApics.pdf</v>
      </c>
      <c r="N460" s="27" t="s">
        <v>2588</v>
      </c>
      <c r="O460" s="27" t="s">
        <v>2587</v>
      </c>
      <c r="P460" s="27" t="s">
        <v>2588</v>
      </c>
      <c r="Q460" s="27" t="s">
        <v>2591</v>
      </c>
      <c r="R460" s="27" t="s">
        <v>2592</v>
      </c>
      <c r="S460" s="27" t="s">
        <v>2589</v>
      </c>
      <c r="T460" s="27" t="s">
        <v>2590</v>
      </c>
      <c r="U460" s="27" t="s">
        <v>2590</v>
      </c>
    </row>
    <row r="461" spans="1:21" x14ac:dyDescent="0.25">
      <c r="A461" s="27" t="s">
        <v>1024</v>
      </c>
      <c r="B461" s="27" t="str">
        <f t="shared" si="24"/>
        <v>Louisiana</v>
      </c>
      <c r="C461" s="27" t="str">
        <f t="shared" si="25"/>
        <v>Jefferson</v>
      </c>
      <c r="D461" s="27">
        <f>'LA post'!F30</f>
        <v>4026</v>
      </c>
      <c r="E461" s="27">
        <f>'LA post'!I30</f>
        <v>140</v>
      </c>
      <c r="F461" s="26">
        <f>'LA post'!L30</f>
        <v>172</v>
      </c>
      <c r="G461" s="27">
        <v>5212</v>
      </c>
      <c r="H461" s="28">
        <f>'LA post'!Q30</f>
        <v>94.57</v>
      </c>
      <c r="I461" s="2">
        <v>214020</v>
      </c>
      <c r="J461" s="27">
        <v>20</v>
      </c>
      <c r="K461" s="2">
        <v>552531</v>
      </c>
      <c r="L461" s="41">
        <v>1925</v>
      </c>
      <c r="M461" s="27" t="str">
        <f t="shared" si="23"/>
        <v>https://ia601502.us.archive.org/19/items/LA192425/LApics.pdf</v>
      </c>
      <c r="N461" s="27" t="s">
        <v>2588</v>
      </c>
      <c r="O461" s="27" t="s">
        <v>2587</v>
      </c>
      <c r="P461" s="27" t="s">
        <v>2588</v>
      </c>
      <c r="Q461" s="27" t="s">
        <v>2591</v>
      </c>
      <c r="R461" s="27" t="s">
        <v>2592</v>
      </c>
      <c r="S461" s="27" t="s">
        <v>2589</v>
      </c>
      <c r="T461" s="27" t="s">
        <v>2590</v>
      </c>
      <c r="U461" s="27" t="s">
        <v>2590</v>
      </c>
    </row>
    <row r="462" spans="1:21" x14ac:dyDescent="0.25">
      <c r="A462" s="27" t="s">
        <v>1025</v>
      </c>
      <c r="B462" s="27" t="str">
        <f t="shared" si="24"/>
        <v>Louisiana</v>
      </c>
      <c r="C462" s="27" t="str">
        <f t="shared" si="25"/>
        <v>Jefferson Davis</v>
      </c>
      <c r="D462" s="27">
        <f>'LA post'!F31</f>
        <v>3227</v>
      </c>
      <c r="E462" s="27">
        <f>'LA post'!I31</f>
        <v>131</v>
      </c>
      <c r="F462" s="26">
        <f>'LA post'!L31</f>
        <v>160</v>
      </c>
      <c r="G462" s="27">
        <v>3959</v>
      </c>
      <c r="H462" s="28">
        <f>'LA post'!Q31</f>
        <v>125.46</v>
      </c>
      <c r="I462" s="2">
        <v>243838</v>
      </c>
      <c r="J462" s="27">
        <v>33</v>
      </c>
      <c r="K462" s="2">
        <v>853936</v>
      </c>
      <c r="L462" s="41">
        <v>1925</v>
      </c>
      <c r="M462" s="27" t="str">
        <f t="shared" si="23"/>
        <v>https://ia601502.us.archive.org/19/items/LA192425/LApics.pdf</v>
      </c>
      <c r="N462" s="27" t="s">
        <v>2588</v>
      </c>
      <c r="O462" s="27" t="s">
        <v>2587</v>
      </c>
      <c r="P462" s="27" t="s">
        <v>2588</v>
      </c>
      <c r="Q462" s="27" t="s">
        <v>2591</v>
      </c>
      <c r="R462" s="27" t="s">
        <v>2592</v>
      </c>
      <c r="S462" s="27" t="s">
        <v>2589</v>
      </c>
      <c r="T462" s="27" t="s">
        <v>2590</v>
      </c>
      <c r="U462" s="27" t="s">
        <v>2590</v>
      </c>
    </row>
    <row r="463" spans="1:21" x14ac:dyDescent="0.25">
      <c r="A463" s="27" t="s">
        <v>1026</v>
      </c>
      <c r="B463" s="27" t="str">
        <f t="shared" si="24"/>
        <v>Louisiana</v>
      </c>
      <c r="C463" s="27" t="str">
        <f t="shared" si="25"/>
        <v>Lafayette</v>
      </c>
      <c r="D463" s="27">
        <f>'LA post'!F32</f>
        <v>4689</v>
      </c>
      <c r="E463" s="27">
        <f>'LA post'!I32</f>
        <v>161</v>
      </c>
      <c r="F463" s="26">
        <f>'LA post'!L32</f>
        <v>177</v>
      </c>
      <c r="G463" s="27">
        <v>5837</v>
      </c>
      <c r="H463" s="28">
        <f>'LA post'!Q32</f>
        <v>130.55000000000001</v>
      </c>
      <c r="I463" s="2">
        <v>314959</v>
      </c>
      <c r="J463" s="27">
        <v>32</v>
      </c>
      <c r="K463" s="2">
        <v>545375</v>
      </c>
      <c r="L463" s="41">
        <v>1925</v>
      </c>
      <c r="M463" s="27" t="str">
        <f t="shared" si="23"/>
        <v>https://ia601502.us.archive.org/19/items/LA192425/LApics.pdf</v>
      </c>
      <c r="N463" s="27" t="s">
        <v>2588</v>
      </c>
      <c r="O463" s="27" t="s">
        <v>2587</v>
      </c>
      <c r="P463" s="27" t="s">
        <v>2588</v>
      </c>
      <c r="Q463" s="27" t="s">
        <v>2591</v>
      </c>
      <c r="R463" s="27" t="s">
        <v>2592</v>
      </c>
      <c r="S463" s="27" t="s">
        <v>2589</v>
      </c>
      <c r="T463" s="27" t="s">
        <v>2590</v>
      </c>
      <c r="U463" s="27" t="s">
        <v>2590</v>
      </c>
    </row>
    <row r="464" spans="1:21" x14ac:dyDescent="0.25">
      <c r="A464" s="27" t="s">
        <v>1027</v>
      </c>
      <c r="B464" s="27" t="str">
        <f t="shared" si="24"/>
        <v>Louisiana</v>
      </c>
      <c r="C464" s="27" t="str">
        <f t="shared" si="25"/>
        <v>Lafourche</v>
      </c>
      <c r="D464" s="27">
        <f>'LA post'!F33</f>
        <v>4739</v>
      </c>
      <c r="E464" s="27">
        <f>'LA post'!I33</f>
        <v>157</v>
      </c>
      <c r="F464" s="26">
        <f>'LA post'!L33</f>
        <v>174</v>
      </c>
      <c r="G464" s="27">
        <v>5596</v>
      </c>
      <c r="H464" s="28">
        <f>'LA post'!Q33</f>
        <v>103.71</v>
      </c>
      <c r="I464" s="2">
        <v>257351</v>
      </c>
      <c r="J464" s="27">
        <v>35</v>
      </c>
      <c r="K464" s="2">
        <v>458200</v>
      </c>
      <c r="L464" s="41">
        <v>1925</v>
      </c>
      <c r="M464" s="27" t="str">
        <f t="shared" si="23"/>
        <v>https://ia601502.us.archive.org/19/items/LA192425/LApics.pdf</v>
      </c>
      <c r="N464" s="27" t="s">
        <v>2588</v>
      </c>
      <c r="O464" s="27" t="s">
        <v>2587</v>
      </c>
      <c r="P464" s="27" t="s">
        <v>2588</v>
      </c>
      <c r="Q464" s="27" t="s">
        <v>2591</v>
      </c>
      <c r="R464" s="27" t="s">
        <v>2592</v>
      </c>
      <c r="S464" s="27" t="s">
        <v>2589</v>
      </c>
      <c r="T464" s="27" t="s">
        <v>2590</v>
      </c>
      <c r="U464" s="27" t="s">
        <v>2590</v>
      </c>
    </row>
    <row r="465" spans="1:21" x14ac:dyDescent="0.25">
      <c r="A465" s="27" t="s">
        <v>1028</v>
      </c>
      <c r="B465" s="27" t="str">
        <f t="shared" si="24"/>
        <v>Louisiana</v>
      </c>
      <c r="C465" s="27" t="str">
        <f t="shared" si="25"/>
        <v>La Salle</v>
      </c>
      <c r="D465" s="27">
        <f>'LA post'!F34</f>
        <v>2326</v>
      </c>
      <c r="E465" s="27">
        <f>'LA post'!I34</f>
        <v>97</v>
      </c>
      <c r="F465" s="26">
        <f>'LA post'!L34</f>
        <v>161</v>
      </c>
      <c r="G465" s="27">
        <v>2931</v>
      </c>
      <c r="H465" s="28">
        <f>'LA post'!Q34</f>
        <v>109.52</v>
      </c>
      <c r="I465" s="2">
        <v>255684</v>
      </c>
      <c r="J465" s="27">
        <v>41</v>
      </c>
      <c r="K465" s="2">
        <v>269206</v>
      </c>
      <c r="L465" s="41">
        <v>1925</v>
      </c>
      <c r="M465" s="27" t="str">
        <f t="shared" si="23"/>
        <v>https://ia601502.us.archive.org/19/items/LA192425/LApics.pdf</v>
      </c>
      <c r="N465" s="27" t="s">
        <v>2588</v>
      </c>
      <c r="O465" s="27" t="s">
        <v>2587</v>
      </c>
      <c r="P465" s="27" t="s">
        <v>2588</v>
      </c>
      <c r="Q465" s="27" t="s">
        <v>2591</v>
      </c>
      <c r="R465" s="27" t="s">
        <v>2592</v>
      </c>
      <c r="S465" s="27" t="s">
        <v>2589</v>
      </c>
      <c r="T465" s="27" t="s">
        <v>2590</v>
      </c>
      <c r="U465" s="27" t="s">
        <v>2590</v>
      </c>
    </row>
    <row r="466" spans="1:21" x14ac:dyDescent="0.25">
      <c r="A466" s="27" t="s">
        <v>1029</v>
      </c>
      <c r="B466" s="27" t="str">
        <f t="shared" si="24"/>
        <v>Louisiana</v>
      </c>
      <c r="C466" s="27" t="str">
        <f t="shared" si="25"/>
        <v>Lincoln</v>
      </c>
      <c r="D466" s="27">
        <f>'LA post'!F35</f>
        <v>3966</v>
      </c>
      <c r="E466" s="27">
        <f>'LA post'!I35</f>
        <v>153</v>
      </c>
      <c r="F466" s="26">
        <f>'LA post'!L35</f>
        <v>152</v>
      </c>
      <c r="G466" s="27">
        <v>5441</v>
      </c>
      <c r="H466" s="28">
        <f>'LA post'!Q35</f>
        <v>87.41</v>
      </c>
      <c r="I466" s="2">
        <v>333560</v>
      </c>
      <c r="J466" s="27">
        <v>52</v>
      </c>
      <c r="K466" s="2">
        <v>522500</v>
      </c>
      <c r="L466" s="41">
        <v>1925</v>
      </c>
      <c r="M466" s="27" t="str">
        <f t="shared" si="23"/>
        <v>https://ia601502.us.archive.org/19/items/LA192425/LApics.pdf</v>
      </c>
      <c r="N466" s="27" t="s">
        <v>2588</v>
      </c>
      <c r="O466" s="27" t="s">
        <v>2587</v>
      </c>
      <c r="P466" s="27" t="s">
        <v>2588</v>
      </c>
      <c r="Q466" s="27" t="s">
        <v>2591</v>
      </c>
      <c r="R466" s="27" t="s">
        <v>2592</v>
      </c>
      <c r="S466" s="27" t="s">
        <v>2589</v>
      </c>
      <c r="T466" s="27" t="s">
        <v>2590</v>
      </c>
      <c r="U466" s="27" t="s">
        <v>2590</v>
      </c>
    </row>
    <row r="467" spans="1:21" x14ac:dyDescent="0.25">
      <c r="A467" s="27" t="s">
        <v>1030</v>
      </c>
      <c r="B467" s="27" t="str">
        <f t="shared" si="24"/>
        <v>Louisiana</v>
      </c>
      <c r="C467" s="27" t="str">
        <f t="shared" si="25"/>
        <v>Livingston</v>
      </c>
      <c r="D467" s="27">
        <f>'LA post'!F36</f>
        <v>2622</v>
      </c>
      <c r="E467" s="27">
        <f>'LA post'!I36</f>
        <v>98</v>
      </c>
      <c r="F467" s="26">
        <f>'LA post'!L36</f>
        <v>157</v>
      </c>
      <c r="G467" s="27">
        <v>3450</v>
      </c>
      <c r="H467" s="28">
        <f>'LA post'!Q36</f>
        <v>77.92</v>
      </c>
      <c r="I467" s="2">
        <v>239845</v>
      </c>
      <c r="J467" s="27">
        <v>27</v>
      </c>
      <c r="K467" s="2">
        <v>207814</v>
      </c>
      <c r="L467" s="41">
        <v>1925</v>
      </c>
      <c r="M467" s="27" t="str">
        <f t="shared" si="23"/>
        <v>https://ia601502.us.archive.org/19/items/LA192425/LApics.pdf</v>
      </c>
      <c r="N467" s="27" t="s">
        <v>2588</v>
      </c>
      <c r="O467" s="27" t="s">
        <v>2587</v>
      </c>
      <c r="P467" s="27" t="s">
        <v>2588</v>
      </c>
      <c r="Q467" s="27" t="s">
        <v>2591</v>
      </c>
      <c r="R467" s="27" t="s">
        <v>2592</v>
      </c>
      <c r="S467" s="27" t="s">
        <v>2589</v>
      </c>
      <c r="T467" s="27" t="s">
        <v>2590</v>
      </c>
      <c r="U467" s="27" t="s">
        <v>2590</v>
      </c>
    </row>
    <row r="468" spans="1:21" x14ac:dyDescent="0.25">
      <c r="A468" s="27" t="s">
        <v>1031</v>
      </c>
      <c r="B468" s="27" t="str">
        <f t="shared" si="24"/>
        <v>Louisiana</v>
      </c>
      <c r="C468" s="27" t="str">
        <f t="shared" si="25"/>
        <v>Madison</v>
      </c>
      <c r="D468" s="27">
        <f>'LA post'!F37</f>
        <v>1767</v>
      </c>
      <c r="E468" s="27">
        <f>'LA post'!I37</f>
        <v>64</v>
      </c>
      <c r="F468" s="26">
        <f>'LA post'!L37</f>
        <v>125</v>
      </c>
      <c r="G468" s="27">
        <v>2634</v>
      </c>
      <c r="H468" s="28">
        <f>'LA post'!Q37</f>
        <v>92.94</v>
      </c>
      <c r="I468" s="2">
        <v>68206</v>
      </c>
      <c r="J468" s="27">
        <v>19</v>
      </c>
      <c r="K468" s="2">
        <v>89845</v>
      </c>
      <c r="L468" s="41">
        <v>1925</v>
      </c>
      <c r="M468" s="27" t="str">
        <f t="shared" si="23"/>
        <v>https://ia601502.us.archive.org/19/items/LA192425/LApics.pdf</v>
      </c>
      <c r="N468" s="27" t="s">
        <v>2588</v>
      </c>
      <c r="O468" s="27" t="s">
        <v>2587</v>
      </c>
      <c r="P468" s="27" t="s">
        <v>2588</v>
      </c>
      <c r="Q468" s="27" t="s">
        <v>2591</v>
      </c>
      <c r="R468" s="27" t="s">
        <v>2592</v>
      </c>
      <c r="S468" s="27" t="s">
        <v>2589</v>
      </c>
      <c r="T468" s="27" t="s">
        <v>2590</v>
      </c>
      <c r="U468" s="27" t="s">
        <v>2590</v>
      </c>
    </row>
    <row r="469" spans="1:21" x14ac:dyDescent="0.25">
      <c r="A469" s="27" t="s">
        <v>1032</v>
      </c>
      <c r="B469" s="27" t="str">
        <f t="shared" si="24"/>
        <v>Louisiana</v>
      </c>
      <c r="C469" s="27" t="str">
        <f t="shared" si="25"/>
        <v>Morehouse</v>
      </c>
      <c r="D469" s="27">
        <f>'LA post'!F38</f>
        <v>3897</v>
      </c>
      <c r="E469" s="27">
        <f>'LA post'!I38</f>
        <v>129</v>
      </c>
      <c r="F469" s="26">
        <f>'LA post'!L38</f>
        <v>139</v>
      </c>
      <c r="G469" s="27">
        <v>5433</v>
      </c>
      <c r="H469" s="28">
        <f>'LA post'!Q38</f>
        <v>108.41</v>
      </c>
      <c r="I469" s="2">
        <v>232147</v>
      </c>
      <c r="J469" s="27">
        <v>33</v>
      </c>
      <c r="K469" s="2">
        <v>320365</v>
      </c>
      <c r="L469" s="41">
        <v>1925</v>
      </c>
      <c r="M469" s="27" t="str">
        <f t="shared" si="23"/>
        <v>https://ia601502.us.archive.org/19/items/LA192425/LApics.pdf</v>
      </c>
      <c r="N469" s="27" t="s">
        <v>2588</v>
      </c>
      <c r="O469" s="27" t="s">
        <v>2587</v>
      </c>
      <c r="P469" s="27" t="s">
        <v>2588</v>
      </c>
      <c r="Q469" s="27" t="s">
        <v>2591</v>
      </c>
      <c r="R469" s="27" t="s">
        <v>2592</v>
      </c>
      <c r="S469" s="27" t="s">
        <v>2589</v>
      </c>
      <c r="T469" s="27" t="s">
        <v>2590</v>
      </c>
      <c r="U469" s="27" t="s">
        <v>2590</v>
      </c>
    </row>
    <row r="470" spans="1:21" x14ac:dyDescent="0.25">
      <c r="A470" s="27" t="s">
        <v>1033</v>
      </c>
      <c r="B470" s="27" t="str">
        <f t="shared" si="24"/>
        <v>Louisiana</v>
      </c>
      <c r="C470" s="27" t="str">
        <f t="shared" si="25"/>
        <v>Natchitoches</v>
      </c>
      <c r="D470" s="27">
        <f>'LA post'!F39</f>
        <v>6184</v>
      </c>
      <c r="E470" s="27">
        <f>'LA post'!I39</f>
        <v>236</v>
      </c>
      <c r="F470" s="26">
        <f>'LA post'!L39</f>
        <v>132</v>
      </c>
      <c r="G470" s="27">
        <v>8967</v>
      </c>
      <c r="H470" s="28">
        <f>'LA post'!Q39</f>
        <v>102.62</v>
      </c>
      <c r="I470" s="2">
        <v>489810</v>
      </c>
      <c r="J470" s="27">
        <v>120</v>
      </c>
      <c r="K470" s="2">
        <v>620069</v>
      </c>
      <c r="L470" s="41">
        <v>1925</v>
      </c>
      <c r="M470" s="27" t="str">
        <f t="shared" si="23"/>
        <v>https://ia601502.us.archive.org/19/items/LA192425/LApics.pdf</v>
      </c>
      <c r="N470" s="27" t="s">
        <v>2588</v>
      </c>
      <c r="O470" s="27" t="s">
        <v>2587</v>
      </c>
      <c r="P470" s="27" t="s">
        <v>2588</v>
      </c>
      <c r="Q470" s="27" t="s">
        <v>2591</v>
      </c>
      <c r="R470" s="27" t="s">
        <v>2592</v>
      </c>
      <c r="S470" s="27" t="s">
        <v>2589</v>
      </c>
      <c r="T470" s="27" t="s">
        <v>2590</v>
      </c>
      <c r="U470" s="27" t="s">
        <v>2590</v>
      </c>
    </row>
    <row r="471" spans="1:21" x14ac:dyDescent="0.25">
      <c r="A471" s="27" t="s">
        <v>1034</v>
      </c>
      <c r="B471" s="27" t="str">
        <f t="shared" si="24"/>
        <v>Louisiana</v>
      </c>
      <c r="C471" s="27" t="str">
        <f t="shared" si="25"/>
        <v>Orleans</v>
      </c>
      <c r="D471" s="27">
        <f>'LA post'!F40</f>
        <v>47687</v>
      </c>
      <c r="E471" s="27">
        <f>'LA post'!I40</f>
        <v>1548</v>
      </c>
      <c r="F471" s="26">
        <f>'LA post'!L40</f>
        <v>178</v>
      </c>
      <c r="G471" s="27">
        <v>53220</v>
      </c>
      <c r="H471" s="28">
        <f>'LA post'!Q40</f>
        <v>194.29</v>
      </c>
      <c r="I471" s="2">
        <v>7750872</v>
      </c>
      <c r="J471" s="27">
        <v>37</v>
      </c>
      <c r="K471" s="2">
        <v>8495149</v>
      </c>
      <c r="L471" s="41">
        <v>1925</v>
      </c>
      <c r="M471" s="27" t="str">
        <f t="shared" si="23"/>
        <v>https://ia601502.us.archive.org/19/items/LA192425/LApics.pdf</v>
      </c>
      <c r="N471" s="27" t="s">
        <v>2588</v>
      </c>
      <c r="O471" s="27" t="s">
        <v>2587</v>
      </c>
      <c r="P471" s="27" t="s">
        <v>2588</v>
      </c>
      <c r="Q471" s="27" t="s">
        <v>2591</v>
      </c>
      <c r="R471" s="27" t="s">
        <v>2592</v>
      </c>
      <c r="S471" s="27" t="s">
        <v>2589</v>
      </c>
      <c r="T471" s="27" t="s">
        <v>2590</v>
      </c>
      <c r="U471" s="27" t="s">
        <v>2590</v>
      </c>
    </row>
    <row r="472" spans="1:21" x14ac:dyDescent="0.25">
      <c r="A472" s="27" t="s">
        <v>1035</v>
      </c>
      <c r="B472" s="27" t="str">
        <f t="shared" si="24"/>
        <v>Louisiana</v>
      </c>
      <c r="C472" s="27" t="str">
        <f t="shared" si="25"/>
        <v>Ouachita</v>
      </c>
      <c r="D472" s="27">
        <f>'LA post'!F41</f>
        <v>4550</v>
      </c>
      <c r="E472" s="27">
        <f>'LA post'!I41</f>
        <v>159</v>
      </c>
      <c r="F472" s="26">
        <f>'LA post'!L41</f>
        <v>148</v>
      </c>
      <c r="G472" s="27">
        <v>5914</v>
      </c>
      <c r="H472" s="28">
        <f>'LA post'!Q41</f>
        <v>106.1</v>
      </c>
      <c r="I472" s="2">
        <v>344206</v>
      </c>
      <c r="J472" s="27">
        <v>33</v>
      </c>
      <c r="K472" s="2">
        <v>411123</v>
      </c>
      <c r="L472" s="41">
        <v>1925</v>
      </c>
      <c r="M472" s="27" t="str">
        <f t="shared" si="23"/>
        <v>https://ia601502.us.archive.org/19/items/LA192425/LApics.pdf</v>
      </c>
      <c r="N472" s="27" t="s">
        <v>2588</v>
      </c>
      <c r="O472" s="27" t="s">
        <v>2587</v>
      </c>
      <c r="P472" s="27" t="s">
        <v>2588</v>
      </c>
      <c r="Q472" s="27" t="s">
        <v>2591</v>
      </c>
      <c r="R472" s="27" t="s">
        <v>2592</v>
      </c>
      <c r="S472" s="27" t="s">
        <v>2589</v>
      </c>
      <c r="T472" s="27" t="s">
        <v>2590</v>
      </c>
      <c r="U472" s="27" t="s">
        <v>2590</v>
      </c>
    </row>
    <row r="473" spans="1:21" x14ac:dyDescent="0.25">
      <c r="A473" s="27" t="s">
        <v>1036</v>
      </c>
      <c r="B473" s="27" t="str">
        <f t="shared" si="24"/>
        <v>Louisiana</v>
      </c>
      <c r="C473" s="27" t="str">
        <f t="shared" si="25"/>
        <v>Plaquemines</v>
      </c>
      <c r="D473" s="27">
        <f>'LA post'!F42</f>
        <v>1491</v>
      </c>
      <c r="E473" s="27">
        <f>'LA post'!I42</f>
        <v>44</v>
      </c>
      <c r="F473" s="26">
        <f>'LA post'!L42</f>
        <v>136</v>
      </c>
      <c r="G473" s="27">
        <v>1771</v>
      </c>
      <c r="H473" s="28">
        <f>'LA post'!Q42</f>
        <v>73.849999999999994</v>
      </c>
      <c r="I473" s="2">
        <v>80297</v>
      </c>
      <c r="J473" s="27">
        <v>19</v>
      </c>
      <c r="K473" s="2">
        <v>145150</v>
      </c>
      <c r="L473" s="41">
        <v>1925</v>
      </c>
      <c r="M473" s="27" t="str">
        <f t="shared" si="23"/>
        <v>https://ia601502.us.archive.org/19/items/LA192425/LApics.pdf</v>
      </c>
      <c r="N473" s="27" t="s">
        <v>2588</v>
      </c>
      <c r="O473" s="27" t="s">
        <v>2587</v>
      </c>
      <c r="P473" s="27" t="s">
        <v>2588</v>
      </c>
      <c r="Q473" s="27" t="s">
        <v>2591</v>
      </c>
      <c r="R473" s="27" t="s">
        <v>2592</v>
      </c>
      <c r="S473" s="27" t="s">
        <v>2589</v>
      </c>
      <c r="T473" s="27" t="s">
        <v>2590</v>
      </c>
      <c r="U473" s="27" t="s">
        <v>2590</v>
      </c>
    </row>
    <row r="474" spans="1:21" x14ac:dyDescent="0.25">
      <c r="A474" s="27" t="s">
        <v>1750</v>
      </c>
      <c r="B474" s="27" t="str">
        <f t="shared" si="24"/>
        <v>Louisiana</v>
      </c>
      <c r="C474" s="27" t="str">
        <f t="shared" si="25"/>
        <v>Pointe Coupee</v>
      </c>
      <c r="D474" s="27">
        <f>'LA post'!F43</f>
        <v>4833</v>
      </c>
      <c r="E474" s="27">
        <f>'LA post'!I43</f>
        <v>118</v>
      </c>
      <c r="F474" s="26">
        <f>'LA post'!L43</f>
        <v>129</v>
      </c>
      <c r="G474" s="27">
        <v>6039</v>
      </c>
      <c r="H474" s="28">
        <f>'LA post'!Q43</f>
        <v>107.5</v>
      </c>
      <c r="I474" s="2">
        <v>209210</v>
      </c>
      <c r="J474" s="27">
        <v>27</v>
      </c>
      <c r="K474" s="2">
        <v>233733</v>
      </c>
      <c r="L474" s="41">
        <v>1925</v>
      </c>
      <c r="M474" s="27" t="str">
        <f t="shared" si="23"/>
        <v>https://ia601502.us.archive.org/19/items/LA192425/LApics.pdf</v>
      </c>
      <c r="N474" s="27" t="s">
        <v>2588</v>
      </c>
      <c r="O474" s="27" t="s">
        <v>2587</v>
      </c>
      <c r="P474" s="27" t="s">
        <v>2588</v>
      </c>
      <c r="Q474" s="27" t="s">
        <v>2591</v>
      </c>
      <c r="R474" s="27" t="s">
        <v>2592</v>
      </c>
      <c r="S474" s="27" t="s">
        <v>2589</v>
      </c>
      <c r="T474" s="27" t="s">
        <v>2590</v>
      </c>
      <c r="U474" s="27" t="s">
        <v>2590</v>
      </c>
    </row>
    <row r="475" spans="1:21" x14ac:dyDescent="0.25">
      <c r="A475" s="27" t="s">
        <v>1037</v>
      </c>
      <c r="B475" s="27" t="str">
        <f t="shared" si="24"/>
        <v>Louisiana</v>
      </c>
      <c r="C475" s="27" t="str">
        <f t="shared" si="25"/>
        <v>Rapides</v>
      </c>
      <c r="D475" s="27">
        <f>'LA post'!F44</f>
        <v>11590</v>
      </c>
      <c r="E475" s="27">
        <f>'LA post'!I44</f>
        <v>369</v>
      </c>
      <c r="F475" s="26">
        <f>'LA post'!L44</f>
        <v>154</v>
      </c>
      <c r="G475" s="27">
        <v>13982</v>
      </c>
      <c r="H475" s="28">
        <f>'LA post'!Q44</f>
        <v>117.67</v>
      </c>
      <c r="I475" s="2">
        <v>1491112</v>
      </c>
      <c r="J475" s="27">
        <v>57</v>
      </c>
      <c r="K475" s="2">
        <v>1364621</v>
      </c>
      <c r="L475" s="41">
        <v>1925</v>
      </c>
      <c r="M475" s="27" t="str">
        <f t="shared" si="23"/>
        <v>https://ia601502.us.archive.org/19/items/LA192425/LApics.pdf</v>
      </c>
      <c r="N475" s="27" t="s">
        <v>2588</v>
      </c>
      <c r="O475" s="27" t="s">
        <v>2587</v>
      </c>
      <c r="P475" s="27" t="s">
        <v>2588</v>
      </c>
      <c r="Q475" s="27" t="s">
        <v>2591</v>
      </c>
      <c r="R475" s="27" t="s">
        <v>2592</v>
      </c>
      <c r="S475" s="27" t="s">
        <v>2589</v>
      </c>
      <c r="T475" s="27" t="s">
        <v>2590</v>
      </c>
      <c r="U475" s="27" t="s">
        <v>2590</v>
      </c>
    </row>
    <row r="476" spans="1:21" x14ac:dyDescent="0.25">
      <c r="A476" s="27" t="s">
        <v>1751</v>
      </c>
      <c r="B476" s="27" t="str">
        <f t="shared" si="24"/>
        <v>Louisiana</v>
      </c>
      <c r="C476" s="27" t="str">
        <f t="shared" si="25"/>
        <v>Red River</v>
      </c>
      <c r="D476" s="27">
        <f>'LA post'!F45</f>
        <v>3735</v>
      </c>
      <c r="E476" s="27">
        <f>'LA post'!I45</f>
        <v>106</v>
      </c>
      <c r="F476" s="26">
        <f>'LA post'!L45</f>
        <v>141</v>
      </c>
      <c r="G476" s="27">
        <v>4518</v>
      </c>
      <c r="H476" s="28">
        <f>'LA post'!Q45</f>
        <v>115.07</v>
      </c>
      <c r="I476" s="2">
        <v>260934</v>
      </c>
      <c r="J476" s="27">
        <v>45</v>
      </c>
      <c r="K476" s="2">
        <v>412000</v>
      </c>
      <c r="L476" s="41">
        <v>1925</v>
      </c>
      <c r="M476" s="27" t="str">
        <f t="shared" si="23"/>
        <v>https://ia601502.us.archive.org/19/items/LA192425/LApics.pdf</v>
      </c>
      <c r="N476" s="27" t="s">
        <v>2588</v>
      </c>
      <c r="O476" s="27" t="s">
        <v>2587</v>
      </c>
      <c r="P476" s="27" t="s">
        <v>2588</v>
      </c>
      <c r="Q476" s="27" t="s">
        <v>2591</v>
      </c>
      <c r="R476" s="27" t="s">
        <v>2592</v>
      </c>
      <c r="S476" s="27" t="s">
        <v>2589</v>
      </c>
      <c r="T476" s="27" t="s">
        <v>2590</v>
      </c>
      <c r="U476" s="27" t="s">
        <v>2590</v>
      </c>
    </row>
    <row r="477" spans="1:21" x14ac:dyDescent="0.25">
      <c r="A477" s="27" t="s">
        <v>1038</v>
      </c>
      <c r="B477" s="27" t="str">
        <f t="shared" si="24"/>
        <v>Louisiana</v>
      </c>
      <c r="C477" s="27" t="str">
        <f t="shared" si="25"/>
        <v>Richland</v>
      </c>
      <c r="D477" s="27">
        <f>'LA post'!F46</f>
        <v>4033</v>
      </c>
      <c r="E477" s="27">
        <f>'LA post'!I46</f>
        <v>124</v>
      </c>
      <c r="F477" s="26">
        <f>'LA post'!L46</f>
        <v>127</v>
      </c>
      <c r="G477" s="27">
        <v>5009</v>
      </c>
      <c r="H477" s="28">
        <f>'LA post'!Q46</f>
        <v>109.36</v>
      </c>
      <c r="I477" s="2">
        <v>303519</v>
      </c>
      <c r="J477" s="27">
        <v>47</v>
      </c>
      <c r="K477" s="2">
        <v>634500</v>
      </c>
      <c r="L477" s="41">
        <v>1925</v>
      </c>
      <c r="M477" s="27" t="str">
        <f t="shared" si="23"/>
        <v>https://ia601502.us.archive.org/19/items/LA192425/LApics.pdf</v>
      </c>
      <c r="N477" s="27" t="s">
        <v>2588</v>
      </c>
      <c r="O477" s="27" t="s">
        <v>2587</v>
      </c>
      <c r="P477" s="27" t="s">
        <v>2588</v>
      </c>
      <c r="Q477" s="27" t="s">
        <v>2591</v>
      </c>
      <c r="R477" s="27" t="s">
        <v>2592</v>
      </c>
      <c r="S477" s="27" t="s">
        <v>2589</v>
      </c>
      <c r="T477" s="27" t="s">
        <v>2590</v>
      </c>
      <c r="U477" s="27" t="s">
        <v>2590</v>
      </c>
    </row>
    <row r="478" spans="1:21" x14ac:dyDescent="0.25">
      <c r="A478" s="27" t="s">
        <v>1039</v>
      </c>
      <c r="B478" s="27" t="str">
        <f t="shared" si="24"/>
        <v>Louisiana</v>
      </c>
      <c r="C478" s="27" t="str">
        <f t="shared" si="25"/>
        <v>Sabine</v>
      </c>
      <c r="D478" s="27">
        <f>'LA post'!F47</f>
        <v>4168</v>
      </c>
      <c r="E478" s="27">
        <f>'LA post'!I47</f>
        <v>211</v>
      </c>
      <c r="F478" s="26">
        <f>'LA post'!L47</f>
        <v>123</v>
      </c>
      <c r="G478" s="27">
        <v>6091</v>
      </c>
      <c r="H478" s="28">
        <f>'LA post'!Q47</f>
        <v>67.2</v>
      </c>
      <c r="I478" s="2">
        <v>368806</v>
      </c>
      <c r="J478" s="27">
        <v>95</v>
      </c>
      <c r="K478" s="2">
        <v>505945</v>
      </c>
      <c r="L478" s="41">
        <v>1925</v>
      </c>
      <c r="M478" s="27" t="str">
        <f t="shared" si="23"/>
        <v>https://ia601502.us.archive.org/19/items/LA192425/LApics.pdf</v>
      </c>
      <c r="N478" s="27" t="s">
        <v>2588</v>
      </c>
      <c r="O478" s="27" t="s">
        <v>2587</v>
      </c>
      <c r="P478" s="27" t="s">
        <v>2588</v>
      </c>
      <c r="Q478" s="27" t="s">
        <v>2591</v>
      </c>
      <c r="R478" s="27" t="s">
        <v>2592</v>
      </c>
      <c r="S478" s="27" t="s">
        <v>2589</v>
      </c>
      <c r="T478" s="27" t="s">
        <v>2590</v>
      </c>
      <c r="U478" s="27" t="s">
        <v>2590</v>
      </c>
    </row>
    <row r="479" spans="1:21" x14ac:dyDescent="0.25">
      <c r="A479" s="27" t="s">
        <v>1781</v>
      </c>
      <c r="B479" s="27" t="str">
        <f t="shared" si="24"/>
        <v>Louisiana</v>
      </c>
      <c r="C479" s="27" t="str">
        <f t="shared" si="25"/>
        <v>St Bernard</v>
      </c>
      <c r="D479" s="27">
        <f>'LA post'!F48</f>
        <v>717</v>
      </c>
      <c r="E479" s="27">
        <f>'LA post'!I48</f>
        <v>25</v>
      </c>
      <c r="F479" s="26">
        <f>'LA post'!L48</f>
        <v>174</v>
      </c>
      <c r="G479" s="27">
        <v>977</v>
      </c>
      <c r="H479" s="28">
        <f>'LA post'!Q48</f>
        <v>115.23</v>
      </c>
      <c r="I479" s="2">
        <v>58764</v>
      </c>
      <c r="J479" s="27">
        <v>10</v>
      </c>
      <c r="K479" s="2">
        <v>67513</v>
      </c>
      <c r="L479" s="41">
        <v>1925</v>
      </c>
      <c r="M479" s="27" t="str">
        <f t="shared" si="23"/>
        <v>https://ia601502.us.archive.org/19/items/LA192425/LApics.pdf</v>
      </c>
      <c r="N479" s="27" t="s">
        <v>2588</v>
      </c>
      <c r="O479" s="27" t="s">
        <v>2587</v>
      </c>
      <c r="P479" s="27" t="s">
        <v>2588</v>
      </c>
      <c r="Q479" s="27" t="s">
        <v>2591</v>
      </c>
      <c r="R479" s="27" t="s">
        <v>2592</v>
      </c>
      <c r="S479" s="27" t="s">
        <v>2589</v>
      </c>
      <c r="T479" s="27" t="s">
        <v>2590</v>
      </c>
      <c r="U479" s="27" t="s">
        <v>2590</v>
      </c>
    </row>
    <row r="480" spans="1:21" x14ac:dyDescent="0.25">
      <c r="A480" s="27" t="s">
        <v>1782</v>
      </c>
      <c r="B480" s="27" t="str">
        <f t="shared" si="24"/>
        <v>Louisiana</v>
      </c>
      <c r="C480" s="27" t="str">
        <f t="shared" si="25"/>
        <v>St Charles</v>
      </c>
      <c r="D480" s="27">
        <f>'LA post'!F49</f>
        <v>1486</v>
      </c>
      <c r="E480" s="27">
        <f>'LA post'!I49</f>
        <v>54</v>
      </c>
      <c r="F480" s="26">
        <f>'LA post'!L49</f>
        <v>172</v>
      </c>
      <c r="G480" s="27">
        <v>2008</v>
      </c>
      <c r="H480" s="28">
        <f>'LA post'!Q49</f>
        <v>107.35</v>
      </c>
      <c r="I480" s="2">
        <v>254379</v>
      </c>
      <c r="J480" s="27">
        <v>17</v>
      </c>
      <c r="K480" s="2">
        <v>274773</v>
      </c>
      <c r="L480" s="41">
        <v>1925</v>
      </c>
      <c r="M480" s="27" t="str">
        <f t="shared" si="23"/>
        <v>https://ia601502.us.archive.org/19/items/LA192425/LApics.pdf</v>
      </c>
      <c r="N480" s="27" t="s">
        <v>2588</v>
      </c>
      <c r="O480" s="27" t="s">
        <v>2587</v>
      </c>
      <c r="P480" s="27" t="s">
        <v>2588</v>
      </c>
      <c r="Q480" s="27" t="s">
        <v>2591</v>
      </c>
      <c r="R480" s="27" t="s">
        <v>2592</v>
      </c>
      <c r="S480" s="27" t="s">
        <v>2589</v>
      </c>
      <c r="T480" s="27" t="s">
        <v>2590</v>
      </c>
      <c r="U480" s="27" t="s">
        <v>2590</v>
      </c>
    </row>
    <row r="481" spans="1:21" x14ac:dyDescent="0.25">
      <c r="A481" s="27" t="s">
        <v>1783</v>
      </c>
      <c r="B481" s="27" t="str">
        <f t="shared" si="24"/>
        <v>Louisiana</v>
      </c>
      <c r="C481" s="27" t="str">
        <f t="shared" si="25"/>
        <v>St Helena</v>
      </c>
      <c r="D481" s="27">
        <f>'LA post'!F50</f>
        <v>2012</v>
      </c>
      <c r="E481" s="27">
        <f>'LA post'!I50</f>
        <v>78</v>
      </c>
      <c r="F481" s="26">
        <f>'LA post'!L50</f>
        <v>101</v>
      </c>
      <c r="G481" s="27">
        <v>2716</v>
      </c>
      <c r="H481" s="28">
        <f>'LA post'!Q50</f>
        <v>108.18</v>
      </c>
      <c r="I481" s="2">
        <v>134627</v>
      </c>
      <c r="J481" s="27">
        <v>20</v>
      </c>
      <c r="K481" s="2">
        <v>121050</v>
      </c>
      <c r="L481" s="41">
        <v>1925</v>
      </c>
      <c r="M481" s="27" t="str">
        <f t="shared" si="23"/>
        <v>https://ia601502.us.archive.org/19/items/LA192425/LApics.pdf</v>
      </c>
      <c r="N481" s="27" t="s">
        <v>2588</v>
      </c>
      <c r="O481" s="27" t="s">
        <v>2587</v>
      </c>
      <c r="P481" s="27" t="s">
        <v>2588</v>
      </c>
      <c r="Q481" s="27" t="s">
        <v>2591</v>
      </c>
      <c r="R481" s="27" t="s">
        <v>2592</v>
      </c>
      <c r="S481" s="27" t="s">
        <v>2589</v>
      </c>
      <c r="T481" s="27" t="s">
        <v>2590</v>
      </c>
      <c r="U481" s="27" t="s">
        <v>2590</v>
      </c>
    </row>
    <row r="482" spans="1:21" x14ac:dyDescent="0.25">
      <c r="A482" s="27" t="s">
        <v>1784</v>
      </c>
      <c r="B482" s="27" t="str">
        <f t="shared" si="24"/>
        <v>Louisiana</v>
      </c>
      <c r="C482" s="27" t="str">
        <f t="shared" si="25"/>
        <v>St James</v>
      </c>
      <c r="D482" s="27">
        <f>'LA post'!F51</f>
        <v>2665</v>
      </c>
      <c r="E482" s="27">
        <f>'LA post'!I51</f>
        <v>83</v>
      </c>
      <c r="F482" s="26">
        <f>'LA post'!L51</f>
        <v>149</v>
      </c>
      <c r="G482" s="27">
        <v>3123</v>
      </c>
      <c r="H482" s="28">
        <f>'LA post'!Q51</f>
        <v>101.54</v>
      </c>
      <c r="I482" s="2">
        <v>113989</v>
      </c>
      <c r="J482" s="27">
        <v>14</v>
      </c>
      <c r="K482" s="2">
        <v>107600</v>
      </c>
      <c r="L482" s="41">
        <v>1925</v>
      </c>
      <c r="M482" s="27" t="str">
        <f t="shared" si="23"/>
        <v>https://ia601502.us.archive.org/19/items/LA192425/LApics.pdf</v>
      </c>
      <c r="N482" s="27" t="s">
        <v>2588</v>
      </c>
      <c r="O482" s="27" t="s">
        <v>2587</v>
      </c>
      <c r="P482" s="27" t="s">
        <v>2588</v>
      </c>
      <c r="Q482" s="27" t="s">
        <v>2591</v>
      </c>
      <c r="R482" s="27" t="s">
        <v>2592</v>
      </c>
      <c r="S482" s="27" t="s">
        <v>2589</v>
      </c>
      <c r="T482" s="27" t="s">
        <v>2590</v>
      </c>
      <c r="U482" s="27" t="s">
        <v>2590</v>
      </c>
    </row>
    <row r="483" spans="1:21" x14ac:dyDescent="0.25">
      <c r="A483" s="27" t="s">
        <v>1785</v>
      </c>
      <c r="B483" s="27" t="str">
        <f t="shared" si="24"/>
        <v>Louisiana</v>
      </c>
      <c r="C483" s="27" t="str">
        <f t="shared" si="25"/>
        <v>St John the Baptist</v>
      </c>
      <c r="D483" s="27">
        <f>'LA post'!F52</f>
        <v>2073</v>
      </c>
      <c r="E483" s="27">
        <f>'LA post'!I52</f>
        <v>60</v>
      </c>
      <c r="F483" s="26">
        <f>'LA post'!L52</f>
        <v>153</v>
      </c>
      <c r="G483" s="27">
        <v>2299</v>
      </c>
      <c r="H483" s="28">
        <f>'LA post'!Q52</f>
        <v>102.87</v>
      </c>
      <c r="I483" s="2">
        <v>80951</v>
      </c>
      <c r="J483" s="27">
        <v>12</v>
      </c>
      <c r="K483" s="2">
        <v>128230</v>
      </c>
      <c r="L483" s="41">
        <v>1925</v>
      </c>
      <c r="M483" s="27" t="str">
        <f t="shared" si="23"/>
        <v>https://ia601502.us.archive.org/19/items/LA192425/LApics.pdf</v>
      </c>
      <c r="N483" s="27" t="s">
        <v>2588</v>
      </c>
      <c r="O483" s="27" t="s">
        <v>2587</v>
      </c>
      <c r="P483" s="27" t="s">
        <v>2588</v>
      </c>
      <c r="Q483" s="27" t="s">
        <v>2591</v>
      </c>
      <c r="R483" s="27" t="s">
        <v>2592</v>
      </c>
      <c r="S483" s="27" t="s">
        <v>2589</v>
      </c>
      <c r="T483" s="27" t="s">
        <v>2590</v>
      </c>
      <c r="U483" s="27" t="s">
        <v>2590</v>
      </c>
    </row>
    <row r="484" spans="1:21" x14ac:dyDescent="0.25">
      <c r="A484" s="27" t="s">
        <v>1786</v>
      </c>
      <c r="B484" s="27" t="str">
        <f t="shared" si="24"/>
        <v>Louisiana</v>
      </c>
      <c r="C484" s="27" t="str">
        <f t="shared" si="25"/>
        <v>St Landry</v>
      </c>
      <c r="D484" s="27">
        <f>'LA post'!F53</f>
        <v>7858</v>
      </c>
      <c r="E484" s="27">
        <f>'LA post'!I53</f>
        <v>265</v>
      </c>
      <c r="F484" s="26">
        <f>'LA post'!L53</f>
        <v>158</v>
      </c>
      <c r="G484" s="27">
        <v>11152</v>
      </c>
      <c r="H484" s="28">
        <f>'LA post'!Q53</f>
        <v>97.55</v>
      </c>
      <c r="I484" s="2">
        <v>538052</v>
      </c>
      <c r="J484" s="27">
        <v>65</v>
      </c>
      <c r="K484" s="2">
        <v>1040047</v>
      </c>
      <c r="L484" s="41">
        <v>1925</v>
      </c>
      <c r="M484" s="27" t="str">
        <f t="shared" si="23"/>
        <v>https://ia601502.us.archive.org/19/items/LA192425/LApics.pdf</v>
      </c>
      <c r="N484" s="27" t="s">
        <v>2588</v>
      </c>
      <c r="O484" s="27" t="s">
        <v>2587</v>
      </c>
      <c r="P484" s="27" t="s">
        <v>2588</v>
      </c>
      <c r="Q484" s="27" t="s">
        <v>2591</v>
      </c>
      <c r="R484" s="27" t="s">
        <v>2592</v>
      </c>
      <c r="S484" s="27" t="s">
        <v>2589</v>
      </c>
      <c r="T484" s="27" t="s">
        <v>2590</v>
      </c>
      <c r="U484" s="27" t="s">
        <v>2590</v>
      </c>
    </row>
    <row r="485" spans="1:21" x14ac:dyDescent="0.25">
      <c r="A485" s="27" t="s">
        <v>1787</v>
      </c>
      <c r="B485" s="27" t="str">
        <f t="shared" si="24"/>
        <v>Louisiana</v>
      </c>
      <c r="C485" s="27" t="str">
        <f t="shared" si="25"/>
        <v>St Martin</v>
      </c>
      <c r="D485" s="27">
        <f>'LA post'!F54</f>
        <v>2831</v>
      </c>
      <c r="E485" s="27">
        <f>'LA post'!I54</f>
        <v>101</v>
      </c>
      <c r="F485" s="26">
        <f>'LA post'!L54</f>
        <v>177</v>
      </c>
      <c r="G485" s="27">
        <v>3603</v>
      </c>
      <c r="H485" s="28">
        <f>'LA post'!Q54</f>
        <v>84</v>
      </c>
      <c r="I485" s="2">
        <v>217664</v>
      </c>
      <c r="J485" s="27">
        <v>36</v>
      </c>
      <c r="K485" s="2">
        <v>446842</v>
      </c>
      <c r="L485" s="41">
        <v>1925</v>
      </c>
      <c r="M485" s="27" t="str">
        <f t="shared" si="23"/>
        <v>https://ia601502.us.archive.org/19/items/LA192425/LApics.pdf</v>
      </c>
      <c r="N485" s="27" t="s">
        <v>2588</v>
      </c>
      <c r="O485" s="27" t="s">
        <v>2587</v>
      </c>
      <c r="P485" s="27" t="s">
        <v>2588</v>
      </c>
      <c r="Q485" s="27" t="s">
        <v>2591</v>
      </c>
      <c r="R485" s="27" t="s">
        <v>2592</v>
      </c>
      <c r="S485" s="27" t="s">
        <v>2589</v>
      </c>
      <c r="T485" s="27" t="s">
        <v>2590</v>
      </c>
      <c r="U485" s="27" t="s">
        <v>2590</v>
      </c>
    </row>
    <row r="486" spans="1:21" x14ac:dyDescent="0.25">
      <c r="A486" s="27" t="s">
        <v>1788</v>
      </c>
      <c r="B486" s="27" t="str">
        <f t="shared" si="24"/>
        <v>Louisiana</v>
      </c>
      <c r="C486" s="27" t="str">
        <f t="shared" si="25"/>
        <v>St Mary</v>
      </c>
      <c r="D486" s="27">
        <f>'LA post'!F55</f>
        <v>4605</v>
      </c>
      <c r="E486" s="27">
        <f>'LA post'!I55</f>
        <v>160</v>
      </c>
      <c r="F486" s="26">
        <f>'LA post'!L55</f>
        <v>164</v>
      </c>
      <c r="G486" s="27">
        <v>5388</v>
      </c>
      <c r="H486" s="28">
        <f>'LA post'!Q55</f>
        <v>108</v>
      </c>
      <c r="I486" s="2">
        <v>259330</v>
      </c>
      <c r="J486" s="27">
        <v>26</v>
      </c>
      <c r="K486" s="2">
        <v>413200</v>
      </c>
      <c r="L486" s="41">
        <v>1925</v>
      </c>
      <c r="M486" s="27" t="str">
        <f t="shared" si="23"/>
        <v>https://ia601502.us.archive.org/19/items/LA192425/LApics.pdf</v>
      </c>
      <c r="N486" s="27" t="s">
        <v>2588</v>
      </c>
      <c r="O486" s="27" t="s">
        <v>2587</v>
      </c>
      <c r="P486" s="27" t="s">
        <v>2588</v>
      </c>
      <c r="Q486" s="27" t="s">
        <v>2591</v>
      </c>
      <c r="R486" s="27" t="s">
        <v>2592</v>
      </c>
      <c r="S486" s="27" t="s">
        <v>2589</v>
      </c>
      <c r="T486" s="27" t="s">
        <v>2590</v>
      </c>
      <c r="U486" s="27" t="s">
        <v>2590</v>
      </c>
    </row>
    <row r="487" spans="1:21" x14ac:dyDescent="0.25">
      <c r="A487" s="27" t="s">
        <v>1789</v>
      </c>
      <c r="B487" s="27" t="str">
        <f t="shared" si="24"/>
        <v>Louisiana</v>
      </c>
      <c r="C487" s="27" t="str">
        <f t="shared" si="25"/>
        <v>St Tammany</v>
      </c>
      <c r="D487" s="27">
        <f>'LA post'!F56</f>
        <v>3136</v>
      </c>
      <c r="E487" s="27">
        <f>'LA post'!I56</f>
        <v>123</v>
      </c>
      <c r="F487" s="26">
        <f>'LA post'!L56</f>
        <v>157</v>
      </c>
      <c r="G487" s="27">
        <v>3930</v>
      </c>
      <c r="H487" s="28">
        <f>'LA post'!Q56</f>
        <v>121.62</v>
      </c>
      <c r="I487" s="2">
        <v>352762</v>
      </c>
      <c r="J487" s="27">
        <v>34</v>
      </c>
      <c r="K487" s="2">
        <v>366383</v>
      </c>
      <c r="L487" s="41">
        <v>1925</v>
      </c>
      <c r="M487" s="27" t="str">
        <f t="shared" si="23"/>
        <v>https://ia601502.us.archive.org/19/items/LA192425/LApics.pdf</v>
      </c>
      <c r="N487" s="27" t="s">
        <v>2588</v>
      </c>
      <c r="O487" s="27" t="s">
        <v>2587</v>
      </c>
      <c r="P487" s="27" t="s">
        <v>2588</v>
      </c>
      <c r="Q487" s="27" t="s">
        <v>2591</v>
      </c>
      <c r="R487" s="27" t="s">
        <v>2592</v>
      </c>
      <c r="S487" s="27" t="s">
        <v>2589</v>
      </c>
      <c r="T487" s="27" t="s">
        <v>2590</v>
      </c>
      <c r="U487" s="27" t="s">
        <v>2590</v>
      </c>
    </row>
    <row r="488" spans="1:21" x14ac:dyDescent="0.25">
      <c r="A488" s="27" t="s">
        <v>1040</v>
      </c>
      <c r="B488" s="27" t="str">
        <f t="shared" si="24"/>
        <v>Louisiana</v>
      </c>
      <c r="C488" s="27" t="str">
        <f t="shared" si="25"/>
        <v>Tangipahoa</v>
      </c>
      <c r="D488" s="27">
        <f>'LA post'!F57</f>
        <v>8280</v>
      </c>
      <c r="E488" s="27">
        <f>'LA post'!I57</f>
        <v>243</v>
      </c>
      <c r="F488" s="26">
        <f>'LA post'!L57</f>
        <v>140</v>
      </c>
      <c r="G488" s="27">
        <v>9629</v>
      </c>
      <c r="H488" s="28">
        <f>'LA post'!Q57</f>
        <v>122.45</v>
      </c>
      <c r="I488" s="2">
        <v>504210</v>
      </c>
      <c r="J488" s="27">
        <v>56</v>
      </c>
      <c r="K488" s="2">
        <v>792012</v>
      </c>
      <c r="L488" s="41">
        <v>1925</v>
      </c>
      <c r="M488" s="27" t="str">
        <f t="shared" si="23"/>
        <v>https://ia601502.us.archive.org/19/items/LA192425/LApics.pdf</v>
      </c>
      <c r="N488" s="27" t="s">
        <v>2588</v>
      </c>
      <c r="O488" s="27" t="s">
        <v>2587</v>
      </c>
      <c r="P488" s="27" t="s">
        <v>2588</v>
      </c>
      <c r="Q488" s="27" t="s">
        <v>2591</v>
      </c>
      <c r="R488" s="27" t="s">
        <v>2592</v>
      </c>
      <c r="S488" s="27" t="s">
        <v>2589</v>
      </c>
      <c r="T488" s="27" t="s">
        <v>2590</v>
      </c>
      <c r="U488" s="27" t="s">
        <v>2590</v>
      </c>
    </row>
    <row r="489" spans="1:21" x14ac:dyDescent="0.25">
      <c r="A489" s="27" t="s">
        <v>1041</v>
      </c>
      <c r="B489" s="27" t="str">
        <f t="shared" si="24"/>
        <v>Louisiana</v>
      </c>
      <c r="C489" s="27" t="str">
        <f t="shared" si="25"/>
        <v>Tensas</v>
      </c>
      <c r="D489" s="27">
        <f>'LA post'!F58</f>
        <v>1281</v>
      </c>
      <c r="E489" s="27">
        <f>'LA post'!I58</f>
        <v>70</v>
      </c>
      <c r="F489" s="26">
        <f>'LA post'!L58</f>
        <v>117</v>
      </c>
      <c r="G489" s="27">
        <v>2715</v>
      </c>
      <c r="H489" s="28">
        <f>'LA post'!Q58</f>
        <v>108.24</v>
      </c>
      <c r="I489" s="2">
        <v>162590</v>
      </c>
      <c r="J489" s="27">
        <v>17</v>
      </c>
      <c r="K489" s="2">
        <v>156850</v>
      </c>
      <c r="L489" s="41">
        <v>1925</v>
      </c>
      <c r="M489" s="27" t="str">
        <f t="shared" si="23"/>
        <v>https://ia601502.us.archive.org/19/items/LA192425/LApics.pdf</v>
      </c>
      <c r="N489" s="27" t="s">
        <v>2588</v>
      </c>
      <c r="O489" s="27" t="s">
        <v>2587</v>
      </c>
      <c r="P489" s="27" t="s">
        <v>2588</v>
      </c>
      <c r="Q489" s="27" t="s">
        <v>2591</v>
      </c>
      <c r="R489" s="27" t="s">
        <v>2592</v>
      </c>
      <c r="S489" s="27" t="s">
        <v>2589</v>
      </c>
      <c r="T489" s="27" t="s">
        <v>2590</v>
      </c>
      <c r="U489" s="27" t="s">
        <v>2590</v>
      </c>
    </row>
    <row r="490" spans="1:21" x14ac:dyDescent="0.25">
      <c r="A490" s="27" t="s">
        <v>1042</v>
      </c>
      <c r="B490" s="27" t="str">
        <f t="shared" si="24"/>
        <v>Louisiana</v>
      </c>
      <c r="C490" s="27" t="str">
        <f t="shared" si="25"/>
        <v>Terrebonne</v>
      </c>
      <c r="D490" s="27">
        <f>'LA post'!F59</f>
        <v>3521</v>
      </c>
      <c r="E490" s="27">
        <f>'LA post'!I59</f>
        <v>108</v>
      </c>
      <c r="F490" s="26">
        <f>'LA post'!L59</f>
        <v>164</v>
      </c>
      <c r="G490" s="27">
        <v>4391</v>
      </c>
      <c r="H490" s="28">
        <f>'LA post'!Q59</f>
        <v>93.13</v>
      </c>
      <c r="I490" s="2">
        <v>219751</v>
      </c>
      <c r="J490" s="27">
        <v>22</v>
      </c>
      <c r="K490" s="2">
        <v>382252</v>
      </c>
      <c r="L490" s="41">
        <v>1925</v>
      </c>
      <c r="M490" s="27" t="str">
        <f t="shared" si="23"/>
        <v>https://ia601502.us.archive.org/19/items/LA192425/LApics.pdf</v>
      </c>
      <c r="N490" s="27" t="s">
        <v>2588</v>
      </c>
      <c r="O490" s="27" t="s">
        <v>2587</v>
      </c>
      <c r="P490" s="27" t="s">
        <v>2588</v>
      </c>
      <c r="Q490" s="27" t="s">
        <v>2591</v>
      </c>
      <c r="R490" s="27" t="s">
        <v>2592</v>
      </c>
      <c r="S490" s="27" t="s">
        <v>2589</v>
      </c>
      <c r="T490" s="27" t="s">
        <v>2590</v>
      </c>
      <c r="U490" s="27" t="s">
        <v>2590</v>
      </c>
    </row>
    <row r="491" spans="1:21" x14ac:dyDescent="0.25">
      <c r="A491" s="27" t="s">
        <v>1043</v>
      </c>
      <c r="B491" s="27" t="str">
        <f t="shared" si="24"/>
        <v>Louisiana</v>
      </c>
      <c r="C491" s="27" t="str">
        <f t="shared" si="25"/>
        <v>Union</v>
      </c>
      <c r="D491" s="27">
        <f>'LA post'!F60</f>
        <v>5265</v>
      </c>
      <c r="E491" s="27">
        <f>'LA post'!I60</f>
        <v>168</v>
      </c>
      <c r="F491" s="26">
        <f>'LA post'!L60</f>
        <v>149</v>
      </c>
      <c r="G491" s="27">
        <v>6456</v>
      </c>
      <c r="H491" s="28">
        <f>'LA post'!Q60</f>
        <v>92.59</v>
      </c>
      <c r="I491" s="2">
        <v>301170</v>
      </c>
      <c r="J491" s="27">
        <v>50</v>
      </c>
      <c r="K491" s="2">
        <v>464400</v>
      </c>
      <c r="L491" s="41">
        <v>1925</v>
      </c>
      <c r="M491" s="27" t="str">
        <f t="shared" si="23"/>
        <v>https://ia601502.us.archive.org/19/items/LA192425/LApics.pdf</v>
      </c>
      <c r="N491" s="27" t="s">
        <v>2588</v>
      </c>
      <c r="O491" s="27" t="s">
        <v>2587</v>
      </c>
      <c r="P491" s="27" t="s">
        <v>2588</v>
      </c>
      <c r="Q491" s="27" t="s">
        <v>2591</v>
      </c>
      <c r="R491" s="27" t="s">
        <v>2592</v>
      </c>
      <c r="S491" s="27" t="s">
        <v>2589</v>
      </c>
      <c r="T491" s="27" t="s">
        <v>2590</v>
      </c>
      <c r="U491" s="27" t="s">
        <v>2590</v>
      </c>
    </row>
    <row r="492" spans="1:21" x14ac:dyDescent="0.25">
      <c r="A492" s="27" t="s">
        <v>1752</v>
      </c>
      <c r="B492" s="27" t="str">
        <f t="shared" si="24"/>
        <v>Louisiana</v>
      </c>
      <c r="C492" s="27" t="str">
        <f t="shared" si="25"/>
        <v>Vermilion</v>
      </c>
      <c r="D492" s="27">
        <f>'LA post'!F61</f>
        <v>5521</v>
      </c>
      <c r="E492" s="27">
        <f>'LA post'!I61</f>
        <v>170</v>
      </c>
      <c r="F492" s="26">
        <f>'LA post'!L61</f>
        <v>171</v>
      </c>
      <c r="G492" s="27">
        <v>6914</v>
      </c>
      <c r="H492" s="28">
        <f>'LA post'!Q61</f>
        <v>94.7</v>
      </c>
      <c r="I492" s="2">
        <v>554552</v>
      </c>
      <c r="J492" s="27">
        <v>49</v>
      </c>
      <c r="K492" s="2">
        <v>898954</v>
      </c>
      <c r="L492" s="41">
        <v>1925</v>
      </c>
      <c r="M492" s="27" t="str">
        <f t="shared" si="23"/>
        <v>https://ia601502.us.archive.org/19/items/LA192425/LApics.pdf</v>
      </c>
      <c r="N492" s="27" t="s">
        <v>2588</v>
      </c>
      <c r="O492" s="27" t="s">
        <v>2587</v>
      </c>
      <c r="P492" s="27" t="s">
        <v>2588</v>
      </c>
      <c r="Q492" s="27" t="s">
        <v>2591</v>
      </c>
      <c r="R492" s="27" t="s">
        <v>2592</v>
      </c>
      <c r="S492" s="27" t="s">
        <v>2589</v>
      </c>
      <c r="T492" s="27" t="s">
        <v>2590</v>
      </c>
      <c r="U492" s="27" t="s">
        <v>2590</v>
      </c>
    </row>
    <row r="493" spans="1:21" x14ac:dyDescent="0.25">
      <c r="A493" s="27" t="s">
        <v>1044</v>
      </c>
      <c r="B493" s="27" t="str">
        <f t="shared" si="24"/>
        <v>Louisiana</v>
      </c>
      <c r="C493" s="27" t="str">
        <f t="shared" si="25"/>
        <v>Vernon</v>
      </c>
      <c r="D493" s="27">
        <f>'LA post'!F62</f>
        <v>6119</v>
      </c>
      <c r="E493" s="27">
        <f>'LA post'!I62</f>
        <v>260</v>
      </c>
      <c r="F493" s="26">
        <f>'LA post'!L62</f>
        <v>166</v>
      </c>
      <c r="G493" s="27">
        <v>7939</v>
      </c>
      <c r="H493" s="28">
        <f>'LA post'!Q62</f>
        <v>105.05</v>
      </c>
      <c r="I493" s="2">
        <v>725559</v>
      </c>
      <c r="J493" s="27">
        <v>81</v>
      </c>
      <c r="K493" s="2">
        <v>753845</v>
      </c>
      <c r="L493" s="41">
        <v>1925</v>
      </c>
      <c r="M493" s="27" t="str">
        <f t="shared" si="23"/>
        <v>https://ia601502.us.archive.org/19/items/LA192425/LApics.pdf</v>
      </c>
      <c r="N493" s="27" t="s">
        <v>2588</v>
      </c>
      <c r="O493" s="27" t="s">
        <v>2587</v>
      </c>
      <c r="P493" s="27" t="s">
        <v>2588</v>
      </c>
      <c r="Q493" s="27" t="s">
        <v>2591</v>
      </c>
      <c r="R493" s="27" t="s">
        <v>2592</v>
      </c>
      <c r="S493" s="27" t="s">
        <v>2589</v>
      </c>
      <c r="T493" s="27" t="s">
        <v>2590</v>
      </c>
      <c r="U493" s="27" t="s">
        <v>2590</v>
      </c>
    </row>
    <row r="494" spans="1:21" x14ac:dyDescent="0.25">
      <c r="A494" s="27" t="s">
        <v>1045</v>
      </c>
      <c r="B494" s="27" t="str">
        <f t="shared" si="24"/>
        <v>Louisiana</v>
      </c>
      <c r="C494" s="27" t="str">
        <f t="shared" si="25"/>
        <v>Washington</v>
      </c>
      <c r="D494" s="27">
        <f>'LA post'!F63</f>
        <v>6037</v>
      </c>
      <c r="E494" s="27">
        <f>'LA post'!I63</f>
        <v>246</v>
      </c>
      <c r="F494" s="26">
        <f>'LA post'!L63</f>
        <v>164</v>
      </c>
      <c r="G494" s="27">
        <v>8298</v>
      </c>
      <c r="H494" s="28">
        <f>'LA post'!Q63</f>
        <v>86.78</v>
      </c>
      <c r="I494" s="2">
        <v>346774</v>
      </c>
      <c r="J494" s="27">
        <v>71</v>
      </c>
      <c r="K494" s="2">
        <v>694730</v>
      </c>
      <c r="L494" s="41">
        <v>1925</v>
      </c>
      <c r="M494" s="27" t="str">
        <f t="shared" si="23"/>
        <v>https://ia601502.us.archive.org/19/items/LA192425/LApics.pdf</v>
      </c>
      <c r="N494" s="27" t="s">
        <v>2588</v>
      </c>
      <c r="O494" s="27" t="s">
        <v>2587</v>
      </c>
      <c r="P494" s="27" t="s">
        <v>2588</v>
      </c>
      <c r="Q494" s="27" t="s">
        <v>2591</v>
      </c>
      <c r="R494" s="27" t="s">
        <v>2592</v>
      </c>
      <c r="S494" s="27" t="s">
        <v>2589</v>
      </c>
      <c r="T494" s="27" t="s">
        <v>2590</v>
      </c>
      <c r="U494" s="27" t="s">
        <v>2590</v>
      </c>
    </row>
    <row r="495" spans="1:21" x14ac:dyDescent="0.25">
      <c r="A495" s="27" t="s">
        <v>1046</v>
      </c>
      <c r="B495" s="27" t="str">
        <f t="shared" si="24"/>
        <v>Louisiana</v>
      </c>
      <c r="C495" s="27" t="str">
        <f t="shared" si="25"/>
        <v>Webster</v>
      </c>
      <c r="D495" s="27">
        <f>'LA post'!F64</f>
        <v>6094</v>
      </c>
      <c r="E495" s="27">
        <f>'LA post'!I64</f>
        <v>186</v>
      </c>
      <c r="F495" s="26">
        <f>'LA post'!L64</f>
        <v>150</v>
      </c>
      <c r="G495" s="27">
        <v>7333</v>
      </c>
      <c r="H495" s="28">
        <f>'LA post'!Q64</f>
        <v>109.05</v>
      </c>
      <c r="I495" s="2">
        <v>587846</v>
      </c>
      <c r="J495" s="27">
        <v>65</v>
      </c>
      <c r="K495" s="2">
        <v>842500</v>
      </c>
      <c r="L495" s="41">
        <v>1925</v>
      </c>
      <c r="M495" s="27" t="str">
        <f t="shared" si="23"/>
        <v>https://ia601502.us.archive.org/19/items/LA192425/LApics.pdf</v>
      </c>
      <c r="N495" s="27" t="s">
        <v>2588</v>
      </c>
      <c r="O495" s="27" t="s">
        <v>2587</v>
      </c>
      <c r="P495" s="27" t="s">
        <v>2588</v>
      </c>
      <c r="Q495" s="27" t="s">
        <v>2591</v>
      </c>
      <c r="R495" s="27" t="s">
        <v>2592</v>
      </c>
      <c r="S495" s="27" t="s">
        <v>2589</v>
      </c>
      <c r="T495" s="27" t="s">
        <v>2590</v>
      </c>
      <c r="U495" s="27" t="s">
        <v>2590</v>
      </c>
    </row>
    <row r="496" spans="1:21" x14ac:dyDescent="0.25">
      <c r="A496" s="27" t="s">
        <v>1050</v>
      </c>
      <c r="B496" s="27" t="str">
        <f t="shared" si="24"/>
        <v>Louisiana</v>
      </c>
      <c r="C496" s="27" t="str">
        <f t="shared" si="25"/>
        <v>Winn</v>
      </c>
      <c r="D496" s="27">
        <f>'LA post'!F65</f>
        <v>4023</v>
      </c>
      <c r="E496" s="27">
        <f>'LA post'!I65</f>
        <v>177</v>
      </c>
      <c r="F496" s="26">
        <f>'LA post'!L65</f>
        <v>88</v>
      </c>
      <c r="G496" s="27">
        <v>4666</v>
      </c>
      <c r="H496" s="28">
        <f>'LA post'!Q65</f>
        <v>85.36</v>
      </c>
      <c r="I496" s="2">
        <v>279963</v>
      </c>
      <c r="J496" s="27">
        <v>73</v>
      </c>
      <c r="K496" s="2">
        <v>283115</v>
      </c>
      <c r="L496" s="41">
        <v>1925</v>
      </c>
      <c r="M496" s="27" t="str">
        <f t="shared" si="23"/>
        <v>https://ia601502.us.archive.org/19/items/LA192425/LApics.pdf</v>
      </c>
      <c r="N496" s="27" t="s">
        <v>2588</v>
      </c>
      <c r="O496" s="27" t="s">
        <v>2587</v>
      </c>
      <c r="P496" s="27" t="s">
        <v>2588</v>
      </c>
      <c r="Q496" s="27" t="s">
        <v>2591</v>
      </c>
      <c r="R496" s="27" t="s">
        <v>2592</v>
      </c>
      <c r="S496" s="27" t="s">
        <v>2589</v>
      </c>
      <c r="T496" s="27" t="s">
        <v>2590</v>
      </c>
      <c r="U496" s="27" t="s">
        <v>2590</v>
      </c>
    </row>
    <row r="497" spans="1:21" x14ac:dyDescent="0.25">
      <c r="A497" s="27" t="s">
        <v>1772</v>
      </c>
      <c r="B497" s="27" t="str">
        <f t="shared" si="24"/>
        <v>Louisiana</v>
      </c>
      <c r="C497" s="27" t="str">
        <f t="shared" si="25"/>
        <v>City Lake Charles</v>
      </c>
      <c r="D497" s="27">
        <f>'LA post'!F66</f>
        <v>2940</v>
      </c>
      <c r="E497" s="27">
        <f>'LA post'!I66</f>
        <v>112</v>
      </c>
      <c r="F497" s="26">
        <f>'LA post'!L66</f>
        <v>178</v>
      </c>
      <c r="G497" s="27">
        <v>3352</v>
      </c>
      <c r="H497" s="28">
        <f>'LA post'!Q66</f>
        <v>118.56</v>
      </c>
      <c r="I497" s="2">
        <v>187644</v>
      </c>
      <c r="J497" s="27">
        <v>7</v>
      </c>
      <c r="K497" s="2">
        <v>619627</v>
      </c>
      <c r="M497" s="27" t="str">
        <f t="shared" si="23"/>
        <v>https://ia601502.us.archive.org/19/items/LA192425/LApics.pdf</v>
      </c>
      <c r="N497" s="27" t="s">
        <v>2588</v>
      </c>
      <c r="O497" s="27" t="s">
        <v>2587</v>
      </c>
      <c r="P497" s="27" t="s">
        <v>2588</v>
      </c>
      <c r="Q497" s="27" t="s">
        <v>2591</v>
      </c>
      <c r="R497" s="27" t="s">
        <v>2592</v>
      </c>
      <c r="S497" s="27" t="s">
        <v>2589</v>
      </c>
      <c r="T497" s="27" t="s">
        <v>2590</v>
      </c>
      <c r="U497" s="27" t="s">
        <v>2590</v>
      </c>
    </row>
    <row r="498" spans="1:21" x14ac:dyDescent="0.25">
      <c r="A498" s="27" t="s">
        <v>1773</v>
      </c>
      <c r="B498" s="27" t="str">
        <f t="shared" si="24"/>
        <v>Louisiana</v>
      </c>
      <c r="C498" s="27" t="str">
        <f t="shared" si="25"/>
        <v>City Monroe</v>
      </c>
      <c r="D498" s="27">
        <f>'LA post'!F67</f>
        <v>2131</v>
      </c>
      <c r="E498" s="27">
        <f>'LA post'!I67</f>
        <v>70</v>
      </c>
      <c r="F498" s="26">
        <f>'LA post'!L67</f>
        <v>174</v>
      </c>
      <c r="G498" s="27">
        <v>2502</v>
      </c>
      <c r="H498" s="28">
        <f>'LA post'!Q67</f>
        <v>125.41</v>
      </c>
      <c r="I498" s="2">
        <v>100183</v>
      </c>
      <c r="J498" s="27">
        <v>4</v>
      </c>
      <c r="K498" s="2">
        <v>628675</v>
      </c>
      <c r="M498" s="27" t="str">
        <f t="shared" si="23"/>
        <v>https://ia601502.us.archive.org/19/items/LA192425/LApics.pdf</v>
      </c>
      <c r="N498" s="27" t="s">
        <v>2588</v>
      </c>
      <c r="O498" s="27" t="s">
        <v>2587</v>
      </c>
      <c r="P498" s="27" t="s">
        <v>2588</v>
      </c>
      <c r="Q498" s="27" t="s">
        <v>2591</v>
      </c>
      <c r="R498" s="27" t="s">
        <v>2592</v>
      </c>
      <c r="S498" s="27" t="s">
        <v>2589</v>
      </c>
      <c r="T498" s="27" t="s">
        <v>2590</v>
      </c>
      <c r="U498" s="27" t="s">
        <v>2590</v>
      </c>
    </row>
    <row r="499" spans="1:21" x14ac:dyDescent="0.25">
      <c r="A499" s="27" t="s">
        <v>1367</v>
      </c>
      <c r="B499" s="27" t="str">
        <f t="shared" si="24"/>
        <v/>
      </c>
      <c r="C499" s="27" t="str">
        <f t="shared" si="25"/>
        <v/>
      </c>
      <c r="D499" s="27">
        <v>317630</v>
      </c>
      <c r="E499" s="27">
        <v>11006</v>
      </c>
      <c r="G499" s="27">
        <v>401360</v>
      </c>
      <c r="I499" s="2">
        <f>SUM(I433:I498)</f>
        <v>29176926</v>
      </c>
      <c r="J499" s="27">
        <v>2669</v>
      </c>
      <c r="K499" s="2">
        <v>42950500</v>
      </c>
    </row>
    <row r="500" spans="1:21" x14ac:dyDescent="0.25">
      <c r="A500" s="27" t="s">
        <v>1367</v>
      </c>
      <c r="B500" s="27" t="str">
        <f t="shared" si="24"/>
        <v/>
      </c>
      <c r="C500" s="27" t="str">
        <f t="shared" si="25"/>
        <v/>
      </c>
      <c r="D500" s="27">
        <v>317610</v>
      </c>
      <c r="E500" s="27">
        <v>11006</v>
      </c>
      <c r="G500" s="27">
        <v>401860</v>
      </c>
      <c r="I500" s="2">
        <v>29176862.170000002</v>
      </c>
      <c r="J500" s="27">
        <v>2665</v>
      </c>
      <c r="K500" s="2">
        <v>42984515</v>
      </c>
      <c r="R500" s="27" t="s">
        <v>381</v>
      </c>
      <c r="S500" s="4"/>
    </row>
    <row r="501" spans="1:21" x14ac:dyDescent="0.25">
      <c r="A501" s="27" t="s">
        <v>1051</v>
      </c>
      <c r="B501" s="27" t="str">
        <f t="shared" si="24"/>
        <v>Mississippi</v>
      </c>
      <c r="C501" s="27" t="str">
        <f t="shared" si="25"/>
        <v>Adams</v>
      </c>
      <c r="D501" s="27">
        <v>3758</v>
      </c>
      <c r="E501" s="27">
        <v>48</v>
      </c>
      <c r="F501" s="26">
        <f>'MS post'!G2</f>
        <v>154.2948717948718</v>
      </c>
      <c r="G501" s="27">
        <v>5335</v>
      </c>
      <c r="H501" s="27">
        <v>39</v>
      </c>
      <c r="I501" s="29">
        <v>29449.9</v>
      </c>
      <c r="J501" s="7">
        <v>43</v>
      </c>
      <c r="K501" s="29">
        <f>'MS post'!N2</f>
        <v>640300</v>
      </c>
      <c r="L501" s="41" t="s">
        <v>1958</v>
      </c>
      <c r="M501" s="4" t="s">
        <v>2596</v>
      </c>
      <c r="N501" s="4" t="s">
        <v>2597</v>
      </c>
      <c r="O501" s="27" t="s">
        <v>2594</v>
      </c>
      <c r="Q501" s="27" t="s">
        <v>2597</v>
      </c>
      <c r="R501" s="27" t="s">
        <v>2593</v>
      </c>
      <c r="S501" s="27" t="s">
        <v>2595</v>
      </c>
      <c r="T501" s="27" t="str">
        <f>R501</f>
        <v>https://babel.hathitrust.org/cgi/pt?id=uiug.30112051004916;view=1up;seq=90</v>
      </c>
      <c r="U501" s="27" t="str">
        <f>'MS post'!X2</f>
        <v>https://ia601502.us.archive.org/10/items/MS-school-property-value-1935-7/1936%20%26%201937%2c%20selected%20pages.pdf</v>
      </c>
    </row>
    <row r="502" spans="1:21" x14ac:dyDescent="0.25">
      <c r="A502" s="27" t="s">
        <v>1052</v>
      </c>
      <c r="B502" s="27" t="str">
        <f t="shared" si="24"/>
        <v>Mississippi</v>
      </c>
      <c r="C502" s="27" t="str">
        <f t="shared" si="25"/>
        <v>Alcorn</v>
      </c>
      <c r="D502" s="27">
        <v>4757</v>
      </c>
      <c r="E502" s="27">
        <v>24</v>
      </c>
      <c r="F502" s="26">
        <f>'MS post'!G3</f>
        <v>785.24999999999989</v>
      </c>
      <c r="G502" s="27">
        <v>6922</v>
      </c>
      <c r="H502" s="27">
        <v>52</v>
      </c>
      <c r="I502" s="2">
        <v>56102.59</v>
      </c>
      <c r="J502" s="27">
        <v>71</v>
      </c>
      <c r="K502" s="29">
        <f>'MS post'!N3</f>
        <v>594935</v>
      </c>
      <c r="L502" s="41">
        <v>1926</v>
      </c>
      <c r="M502" s="27" t="str">
        <f>M501</f>
        <v>https://ia601507.us.archive.org/24/items/MSpics/MSpics.pdf</v>
      </c>
      <c r="N502" s="27" t="str">
        <f>N501</f>
        <v>https://ia601507.us.archive.org/24/items/MSpics/MSpics.pdf#page=5</v>
      </c>
      <c r="O502" s="27" t="str">
        <f>O501</f>
        <v>https://babel.hathitrust.org/cgi/pt?id=uiug.30112051004916;view=1up;seq=96</v>
      </c>
      <c r="Q502" s="27" t="str">
        <f>Q501</f>
        <v>https://ia601507.us.archive.org/24/items/MSpics/MSpics.pdf#page=5</v>
      </c>
      <c r="R502" s="27" t="str">
        <f>R501</f>
        <v>https://babel.hathitrust.org/cgi/pt?id=uiug.30112051004916;view=1up;seq=90</v>
      </c>
      <c r="S502" s="27" t="str">
        <f>S501</f>
        <v>https://babel.hathitrust.org/cgi/pt?id=uiug.30112051004916;view=1up;seq=219</v>
      </c>
      <c r="T502" s="27" t="str">
        <f t="shared" ref="T502:T565" si="26">R502</f>
        <v>https://babel.hathitrust.org/cgi/pt?id=uiug.30112051004916;view=1up;seq=90</v>
      </c>
      <c r="U502" s="27" t="str">
        <f>'MS post'!X3</f>
        <v>https://ia601502.us.archive.org/10/items/MS-school-property-value-1935-7/1936%20%26%201937%2c%20selected%20pages.pdf</v>
      </c>
    </row>
    <row r="503" spans="1:21" x14ac:dyDescent="0.25">
      <c r="A503" s="27" t="s">
        <v>1053</v>
      </c>
      <c r="B503" s="27" t="str">
        <f t="shared" si="24"/>
        <v>Mississippi</v>
      </c>
      <c r="C503" s="27" t="str">
        <f t="shared" si="25"/>
        <v>Amite</v>
      </c>
      <c r="D503" s="27">
        <v>4037</v>
      </c>
      <c r="E503" s="27">
        <v>145</v>
      </c>
      <c r="F503" s="26">
        <f>'MS post'!G4</f>
        <v>196.06526324852555</v>
      </c>
      <c r="G503" s="27">
        <v>5372</v>
      </c>
      <c r="H503" s="27">
        <v>40.049999999999997</v>
      </c>
      <c r="I503" s="2">
        <v>74528.06</v>
      </c>
      <c r="J503" s="27">
        <v>102</v>
      </c>
      <c r="K503" s="29">
        <f>'MS post'!N4</f>
        <v>236495</v>
      </c>
      <c r="L503" s="41">
        <v>1926</v>
      </c>
      <c r="M503" s="27" t="str">
        <f t="shared" ref="M503:M566" si="27">M502</f>
        <v>https://ia601507.us.archive.org/24/items/MSpics/MSpics.pdf</v>
      </c>
      <c r="N503" s="27" t="str">
        <f t="shared" ref="N503:N566" si="28">N502</f>
        <v>https://ia601507.us.archive.org/24/items/MSpics/MSpics.pdf#page=5</v>
      </c>
      <c r="O503" s="27" t="str">
        <f t="shared" ref="O503:O566" si="29">O502</f>
        <v>https://babel.hathitrust.org/cgi/pt?id=uiug.30112051004916;view=1up;seq=96</v>
      </c>
      <c r="Q503" s="27" t="str">
        <f t="shared" ref="Q503:Q566" si="30">Q502</f>
        <v>https://ia601507.us.archive.org/24/items/MSpics/MSpics.pdf#page=5</v>
      </c>
      <c r="R503" s="27" t="str">
        <f t="shared" ref="R503:R566" si="31">R502</f>
        <v>https://babel.hathitrust.org/cgi/pt?id=uiug.30112051004916;view=1up;seq=90</v>
      </c>
      <c r="S503" s="27" t="str">
        <f t="shared" ref="S503:S566" si="32">S502</f>
        <v>https://babel.hathitrust.org/cgi/pt?id=uiug.30112051004916;view=1up;seq=219</v>
      </c>
      <c r="T503" s="27" t="str">
        <f t="shared" si="26"/>
        <v>https://babel.hathitrust.org/cgi/pt?id=uiug.30112051004916;view=1up;seq=90</v>
      </c>
      <c r="U503" s="27" t="str">
        <f>'MS post'!X4</f>
        <v>https://ia601502.us.archive.org/10/items/MS-school-property-value-1935-7/1936%20%26%201937%2c%20selected%20pages.pdf</v>
      </c>
    </row>
    <row r="504" spans="1:21" x14ac:dyDescent="0.25">
      <c r="A504" s="27" t="s">
        <v>1054</v>
      </c>
      <c r="B504" s="27" t="str">
        <f t="shared" si="24"/>
        <v>Mississippi</v>
      </c>
      <c r="C504" s="27" t="str">
        <f t="shared" si="25"/>
        <v>Attala</v>
      </c>
      <c r="D504" s="27">
        <v>5736</v>
      </c>
      <c r="E504" s="27">
        <v>153</v>
      </c>
      <c r="F504" s="26">
        <f>'MS post'!G5</f>
        <v>187.70858997039221</v>
      </c>
      <c r="G504" s="27">
        <v>8913</v>
      </c>
      <c r="H504" s="27">
        <v>42.34</v>
      </c>
      <c r="I504" s="2">
        <v>84502.51</v>
      </c>
      <c r="J504" s="27">
        <v>110</v>
      </c>
      <c r="K504" s="29">
        <f>'MS post'!N5</f>
        <v>445995</v>
      </c>
      <c r="L504" s="41">
        <v>1926</v>
      </c>
      <c r="M504" s="27" t="str">
        <f t="shared" si="27"/>
        <v>https://ia601507.us.archive.org/24/items/MSpics/MSpics.pdf</v>
      </c>
      <c r="N504" s="27" t="str">
        <f t="shared" si="28"/>
        <v>https://ia601507.us.archive.org/24/items/MSpics/MSpics.pdf#page=5</v>
      </c>
      <c r="O504" s="27" t="str">
        <f t="shared" si="29"/>
        <v>https://babel.hathitrust.org/cgi/pt?id=uiug.30112051004916;view=1up;seq=96</v>
      </c>
      <c r="Q504" s="27" t="str">
        <f t="shared" si="30"/>
        <v>https://ia601507.us.archive.org/24/items/MSpics/MSpics.pdf#page=5</v>
      </c>
      <c r="R504" s="27" t="str">
        <f t="shared" si="31"/>
        <v>https://babel.hathitrust.org/cgi/pt?id=uiug.30112051004916;view=1up;seq=90</v>
      </c>
      <c r="S504" s="27" t="str">
        <f t="shared" si="32"/>
        <v>https://babel.hathitrust.org/cgi/pt?id=uiug.30112051004916;view=1up;seq=219</v>
      </c>
      <c r="T504" s="27" t="str">
        <f t="shared" si="26"/>
        <v>https://babel.hathitrust.org/cgi/pt?id=uiug.30112051004916;view=1up;seq=90</v>
      </c>
      <c r="U504" s="27" t="str">
        <f>'MS post'!X5</f>
        <v>https://ia601502.us.archive.org/10/items/MS-school-property-value-1935-7/1936%20%26%201937%2c%20selected%20pages.pdf</v>
      </c>
    </row>
    <row r="505" spans="1:21" x14ac:dyDescent="0.25">
      <c r="A505" s="27" t="s">
        <v>1055</v>
      </c>
      <c r="B505" s="27" t="str">
        <f t="shared" si="24"/>
        <v>Mississippi</v>
      </c>
      <c r="C505" s="27" t="str">
        <f t="shared" si="25"/>
        <v>Benton</v>
      </c>
      <c r="D505" s="27">
        <v>2459</v>
      </c>
      <c r="E505" s="27">
        <v>93</v>
      </c>
      <c r="F505" s="26">
        <f>'MS post'!G6</f>
        <v>181.06953405017921</v>
      </c>
      <c r="G505" s="27">
        <v>3304</v>
      </c>
      <c r="H505" s="27">
        <v>37.5</v>
      </c>
      <c r="I505" s="2">
        <v>52053.43</v>
      </c>
      <c r="J505" s="27">
        <v>76</v>
      </c>
      <c r="K505" s="29">
        <f>'MS post'!N6</f>
        <v>102243</v>
      </c>
      <c r="L505" s="41">
        <v>1926</v>
      </c>
      <c r="M505" s="27" t="str">
        <f t="shared" si="27"/>
        <v>https://ia601507.us.archive.org/24/items/MSpics/MSpics.pdf</v>
      </c>
      <c r="N505" s="27" t="str">
        <f t="shared" si="28"/>
        <v>https://ia601507.us.archive.org/24/items/MSpics/MSpics.pdf#page=5</v>
      </c>
      <c r="O505" s="27" t="str">
        <f t="shared" si="29"/>
        <v>https://babel.hathitrust.org/cgi/pt?id=uiug.30112051004916;view=1up;seq=96</v>
      </c>
      <c r="Q505" s="27" t="str">
        <f t="shared" si="30"/>
        <v>https://ia601507.us.archive.org/24/items/MSpics/MSpics.pdf#page=5</v>
      </c>
      <c r="R505" s="27" t="str">
        <f t="shared" si="31"/>
        <v>https://babel.hathitrust.org/cgi/pt?id=uiug.30112051004916;view=1up;seq=90</v>
      </c>
      <c r="S505" s="27" t="str">
        <f t="shared" si="32"/>
        <v>https://babel.hathitrust.org/cgi/pt?id=uiug.30112051004916;view=1up;seq=219</v>
      </c>
      <c r="T505" s="27" t="str">
        <f t="shared" si="26"/>
        <v>https://babel.hathitrust.org/cgi/pt?id=uiug.30112051004916;view=1up;seq=90</v>
      </c>
      <c r="U505" s="27" t="str">
        <f>'MS post'!X6</f>
        <v>https://ia601502.us.archive.org/10/items/MS-school-property-value-1935-7/1936%20%26%201937%2c%20selected%20pages.pdf</v>
      </c>
    </row>
    <row r="506" spans="1:21" x14ac:dyDescent="0.25">
      <c r="A506" s="27" t="s">
        <v>1056</v>
      </c>
      <c r="B506" s="27" t="str">
        <f t="shared" si="24"/>
        <v>Mississippi</v>
      </c>
      <c r="C506" s="27" t="str">
        <f t="shared" si="25"/>
        <v>Bolivar</v>
      </c>
      <c r="D506" s="27">
        <v>11847</v>
      </c>
      <c r="E506" s="27">
        <v>296</v>
      </c>
      <c r="F506" s="26">
        <f>'MS post'!G7</f>
        <v>329.57260695435372</v>
      </c>
      <c r="G506" s="27">
        <v>18025</v>
      </c>
      <c r="H506" s="27">
        <v>50.95</v>
      </c>
      <c r="I506" s="2">
        <v>592801.21</v>
      </c>
      <c r="J506" s="27">
        <v>172</v>
      </c>
      <c r="K506" s="29">
        <f>'MS post'!N7</f>
        <v>1405375</v>
      </c>
      <c r="L506" s="41">
        <v>1926</v>
      </c>
      <c r="M506" s="27" t="str">
        <f t="shared" si="27"/>
        <v>https://ia601507.us.archive.org/24/items/MSpics/MSpics.pdf</v>
      </c>
      <c r="N506" s="27" t="str">
        <f t="shared" si="28"/>
        <v>https://ia601507.us.archive.org/24/items/MSpics/MSpics.pdf#page=5</v>
      </c>
      <c r="O506" s="27" t="str">
        <f t="shared" si="29"/>
        <v>https://babel.hathitrust.org/cgi/pt?id=uiug.30112051004916;view=1up;seq=96</v>
      </c>
      <c r="Q506" s="27" t="str">
        <f t="shared" si="30"/>
        <v>https://ia601507.us.archive.org/24/items/MSpics/MSpics.pdf#page=5</v>
      </c>
      <c r="R506" s="27" t="str">
        <f t="shared" si="31"/>
        <v>https://babel.hathitrust.org/cgi/pt?id=uiug.30112051004916;view=1up;seq=90</v>
      </c>
      <c r="S506" s="27" t="str">
        <f t="shared" si="32"/>
        <v>https://babel.hathitrust.org/cgi/pt?id=uiug.30112051004916;view=1up;seq=219</v>
      </c>
      <c r="T506" s="27" t="str">
        <f t="shared" si="26"/>
        <v>https://babel.hathitrust.org/cgi/pt?id=uiug.30112051004916;view=1up;seq=90</v>
      </c>
      <c r="U506" s="27" t="str">
        <f>'MS post'!X7</f>
        <v>https://ia601502.us.archive.org/10/items/MS-school-property-value-1935-7/1936%20%26%201937%2c%20selected%20pages.pdf</v>
      </c>
    </row>
    <row r="507" spans="1:21" x14ac:dyDescent="0.25">
      <c r="A507" s="27" t="s">
        <v>1057</v>
      </c>
      <c r="B507" s="27" t="str">
        <f t="shared" si="24"/>
        <v>Mississippi</v>
      </c>
      <c r="C507" s="27" t="str">
        <f t="shared" si="25"/>
        <v>Calhoun</v>
      </c>
      <c r="D507" s="27">
        <v>3418</v>
      </c>
      <c r="E507" s="27">
        <v>145</v>
      </c>
      <c r="F507" s="26">
        <f>'MS post'!G8</f>
        <v>234.73144399460193</v>
      </c>
      <c r="G507" s="27">
        <v>5206</v>
      </c>
      <c r="H507" s="27">
        <v>37.049999999999997</v>
      </c>
      <c r="I507" s="2">
        <v>76144.259999999995</v>
      </c>
      <c r="J507" s="27">
        <v>97</v>
      </c>
      <c r="K507" s="29">
        <f>'MS post'!N8</f>
        <v>165670</v>
      </c>
      <c r="L507" s="41">
        <v>1926</v>
      </c>
      <c r="M507" s="27" t="str">
        <f t="shared" si="27"/>
        <v>https://ia601507.us.archive.org/24/items/MSpics/MSpics.pdf</v>
      </c>
      <c r="N507" s="27" t="str">
        <f t="shared" si="28"/>
        <v>https://ia601507.us.archive.org/24/items/MSpics/MSpics.pdf#page=5</v>
      </c>
      <c r="O507" s="27" t="str">
        <f t="shared" si="29"/>
        <v>https://babel.hathitrust.org/cgi/pt?id=uiug.30112051004916;view=1up;seq=96</v>
      </c>
      <c r="Q507" s="27" t="str">
        <f t="shared" si="30"/>
        <v>https://ia601507.us.archive.org/24/items/MSpics/MSpics.pdf#page=5</v>
      </c>
      <c r="R507" s="27" t="str">
        <f t="shared" si="31"/>
        <v>https://babel.hathitrust.org/cgi/pt?id=uiug.30112051004916;view=1up;seq=90</v>
      </c>
      <c r="S507" s="27" t="str">
        <f t="shared" si="32"/>
        <v>https://babel.hathitrust.org/cgi/pt?id=uiug.30112051004916;view=1up;seq=219</v>
      </c>
      <c r="T507" s="27" t="str">
        <f t="shared" si="26"/>
        <v>https://babel.hathitrust.org/cgi/pt?id=uiug.30112051004916;view=1up;seq=90</v>
      </c>
      <c r="U507" s="27" t="str">
        <f>'MS post'!X8</f>
        <v>https://ia601502.us.archive.org/10/items/MS-school-property-value-1935-7/1936%20%26%201937%2c%20selected%20pages.pdf</v>
      </c>
    </row>
    <row r="508" spans="1:21" x14ac:dyDescent="0.25">
      <c r="A508" s="27" t="s">
        <v>1058</v>
      </c>
      <c r="B508" s="27" t="str">
        <f t="shared" si="24"/>
        <v>Mississippi</v>
      </c>
      <c r="C508" s="27" t="str">
        <f t="shared" si="25"/>
        <v>Carroll</v>
      </c>
      <c r="D508" s="27">
        <v>3522</v>
      </c>
      <c r="E508" s="27">
        <v>67</v>
      </c>
      <c r="F508" s="26">
        <f>'MS post'!G9</f>
        <v>243.41127462267903</v>
      </c>
      <c r="G508" s="27">
        <v>5513</v>
      </c>
      <c r="H508" s="27">
        <v>42.78</v>
      </c>
      <c r="I508" s="2">
        <v>45351.72</v>
      </c>
      <c r="J508" s="27">
        <v>99</v>
      </c>
      <c r="K508" s="29">
        <f>'MS post'!N9</f>
        <v>181522.5</v>
      </c>
      <c r="L508" s="41">
        <v>1926</v>
      </c>
      <c r="M508" s="27" t="str">
        <f t="shared" si="27"/>
        <v>https://ia601507.us.archive.org/24/items/MSpics/MSpics.pdf</v>
      </c>
      <c r="N508" s="27" t="str">
        <f t="shared" si="28"/>
        <v>https://ia601507.us.archive.org/24/items/MSpics/MSpics.pdf#page=5</v>
      </c>
      <c r="O508" s="27" t="str">
        <f t="shared" si="29"/>
        <v>https://babel.hathitrust.org/cgi/pt?id=uiug.30112051004916;view=1up;seq=96</v>
      </c>
      <c r="Q508" s="27" t="str">
        <f t="shared" si="30"/>
        <v>https://ia601507.us.archive.org/24/items/MSpics/MSpics.pdf#page=5</v>
      </c>
      <c r="R508" s="27" t="str">
        <f t="shared" si="31"/>
        <v>https://babel.hathitrust.org/cgi/pt?id=uiug.30112051004916;view=1up;seq=90</v>
      </c>
      <c r="S508" s="27" t="str">
        <f t="shared" si="32"/>
        <v>https://babel.hathitrust.org/cgi/pt?id=uiug.30112051004916;view=1up;seq=219</v>
      </c>
      <c r="T508" s="27" t="str">
        <f t="shared" si="26"/>
        <v>https://babel.hathitrust.org/cgi/pt?id=uiug.30112051004916;view=1up;seq=90</v>
      </c>
      <c r="U508" s="27" t="str">
        <f>'MS post'!X9</f>
        <v>https://ia601502.us.archive.org/10/items/MS-school-property-value-1935-7/1936%20%26%201937%2c%20selected%20pages.pdf</v>
      </c>
    </row>
    <row r="509" spans="1:21" x14ac:dyDescent="0.25">
      <c r="A509" s="27" t="s">
        <v>1059</v>
      </c>
      <c r="B509" s="27" t="str">
        <f t="shared" si="24"/>
        <v>Mississippi</v>
      </c>
      <c r="C509" s="27" t="str">
        <f t="shared" si="25"/>
        <v>Chickasaw</v>
      </c>
      <c r="D509" s="27">
        <v>5007</v>
      </c>
      <c r="E509" s="27">
        <v>105</v>
      </c>
      <c r="F509" s="26">
        <f>'MS post'!G10</f>
        <v>193.02939155316727</v>
      </c>
      <c r="G509" s="27">
        <v>7046</v>
      </c>
      <c r="H509" s="27">
        <v>42.27</v>
      </c>
      <c r="I509" s="2">
        <v>48742.6</v>
      </c>
      <c r="J509" s="27">
        <v>103</v>
      </c>
      <c r="K509" s="29">
        <f>'MS post'!N10</f>
        <v>472510</v>
      </c>
      <c r="L509" s="41">
        <v>1926</v>
      </c>
      <c r="M509" s="27" t="str">
        <f t="shared" si="27"/>
        <v>https://ia601507.us.archive.org/24/items/MSpics/MSpics.pdf</v>
      </c>
      <c r="N509" s="27" t="str">
        <f t="shared" si="28"/>
        <v>https://ia601507.us.archive.org/24/items/MSpics/MSpics.pdf#page=5</v>
      </c>
      <c r="O509" s="27" t="str">
        <f t="shared" si="29"/>
        <v>https://babel.hathitrust.org/cgi/pt?id=uiug.30112051004916;view=1up;seq=96</v>
      </c>
      <c r="Q509" s="27" t="str">
        <f t="shared" si="30"/>
        <v>https://ia601507.us.archive.org/24/items/MSpics/MSpics.pdf#page=5</v>
      </c>
      <c r="R509" s="27" t="str">
        <f t="shared" si="31"/>
        <v>https://babel.hathitrust.org/cgi/pt?id=uiug.30112051004916;view=1up;seq=90</v>
      </c>
      <c r="S509" s="27" t="str">
        <f t="shared" si="32"/>
        <v>https://babel.hathitrust.org/cgi/pt?id=uiug.30112051004916;view=1up;seq=219</v>
      </c>
      <c r="T509" s="27" t="str">
        <f t="shared" si="26"/>
        <v>https://babel.hathitrust.org/cgi/pt?id=uiug.30112051004916;view=1up;seq=90</v>
      </c>
      <c r="U509" s="27" t="str">
        <f>'MS post'!X10</f>
        <v>https://ia601502.us.archive.org/10/items/MS-school-property-value-1935-7/1936%20%26%201937%2c%20selected%20pages.pdf</v>
      </c>
    </row>
    <row r="510" spans="1:21" x14ac:dyDescent="0.25">
      <c r="A510" s="27" t="s">
        <v>1060</v>
      </c>
      <c r="B510" s="27" t="str">
        <f t="shared" si="24"/>
        <v>Mississippi</v>
      </c>
      <c r="C510" s="27" t="str">
        <f t="shared" si="25"/>
        <v>Choctaw</v>
      </c>
      <c r="D510" s="27">
        <v>3881</v>
      </c>
      <c r="E510" s="27">
        <v>108</v>
      </c>
      <c r="F510" s="26">
        <f>'MS post'!G11</f>
        <v>146.57794757508225</v>
      </c>
      <c r="G510" s="27">
        <v>4864</v>
      </c>
      <c r="H510" s="27">
        <v>34.9</v>
      </c>
      <c r="I510" s="2">
        <v>42122.96</v>
      </c>
      <c r="J510" s="27">
        <v>79</v>
      </c>
      <c r="K510" s="29">
        <f>'MS post'!N11</f>
        <v>134480</v>
      </c>
      <c r="L510" s="41">
        <v>1926</v>
      </c>
      <c r="M510" s="27" t="str">
        <f t="shared" si="27"/>
        <v>https://ia601507.us.archive.org/24/items/MSpics/MSpics.pdf</v>
      </c>
      <c r="N510" s="27" t="str">
        <f t="shared" si="28"/>
        <v>https://ia601507.us.archive.org/24/items/MSpics/MSpics.pdf#page=5</v>
      </c>
      <c r="O510" s="27" t="str">
        <f t="shared" si="29"/>
        <v>https://babel.hathitrust.org/cgi/pt?id=uiug.30112051004916;view=1up;seq=96</v>
      </c>
      <c r="Q510" s="27" t="str">
        <f t="shared" si="30"/>
        <v>https://ia601507.us.archive.org/24/items/MSpics/MSpics.pdf#page=5</v>
      </c>
      <c r="R510" s="27" t="str">
        <f t="shared" si="31"/>
        <v>https://babel.hathitrust.org/cgi/pt?id=uiug.30112051004916;view=1up;seq=90</v>
      </c>
      <c r="S510" s="27" t="str">
        <f t="shared" si="32"/>
        <v>https://babel.hathitrust.org/cgi/pt?id=uiug.30112051004916;view=1up;seq=219</v>
      </c>
      <c r="T510" s="27" t="str">
        <f t="shared" si="26"/>
        <v>https://babel.hathitrust.org/cgi/pt?id=uiug.30112051004916;view=1up;seq=90</v>
      </c>
      <c r="U510" s="27" t="str">
        <f>'MS post'!X11</f>
        <v>https://ia601502.us.archive.org/10/items/MS-school-property-value-1935-7/1936%20%26%201937%2c%20selected%20pages.pdf</v>
      </c>
    </row>
    <row r="511" spans="1:21" x14ac:dyDescent="0.25">
      <c r="A511" s="27" t="s">
        <v>1061</v>
      </c>
      <c r="B511" s="27" t="str">
        <f t="shared" si="24"/>
        <v>Mississippi</v>
      </c>
      <c r="C511" s="27" t="str">
        <f t="shared" si="25"/>
        <v>Claiborne</v>
      </c>
      <c r="D511" s="27">
        <v>2110</v>
      </c>
      <c r="E511" s="27">
        <v>45</v>
      </c>
      <c r="F511" s="26">
        <f>'MS post'!G12</f>
        <v>280.13554745510999</v>
      </c>
      <c r="G511" s="27">
        <v>3446</v>
      </c>
      <c r="H511" s="27">
        <v>49.38</v>
      </c>
      <c r="I511" s="2">
        <v>41056.83</v>
      </c>
      <c r="J511" s="27">
        <v>66</v>
      </c>
      <c r="K511" s="29">
        <f>'MS post'!N12</f>
        <v>134125</v>
      </c>
      <c r="L511" s="41">
        <v>1926</v>
      </c>
      <c r="M511" s="27" t="str">
        <f t="shared" si="27"/>
        <v>https://ia601507.us.archive.org/24/items/MSpics/MSpics.pdf</v>
      </c>
      <c r="N511" s="27" t="str">
        <f t="shared" si="28"/>
        <v>https://ia601507.us.archive.org/24/items/MSpics/MSpics.pdf#page=5</v>
      </c>
      <c r="O511" s="27" t="str">
        <f t="shared" si="29"/>
        <v>https://babel.hathitrust.org/cgi/pt?id=uiug.30112051004916;view=1up;seq=96</v>
      </c>
      <c r="Q511" s="27" t="str">
        <f t="shared" si="30"/>
        <v>https://ia601507.us.archive.org/24/items/MSpics/MSpics.pdf#page=5</v>
      </c>
      <c r="R511" s="27" t="str">
        <f t="shared" si="31"/>
        <v>https://babel.hathitrust.org/cgi/pt?id=uiug.30112051004916;view=1up;seq=90</v>
      </c>
      <c r="S511" s="27" t="str">
        <f t="shared" si="32"/>
        <v>https://babel.hathitrust.org/cgi/pt?id=uiug.30112051004916;view=1up;seq=219</v>
      </c>
      <c r="T511" s="27" t="str">
        <f t="shared" si="26"/>
        <v>https://babel.hathitrust.org/cgi/pt?id=uiug.30112051004916;view=1up;seq=90</v>
      </c>
      <c r="U511" s="27" t="str">
        <f>'MS post'!X12</f>
        <v>https://ia601502.us.archive.org/10/items/MS-school-property-value-1935-7/1936%20%26%201937%2c%20selected%20pages.pdf</v>
      </c>
    </row>
    <row r="512" spans="1:21" x14ac:dyDescent="0.25">
      <c r="A512" s="27" t="s">
        <v>1062</v>
      </c>
      <c r="B512" s="27" t="str">
        <f t="shared" si="24"/>
        <v>Mississippi</v>
      </c>
      <c r="C512" s="27" t="str">
        <f t="shared" si="25"/>
        <v>Clarke</v>
      </c>
      <c r="D512" s="27">
        <v>4414</v>
      </c>
      <c r="E512" s="27">
        <v>120</v>
      </c>
      <c r="F512" s="26">
        <f>'MS post'!G13</f>
        <v>215.31023550724638</v>
      </c>
      <c r="G512" s="27">
        <v>6167</v>
      </c>
      <c r="H512" s="27">
        <v>44.16</v>
      </c>
      <c r="I512" s="2">
        <v>71293.69</v>
      </c>
      <c r="J512" s="27">
        <v>87</v>
      </c>
      <c r="K512" s="29">
        <f>'MS post'!N13</f>
        <v>307050</v>
      </c>
      <c r="L512" s="41">
        <v>1926</v>
      </c>
      <c r="M512" s="27" t="str">
        <f t="shared" si="27"/>
        <v>https://ia601507.us.archive.org/24/items/MSpics/MSpics.pdf</v>
      </c>
      <c r="N512" s="27" t="str">
        <f t="shared" si="28"/>
        <v>https://ia601507.us.archive.org/24/items/MSpics/MSpics.pdf#page=5</v>
      </c>
      <c r="O512" s="27" t="str">
        <f t="shared" si="29"/>
        <v>https://babel.hathitrust.org/cgi/pt?id=uiug.30112051004916;view=1up;seq=96</v>
      </c>
      <c r="Q512" s="27" t="str">
        <f t="shared" si="30"/>
        <v>https://ia601507.us.archive.org/24/items/MSpics/MSpics.pdf#page=5</v>
      </c>
      <c r="R512" s="27" t="str">
        <f t="shared" si="31"/>
        <v>https://babel.hathitrust.org/cgi/pt?id=uiug.30112051004916;view=1up;seq=90</v>
      </c>
      <c r="S512" s="27" t="str">
        <f t="shared" si="32"/>
        <v>https://babel.hathitrust.org/cgi/pt?id=uiug.30112051004916;view=1up;seq=219</v>
      </c>
      <c r="T512" s="27" t="str">
        <f t="shared" si="26"/>
        <v>https://babel.hathitrust.org/cgi/pt?id=uiug.30112051004916;view=1up;seq=90</v>
      </c>
      <c r="U512" s="27" t="str">
        <f>'MS post'!X13</f>
        <v>https://ia601502.us.archive.org/10/items/MS-school-property-value-1935-7/1936%20%26%201937%2c%20selected%20pages.pdf</v>
      </c>
    </row>
    <row r="513" spans="1:21" x14ac:dyDescent="0.25">
      <c r="A513" s="27" t="s">
        <v>1063</v>
      </c>
      <c r="B513" s="27" t="str">
        <f t="shared" si="24"/>
        <v>Mississippi</v>
      </c>
      <c r="C513" s="27" t="str">
        <f t="shared" si="25"/>
        <v>Clay</v>
      </c>
      <c r="D513" s="27">
        <v>3503</v>
      </c>
      <c r="E513" s="27">
        <v>96</v>
      </c>
      <c r="F513" s="26">
        <f>'MS post'!G14</f>
        <v>138.34791620808571</v>
      </c>
      <c r="G513" s="27">
        <v>4727</v>
      </c>
      <c r="H513" s="27">
        <v>45.43</v>
      </c>
      <c r="I513" s="2">
        <v>56648.05</v>
      </c>
      <c r="J513" s="27">
        <v>73</v>
      </c>
      <c r="K513" s="29">
        <f>'MS post'!N14</f>
        <v>344665</v>
      </c>
      <c r="L513" s="41">
        <v>1926</v>
      </c>
      <c r="M513" s="27" t="str">
        <f t="shared" si="27"/>
        <v>https://ia601507.us.archive.org/24/items/MSpics/MSpics.pdf</v>
      </c>
      <c r="N513" s="27" t="str">
        <f t="shared" si="28"/>
        <v>https://ia601507.us.archive.org/24/items/MSpics/MSpics.pdf#page=5</v>
      </c>
      <c r="O513" s="27" t="str">
        <f t="shared" si="29"/>
        <v>https://babel.hathitrust.org/cgi/pt?id=uiug.30112051004916;view=1up;seq=96</v>
      </c>
      <c r="Q513" s="27" t="str">
        <f t="shared" si="30"/>
        <v>https://ia601507.us.archive.org/24/items/MSpics/MSpics.pdf#page=5</v>
      </c>
      <c r="R513" s="27" t="str">
        <f t="shared" si="31"/>
        <v>https://babel.hathitrust.org/cgi/pt?id=uiug.30112051004916;view=1up;seq=90</v>
      </c>
      <c r="S513" s="27" t="str">
        <f t="shared" si="32"/>
        <v>https://babel.hathitrust.org/cgi/pt?id=uiug.30112051004916;view=1up;seq=219</v>
      </c>
      <c r="T513" s="27" t="str">
        <f t="shared" si="26"/>
        <v>https://babel.hathitrust.org/cgi/pt?id=uiug.30112051004916;view=1up;seq=90</v>
      </c>
      <c r="U513" s="27" t="str">
        <f>'MS post'!X14</f>
        <v>https://ia601502.us.archive.org/10/items/MS-school-property-value-1935-7/1936%20%26%201937%2c%20selected%20pages.pdf</v>
      </c>
    </row>
    <row r="514" spans="1:21" x14ac:dyDescent="0.25">
      <c r="A514" s="27" t="s">
        <v>1064</v>
      </c>
      <c r="B514" s="27" t="str">
        <f t="shared" ref="B514:B577" si="33">LEFT(A514,FIND(";",A514)-1)</f>
        <v>Mississippi</v>
      </c>
      <c r="C514" s="27" t="str">
        <f t="shared" ref="C514:C577" si="34">MID(A514,FIND(";",A514)+1,100)</f>
        <v>Coahoma</v>
      </c>
      <c r="D514" s="27">
        <v>6562</v>
      </c>
      <c r="E514" s="27">
        <v>110</v>
      </c>
      <c r="F514" s="26">
        <f>'MS post'!G15</f>
        <v>188.00010132910003</v>
      </c>
      <c r="G514" s="27">
        <v>11363</v>
      </c>
      <c r="H514" s="27">
        <v>53.83</v>
      </c>
      <c r="I514" s="2">
        <v>108429.9</v>
      </c>
      <c r="J514" s="27">
        <v>103</v>
      </c>
      <c r="K514" s="29">
        <f>'MS post'!N15</f>
        <v>957950</v>
      </c>
      <c r="L514" s="41">
        <v>1926</v>
      </c>
      <c r="M514" s="27" t="str">
        <f t="shared" si="27"/>
        <v>https://ia601507.us.archive.org/24/items/MSpics/MSpics.pdf</v>
      </c>
      <c r="N514" s="27" t="str">
        <f t="shared" si="28"/>
        <v>https://ia601507.us.archive.org/24/items/MSpics/MSpics.pdf#page=5</v>
      </c>
      <c r="O514" s="27" t="str">
        <f t="shared" si="29"/>
        <v>https://babel.hathitrust.org/cgi/pt?id=uiug.30112051004916;view=1up;seq=96</v>
      </c>
      <c r="Q514" s="27" t="str">
        <f t="shared" si="30"/>
        <v>https://ia601507.us.archive.org/24/items/MSpics/MSpics.pdf#page=5</v>
      </c>
      <c r="R514" s="27" t="str">
        <f t="shared" si="31"/>
        <v>https://babel.hathitrust.org/cgi/pt?id=uiug.30112051004916;view=1up;seq=90</v>
      </c>
      <c r="S514" s="27" t="str">
        <f t="shared" si="32"/>
        <v>https://babel.hathitrust.org/cgi/pt?id=uiug.30112051004916;view=1up;seq=219</v>
      </c>
      <c r="T514" s="27" t="str">
        <f t="shared" si="26"/>
        <v>https://babel.hathitrust.org/cgi/pt?id=uiug.30112051004916;view=1up;seq=90</v>
      </c>
      <c r="U514" s="27" t="str">
        <f>'MS post'!X15</f>
        <v>https://ia601502.us.archive.org/10/items/MS-school-property-value-1935-7/1936%20%26%201937%2c%20selected%20pages.pdf</v>
      </c>
    </row>
    <row r="515" spans="1:21" x14ac:dyDescent="0.25">
      <c r="A515" s="27" t="s">
        <v>1065</v>
      </c>
      <c r="B515" s="27" t="str">
        <f t="shared" si="33"/>
        <v>Mississippi</v>
      </c>
      <c r="C515" s="27" t="str">
        <f t="shared" si="34"/>
        <v>Copiah</v>
      </c>
      <c r="D515" s="27">
        <v>6963</v>
      </c>
      <c r="E515" s="27">
        <v>183</v>
      </c>
      <c r="F515" s="26">
        <f>'MS post'!G16</f>
        <v>185.67037096011677</v>
      </c>
      <c r="G515" s="27">
        <v>9472</v>
      </c>
      <c r="H515" s="27">
        <v>44.27</v>
      </c>
      <c r="I515" s="2">
        <v>133027.65</v>
      </c>
      <c r="J515" s="27">
        <v>124</v>
      </c>
      <c r="K515" s="29">
        <f>'MS post'!N16</f>
        <v>804507</v>
      </c>
      <c r="L515" s="41">
        <v>1926</v>
      </c>
      <c r="M515" s="27" t="str">
        <f t="shared" si="27"/>
        <v>https://ia601507.us.archive.org/24/items/MSpics/MSpics.pdf</v>
      </c>
      <c r="N515" s="27" t="str">
        <f t="shared" si="28"/>
        <v>https://ia601507.us.archive.org/24/items/MSpics/MSpics.pdf#page=5</v>
      </c>
      <c r="O515" s="27" t="str">
        <f t="shared" si="29"/>
        <v>https://babel.hathitrust.org/cgi/pt?id=uiug.30112051004916;view=1up;seq=96</v>
      </c>
      <c r="Q515" s="27" t="str">
        <f t="shared" si="30"/>
        <v>https://ia601507.us.archive.org/24/items/MSpics/MSpics.pdf#page=5</v>
      </c>
      <c r="R515" s="27" t="str">
        <f t="shared" si="31"/>
        <v>https://babel.hathitrust.org/cgi/pt?id=uiug.30112051004916;view=1up;seq=90</v>
      </c>
      <c r="S515" s="27" t="str">
        <f t="shared" si="32"/>
        <v>https://babel.hathitrust.org/cgi/pt?id=uiug.30112051004916;view=1up;seq=219</v>
      </c>
      <c r="T515" s="27" t="str">
        <f t="shared" si="26"/>
        <v>https://babel.hathitrust.org/cgi/pt?id=uiug.30112051004916;view=1up;seq=90</v>
      </c>
      <c r="U515" s="27" t="str">
        <f>'MS post'!X16</f>
        <v>https://ia601502.us.archive.org/10/items/MS-school-property-value-1935-7/1936%20%26%201937%2c%20selected%20pages.pdf</v>
      </c>
    </row>
    <row r="516" spans="1:21" x14ac:dyDescent="0.25">
      <c r="A516" s="27" t="s">
        <v>1066</v>
      </c>
      <c r="B516" s="27" t="str">
        <f t="shared" si="33"/>
        <v>Mississippi</v>
      </c>
      <c r="C516" s="27" t="str">
        <f t="shared" si="34"/>
        <v>Covington</v>
      </c>
      <c r="D516" s="27">
        <v>3634</v>
      </c>
      <c r="E516" s="27">
        <v>96</v>
      </c>
      <c r="F516" s="26">
        <f>'MS post'!G17</f>
        <v>107.76173628547517</v>
      </c>
      <c r="G516" s="27">
        <v>6253</v>
      </c>
      <c r="H516" s="27">
        <v>43.81</v>
      </c>
      <c r="I516" s="2">
        <v>30034.12</v>
      </c>
      <c r="J516" s="27">
        <v>50</v>
      </c>
      <c r="K516" s="29">
        <f>'MS post'!N17</f>
        <v>286536</v>
      </c>
      <c r="L516" s="41">
        <v>1926</v>
      </c>
      <c r="M516" s="27" t="str">
        <f t="shared" si="27"/>
        <v>https://ia601507.us.archive.org/24/items/MSpics/MSpics.pdf</v>
      </c>
      <c r="N516" s="27" t="str">
        <f t="shared" si="28"/>
        <v>https://ia601507.us.archive.org/24/items/MSpics/MSpics.pdf#page=5</v>
      </c>
      <c r="O516" s="27" t="str">
        <f t="shared" si="29"/>
        <v>https://babel.hathitrust.org/cgi/pt?id=uiug.30112051004916;view=1up;seq=96</v>
      </c>
      <c r="Q516" s="27" t="str">
        <f t="shared" si="30"/>
        <v>https://ia601507.us.archive.org/24/items/MSpics/MSpics.pdf#page=5</v>
      </c>
      <c r="R516" s="27" t="str">
        <f t="shared" si="31"/>
        <v>https://babel.hathitrust.org/cgi/pt?id=uiug.30112051004916;view=1up;seq=90</v>
      </c>
      <c r="S516" s="27" t="str">
        <f t="shared" si="32"/>
        <v>https://babel.hathitrust.org/cgi/pt?id=uiug.30112051004916;view=1up;seq=219</v>
      </c>
      <c r="T516" s="27" t="str">
        <f t="shared" si="26"/>
        <v>https://babel.hathitrust.org/cgi/pt?id=uiug.30112051004916;view=1up;seq=90</v>
      </c>
      <c r="U516" s="27" t="str">
        <f>'MS post'!X17</f>
        <v>https://ia601502.us.archive.org/10/items/MS-school-property-value-1935-7/1936%20%26%201937%2c%20selected%20pages.pdf</v>
      </c>
    </row>
    <row r="517" spans="1:21" x14ac:dyDescent="0.25">
      <c r="A517" s="27" t="s">
        <v>1753</v>
      </c>
      <c r="B517" s="27" t="str">
        <f t="shared" si="33"/>
        <v>Mississippi</v>
      </c>
      <c r="C517" s="27" t="str">
        <f t="shared" si="34"/>
        <v>DeSoto</v>
      </c>
      <c r="D517" s="27">
        <v>11158</v>
      </c>
      <c r="E517" s="27">
        <v>122</v>
      </c>
      <c r="F517" s="26">
        <f>'MS post'!G18</f>
        <v>173.92166213728413</v>
      </c>
      <c r="G517" s="27">
        <v>13470</v>
      </c>
      <c r="H517" s="27">
        <v>46.75</v>
      </c>
      <c r="I517" s="2">
        <v>75791.48</v>
      </c>
      <c r="J517" s="27">
        <v>74</v>
      </c>
      <c r="K517" s="29">
        <f>'MS post'!N18</f>
        <v>437699</v>
      </c>
      <c r="L517" s="41">
        <v>1926</v>
      </c>
      <c r="M517" s="27" t="str">
        <f t="shared" si="27"/>
        <v>https://ia601507.us.archive.org/24/items/MSpics/MSpics.pdf</v>
      </c>
      <c r="N517" s="27" t="str">
        <f t="shared" si="28"/>
        <v>https://ia601507.us.archive.org/24/items/MSpics/MSpics.pdf#page=5</v>
      </c>
      <c r="O517" s="27" t="str">
        <f t="shared" si="29"/>
        <v>https://babel.hathitrust.org/cgi/pt?id=uiug.30112051004916;view=1up;seq=96</v>
      </c>
      <c r="Q517" s="27" t="str">
        <f t="shared" si="30"/>
        <v>https://ia601507.us.archive.org/24/items/MSpics/MSpics.pdf#page=5</v>
      </c>
      <c r="R517" s="27" t="str">
        <f t="shared" si="31"/>
        <v>https://babel.hathitrust.org/cgi/pt?id=uiug.30112051004916;view=1up;seq=90</v>
      </c>
      <c r="S517" s="27" t="str">
        <f t="shared" si="32"/>
        <v>https://babel.hathitrust.org/cgi/pt?id=uiug.30112051004916;view=1up;seq=219</v>
      </c>
      <c r="T517" s="27" t="str">
        <f t="shared" si="26"/>
        <v>https://babel.hathitrust.org/cgi/pt?id=uiug.30112051004916;view=1up;seq=90</v>
      </c>
      <c r="U517" s="27" t="str">
        <f>'MS post'!X18</f>
        <v>https://ia601502.us.archive.org/10/items/MS-school-property-value-1935-7/1936%20%26%201937%2c%20selected%20pages.pdf</v>
      </c>
    </row>
    <row r="518" spans="1:21" x14ac:dyDescent="0.25">
      <c r="A518" s="27" t="s">
        <v>1067</v>
      </c>
      <c r="B518" s="27" t="str">
        <f t="shared" si="33"/>
        <v>Mississippi</v>
      </c>
      <c r="C518" s="27" t="str">
        <f t="shared" si="34"/>
        <v>Forrest</v>
      </c>
      <c r="D518" s="27">
        <v>5340</v>
      </c>
      <c r="E518" s="27">
        <v>72</v>
      </c>
      <c r="F518" s="26">
        <f>'MS post'!G19</f>
        <v>201.92149154778022</v>
      </c>
      <c r="G518" s="27">
        <v>6126</v>
      </c>
      <c r="H518" s="27">
        <v>64.02</v>
      </c>
      <c r="I518" s="2">
        <v>68617.25</v>
      </c>
      <c r="J518" s="27">
        <v>36</v>
      </c>
      <c r="K518" s="29">
        <f>'MS post'!N19</f>
        <v>1446375</v>
      </c>
      <c r="L518" s="41">
        <v>1926</v>
      </c>
      <c r="M518" s="27" t="str">
        <f t="shared" si="27"/>
        <v>https://ia601507.us.archive.org/24/items/MSpics/MSpics.pdf</v>
      </c>
      <c r="N518" s="27" t="str">
        <f t="shared" si="28"/>
        <v>https://ia601507.us.archive.org/24/items/MSpics/MSpics.pdf#page=5</v>
      </c>
      <c r="O518" s="27" t="str">
        <f t="shared" si="29"/>
        <v>https://babel.hathitrust.org/cgi/pt?id=uiug.30112051004916;view=1up;seq=96</v>
      </c>
      <c r="Q518" s="27" t="str">
        <f t="shared" si="30"/>
        <v>https://ia601507.us.archive.org/24/items/MSpics/MSpics.pdf#page=5</v>
      </c>
      <c r="R518" s="27" t="str">
        <f t="shared" si="31"/>
        <v>https://babel.hathitrust.org/cgi/pt?id=uiug.30112051004916;view=1up;seq=90</v>
      </c>
      <c r="S518" s="27" t="str">
        <f t="shared" si="32"/>
        <v>https://babel.hathitrust.org/cgi/pt?id=uiug.30112051004916;view=1up;seq=219</v>
      </c>
      <c r="T518" s="27" t="str">
        <f t="shared" si="26"/>
        <v>https://babel.hathitrust.org/cgi/pt?id=uiug.30112051004916;view=1up;seq=90</v>
      </c>
      <c r="U518" s="27" t="str">
        <f>'MS post'!X19</f>
        <v>https://ia601502.us.archive.org/10/items/MS-school-property-value-1935-7/1936%20%26%201937%2c%20selected%20pages.pdf</v>
      </c>
    </row>
    <row r="519" spans="1:21" x14ac:dyDescent="0.25">
      <c r="A519" s="27" t="s">
        <v>1068</v>
      </c>
      <c r="B519" s="27" t="str">
        <f t="shared" si="33"/>
        <v>Mississippi</v>
      </c>
      <c r="C519" s="27" t="str">
        <f t="shared" si="34"/>
        <v>Franklin</v>
      </c>
      <c r="D519" s="27">
        <v>3651</v>
      </c>
      <c r="E519" s="27">
        <v>115</v>
      </c>
      <c r="F519" s="26">
        <f>'MS post'!G20</f>
        <v>158.93191626409018</v>
      </c>
      <c r="G519" s="27">
        <v>4464</v>
      </c>
      <c r="H519" s="27">
        <v>54</v>
      </c>
      <c r="I519" s="2">
        <v>56091.17</v>
      </c>
      <c r="J519" s="27">
        <v>92</v>
      </c>
      <c r="K519" s="29">
        <f>'MS post'!N20</f>
        <v>166414</v>
      </c>
      <c r="L519" s="41">
        <v>1926</v>
      </c>
      <c r="M519" s="27" t="str">
        <f t="shared" si="27"/>
        <v>https://ia601507.us.archive.org/24/items/MSpics/MSpics.pdf</v>
      </c>
      <c r="N519" s="27" t="str">
        <f t="shared" si="28"/>
        <v>https://ia601507.us.archive.org/24/items/MSpics/MSpics.pdf#page=5</v>
      </c>
      <c r="O519" s="27" t="str">
        <f t="shared" si="29"/>
        <v>https://babel.hathitrust.org/cgi/pt?id=uiug.30112051004916;view=1up;seq=96</v>
      </c>
      <c r="Q519" s="27" t="str">
        <f t="shared" si="30"/>
        <v>https://ia601507.us.archive.org/24/items/MSpics/MSpics.pdf#page=5</v>
      </c>
      <c r="R519" s="27" t="str">
        <f t="shared" si="31"/>
        <v>https://babel.hathitrust.org/cgi/pt?id=uiug.30112051004916;view=1up;seq=90</v>
      </c>
      <c r="S519" s="27" t="str">
        <f t="shared" si="32"/>
        <v>https://babel.hathitrust.org/cgi/pt?id=uiug.30112051004916;view=1up;seq=219</v>
      </c>
      <c r="T519" s="27" t="str">
        <f t="shared" si="26"/>
        <v>https://babel.hathitrust.org/cgi/pt?id=uiug.30112051004916;view=1up;seq=90</v>
      </c>
      <c r="U519" s="27" t="str">
        <f>'MS post'!X20</f>
        <v>https://ia601502.us.archive.org/10/items/MS-school-property-value-1935-7/1936%20%26%201937%2c%20selected%20pages.pdf</v>
      </c>
    </row>
    <row r="520" spans="1:21" x14ac:dyDescent="0.25">
      <c r="A520" s="27" t="s">
        <v>1069</v>
      </c>
      <c r="B520" s="27" t="str">
        <f t="shared" si="33"/>
        <v>Mississippi</v>
      </c>
      <c r="C520" s="27" t="str">
        <f t="shared" si="34"/>
        <v>George</v>
      </c>
      <c r="D520" s="27">
        <v>1523</v>
      </c>
      <c r="E520" s="27">
        <v>58</v>
      </c>
      <c r="F520" s="26">
        <f>'MS post'!G21</f>
        <v>97.205825149962124</v>
      </c>
      <c r="G520" s="27">
        <v>1753</v>
      </c>
      <c r="H520" s="27">
        <v>50.53</v>
      </c>
      <c r="I520" s="2">
        <v>29800.28</v>
      </c>
      <c r="J520" s="27">
        <v>29</v>
      </c>
      <c r="K520" s="29">
        <f>'MS post'!N21</f>
        <v>168875</v>
      </c>
      <c r="L520" s="41">
        <v>1926</v>
      </c>
      <c r="M520" s="27" t="str">
        <f t="shared" si="27"/>
        <v>https://ia601507.us.archive.org/24/items/MSpics/MSpics.pdf</v>
      </c>
      <c r="N520" s="27" t="str">
        <f t="shared" si="28"/>
        <v>https://ia601507.us.archive.org/24/items/MSpics/MSpics.pdf#page=5</v>
      </c>
      <c r="O520" s="27" t="str">
        <f t="shared" si="29"/>
        <v>https://babel.hathitrust.org/cgi/pt?id=uiug.30112051004916;view=1up;seq=96</v>
      </c>
      <c r="Q520" s="27" t="str">
        <f t="shared" si="30"/>
        <v>https://ia601507.us.archive.org/24/items/MSpics/MSpics.pdf#page=5</v>
      </c>
      <c r="R520" s="27" t="str">
        <f t="shared" si="31"/>
        <v>https://babel.hathitrust.org/cgi/pt?id=uiug.30112051004916;view=1up;seq=90</v>
      </c>
      <c r="S520" s="27" t="str">
        <f t="shared" si="32"/>
        <v>https://babel.hathitrust.org/cgi/pt?id=uiug.30112051004916;view=1up;seq=219</v>
      </c>
      <c r="T520" s="27" t="str">
        <f t="shared" si="26"/>
        <v>https://babel.hathitrust.org/cgi/pt?id=uiug.30112051004916;view=1up;seq=90</v>
      </c>
      <c r="U520" s="27" t="str">
        <f>'MS post'!X21</f>
        <v>https://ia601502.us.archive.org/10/items/MS-school-property-value-1935-7/1936%20%26%201937%2c%20selected%20pages.pdf</v>
      </c>
    </row>
    <row r="521" spans="1:21" x14ac:dyDescent="0.25">
      <c r="A521" s="27" t="s">
        <v>1070</v>
      </c>
      <c r="B521" s="27" t="str">
        <f t="shared" si="33"/>
        <v>Mississippi</v>
      </c>
      <c r="C521" s="27" t="str">
        <f t="shared" si="34"/>
        <v>Greene</v>
      </c>
      <c r="D521" s="27">
        <v>2414</v>
      </c>
      <c r="E521" s="27">
        <v>72</v>
      </c>
      <c r="F521" s="26">
        <f>'MS post'!G22</f>
        <v>256.45748915902465</v>
      </c>
      <c r="G521" s="27">
        <v>3710</v>
      </c>
      <c r="H521" s="27">
        <v>31.26</v>
      </c>
      <c r="I521" s="2">
        <v>44302.559999999998</v>
      </c>
      <c r="J521" s="27">
        <v>42</v>
      </c>
      <c r="K521" s="29">
        <f>'MS post'!N22</f>
        <v>249900</v>
      </c>
      <c r="L521" s="41">
        <v>1926</v>
      </c>
      <c r="M521" s="27" t="str">
        <f t="shared" si="27"/>
        <v>https://ia601507.us.archive.org/24/items/MSpics/MSpics.pdf</v>
      </c>
      <c r="N521" s="27" t="str">
        <f t="shared" si="28"/>
        <v>https://ia601507.us.archive.org/24/items/MSpics/MSpics.pdf#page=5</v>
      </c>
      <c r="O521" s="27" t="str">
        <f t="shared" si="29"/>
        <v>https://babel.hathitrust.org/cgi/pt?id=uiug.30112051004916;view=1up;seq=96</v>
      </c>
      <c r="Q521" s="27" t="str">
        <f t="shared" si="30"/>
        <v>https://ia601507.us.archive.org/24/items/MSpics/MSpics.pdf#page=5</v>
      </c>
      <c r="R521" s="27" t="str">
        <f t="shared" si="31"/>
        <v>https://babel.hathitrust.org/cgi/pt?id=uiug.30112051004916;view=1up;seq=90</v>
      </c>
      <c r="S521" s="27" t="str">
        <f t="shared" si="32"/>
        <v>https://babel.hathitrust.org/cgi/pt?id=uiug.30112051004916;view=1up;seq=219</v>
      </c>
      <c r="T521" s="27" t="str">
        <f t="shared" si="26"/>
        <v>https://babel.hathitrust.org/cgi/pt?id=uiug.30112051004916;view=1up;seq=90</v>
      </c>
      <c r="U521" s="27" t="str">
        <f>'MS post'!X22</f>
        <v>https://ia601502.us.archive.org/10/items/MS-school-property-value-1935-7/1936%20%26%201937%2c%20selected%20pages.pdf</v>
      </c>
    </row>
    <row r="522" spans="1:21" x14ac:dyDescent="0.25">
      <c r="A522" s="27" t="s">
        <v>1071</v>
      </c>
      <c r="B522" s="27" t="str">
        <f t="shared" si="33"/>
        <v>Mississippi</v>
      </c>
      <c r="C522" s="27" t="str">
        <f t="shared" si="34"/>
        <v>Grenada</v>
      </c>
      <c r="D522" s="27">
        <v>3600</v>
      </c>
      <c r="E522" s="27">
        <v>93</v>
      </c>
      <c r="F522" s="26">
        <f>'MS post'!G23</f>
        <v>95.982504100601432</v>
      </c>
      <c r="G522" s="27">
        <v>5182</v>
      </c>
      <c r="H522" s="27">
        <v>44.25</v>
      </c>
      <c r="I522" s="2">
        <v>31879.07</v>
      </c>
      <c r="J522" s="27">
        <v>74</v>
      </c>
      <c r="K522" s="29">
        <f>'MS post'!N23</f>
        <v>258630</v>
      </c>
      <c r="L522" s="41">
        <v>1926</v>
      </c>
      <c r="M522" s="27" t="str">
        <f t="shared" si="27"/>
        <v>https://ia601507.us.archive.org/24/items/MSpics/MSpics.pdf</v>
      </c>
      <c r="N522" s="27" t="str">
        <f t="shared" si="28"/>
        <v>https://ia601507.us.archive.org/24/items/MSpics/MSpics.pdf#page=5</v>
      </c>
      <c r="O522" s="27" t="str">
        <f t="shared" si="29"/>
        <v>https://babel.hathitrust.org/cgi/pt?id=uiug.30112051004916;view=1up;seq=96</v>
      </c>
      <c r="Q522" s="27" t="str">
        <f t="shared" si="30"/>
        <v>https://ia601507.us.archive.org/24/items/MSpics/MSpics.pdf#page=5</v>
      </c>
      <c r="R522" s="27" t="str">
        <f t="shared" si="31"/>
        <v>https://babel.hathitrust.org/cgi/pt?id=uiug.30112051004916;view=1up;seq=90</v>
      </c>
      <c r="S522" s="27" t="str">
        <f t="shared" si="32"/>
        <v>https://babel.hathitrust.org/cgi/pt?id=uiug.30112051004916;view=1up;seq=219</v>
      </c>
      <c r="T522" s="27" t="str">
        <f t="shared" si="26"/>
        <v>https://babel.hathitrust.org/cgi/pt?id=uiug.30112051004916;view=1up;seq=90</v>
      </c>
      <c r="U522" s="27" t="str">
        <f>'MS post'!X23</f>
        <v>https://ia601502.us.archive.org/10/items/MS-school-property-value-1935-7/1936%20%26%201937%2c%20selected%20pages.pdf</v>
      </c>
    </row>
    <row r="523" spans="1:21" x14ac:dyDescent="0.25">
      <c r="A523" s="27" t="s">
        <v>1072</v>
      </c>
      <c r="B523" s="27" t="str">
        <f t="shared" si="33"/>
        <v>Mississippi</v>
      </c>
      <c r="C523" s="27" t="str">
        <f t="shared" si="34"/>
        <v>Hancock</v>
      </c>
      <c r="D523" s="27">
        <v>2295</v>
      </c>
      <c r="E523" s="27">
        <v>56</v>
      </c>
      <c r="F523" s="26">
        <f>'MS post'!G24</f>
        <v>203.21580547112461</v>
      </c>
      <c r="G523" s="27">
        <v>3060</v>
      </c>
      <c r="H523" s="27">
        <v>47</v>
      </c>
      <c r="I523" s="2">
        <v>45836.14</v>
      </c>
      <c r="J523" s="27">
        <v>31</v>
      </c>
      <c r="K523" s="29">
        <f>'MS post'!N24</f>
        <v>261600</v>
      </c>
      <c r="L523" s="41">
        <v>1926</v>
      </c>
      <c r="M523" s="27" t="str">
        <f t="shared" si="27"/>
        <v>https://ia601507.us.archive.org/24/items/MSpics/MSpics.pdf</v>
      </c>
      <c r="N523" s="27" t="str">
        <f t="shared" si="28"/>
        <v>https://ia601507.us.archive.org/24/items/MSpics/MSpics.pdf#page=5</v>
      </c>
      <c r="O523" s="27" t="str">
        <f t="shared" si="29"/>
        <v>https://babel.hathitrust.org/cgi/pt?id=uiug.30112051004916;view=1up;seq=96</v>
      </c>
      <c r="Q523" s="27" t="str">
        <f t="shared" si="30"/>
        <v>https://ia601507.us.archive.org/24/items/MSpics/MSpics.pdf#page=5</v>
      </c>
      <c r="R523" s="27" t="str">
        <f t="shared" si="31"/>
        <v>https://babel.hathitrust.org/cgi/pt?id=uiug.30112051004916;view=1up;seq=90</v>
      </c>
      <c r="S523" s="27" t="str">
        <f t="shared" si="32"/>
        <v>https://babel.hathitrust.org/cgi/pt?id=uiug.30112051004916;view=1up;seq=219</v>
      </c>
      <c r="T523" s="27" t="str">
        <f t="shared" si="26"/>
        <v>https://babel.hathitrust.org/cgi/pt?id=uiug.30112051004916;view=1up;seq=90</v>
      </c>
      <c r="U523" s="27" t="str">
        <f>'MS post'!X24</f>
        <v>https://ia601502.us.archive.org/10/items/MS-school-property-value-1935-7/1936%20%26%201937%2c%20selected%20pages.pdf</v>
      </c>
    </row>
    <row r="524" spans="1:21" x14ac:dyDescent="0.25">
      <c r="A524" s="27" t="s">
        <v>1073</v>
      </c>
      <c r="B524" s="27" t="str">
        <f t="shared" si="33"/>
        <v>Mississippi</v>
      </c>
      <c r="C524" s="27" t="str">
        <f t="shared" si="34"/>
        <v>Harrison</v>
      </c>
      <c r="D524" s="27">
        <v>6553</v>
      </c>
      <c r="E524" s="27">
        <v>76</v>
      </c>
      <c r="F524" s="26">
        <f>'MS post'!G25</f>
        <v>118.10547368421052</v>
      </c>
      <c r="G524" s="27">
        <v>8503</v>
      </c>
      <c r="H524" s="27">
        <v>62.5</v>
      </c>
      <c r="I524" s="2">
        <v>53761.55</v>
      </c>
      <c r="J524" s="27">
        <v>20</v>
      </c>
      <c r="K524" s="29">
        <f>'MS post'!N25</f>
        <v>1670885</v>
      </c>
      <c r="L524" s="41">
        <v>1926</v>
      </c>
      <c r="M524" s="27" t="str">
        <f t="shared" si="27"/>
        <v>https://ia601507.us.archive.org/24/items/MSpics/MSpics.pdf</v>
      </c>
      <c r="N524" s="27" t="str">
        <f t="shared" si="28"/>
        <v>https://ia601507.us.archive.org/24/items/MSpics/MSpics.pdf#page=5</v>
      </c>
      <c r="O524" s="27" t="str">
        <f t="shared" si="29"/>
        <v>https://babel.hathitrust.org/cgi/pt?id=uiug.30112051004916;view=1up;seq=96</v>
      </c>
      <c r="Q524" s="27" t="str">
        <f t="shared" si="30"/>
        <v>https://ia601507.us.archive.org/24/items/MSpics/MSpics.pdf#page=5</v>
      </c>
      <c r="R524" s="27" t="str">
        <f t="shared" si="31"/>
        <v>https://babel.hathitrust.org/cgi/pt?id=uiug.30112051004916;view=1up;seq=90</v>
      </c>
      <c r="S524" s="27" t="str">
        <f t="shared" si="32"/>
        <v>https://babel.hathitrust.org/cgi/pt?id=uiug.30112051004916;view=1up;seq=219</v>
      </c>
      <c r="T524" s="27" t="str">
        <f t="shared" si="26"/>
        <v>https://babel.hathitrust.org/cgi/pt?id=uiug.30112051004916;view=1up;seq=90</v>
      </c>
      <c r="U524" s="27" t="str">
        <f>'MS post'!X25</f>
        <v>https://ia601502.us.archive.org/10/items/MS-school-property-value-1935-7/1936%20%26%201937%2c%20selected%20pages.pdf</v>
      </c>
    </row>
    <row r="525" spans="1:21" x14ac:dyDescent="0.25">
      <c r="A525" s="27" t="s">
        <v>1074</v>
      </c>
      <c r="B525" s="27" t="str">
        <f t="shared" si="33"/>
        <v>Mississippi</v>
      </c>
      <c r="C525" s="27" t="str">
        <f t="shared" si="34"/>
        <v>Hinds</v>
      </c>
      <c r="D525" s="27">
        <v>12725</v>
      </c>
      <c r="E525" s="27">
        <v>221</v>
      </c>
      <c r="F525" s="26">
        <f>'MS post'!G26</f>
        <v>223.07327043334723</v>
      </c>
      <c r="G525" s="27">
        <v>18044</v>
      </c>
      <c r="H525" s="27">
        <v>45.34</v>
      </c>
      <c r="I525" s="2">
        <v>189831.95</v>
      </c>
      <c r="J525" s="27">
        <v>122</v>
      </c>
      <c r="K525" s="29">
        <f>'MS post'!N26</f>
        <v>2209616.5</v>
      </c>
      <c r="L525" s="41">
        <v>1926</v>
      </c>
      <c r="M525" s="27" t="str">
        <f t="shared" si="27"/>
        <v>https://ia601507.us.archive.org/24/items/MSpics/MSpics.pdf</v>
      </c>
      <c r="N525" s="27" t="str">
        <f t="shared" si="28"/>
        <v>https://ia601507.us.archive.org/24/items/MSpics/MSpics.pdf#page=5</v>
      </c>
      <c r="O525" s="27" t="str">
        <f t="shared" si="29"/>
        <v>https://babel.hathitrust.org/cgi/pt?id=uiug.30112051004916;view=1up;seq=96</v>
      </c>
      <c r="Q525" s="27" t="str">
        <f t="shared" si="30"/>
        <v>https://ia601507.us.archive.org/24/items/MSpics/MSpics.pdf#page=5</v>
      </c>
      <c r="R525" s="27" t="str">
        <f t="shared" si="31"/>
        <v>https://babel.hathitrust.org/cgi/pt?id=uiug.30112051004916;view=1up;seq=90</v>
      </c>
      <c r="S525" s="27" t="str">
        <f t="shared" si="32"/>
        <v>https://babel.hathitrust.org/cgi/pt?id=uiug.30112051004916;view=1up;seq=219</v>
      </c>
      <c r="T525" s="27" t="str">
        <f t="shared" si="26"/>
        <v>https://babel.hathitrust.org/cgi/pt?id=uiug.30112051004916;view=1up;seq=90</v>
      </c>
      <c r="U525" s="27" t="str">
        <f>'MS post'!X26</f>
        <v>https://ia601502.us.archive.org/10/items/MS-school-property-value-1935-7/1936%20%26%201937%2c%20selected%20pages.pdf</v>
      </c>
    </row>
    <row r="526" spans="1:21" x14ac:dyDescent="0.25">
      <c r="A526" s="27" t="s">
        <v>1075</v>
      </c>
      <c r="B526" s="27" t="str">
        <f t="shared" si="33"/>
        <v>Mississippi</v>
      </c>
      <c r="C526" s="27" t="str">
        <f t="shared" si="34"/>
        <v>Holmes</v>
      </c>
      <c r="D526" s="27">
        <v>7449</v>
      </c>
      <c r="E526" s="27">
        <v>149</v>
      </c>
      <c r="F526" s="26">
        <f>'MS post'!G27</f>
        <v>0</v>
      </c>
      <c r="G526" s="27">
        <v>10133</v>
      </c>
      <c r="H526" s="27">
        <v>66.25</v>
      </c>
      <c r="I526" s="2">
        <v>90571</v>
      </c>
      <c r="J526" s="27">
        <v>110</v>
      </c>
      <c r="K526" s="29">
        <f>'MS post'!N27</f>
        <v>731175</v>
      </c>
      <c r="L526" s="41">
        <v>1926</v>
      </c>
      <c r="M526" s="27" t="str">
        <f t="shared" si="27"/>
        <v>https://ia601507.us.archive.org/24/items/MSpics/MSpics.pdf</v>
      </c>
      <c r="N526" s="27" t="str">
        <f t="shared" si="28"/>
        <v>https://ia601507.us.archive.org/24/items/MSpics/MSpics.pdf#page=5</v>
      </c>
      <c r="O526" s="27" t="str">
        <f t="shared" si="29"/>
        <v>https://babel.hathitrust.org/cgi/pt?id=uiug.30112051004916;view=1up;seq=96</v>
      </c>
      <c r="Q526" s="27" t="str">
        <f t="shared" si="30"/>
        <v>https://ia601507.us.archive.org/24/items/MSpics/MSpics.pdf#page=5</v>
      </c>
      <c r="R526" s="27" t="str">
        <f t="shared" si="31"/>
        <v>https://babel.hathitrust.org/cgi/pt?id=uiug.30112051004916;view=1up;seq=90</v>
      </c>
      <c r="S526" s="27" t="str">
        <f t="shared" si="32"/>
        <v>https://babel.hathitrust.org/cgi/pt?id=uiug.30112051004916;view=1up;seq=219</v>
      </c>
      <c r="T526" s="27" t="str">
        <f t="shared" si="26"/>
        <v>https://babel.hathitrust.org/cgi/pt?id=uiug.30112051004916;view=1up;seq=90</v>
      </c>
      <c r="U526" s="27" t="str">
        <f>'MS post'!X27</f>
        <v>https://ia601502.us.archive.org/10/items/MS-school-property-value-1935-7/1936%20%26%201937%2c%20selected%20pages.pdf</v>
      </c>
    </row>
    <row r="527" spans="1:21" x14ac:dyDescent="0.25">
      <c r="A527" s="27" t="s">
        <v>1076</v>
      </c>
      <c r="B527" s="27" t="str">
        <f t="shared" si="33"/>
        <v>Mississippi</v>
      </c>
      <c r="C527" s="27" t="str">
        <f t="shared" si="34"/>
        <v>Humphreys</v>
      </c>
      <c r="D527" s="27">
        <v>3156</v>
      </c>
      <c r="E527" s="27">
        <v>74</v>
      </c>
      <c r="F527" s="26">
        <f>'MS post'!G28</f>
        <v>218.87282042020922</v>
      </c>
      <c r="G527" s="27">
        <v>5361</v>
      </c>
      <c r="H527" s="27">
        <v>56.87</v>
      </c>
      <c r="I527" s="2">
        <v>62617.82</v>
      </c>
      <c r="J527" s="27">
        <v>48</v>
      </c>
      <c r="K527" s="29">
        <f>'MS post'!N28</f>
        <v>387636</v>
      </c>
      <c r="L527" s="41">
        <v>1926</v>
      </c>
      <c r="M527" s="27" t="str">
        <f t="shared" si="27"/>
        <v>https://ia601507.us.archive.org/24/items/MSpics/MSpics.pdf</v>
      </c>
      <c r="N527" s="27" t="str">
        <f t="shared" si="28"/>
        <v>https://ia601507.us.archive.org/24/items/MSpics/MSpics.pdf#page=5</v>
      </c>
      <c r="O527" s="27" t="str">
        <f t="shared" si="29"/>
        <v>https://babel.hathitrust.org/cgi/pt?id=uiug.30112051004916;view=1up;seq=96</v>
      </c>
      <c r="Q527" s="27" t="str">
        <f t="shared" si="30"/>
        <v>https://ia601507.us.archive.org/24/items/MSpics/MSpics.pdf#page=5</v>
      </c>
      <c r="R527" s="27" t="str">
        <f t="shared" si="31"/>
        <v>https://babel.hathitrust.org/cgi/pt?id=uiug.30112051004916;view=1up;seq=90</v>
      </c>
      <c r="S527" s="27" t="str">
        <f t="shared" si="32"/>
        <v>https://babel.hathitrust.org/cgi/pt?id=uiug.30112051004916;view=1up;seq=219</v>
      </c>
      <c r="T527" s="27" t="str">
        <f t="shared" si="26"/>
        <v>https://babel.hathitrust.org/cgi/pt?id=uiug.30112051004916;view=1up;seq=90</v>
      </c>
      <c r="U527" s="27" t="str">
        <f>'MS post'!X28</f>
        <v>https://ia601502.us.archive.org/10/items/MS-school-property-value-1935-7/1936%20%26%201937%2c%20selected%20pages.pdf</v>
      </c>
    </row>
    <row r="528" spans="1:21" x14ac:dyDescent="0.25">
      <c r="A528" s="27" t="s">
        <v>1077</v>
      </c>
      <c r="B528" s="27" t="str">
        <f t="shared" si="33"/>
        <v>Mississippi</v>
      </c>
      <c r="C528" s="27" t="str">
        <f t="shared" si="34"/>
        <v>Issaquena</v>
      </c>
      <c r="D528" s="27">
        <v>1649</v>
      </c>
      <c r="E528" s="27">
        <v>70</v>
      </c>
      <c r="F528" s="26">
        <f>'MS post'!G29</f>
        <v>82.863408521303242</v>
      </c>
      <c r="G528" s="27">
        <v>1763</v>
      </c>
      <c r="H528" s="27">
        <v>45.6</v>
      </c>
      <c r="I528" s="2">
        <v>13523.58</v>
      </c>
      <c r="J528" s="27">
        <v>51</v>
      </c>
      <c r="K528" s="29">
        <f>'MS post'!N29</f>
        <v>38287</v>
      </c>
      <c r="L528" s="41">
        <v>1926</v>
      </c>
      <c r="M528" s="27" t="str">
        <f t="shared" si="27"/>
        <v>https://ia601507.us.archive.org/24/items/MSpics/MSpics.pdf</v>
      </c>
      <c r="N528" s="27" t="str">
        <f t="shared" si="28"/>
        <v>https://ia601507.us.archive.org/24/items/MSpics/MSpics.pdf#page=5</v>
      </c>
      <c r="O528" s="27" t="str">
        <f t="shared" si="29"/>
        <v>https://babel.hathitrust.org/cgi/pt?id=uiug.30112051004916;view=1up;seq=96</v>
      </c>
      <c r="Q528" s="27" t="str">
        <f t="shared" si="30"/>
        <v>https://ia601507.us.archive.org/24/items/MSpics/MSpics.pdf#page=5</v>
      </c>
      <c r="R528" s="27" t="str">
        <f t="shared" si="31"/>
        <v>https://babel.hathitrust.org/cgi/pt?id=uiug.30112051004916;view=1up;seq=90</v>
      </c>
      <c r="S528" s="27" t="str">
        <f t="shared" si="32"/>
        <v>https://babel.hathitrust.org/cgi/pt?id=uiug.30112051004916;view=1up;seq=219</v>
      </c>
      <c r="T528" s="27" t="str">
        <f t="shared" si="26"/>
        <v>https://babel.hathitrust.org/cgi/pt?id=uiug.30112051004916;view=1up;seq=90</v>
      </c>
      <c r="U528" s="27" t="str">
        <f>'MS post'!X29</f>
        <v>https://ia601502.us.archive.org/10/items/MS-school-property-value-1935-7/1936%20%26%201937%2c%20selected%20pages.pdf</v>
      </c>
    </row>
    <row r="529" spans="1:21" x14ac:dyDescent="0.25">
      <c r="A529" s="27" t="s">
        <v>1078</v>
      </c>
      <c r="B529" s="27" t="str">
        <f t="shared" si="33"/>
        <v>Mississippi</v>
      </c>
      <c r="C529" s="27" t="str">
        <f t="shared" si="34"/>
        <v>Itawamba</v>
      </c>
      <c r="D529" s="27">
        <v>3495</v>
      </c>
      <c r="E529" s="27">
        <v>117</v>
      </c>
      <c r="F529" s="26">
        <f>'MS post'!G30</f>
        <v>164.16193493116569</v>
      </c>
      <c r="G529" s="27">
        <v>5171</v>
      </c>
      <c r="H529" s="27">
        <v>47.19</v>
      </c>
      <c r="I529" s="2">
        <v>48258.29</v>
      </c>
      <c r="J529" s="27">
        <v>77</v>
      </c>
      <c r="K529" s="29">
        <f>'MS post'!N30</f>
        <v>379329</v>
      </c>
      <c r="L529" s="41">
        <v>1926</v>
      </c>
      <c r="M529" s="27" t="str">
        <f t="shared" si="27"/>
        <v>https://ia601507.us.archive.org/24/items/MSpics/MSpics.pdf</v>
      </c>
      <c r="N529" s="27" t="str">
        <f t="shared" si="28"/>
        <v>https://ia601507.us.archive.org/24/items/MSpics/MSpics.pdf#page=5</v>
      </c>
      <c r="O529" s="27" t="str">
        <f t="shared" si="29"/>
        <v>https://babel.hathitrust.org/cgi/pt?id=uiug.30112051004916;view=1up;seq=96</v>
      </c>
      <c r="Q529" s="27" t="str">
        <f t="shared" si="30"/>
        <v>https://ia601507.us.archive.org/24/items/MSpics/MSpics.pdf#page=5</v>
      </c>
      <c r="R529" s="27" t="str">
        <f t="shared" si="31"/>
        <v>https://babel.hathitrust.org/cgi/pt?id=uiug.30112051004916;view=1up;seq=90</v>
      </c>
      <c r="S529" s="27" t="str">
        <f t="shared" si="32"/>
        <v>https://babel.hathitrust.org/cgi/pt?id=uiug.30112051004916;view=1up;seq=219</v>
      </c>
      <c r="T529" s="27" t="str">
        <f t="shared" si="26"/>
        <v>https://babel.hathitrust.org/cgi/pt?id=uiug.30112051004916;view=1up;seq=90</v>
      </c>
      <c r="U529" s="27" t="str">
        <f>'MS post'!X30</f>
        <v>https://ia601502.us.archive.org/10/items/MS-school-property-value-1935-7/1936%20%26%201937%2c%20selected%20pages.pdf</v>
      </c>
    </row>
    <row r="530" spans="1:21" x14ac:dyDescent="0.25">
      <c r="A530" s="27" t="s">
        <v>1079</v>
      </c>
      <c r="B530" s="27" t="str">
        <f t="shared" si="33"/>
        <v>Mississippi</v>
      </c>
      <c r="C530" s="27" t="str">
        <f t="shared" si="34"/>
        <v>Jackson</v>
      </c>
      <c r="D530" s="27">
        <v>3004</v>
      </c>
      <c r="E530" s="27">
        <v>60</v>
      </c>
      <c r="F530" s="26">
        <f>'MS post'!G31</f>
        <v>235.74186991869914</v>
      </c>
      <c r="G530" s="27">
        <v>3886</v>
      </c>
      <c r="H530" s="27">
        <v>49.2</v>
      </c>
      <c r="I530" s="2">
        <v>73944.800000000003</v>
      </c>
      <c r="J530" s="27">
        <v>40</v>
      </c>
      <c r="K530" s="29">
        <f>'MS post'!N31</f>
        <v>415100</v>
      </c>
      <c r="L530" s="41">
        <v>1926</v>
      </c>
      <c r="M530" s="27" t="str">
        <f t="shared" si="27"/>
        <v>https://ia601507.us.archive.org/24/items/MSpics/MSpics.pdf</v>
      </c>
      <c r="N530" s="27" t="str">
        <f t="shared" si="28"/>
        <v>https://ia601507.us.archive.org/24/items/MSpics/MSpics.pdf#page=5</v>
      </c>
      <c r="O530" s="27" t="str">
        <f t="shared" si="29"/>
        <v>https://babel.hathitrust.org/cgi/pt?id=uiug.30112051004916;view=1up;seq=96</v>
      </c>
      <c r="Q530" s="27" t="str">
        <f t="shared" si="30"/>
        <v>https://ia601507.us.archive.org/24/items/MSpics/MSpics.pdf#page=5</v>
      </c>
      <c r="R530" s="27" t="str">
        <f t="shared" si="31"/>
        <v>https://babel.hathitrust.org/cgi/pt?id=uiug.30112051004916;view=1up;seq=90</v>
      </c>
      <c r="S530" s="27" t="str">
        <f t="shared" si="32"/>
        <v>https://babel.hathitrust.org/cgi/pt?id=uiug.30112051004916;view=1up;seq=219</v>
      </c>
      <c r="T530" s="27" t="str">
        <f t="shared" si="26"/>
        <v>https://babel.hathitrust.org/cgi/pt?id=uiug.30112051004916;view=1up;seq=90</v>
      </c>
      <c r="U530" s="27" t="str">
        <f>'MS post'!X31</f>
        <v>https://ia601502.us.archive.org/10/items/MS-school-property-value-1935-7/1936%20%26%201937%2c%20selected%20pages.pdf</v>
      </c>
    </row>
    <row r="531" spans="1:21" x14ac:dyDescent="0.25">
      <c r="A531" s="27" t="s">
        <v>1080</v>
      </c>
      <c r="B531" s="27" t="str">
        <f t="shared" si="33"/>
        <v>Mississippi</v>
      </c>
      <c r="C531" s="27" t="str">
        <f t="shared" si="34"/>
        <v>Jasper</v>
      </c>
      <c r="D531" s="27">
        <v>3349</v>
      </c>
      <c r="E531" s="27">
        <v>119</v>
      </c>
      <c r="F531" s="26">
        <f>'MS post'!G32</f>
        <v>162.07777228538475</v>
      </c>
      <c r="G531" s="27">
        <v>4507</v>
      </c>
      <c r="H531" s="27">
        <v>30.6</v>
      </c>
      <c r="I531" s="2">
        <v>36232.050000000003</v>
      </c>
      <c r="J531" s="27">
        <v>93</v>
      </c>
      <c r="K531" s="29">
        <f>'MS post'!N32</f>
        <v>254350</v>
      </c>
      <c r="L531" s="41">
        <v>1926</v>
      </c>
      <c r="M531" s="27" t="str">
        <f t="shared" si="27"/>
        <v>https://ia601507.us.archive.org/24/items/MSpics/MSpics.pdf</v>
      </c>
      <c r="N531" s="27" t="str">
        <f t="shared" si="28"/>
        <v>https://ia601507.us.archive.org/24/items/MSpics/MSpics.pdf#page=5</v>
      </c>
      <c r="O531" s="27" t="str">
        <f t="shared" si="29"/>
        <v>https://babel.hathitrust.org/cgi/pt?id=uiug.30112051004916;view=1up;seq=96</v>
      </c>
      <c r="Q531" s="27" t="str">
        <f t="shared" si="30"/>
        <v>https://ia601507.us.archive.org/24/items/MSpics/MSpics.pdf#page=5</v>
      </c>
      <c r="R531" s="27" t="str">
        <f t="shared" si="31"/>
        <v>https://babel.hathitrust.org/cgi/pt?id=uiug.30112051004916;view=1up;seq=90</v>
      </c>
      <c r="S531" s="27" t="str">
        <f t="shared" si="32"/>
        <v>https://babel.hathitrust.org/cgi/pt?id=uiug.30112051004916;view=1up;seq=219</v>
      </c>
      <c r="T531" s="27" t="str">
        <f t="shared" si="26"/>
        <v>https://babel.hathitrust.org/cgi/pt?id=uiug.30112051004916;view=1up;seq=90</v>
      </c>
      <c r="U531" s="27" t="str">
        <f>'MS post'!X32</f>
        <v>https://ia601502.us.archive.org/10/items/MS-school-property-value-1935-7/1936%20%26%201937%2c%20selected%20pages.pdf</v>
      </c>
    </row>
    <row r="532" spans="1:21" x14ac:dyDescent="0.25">
      <c r="A532" s="27" t="s">
        <v>1081</v>
      </c>
      <c r="B532" s="27" t="str">
        <f t="shared" si="33"/>
        <v>Mississippi</v>
      </c>
      <c r="C532" s="27" t="str">
        <f t="shared" si="34"/>
        <v>Jefferson</v>
      </c>
      <c r="D532" s="27">
        <v>2727</v>
      </c>
      <c r="E532" s="27">
        <v>110</v>
      </c>
      <c r="F532" s="26">
        <f>'MS post'!G33</f>
        <v>97.452350624154889</v>
      </c>
      <c r="G532" s="27">
        <v>3913</v>
      </c>
      <c r="H532" s="27">
        <v>46.39</v>
      </c>
      <c r="I532" s="2">
        <v>30701.48</v>
      </c>
      <c r="J532" s="27">
        <v>89</v>
      </c>
      <c r="K532" s="29">
        <f>'MS post'!N33</f>
        <v>192695</v>
      </c>
      <c r="L532" s="41">
        <v>1926</v>
      </c>
      <c r="M532" s="27" t="str">
        <f t="shared" si="27"/>
        <v>https://ia601507.us.archive.org/24/items/MSpics/MSpics.pdf</v>
      </c>
      <c r="N532" s="27" t="str">
        <f t="shared" si="28"/>
        <v>https://ia601507.us.archive.org/24/items/MSpics/MSpics.pdf#page=5</v>
      </c>
      <c r="O532" s="27" t="str">
        <f t="shared" si="29"/>
        <v>https://babel.hathitrust.org/cgi/pt?id=uiug.30112051004916;view=1up;seq=96</v>
      </c>
      <c r="Q532" s="27" t="str">
        <f t="shared" si="30"/>
        <v>https://ia601507.us.archive.org/24/items/MSpics/MSpics.pdf#page=5</v>
      </c>
      <c r="R532" s="27" t="str">
        <f t="shared" si="31"/>
        <v>https://babel.hathitrust.org/cgi/pt?id=uiug.30112051004916;view=1up;seq=90</v>
      </c>
      <c r="S532" s="27" t="str">
        <f t="shared" si="32"/>
        <v>https://babel.hathitrust.org/cgi/pt?id=uiug.30112051004916;view=1up;seq=219</v>
      </c>
      <c r="T532" s="27" t="str">
        <f t="shared" si="26"/>
        <v>https://babel.hathitrust.org/cgi/pt?id=uiug.30112051004916;view=1up;seq=90</v>
      </c>
      <c r="U532" s="27" t="str">
        <f>'MS post'!X33</f>
        <v>https://ia601502.us.archive.org/10/items/MS-school-property-value-1935-7/1936%20%26%201937%2c%20selected%20pages.pdf</v>
      </c>
    </row>
    <row r="533" spans="1:21" x14ac:dyDescent="0.25">
      <c r="A533" s="27" t="s">
        <v>1082</v>
      </c>
      <c r="B533" s="27" t="str">
        <f t="shared" si="33"/>
        <v>Mississippi</v>
      </c>
      <c r="C533" s="27" t="str">
        <f t="shared" si="34"/>
        <v>Jefferson Davis</v>
      </c>
      <c r="D533" s="27">
        <v>3425</v>
      </c>
      <c r="E533" s="27">
        <v>120</v>
      </c>
      <c r="F533" s="26">
        <f>'MS post'!G34</f>
        <v>774.46555555555551</v>
      </c>
      <c r="G533" s="27">
        <v>4640</v>
      </c>
      <c r="H533" s="7">
        <v>44.5</v>
      </c>
      <c r="I533" s="2">
        <v>22047.54</v>
      </c>
      <c r="J533" s="27">
        <v>67</v>
      </c>
      <c r="K533" s="29">
        <f>'MS post'!N34</f>
        <v>241811</v>
      </c>
      <c r="L533" s="41">
        <v>1926</v>
      </c>
      <c r="M533" s="27" t="str">
        <f t="shared" si="27"/>
        <v>https://ia601507.us.archive.org/24/items/MSpics/MSpics.pdf</v>
      </c>
      <c r="N533" s="27" t="str">
        <f t="shared" si="28"/>
        <v>https://ia601507.us.archive.org/24/items/MSpics/MSpics.pdf#page=5</v>
      </c>
      <c r="O533" s="27" t="str">
        <f t="shared" si="29"/>
        <v>https://babel.hathitrust.org/cgi/pt?id=uiug.30112051004916;view=1up;seq=96</v>
      </c>
      <c r="Q533" s="27" t="str">
        <f t="shared" si="30"/>
        <v>https://ia601507.us.archive.org/24/items/MSpics/MSpics.pdf#page=5</v>
      </c>
      <c r="R533" s="27" t="str">
        <f t="shared" si="31"/>
        <v>https://babel.hathitrust.org/cgi/pt?id=uiug.30112051004916;view=1up;seq=90</v>
      </c>
      <c r="S533" s="27" t="str">
        <f t="shared" si="32"/>
        <v>https://babel.hathitrust.org/cgi/pt?id=uiug.30112051004916;view=1up;seq=219</v>
      </c>
      <c r="T533" s="27" t="str">
        <f t="shared" si="26"/>
        <v>https://babel.hathitrust.org/cgi/pt?id=uiug.30112051004916;view=1up;seq=90</v>
      </c>
      <c r="U533" s="27" t="str">
        <f>'MS post'!X34</f>
        <v>https://ia601502.us.archive.org/10/items/MS-school-property-value-1935-7/1936%20%26%201937%2c%20selected%20pages.pdf</v>
      </c>
    </row>
    <row r="534" spans="1:21" x14ac:dyDescent="0.25">
      <c r="A534" s="27" t="s">
        <v>1083</v>
      </c>
      <c r="B534" s="27" t="str">
        <f t="shared" si="33"/>
        <v>Mississippi</v>
      </c>
      <c r="C534" s="27" t="str">
        <f t="shared" si="34"/>
        <v>Jones</v>
      </c>
      <c r="D534" s="27">
        <v>9407</v>
      </c>
      <c r="E534" s="27">
        <v>151</v>
      </c>
      <c r="F534" s="26">
        <f>'MS post'!G35</f>
        <v>156.58660779985286</v>
      </c>
      <c r="G534" s="27">
        <v>12378</v>
      </c>
      <c r="H534" s="27">
        <v>45</v>
      </c>
      <c r="I534" s="2">
        <v>62776.1</v>
      </c>
      <c r="J534" s="27">
        <v>70</v>
      </c>
      <c r="K534" s="29">
        <f>'MS post'!N35</f>
        <v>1535699.92</v>
      </c>
      <c r="L534" s="41">
        <v>1926</v>
      </c>
      <c r="M534" s="27" t="str">
        <f t="shared" si="27"/>
        <v>https://ia601507.us.archive.org/24/items/MSpics/MSpics.pdf</v>
      </c>
      <c r="N534" s="27" t="str">
        <f t="shared" si="28"/>
        <v>https://ia601507.us.archive.org/24/items/MSpics/MSpics.pdf#page=5</v>
      </c>
      <c r="O534" s="27" t="str">
        <f t="shared" si="29"/>
        <v>https://babel.hathitrust.org/cgi/pt?id=uiug.30112051004916;view=1up;seq=96</v>
      </c>
      <c r="Q534" s="27" t="str">
        <f t="shared" si="30"/>
        <v>https://ia601507.us.archive.org/24/items/MSpics/MSpics.pdf#page=5</v>
      </c>
      <c r="R534" s="27" t="str">
        <f t="shared" si="31"/>
        <v>https://babel.hathitrust.org/cgi/pt?id=uiug.30112051004916;view=1up;seq=90</v>
      </c>
      <c r="S534" s="27" t="str">
        <f t="shared" si="32"/>
        <v>https://babel.hathitrust.org/cgi/pt?id=uiug.30112051004916;view=1up;seq=219</v>
      </c>
      <c r="T534" s="27" t="str">
        <f t="shared" si="26"/>
        <v>https://babel.hathitrust.org/cgi/pt?id=uiug.30112051004916;view=1up;seq=90</v>
      </c>
      <c r="U534" s="27" t="str">
        <f>'MS post'!X35</f>
        <v>https://ia601502.us.archive.org/10/items/MS-school-property-value-1935-7/1936%20%26%201937%2c%20selected%20pages.pdf</v>
      </c>
    </row>
    <row r="535" spans="1:21" x14ac:dyDescent="0.25">
      <c r="A535" s="27" t="s">
        <v>1084</v>
      </c>
      <c r="B535" s="27" t="str">
        <f t="shared" si="33"/>
        <v>Mississippi</v>
      </c>
      <c r="C535" s="27" t="str">
        <f t="shared" si="34"/>
        <v>Kemper</v>
      </c>
      <c r="D535" s="27">
        <v>4671</v>
      </c>
      <c r="E535" s="27">
        <v>142</v>
      </c>
      <c r="F535" s="26">
        <f>'MS post'!G36</f>
        <v>151.04888152444079</v>
      </c>
      <c r="G535" s="27">
        <v>5888</v>
      </c>
      <c r="H535" s="27">
        <v>42.5</v>
      </c>
      <c r="I535" s="2">
        <v>52504.42</v>
      </c>
      <c r="J535" s="27">
        <v>145</v>
      </c>
      <c r="K535" s="29">
        <f>'MS post'!N36</f>
        <v>592725</v>
      </c>
      <c r="L535" s="41">
        <v>1926</v>
      </c>
      <c r="M535" s="27" t="str">
        <f t="shared" si="27"/>
        <v>https://ia601507.us.archive.org/24/items/MSpics/MSpics.pdf</v>
      </c>
      <c r="N535" s="27" t="str">
        <f t="shared" si="28"/>
        <v>https://ia601507.us.archive.org/24/items/MSpics/MSpics.pdf#page=5</v>
      </c>
      <c r="O535" s="27" t="str">
        <f t="shared" si="29"/>
        <v>https://babel.hathitrust.org/cgi/pt?id=uiug.30112051004916;view=1up;seq=96</v>
      </c>
      <c r="Q535" s="27" t="str">
        <f t="shared" si="30"/>
        <v>https://ia601507.us.archive.org/24/items/MSpics/MSpics.pdf#page=5</v>
      </c>
      <c r="R535" s="27" t="str">
        <f t="shared" si="31"/>
        <v>https://babel.hathitrust.org/cgi/pt?id=uiug.30112051004916;view=1up;seq=90</v>
      </c>
      <c r="S535" s="27" t="str">
        <f t="shared" si="32"/>
        <v>https://babel.hathitrust.org/cgi/pt?id=uiug.30112051004916;view=1up;seq=219</v>
      </c>
      <c r="T535" s="27" t="str">
        <f t="shared" si="26"/>
        <v>https://babel.hathitrust.org/cgi/pt?id=uiug.30112051004916;view=1up;seq=90</v>
      </c>
      <c r="U535" s="27" t="str">
        <f>'MS post'!X36</f>
        <v>https://ia601502.us.archive.org/10/items/MS-school-property-value-1935-7/1936%20%26%201937%2c%20selected%20pages.pdf</v>
      </c>
    </row>
    <row r="536" spans="1:21" x14ac:dyDescent="0.25">
      <c r="A536" s="27" t="s">
        <v>1085</v>
      </c>
      <c r="B536" s="27" t="str">
        <f t="shared" si="33"/>
        <v>Mississippi</v>
      </c>
      <c r="C536" s="27" t="str">
        <f t="shared" si="34"/>
        <v>Lafayette</v>
      </c>
      <c r="D536" s="27">
        <v>6100</v>
      </c>
      <c r="E536" s="27">
        <v>181</v>
      </c>
      <c r="F536" s="26">
        <f>'MS post'!G37</f>
        <v>130.20964201922348</v>
      </c>
      <c r="G536" s="27">
        <v>8288</v>
      </c>
      <c r="H536" s="27">
        <v>42.34</v>
      </c>
      <c r="I536" s="2">
        <v>67524.320000000007</v>
      </c>
      <c r="J536" s="27">
        <v>123</v>
      </c>
      <c r="K536" s="29">
        <f>'MS post'!N37</f>
        <v>395288</v>
      </c>
      <c r="L536" s="41">
        <v>1926</v>
      </c>
      <c r="M536" s="27" t="str">
        <f t="shared" si="27"/>
        <v>https://ia601507.us.archive.org/24/items/MSpics/MSpics.pdf</v>
      </c>
      <c r="N536" s="27" t="str">
        <f t="shared" si="28"/>
        <v>https://ia601507.us.archive.org/24/items/MSpics/MSpics.pdf#page=5</v>
      </c>
      <c r="O536" s="27" t="str">
        <f t="shared" si="29"/>
        <v>https://babel.hathitrust.org/cgi/pt?id=uiug.30112051004916;view=1up;seq=96</v>
      </c>
      <c r="Q536" s="27" t="str">
        <f t="shared" si="30"/>
        <v>https://ia601507.us.archive.org/24/items/MSpics/MSpics.pdf#page=5</v>
      </c>
      <c r="R536" s="27" t="str">
        <f t="shared" si="31"/>
        <v>https://babel.hathitrust.org/cgi/pt?id=uiug.30112051004916;view=1up;seq=90</v>
      </c>
      <c r="S536" s="27" t="str">
        <f t="shared" si="32"/>
        <v>https://babel.hathitrust.org/cgi/pt?id=uiug.30112051004916;view=1up;seq=219</v>
      </c>
      <c r="T536" s="27" t="str">
        <f t="shared" si="26"/>
        <v>https://babel.hathitrust.org/cgi/pt?id=uiug.30112051004916;view=1up;seq=90</v>
      </c>
      <c r="U536" s="27" t="str">
        <f>'MS post'!X37</f>
        <v>https://ia601502.us.archive.org/10/items/MS-school-property-value-1935-7/1936%20%26%201937%2c%20selected%20pages.pdf</v>
      </c>
    </row>
    <row r="537" spans="1:21" x14ac:dyDescent="0.25">
      <c r="A537" s="27" t="s">
        <v>1086</v>
      </c>
      <c r="B537" s="27" t="str">
        <f t="shared" si="33"/>
        <v>Mississippi</v>
      </c>
      <c r="C537" s="27" t="str">
        <f t="shared" si="34"/>
        <v>Lamar</v>
      </c>
      <c r="D537" s="27">
        <v>3275</v>
      </c>
      <c r="E537" s="27">
        <v>73</v>
      </c>
      <c r="F537" s="26">
        <f>'MS post'!G38</f>
        <v>236.39894432575093</v>
      </c>
      <c r="G537" s="27">
        <v>4882</v>
      </c>
      <c r="H537" s="27">
        <v>54.5</v>
      </c>
      <c r="I537" s="2">
        <v>53332.61</v>
      </c>
      <c r="J537" s="27">
        <v>42</v>
      </c>
      <c r="K537" s="29">
        <f>'MS post'!N38</f>
        <v>425920</v>
      </c>
      <c r="L537" s="41">
        <v>1926</v>
      </c>
      <c r="M537" s="27" t="str">
        <f t="shared" si="27"/>
        <v>https://ia601507.us.archive.org/24/items/MSpics/MSpics.pdf</v>
      </c>
      <c r="N537" s="27" t="str">
        <f t="shared" si="28"/>
        <v>https://ia601507.us.archive.org/24/items/MSpics/MSpics.pdf#page=5</v>
      </c>
      <c r="O537" s="27" t="str">
        <f t="shared" si="29"/>
        <v>https://babel.hathitrust.org/cgi/pt?id=uiug.30112051004916;view=1up;seq=96</v>
      </c>
      <c r="Q537" s="27" t="str">
        <f t="shared" si="30"/>
        <v>https://ia601507.us.archive.org/24/items/MSpics/MSpics.pdf#page=5</v>
      </c>
      <c r="R537" s="27" t="str">
        <f t="shared" si="31"/>
        <v>https://babel.hathitrust.org/cgi/pt?id=uiug.30112051004916;view=1up;seq=90</v>
      </c>
      <c r="S537" s="27" t="str">
        <f t="shared" si="32"/>
        <v>https://babel.hathitrust.org/cgi/pt?id=uiug.30112051004916;view=1up;seq=219</v>
      </c>
      <c r="T537" s="27" t="str">
        <f t="shared" si="26"/>
        <v>https://babel.hathitrust.org/cgi/pt?id=uiug.30112051004916;view=1up;seq=90</v>
      </c>
      <c r="U537" s="27" t="str">
        <f>'MS post'!X38</f>
        <v>https://ia601502.us.archive.org/10/items/MS-school-property-value-1935-7/1936%20%26%201937%2c%20selected%20pages.pdf</v>
      </c>
    </row>
    <row r="538" spans="1:21" x14ac:dyDescent="0.25">
      <c r="A538" s="27" t="s">
        <v>1087</v>
      </c>
      <c r="B538" s="27" t="str">
        <f t="shared" si="33"/>
        <v>Mississippi</v>
      </c>
      <c r="C538" s="27" t="str">
        <f t="shared" si="34"/>
        <v>Lauderdale</v>
      </c>
      <c r="D538" s="27">
        <v>10157</v>
      </c>
      <c r="E538" s="27">
        <v>181</v>
      </c>
      <c r="F538" s="26">
        <f>'MS post'!G39</f>
        <v>173.05546461412229</v>
      </c>
      <c r="G538" s="27">
        <v>12870</v>
      </c>
      <c r="H538" s="27">
        <v>40.67</v>
      </c>
      <c r="I538" s="2">
        <v>126087.21</v>
      </c>
      <c r="J538" s="27">
        <v>96</v>
      </c>
      <c r="K538" s="29">
        <f>'MS post'!N39</f>
        <v>1942367</v>
      </c>
      <c r="L538" s="41">
        <v>1926</v>
      </c>
      <c r="M538" s="27" t="str">
        <f t="shared" si="27"/>
        <v>https://ia601507.us.archive.org/24/items/MSpics/MSpics.pdf</v>
      </c>
      <c r="N538" s="27" t="str">
        <f t="shared" si="28"/>
        <v>https://ia601507.us.archive.org/24/items/MSpics/MSpics.pdf#page=5</v>
      </c>
      <c r="O538" s="27" t="str">
        <f t="shared" si="29"/>
        <v>https://babel.hathitrust.org/cgi/pt?id=uiug.30112051004916;view=1up;seq=96</v>
      </c>
      <c r="Q538" s="27" t="str">
        <f t="shared" si="30"/>
        <v>https://ia601507.us.archive.org/24/items/MSpics/MSpics.pdf#page=5</v>
      </c>
      <c r="R538" s="27" t="str">
        <f t="shared" si="31"/>
        <v>https://babel.hathitrust.org/cgi/pt?id=uiug.30112051004916;view=1up;seq=90</v>
      </c>
      <c r="S538" s="27" t="str">
        <f t="shared" si="32"/>
        <v>https://babel.hathitrust.org/cgi/pt?id=uiug.30112051004916;view=1up;seq=219</v>
      </c>
      <c r="T538" s="27" t="str">
        <f t="shared" si="26"/>
        <v>https://babel.hathitrust.org/cgi/pt?id=uiug.30112051004916;view=1up;seq=90</v>
      </c>
      <c r="U538" s="27" t="str">
        <f>'MS post'!X39</f>
        <v>https://ia601502.us.archive.org/10/items/MS-school-property-value-1935-7/1936%20%26%201937%2c%20selected%20pages.pdf</v>
      </c>
    </row>
    <row r="539" spans="1:21" x14ac:dyDescent="0.25">
      <c r="A539" s="27" t="s">
        <v>1088</v>
      </c>
      <c r="B539" s="27" t="str">
        <f t="shared" si="33"/>
        <v>Mississippi</v>
      </c>
      <c r="C539" s="27" t="str">
        <f t="shared" si="34"/>
        <v>Lawrence</v>
      </c>
      <c r="D539" s="27">
        <v>4160</v>
      </c>
      <c r="E539" s="27">
        <v>118</v>
      </c>
      <c r="F539" s="26">
        <f>'MS post'!G40</f>
        <v>125.53907437318119</v>
      </c>
      <c r="G539" s="27">
        <v>5423</v>
      </c>
      <c r="H539" s="27">
        <v>49.74</v>
      </c>
      <c r="I539" s="2">
        <v>45796.15</v>
      </c>
      <c r="J539" s="27">
        <v>69</v>
      </c>
      <c r="K539" s="29">
        <f>'MS post'!N40</f>
        <v>200070</v>
      </c>
      <c r="L539" s="41">
        <v>1926</v>
      </c>
      <c r="M539" s="27" t="str">
        <f t="shared" si="27"/>
        <v>https://ia601507.us.archive.org/24/items/MSpics/MSpics.pdf</v>
      </c>
      <c r="N539" s="27" t="str">
        <f t="shared" si="28"/>
        <v>https://ia601507.us.archive.org/24/items/MSpics/MSpics.pdf#page=5</v>
      </c>
      <c r="O539" s="27" t="str">
        <f t="shared" si="29"/>
        <v>https://babel.hathitrust.org/cgi/pt?id=uiug.30112051004916;view=1up;seq=96</v>
      </c>
      <c r="Q539" s="27" t="str">
        <f t="shared" si="30"/>
        <v>https://ia601507.us.archive.org/24/items/MSpics/MSpics.pdf#page=5</v>
      </c>
      <c r="R539" s="27" t="str">
        <f t="shared" si="31"/>
        <v>https://babel.hathitrust.org/cgi/pt?id=uiug.30112051004916;view=1up;seq=90</v>
      </c>
      <c r="S539" s="27" t="str">
        <f t="shared" si="32"/>
        <v>https://babel.hathitrust.org/cgi/pt?id=uiug.30112051004916;view=1up;seq=219</v>
      </c>
      <c r="T539" s="27" t="str">
        <f t="shared" si="26"/>
        <v>https://babel.hathitrust.org/cgi/pt?id=uiug.30112051004916;view=1up;seq=90</v>
      </c>
      <c r="U539" s="27" t="str">
        <f>'MS post'!X40</f>
        <v>https://ia601502.us.archive.org/10/items/MS-school-property-value-1935-7/1936%20%26%201937%2c%20selected%20pages.pdf</v>
      </c>
    </row>
    <row r="540" spans="1:21" x14ac:dyDescent="0.25">
      <c r="A540" s="27" t="s">
        <v>1089</v>
      </c>
      <c r="B540" s="27" t="str">
        <f t="shared" si="33"/>
        <v>Mississippi</v>
      </c>
      <c r="C540" s="27" t="str">
        <f t="shared" si="34"/>
        <v>Leake</v>
      </c>
      <c r="D540" s="27">
        <v>4929</v>
      </c>
      <c r="E540" s="27">
        <v>179</v>
      </c>
      <c r="F540" s="26">
        <f>'MS post'!G41</f>
        <v>151.74022346368716</v>
      </c>
      <c r="G540" s="27">
        <v>5666</v>
      </c>
      <c r="H540" s="27">
        <v>40</v>
      </c>
      <c r="I540" s="2">
        <v>63421</v>
      </c>
      <c r="J540" s="27">
        <v>96</v>
      </c>
      <c r="K540" s="29">
        <f>'MS post'!N41</f>
        <v>324094</v>
      </c>
      <c r="L540" s="41">
        <v>1926</v>
      </c>
      <c r="M540" s="27" t="str">
        <f t="shared" si="27"/>
        <v>https://ia601507.us.archive.org/24/items/MSpics/MSpics.pdf</v>
      </c>
      <c r="N540" s="27" t="str">
        <f t="shared" si="28"/>
        <v>https://ia601507.us.archive.org/24/items/MSpics/MSpics.pdf#page=5</v>
      </c>
      <c r="O540" s="27" t="str">
        <f t="shared" si="29"/>
        <v>https://babel.hathitrust.org/cgi/pt?id=uiug.30112051004916;view=1up;seq=96</v>
      </c>
      <c r="Q540" s="27" t="str">
        <f t="shared" si="30"/>
        <v>https://ia601507.us.archive.org/24/items/MSpics/MSpics.pdf#page=5</v>
      </c>
      <c r="R540" s="27" t="str">
        <f t="shared" si="31"/>
        <v>https://babel.hathitrust.org/cgi/pt?id=uiug.30112051004916;view=1up;seq=90</v>
      </c>
      <c r="S540" s="27" t="str">
        <f t="shared" si="32"/>
        <v>https://babel.hathitrust.org/cgi/pt?id=uiug.30112051004916;view=1up;seq=219</v>
      </c>
      <c r="T540" s="27" t="str">
        <f t="shared" si="26"/>
        <v>https://babel.hathitrust.org/cgi/pt?id=uiug.30112051004916;view=1up;seq=90</v>
      </c>
      <c r="U540" s="27" t="str">
        <f>'MS post'!X41</f>
        <v>https://ia601502.us.archive.org/10/items/MS-school-property-value-1935-7/1936%20%26%201937%2c%20selected%20pages.pdf</v>
      </c>
    </row>
    <row r="541" spans="1:21" x14ac:dyDescent="0.25">
      <c r="A541" s="27" t="s">
        <v>1090</v>
      </c>
      <c r="B541" s="27" t="str">
        <f t="shared" si="33"/>
        <v>Mississippi</v>
      </c>
      <c r="C541" s="27" t="str">
        <f t="shared" si="34"/>
        <v>Lee</v>
      </c>
      <c r="D541" s="27">
        <v>8108</v>
      </c>
      <c r="E541" s="27">
        <v>140</v>
      </c>
      <c r="F541" s="26">
        <f>'MS post'!G42</f>
        <v>167.32884779890767</v>
      </c>
      <c r="G541" s="27">
        <v>10891</v>
      </c>
      <c r="H541" s="10">
        <v>43.42</v>
      </c>
      <c r="I541" s="2">
        <v>77168.41</v>
      </c>
      <c r="J541" s="35">
        <v>93</v>
      </c>
      <c r="K541" s="29">
        <f>'MS post'!N42</f>
        <v>641771.42000000004</v>
      </c>
      <c r="L541" s="41">
        <v>1926</v>
      </c>
      <c r="M541" s="27" t="str">
        <f t="shared" si="27"/>
        <v>https://ia601507.us.archive.org/24/items/MSpics/MSpics.pdf</v>
      </c>
      <c r="N541" s="27" t="str">
        <f t="shared" si="28"/>
        <v>https://ia601507.us.archive.org/24/items/MSpics/MSpics.pdf#page=5</v>
      </c>
      <c r="O541" s="27" t="str">
        <f t="shared" si="29"/>
        <v>https://babel.hathitrust.org/cgi/pt?id=uiug.30112051004916;view=1up;seq=96</v>
      </c>
      <c r="Q541" s="27" t="str">
        <f t="shared" si="30"/>
        <v>https://ia601507.us.archive.org/24/items/MSpics/MSpics.pdf#page=5</v>
      </c>
      <c r="R541" s="27" t="str">
        <f t="shared" si="31"/>
        <v>https://babel.hathitrust.org/cgi/pt?id=uiug.30112051004916;view=1up;seq=90</v>
      </c>
      <c r="S541" s="27" t="str">
        <f t="shared" si="32"/>
        <v>https://babel.hathitrust.org/cgi/pt?id=uiug.30112051004916;view=1up;seq=219</v>
      </c>
      <c r="T541" s="27" t="str">
        <f t="shared" si="26"/>
        <v>https://babel.hathitrust.org/cgi/pt?id=uiug.30112051004916;view=1up;seq=90</v>
      </c>
      <c r="U541" s="27" t="str">
        <f>'MS post'!X42</f>
        <v>https://ia601502.us.archive.org/10/items/MS-school-property-value-1935-7/1936%20%26%201937%2c%20selected%20pages.pdf</v>
      </c>
    </row>
    <row r="542" spans="1:21" x14ac:dyDescent="0.25">
      <c r="A542" s="27" t="s">
        <v>1091</v>
      </c>
      <c r="B542" s="27" t="str">
        <f t="shared" si="33"/>
        <v>Mississippi</v>
      </c>
      <c r="C542" s="27" t="str">
        <f t="shared" si="34"/>
        <v>Leflore</v>
      </c>
      <c r="D542" s="27">
        <v>8118</v>
      </c>
      <c r="E542" s="27">
        <v>0</v>
      </c>
      <c r="F542" s="26"/>
      <c r="G542" s="27">
        <v>13330</v>
      </c>
      <c r="I542" s="2">
        <f>4518.57+66737.11+983.8+9165+331.75+45+5932.7+205+4625.91+915.6+1589.97+31513.19</f>
        <v>126563.6</v>
      </c>
      <c r="K542" s="29">
        <f>'MS post'!N43</f>
        <v>807900</v>
      </c>
      <c r="L542" s="41">
        <v>1926</v>
      </c>
      <c r="M542" s="27" t="str">
        <f t="shared" si="27"/>
        <v>https://ia601507.us.archive.org/24/items/MSpics/MSpics.pdf</v>
      </c>
      <c r="N542" s="27" t="str">
        <f t="shared" si="28"/>
        <v>https://ia601507.us.archive.org/24/items/MSpics/MSpics.pdf#page=5</v>
      </c>
      <c r="O542" s="27" t="str">
        <f t="shared" si="29"/>
        <v>https://babel.hathitrust.org/cgi/pt?id=uiug.30112051004916;view=1up;seq=96</v>
      </c>
      <c r="Q542" s="27" t="str">
        <f t="shared" si="30"/>
        <v>https://ia601507.us.archive.org/24/items/MSpics/MSpics.pdf#page=5</v>
      </c>
      <c r="R542" s="27" t="str">
        <f t="shared" si="31"/>
        <v>https://babel.hathitrust.org/cgi/pt?id=uiug.30112051004916;view=1up;seq=90</v>
      </c>
      <c r="S542" s="27" t="str">
        <f t="shared" si="32"/>
        <v>https://babel.hathitrust.org/cgi/pt?id=uiug.30112051004916;view=1up;seq=219</v>
      </c>
      <c r="T542" s="27" t="str">
        <f t="shared" si="26"/>
        <v>https://babel.hathitrust.org/cgi/pt?id=uiug.30112051004916;view=1up;seq=90</v>
      </c>
      <c r="U542" s="27" t="str">
        <f>'MS post'!X43</f>
        <v>https://ia601502.us.archive.org/10/items/MS-school-property-value-1935-7/1936%20%26%201937%2c%20selected%20pages.pdf</v>
      </c>
    </row>
    <row r="543" spans="1:21" x14ac:dyDescent="0.25">
      <c r="A543" s="27" t="s">
        <v>1092</v>
      </c>
      <c r="B543" s="27" t="str">
        <f t="shared" si="33"/>
        <v>Mississippi</v>
      </c>
      <c r="C543" s="27" t="str">
        <f t="shared" si="34"/>
        <v>Lincoln</v>
      </c>
      <c r="D543" s="27">
        <v>6306</v>
      </c>
      <c r="E543" s="27">
        <v>172</v>
      </c>
      <c r="F543" s="26">
        <f>'MS post'!G44</f>
        <v>191.9275876966523</v>
      </c>
      <c r="G543" s="27">
        <v>7809</v>
      </c>
      <c r="H543" s="27">
        <v>44.14</v>
      </c>
      <c r="I543" s="2">
        <v>83622.23</v>
      </c>
      <c r="J543" s="27">
        <v>89</v>
      </c>
      <c r="K543" s="29">
        <f>'MS post'!N44</f>
        <v>683400</v>
      </c>
      <c r="L543" s="41">
        <v>1926</v>
      </c>
      <c r="M543" s="27" t="str">
        <f t="shared" si="27"/>
        <v>https://ia601507.us.archive.org/24/items/MSpics/MSpics.pdf</v>
      </c>
      <c r="N543" s="27" t="str">
        <f t="shared" si="28"/>
        <v>https://ia601507.us.archive.org/24/items/MSpics/MSpics.pdf#page=5</v>
      </c>
      <c r="O543" s="27" t="str">
        <f t="shared" si="29"/>
        <v>https://babel.hathitrust.org/cgi/pt?id=uiug.30112051004916;view=1up;seq=96</v>
      </c>
      <c r="Q543" s="27" t="str">
        <f t="shared" si="30"/>
        <v>https://ia601507.us.archive.org/24/items/MSpics/MSpics.pdf#page=5</v>
      </c>
      <c r="R543" s="27" t="str">
        <f t="shared" si="31"/>
        <v>https://babel.hathitrust.org/cgi/pt?id=uiug.30112051004916;view=1up;seq=90</v>
      </c>
      <c r="S543" s="27" t="str">
        <f t="shared" si="32"/>
        <v>https://babel.hathitrust.org/cgi/pt?id=uiug.30112051004916;view=1up;seq=219</v>
      </c>
      <c r="T543" s="27" t="str">
        <f t="shared" si="26"/>
        <v>https://babel.hathitrust.org/cgi/pt?id=uiug.30112051004916;view=1up;seq=90</v>
      </c>
      <c r="U543" s="27" t="str">
        <f>'MS post'!X44</f>
        <v>https://ia601502.us.archive.org/10/items/MS-school-property-value-1935-7/1936%20%26%201937%2c%20selected%20pages.pdf</v>
      </c>
    </row>
    <row r="544" spans="1:21" x14ac:dyDescent="0.25">
      <c r="A544" s="27" t="s">
        <v>1093</v>
      </c>
      <c r="B544" s="27" t="str">
        <f t="shared" si="33"/>
        <v>Mississippi</v>
      </c>
      <c r="C544" s="27" t="str">
        <f t="shared" si="34"/>
        <v>Lowndes</v>
      </c>
      <c r="D544" s="27">
        <v>4926</v>
      </c>
      <c r="E544" s="27">
        <v>95</v>
      </c>
      <c r="F544" s="26">
        <f>'MS post'!G45</f>
        <v>196.12110842477219</v>
      </c>
      <c r="G544" s="27">
        <v>6672</v>
      </c>
      <c r="H544" s="27">
        <v>42.45</v>
      </c>
      <c r="I544" s="2">
        <v>47318.57</v>
      </c>
      <c r="J544" s="27">
        <v>78</v>
      </c>
      <c r="K544" s="29">
        <f>'MS post'!N45</f>
        <v>532675</v>
      </c>
      <c r="L544" s="41">
        <v>1926</v>
      </c>
      <c r="M544" s="27" t="str">
        <f t="shared" si="27"/>
        <v>https://ia601507.us.archive.org/24/items/MSpics/MSpics.pdf</v>
      </c>
      <c r="N544" s="27" t="str">
        <f t="shared" si="28"/>
        <v>https://ia601507.us.archive.org/24/items/MSpics/MSpics.pdf#page=5</v>
      </c>
      <c r="O544" s="27" t="str">
        <f t="shared" si="29"/>
        <v>https://babel.hathitrust.org/cgi/pt?id=uiug.30112051004916;view=1up;seq=96</v>
      </c>
      <c r="Q544" s="27" t="str">
        <f t="shared" si="30"/>
        <v>https://ia601507.us.archive.org/24/items/MSpics/MSpics.pdf#page=5</v>
      </c>
      <c r="R544" s="27" t="str">
        <f t="shared" si="31"/>
        <v>https://babel.hathitrust.org/cgi/pt?id=uiug.30112051004916;view=1up;seq=90</v>
      </c>
      <c r="S544" s="27" t="str">
        <f t="shared" si="32"/>
        <v>https://babel.hathitrust.org/cgi/pt?id=uiug.30112051004916;view=1up;seq=219</v>
      </c>
      <c r="T544" s="27" t="str">
        <f t="shared" si="26"/>
        <v>https://babel.hathitrust.org/cgi/pt?id=uiug.30112051004916;view=1up;seq=90</v>
      </c>
      <c r="U544" s="27" t="str">
        <f>'MS post'!X45</f>
        <v>https://ia601502.us.archive.org/10/items/MS-school-property-value-1935-7/1936%20%26%201937%2c%20selected%20pages.pdf</v>
      </c>
    </row>
    <row r="545" spans="1:21" x14ac:dyDescent="0.25">
      <c r="A545" s="27" t="s">
        <v>1094</v>
      </c>
      <c r="B545" s="27" t="str">
        <f t="shared" si="33"/>
        <v>Mississippi</v>
      </c>
      <c r="C545" s="27" t="str">
        <f t="shared" si="34"/>
        <v>Madison</v>
      </c>
      <c r="D545" s="27">
        <v>6149</v>
      </c>
      <c r="E545" s="27">
        <v>0</v>
      </c>
      <c r="F545" s="26"/>
      <c r="G545" s="27">
        <v>8316</v>
      </c>
      <c r="H545" s="27">
        <v>40.67</v>
      </c>
      <c r="I545" s="2">
        <v>56351.519999999997</v>
      </c>
      <c r="J545" s="27">
        <v>85</v>
      </c>
      <c r="K545" s="29">
        <f>'MS post'!N46</f>
        <v>666230</v>
      </c>
      <c r="L545" s="41">
        <v>1926</v>
      </c>
      <c r="M545" s="27" t="str">
        <f t="shared" si="27"/>
        <v>https://ia601507.us.archive.org/24/items/MSpics/MSpics.pdf</v>
      </c>
      <c r="N545" s="27" t="str">
        <f t="shared" si="28"/>
        <v>https://ia601507.us.archive.org/24/items/MSpics/MSpics.pdf#page=5</v>
      </c>
      <c r="O545" s="27" t="str">
        <f t="shared" si="29"/>
        <v>https://babel.hathitrust.org/cgi/pt?id=uiug.30112051004916;view=1up;seq=96</v>
      </c>
      <c r="Q545" s="27" t="str">
        <f t="shared" si="30"/>
        <v>https://ia601507.us.archive.org/24/items/MSpics/MSpics.pdf#page=5</v>
      </c>
      <c r="R545" s="27" t="str">
        <f t="shared" si="31"/>
        <v>https://babel.hathitrust.org/cgi/pt?id=uiug.30112051004916;view=1up;seq=90</v>
      </c>
      <c r="S545" s="27" t="str">
        <f t="shared" si="32"/>
        <v>https://babel.hathitrust.org/cgi/pt?id=uiug.30112051004916;view=1up;seq=219</v>
      </c>
      <c r="T545" s="27" t="str">
        <f t="shared" si="26"/>
        <v>https://babel.hathitrust.org/cgi/pt?id=uiug.30112051004916;view=1up;seq=90</v>
      </c>
      <c r="U545" s="27" t="str">
        <f>'MS post'!X46</f>
        <v>https://ia601502.us.archive.org/10/items/MS-school-property-value-1935-7/1936%20%26%201937%2c%20selected%20pages.pdf</v>
      </c>
    </row>
    <row r="546" spans="1:21" x14ac:dyDescent="0.25">
      <c r="A546" s="27" t="s">
        <v>1095</v>
      </c>
      <c r="B546" s="27" t="str">
        <f t="shared" si="33"/>
        <v>Mississippi</v>
      </c>
      <c r="C546" s="27" t="str">
        <f t="shared" si="34"/>
        <v>Marion</v>
      </c>
      <c r="D546" s="27">
        <v>5573</v>
      </c>
      <c r="E546" s="27">
        <v>121</v>
      </c>
      <c r="F546" s="26">
        <f>'MS post'!G47</f>
        <v>147.05094798249877</v>
      </c>
      <c r="G546" s="27">
        <v>5199</v>
      </c>
      <c r="H546" s="27">
        <v>51</v>
      </c>
      <c r="I546" s="2">
        <v>56211.07</v>
      </c>
      <c r="J546" s="27">
        <v>68</v>
      </c>
      <c r="K546" s="29">
        <f>'MS post'!N47</f>
        <v>488004</v>
      </c>
      <c r="L546" s="41">
        <v>1926</v>
      </c>
      <c r="M546" s="27" t="str">
        <f t="shared" si="27"/>
        <v>https://ia601507.us.archive.org/24/items/MSpics/MSpics.pdf</v>
      </c>
      <c r="N546" s="27" t="str">
        <f t="shared" si="28"/>
        <v>https://ia601507.us.archive.org/24/items/MSpics/MSpics.pdf#page=5</v>
      </c>
      <c r="O546" s="27" t="str">
        <f t="shared" si="29"/>
        <v>https://babel.hathitrust.org/cgi/pt?id=uiug.30112051004916;view=1up;seq=96</v>
      </c>
      <c r="Q546" s="27" t="str">
        <f t="shared" si="30"/>
        <v>https://ia601507.us.archive.org/24/items/MSpics/MSpics.pdf#page=5</v>
      </c>
      <c r="R546" s="27" t="str">
        <f t="shared" si="31"/>
        <v>https://babel.hathitrust.org/cgi/pt?id=uiug.30112051004916;view=1up;seq=90</v>
      </c>
      <c r="S546" s="27" t="str">
        <f t="shared" si="32"/>
        <v>https://babel.hathitrust.org/cgi/pt?id=uiug.30112051004916;view=1up;seq=219</v>
      </c>
      <c r="T546" s="27" t="str">
        <f t="shared" si="26"/>
        <v>https://babel.hathitrust.org/cgi/pt?id=uiug.30112051004916;view=1up;seq=90</v>
      </c>
      <c r="U546" s="27" t="str">
        <f>'MS post'!X47</f>
        <v>https://ia601502.us.archive.org/10/items/MS-school-property-value-1935-7/1936%20%26%201937%2c%20selected%20pages.pdf</v>
      </c>
    </row>
    <row r="547" spans="1:21" x14ac:dyDescent="0.25">
      <c r="A547" s="27" t="s">
        <v>1096</v>
      </c>
      <c r="B547" s="27" t="str">
        <f t="shared" si="33"/>
        <v>Mississippi</v>
      </c>
      <c r="C547" s="27" t="str">
        <f t="shared" si="34"/>
        <v>Marshall</v>
      </c>
      <c r="D547" s="27">
        <v>4909</v>
      </c>
      <c r="E547" s="27">
        <v>199</v>
      </c>
      <c r="F547" s="26">
        <f>'MS post'!G48</f>
        <v>99.17811278615298</v>
      </c>
      <c r="G547" s="27">
        <v>7465</v>
      </c>
      <c r="H547" s="27">
        <v>45</v>
      </c>
      <c r="I547" s="2">
        <v>83937.08</v>
      </c>
      <c r="J547" s="27">
        <v>158</v>
      </c>
      <c r="K547" s="29">
        <f>'MS post'!N48</f>
        <v>307530</v>
      </c>
      <c r="L547" s="41">
        <v>1926</v>
      </c>
      <c r="M547" s="27" t="str">
        <f t="shared" si="27"/>
        <v>https://ia601507.us.archive.org/24/items/MSpics/MSpics.pdf</v>
      </c>
      <c r="N547" s="27" t="str">
        <f t="shared" si="28"/>
        <v>https://ia601507.us.archive.org/24/items/MSpics/MSpics.pdf#page=5</v>
      </c>
      <c r="O547" s="27" t="str">
        <f t="shared" si="29"/>
        <v>https://babel.hathitrust.org/cgi/pt?id=uiug.30112051004916;view=1up;seq=96</v>
      </c>
      <c r="Q547" s="27" t="str">
        <f t="shared" si="30"/>
        <v>https://ia601507.us.archive.org/24/items/MSpics/MSpics.pdf#page=5</v>
      </c>
      <c r="R547" s="27" t="str">
        <f t="shared" si="31"/>
        <v>https://babel.hathitrust.org/cgi/pt?id=uiug.30112051004916;view=1up;seq=90</v>
      </c>
      <c r="S547" s="27" t="str">
        <f t="shared" si="32"/>
        <v>https://babel.hathitrust.org/cgi/pt?id=uiug.30112051004916;view=1up;seq=219</v>
      </c>
      <c r="T547" s="27" t="str">
        <f t="shared" si="26"/>
        <v>https://babel.hathitrust.org/cgi/pt?id=uiug.30112051004916;view=1up;seq=90</v>
      </c>
      <c r="U547" s="27" t="str">
        <f>'MS post'!X48</f>
        <v>https://ia601502.us.archive.org/10/items/MS-school-property-value-1935-7/1936%20%26%201937%2c%20selected%20pages.pdf</v>
      </c>
    </row>
    <row r="548" spans="1:21" x14ac:dyDescent="0.25">
      <c r="A548" s="27" t="s">
        <v>1097</v>
      </c>
      <c r="B548" s="27" t="str">
        <f t="shared" si="33"/>
        <v>Mississippi</v>
      </c>
      <c r="C548" s="27" t="str">
        <f t="shared" si="34"/>
        <v>Monroe</v>
      </c>
      <c r="D548" s="27">
        <v>8100</v>
      </c>
      <c r="E548" s="27">
        <v>208</v>
      </c>
      <c r="F548" s="26">
        <f>'MS post'!G49</f>
        <v>101.58684959875744</v>
      </c>
      <c r="G548" s="27">
        <v>10597</v>
      </c>
      <c r="H548" s="27">
        <v>38.630000000000003</v>
      </c>
      <c r="I548" s="2">
        <v>56017.94</v>
      </c>
      <c r="J548" s="27">
        <v>125</v>
      </c>
      <c r="K548" s="29">
        <f>'MS post'!N49</f>
        <v>553015</v>
      </c>
      <c r="L548" s="41">
        <v>1926</v>
      </c>
      <c r="M548" s="27" t="str">
        <f t="shared" si="27"/>
        <v>https://ia601507.us.archive.org/24/items/MSpics/MSpics.pdf</v>
      </c>
      <c r="N548" s="27" t="str">
        <f t="shared" si="28"/>
        <v>https://ia601507.us.archive.org/24/items/MSpics/MSpics.pdf#page=5</v>
      </c>
      <c r="O548" s="27" t="str">
        <f t="shared" si="29"/>
        <v>https://babel.hathitrust.org/cgi/pt?id=uiug.30112051004916;view=1up;seq=96</v>
      </c>
      <c r="Q548" s="27" t="str">
        <f t="shared" si="30"/>
        <v>https://ia601507.us.archive.org/24/items/MSpics/MSpics.pdf#page=5</v>
      </c>
      <c r="R548" s="27" t="str">
        <f t="shared" si="31"/>
        <v>https://babel.hathitrust.org/cgi/pt?id=uiug.30112051004916;view=1up;seq=90</v>
      </c>
      <c r="S548" s="27" t="str">
        <f t="shared" si="32"/>
        <v>https://babel.hathitrust.org/cgi/pt?id=uiug.30112051004916;view=1up;seq=219</v>
      </c>
      <c r="T548" s="27" t="str">
        <f t="shared" si="26"/>
        <v>https://babel.hathitrust.org/cgi/pt?id=uiug.30112051004916;view=1up;seq=90</v>
      </c>
      <c r="U548" s="27" t="str">
        <f>'MS post'!X49</f>
        <v>https://ia601502.us.archive.org/10/items/MS-school-property-value-1935-7/1936%20%26%201937%2c%20selected%20pages.pdf</v>
      </c>
    </row>
    <row r="549" spans="1:21" x14ac:dyDescent="0.25">
      <c r="A549" s="27" t="s">
        <v>1098</v>
      </c>
      <c r="B549" s="27" t="str">
        <f t="shared" si="33"/>
        <v>Mississippi</v>
      </c>
      <c r="C549" s="27" t="str">
        <f t="shared" si="34"/>
        <v>Montgomery</v>
      </c>
      <c r="D549" s="27">
        <v>2971</v>
      </c>
      <c r="E549" s="27">
        <v>46</v>
      </c>
      <c r="F549" s="26">
        <f>'MS post'!G50</f>
        <v>27.734559449756901</v>
      </c>
      <c r="G549" s="27">
        <v>4532</v>
      </c>
      <c r="H549" s="27">
        <v>40.33</v>
      </c>
      <c r="I549" s="2">
        <v>44910.12</v>
      </c>
      <c r="J549" s="27">
        <v>8</v>
      </c>
      <c r="K549" s="29">
        <f>'MS post'!N50</f>
        <v>325005</v>
      </c>
      <c r="L549" s="41">
        <v>1926</v>
      </c>
      <c r="M549" s="27" t="str">
        <f t="shared" si="27"/>
        <v>https://ia601507.us.archive.org/24/items/MSpics/MSpics.pdf</v>
      </c>
      <c r="N549" s="27" t="str">
        <f t="shared" si="28"/>
        <v>https://ia601507.us.archive.org/24/items/MSpics/MSpics.pdf#page=5</v>
      </c>
      <c r="O549" s="27" t="str">
        <f t="shared" si="29"/>
        <v>https://babel.hathitrust.org/cgi/pt?id=uiug.30112051004916;view=1up;seq=96</v>
      </c>
      <c r="Q549" s="27" t="str">
        <f t="shared" si="30"/>
        <v>https://ia601507.us.archive.org/24/items/MSpics/MSpics.pdf#page=5</v>
      </c>
      <c r="R549" s="27" t="str">
        <f t="shared" si="31"/>
        <v>https://babel.hathitrust.org/cgi/pt?id=uiug.30112051004916;view=1up;seq=90</v>
      </c>
      <c r="S549" s="27" t="str">
        <f t="shared" si="32"/>
        <v>https://babel.hathitrust.org/cgi/pt?id=uiug.30112051004916;view=1up;seq=219</v>
      </c>
      <c r="T549" s="27" t="str">
        <f t="shared" si="26"/>
        <v>https://babel.hathitrust.org/cgi/pt?id=uiug.30112051004916;view=1up;seq=90</v>
      </c>
      <c r="U549" s="27" t="str">
        <f>'MS post'!X50</f>
        <v>https://ia601502.us.archive.org/10/items/MS-school-property-value-1935-7/1936%20%26%201937%2c%20selected%20pages.pdf</v>
      </c>
    </row>
    <row r="550" spans="1:21" x14ac:dyDescent="0.25">
      <c r="A550" s="27" t="s">
        <v>1099</v>
      </c>
      <c r="B550" s="27" t="str">
        <f t="shared" si="33"/>
        <v>Mississippi</v>
      </c>
      <c r="C550" s="27" t="str">
        <f t="shared" si="34"/>
        <v>Neshoba</v>
      </c>
      <c r="D550" s="27">
        <v>6184</v>
      </c>
      <c r="E550" s="27">
        <v>182</v>
      </c>
      <c r="F550" s="26">
        <f>'MS post'!G51</f>
        <v>176.66962711594795</v>
      </c>
      <c r="G550" s="27">
        <v>8070</v>
      </c>
      <c r="H550" s="27">
        <v>41.45</v>
      </c>
      <c r="I550" s="2">
        <v>76953.11</v>
      </c>
      <c r="J550" s="27">
        <v>106</v>
      </c>
      <c r="K550" s="29">
        <f>'MS post'!N51</f>
        <v>378937.45</v>
      </c>
      <c r="L550" s="41">
        <v>1926</v>
      </c>
      <c r="M550" s="27" t="str">
        <f t="shared" si="27"/>
        <v>https://ia601507.us.archive.org/24/items/MSpics/MSpics.pdf</v>
      </c>
      <c r="N550" s="27" t="str">
        <f t="shared" si="28"/>
        <v>https://ia601507.us.archive.org/24/items/MSpics/MSpics.pdf#page=5</v>
      </c>
      <c r="O550" s="27" t="str">
        <f t="shared" si="29"/>
        <v>https://babel.hathitrust.org/cgi/pt?id=uiug.30112051004916;view=1up;seq=96</v>
      </c>
      <c r="Q550" s="27" t="str">
        <f t="shared" si="30"/>
        <v>https://ia601507.us.archive.org/24/items/MSpics/MSpics.pdf#page=5</v>
      </c>
      <c r="R550" s="27" t="str">
        <f t="shared" si="31"/>
        <v>https://babel.hathitrust.org/cgi/pt?id=uiug.30112051004916;view=1up;seq=90</v>
      </c>
      <c r="S550" s="27" t="str">
        <f t="shared" si="32"/>
        <v>https://babel.hathitrust.org/cgi/pt?id=uiug.30112051004916;view=1up;seq=219</v>
      </c>
      <c r="T550" s="27" t="str">
        <f t="shared" si="26"/>
        <v>https://babel.hathitrust.org/cgi/pt?id=uiug.30112051004916;view=1up;seq=90</v>
      </c>
      <c r="U550" s="27" t="str">
        <f>'MS post'!X51</f>
        <v>https://ia601502.us.archive.org/10/items/MS-school-property-value-1935-7/1936%20%26%201937%2c%20selected%20pages.pdf</v>
      </c>
    </row>
    <row r="551" spans="1:21" x14ac:dyDescent="0.25">
      <c r="A551" s="27" t="s">
        <v>1100</v>
      </c>
      <c r="B551" s="27" t="str">
        <f t="shared" si="33"/>
        <v>Mississippi</v>
      </c>
      <c r="C551" s="27" t="str">
        <f t="shared" si="34"/>
        <v>Newton</v>
      </c>
      <c r="D551" s="27">
        <v>5532</v>
      </c>
      <c r="E551" s="27">
        <f>105+45</f>
        <v>150</v>
      </c>
      <c r="F551" s="26">
        <f>'MS post'!G52</f>
        <v>127.15499259259259</v>
      </c>
      <c r="G551" s="27">
        <v>7560</v>
      </c>
      <c r="H551" s="27">
        <v>45</v>
      </c>
      <c r="I551" s="2">
        <v>57756.55</v>
      </c>
      <c r="J551" s="27">
        <v>98</v>
      </c>
      <c r="K551" s="29">
        <f>'MS post'!N52</f>
        <v>635291</v>
      </c>
      <c r="L551" s="41">
        <v>1926</v>
      </c>
      <c r="M551" s="27" t="str">
        <f t="shared" si="27"/>
        <v>https://ia601507.us.archive.org/24/items/MSpics/MSpics.pdf</v>
      </c>
      <c r="N551" s="27" t="str">
        <f t="shared" si="28"/>
        <v>https://ia601507.us.archive.org/24/items/MSpics/MSpics.pdf#page=5</v>
      </c>
      <c r="O551" s="27" t="str">
        <f t="shared" si="29"/>
        <v>https://babel.hathitrust.org/cgi/pt?id=uiug.30112051004916;view=1up;seq=96</v>
      </c>
      <c r="Q551" s="27" t="str">
        <f t="shared" si="30"/>
        <v>https://ia601507.us.archive.org/24/items/MSpics/MSpics.pdf#page=5</v>
      </c>
      <c r="R551" s="27" t="str">
        <f t="shared" si="31"/>
        <v>https://babel.hathitrust.org/cgi/pt?id=uiug.30112051004916;view=1up;seq=90</v>
      </c>
      <c r="S551" s="27" t="str">
        <f t="shared" si="32"/>
        <v>https://babel.hathitrust.org/cgi/pt?id=uiug.30112051004916;view=1up;seq=219</v>
      </c>
      <c r="T551" s="27" t="str">
        <f t="shared" si="26"/>
        <v>https://babel.hathitrust.org/cgi/pt?id=uiug.30112051004916;view=1up;seq=90</v>
      </c>
      <c r="U551" s="27" t="str">
        <f>'MS post'!X52</f>
        <v>https://ia601502.us.archive.org/10/items/MS-school-property-value-1935-7/1936%20%26%201937%2c%20selected%20pages.pdf</v>
      </c>
    </row>
    <row r="552" spans="1:21" x14ac:dyDescent="0.25">
      <c r="A552" s="27" t="s">
        <v>1101</v>
      </c>
      <c r="B552" s="27" t="str">
        <f t="shared" si="33"/>
        <v>Mississippi</v>
      </c>
      <c r="C552" s="27" t="str">
        <f t="shared" si="34"/>
        <v>Noxubee</v>
      </c>
      <c r="D552" s="27">
        <v>4716</v>
      </c>
      <c r="E552" s="27">
        <v>127</v>
      </c>
      <c r="F552" s="26">
        <f>'MS post'!G53</f>
        <v>212.41960281995114</v>
      </c>
      <c r="G552" s="27">
        <v>7205</v>
      </c>
      <c r="H552" s="27">
        <v>40.51</v>
      </c>
      <c r="I552" s="2">
        <v>80792.28</v>
      </c>
      <c r="J552" s="27">
        <v>90</v>
      </c>
      <c r="K552" s="29">
        <f>'MS post'!N53</f>
        <v>125295</v>
      </c>
      <c r="L552" s="41">
        <v>1926</v>
      </c>
      <c r="M552" s="27" t="str">
        <f t="shared" si="27"/>
        <v>https://ia601507.us.archive.org/24/items/MSpics/MSpics.pdf</v>
      </c>
      <c r="N552" s="27" t="str">
        <f t="shared" si="28"/>
        <v>https://ia601507.us.archive.org/24/items/MSpics/MSpics.pdf#page=5</v>
      </c>
      <c r="O552" s="27" t="str">
        <f t="shared" si="29"/>
        <v>https://babel.hathitrust.org/cgi/pt?id=uiug.30112051004916;view=1up;seq=96</v>
      </c>
      <c r="Q552" s="27" t="str">
        <f t="shared" si="30"/>
        <v>https://ia601507.us.archive.org/24/items/MSpics/MSpics.pdf#page=5</v>
      </c>
      <c r="R552" s="27" t="str">
        <f t="shared" si="31"/>
        <v>https://babel.hathitrust.org/cgi/pt?id=uiug.30112051004916;view=1up;seq=90</v>
      </c>
      <c r="S552" s="27" t="str">
        <f t="shared" si="32"/>
        <v>https://babel.hathitrust.org/cgi/pt?id=uiug.30112051004916;view=1up;seq=219</v>
      </c>
      <c r="T552" s="27" t="str">
        <f t="shared" si="26"/>
        <v>https://babel.hathitrust.org/cgi/pt?id=uiug.30112051004916;view=1up;seq=90</v>
      </c>
      <c r="U552" s="27" t="str">
        <f>'MS post'!X53</f>
        <v>https://ia601502.us.archive.org/10/items/MS-school-property-value-1935-7/1936%20%26%201937%2c%20selected%20pages.pdf</v>
      </c>
    </row>
    <row r="553" spans="1:21" x14ac:dyDescent="0.25">
      <c r="A553" s="27" t="s">
        <v>1102</v>
      </c>
      <c r="B553" s="27" t="str">
        <f t="shared" si="33"/>
        <v>Mississippi</v>
      </c>
      <c r="C553" s="27" t="str">
        <f t="shared" si="34"/>
        <v>Oktibbeha</v>
      </c>
      <c r="D553" s="27">
        <v>4329</v>
      </c>
      <c r="E553" s="27">
        <v>120</v>
      </c>
      <c r="F553" s="26">
        <f>'MS post'!G54</f>
        <v>113.59064469219584</v>
      </c>
      <c r="G553" s="27">
        <v>5022</v>
      </c>
      <c r="H553" s="27">
        <v>41.26</v>
      </c>
      <c r="I553" s="2">
        <v>43645.16</v>
      </c>
      <c r="J553" s="27">
        <v>87</v>
      </c>
      <c r="K553" s="29">
        <f>'MS post'!N54</f>
        <v>236778</v>
      </c>
      <c r="L553" s="41">
        <v>1926</v>
      </c>
      <c r="M553" s="27" t="str">
        <f t="shared" si="27"/>
        <v>https://ia601507.us.archive.org/24/items/MSpics/MSpics.pdf</v>
      </c>
      <c r="N553" s="27" t="str">
        <f t="shared" si="28"/>
        <v>https://ia601507.us.archive.org/24/items/MSpics/MSpics.pdf#page=5</v>
      </c>
      <c r="O553" s="27" t="str">
        <f t="shared" si="29"/>
        <v>https://babel.hathitrust.org/cgi/pt?id=uiug.30112051004916;view=1up;seq=96</v>
      </c>
      <c r="Q553" s="27" t="str">
        <f t="shared" si="30"/>
        <v>https://ia601507.us.archive.org/24/items/MSpics/MSpics.pdf#page=5</v>
      </c>
      <c r="R553" s="27" t="str">
        <f t="shared" si="31"/>
        <v>https://babel.hathitrust.org/cgi/pt?id=uiug.30112051004916;view=1up;seq=90</v>
      </c>
      <c r="S553" s="27" t="str">
        <f t="shared" si="32"/>
        <v>https://babel.hathitrust.org/cgi/pt?id=uiug.30112051004916;view=1up;seq=219</v>
      </c>
      <c r="T553" s="27" t="str">
        <f t="shared" si="26"/>
        <v>https://babel.hathitrust.org/cgi/pt?id=uiug.30112051004916;view=1up;seq=90</v>
      </c>
      <c r="U553" s="27" t="str">
        <f>'MS post'!X54</f>
        <v>https://ia601502.us.archive.org/10/items/MS-school-property-value-1935-7/1936%20%26%201937%2c%20selected%20pages.pdf</v>
      </c>
    </row>
    <row r="554" spans="1:21" x14ac:dyDescent="0.25">
      <c r="A554" s="27" t="s">
        <v>1103</v>
      </c>
      <c r="B554" s="27" t="str">
        <f t="shared" si="33"/>
        <v>Mississippi</v>
      </c>
      <c r="C554" s="27" t="str">
        <f t="shared" si="34"/>
        <v>Panola</v>
      </c>
      <c r="D554" s="27">
        <v>5720</v>
      </c>
      <c r="E554" s="27">
        <v>128</v>
      </c>
      <c r="F554" s="26">
        <f>'MS post'!G55</f>
        <v>136.38651756283477</v>
      </c>
      <c r="G554" s="27">
        <v>8248</v>
      </c>
      <c r="H554" s="27">
        <v>48.54</v>
      </c>
      <c r="I554" s="2">
        <v>55082.44</v>
      </c>
      <c r="J554" s="27">
        <v>107</v>
      </c>
      <c r="K554" s="29">
        <f>'MS post'!N55</f>
        <v>423790</v>
      </c>
      <c r="L554" s="41">
        <v>1926</v>
      </c>
      <c r="M554" s="27" t="str">
        <f t="shared" si="27"/>
        <v>https://ia601507.us.archive.org/24/items/MSpics/MSpics.pdf</v>
      </c>
      <c r="N554" s="27" t="str">
        <f t="shared" si="28"/>
        <v>https://ia601507.us.archive.org/24/items/MSpics/MSpics.pdf#page=5</v>
      </c>
      <c r="O554" s="27" t="str">
        <f t="shared" si="29"/>
        <v>https://babel.hathitrust.org/cgi/pt?id=uiug.30112051004916;view=1up;seq=96</v>
      </c>
      <c r="Q554" s="27" t="str">
        <f t="shared" si="30"/>
        <v>https://ia601507.us.archive.org/24/items/MSpics/MSpics.pdf#page=5</v>
      </c>
      <c r="R554" s="27" t="str">
        <f t="shared" si="31"/>
        <v>https://babel.hathitrust.org/cgi/pt?id=uiug.30112051004916;view=1up;seq=90</v>
      </c>
      <c r="S554" s="27" t="str">
        <f t="shared" si="32"/>
        <v>https://babel.hathitrust.org/cgi/pt?id=uiug.30112051004916;view=1up;seq=219</v>
      </c>
      <c r="T554" s="27" t="str">
        <f t="shared" si="26"/>
        <v>https://babel.hathitrust.org/cgi/pt?id=uiug.30112051004916;view=1up;seq=90</v>
      </c>
      <c r="U554" s="27" t="str">
        <f>'MS post'!X55</f>
        <v>https://ia601502.us.archive.org/10/items/MS-school-property-value-1935-7/1936%20%26%201937%2c%20selected%20pages.pdf</v>
      </c>
    </row>
    <row r="555" spans="1:21" x14ac:dyDescent="0.25">
      <c r="A555" s="27" t="s">
        <v>1104</v>
      </c>
      <c r="B555" s="27" t="str">
        <f t="shared" si="33"/>
        <v>Mississippi</v>
      </c>
      <c r="C555" s="27" t="str">
        <f t="shared" si="34"/>
        <v>Pearl River</v>
      </c>
      <c r="D555" s="27">
        <v>5337</v>
      </c>
      <c r="E555" s="27">
        <v>264</v>
      </c>
      <c r="F555" s="26">
        <f>'MS post'!G56</f>
        <v>103.53535353535355</v>
      </c>
      <c r="G555" s="27">
        <v>6789</v>
      </c>
      <c r="H555" s="27">
        <v>60</v>
      </c>
      <c r="I555" s="2">
        <v>147800</v>
      </c>
      <c r="J555" s="27">
        <v>46</v>
      </c>
      <c r="K555" s="29">
        <f>'MS post'!N56</f>
        <v>1413635</v>
      </c>
      <c r="L555" s="41">
        <v>1926</v>
      </c>
      <c r="M555" s="27" t="str">
        <f t="shared" si="27"/>
        <v>https://ia601507.us.archive.org/24/items/MSpics/MSpics.pdf</v>
      </c>
      <c r="N555" s="27" t="str">
        <f t="shared" si="28"/>
        <v>https://ia601507.us.archive.org/24/items/MSpics/MSpics.pdf#page=5</v>
      </c>
      <c r="O555" s="27" t="str">
        <f t="shared" si="29"/>
        <v>https://babel.hathitrust.org/cgi/pt?id=uiug.30112051004916;view=1up;seq=96</v>
      </c>
      <c r="Q555" s="27" t="str">
        <f t="shared" si="30"/>
        <v>https://ia601507.us.archive.org/24/items/MSpics/MSpics.pdf#page=5</v>
      </c>
      <c r="R555" s="27" t="str">
        <f t="shared" si="31"/>
        <v>https://babel.hathitrust.org/cgi/pt?id=uiug.30112051004916;view=1up;seq=90</v>
      </c>
      <c r="S555" s="27" t="str">
        <f t="shared" si="32"/>
        <v>https://babel.hathitrust.org/cgi/pt?id=uiug.30112051004916;view=1up;seq=219</v>
      </c>
      <c r="T555" s="27" t="str">
        <f t="shared" si="26"/>
        <v>https://babel.hathitrust.org/cgi/pt?id=uiug.30112051004916;view=1up;seq=90</v>
      </c>
      <c r="U555" s="27" t="str">
        <f>'MS post'!X56</f>
        <v>https://ia601502.us.archive.org/10/items/MS-school-property-value-1935-7/1936%20%26%201937%2c%20selected%20pages.pdf</v>
      </c>
    </row>
    <row r="556" spans="1:21" x14ac:dyDescent="0.25">
      <c r="A556" s="27" t="s">
        <v>1105</v>
      </c>
      <c r="B556" s="27" t="str">
        <f t="shared" si="33"/>
        <v>Mississippi</v>
      </c>
      <c r="C556" s="27" t="str">
        <f t="shared" si="34"/>
        <v>Perry</v>
      </c>
      <c r="D556" s="27">
        <v>2187</v>
      </c>
      <c r="E556" s="27">
        <v>58</v>
      </c>
      <c r="F556" s="26">
        <f>'MS post'!G57</f>
        <v>210.80075340481019</v>
      </c>
      <c r="G556" s="27">
        <v>3050</v>
      </c>
      <c r="H556" s="27">
        <v>59.5</v>
      </c>
      <c r="I556" s="2">
        <v>67947.5</v>
      </c>
      <c r="J556" s="27">
        <v>44</v>
      </c>
      <c r="K556" s="29">
        <f>'MS post'!N57</f>
        <v>197900</v>
      </c>
      <c r="L556" s="41">
        <v>1926</v>
      </c>
      <c r="M556" s="27" t="str">
        <f t="shared" si="27"/>
        <v>https://ia601507.us.archive.org/24/items/MSpics/MSpics.pdf</v>
      </c>
      <c r="N556" s="27" t="str">
        <f t="shared" si="28"/>
        <v>https://ia601507.us.archive.org/24/items/MSpics/MSpics.pdf#page=5</v>
      </c>
      <c r="O556" s="27" t="str">
        <f t="shared" si="29"/>
        <v>https://babel.hathitrust.org/cgi/pt?id=uiug.30112051004916;view=1up;seq=96</v>
      </c>
      <c r="Q556" s="27" t="str">
        <f t="shared" si="30"/>
        <v>https://ia601507.us.archive.org/24/items/MSpics/MSpics.pdf#page=5</v>
      </c>
      <c r="R556" s="27" t="str">
        <f t="shared" si="31"/>
        <v>https://babel.hathitrust.org/cgi/pt?id=uiug.30112051004916;view=1up;seq=90</v>
      </c>
      <c r="S556" s="27" t="str">
        <f t="shared" si="32"/>
        <v>https://babel.hathitrust.org/cgi/pt?id=uiug.30112051004916;view=1up;seq=219</v>
      </c>
      <c r="T556" s="27" t="str">
        <f t="shared" si="26"/>
        <v>https://babel.hathitrust.org/cgi/pt?id=uiug.30112051004916;view=1up;seq=90</v>
      </c>
      <c r="U556" s="27" t="str">
        <f>'MS post'!X57</f>
        <v>https://ia601502.us.archive.org/10/items/MS-school-property-value-1935-7/1936%20%26%201937%2c%20selected%20pages.pdf</v>
      </c>
    </row>
    <row r="557" spans="1:21" x14ac:dyDescent="0.25">
      <c r="A557" s="27" t="s">
        <v>1106</v>
      </c>
      <c r="B557" s="27" t="str">
        <f t="shared" si="33"/>
        <v>Mississippi</v>
      </c>
      <c r="C557" s="27" t="str">
        <f t="shared" si="34"/>
        <v>Pike</v>
      </c>
      <c r="D557" s="27">
        <v>6428</v>
      </c>
      <c r="E557" s="27">
        <v>89</v>
      </c>
      <c r="F557" s="26">
        <f>'MS post'!G58</f>
        <v>157.58625387216955</v>
      </c>
      <c r="G557" s="27">
        <v>8635</v>
      </c>
      <c r="H557" s="27">
        <v>37.94</v>
      </c>
      <c r="I557" s="2">
        <v>38871.97</v>
      </c>
      <c r="J557" s="27">
        <v>60</v>
      </c>
      <c r="K557" s="29">
        <f>'MS post'!N58</f>
        <v>965575</v>
      </c>
      <c r="L557" s="41">
        <v>1926</v>
      </c>
      <c r="M557" s="27" t="str">
        <f t="shared" si="27"/>
        <v>https://ia601507.us.archive.org/24/items/MSpics/MSpics.pdf</v>
      </c>
      <c r="N557" s="27" t="str">
        <f t="shared" si="28"/>
        <v>https://ia601507.us.archive.org/24/items/MSpics/MSpics.pdf#page=5</v>
      </c>
      <c r="O557" s="27" t="str">
        <f t="shared" si="29"/>
        <v>https://babel.hathitrust.org/cgi/pt?id=uiug.30112051004916;view=1up;seq=96</v>
      </c>
      <c r="Q557" s="27" t="str">
        <f t="shared" si="30"/>
        <v>https://ia601507.us.archive.org/24/items/MSpics/MSpics.pdf#page=5</v>
      </c>
      <c r="R557" s="27" t="str">
        <f t="shared" si="31"/>
        <v>https://babel.hathitrust.org/cgi/pt?id=uiug.30112051004916;view=1up;seq=90</v>
      </c>
      <c r="S557" s="27" t="str">
        <f t="shared" si="32"/>
        <v>https://babel.hathitrust.org/cgi/pt?id=uiug.30112051004916;view=1up;seq=219</v>
      </c>
      <c r="T557" s="27" t="str">
        <f t="shared" si="26"/>
        <v>https://babel.hathitrust.org/cgi/pt?id=uiug.30112051004916;view=1up;seq=90</v>
      </c>
      <c r="U557" s="27" t="str">
        <f>'MS post'!X58</f>
        <v>https://ia601502.us.archive.org/10/items/MS-school-property-value-1935-7/1936%20%26%201937%2c%20selected%20pages.pdf</v>
      </c>
    </row>
    <row r="558" spans="1:21" x14ac:dyDescent="0.25">
      <c r="A558" s="27" t="s">
        <v>1107</v>
      </c>
      <c r="B558" s="27" t="str">
        <f t="shared" si="33"/>
        <v>Mississippi</v>
      </c>
      <c r="C558" s="27" t="str">
        <f t="shared" si="34"/>
        <v>Pontotoc</v>
      </c>
      <c r="D558" s="27">
        <v>4471</v>
      </c>
      <c r="E558" s="27">
        <v>188</v>
      </c>
      <c r="F558" s="26">
        <f>'MS post'!G59</f>
        <v>178.90523281200382</v>
      </c>
      <c r="G558" s="27">
        <v>6549</v>
      </c>
      <c r="H558" s="27">
        <v>42.88</v>
      </c>
      <c r="I558" s="2">
        <v>75769.289999999994</v>
      </c>
      <c r="J558" s="27">
        <v>110</v>
      </c>
      <c r="K558" s="29">
        <f>'MS post'!N59</f>
        <v>323475</v>
      </c>
      <c r="L558" s="41">
        <v>1926</v>
      </c>
      <c r="M558" s="27" t="str">
        <f t="shared" si="27"/>
        <v>https://ia601507.us.archive.org/24/items/MSpics/MSpics.pdf</v>
      </c>
      <c r="N558" s="27" t="str">
        <f t="shared" si="28"/>
        <v>https://ia601507.us.archive.org/24/items/MSpics/MSpics.pdf#page=5</v>
      </c>
      <c r="O558" s="27" t="str">
        <f t="shared" si="29"/>
        <v>https://babel.hathitrust.org/cgi/pt?id=uiug.30112051004916;view=1up;seq=96</v>
      </c>
      <c r="Q558" s="27" t="str">
        <f t="shared" si="30"/>
        <v>https://ia601507.us.archive.org/24/items/MSpics/MSpics.pdf#page=5</v>
      </c>
      <c r="R558" s="27" t="str">
        <f t="shared" si="31"/>
        <v>https://babel.hathitrust.org/cgi/pt?id=uiug.30112051004916;view=1up;seq=90</v>
      </c>
      <c r="S558" s="27" t="str">
        <f t="shared" si="32"/>
        <v>https://babel.hathitrust.org/cgi/pt?id=uiug.30112051004916;view=1up;seq=219</v>
      </c>
      <c r="T558" s="27" t="str">
        <f t="shared" si="26"/>
        <v>https://babel.hathitrust.org/cgi/pt?id=uiug.30112051004916;view=1up;seq=90</v>
      </c>
      <c r="U558" s="27" t="str">
        <f>'MS post'!X59</f>
        <v>https://ia601502.us.archive.org/10/items/MS-school-property-value-1935-7/1936%20%26%201937%2c%20selected%20pages.pdf</v>
      </c>
    </row>
    <row r="559" spans="1:21" x14ac:dyDescent="0.25">
      <c r="A559" s="27" t="s">
        <v>1108</v>
      </c>
      <c r="B559" s="27" t="str">
        <f t="shared" si="33"/>
        <v>Mississippi</v>
      </c>
      <c r="C559" s="27" t="str">
        <f t="shared" si="34"/>
        <v>Prentiss</v>
      </c>
      <c r="D559" s="27">
        <v>4565</v>
      </c>
      <c r="E559" s="27">
        <v>110</v>
      </c>
      <c r="F559" s="26">
        <f>'MS post'!G60</f>
        <v>160.40762006638457</v>
      </c>
      <c r="G559" s="27">
        <v>5879</v>
      </c>
      <c r="H559" s="27">
        <v>57.79</v>
      </c>
      <c r="I559" s="2">
        <v>57486.6</v>
      </c>
      <c r="J559" s="27">
        <v>66</v>
      </c>
      <c r="K559" s="29">
        <f>'MS post'!N60</f>
        <v>162586</v>
      </c>
      <c r="L559" s="41">
        <v>1926</v>
      </c>
      <c r="M559" s="27" t="str">
        <f t="shared" si="27"/>
        <v>https://ia601507.us.archive.org/24/items/MSpics/MSpics.pdf</v>
      </c>
      <c r="N559" s="27" t="str">
        <f t="shared" si="28"/>
        <v>https://ia601507.us.archive.org/24/items/MSpics/MSpics.pdf#page=5</v>
      </c>
      <c r="O559" s="27" t="str">
        <f t="shared" si="29"/>
        <v>https://babel.hathitrust.org/cgi/pt?id=uiug.30112051004916;view=1up;seq=96</v>
      </c>
      <c r="Q559" s="27" t="str">
        <f t="shared" si="30"/>
        <v>https://ia601507.us.archive.org/24/items/MSpics/MSpics.pdf#page=5</v>
      </c>
      <c r="R559" s="27" t="str">
        <f t="shared" si="31"/>
        <v>https://babel.hathitrust.org/cgi/pt?id=uiug.30112051004916;view=1up;seq=90</v>
      </c>
      <c r="S559" s="27" t="str">
        <f t="shared" si="32"/>
        <v>https://babel.hathitrust.org/cgi/pt?id=uiug.30112051004916;view=1up;seq=219</v>
      </c>
      <c r="T559" s="27" t="str">
        <f t="shared" si="26"/>
        <v>https://babel.hathitrust.org/cgi/pt?id=uiug.30112051004916;view=1up;seq=90</v>
      </c>
      <c r="U559" s="27" t="str">
        <f>'MS post'!X60</f>
        <v>https://ia601502.us.archive.org/10/items/MS-school-property-value-1935-7/1936%20%26%201937%2c%20selected%20pages.pdf</v>
      </c>
    </row>
    <row r="560" spans="1:21" x14ac:dyDescent="0.25">
      <c r="A560" s="27" t="s">
        <v>1109</v>
      </c>
      <c r="B560" s="27" t="str">
        <f t="shared" si="33"/>
        <v>Mississippi</v>
      </c>
      <c r="C560" s="27" t="str">
        <f t="shared" si="34"/>
        <v>Quitman</v>
      </c>
      <c r="D560" s="27">
        <v>3878</v>
      </c>
      <c r="E560" s="27">
        <v>58</v>
      </c>
      <c r="F560" s="26">
        <f>'MS post'!G61</f>
        <v>296.96176648517843</v>
      </c>
      <c r="G560" s="27">
        <v>6501</v>
      </c>
      <c r="H560" s="27">
        <v>57</v>
      </c>
      <c r="I560" s="2">
        <f>2557.5+49087.78+5087.7+27+2314.33+5576.85+3018.72</f>
        <v>67669.87999999999</v>
      </c>
      <c r="J560" s="27">
        <v>64</v>
      </c>
      <c r="K560" s="29">
        <f>'MS post'!N61</f>
        <v>347080</v>
      </c>
      <c r="L560" s="41">
        <v>1926</v>
      </c>
      <c r="M560" s="27" t="str">
        <f t="shared" si="27"/>
        <v>https://ia601507.us.archive.org/24/items/MSpics/MSpics.pdf</v>
      </c>
      <c r="N560" s="27" t="str">
        <f t="shared" si="28"/>
        <v>https://ia601507.us.archive.org/24/items/MSpics/MSpics.pdf#page=5</v>
      </c>
      <c r="O560" s="27" t="str">
        <f t="shared" si="29"/>
        <v>https://babel.hathitrust.org/cgi/pt?id=uiug.30112051004916;view=1up;seq=96</v>
      </c>
      <c r="Q560" s="27" t="str">
        <f t="shared" si="30"/>
        <v>https://ia601507.us.archive.org/24/items/MSpics/MSpics.pdf#page=5</v>
      </c>
      <c r="R560" s="27" t="str">
        <f t="shared" si="31"/>
        <v>https://babel.hathitrust.org/cgi/pt?id=uiug.30112051004916;view=1up;seq=90</v>
      </c>
      <c r="S560" s="27" t="str">
        <f t="shared" si="32"/>
        <v>https://babel.hathitrust.org/cgi/pt?id=uiug.30112051004916;view=1up;seq=219</v>
      </c>
      <c r="T560" s="27" t="str">
        <f t="shared" si="26"/>
        <v>https://babel.hathitrust.org/cgi/pt?id=uiug.30112051004916;view=1up;seq=90</v>
      </c>
      <c r="U560" s="27" t="str">
        <f>'MS post'!X61</f>
        <v>https://ia601502.us.archive.org/10/items/MS-school-property-value-1935-7/1936%20%26%201937%2c%20selected%20pages.pdf</v>
      </c>
    </row>
    <row r="561" spans="1:21" x14ac:dyDescent="0.25">
      <c r="A561" s="27" t="s">
        <v>1110</v>
      </c>
      <c r="B561" s="27" t="str">
        <f t="shared" si="33"/>
        <v>Mississippi</v>
      </c>
      <c r="C561" s="27" t="str">
        <f t="shared" si="34"/>
        <v>Rankin</v>
      </c>
      <c r="D561" s="27">
        <v>4766</v>
      </c>
      <c r="E561" s="27">
        <v>157</v>
      </c>
      <c r="F561" s="26">
        <f>'MS post'!G62</f>
        <v>149.6392485688946</v>
      </c>
      <c r="G561" s="27">
        <v>6577</v>
      </c>
      <c r="H561" s="27">
        <v>39.5</v>
      </c>
      <c r="I561" s="2">
        <v>59529.2</v>
      </c>
      <c r="J561" s="27">
        <v>100</v>
      </c>
      <c r="K561" s="29">
        <f>'MS post'!N62</f>
        <v>225026</v>
      </c>
      <c r="L561" s="41">
        <v>1926</v>
      </c>
      <c r="M561" s="27" t="str">
        <f t="shared" si="27"/>
        <v>https://ia601507.us.archive.org/24/items/MSpics/MSpics.pdf</v>
      </c>
      <c r="N561" s="27" t="str">
        <f t="shared" si="28"/>
        <v>https://ia601507.us.archive.org/24/items/MSpics/MSpics.pdf#page=5</v>
      </c>
      <c r="O561" s="27" t="str">
        <f t="shared" si="29"/>
        <v>https://babel.hathitrust.org/cgi/pt?id=uiug.30112051004916;view=1up;seq=96</v>
      </c>
      <c r="Q561" s="27" t="str">
        <f t="shared" si="30"/>
        <v>https://ia601507.us.archive.org/24/items/MSpics/MSpics.pdf#page=5</v>
      </c>
      <c r="R561" s="27" t="str">
        <f t="shared" si="31"/>
        <v>https://babel.hathitrust.org/cgi/pt?id=uiug.30112051004916;view=1up;seq=90</v>
      </c>
      <c r="S561" s="27" t="str">
        <f t="shared" si="32"/>
        <v>https://babel.hathitrust.org/cgi/pt?id=uiug.30112051004916;view=1up;seq=219</v>
      </c>
      <c r="T561" s="27" t="str">
        <f t="shared" si="26"/>
        <v>https://babel.hathitrust.org/cgi/pt?id=uiug.30112051004916;view=1up;seq=90</v>
      </c>
      <c r="U561" s="27" t="str">
        <f>'MS post'!X62</f>
        <v>https://ia601502.us.archive.org/10/items/MS-school-property-value-1935-7/1936%20%26%201937%2c%20selected%20pages.pdf</v>
      </c>
    </row>
    <row r="562" spans="1:21" x14ac:dyDescent="0.25">
      <c r="A562" s="27" t="s">
        <v>1111</v>
      </c>
      <c r="B562" s="27" t="str">
        <f t="shared" si="33"/>
        <v>Mississippi</v>
      </c>
      <c r="C562" s="27" t="str">
        <f t="shared" si="34"/>
        <v>Scott</v>
      </c>
      <c r="D562" s="27">
        <v>6075</v>
      </c>
      <c r="E562" s="27">
        <v>119</v>
      </c>
      <c r="F562" s="26">
        <f>'MS post'!G63</f>
        <v>181.817103311913</v>
      </c>
      <c r="G562" s="27">
        <v>7168</v>
      </c>
      <c r="H562" s="27">
        <v>42.5</v>
      </c>
      <c r="I562" s="2">
        <v>59704.88</v>
      </c>
      <c r="J562" s="27">
        <v>76</v>
      </c>
      <c r="K562" s="29">
        <f>'MS post'!N63</f>
        <v>348240</v>
      </c>
      <c r="L562" s="41">
        <v>1926</v>
      </c>
      <c r="M562" s="27" t="str">
        <f t="shared" si="27"/>
        <v>https://ia601507.us.archive.org/24/items/MSpics/MSpics.pdf</v>
      </c>
      <c r="N562" s="27" t="str">
        <f t="shared" si="28"/>
        <v>https://ia601507.us.archive.org/24/items/MSpics/MSpics.pdf#page=5</v>
      </c>
      <c r="O562" s="27" t="str">
        <f t="shared" si="29"/>
        <v>https://babel.hathitrust.org/cgi/pt?id=uiug.30112051004916;view=1up;seq=96</v>
      </c>
      <c r="Q562" s="27" t="str">
        <f t="shared" si="30"/>
        <v>https://ia601507.us.archive.org/24/items/MSpics/MSpics.pdf#page=5</v>
      </c>
      <c r="R562" s="27" t="str">
        <f t="shared" si="31"/>
        <v>https://babel.hathitrust.org/cgi/pt?id=uiug.30112051004916;view=1up;seq=90</v>
      </c>
      <c r="S562" s="27" t="str">
        <f t="shared" si="32"/>
        <v>https://babel.hathitrust.org/cgi/pt?id=uiug.30112051004916;view=1up;seq=219</v>
      </c>
      <c r="T562" s="27" t="str">
        <f t="shared" si="26"/>
        <v>https://babel.hathitrust.org/cgi/pt?id=uiug.30112051004916;view=1up;seq=90</v>
      </c>
      <c r="U562" s="27" t="str">
        <f>'MS post'!X63</f>
        <v>https://ia601502.us.archive.org/10/items/MS-school-property-value-1935-7/1936%20%26%201937%2c%20selected%20pages.pdf</v>
      </c>
    </row>
    <row r="563" spans="1:21" x14ac:dyDescent="0.25">
      <c r="A563" s="27" t="s">
        <v>1112</v>
      </c>
      <c r="B563" s="27" t="str">
        <f t="shared" si="33"/>
        <v>Mississippi</v>
      </c>
      <c r="C563" s="27" t="str">
        <f t="shared" si="34"/>
        <v>Sharkey</v>
      </c>
      <c r="D563" s="27">
        <v>2265</v>
      </c>
      <c r="E563" s="27">
        <v>54</v>
      </c>
      <c r="F563" s="26">
        <f>'MS post'!G64</f>
        <v>177.05968284140309</v>
      </c>
      <c r="G563" s="27">
        <v>3454</v>
      </c>
      <c r="H563" s="27">
        <v>63.13</v>
      </c>
      <c r="I563" s="2">
        <f>2000+30180+300+6585+24+4060+3696.73+900</f>
        <v>47745.73</v>
      </c>
      <c r="J563" s="27">
        <v>42</v>
      </c>
      <c r="K563" s="29">
        <f>'MS post'!N64</f>
        <v>494100</v>
      </c>
      <c r="L563" s="41">
        <v>1926</v>
      </c>
      <c r="M563" s="27" t="str">
        <f t="shared" si="27"/>
        <v>https://ia601507.us.archive.org/24/items/MSpics/MSpics.pdf</v>
      </c>
      <c r="N563" s="27" t="str">
        <f t="shared" si="28"/>
        <v>https://ia601507.us.archive.org/24/items/MSpics/MSpics.pdf#page=5</v>
      </c>
      <c r="O563" s="27" t="str">
        <f t="shared" si="29"/>
        <v>https://babel.hathitrust.org/cgi/pt?id=uiug.30112051004916;view=1up;seq=96</v>
      </c>
      <c r="Q563" s="27" t="str">
        <f t="shared" si="30"/>
        <v>https://ia601507.us.archive.org/24/items/MSpics/MSpics.pdf#page=5</v>
      </c>
      <c r="R563" s="27" t="str">
        <f t="shared" si="31"/>
        <v>https://babel.hathitrust.org/cgi/pt?id=uiug.30112051004916;view=1up;seq=90</v>
      </c>
      <c r="S563" s="27" t="str">
        <f t="shared" si="32"/>
        <v>https://babel.hathitrust.org/cgi/pt?id=uiug.30112051004916;view=1up;seq=219</v>
      </c>
      <c r="T563" s="27" t="str">
        <f t="shared" si="26"/>
        <v>https://babel.hathitrust.org/cgi/pt?id=uiug.30112051004916;view=1up;seq=90</v>
      </c>
      <c r="U563" s="27" t="str">
        <f>'MS post'!X64</f>
        <v>https://ia601502.us.archive.org/10/items/MS-school-property-value-1935-7/1936%20%26%201937%2c%20selected%20pages.pdf</v>
      </c>
    </row>
    <row r="564" spans="1:21" x14ac:dyDescent="0.25">
      <c r="A564" s="27" t="s">
        <v>1113</v>
      </c>
      <c r="B564" s="27" t="str">
        <f t="shared" si="33"/>
        <v>Mississippi</v>
      </c>
      <c r="C564" s="27" t="str">
        <f t="shared" si="34"/>
        <v>Simpson</v>
      </c>
      <c r="D564" s="27">
        <v>7279</v>
      </c>
      <c r="E564" s="27">
        <f>170+70</f>
        <v>240</v>
      </c>
      <c r="F564" s="26">
        <f>'MS post'!G65</f>
        <v>177.83937122631687</v>
      </c>
      <c r="G564" s="27">
        <v>7849</v>
      </c>
      <c r="H564" s="27">
        <v>32.020000000000003</v>
      </c>
      <c r="I564" s="2">
        <v>74579.5</v>
      </c>
      <c r="J564" s="27">
        <v>110</v>
      </c>
      <c r="K564" s="29">
        <f>'MS post'!N65</f>
        <v>290275</v>
      </c>
      <c r="L564" s="41">
        <v>1926</v>
      </c>
      <c r="M564" s="27" t="str">
        <f t="shared" si="27"/>
        <v>https://ia601507.us.archive.org/24/items/MSpics/MSpics.pdf</v>
      </c>
      <c r="N564" s="27" t="str">
        <f t="shared" si="28"/>
        <v>https://ia601507.us.archive.org/24/items/MSpics/MSpics.pdf#page=5</v>
      </c>
      <c r="O564" s="27" t="str">
        <f t="shared" si="29"/>
        <v>https://babel.hathitrust.org/cgi/pt?id=uiug.30112051004916;view=1up;seq=96</v>
      </c>
      <c r="Q564" s="27" t="str">
        <f t="shared" si="30"/>
        <v>https://ia601507.us.archive.org/24/items/MSpics/MSpics.pdf#page=5</v>
      </c>
      <c r="R564" s="27" t="str">
        <f t="shared" si="31"/>
        <v>https://babel.hathitrust.org/cgi/pt?id=uiug.30112051004916;view=1up;seq=90</v>
      </c>
      <c r="S564" s="27" t="str">
        <f t="shared" si="32"/>
        <v>https://babel.hathitrust.org/cgi/pt?id=uiug.30112051004916;view=1up;seq=219</v>
      </c>
      <c r="T564" s="27" t="str">
        <f t="shared" si="26"/>
        <v>https://babel.hathitrust.org/cgi/pt?id=uiug.30112051004916;view=1up;seq=90</v>
      </c>
      <c r="U564" s="27" t="str">
        <f>'MS post'!X65</f>
        <v>https://ia601502.us.archive.org/10/items/MS-school-property-value-1935-7/1936%20%26%201937%2c%20selected%20pages.pdf</v>
      </c>
    </row>
    <row r="565" spans="1:21" x14ac:dyDescent="0.25">
      <c r="A565" s="27" t="s">
        <v>1114</v>
      </c>
      <c r="B565" s="27" t="str">
        <f t="shared" si="33"/>
        <v>Mississippi</v>
      </c>
      <c r="C565" s="27" t="str">
        <f t="shared" si="34"/>
        <v>Smith</v>
      </c>
      <c r="D565" s="27">
        <v>4243</v>
      </c>
      <c r="E565" s="27">
        <v>157</v>
      </c>
      <c r="F565" s="26">
        <f>'MS post'!G66</f>
        <v>159.47574718275357</v>
      </c>
      <c r="G565" s="27">
        <v>3965</v>
      </c>
      <c r="H565" s="27">
        <v>52</v>
      </c>
      <c r="I565" s="2">
        <v>97502.5</v>
      </c>
      <c r="J565" s="27">
        <v>77</v>
      </c>
      <c r="K565" s="29">
        <f>'MS post'!N66</f>
        <v>246620</v>
      </c>
      <c r="L565" s="41">
        <v>1926</v>
      </c>
      <c r="M565" s="27" t="str">
        <f t="shared" si="27"/>
        <v>https://ia601507.us.archive.org/24/items/MSpics/MSpics.pdf</v>
      </c>
      <c r="N565" s="27" t="str">
        <f t="shared" si="28"/>
        <v>https://ia601507.us.archive.org/24/items/MSpics/MSpics.pdf#page=5</v>
      </c>
      <c r="O565" s="27" t="str">
        <f t="shared" si="29"/>
        <v>https://babel.hathitrust.org/cgi/pt?id=uiug.30112051004916;view=1up;seq=96</v>
      </c>
      <c r="Q565" s="27" t="str">
        <f t="shared" si="30"/>
        <v>https://ia601507.us.archive.org/24/items/MSpics/MSpics.pdf#page=5</v>
      </c>
      <c r="R565" s="27" t="str">
        <f t="shared" si="31"/>
        <v>https://babel.hathitrust.org/cgi/pt?id=uiug.30112051004916;view=1up;seq=90</v>
      </c>
      <c r="S565" s="27" t="str">
        <f t="shared" si="32"/>
        <v>https://babel.hathitrust.org/cgi/pt?id=uiug.30112051004916;view=1up;seq=219</v>
      </c>
      <c r="T565" s="27" t="str">
        <f t="shared" si="26"/>
        <v>https://babel.hathitrust.org/cgi/pt?id=uiug.30112051004916;view=1up;seq=90</v>
      </c>
      <c r="U565" s="27" t="str">
        <f>'MS post'!X66</f>
        <v>https://ia601502.us.archive.org/10/items/MS-school-property-value-1935-7/1936%20%26%201937%2c%20selected%20pages.pdf</v>
      </c>
    </row>
    <row r="566" spans="1:21" x14ac:dyDescent="0.25">
      <c r="A566" s="27" t="s">
        <v>1115</v>
      </c>
      <c r="B566" s="27" t="str">
        <f t="shared" si="33"/>
        <v>Mississippi</v>
      </c>
      <c r="C566" s="27" t="str">
        <f t="shared" si="34"/>
        <v>Stone</v>
      </c>
      <c r="D566" s="27">
        <v>1495</v>
      </c>
      <c r="E566" s="27">
        <f>12+46</f>
        <v>58</v>
      </c>
      <c r="F566" s="26">
        <f>'MS post'!G67</f>
        <v>192.3471149281429</v>
      </c>
      <c r="G566" s="27">
        <v>2193</v>
      </c>
      <c r="H566" s="27">
        <v>63.92</v>
      </c>
      <c r="I566" s="2">
        <v>59094</v>
      </c>
      <c r="J566" s="27">
        <v>25</v>
      </c>
      <c r="K566" s="29">
        <f>'MS post'!N67</f>
        <v>362525</v>
      </c>
      <c r="L566" s="41">
        <v>1926</v>
      </c>
      <c r="M566" s="27" t="str">
        <f t="shared" si="27"/>
        <v>https://ia601507.us.archive.org/24/items/MSpics/MSpics.pdf</v>
      </c>
      <c r="N566" s="27" t="str">
        <f t="shared" si="28"/>
        <v>https://ia601507.us.archive.org/24/items/MSpics/MSpics.pdf#page=5</v>
      </c>
      <c r="O566" s="27" t="str">
        <f t="shared" si="29"/>
        <v>https://babel.hathitrust.org/cgi/pt?id=uiug.30112051004916;view=1up;seq=96</v>
      </c>
      <c r="Q566" s="27" t="str">
        <f t="shared" si="30"/>
        <v>https://ia601507.us.archive.org/24/items/MSpics/MSpics.pdf#page=5</v>
      </c>
      <c r="R566" s="27" t="str">
        <f t="shared" si="31"/>
        <v>https://babel.hathitrust.org/cgi/pt?id=uiug.30112051004916;view=1up;seq=90</v>
      </c>
      <c r="S566" s="27" t="str">
        <f t="shared" si="32"/>
        <v>https://babel.hathitrust.org/cgi/pt?id=uiug.30112051004916;view=1up;seq=219</v>
      </c>
      <c r="T566" s="27" t="str">
        <f t="shared" ref="T566:T582" si="35">R566</f>
        <v>https://babel.hathitrust.org/cgi/pt?id=uiug.30112051004916;view=1up;seq=90</v>
      </c>
      <c r="U566" s="27" t="str">
        <f>'MS post'!X67</f>
        <v>https://ia601502.us.archive.org/10/items/MS-school-property-value-1935-7/1936%20%26%201937%2c%20selected%20pages.pdf</v>
      </c>
    </row>
    <row r="567" spans="1:21" x14ac:dyDescent="0.25">
      <c r="A567" s="27" t="s">
        <v>1116</v>
      </c>
      <c r="B567" s="27" t="str">
        <f t="shared" si="33"/>
        <v>Mississippi</v>
      </c>
      <c r="C567" s="27" t="str">
        <f t="shared" si="34"/>
        <v>Sunflower</v>
      </c>
      <c r="D567" s="27">
        <v>10192</v>
      </c>
      <c r="E567" s="27">
        <v>164</v>
      </c>
      <c r="F567" s="26">
        <f>'MS post'!G68</f>
        <v>166.88061617458283</v>
      </c>
      <c r="G567" s="27">
        <v>15424</v>
      </c>
      <c r="H567" s="27">
        <v>57</v>
      </c>
      <c r="I567" s="2">
        <v>32766.560000000001</v>
      </c>
      <c r="J567" s="27">
        <v>121</v>
      </c>
      <c r="K567" s="29">
        <f>'MS post'!N68</f>
        <v>1245355</v>
      </c>
      <c r="L567" s="41">
        <v>1926</v>
      </c>
      <c r="M567" s="27" t="str">
        <f t="shared" ref="M567:M582" si="36">M566</f>
        <v>https://ia601507.us.archive.org/24/items/MSpics/MSpics.pdf</v>
      </c>
      <c r="N567" s="27" t="str">
        <f t="shared" ref="N567:N582" si="37">N566</f>
        <v>https://ia601507.us.archive.org/24/items/MSpics/MSpics.pdf#page=5</v>
      </c>
      <c r="O567" s="27" t="str">
        <f t="shared" ref="O567:O582" si="38">O566</f>
        <v>https://babel.hathitrust.org/cgi/pt?id=uiug.30112051004916;view=1up;seq=96</v>
      </c>
      <c r="Q567" s="27" t="str">
        <f t="shared" ref="Q567:Q582" si="39">Q566</f>
        <v>https://ia601507.us.archive.org/24/items/MSpics/MSpics.pdf#page=5</v>
      </c>
      <c r="R567" s="27" t="str">
        <f t="shared" ref="R567:R582" si="40">R566</f>
        <v>https://babel.hathitrust.org/cgi/pt?id=uiug.30112051004916;view=1up;seq=90</v>
      </c>
      <c r="S567" s="27" t="str">
        <f t="shared" ref="S567:S582" si="41">S566</f>
        <v>https://babel.hathitrust.org/cgi/pt?id=uiug.30112051004916;view=1up;seq=219</v>
      </c>
      <c r="T567" s="27" t="str">
        <f t="shared" si="35"/>
        <v>https://babel.hathitrust.org/cgi/pt?id=uiug.30112051004916;view=1up;seq=90</v>
      </c>
      <c r="U567" s="27" t="str">
        <f>'MS post'!X68</f>
        <v>https://ia601502.us.archive.org/10/items/MS-school-property-value-1935-7/1936%20%26%201937%2c%20selected%20pages.pdf</v>
      </c>
    </row>
    <row r="568" spans="1:21" x14ac:dyDescent="0.25">
      <c r="A568" s="27" t="s">
        <v>1117</v>
      </c>
      <c r="B568" s="27" t="str">
        <f t="shared" si="33"/>
        <v>Mississippi</v>
      </c>
      <c r="C568" s="27" t="str">
        <f t="shared" si="34"/>
        <v>Tallahatchie</v>
      </c>
      <c r="D568" s="27">
        <v>6964</v>
      </c>
      <c r="E568" s="27">
        <v>145</v>
      </c>
      <c r="F568" s="26">
        <f>'MS post'!G69</f>
        <v>166.06106568708776</v>
      </c>
      <c r="G568" s="27">
        <v>9573</v>
      </c>
      <c r="H568" s="27">
        <v>43.65</v>
      </c>
      <c r="I568" s="2">
        <v>78436.84</v>
      </c>
      <c r="J568" s="27">
        <v>134</v>
      </c>
      <c r="K568" s="29">
        <f>'MS post'!N69</f>
        <v>486654</v>
      </c>
      <c r="L568" s="41">
        <v>1926</v>
      </c>
      <c r="M568" s="27" t="str">
        <f t="shared" si="36"/>
        <v>https://ia601507.us.archive.org/24/items/MSpics/MSpics.pdf</v>
      </c>
      <c r="N568" s="27" t="str">
        <f t="shared" si="37"/>
        <v>https://ia601507.us.archive.org/24/items/MSpics/MSpics.pdf#page=5</v>
      </c>
      <c r="O568" s="27" t="str">
        <f t="shared" si="38"/>
        <v>https://babel.hathitrust.org/cgi/pt?id=uiug.30112051004916;view=1up;seq=96</v>
      </c>
      <c r="Q568" s="27" t="str">
        <f t="shared" si="39"/>
        <v>https://ia601507.us.archive.org/24/items/MSpics/MSpics.pdf#page=5</v>
      </c>
      <c r="R568" s="27" t="str">
        <f t="shared" si="40"/>
        <v>https://babel.hathitrust.org/cgi/pt?id=uiug.30112051004916;view=1up;seq=90</v>
      </c>
      <c r="S568" s="27" t="str">
        <f t="shared" si="41"/>
        <v>https://babel.hathitrust.org/cgi/pt?id=uiug.30112051004916;view=1up;seq=219</v>
      </c>
      <c r="T568" s="27" t="str">
        <f t="shared" si="35"/>
        <v>https://babel.hathitrust.org/cgi/pt?id=uiug.30112051004916;view=1up;seq=90</v>
      </c>
      <c r="U568" s="27" t="str">
        <f>'MS post'!X69</f>
        <v>https://ia601502.us.archive.org/10/items/MS-school-property-value-1935-7/1936%20%26%201937%2c%20selected%20pages.pdf</v>
      </c>
    </row>
    <row r="569" spans="1:21" x14ac:dyDescent="0.25">
      <c r="A569" s="27" t="s">
        <v>1118</v>
      </c>
      <c r="B569" s="27" t="str">
        <f t="shared" si="33"/>
        <v>Mississippi</v>
      </c>
      <c r="C569" s="27" t="str">
        <f t="shared" si="34"/>
        <v>Tate</v>
      </c>
      <c r="D569" s="27">
        <v>3242</v>
      </c>
      <c r="E569" s="27">
        <v>121</v>
      </c>
      <c r="F569" s="26">
        <f>'MS post'!G70</f>
        <v>0</v>
      </c>
      <c r="G569" s="27">
        <v>4806</v>
      </c>
      <c r="H569" s="27">
        <v>51.37</v>
      </c>
      <c r="I569" s="2" t="s">
        <v>2126</v>
      </c>
      <c r="J569" s="27">
        <v>68</v>
      </c>
      <c r="K569" s="29">
        <f>'MS post'!N70</f>
        <v>425965</v>
      </c>
      <c r="L569" s="41">
        <v>1926</v>
      </c>
      <c r="M569" s="27" t="str">
        <f t="shared" si="36"/>
        <v>https://ia601507.us.archive.org/24/items/MSpics/MSpics.pdf</v>
      </c>
      <c r="N569" s="27" t="str">
        <f t="shared" si="37"/>
        <v>https://ia601507.us.archive.org/24/items/MSpics/MSpics.pdf#page=5</v>
      </c>
      <c r="O569" s="27" t="str">
        <f t="shared" si="38"/>
        <v>https://babel.hathitrust.org/cgi/pt?id=uiug.30112051004916;view=1up;seq=96</v>
      </c>
      <c r="Q569" s="27" t="str">
        <f t="shared" si="39"/>
        <v>https://ia601507.us.archive.org/24/items/MSpics/MSpics.pdf#page=5</v>
      </c>
      <c r="R569" s="27" t="str">
        <f t="shared" si="40"/>
        <v>https://babel.hathitrust.org/cgi/pt?id=uiug.30112051004916;view=1up;seq=90</v>
      </c>
      <c r="S569" s="27" t="str">
        <f t="shared" si="41"/>
        <v>https://babel.hathitrust.org/cgi/pt?id=uiug.30112051004916;view=1up;seq=219</v>
      </c>
      <c r="T569" s="27" t="str">
        <f t="shared" si="35"/>
        <v>https://babel.hathitrust.org/cgi/pt?id=uiug.30112051004916;view=1up;seq=90</v>
      </c>
      <c r="U569" s="27" t="str">
        <f>'MS post'!X70</f>
        <v>https://ia601502.us.archive.org/10/items/MS-school-property-value-1935-7/1936%20%26%201937%2c%20selected%20pages.pdf</v>
      </c>
    </row>
    <row r="570" spans="1:21" x14ac:dyDescent="0.25">
      <c r="A570" s="27" t="s">
        <v>1119</v>
      </c>
      <c r="B570" s="27" t="str">
        <f t="shared" si="33"/>
        <v>Mississippi</v>
      </c>
      <c r="C570" s="27" t="str">
        <f t="shared" si="34"/>
        <v>Tippah</v>
      </c>
      <c r="D570" s="27">
        <v>3364</v>
      </c>
      <c r="E570" s="27">
        <v>133</v>
      </c>
      <c r="F570" s="26">
        <f>'MS post'!G71</f>
        <v>149.43821818697688</v>
      </c>
      <c r="G570" s="27">
        <v>5601</v>
      </c>
      <c r="H570" s="27">
        <v>42.4</v>
      </c>
      <c r="I570" s="2">
        <v>52819.9</v>
      </c>
      <c r="J570" s="27">
        <v>92</v>
      </c>
      <c r="K570" s="29">
        <f>'MS post'!N71</f>
        <v>191370</v>
      </c>
      <c r="L570" s="41">
        <v>1926</v>
      </c>
      <c r="M570" s="27" t="str">
        <f t="shared" si="36"/>
        <v>https://ia601507.us.archive.org/24/items/MSpics/MSpics.pdf</v>
      </c>
      <c r="N570" s="27" t="str">
        <f t="shared" si="37"/>
        <v>https://ia601507.us.archive.org/24/items/MSpics/MSpics.pdf#page=5</v>
      </c>
      <c r="O570" s="27" t="str">
        <f t="shared" si="38"/>
        <v>https://babel.hathitrust.org/cgi/pt?id=uiug.30112051004916;view=1up;seq=96</v>
      </c>
      <c r="Q570" s="27" t="str">
        <f t="shared" si="39"/>
        <v>https://ia601507.us.archive.org/24/items/MSpics/MSpics.pdf#page=5</v>
      </c>
      <c r="R570" s="27" t="str">
        <f t="shared" si="40"/>
        <v>https://babel.hathitrust.org/cgi/pt?id=uiug.30112051004916;view=1up;seq=90</v>
      </c>
      <c r="S570" s="27" t="str">
        <f t="shared" si="41"/>
        <v>https://babel.hathitrust.org/cgi/pt?id=uiug.30112051004916;view=1up;seq=219</v>
      </c>
      <c r="T570" s="27" t="str">
        <f t="shared" si="35"/>
        <v>https://babel.hathitrust.org/cgi/pt?id=uiug.30112051004916;view=1up;seq=90</v>
      </c>
      <c r="U570" s="27" t="str">
        <f>'MS post'!X71</f>
        <v>https://ia601502.us.archive.org/10/items/MS-school-property-value-1935-7/1936%20%26%201937%2c%20selected%20pages.pdf</v>
      </c>
    </row>
    <row r="571" spans="1:21" x14ac:dyDescent="0.25">
      <c r="A571" s="27" t="s">
        <v>1120</v>
      </c>
      <c r="B571" s="27" t="str">
        <f t="shared" si="33"/>
        <v>Mississippi</v>
      </c>
      <c r="C571" s="27" t="str">
        <f t="shared" si="34"/>
        <v>Tishomingo</v>
      </c>
      <c r="D571" s="27">
        <v>3692</v>
      </c>
      <c r="E571" s="27">
        <v>53</v>
      </c>
      <c r="F571" s="26">
        <f>'MS post'!G72</f>
        <v>201.81395418431015</v>
      </c>
      <c r="G571" s="27">
        <v>5041</v>
      </c>
      <c r="H571" s="27">
        <v>63.05</v>
      </c>
      <c r="I571" s="2">
        <v>35308.51</v>
      </c>
      <c r="J571" s="27">
        <v>67</v>
      </c>
      <c r="K571" s="29">
        <f>'MS post'!N72</f>
        <v>233025</v>
      </c>
      <c r="L571" s="41">
        <v>1926</v>
      </c>
      <c r="M571" s="27" t="str">
        <f t="shared" si="36"/>
        <v>https://ia601507.us.archive.org/24/items/MSpics/MSpics.pdf</v>
      </c>
      <c r="N571" s="27" t="str">
        <f t="shared" si="37"/>
        <v>https://ia601507.us.archive.org/24/items/MSpics/MSpics.pdf#page=5</v>
      </c>
      <c r="O571" s="27" t="str">
        <f t="shared" si="38"/>
        <v>https://babel.hathitrust.org/cgi/pt?id=uiug.30112051004916;view=1up;seq=96</v>
      </c>
      <c r="Q571" s="27" t="str">
        <f t="shared" si="39"/>
        <v>https://ia601507.us.archive.org/24/items/MSpics/MSpics.pdf#page=5</v>
      </c>
      <c r="R571" s="27" t="str">
        <f t="shared" si="40"/>
        <v>https://babel.hathitrust.org/cgi/pt?id=uiug.30112051004916;view=1up;seq=90</v>
      </c>
      <c r="S571" s="27" t="str">
        <f t="shared" si="41"/>
        <v>https://babel.hathitrust.org/cgi/pt?id=uiug.30112051004916;view=1up;seq=219</v>
      </c>
      <c r="T571" s="27" t="str">
        <f t="shared" si="35"/>
        <v>https://babel.hathitrust.org/cgi/pt?id=uiug.30112051004916;view=1up;seq=90</v>
      </c>
      <c r="U571" s="27" t="str">
        <f>'MS post'!X72</f>
        <v>https://ia601502.us.archive.org/10/items/MS-school-property-value-1935-7/1936%20%26%201937%2c%20selected%20pages.pdf</v>
      </c>
    </row>
    <row r="572" spans="1:21" x14ac:dyDescent="0.25">
      <c r="A572" s="27" t="s">
        <v>1121</v>
      </c>
      <c r="B572" s="27" t="str">
        <f t="shared" si="33"/>
        <v>Mississippi</v>
      </c>
      <c r="C572" s="27" t="str">
        <f t="shared" si="34"/>
        <v>Tunica</v>
      </c>
      <c r="D572" s="27">
        <v>3383</v>
      </c>
      <c r="E572" s="27">
        <v>81</v>
      </c>
      <c r="F572" s="26">
        <f>'MS post'!G73</f>
        <v>150.54342262926232</v>
      </c>
      <c r="G572" s="27">
        <v>4843</v>
      </c>
      <c r="H572" s="27">
        <v>61.51</v>
      </c>
      <c r="I572" s="2">
        <v>44704.59</v>
      </c>
      <c r="J572" s="27">
        <v>72</v>
      </c>
      <c r="K572" s="29">
        <f>'MS post'!N73</f>
        <v>203050</v>
      </c>
      <c r="L572" s="41">
        <v>1926</v>
      </c>
      <c r="M572" s="27" t="str">
        <f t="shared" si="36"/>
        <v>https://ia601507.us.archive.org/24/items/MSpics/MSpics.pdf</v>
      </c>
      <c r="N572" s="27" t="str">
        <f t="shared" si="37"/>
        <v>https://ia601507.us.archive.org/24/items/MSpics/MSpics.pdf#page=5</v>
      </c>
      <c r="O572" s="27" t="str">
        <f t="shared" si="38"/>
        <v>https://babel.hathitrust.org/cgi/pt?id=uiug.30112051004916;view=1up;seq=96</v>
      </c>
      <c r="Q572" s="27" t="str">
        <f t="shared" si="39"/>
        <v>https://ia601507.us.archive.org/24/items/MSpics/MSpics.pdf#page=5</v>
      </c>
      <c r="R572" s="27" t="str">
        <f t="shared" si="40"/>
        <v>https://babel.hathitrust.org/cgi/pt?id=uiug.30112051004916;view=1up;seq=90</v>
      </c>
      <c r="S572" s="27" t="str">
        <f t="shared" si="41"/>
        <v>https://babel.hathitrust.org/cgi/pt?id=uiug.30112051004916;view=1up;seq=219</v>
      </c>
      <c r="T572" s="27" t="str">
        <f t="shared" si="35"/>
        <v>https://babel.hathitrust.org/cgi/pt?id=uiug.30112051004916;view=1up;seq=90</v>
      </c>
      <c r="U572" s="27" t="str">
        <f>'MS post'!X73</f>
        <v>https://ia601502.us.archive.org/10/items/MS-school-property-value-1935-7/1936%20%26%201937%2c%20selected%20pages.pdf</v>
      </c>
    </row>
    <row r="573" spans="1:21" x14ac:dyDescent="0.25">
      <c r="A573" s="27" t="s">
        <v>1122</v>
      </c>
      <c r="B573" s="27" t="str">
        <f t="shared" si="33"/>
        <v>Mississippi</v>
      </c>
      <c r="C573" s="27" t="str">
        <f t="shared" si="34"/>
        <v>Union</v>
      </c>
      <c r="D573" s="27">
        <v>4243</v>
      </c>
      <c r="E573" s="27">
        <v>154</v>
      </c>
      <c r="F573" s="26">
        <f>'MS post'!G74</f>
        <v>126.14395604395604</v>
      </c>
      <c r="G573" s="27">
        <v>6618</v>
      </c>
      <c r="H573" s="27">
        <v>52</v>
      </c>
      <c r="I573" s="2">
        <v>56294.07</v>
      </c>
      <c r="J573" s="27">
        <v>86</v>
      </c>
      <c r="K573" s="29">
        <f>'MS post'!N74</f>
        <v>234125</v>
      </c>
      <c r="L573" s="41">
        <v>1926</v>
      </c>
      <c r="M573" s="27" t="str">
        <f t="shared" si="36"/>
        <v>https://ia601507.us.archive.org/24/items/MSpics/MSpics.pdf</v>
      </c>
      <c r="N573" s="27" t="str">
        <f t="shared" si="37"/>
        <v>https://ia601507.us.archive.org/24/items/MSpics/MSpics.pdf#page=5</v>
      </c>
      <c r="O573" s="27" t="str">
        <f t="shared" si="38"/>
        <v>https://babel.hathitrust.org/cgi/pt?id=uiug.30112051004916;view=1up;seq=96</v>
      </c>
      <c r="Q573" s="27" t="str">
        <f t="shared" si="39"/>
        <v>https://ia601507.us.archive.org/24/items/MSpics/MSpics.pdf#page=5</v>
      </c>
      <c r="R573" s="27" t="str">
        <f t="shared" si="40"/>
        <v>https://babel.hathitrust.org/cgi/pt?id=uiug.30112051004916;view=1up;seq=90</v>
      </c>
      <c r="S573" s="27" t="str">
        <f t="shared" si="41"/>
        <v>https://babel.hathitrust.org/cgi/pt?id=uiug.30112051004916;view=1up;seq=219</v>
      </c>
      <c r="T573" s="27" t="str">
        <f t="shared" si="35"/>
        <v>https://babel.hathitrust.org/cgi/pt?id=uiug.30112051004916;view=1up;seq=90</v>
      </c>
      <c r="U573" s="27" t="str">
        <f>'MS post'!X74</f>
        <v>https://ia601502.us.archive.org/10/items/MS-school-property-value-1935-7/1936%20%26%201937%2c%20selected%20pages.pdf</v>
      </c>
    </row>
    <row r="574" spans="1:21" x14ac:dyDescent="0.25">
      <c r="A574" s="27" t="s">
        <v>1123</v>
      </c>
      <c r="B574" s="27" t="str">
        <f t="shared" si="33"/>
        <v>Mississippi</v>
      </c>
      <c r="C574" s="27" t="str">
        <f t="shared" si="34"/>
        <v>Walthall</v>
      </c>
      <c r="D574" s="27">
        <v>3346</v>
      </c>
      <c r="E574" s="27">
        <v>134</v>
      </c>
      <c r="F574" s="26">
        <f>'MS post'!G75</f>
        <v>155.68466484389381</v>
      </c>
      <c r="G574" s="27">
        <v>4872</v>
      </c>
      <c r="H574" s="27">
        <v>43.78</v>
      </c>
      <c r="I574" s="2">
        <v>55496.36</v>
      </c>
      <c r="J574" s="27">
        <v>65</v>
      </c>
      <c r="K574" s="29">
        <f>'MS post'!N75</f>
        <v>176575</v>
      </c>
      <c r="L574" s="41">
        <v>1926</v>
      </c>
      <c r="M574" s="27" t="str">
        <f t="shared" si="36"/>
        <v>https://ia601507.us.archive.org/24/items/MSpics/MSpics.pdf</v>
      </c>
      <c r="N574" s="27" t="str">
        <f t="shared" si="37"/>
        <v>https://ia601507.us.archive.org/24/items/MSpics/MSpics.pdf#page=5</v>
      </c>
      <c r="O574" s="27" t="str">
        <f t="shared" si="38"/>
        <v>https://babel.hathitrust.org/cgi/pt?id=uiug.30112051004916;view=1up;seq=96</v>
      </c>
      <c r="Q574" s="27" t="str">
        <f t="shared" si="39"/>
        <v>https://ia601507.us.archive.org/24/items/MSpics/MSpics.pdf#page=5</v>
      </c>
      <c r="R574" s="27" t="str">
        <f t="shared" si="40"/>
        <v>https://babel.hathitrust.org/cgi/pt?id=uiug.30112051004916;view=1up;seq=90</v>
      </c>
      <c r="S574" s="27" t="str">
        <f t="shared" si="41"/>
        <v>https://babel.hathitrust.org/cgi/pt?id=uiug.30112051004916;view=1up;seq=219</v>
      </c>
      <c r="T574" s="27" t="str">
        <f t="shared" si="35"/>
        <v>https://babel.hathitrust.org/cgi/pt?id=uiug.30112051004916;view=1up;seq=90</v>
      </c>
      <c r="U574" s="27" t="str">
        <f>'MS post'!X75</f>
        <v>https://ia601502.us.archive.org/10/items/MS-school-property-value-1935-7/1936%20%26%201937%2c%20selected%20pages.pdf</v>
      </c>
    </row>
    <row r="575" spans="1:21" x14ac:dyDescent="0.25">
      <c r="A575" s="27" t="s">
        <v>1124</v>
      </c>
      <c r="B575" s="27" t="str">
        <f t="shared" si="33"/>
        <v>Mississippi</v>
      </c>
      <c r="C575" s="27" t="str">
        <f t="shared" si="34"/>
        <v>Warren</v>
      </c>
      <c r="D575" s="27">
        <v>5287</v>
      </c>
      <c r="E575" s="27">
        <v>109</v>
      </c>
      <c r="F575" s="26">
        <f>'MS post'!G76</f>
        <v>172.81309717821659</v>
      </c>
      <c r="G575" s="27">
        <v>6681</v>
      </c>
      <c r="H575" s="27">
        <v>55.45</v>
      </c>
      <c r="I575" s="2">
        <v>92572.6</v>
      </c>
      <c r="J575" s="27">
        <v>68</v>
      </c>
      <c r="K575" s="29">
        <f>'MS post'!N76</f>
        <v>824700</v>
      </c>
      <c r="L575" s="41">
        <v>1926</v>
      </c>
      <c r="M575" s="27" t="str">
        <f t="shared" si="36"/>
        <v>https://ia601507.us.archive.org/24/items/MSpics/MSpics.pdf</v>
      </c>
      <c r="N575" s="27" t="str">
        <f t="shared" si="37"/>
        <v>https://ia601507.us.archive.org/24/items/MSpics/MSpics.pdf#page=5</v>
      </c>
      <c r="O575" s="27" t="str">
        <f t="shared" si="38"/>
        <v>https://babel.hathitrust.org/cgi/pt?id=uiug.30112051004916;view=1up;seq=96</v>
      </c>
      <c r="Q575" s="27" t="str">
        <f t="shared" si="39"/>
        <v>https://ia601507.us.archive.org/24/items/MSpics/MSpics.pdf#page=5</v>
      </c>
      <c r="R575" s="27" t="str">
        <f t="shared" si="40"/>
        <v>https://babel.hathitrust.org/cgi/pt?id=uiug.30112051004916;view=1up;seq=90</v>
      </c>
      <c r="S575" s="27" t="str">
        <f t="shared" si="41"/>
        <v>https://babel.hathitrust.org/cgi/pt?id=uiug.30112051004916;view=1up;seq=219</v>
      </c>
      <c r="T575" s="27" t="str">
        <f t="shared" si="35"/>
        <v>https://babel.hathitrust.org/cgi/pt?id=uiug.30112051004916;view=1up;seq=90</v>
      </c>
      <c r="U575" s="27" t="str">
        <f>'MS post'!X76</f>
        <v>https://ia601502.us.archive.org/10/items/MS-school-property-value-1935-7/1936%20%26%201937%2c%20selected%20pages.pdf</v>
      </c>
    </row>
    <row r="576" spans="1:21" x14ac:dyDescent="0.25">
      <c r="A576" s="27" t="s">
        <v>1125</v>
      </c>
      <c r="B576" s="27" t="str">
        <f t="shared" si="33"/>
        <v>Mississippi</v>
      </c>
      <c r="C576" s="27" t="str">
        <f t="shared" si="34"/>
        <v>Washington</v>
      </c>
      <c r="D576" s="27">
        <v>7756</v>
      </c>
      <c r="E576" s="27">
        <v>141</v>
      </c>
      <c r="F576" s="26">
        <f>'MS post'!G77</f>
        <v>220.8822905680733</v>
      </c>
      <c r="G576" s="27">
        <v>11507</v>
      </c>
      <c r="H576" s="27">
        <v>49.83</v>
      </c>
      <c r="I576" s="2">
        <v>156490.23999999999</v>
      </c>
      <c r="J576" s="27">
        <v>97</v>
      </c>
      <c r="K576" s="29">
        <f>'MS post'!N77</f>
        <v>1085485</v>
      </c>
      <c r="L576" s="41">
        <v>1926</v>
      </c>
      <c r="M576" s="27" t="str">
        <f t="shared" si="36"/>
        <v>https://ia601507.us.archive.org/24/items/MSpics/MSpics.pdf</v>
      </c>
      <c r="N576" s="27" t="str">
        <f t="shared" si="37"/>
        <v>https://ia601507.us.archive.org/24/items/MSpics/MSpics.pdf#page=5</v>
      </c>
      <c r="O576" s="27" t="str">
        <f t="shared" si="38"/>
        <v>https://babel.hathitrust.org/cgi/pt?id=uiug.30112051004916;view=1up;seq=96</v>
      </c>
      <c r="Q576" s="27" t="str">
        <f t="shared" si="39"/>
        <v>https://ia601507.us.archive.org/24/items/MSpics/MSpics.pdf#page=5</v>
      </c>
      <c r="R576" s="27" t="str">
        <f t="shared" si="40"/>
        <v>https://babel.hathitrust.org/cgi/pt?id=uiug.30112051004916;view=1up;seq=90</v>
      </c>
      <c r="S576" s="27" t="str">
        <f t="shared" si="41"/>
        <v>https://babel.hathitrust.org/cgi/pt?id=uiug.30112051004916;view=1up;seq=219</v>
      </c>
      <c r="T576" s="27" t="str">
        <f t="shared" si="35"/>
        <v>https://babel.hathitrust.org/cgi/pt?id=uiug.30112051004916;view=1up;seq=90</v>
      </c>
      <c r="U576" s="27" t="str">
        <f>'MS post'!X77</f>
        <v>https://ia601502.us.archive.org/10/items/MS-school-property-value-1935-7/1936%20%26%201937%2c%20selected%20pages.pdf</v>
      </c>
    </row>
    <row r="577" spans="1:21" x14ac:dyDescent="0.25">
      <c r="A577" s="27" t="s">
        <v>1126</v>
      </c>
      <c r="B577" s="27" t="str">
        <f t="shared" si="33"/>
        <v>Mississippi</v>
      </c>
      <c r="C577" s="27" t="str">
        <f t="shared" si="34"/>
        <v>Wayne</v>
      </c>
      <c r="D577" s="27">
        <v>3866</v>
      </c>
      <c r="E577" s="27">
        <v>159</v>
      </c>
      <c r="F577" s="26">
        <f>'MS post'!G78</f>
        <v>171.14938657040827</v>
      </c>
      <c r="G577" s="27">
        <v>5264</v>
      </c>
      <c r="H577" s="27">
        <v>37.53</v>
      </c>
      <c r="I577" s="2">
        <v>72575.83</v>
      </c>
      <c r="J577" s="27">
        <v>98</v>
      </c>
      <c r="K577" s="29">
        <f>'MS post'!N78</f>
        <v>180110</v>
      </c>
      <c r="L577" s="41">
        <v>1926</v>
      </c>
      <c r="M577" s="27" t="str">
        <f t="shared" si="36"/>
        <v>https://ia601507.us.archive.org/24/items/MSpics/MSpics.pdf</v>
      </c>
      <c r="N577" s="27" t="str">
        <f t="shared" si="37"/>
        <v>https://ia601507.us.archive.org/24/items/MSpics/MSpics.pdf#page=5</v>
      </c>
      <c r="O577" s="27" t="str">
        <f t="shared" si="38"/>
        <v>https://babel.hathitrust.org/cgi/pt?id=uiug.30112051004916;view=1up;seq=96</v>
      </c>
      <c r="Q577" s="27" t="str">
        <f t="shared" si="39"/>
        <v>https://ia601507.us.archive.org/24/items/MSpics/MSpics.pdf#page=5</v>
      </c>
      <c r="R577" s="27" t="str">
        <f t="shared" si="40"/>
        <v>https://babel.hathitrust.org/cgi/pt?id=uiug.30112051004916;view=1up;seq=90</v>
      </c>
      <c r="S577" s="27" t="str">
        <f t="shared" si="41"/>
        <v>https://babel.hathitrust.org/cgi/pt?id=uiug.30112051004916;view=1up;seq=219</v>
      </c>
      <c r="T577" s="27" t="str">
        <f t="shared" si="35"/>
        <v>https://babel.hathitrust.org/cgi/pt?id=uiug.30112051004916;view=1up;seq=90</v>
      </c>
      <c r="U577" s="27" t="str">
        <f>'MS post'!X78</f>
        <v>https://ia601502.us.archive.org/10/items/MS-school-property-value-1935-7/1936%20%26%201937%2c%20selected%20pages.pdf</v>
      </c>
    </row>
    <row r="578" spans="1:21" x14ac:dyDescent="0.25">
      <c r="A578" s="27" t="s">
        <v>1127</v>
      </c>
      <c r="B578" s="27" t="str">
        <f t="shared" ref="B578:B641" si="42">LEFT(A578,FIND(";",A578)-1)</f>
        <v>Mississippi</v>
      </c>
      <c r="C578" s="27" t="str">
        <f t="shared" ref="C578:C641" si="43">MID(A578,FIND(";",A578)+1,100)</f>
        <v>Webster</v>
      </c>
      <c r="D578" s="27">
        <v>2834</v>
      </c>
      <c r="E578" s="27">
        <v>46</v>
      </c>
      <c r="F578" s="26">
        <f>'MS post'!G79</f>
        <v>376.08626179586645</v>
      </c>
      <c r="G578" s="27">
        <v>3853</v>
      </c>
      <c r="H578" s="27">
        <v>37.549999999999997</v>
      </c>
      <c r="I578" s="2">
        <v>38427.31</v>
      </c>
      <c r="J578" s="27">
        <v>56</v>
      </c>
      <c r="K578" s="29">
        <f>'MS post'!N79</f>
        <v>133755</v>
      </c>
      <c r="L578" s="41">
        <v>1926</v>
      </c>
      <c r="M578" s="27" t="str">
        <f t="shared" si="36"/>
        <v>https://ia601507.us.archive.org/24/items/MSpics/MSpics.pdf</v>
      </c>
      <c r="N578" s="27" t="str">
        <f t="shared" si="37"/>
        <v>https://ia601507.us.archive.org/24/items/MSpics/MSpics.pdf#page=5</v>
      </c>
      <c r="O578" s="27" t="str">
        <f t="shared" si="38"/>
        <v>https://babel.hathitrust.org/cgi/pt?id=uiug.30112051004916;view=1up;seq=96</v>
      </c>
      <c r="Q578" s="27" t="str">
        <f t="shared" si="39"/>
        <v>https://ia601507.us.archive.org/24/items/MSpics/MSpics.pdf#page=5</v>
      </c>
      <c r="R578" s="27" t="str">
        <f t="shared" si="40"/>
        <v>https://babel.hathitrust.org/cgi/pt?id=uiug.30112051004916;view=1up;seq=90</v>
      </c>
      <c r="S578" s="27" t="str">
        <f t="shared" si="41"/>
        <v>https://babel.hathitrust.org/cgi/pt?id=uiug.30112051004916;view=1up;seq=219</v>
      </c>
      <c r="T578" s="27" t="str">
        <f t="shared" si="35"/>
        <v>https://babel.hathitrust.org/cgi/pt?id=uiug.30112051004916;view=1up;seq=90</v>
      </c>
      <c r="U578" s="27" t="str">
        <f>'MS post'!X79</f>
        <v>https://ia601502.us.archive.org/10/items/MS-school-property-value-1935-7/1936%20%26%201937%2c%20selected%20pages.pdf</v>
      </c>
    </row>
    <row r="579" spans="1:21" x14ac:dyDescent="0.25">
      <c r="A579" s="27" t="s">
        <v>1128</v>
      </c>
      <c r="B579" s="27" t="str">
        <f t="shared" si="42"/>
        <v>Mississippi</v>
      </c>
      <c r="C579" s="27" t="str">
        <f t="shared" si="43"/>
        <v>Wilkinson</v>
      </c>
      <c r="D579" s="27">
        <v>3214</v>
      </c>
      <c r="E579" s="27">
        <v>105</v>
      </c>
      <c r="F579" s="26">
        <f>'MS post'!G80</f>
        <v>145.16390112148437</v>
      </c>
      <c r="G579" s="27">
        <v>3523</v>
      </c>
      <c r="H579" s="27">
        <v>40.549999999999997</v>
      </c>
      <c r="I579" s="2">
        <v>40750.300000000003</v>
      </c>
      <c r="J579" s="27">
        <v>93</v>
      </c>
      <c r="K579" s="29">
        <f>'MS post'!N80</f>
        <v>210400</v>
      </c>
      <c r="L579" s="41">
        <v>1926</v>
      </c>
      <c r="M579" s="27" t="str">
        <f t="shared" si="36"/>
        <v>https://ia601507.us.archive.org/24/items/MSpics/MSpics.pdf</v>
      </c>
      <c r="N579" s="27" t="str">
        <f t="shared" si="37"/>
        <v>https://ia601507.us.archive.org/24/items/MSpics/MSpics.pdf#page=5</v>
      </c>
      <c r="O579" s="27" t="str">
        <f t="shared" si="38"/>
        <v>https://babel.hathitrust.org/cgi/pt?id=uiug.30112051004916;view=1up;seq=96</v>
      </c>
      <c r="Q579" s="27" t="str">
        <f t="shared" si="39"/>
        <v>https://ia601507.us.archive.org/24/items/MSpics/MSpics.pdf#page=5</v>
      </c>
      <c r="R579" s="27" t="str">
        <f t="shared" si="40"/>
        <v>https://babel.hathitrust.org/cgi/pt?id=uiug.30112051004916;view=1up;seq=90</v>
      </c>
      <c r="S579" s="27" t="str">
        <f t="shared" si="41"/>
        <v>https://babel.hathitrust.org/cgi/pt?id=uiug.30112051004916;view=1up;seq=219</v>
      </c>
      <c r="T579" s="27" t="str">
        <f t="shared" si="35"/>
        <v>https://babel.hathitrust.org/cgi/pt?id=uiug.30112051004916;view=1up;seq=90</v>
      </c>
      <c r="U579" s="27" t="str">
        <f>'MS post'!X80</f>
        <v>https://ia601502.us.archive.org/10/items/MS-school-property-value-1935-7/1936%20%26%201937%2c%20selected%20pages.pdf</v>
      </c>
    </row>
    <row r="580" spans="1:21" x14ac:dyDescent="0.25">
      <c r="A580" s="27" t="s">
        <v>1129</v>
      </c>
      <c r="B580" s="27" t="str">
        <f t="shared" si="42"/>
        <v>Mississippi</v>
      </c>
      <c r="C580" s="27" t="str">
        <f t="shared" si="43"/>
        <v>Winston</v>
      </c>
      <c r="D580" s="27">
        <v>4977</v>
      </c>
      <c r="E580" s="27">
        <v>135</v>
      </c>
      <c r="F580" s="26">
        <f>'MS post'!G81</f>
        <v>157.360183498617</v>
      </c>
      <c r="G580" s="27">
        <v>5936</v>
      </c>
      <c r="H580" s="27">
        <v>43.92</v>
      </c>
      <c r="I580" s="2">
        <v>54625.03</v>
      </c>
      <c r="J580" s="27">
        <v>117</v>
      </c>
      <c r="K580" s="29">
        <f>'MS post'!N81</f>
        <v>283370</v>
      </c>
      <c r="L580" s="41">
        <v>1926</v>
      </c>
      <c r="M580" s="27" t="str">
        <f t="shared" si="36"/>
        <v>https://ia601507.us.archive.org/24/items/MSpics/MSpics.pdf</v>
      </c>
      <c r="N580" s="27" t="str">
        <f t="shared" si="37"/>
        <v>https://ia601507.us.archive.org/24/items/MSpics/MSpics.pdf#page=5</v>
      </c>
      <c r="O580" s="27" t="str">
        <f t="shared" si="38"/>
        <v>https://babel.hathitrust.org/cgi/pt?id=uiug.30112051004916;view=1up;seq=96</v>
      </c>
      <c r="Q580" s="27" t="str">
        <f t="shared" si="39"/>
        <v>https://ia601507.us.archive.org/24/items/MSpics/MSpics.pdf#page=5</v>
      </c>
      <c r="R580" s="27" t="str">
        <f t="shared" si="40"/>
        <v>https://babel.hathitrust.org/cgi/pt?id=uiug.30112051004916;view=1up;seq=90</v>
      </c>
      <c r="S580" s="27" t="str">
        <f t="shared" si="41"/>
        <v>https://babel.hathitrust.org/cgi/pt?id=uiug.30112051004916;view=1up;seq=219</v>
      </c>
      <c r="T580" s="27" t="str">
        <f t="shared" si="35"/>
        <v>https://babel.hathitrust.org/cgi/pt?id=uiug.30112051004916;view=1up;seq=90</v>
      </c>
      <c r="U580" s="27" t="str">
        <f>'MS post'!X81</f>
        <v>https://ia601502.us.archive.org/10/items/MS-school-property-value-1935-7/1936%20%26%201937%2c%20selected%20pages.pdf</v>
      </c>
    </row>
    <row r="581" spans="1:21" x14ac:dyDescent="0.25">
      <c r="A581" s="27" t="s">
        <v>1130</v>
      </c>
      <c r="B581" s="27" t="str">
        <f t="shared" si="42"/>
        <v>Mississippi</v>
      </c>
      <c r="C581" s="27" t="str">
        <f t="shared" si="43"/>
        <v>Yalobusha</v>
      </c>
      <c r="D581" s="27">
        <v>3790</v>
      </c>
      <c r="E581" s="27">
        <v>103</v>
      </c>
      <c r="F581" s="26">
        <f>'MS post'!G82</f>
        <v>168.809733955365</v>
      </c>
      <c r="G581" s="27">
        <v>5549</v>
      </c>
      <c r="H581" s="27">
        <v>38.5</v>
      </c>
      <c r="I581" s="2">
        <v>46427.64</v>
      </c>
      <c r="J581" s="27">
        <v>93</v>
      </c>
      <c r="K581" s="29">
        <f>'MS post'!N82</f>
        <v>315763</v>
      </c>
      <c r="L581" s="41">
        <v>1926</v>
      </c>
      <c r="M581" s="27" t="str">
        <f t="shared" si="36"/>
        <v>https://ia601507.us.archive.org/24/items/MSpics/MSpics.pdf</v>
      </c>
      <c r="N581" s="27" t="str">
        <f t="shared" si="37"/>
        <v>https://ia601507.us.archive.org/24/items/MSpics/MSpics.pdf#page=5</v>
      </c>
      <c r="O581" s="27" t="str">
        <f t="shared" si="38"/>
        <v>https://babel.hathitrust.org/cgi/pt?id=uiug.30112051004916;view=1up;seq=96</v>
      </c>
      <c r="Q581" s="27" t="str">
        <f t="shared" si="39"/>
        <v>https://ia601507.us.archive.org/24/items/MSpics/MSpics.pdf#page=5</v>
      </c>
      <c r="R581" s="27" t="str">
        <f t="shared" si="40"/>
        <v>https://babel.hathitrust.org/cgi/pt?id=uiug.30112051004916;view=1up;seq=90</v>
      </c>
      <c r="S581" s="27" t="str">
        <f t="shared" si="41"/>
        <v>https://babel.hathitrust.org/cgi/pt?id=uiug.30112051004916;view=1up;seq=219</v>
      </c>
      <c r="T581" s="27" t="str">
        <f t="shared" si="35"/>
        <v>https://babel.hathitrust.org/cgi/pt?id=uiug.30112051004916;view=1up;seq=90</v>
      </c>
      <c r="U581" s="27" t="str">
        <f>'MS post'!X82</f>
        <v>https://ia601502.us.archive.org/10/items/MS-school-property-value-1935-7/1936%20%26%201937%2c%20selected%20pages.pdf</v>
      </c>
    </row>
    <row r="582" spans="1:21" x14ac:dyDescent="0.25">
      <c r="A582" s="27" t="s">
        <v>1131</v>
      </c>
      <c r="B582" s="27" t="str">
        <f t="shared" si="42"/>
        <v>Mississippi</v>
      </c>
      <c r="C582" s="27" t="str">
        <f t="shared" si="43"/>
        <v>Yazoo</v>
      </c>
      <c r="D582" s="27">
        <v>6750</v>
      </c>
      <c r="E582" s="27">
        <v>162</v>
      </c>
      <c r="F582" s="26">
        <f>'MS post'!G83</f>
        <v>175.46730158730159</v>
      </c>
      <c r="G582" s="27">
        <v>9960</v>
      </c>
      <c r="H582" s="27">
        <v>35</v>
      </c>
      <c r="I582" s="2">
        <v>86161.43</v>
      </c>
      <c r="J582" s="27">
        <v>138</v>
      </c>
      <c r="K582" s="29">
        <f>'MS post'!N83</f>
        <v>483112</v>
      </c>
      <c r="L582" s="41">
        <v>1926</v>
      </c>
      <c r="M582" s="27" t="str">
        <f t="shared" si="36"/>
        <v>https://ia601507.us.archive.org/24/items/MSpics/MSpics.pdf</v>
      </c>
      <c r="N582" s="27" t="str">
        <f t="shared" si="37"/>
        <v>https://ia601507.us.archive.org/24/items/MSpics/MSpics.pdf#page=5</v>
      </c>
      <c r="O582" s="27" t="str">
        <f t="shared" si="38"/>
        <v>https://babel.hathitrust.org/cgi/pt?id=uiug.30112051004916;view=1up;seq=96</v>
      </c>
      <c r="Q582" s="27" t="str">
        <f t="shared" si="39"/>
        <v>https://ia601507.us.archive.org/24/items/MSpics/MSpics.pdf#page=5</v>
      </c>
      <c r="R582" s="27" t="str">
        <f t="shared" si="40"/>
        <v>https://babel.hathitrust.org/cgi/pt?id=uiug.30112051004916;view=1up;seq=90</v>
      </c>
      <c r="S582" s="27" t="str">
        <f t="shared" si="41"/>
        <v>https://babel.hathitrust.org/cgi/pt?id=uiug.30112051004916;view=1up;seq=219</v>
      </c>
      <c r="T582" s="27" t="str">
        <f t="shared" si="35"/>
        <v>https://babel.hathitrust.org/cgi/pt?id=uiug.30112051004916;view=1up;seq=90</v>
      </c>
      <c r="U582" s="27" t="str">
        <f>'MS post'!X83</f>
        <v>https://ia601502.us.archive.org/10/items/MS-school-property-value-1935-7/1936%20%26%201937%2c%20selected%20pages.pdf</v>
      </c>
    </row>
    <row r="583" spans="1:21" x14ac:dyDescent="0.25">
      <c r="A583" s="27" t="s">
        <v>1367</v>
      </c>
      <c r="B583" s="27" t="str">
        <f t="shared" si="42"/>
        <v/>
      </c>
      <c r="C583" s="27" t="str">
        <f t="shared" si="43"/>
        <v/>
      </c>
      <c r="D583" s="27">
        <f>SUM(D501:D582)</f>
        <v>407350</v>
      </c>
      <c r="G583" s="27">
        <f>SUM(G501:G582)</f>
        <v>559585</v>
      </c>
    </row>
    <row r="584" spans="1:21" x14ac:dyDescent="0.25">
      <c r="A584" s="27" t="s">
        <v>1367</v>
      </c>
      <c r="B584" s="27" t="str">
        <f t="shared" si="42"/>
        <v/>
      </c>
      <c r="C584" s="27" t="str">
        <f t="shared" si="43"/>
        <v/>
      </c>
      <c r="D584" s="27">
        <v>407350</v>
      </c>
      <c r="G584" s="27">
        <v>559585</v>
      </c>
      <c r="I584" s="12"/>
    </row>
    <row r="585" spans="1:21" x14ac:dyDescent="0.25">
      <c r="A585" s="27" t="s">
        <v>1132</v>
      </c>
      <c r="B585" s="27" t="str">
        <f t="shared" si="42"/>
        <v>North Carolina</v>
      </c>
      <c r="C585" s="27" t="str">
        <f t="shared" si="43"/>
        <v>Alamance</v>
      </c>
      <c r="D585" s="2">
        <v>7389</v>
      </c>
      <c r="E585" s="2">
        <v>298</v>
      </c>
      <c r="F585" s="2">
        <f>'NC post'!J2</f>
        <v>146.31425091352008</v>
      </c>
      <c r="G585" s="2">
        <v>10346</v>
      </c>
      <c r="H585" s="12">
        <f>'NC post'!M2</f>
        <v>123.61471180563085</v>
      </c>
      <c r="I585" s="2">
        <v>493110</v>
      </c>
      <c r="J585" s="2">
        <v>92</v>
      </c>
      <c r="K585" s="2">
        <v>792040</v>
      </c>
      <c r="L585" s="41">
        <v>1925</v>
      </c>
      <c r="M585" s="2"/>
      <c r="N585" s="27" t="s">
        <v>405</v>
      </c>
      <c r="O585" s="27" t="s">
        <v>406</v>
      </c>
      <c r="P585" s="4" t="s">
        <v>2581</v>
      </c>
      <c r="Q585" s="27" t="s">
        <v>405</v>
      </c>
      <c r="R585" s="27" t="s">
        <v>2582</v>
      </c>
      <c r="S585" s="27" t="s">
        <v>407</v>
      </c>
      <c r="T585" s="27" t="s">
        <v>408</v>
      </c>
      <c r="U585" s="27" t="s">
        <v>408</v>
      </c>
    </row>
    <row r="586" spans="1:21" x14ac:dyDescent="0.25">
      <c r="A586" s="27" t="s">
        <v>1133</v>
      </c>
      <c r="B586" s="27" t="str">
        <f t="shared" si="42"/>
        <v>North Carolina</v>
      </c>
      <c r="C586" s="27" t="str">
        <f t="shared" si="43"/>
        <v>Alexander</v>
      </c>
      <c r="D586" s="2">
        <v>3058</v>
      </c>
      <c r="E586" s="2">
        <v>130</v>
      </c>
      <c r="F586" s="2">
        <f>'NC post'!J3</f>
        <v>122.80085022890778</v>
      </c>
      <c r="G586" s="2">
        <v>3907</v>
      </c>
      <c r="H586" s="12">
        <f>'NC post'!M3</f>
        <v>100.1981536658934</v>
      </c>
      <c r="I586" s="2">
        <v>160732</v>
      </c>
      <c r="J586" s="2">
        <v>55</v>
      </c>
      <c r="K586" s="2">
        <v>190000</v>
      </c>
      <c r="L586" s="41">
        <v>1925</v>
      </c>
      <c r="M586" s="2"/>
      <c r="N586" s="27" t="s">
        <v>405</v>
      </c>
      <c r="O586" s="27" t="s">
        <v>406</v>
      </c>
      <c r="P586" s="27" t="str">
        <f>P585</f>
        <v>https://ia601407.us.archive.org/6/items/biennialreportof19241926nort/biennialreportof19241926nort.pdf#page=216</v>
      </c>
      <c r="Q586" s="27" t="s">
        <v>405</v>
      </c>
      <c r="R586" s="27" t="str">
        <f>R585</f>
        <v>https://ia601407.us.archive.org/6/items/biennialreportof19241926nort/biennialreportof19241926nort.pdf#page=108</v>
      </c>
      <c r="S586" s="27" t="s">
        <v>407</v>
      </c>
      <c r="T586" s="27" t="s">
        <v>408</v>
      </c>
      <c r="U586" s="27" t="s">
        <v>408</v>
      </c>
    </row>
    <row r="587" spans="1:21" x14ac:dyDescent="0.25">
      <c r="A587" s="27" t="s">
        <v>1134</v>
      </c>
      <c r="B587" s="27" t="str">
        <f t="shared" si="42"/>
        <v>North Carolina</v>
      </c>
      <c r="C587" s="27" t="str">
        <f t="shared" si="43"/>
        <v>Alleghany</v>
      </c>
      <c r="D587" s="2">
        <v>1624</v>
      </c>
      <c r="E587" s="2">
        <v>68</v>
      </c>
      <c r="F587" s="2">
        <f>'NC post'!J4</f>
        <v>123.80788177339902</v>
      </c>
      <c r="G587" s="2">
        <v>2270</v>
      </c>
      <c r="H587" s="12">
        <f>'NC post'!M4</f>
        <v>80.678936528257907</v>
      </c>
      <c r="I587" s="2">
        <v>46190</v>
      </c>
      <c r="J587" s="2">
        <v>41</v>
      </c>
      <c r="K587" s="2">
        <v>111005</v>
      </c>
      <c r="L587" s="41">
        <v>1925</v>
      </c>
      <c r="M587" s="2"/>
      <c r="N587" s="27" t="s">
        <v>405</v>
      </c>
      <c r="O587" s="27" t="s">
        <v>406</v>
      </c>
      <c r="P587" s="27" t="str">
        <f t="shared" ref="P587:P650" si="44">P586</f>
        <v>https://ia601407.us.archive.org/6/items/biennialreportof19241926nort/biennialreportof19241926nort.pdf#page=216</v>
      </c>
      <c r="Q587" s="27" t="s">
        <v>405</v>
      </c>
      <c r="R587" s="27" t="str">
        <f t="shared" ref="R587:R650" si="45">R586</f>
        <v>https://ia601407.us.archive.org/6/items/biennialreportof19241926nort/biennialreportof19241926nort.pdf#page=108</v>
      </c>
      <c r="S587" s="27" t="s">
        <v>407</v>
      </c>
      <c r="T587" s="27" t="s">
        <v>408</v>
      </c>
      <c r="U587" s="27" t="s">
        <v>408</v>
      </c>
    </row>
    <row r="588" spans="1:21" x14ac:dyDescent="0.25">
      <c r="A588" s="27" t="s">
        <v>1135</v>
      </c>
      <c r="B588" s="27" t="str">
        <f t="shared" si="42"/>
        <v>North Carolina</v>
      </c>
      <c r="C588" s="27" t="str">
        <f t="shared" si="43"/>
        <v>Anson</v>
      </c>
      <c r="D588" s="2">
        <v>6561</v>
      </c>
      <c r="E588" s="2">
        <v>223</v>
      </c>
      <c r="F588" s="2">
        <f>'NC post'!J5</f>
        <v>137.9608291418991</v>
      </c>
      <c r="G588" s="2">
        <v>9099</v>
      </c>
      <c r="H588" s="12">
        <f>'NC post'!M5</f>
        <v>95.103078411296494</v>
      </c>
      <c r="I588" s="2">
        <v>320205</v>
      </c>
      <c r="J588" s="2">
        <v>78</v>
      </c>
      <c r="K588" s="2">
        <v>448610</v>
      </c>
      <c r="L588" s="41">
        <v>1925</v>
      </c>
      <c r="M588" s="2"/>
      <c r="N588" s="27" t="s">
        <v>405</v>
      </c>
      <c r="O588" s="27" t="s">
        <v>406</v>
      </c>
      <c r="P588" s="27" t="str">
        <f t="shared" si="44"/>
        <v>https://ia601407.us.archive.org/6/items/biennialreportof19241926nort/biennialreportof19241926nort.pdf#page=216</v>
      </c>
      <c r="Q588" s="27" t="s">
        <v>405</v>
      </c>
      <c r="R588" s="27" t="str">
        <f t="shared" si="45"/>
        <v>https://ia601407.us.archive.org/6/items/biennialreportof19241926nort/biennialreportof19241926nort.pdf#page=108</v>
      </c>
      <c r="S588" s="27" t="s">
        <v>407</v>
      </c>
      <c r="T588" s="27" t="s">
        <v>408</v>
      </c>
      <c r="U588" s="27" t="s">
        <v>408</v>
      </c>
    </row>
    <row r="589" spans="1:21" x14ac:dyDescent="0.25">
      <c r="A589" s="27" t="s">
        <v>1136</v>
      </c>
      <c r="B589" s="27" t="str">
        <f t="shared" si="42"/>
        <v>North Carolina</v>
      </c>
      <c r="C589" s="27" t="str">
        <f t="shared" si="43"/>
        <v>Ashe</v>
      </c>
      <c r="D589" s="2">
        <v>5148</v>
      </c>
      <c r="E589" s="2">
        <v>187</v>
      </c>
      <c r="F589" s="2">
        <f>'NC post'!J6</f>
        <v>123.52913752913753</v>
      </c>
      <c r="G589" s="2">
        <v>6742</v>
      </c>
      <c r="H589" s="12">
        <f>'NC post'!M6</f>
        <v>90.102710850728926</v>
      </c>
      <c r="I589" s="2">
        <v>124296</v>
      </c>
      <c r="J589" s="2">
        <v>85</v>
      </c>
      <c r="K589" s="2">
        <v>250000</v>
      </c>
      <c r="L589" s="41">
        <v>1925</v>
      </c>
      <c r="M589" s="2"/>
      <c r="N589" s="27" t="s">
        <v>405</v>
      </c>
      <c r="O589" s="27" t="s">
        <v>406</v>
      </c>
      <c r="P589" s="27" t="str">
        <f t="shared" si="44"/>
        <v>https://ia601407.us.archive.org/6/items/biennialreportof19241926nort/biennialreportof19241926nort.pdf#page=216</v>
      </c>
      <c r="Q589" s="27" t="s">
        <v>405</v>
      </c>
      <c r="R589" s="27" t="str">
        <f t="shared" si="45"/>
        <v>https://ia601407.us.archive.org/6/items/biennialreportof19241926nort/biennialreportof19241926nort.pdf#page=108</v>
      </c>
      <c r="S589" s="27" t="s">
        <v>407</v>
      </c>
      <c r="T589" s="27" t="s">
        <v>408</v>
      </c>
      <c r="U589" s="27" t="s">
        <v>408</v>
      </c>
    </row>
    <row r="590" spans="1:21" x14ac:dyDescent="0.25">
      <c r="A590" s="27" t="s">
        <v>1137</v>
      </c>
      <c r="B590" s="27" t="str">
        <f t="shared" si="42"/>
        <v>North Carolina</v>
      </c>
      <c r="C590" s="27" t="str">
        <f t="shared" si="43"/>
        <v>Avery</v>
      </c>
      <c r="D590" s="2">
        <v>2384</v>
      </c>
      <c r="E590" s="2">
        <v>90</v>
      </c>
      <c r="F590" s="2">
        <f>'NC post'!J7</f>
        <v>155.11325503355704</v>
      </c>
      <c r="G590" s="2">
        <v>3598</v>
      </c>
      <c r="H590" s="12">
        <f>'NC post'!M7</f>
        <v>101.06721337936548</v>
      </c>
      <c r="I590" s="2">
        <v>127978</v>
      </c>
      <c r="J590" s="2">
        <v>34</v>
      </c>
      <c r="K590" s="2">
        <v>197590</v>
      </c>
      <c r="L590" s="41">
        <v>1925</v>
      </c>
      <c r="M590" s="2"/>
      <c r="N590" s="27" t="s">
        <v>405</v>
      </c>
      <c r="O590" s="27" t="s">
        <v>406</v>
      </c>
      <c r="P590" s="27" t="str">
        <f t="shared" si="44"/>
        <v>https://ia601407.us.archive.org/6/items/biennialreportof19241926nort/biennialreportof19241926nort.pdf#page=216</v>
      </c>
      <c r="Q590" s="27" t="s">
        <v>405</v>
      </c>
      <c r="R590" s="27" t="str">
        <f t="shared" si="45"/>
        <v>https://ia601407.us.archive.org/6/items/biennialreportof19241926nort/biennialreportof19241926nort.pdf#page=108</v>
      </c>
      <c r="S590" s="27" t="s">
        <v>407</v>
      </c>
      <c r="T590" s="27" t="s">
        <v>408</v>
      </c>
      <c r="U590" s="27" t="s">
        <v>408</v>
      </c>
    </row>
    <row r="591" spans="1:21" x14ac:dyDescent="0.25">
      <c r="A591" s="27" t="s">
        <v>1138</v>
      </c>
      <c r="B591" s="27" t="str">
        <f t="shared" si="42"/>
        <v>North Carolina</v>
      </c>
      <c r="C591" s="27" t="str">
        <f t="shared" si="43"/>
        <v>Beaufort</v>
      </c>
      <c r="D591" s="2">
        <v>8646</v>
      </c>
      <c r="E591" s="2">
        <v>293</v>
      </c>
      <c r="F591" s="2">
        <f>'NC post'!J8</f>
        <v>133.73560027758501</v>
      </c>
      <c r="G591" s="2">
        <v>10298</v>
      </c>
      <c r="H591" s="12">
        <f>'NC post'!M8</f>
        <v>105.89313452714499</v>
      </c>
      <c r="I591" s="2">
        <v>398914</v>
      </c>
      <c r="J591" s="2">
        <v>96</v>
      </c>
      <c r="K591" s="2">
        <v>641715</v>
      </c>
      <c r="L591" s="41">
        <v>1925</v>
      </c>
      <c r="M591" s="2"/>
      <c r="N591" s="27" t="s">
        <v>405</v>
      </c>
      <c r="O591" s="27" t="s">
        <v>406</v>
      </c>
      <c r="P591" s="27" t="str">
        <f t="shared" si="44"/>
        <v>https://ia601407.us.archive.org/6/items/biennialreportof19241926nort/biennialreportof19241926nort.pdf#page=216</v>
      </c>
      <c r="Q591" s="27" t="s">
        <v>405</v>
      </c>
      <c r="R591" s="27" t="str">
        <f t="shared" si="45"/>
        <v>https://ia601407.us.archive.org/6/items/biennialreportof19241926nort/biennialreportof19241926nort.pdf#page=108</v>
      </c>
      <c r="S591" s="27" t="s">
        <v>407</v>
      </c>
      <c r="T591" s="27" t="s">
        <v>408</v>
      </c>
      <c r="U591" s="27" t="s">
        <v>408</v>
      </c>
    </row>
    <row r="592" spans="1:21" x14ac:dyDescent="0.25">
      <c r="A592" s="27" t="s">
        <v>1139</v>
      </c>
      <c r="B592" s="27" t="str">
        <f t="shared" si="42"/>
        <v>North Carolina</v>
      </c>
      <c r="C592" s="27" t="str">
        <f t="shared" si="43"/>
        <v>Bertie</v>
      </c>
      <c r="D592" s="2">
        <v>5735</v>
      </c>
      <c r="E592" s="2">
        <v>221</v>
      </c>
      <c r="F592" s="2">
        <f>'NC post'!J9</f>
        <v>134.80924149956408</v>
      </c>
      <c r="G592" s="2">
        <v>8392</v>
      </c>
      <c r="H592" s="12">
        <f>'NC post'!M9</f>
        <v>93.856469454688579</v>
      </c>
      <c r="I592" s="2">
        <v>269191</v>
      </c>
      <c r="J592" s="2">
        <v>85</v>
      </c>
      <c r="K592" s="2">
        <v>421500</v>
      </c>
      <c r="L592" s="41">
        <v>1925</v>
      </c>
      <c r="M592" s="2"/>
      <c r="N592" s="27" t="s">
        <v>405</v>
      </c>
      <c r="O592" s="27" t="s">
        <v>406</v>
      </c>
      <c r="P592" s="27" t="str">
        <f t="shared" si="44"/>
        <v>https://ia601407.us.archive.org/6/items/biennialreportof19241926nort/biennialreportof19241926nort.pdf#page=216</v>
      </c>
      <c r="Q592" s="27" t="s">
        <v>405</v>
      </c>
      <c r="R592" s="27" t="str">
        <f t="shared" si="45"/>
        <v>https://ia601407.us.archive.org/6/items/biennialreportof19241926nort/biennialreportof19241926nort.pdf#page=108</v>
      </c>
      <c r="S592" s="27" t="s">
        <v>407</v>
      </c>
      <c r="T592" s="27" t="s">
        <v>408</v>
      </c>
      <c r="U592" s="27" t="s">
        <v>408</v>
      </c>
    </row>
    <row r="593" spans="1:21" x14ac:dyDescent="0.25">
      <c r="A593" s="27" t="s">
        <v>1140</v>
      </c>
      <c r="B593" s="27" t="str">
        <f t="shared" si="42"/>
        <v>North Carolina</v>
      </c>
      <c r="C593" s="27" t="str">
        <f t="shared" si="43"/>
        <v>Bladen</v>
      </c>
      <c r="D593" s="2">
        <v>4899</v>
      </c>
      <c r="E593" s="2">
        <v>192</v>
      </c>
      <c r="F593" s="2">
        <f>'NC post'!J10</f>
        <v>131.33700755256174</v>
      </c>
      <c r="G593" s="2">
        <v>6074</v>
      </c>
      <c r="H593" s="12">
        <f>'NC post'!M10</f>
        <v>87.388243653057103</v>
      </c>
      <c r="I593" s="2">
        <v>292668</v>
      </c>
      <c r="J593" s="2">
        <v>81</v>
      </c>
      <c r="K593" s="2">
        <v>407625</v>
      </c>
      <c r="L593" s="41">
        <v>1925</v>
      </c>
      <c r="M593" s="2"/>
      <c r="N593" s="27" t="s">
        <v>405</v>
      </c>
      <c r="O593" s="27" t="s">
        <v>409</v>
      </c>
      <c r="P593" s="27" t="str">
        <f t="shared" si="44"/>
        <v>https://ia601407.us.archive.org/6/items/biennialreportof19241926nort/biennialreportof19241926nort.pdf#page=216</v>
      </c>
      <c r="Q593" s="27" t="s">
        <v>405</v>
      </c>
      <c r="R593" s="27" t="str">
        <f t="shared" si="45"/>
        <v>https://ia601407.us.archive.org/6/items/biennialreportof19241926nort/biennialreportof19241926nort.pdf#page=108</v>
      </c>
      <c r="S593" s="27" t="s">
        <v>407</v>
      </c>
      <c r="T593" s="27" t="s">
        <v>410</v>
      </c>
      <c r="U593" s="27" t="s">
        <v>410</v>
      </c>
    </row>
    <row r="594" spans="1:21" x14ac:dyDescent="0.25">
      <c r="A594" s="27" t="s">
        <v>1141</v>
      </c>
      <c r="B594" s="27" t="str">
        <f t="shared" si="42"/>
        <v>North Carolina</v>
      </c>
      <c r="C594" s="27" t="str">
        <f t="shared" si="43"/>
        <v>Brunswick</v>
      </c>
      <c r="D594" s="2">
        <v>3496</v>
      </c>
      <c r="E594" s="2">
        <v>132</v>
      </c>
      <c r="F594" s="2">
        <f>'NC post'!J11</f>
        <v>123.77116704805492</v>
      </c>
      <c r="G594" s="2">
        <v>4121</v>
      </c>
      <c r="H594" s="12">
        <f>'NC post'!M11</f>
        <v>81.78444384123739</v>
      </c>
      <c r="I594" s="2">
        <v>133205</v>
      </c>
      <c r="J594" s="2">
        <v>55</v>
      </c>
      <c r="K594" s="2">
        <v>116420</v>
      </c>
      <c r="L594" s="41">
        <v>1925</v>
      </c>
      <c r="M594" s="2"/>
      <c r="N594" s="27" t="s">
        <v>405</v>
      </c>
      <c r="O594" s="27" t="s">
        <v>409</v>
      </c>
      <c r="P594" s="27" t="str">
        <f t="shared" si="44"/>
        <v>https://ia601407.us.archive.org/6/items/biennialreportof19241926nort/biennialreportof19241926nort.pdf#page=216</v>
      </c>
      <c r="Q594" s="27" t="s">
        <v>405</v>
      </c>
      <c r="R594" s="27" t="str">
        <f t="shared" si="45"/>
        <v>https://ia601407.us.archive.org/6/items/biennialreportof19241926nort/biennialreportof19241926nort.pdf#page=108</v>
      </c>
      <c r="S594" s="27" t="s">
        <v>411</v>
      </c>
      <c r="T594" s="27" t="s">
        <v>410</v>
      </c>
      <c r="U594" s="27" t="s">
        <v>410</v>
      </c>
    </row>
    <row r="595" spans="1:21" x14ac:dyDescent="0.25">
      <c r="A595" s="27" t="s">
        <v>1142</v>
      </c>
      <c r="B595" s="27" t="str">
        <f t="shared" si="42"/>
        <v>North Carolina</v>
      </c>
      <c r="C595" s="27" t="str">
        <f t="shared" si="43"/>
        <v>Buncombe</v>
      </c>
      <c r="D595" s="2">
        <v>15461</v>
      </c>
      <c r="E595" s="2">
        <v>575</v>
      </c>
      <c r="F595" s="2">
        <f>'NC post'!J12</f>
        <v>160.0856995019727</v>
      </c>
      <c r="G595" s="2">
        <v>19427</v>
      </c>
      <c r="H595" s="12">
        <f>'NC post'!M12</f>
        <v>141.98086715735982</v>
      </c>
      <c r="I595" s="2">
        <v>1861025</v>
      </c>
      <c r="J595" s="2">
        <v>91</v>
      </c>
      <c r="K595" s="2">
        <v>3031300</v>
      </c>
      <c r="L595" s="41">
        <v>1925</v>
      </c>
      <c r="M595" s="2"/>
      <c r="N595" s="27" t="s">
        <v>405</v>
      </c>
      <c r="O595" s="27" t="s">
        <v>409</v>
      </c>
      <c r="P595" s="27" t="str">
        <f t="shared" si="44"/>
        <v>https://ia601407.us.archive.org/6/items/biennialreportof19241926nort/biennialreportof19241926nort.pdf#page=216</v>
      </c>
      <c r="Q595" s="27" t="s">
        <v>405</v>
      </c>
      <c r="R595" s="27" t="str">
        <f t="shared" si="45"/>
        <v>https://ia601407.us.archive.org/6/items/biennialreportof19241926nort/biennialreportof19241926nort.pdf#page=108</v>
      </c>
      <c r="S595" s="27" t="s">
        <v>411</v>
      </c>
      <c r="T595" s="27" t="s">
        <v>410</v>
      </c>
      <c r="U595" s="27" t="s">
        <v>410</v>
      </c>
    </row>
    <row r="596" spans="1:21" x14ac:dyDescent="0.25">
      <c r="A596" s="27" t="s">
        <v>1143</v>
      </c>
      <c r="B596" s="27" t="str">
        <f t="shared" si="42"/>
        <v>North Carolina</v>
      </c>
      <c r="C596" s="27" t="str">
        <f t="shared" si="43"/>
        <v>Burke</v>
      </c>
      <c r="D596" s="2">
        <v>4492</v>
      </c>
      <c r="E596" s="2">
        <v>180</v>
      </c>
      <c r="F596" s="2">
        <f>'NC post'!J13</f>
        <v>141.6219946571683</v>
      </c>
      <c r="G596" s="2">
        <v>6143</v>
      </c>
      <c r="H596" s="12">
        <f>'NC post'!M13</f>
        <v>126.76467097511585</v>
      </c>
      <c r="I596" s="2">
        <v>295014</v>
      </c>
      <c r="J596" s="2">
        <v>63</v>
      </c>
      <c r="K596" s="2">
        <v>498425</v>
      </c>
      <c r="L596" s="41">
        <v>1925</v>
      </c>
      <c r="M596" s="2"/>
      <c r="N596" s="27" t="s">
        <v>405</v>
      </c>
      <c r="O596" s="27" t="s">
        <v>409</v>
      </c>
      <c r="P596" s="27" t="str">
        <f t="shared" si="44"/>
        <v>https://ia601407.us.archive.org/6/items/biennialreportof19241926nort/biennialreportof19241926nort.pdf#page=216</v>
      </c>
      <c r="Q596" s="27" t="s">
        <v>405</v>
      </c>
      <c r="R596" s="27" t="str">
        <f t="shared" si="45"/>
        <v>https://ia601407.us.archive.org/6/items/biennialreportof19241926nort/biennialreportof19241926nort.pdf#page=108</v>
      </c>
      <c r="S596" s="27" t="s">
        <v>411</v>
      </c>
      <c r="T596" s="27" t="s">
        <v>410</v>
      </c>
      <c r="U596" s="27" t="s">
        <v>410</v>
      </c>
    </row>
    <row r="597" spans="1:21" x14ac:dyDescent="0.25">
      <c r="A597" s="27" t="s">
        <v>1144</v>
      </c>
      <c r="B597" s="27" t="str">
        <f t="shared" si="42"/>
        <v>North Carolina</v>
      </c>
      <c r="C597" s="27" t="str">
        <f t="shared" si="43"/>
        <v>Cabarrus</v>
      </c>
      <c r="D597" s="2">
        <v>6979</v>
      </c>
      <c r="E597" s="2">
        <v>268</v>
      </c>
      <c r="F597" s="2">
        <f>'NC post'!J14</f>
        <v>144.46396331852702</v>
      </c>
      <c r="G597" s="2">
        <v>9291</v>
      </c>
      <c r="H597" s="12">
        <f>'NC post'!M14</f>
        <v>110.79299230375427</v>
      </c>
      <c r="I597" s="2">
        <v>395152</v>
      </c>
      <c r="J597" s="2">
        <v>84</v>
      </c>
      <c r="K597" s="2">
        <v>1080575</v>
      </c>
      <c r="L597" s="41">
        <v>1925</v>
      </c>
      <c r="M597" s="2"/>
      <c r="N597" s="27" t="s">
        <v>405</v>
      </c>
      <c r="O597" s="27" t="s">
        <v>409</v>
      </c>
      <c r="P597" s="27" t="str">
        <f t="shared" si="44"/>
        <v>https://ia601407.us.archive.org/6/items/biennialreportof19241926nort/biennialreportof19241926nort.pdf#page=216</v>
      </c>
      <c r="Q597" s="27" t="s">
        <v>405</v>
      </c>
      <c r="R597" s="27" t="str">
        <f t="shared" si="45"/>
        <v>https://ia601407.us.archive.org/6/items/biennialreportof19241926nort/biennialreportof19241926nort.pdf#page=108</v>
      </c>
      <c r="S597" s="27" t="s">
        <v>411</v>
      </c>
      <c r="T597" s="27" t="s">
        <v>410</v>
      </c>
      <c r="U597" s="27" t="s">
        <v>410</v>
      </c>
    </row>
    <row r="598" spans="1:21" x14ac:dyDescent="0.25">
      <c r="A598" s="27" t="s">
        <v>1145</v>
      </c>
      <c r="B598" s="27" t="str">
        <f t="shared" si="42"/>
        <v>North Carolina</v>
      </c>
      <c r="C598" s="27" t="str">
        <f t="shared" si="43"/>
        <v>Caldwell</v>
      </c>
      <c r="D598" s="2">
        <v>4958</v>
      </c>
      <c r="E598" s="2">
        <v>205</v>
      </c>
      <c r="F598" s="2">
        <f>'NC post'!J15</f>
        <v>136.32936668011294</v>
      </c>
      <c r="G598" s="2">
        <v>6361</v>
      </c>
      <c r="H598" s="12">
        <f>'NC post'!M15</f>
        <v>113.42672196970921</v>
      </c>
      <c r="I598" s="2">
        <v>274177</v>
      </c>
      <c r="J598" s="2">
        <v>80</v>
      </c>
      <c r="K598" s="2">
        <v>541150</v>
      </c>
      <c r="L598" s="41">
        <v>1925</v>
      </c>
      <c r="M598" s="2"/>
      <c r="N598" s="27" t="s">
        <v>405</v>
      </c>
      <c r="O598" s="27" t="s">
        <v>409</v>
      </c>
      <c r="P598" s="27" t="str">
        <f t="shared" si="44"/>
        <v>https://ia601407.us.archive.org/6/items/biennialreportof19241926nort/biennialreportof19241926nort.pdf#page=216</v>
      </c>
      <c r="Q598" s="27" t="s">
        <v>405</v>
      </c>
      <c r="R598" s="27" t="str">
        <f t="shared" si="45"/>
        <v>https://ia601407.us.archive.org/6/items/biennialreportof19241926nort/biennialreportof19241926nort.pdf#page=108</v>
      </c>
      <c r="S598" s="27" t="s">
        <v>411</v>
      </c>
      <c r="T598" s="27" t="s">
        <v>410</v>
      </c>
      <c r="U598" s="27" t="s">
        <v>410</v>
      </c>
    </row>
    <row r="599" spans="1:21" x14ac:dyDescent="0.25">
      <c r="A599" s="27" t="s">
        <v>1146</v>
      </c>
      <c r="B599" s="27" t="str">
        <f t="shared" si="42"/>
        <v>North Carolina</v>
      </c>
      <c r="C599" s="27" t="str">
        <f t="shared" si="43"/>
        <v>Camden</v>
      </c>
      <c r="D599" s="2">
        <v>1195</v>
      </c>
      <c r="E599" s="2">
        <v>49</v>
      </c>
      <c r="F599" s="2">
        <f>'NC post'!J16</f>
        <v>143.39748953974896</v>
      </c>
      <c r="G599" s="2">
        <v>1824</v>
      </c>
      <c r="H599" s="12">
        <f>'NC post'!M16</f>
        <v>102.68192741382268</v>
      </c>
      <c r="I599" s="2">
        <v>49676</v>
      </c>
      <c r="J599" s="2">
        <v>23</v>
      </c>
      <c r="K599" s="2">
        <v>83000</v>
      </c>
      <c r="L599" s="41">
        <v>1925</v>
      </c>
      <c r="M599" s="2"/>
      <c r="N599" s="27" t="s">
        <v>405</v>
      </c>
      <c r="O599" s="27" t="s">
        <v>409</v>
      </c>
      <c r="P599" s="27" t="str">
        <f t="shared" si="44"/>
        <v>https://ia601407.us.archive.org/6/items/biennialreportof19241926nort/biennialreportof19241926nort.pdf#page=216</v>
      </c>
      <c r="Q599" s="27" t="s">
        <v>405</v>
      </c>
      <c r="R599" s="27" t="str">
        <f t="shared" si="45"/>
        <v>https://ia601407.us.archive.org/6/items/biennialreportof19241926nort/biennialreportof19241926nort.pdf#page=108</v>
      </c>
      <c r="S599" s="27" t="s">
        <v>411</v>
      </c>
      <c r="T599" s="27" t="s">
        <v>410</v>
      </c>
      <c r="U599" s="27" t="s">
        <v>410</v>
      </c>
    </row>
    <row r="600" spans="1:21" x14ac:dyDescent="0.25">
      <c r="A600" s="27" t="s">
        <v>1147</v>
      </c>
      <c r="B600" s="27" t="str">
        <f t="shared" si="42"/>
        <v>North Carolina</v>
      </c>
      <c r="C600" s="27" t="str">
        <f t="shared" si="43"/>
        <v>Carteret</v>
      </c>
      <c r="D600" s="2">
        <v>3757</v>
      </c>
      <c r="E600" s="2">
        <v>134</v>
      </c>
      <c r="F600" s="2">
        <f>'NC post'!J17</f>
        <v>149.4772424807027</v>
      </c>
      <c r="G600" s="2">
        <v>4414</v>
      </c>
      <c r="H600" s="12">
        <f>'NC post'!M17</f>
        <v>128.10448038659806</v>
      </c>
      <c r="I600" s="2">
        <v>243112</v>
      </c>
      <c r="J600" s="2">
        <v>46</v>
      </c>
      <c r="K600" s="2">
        <v>467815</v>
      </c>
      <c r="L600" s="41">
        <v>1925</v>
      </c>
      <c r="M600" s="2"/>
      <c r="N600" s="27" t="s">
        <v>405</v>
      </c>
      <c r="O600" s="27" t="s">
        <v>409</v>
      </c>
      <c r="P600" s="27" t="str">
        <f t="shared" si="44"/>
        <v>https://ia601407.us.archive.org/6/items/biennialreportof19241926nort/biennialreportof19241926nort.pdf#page=216</v>
      </c>
      <c r="Q600" s="27" t="s">
        <v>405</v>
      </c>
      <c r="R600" s="27" t="str">
        <f t="shared" si="45"/>
        <v>https://ia601407.us.archive.org/6/items/biennialreportof19241926nort/biennialreportof19241926nort.pdf#page=108</v>
      </c>
      <c r="S600" s="27" t="s">
        <v>411</v>
      </c>
      <c r="T600" s="27" t="s">
        <v>410</v>
      </c>
      <c r="U600" s="27" t="s">
        <v>410</v>
      </c>
    </row>
    <row r="601" spans="1:21" x14ac:dyDescent="0.25">
      <c r="A601" s="27" t="s">
        <v>1148</v>
      </c>
      <c r="B601" s="27" t="str">
        <f t="shared" si="42"/>
        <v>North Carolina</v>
      </c>
      <c r="C601" s="27" t="str">
        <f t="shared" si="43"/>
        <v>Caswell</v>
      </c>
      <c r="D601" s="2">
        <v>3182</v>
      </c>
      <c r="E601" s="2">
        <v>129</v>
      </c>
      <c r="F601" s="2">
        <f>'NC post'!J18</f>
        <v>122</v>
      </c>
      <c r="G601" s="2">
        <v>4845</v>
      </c>
      <c r="H601" s="12">
        <f>'NC post'!M18</f>
        <v>90.065637310967091</v>
      </c>
      <c r="I601" s="2">
        <v>115710</v>
      </c>
      <c r="J601" s="2">
        <v>79</v>
      </c>
      <c r="K601" s="2">
        <v>168360</v>
      </c>
      <c r="L601" s="41">
        <v>1925</v>
      </c>
      <c r="M601" s="2"/>
      <c r="N601" s="27" t="s">
        <v>412</v>
      </c>
      <c r="O601" s="27" t="s">
        <v>409</v>
      </c>
      <c r="P601" s="27" t="str">
        <f t="shared" si="44"/>
        <v>https://ia601407.us.archive.org/6/items/biennialreportof19241926nort/biennialreportof19241926nort.pdf#page=216</v>
      </c>
      <c r="Q601" s="27" t="s">
        <v>412</v>
      </c>
      <c r="R601" s="27" t="str">
        <f t="shared" si="45"/>
        <v>https://ia601407.us.archive.org/6/items/biennialreportof19241926nort/biennialreportof19241926nort.pdf#page=108</v>
      </c>
      <c r="S601" s="27" t="s">
        <v>411</v>
      </c>
      <c r="T601" s="27" t="s">
        <v>413</v>
      </c>
      <c r="U601" s="27" t="s">
        <v>413</v>
      </c>
    </row>
    <row r="602" spans="1:21" x14ac:dyDescent="0.25">
      <c r="A602" s="27" t="s">
        <v>1149</v>
      </c>
      <c r="B602" s="27" t="str">
        <f t="shared" si="42"/>
        <v>North Carolina</v>
      </c>
      <c r="C602" s="27" t="str">
        <f t="shared" si="43"/>
        <v>Catawba</v>
      </c>
      <c r="D602" s="2">
        <v>8387</v>
      </c>
      <c r="E602" s="2">
        <v>333</v>
      </c>
      <c r="F602" s="2">
        <f>'NC post'!J19</f>
        <v>146.09860498390367</v>
      </c>
      <c r="G602" s="2">
        <v>10621</v>
      </c>
      <c r="H602" s="12">
        <f>'NC post'!M19</f>
        <v>122.71611255171213</v>
      </c>
      <c r="I602" s="2">
        <v>870278</v>
      </c>
      <c r="J602" s="2">
        <v>75</v>
      </c>
      <c r="K602" s="2">
        <v>1507500</v>
      </c>
      <c r="L602" s="41">
        <v>1925</v>
      </c>
      <c r="M602" s="2"/>
      <c r="N602" s="27" t="s">
        <v>412</v>
      </c>
      <c r="O602" s="27" t="s">
        <v>409</v>
      </c>
      <c r="P602" s="27" t="str">
        <f t="shared" si="44"/>
        <v>https://ia601407.us.archive.org/6/items/biennialreportof19241926nort/biennialreportof19241926nort.pdf#page=216</v>
      </c>
      <c r="Q602" s="27" t="s">
        <v>412</v>
      </c>
      <c r="R602" s="27" t="str">
        <f t="shared" si="45"/>
        <v>https://ia601407.us.archive.org/6/items/biennialreportof19241926nort/biennialreportof19241926nort.pdf#page=108</v>
      </c>
      <c r="S602" s="27" t="s">
        <v>411</v>
      </c>
      <c r="T602" s="27" t="s">
        <v>413</v>
      </c>
      <c r="U602" s="27" t="s">
        <v>413</v>
      </c>
    </row>
    <row r="603" spans="1:21" x14ac:dyDescent="0.25">
      <c r="A603" s="27" t="s">
        <v>1150</v>
      </c>
      <c r="B603" s="27" t="str">
        <f t="shared" si="42"/>
        <v>North Carolina</v>
      </c>
      <c r="C603" s="27" t="str">
        <f t="shared" si="43"/>
        <v>Chatham</v>
      </c>
      <c r="D603" s="2">
        <v>4968</v>
      </c>
      <c r="E603" s="2">
        <v>214</v>
      </c>
      <c r="F603" s="2">
        <f>'NC post'!J20</f>
        <v>124.68498389694042</v>
      </c>
      <c r="G603" s="2">
        <v>7055</v>
      </c>
      <c r="H603" s="12">
        <f>'NC post'!M20</f>
        <v>105.32154348373996</v>
      </c>
      <c r="I603" s="2">
        <v>192688</v>
      </c>
      <c r="J603" s="2">
        <v>109</v>
      </c>
      <c r="K603" s="2">
        <v>325000</v>
      </c>
      <c r="L603" s="41">
        <v>1925</v>
      </c>
      <c r="M603" s="2"/>
      <c r="N603" s="27" t="s">
        <v>412</v>
      </c>
      <c r="O603" s="27" t="s">
        <v>409</v>
      </c>
      <c r="P603" s="27" t="str">
        <f t="shared" si="44"/>
        <v>https://ia601407.us.archive.org/6/items/biennialreportof19241926nort/biennialreportof19241926nort.pdf#page=216</v>
      </c>
      <c r="Q603" s="27" t="s">
        <v>412</v>
      </c>
      <c r="R603" s="27" t="str">
        <f t="shared" si="45"/>
        <v>https://ia601407.us.archive.org/6/items/biennialreportof19241926nort/biennialreportof19241926nort.pdf#page=108</v>
      </c>
      <c r="S603" s="27" t="s">
        <v>411</v>
      </c>
      <c r="T603" s="27" t="s">
        <v>413</v>
      </c>
      <c r="U603" s="27" t="s">
        <v>413</v>
      </c>
    </row>
    <row r="604" spans="1:21" x14ac:dyDescent="0.25">
      <c r="A604" s="27" t="s">
        <v>1151</v>
      </c>
      <c r="B604" s="27" t="str">
        <f t="shared" si="42"/>
        <v>North Carolina</v>
      </c>
      <c r="C604" s="27" t="str">
        <f t="shared" si="43"/>
        <v>Cherokee</v>
      </c>
      <c r="D604" s="2">
        <v>3211</v>
      </c>
      <c r="E604" s="2">
        <v>136</v>
      </c>
      <c r="F604" s="2">
        <f>'NC post'!J21</f>
        <v>139.7072563064466</v>
      </c>
      <c r="G604" s="2">
        <v>4751</v>
      </c>
      <c r="H604" s="12">
        <f>'NC post'!M21</f>
        <v>95.53618675421572</v>
      </c>
      <c r="I604" s="2">
        <v>164593</v>
      </c>
      <c r="J604" s="2">
        <v>59</v>
      </c>
      <c r="K604" s="2">
        <v>217050</v>
      </c>
      <c r="L604" s="41">
        <v>1925</v>
      </c>
      <c r="M604" s="2"/>
      <c r="N604" s="27" t="s">
        <v>412</v>
      </c>
      <c r="O604" s="27" t="s">
        <v>414</v>
      </c>
      <c r="P604" s="27" t="str">
        <f t="shared" si="44"/>
        <v>https://ia601407.us.archive.org/6/items/biennialreportof19241926nort/biennialreportof19241926nort.pdf#page=216</v>
      </c>
      <c r="Q604" s="27" t="s">
        <v>412</v>
      </c>
      <c r="R604" s="27" t="str">
        <f t="shared" si="45"/>
        <v>https://ia601407.us.archive.org/6/items/biennialreportof19241926nort/biennialreportof19241926nort.pdf#page=108</v>
      </c>
      <c r="S604" s="27" t="s">
        <v>415</v>
      </c>
      <c r="T604" s="27" t="s">
        <v>413</v>
      </c>
      <c r="U604" s="27" t="s">
        <v>413</v>
      </c>
    </row>
    <row r="605" spans="1:21" x14ac:dyDescent="0.25">
      <c r="A605" s="27" t="s">
        <v>1152</v>
      </c>
      <c r="B605" s="27" t="str">
        <f t="shared" si="42"/>
        <v>North Carolina</v>
      </c>
      <c r="C605" s="27" t="str">
        <f t="shared" si="43"/>
        <v>Chowan</v>
      </c>
      <c r="D605" s="2">
        <v>2317</v>
      </c>
      <c r="E605" s="2">
        <v>82</v>
      </c>
      <c r="F605" s="2">
        <f>'NC post'!J22</f>
        <v>146.37893828226154</v>
      </c>
      <c r="G605" s="2">
        <v>3101</v>
      </c>
      <c r="H605" s="12">
        <f>'NC post'!M22</f>
        <v>105.8493276214694</v>
      </c>
      <c r="I605" s="2">
        <v>165656</v>
      </c>
      <c r="J605" s="2">
        <v>31</v>
      </c>
      <c r="K605" s="2">
        <v>190000</v>
      </c>
      <c r="L605" s="41">
        <v>1925</v>
      </c>
      <c r="M605" s="2"/>
      <c r="N605" s="27" t="s">
        <v>412</v>
      </c>
      <c r="O605" s="27" t="s">
        <v>414</v>
      </c>
      <c r="P605" s="27" t="str">
        <f t="shared" si="44"/>
        <v>https://ia601407.us.archive.org/6/items/biennialreportof19241926nort/biennialreportof19241926nort.pdf#page=216</v>
      </c>
      <c r="Q605" s="27" t="s">
        <v>412</v>
      </c>
      <c r="R605" s="27" t="str">
        <f t="shared" si="45"/>
        <v>https://ia601407.us.archive.org/6/items/biennialreportof19241926nort/biennialreportof19241926nort.pdf#page=108</v>
      </c>
      <c r="S605" s="27" t="s">
        <v>415</v>
      </c>
      <c r="T605" s="27" t="s">
        <v>413</v>
      </c>
      <c r="U605" s="27" t="s">
        <v>413</v>
      </c>
    </row>
    <row r="606" spans="1:21" x14ac:dyDescent="0.25">
      <c r="A606" s="27" t="s">
        <v>1153</v>
      </c>
      <c r="B606" s="27" t="str">
        <f t="shared" si="42"/>
        <v>North Carolina</v>
      </c>
      <c r="C606" s="27" t="str">
        <f t="shared" si="43"/>
        <v>Clay</v>
      </c>
      <c r="D606" s="2">
        <v>949</v>
      </c>
      <c r="E606" s="2">
        <v>38</v>
      </c>
      <c r="F606" s="2">
        <f>'NC post'!J23</f>
        <v>133.66069546891464</v>
      </c>
      <c r="G606" s="2">
        <v>1417</v>
      </c>
      <c r="H606" s="12">
        <f>'NC post'!M23</f>
        <v>102.50488100592689</v>
      </c>
      <c r="I606" s="2">
        <v>61969</v>
      </c>
      <c r="J606" s="2">
        <v>16</v>
      </c>
      <c r="K606" s="2">
        <v>61000</v>
      </c>
      <c r="L606" s="41">
        <v>1925</v>
      </c>
      <c r="M606" s="2"/>
      <c r="N606" s="27" t="s">
        <v>412</v>
      </c>
      <c r="O606" s="27" t="s">
        <v>414</v>
      </c>
      <c r="P606" s="27" t="str">
        <f t="shared" si="44"/>
        <v>https://ia601407.us.archive.org/6/items/biennialreportof19241926nort/biennialreportof19241926nort.pdf#page=216</v>
      </c>
      <c r="Q606" s="27" t="s">
        <v>412</v>
      </c>
      <c r="R606" s="27" t="str">
        <f t="shared" si="45"/>
        <v>https://ia601407.us.archive.org/6/items/biennialreportof19241926nort/biennialreportof19241926nort.pdf#page=108</v>
      </c>
      <c r="S606" s="27" t="s">
        <v>415</v>
      </c>
      <c r="T606" s="27" t="s">
        <v>413</v>
      </c>
      <c r="U606" s="27" t="s">
        <v>413</v>
      </c>
    </row>
    <row r="607" spans="1:21" x14ac:dyDescent="0.25">
      <c r="A607" s="27" t="s">
        <v>1154</v>
      </c>
      <c r="B607" s="27" t="str">
        <f t="shared" si="42"/>
        <v>North Carolina</v>
      </c>
      <c r="C607" s="27" t="str">
        <f t="shared" si="43"/>
        <v>Cleveland</v>
      </c>
      <c r="D607" s="2">
        <v>9339</v>
      </c>
      <c r="E607" s="2">
        <v>319</v>
      </c>
      <c r="F607" s="2">
        <f>'NC post'!J24</f>
        <v>136.76207302709071</v>
      </c>
      <c r="G607" s="2">
        <v>12960</v>
      </c>
      <c r="H607" s="12">
        <f>'NC post'!M24</f>
        <v>105.84148987366402</v>
      </c>
      <c r="I607" s="2">
        <v>408773</v>
      </c>
      <c r="J607" s="2">
        <v>74</v>
      </c>
      <c r="K607" s="2">
        <v>642000</v>
      </c>
      <c r="L607" s="41">
        <v>1925</v>
      </c>
      <c r="M607" s="2"/>
      <c r="N607" s="27" t="s">
        <v>412</v>
      </c>
      <c r="O607" s="27" t="s">
        <v>414</v>
      </c>
      <c r="P607" s="27" t="str">
        <f t="shared" si="44"/>
        <v>https://ia601407.us.archive.org/6/items/biennialreportof19241926nort/biennialreportof19241926nort.pdf#page=216</v>
      </c>
      <c r="Q607" s="27" t="s">
        <v>412</v>
      </c>
      <c r="R607" s="27" t="str">
        <f t="shared" si="45"/>
        <v>https://ia601407.us.archive.org/6/items/biennialreportof19241926nort/biennialreportof19241926nort.pdf#page=108</v>
      </c>
      <c r="S607" s="27" t="s">
        <v>415</v>
      </c>
      <c r="T607" s="27" t="s">
        <v>413</v>
      </c>
      <c r="U607" s="27" t="s">
        <v>413</v>
      </c>
    </row>
    <row r="608" spans="1:21" x14ac:dyDescent="0.25">
      <c r="A608" s="27" t="s">
        <v>1155</v>
      </c>
      <c r="B608" s="27" t="str">
        <f t="shared" si="42"/>
        <v>North Carolina</v>
      </c>
      <c r="C608" s="27" t="str">
        <f t="shared" si="43"/>
        <v>Columbus</v>
      </c>
      <c r="D608" s="2">
        <v>7450</v>
      </c>
      <c r="E608" s="2">
        <v>307</v>
      </c>
      <c r="F608" s="2">
        <f>'NC post'!J25</f>
        <v>137.4579865771812</v>
      </c>
      <c r="G608" s="2">
        <v>10319</v>
      </c>
      <c r="H608" s="12">
        <f>'NC post'!M25</f>
        <v>88.174144643636922</v>
      </c>
      <c r="I608" s="2">
        <v>434152</v>
      </c>
      <c r="J608" s="2">
        <v>104</v>
      </c>
      <c r="K608" s="2">
        <v>506800</v>
      </c>
      <c r="L608" s="41">
        <v>1925</v>
      </c>
      <c r="M608" s="2"/>
      <c r="N608" s="27" t="s">
        <v>412</v>
      </c>
      <c r="O608" s="27" t="s">
        <v>414</v>
      </c>
      <c r="P608" s="27" t="str">
        <f t="shared" si="44"/>
        <v>https://ia601407.us.archive.org/6/items/biennialreportof19241926nort/biennialreportof19241926nort.pdf#page=216</v>
      </c>
      <c r="Q608" s="27" t="s">
        <v>412</v>
      </c>
      <c r="R608" s="27" t="str">
        <f t="shared" si="45"/>
        <v>https://ia601407.us.archive.org/6/items/biennialreportof19241926nort/biennialreportof19241926nort.pdf#page=108</v>
      </c>
      <c r="S608" s="27" t="s">
        <v>415</v>
      </c>
      <c r="T608" s="27" t="s">
        <v>413</v>
      </c>
      <c r="U608" s="27" t="s">
        <v>413</v>
      </c>
    </row>
    <row r="609" spans="1:21" x14ac:dyDescent="0.25">
      <c r="A609" s="27" t="s">
        <v>1156</v>
      </c>
      <c r="B609" s="27" t="str">
        <f t="shared" si="42"/>
        <v>North Carolina</v>
      </c>
      <c r="C609" s="27" t="str">
        <f t="shared" si="43"/>
        <v>Craven</v>
      </c>
      <c r="D609" s="2">
        <v>5638</v>
      </c>
      <c r="E609" s="2">
        <v>234</v>
      </c>
      <c r="F609" s="2">
        <f>'NC post'!J26</f>
        <v>145.26622915927635</v>
      </c>
      <c r="G609" s="2">
        <v>7699</v>
      </c>
      <c r="H609" s="12">
        <f>'NC post'!M26</f>
        <v>119.16344240369875</v>
      </c>
      <c r="I609" s="2">
        <v>431932</v>
      </c>
      <c r="J609" s="2">
        <v>74</v>
      </c>
      <c r="K609" s="2">
        <v>940200</v>
      </c>
      <c r="L609" s="41">
        <v>1925</v>
      </c>
      <c r="M609" s="2"/>
      <c r="N609" s="27" t="s">
        <v>412</v>
      </c>
      <c r="O609" s="27" t="s">
        <v>414</v>
      </c>
      <c r="P609" s="27" t="str">
        <f t="shared" si="44"/>
        <v>https://ia601407.us.archive.org/6/items/biennialreportof19241926nort/biennialreportof19241926nort.pdf#page=216</v>
      </c>
      <c r="Q609" s="27" t="s">
        <v>412</v>
      </c>
      <c r="R609" s="27" t="str">
        <f t="shared" si="45"/>
        <v>https://ia601407.us.archive.org/6/items/biennialreportof19241926nort/biennialreportof19241926nort.pdf#page=108</v>
      </c>
      <c r="S609" s="27" t="s">
        <v>415</v>
      </c>
      <c r="T609" s="27" t="s">
        <v>413</v>
      </c>
      <c r="U609" s="27" t="s">
        <v>413</v>
      </c>
    </row>
    <row r="610" spans="1:21" x14ac:dyDescent="0.25">
      <c r="A610" s="27" t="s">
        <v>1157</v>
      </c>
      <c r="B610" s="27" t="str">
        <f t="shared" si="42"/>
        <v>North Carolina</v>
      </c>
      <c r="C610" s="27" t="str">
        <f t="shared" si="43"/>
        <v>Cumberland</v>
      </c>
      <c r="D610" s="2">
        <v>8761</v>
      </c>
      <c r="E610" s="2">
        <v>288</v>
      </c>
      <c r="F610" s="2">
        <f>'NC post'!J27</f>
        <v>149.78039036639652</v>
      </c>
      <c r="G610" s="2">
        <v>11500</v>
      </c>
      <c r="H610" s="12">
        <f>'NC post'!M27</f>
        <v>108.88281421067458</v>
      </c>
      <c r="I610" s="2">
        <v>658008</v>
      </c>
      <c r="J610" s="2">
        <v>74</v>
      </c>
      <c r="K610" s="2">
        <v>1176000</v>
      </c>
      <c r="L610" s="41">
        <v>1925</v>
      </c>
      <c r="M610" s="2"/>
      <c r="N610" s="27" t="s">
        <v>412</v>
      </c>
      <c r="O610" s="27" t="s">
        <v>414</v>
      </c>
      <c r="P610" s="27" t="str">
        <f t="shared" si="44"/>
        <v>https://ia601407.us.archive.org/6/items/biennialreportof19241926nort/biennialreportof19241926nort.pdf#page=216</v>
      </c>
      <c r="Q610" s="27" t="s">
        <v>412</v>
      </c>
      <c r="R610" s="27" t="str">
        <f t="shared" si="45"/>
        <v>https://ia601407.us.archive.org/6/items/biennialreportof19241926nort/biennialreportof19241926nort.pdf#page=108</v>
      </c>
      <c r="S610" s="27" t="s">
        <v>415</v>
      </c>
      <c r="T610" s="27" t="s">
        <v>413</v>
      </c>
      <c r="U610" s="27" t="s">
        <v>413</v>
      </c>
    </row>
    <row r="611" spans="1:21" x14ac:dyDescent="0.25">
      <c r="A611" s="27" t="s">
        <v>1158</v>
      </c>
      <c r="B611" s="27" t="str">
        <f t="shared" si="42"/>
        <v>North Carolina</v>
      </c>
      <c r="C611" s="27" t="str">
        <f t="shared" si="43"/>
        <v>Currituck</v>
      </c>
      <c r="D611" s="2">
        <v>1364</v>
      </c>
      <c r="E611" s="2">
        <v>62</v>
      </c>
      <c r="F611" s="2">
        <f>'NC post'!J28</f>
        <v>158.77346041055719</v>
      </c>
      <c r="G611" s="2">
        <v>1949</v>
      </c>
      <c r="H611" s="12">
        <f>'NC post'!M28</f>
        <v>113.57384827790013</v>
      </c>
      <c r="I611" s="2">
        <v>101933</v>
      </c>
      <c r="J611" s="2">
        <v>23</v>
      </c>
      <c r="K611" s="2">
        <v>230345</v>
      </c>
      <c r="L611" s="41">
        <v>1925</v>
      </c>
      <c r="M611" s="2"/>
      <c r="N611" s="27" t="s">
        <v>412</v>
      </c>
      <c r="O611" s="27" t="s">
        <v>414</v>
      </c>
      <c r="P611" s="27" t="str">
        <f t="shared" si="44"/>
        <v>https://ia601407.us.archive.org/6/items/biennialreportof19241926nort/biennialreportof19241926nort.pdf#page=216</v>
      </c>
      <c r="Q611" s="27" t="s">
        <v>412</v>
      </c>
      <c r="R611" s="27" t="str">
        <f t="shared" si="45"/>
        <v>https://ia601407.us.archive.org/6/items/biennialreportof19241926nort/biennialreportof19241926nort.pdf#page=108</v>
      </c>
      <c r="S611" s="27" t="s">
        <v>415</v>
      </c>
      <c r="T611" s="27" t="s">
        <v>413</v>
      </c>
      <c r="U611" s="27" t="s">
        <v>413</v>
      </c>
    </row>
    <row r="612" spans="1:21" x14ac:dyDescent="0.25">
      <c r="A612" s="27" t="s">
        <v>1159</v>
      </c>
      <c r="B612" s="27" t="str">
        <f t="shared" si="42"/>
        <v>North Carolina</v>
      </c>
      <c r="C612" s="27" t="str">
        <f t="shared" si="43"/>
        <v>Dare</v>
      </c>
      <c r="D612" s="2">
        <v>1134</v>
      </c>
      <c r="E612" s="2">
        <v>50</v>
      </c>
      <c r="F612" s="2">
        <f>'NC post'!J29</f>
        <v>137.6931216931217</v>
      </c>
      <c r="G612" s="2">
        <v>1315</v>
      </c>
      <c r="H612" s="12">
        <f>'NC post'!M29</f>
        <v>98.411596987396251</v>
      </c>
      <c r="I612" s="2">
        <v>73494</v>
      </c>
      <c r="J612" s="2">
        <v>18</v>
      </c>
      <c r="K612" s="2">
        <v>91400</v>
      </c>
      <c r="L612" s="41">
        <v>1925</v>
      </c>
      <c r="M612" s="2"/>
      <c r="N612" s="27" t="s">
        <v>412</v>
      </c>
      <c r="O612" s="27" t="s">
        <v>414</v>
      </c>
      <c r="P612" s="27" t="str">
        <f t="shared" si="44"/>
        <v>https://ia601407.us.archive.org/6/items/biennialreportof19241926nort/biennialreportof19241926nort.pdf#page=216</v>
      </c>
      <c r="Q612" s="27" t="s">
        <v>412</v>
      </c>
      <c r="R612" s="27" t="str">
        <f t="shared" si="45"/>
        <v>https://ia601407.us.archive.org/6/items/biennialreportof19241926nort/biennialreportof19241926nort.pdf#page=108</v>
      </c>
      <c r="S612" s="27" t="s">
        <v>415</v>
      </c>
      <c r="T612" s="27" t="s">
        <v>413</v>
      </c>
      <c r="U612" s="27" t="s">
        <v>413</v>
      </c>
    </row>
    <row r="613" spans="1:21" x14ac:dyDescent="0.25">
      <c r="A613" s="27" t="s">
        <v>1160</v>
      </c>
      <c r="B613" s="27" t="str">
        <f t="shared" si="42"/>
        <v>North Carolina</v>
      </c>
      <c r="C613" s="27" t="str">
        <f t="shared" si="43"/>
        <v>Davidson</v>
      </c>
      <c r="D613" s="2">
        <v>8477</v>
      </c>
      <c r="E613" s="2">
        <v>295</v>
      </c>
      <c r="F613" s="2">
        <f>'NC post'!J30</f>
        <v>143.32417128701192</v>
      </c>
      <c r="G613" s="2">
        <v>10716</v>
      </c>
      <c r="H613" s="12">
        <f>'NC post'!M30</f>
        <v>111.65220435129142</v>
      </c>
      <c r="I613" s="2">
        <v>494419</v>
      </c>
      <c r="J613" s="2">
        <v>88</v>
      </c>
      <c r="K613" s="2">
        <v>1193800</v>
      </c>
      <c r="L613" s="41">
        <v>1925</v>
      </c>
      <c r="M613" s="2"/>
      <c r="N613" s="27" t="s">
        <v>412</v>
      </c>
      <c r="O613" s="27" t="s">
        <v>416</v>
      </c>
      <c r="P613" s="27" t="str">
        <f t="shared" si="44"/>
        <v>https://ia601407.us.archive.org/6/items/biennialreportof19241926nort/biennialreportof19241926nort.pdf#page=216</v>
      </c>
      <c r="Q613" s="27" t="s">
        <v>412</v>
      </c>
      <c r="R613" s="27" t="str">
        <f t="shared" si="45"/>
        <v>https://ia601407.us.archive.org/6/items/biennialreportof19241926nort/biennialreportof19241926nort.pdf#page=108</v>
      </c>
      <c r="S613" s="27" t="s">
        <v>417</v>
      </c>
      <c r="T613" s="27" t="s">
        <v>418</v>
      </c>
      <c r="U613" s="27" t="s">
        <v>418</v>
      </c>
    </row>
    <row r="614" spans="1:21" x14ac:dyDescent="0.25">
      <c r="A614" s="27" t="s">
        <v>1161</v>
      </c>
      <c r="B614" s="27" t="str">
        <f t="shared" si="42"/>
        <v>North Carolina</v>
      </c>
      <c r="C614" s="27" t="str">
        <f t="shared" si="43"/>
        <v>Davie</v>
      </c>
      <c r="D614" s="2">
        <v>2888</v>
      </c>
      <c r="E614" s="2">
        <v>118</v>
      </c>
      <c r="F614" s="2">
        <f>'NC post'!J31</f>
        <v>134.97022160664821</v>
      </c>
      <c r="G614" s="2">
        <v>3900</v>
      </c>
      <c r="H614" s="12">
        <f>'NC post'!M31</f>
        <v>102.03463493059306</v>
      </c>
      <c r="I614" s="2">
        <v>304940</v>
      </c>
      <c r="J614" s="2">
        <v>42</v>
      </c>
      <c r="K614" s="2">
        <v>372810</v>
      </c>
      <c r="L614" s="41">
        <v>1925</v>
      </c>
      <c r="M614" s="2"/>
      <c r="N614" s="27" t="s">
        <v>412</v>
      </c>
      <c r="O614" s="27" t="s">
        <v>416</v>
      </c>
      <c r="P614" s="27" t="str">
        <f t="shared" si="44"/>
        <v>https://ia601407.us.archive.org/6/items/biennialreportof19241926nort/biennialreportof19241926nort.pdf#page=216</v>
      </c>
      <c r="Q614" s="27" t="s">
        <v>412</v>
      </c>
      <c r="R614" s="27" t="str">
        <f t="shared" si="45"/>
        <v>https://ia601407.us.archive.org/6/items/biennialreportof19241926nort/biennialreportof19241926nort.pdf#page=108</v>
      </c>
      <c r="S614" s="27" t="s">
        <v>417</v>
      </c>
      <c r="T614" s="27" t="s">
        <v>418</v>
      </c>
      <c r="U614" s="27" t="s">
        <v>418</v>
      </c>
    </row>
    <row r="615" spans="1:21" x14ac:dyDescent="0.25">
      <c r="A615" s="27" t="s">
        <v>1162</v>
      </c>
      <c r="B615" s="27" t="str">
        <f t="shared" si="42"/>
        <v>North Carolina</v>
      </c>
      <c r="C615" s="27" t="str">
        <f t="shared" si="43"/>
        <v>Duplin</v>
      </c>
      <c r="D615" s="2">
        <v>8212</v>
      </c>
      <c r="E615" s="2">
        <v>288</v>
      </c>
      <c r="F615" s="2">
        <f>'NC post'!J32</f>
        <v>133.663419386264</v>
      </c>
      <c r="G615" s="2">
        <v>11129</v>
      </c>
      <c r="H615" s="12">
        <f>'NC post'!M32</f>
        <v>91.851083246885551</v>
      </c>
      <c r="I615" s="2">
        <v>375157</v>
      </c>
      <c r="J615" s="2">
        <v>116</v>
      </c>
      <c r="K615" s="2">
        <v>735255</v>
      </c>
      <c r="L615" s="41">
        <v>1925</v>
      </c>
      <c r="M615" s="2"/>
      <c r="N615" s="27" t="s">
        <v>412</v>
      </c>
      <c r="O615" s="27" t="s">
        <v>416</v>
      </c>
      <c r="P615" s="27" t="str">
        <f t="shared" si="44"/>
        <v>https://ia601407.us.archive.org/6/items/biennialreportof19241926nort/biennialreportof19241926nort.pdf#page=216</v>
      </c>
      <c r="Q615" s="27" t="s">
        <v>412</v>
      </c>
      <c r="R615" s="27" t="str">
        <f t="shared" si="45"/>
        <v>https://ia601407.us.archive.org/6/items/biennialreportof19241926nort/biennialreportof19241926nort.pdf#page=108</v>
      </c>
      <c r="S615" s="27" t="s">
        <v>417</v>
      </c>
      <c r="T615" s="27" t="s">
        <v>418</v>
      </c>
      <c r="U615" s="27" t="s">
        <v>418</v>
      </c>
    </row>
    <row r="616" spans="1:21" x14ac:dyDescent="0.25">
      <c r="A616" s="27" t="s">
        <v>1163</v>
      </c>
      <c r="B616" s="27" t="str">
        <f t="shared" si="42"/>
        <v>North Carolina</v>
      </c>
      <c r="C616" s="27" t="str">
        <f t="shared" si="43"/>
        <v>Durham</v>
      </c>
      <c r="D616" s="2">
        <v>9769</v>
      </c>
      <c r="E616" s="2">
        <v>384</v>
      </c>
      <c r="F616" s="2">
        <f>'NC post'!J33</f>
        <v>168.70549698024362</v>
      </c>
      <c r="G616" s="2">
        <v>12936</v>
      </c>
      <c r="H616" s="12">
        <f>'NC post'!M33</f>
        <v>152.52094837696126</v>
      </c>
      <c r="I616" s="2">
        <v>1033326</v>
      </c>
      <c r="J616" s="2">
        <v>68</v>
      </c>
      <c r="K616" s="2">
        <v>1838505</v>
      </c>
      <c r="L616" s="41">
        <v>1925</v>
      </c>
      <c r="M616" s="2"/>
      <c r="N616" s="27" t="s">
        <v>412</v>
      </c>
      <c r="O616" s="27" t="s">
        <v>416</v>
      </c>
      <c r="P616" s="27" t="str">
        <f t="shared" si="44"/>
        <v>https://ia601407.us.archive.org/6/items/biennialreportof19241926nort/biennialreportof19241926nort.pdf#page=216</v>
      </c>
      <c r="Q616" s="27" t="s">
        <v>412</v>
      </c>
      <c r="R616" s="27" t="str">
        <f t="shared" si="45"/>
        <v>https://ia601407.us.archive.org/6/items/biennialreportof19241926nort/biennialreportof19241926nort.pdf#page=108</v>
      </c>
      <c r="S616" s="27" t="s">
        <v>417</v>
      </c>
      <c r="T616" s="27" t="s">
        <v>418</v>
      </c>
      <c r="U616" s="27" t="s">
        <v>418</v>
      </c>
    </row>
    <row r="617" spans="1:21" x14ac:dyDescent="0.25">
      <c r="A617" s="27" t="s">
        <v>1164</v>
      </c>
      <c r="B617" s="27" t="str">
        <f t="shared" si="42"/>
        <v>North Carolina</v>
      </c>
      <c r="C617" s="27" t="str">
        <f t="shared" si="43"/>
        <v>Edgecombe</v>
      </c>
      <c r="D617" s="2">
        <v>6491</v>
      </c>
      <c r="E617" s="2">
        <v>219</v>
      </c>
      <c r="F617" s="2">
        <f>'NC post'!J34</f>
        <v>146.01725466029887</v>
      </c>
      <c r="G617" s="2">
        <v>10063</v>
      </c>
      <c r="H617" s="12">
        <f>'NC post'!M34</f>
        <v>106.36636222921746</v>
      </c>
      <c r="I617" s="2">
        <v>553860</v>
      </c>
      <c r="J617" s="2">
        <v>63</v>
      </c>
      <c r="K617" s="2">
        <v>819400</v>
      </c>
      <c r="L617" s="41">
        <v>1925</v>
      </c>
      <c r="M617" s="2"/>
      <c r="N617" s="27" t="s">
        <v>419</v>
      </c>
      <c r="O617" s="27" t="s">
        <v>416</v>
      </c>
      <c r="P617" s="27" t="str">
        <f t="shared" si="44"/>
        <v>https://ia601407.us.archive.org/6/items/biennialreportof19241926nort/biennialreportof19241926nort.pdf#page=216</v>
      </c>
      <c r="Q617" s="27" t="s">
        <v>419</v>
      </c>
      <c r="R617" s="27" t="str">
        <f t="shared" si="45"/>
        <v>https://ia601407.us.archive.org/6/items/biennialreportof19241926nort/biennialreportof19241926nort.pdf#page=108</v>
      </c>
      <c r="S617" s="27" t="s">
        <v>417</v>
      </c>
      <c r="T617" s="27" t="s">
        <v>418</v>
      </c>
      <c r="U617" s="27" t="s">
        <v>418</v>
      </c>
    </row>
    <row r="618" spans="1:21" x14ac:dyDescent="0.25">
      <c r="A618" s="27" t="s">
        <v>1165</v>
      </c>
      <c r="B618" s="27" t="str">
        <f t="shared" si="42"/>
        <v>North Carolina</v>
      </c>
      <c r="C618" s="27" t="str">
        <f t="shared" si="43"/>
        <v>Forsyth</v>
      </c>
      <c r="D618" s="2">
        <v>16609</v>
      </c>
      <c r="E618" s="2">
        <v>608</v>
      </c>
      <c r="F618" s="2">
        <f>'NC post'!J35</f>
        <v>162.43434282617858</v>
      </c>
      <c r="G618" s="2">
        <v>30557</v>
      </c>
      <c r="H618" s="12">
        <f>'NC post'!M35</f>
        <v>128.25758893454292</v>
      </c>
      <c r="I618" s="2">
        <v>1938769</v>
      </c>
      <c r="J618" s="2">
        <v>92</v>
      </c>
      <c r="K618" s="2">
        <v>2648370</v>
      </c>
      <c r="L618" s="41">
        <v>1925</v>
      </c>
      <c r="M618" s="2"/>
      <c r="N618" s="27" t="s">
        <v>419</v>
      </c>
      <c r="O618" s="27" t="s">
        <v>416</v>
      </c>
      <c r="P618" s="27" t="str">
        <f t="shared" si="44"/>
        <v>https://ia601407.us.archive.org/6/items/biennialreportof19241926nort/biennialreportof19241926nort.pdf#page=216</v>
      </c>
      <c r="Q618" s="27" t="s">
        <v>419</v>
      </c>
      <c r="R618" s="27" t="str">
        <f t="shared" si="45"/>
        <v>https://ia601407.us.archive.org/6/items/biennialreportof19241926nort/biennialreportof19241926nort.pdf#page=108</v>
      </c>
      <c r="S618" s="27" t="s">
        <v>417</v>
      </c>
      <c r="T618" s="27" t="s">
        <v>418</v>
      </c>
      <c r="U618" s="27" t="s">
        <v>418</v>
      </c>
    </row>
    <row r="619" spans="1:21" x14ac:dyDescent="0.25">
      <c r="A619" s="27" t="s">
        <v>1166</v>
      </c>
      <c r="B619" s="27" t="str">
        <f t="shared" si="42"/>
        <v>North Carolina</v>
      </c>
      <c r="C619" s="27" t="str">
        <f t="shared" si="43"/>
        <v>Franklin</v>
      </c>
      <c r="D619" s="2">
        <v>5749</v>
      </c>
      <c r="E619" s="2">
        <v>218</v>
      </c>
      <c r="F619" s="2">
        <f>'NC post'!J36</f>
        <v>143.53574534701687</v>
      </c>
      <c r="G619" s="2">
        <v>8329</v>
      </c>
      <c r="H619" s="12">
        <f>'NC post'!M36</f>
        <v>88.70417076438487</v>
      </c>
      <c r="I619" s="2">
        <v>455300</v>
      </c>
      <c r="J619" s="2">
        <v>76</v>
      </c>
      <c r="K619" s="2">
        <v>680700</v>
      </c>
      <c r="L619" s="41">
        <v>1925</v>
      </c>
      <c r="M619" s="2"/>
      <c r="N619" s="27" t="s">
        <v>419</v>
      </c>
      <c r="O619" s="27" t="s">
        <v>416</v>
      </c>
      <c r="P619" s="27" t="str">
        <f t="shared" si="44"/>
        <v>https://ia601407.us.archive.org/6/items/biennialreportof19241926nort/biennialreportof19241926nort.pdf#page=216</v>
      </c>
      <c r="Q619" s="27" t="s">
        <v>419</v>
      </c>
      <c r="R619" s="27" t="str">
        <f t="shared" si="45"/>
        <v>https://ia601407.us.archive.org/6/items/biennialreportof19241926nort/biennialreportof19241926nort.pdf#page=108</v>
      </c>
      <c r="S619" s="27" t="s">
        <v>417</v>
      </c>
      <c r="T619" s="27" t="s">
        <v>420</v>
      </c>
      <c r="U619" s="27" t="s">
        <v>420</v>
      </c>
    </row>
    <row r="620" spans="1:21" x14ac:dyDescent="0.25">
      <c r="A620" s="27" t="s">
        <v>1167</v>
      </c>
      <c r="B620" s="27" t="str">
        <f t="shared" si="42"/>
        <v>North Carolina</v>
      </c>
      <c r="C620" s="27" t="str">
        <f t="shared" si="43"/>
        <v>Gaston</v>
      </c>
      <c r="D620" s="2">
        <v>12508</v>
      </c>
      <c r="E620" s="2">
        <v>555</v>
      </c>
      <c r="F620" s="2">
        <f>'NC post'!J37</f>
        <v>160.21937959705789</v>
      </c>
      <c r="G620" s="2">
        <v>18791</v>
      </c>
      <c r="H620" s="12">
        <f>'NC post'!M37</f>
        <v>118.98214693945691</v>
      </c>
      <c r="I620" s="2">
        <v>1499893</v>
      </c>
      <c r="J620" s="2">
        <v>91</v>
      </c>
      <c r="K620" s="2">
        <v>2428700</v>
      </c>
      <c r="L620" s="41">
        <v>1925</v>
      </c>
      <c r="M620" s="2"/>
      <c r="N620" s="27" t="s">
        <v>419</v>
      </c>
      <c r="O620" s="27" t="s">
        <v>416</v>
      </c>
      <c r="P620" s="27" t="str">
        <f t="shared" si="44"/>
        <v>https://ia601407.us.archive.org/6/items/biennialreportof19241926nort/biennialreportof19241926nort.pdf#page=216</v>
      </c>
      <c r="Q620" s="27" t="s">
        <v>419</v>
      </c>
      <c r="R620" s="27" t="str">
        <f t="shared" si="45"/>
        <v>https://ia601407.us.archive.org/6/items/biennialreportof19241926nort/biennialreportof19241926nort.pdf#page=108</v>
      </c>
      <c r="S620" s="27" t="s">
        <v>421</v>
      </c>
      <c r="T620" s="27" t="s">
        <v>420</v>
      </c>
      <c r="U620" s="27" t="s">
        <v>420</v>
      </c>
    </row>
    <row r="621" spans="1:21" x14ac:dyDescent="0.25">
      <c r="A621" s="27" t="s">
        <v>1168</v>
      </c>
      <c r="B621" s="27" t="str">
        <f t="shared" si="42"/>
        <v>North Carolina</v>
      </c>
      <c r="C621" s="27" t="str">
        <f t="shared" si="43"/>
        <v>Gates</v>
      </c>
      <c r="D621" s="2">
        <v>2258</v>
      </c>
      <c r="E621" s="2">
        <v>89</v>
      </c>
      <c r="F621" s="2">
        <f>'NC post'!J38</f>
        <v>127.4162976085031</v>
      </c>
      <c r="G621" s="2">
        <v>3480</v>
      </c>
      <c r="H621" s="12">
        <f>'NC post'!M38</f>
        <v>97.621293772348892</v>
      </c>
      <c r="I621" s="2">
        <v>142264</v>
      </c>
      <c r="J621" s="2">
        <v>40</v>
      </c>
      <c r="K621" s="2">
        <v>176050</v>
      </c>
      <c r="L621" s="41">
        <v>1925</v>
      </c>
      <c r="M621" s="2"/>
      <c r="N621" s="27" t="s">
        <v>419</v>
      </c>
      <c r="O621" s="27" t="s">
        <v>422</v>
      </c>
      <c r="P621" s="27" t="str">
        <f t="shared" si="44"/>
        <v>https://ia601407.us.archive.org/6/items/biennialreportof19241926nort/biennialreportof19241926nort.pdf#page=216</v>
      </c>
      <c r="Q621" s="27" t="s">
        <v>419</v>
      </c>
      <c r="R621" s="27" t="str">
        <f t="shared" si="45"/>
        <v>https://ia601407.us.archive.org/6/items/biennialreportof19241926nort/biennialreportof19241926nort.pdf#page=108</v>
      </c>
      <c r="S621" s="27" t="s">
        <v>421</v>
      </c>
      <c r="T621" s="27" t="s">
        <v>420</v>
      </c>
      <c r="U621" s="27" t="s">
        <v>420</v>
      </c>
    </row>
    <row r="622" spans="1:21" x14ac:dyDescent="0.25">
      <c r="A622" s="27" t="s">
        <v>1169</v>
      </c>
      <c r="B622" s="27" t="str">
        <f t="shared" si="42"/>
        <v>North Carolina</v>
      </c>
      <c r="C622" s="27" t="str">
        <f t="shared" si="43"/>
        <v>Graham</v>
      </c>
      <c r="D622" s="2">
        <v>875</v>
      </c>
      <c r="E622" s="2">
        <v>39</v>
      </c>
      <c r="F622" s="2">
        <f>'NC post'!J39</f>
        <v>137</v>
      </c>
      <c r="G622" s="2">
        <v>1346</v>
      </c>
      <c r="H622" s="12">
        <f>'NC post'!M39</f>
        <v>96.099719258843351</v>
      </c>
      <c r="I622" s="2">
        <v>60377</v>
      </c>
      <c r="J622" s="2">
        <v>23</v>
      </c>
      <c r="K622" s="2">
        <v>70500</v>
      </c>
      <c r="L622" s="41">
        <v>1925</v>
      </c>
      <c r="M622" s="2"/>
      <c r="N622" s="27" t="s">
        <v>419</v>
      </c>
      <c r="O622" s="27" t="s">
        <v>422</v>
      </c>
      <c r="P622" s="27" t="str">
        <f t="shared" si="44"/>
        <v>https://ia601407.us.archive.org/6/items/biennialreportof19241926nort/biennialreportof19241926nort.pdf#page=216</v>
      </c>
      <c r="Q622" s="27" t="s">
        <v>419</v>
      </c>
      <c r="R622" s="27" t="str">
        <f t="shared" si="45"/>
        <v>https://ia601407.us.archive.org/6/items/biennialreportof19241926nort/biennialreportof19241926nort.pdf#page=108</v>
      </c>
      <c r="S622" s="27" t="s">
        <v>421</v>
      </c>
      <c r="T622" s="27" t="s">
        <v>420</v>
      </c>
      <c r="U622" s="27" t="s">
        <v>420</v>
      </c>
    </row>
    <row r="623" spans="1:21" x14ac:dyDescent="0.25">
      <c r="A623" s="27" t="s">
        <v>1170</v>
      </c>
      <c r="B623" s="27" t="str">
        <f t="shared" si="42"/>
        <v>North Carolina</v>
      </c>
      <c r="C623" s="27" t="str">
        <f t="shared" si="43"/>
        <v>Granville</v>
      </c>
      <c r="D623" s="2">
        <v>5552</v>
      </c>
      <c r="E623" s="2">
        <v>201</v>
      </c>
      <c r="F623" s="2">
        <f>'NC post'!J40</f>
        <v>145.86167146974063</v>
      </c>
      <c r="G623" s="2">
        <v>7844</v>
      </c>
      <c r="H623" s="12">
        <f>'NC post'!M40</f>
        <v>110.29991762843821</v>
      </c>
      <c r="I623" s="2">
        <v>761362</v>
      </c>
      <c r="J623" s="2">
        <v>77</v>
      </c>
      <c r="K623" s="2">
        <v>665000</v>
      </c>
      <c r="L623" s="41">
        <v>1925</v>
      </c>
      <c r="M623" s="2"/>
      <c r="N623" s="27" t="s">
        <v>419</v>
      </c>
      <c r="O623" s="27" t="s">
        <v>422</v>
      </c>
      <c r="P623" s="27" t="str">
        <f t="shared" si="44"/>
        <v>https://ia601407.us.archive.org/6/items/biennialreportof19241926nort/biennialreportof19241926nort.pdf#page=216</v>
      </c>
      <c r="Q623" s="27" t="s">
        <v>419</v>
      </c>
      <c r="R623" s="27" t="str">
        <f t="shared" si="45"/>
        <v>https://ia601407.us.archive.org/6/items/biennialreportof19241926nort/biennialreportof19241926nort.pdf#page=108</v>
      </c>
      <c r="S623" s="27" t="s">
        <v>421</v>
      </c>
      <c r="T623" s="27" t="s">
        <v>420</v>
      </c>
      <c r="U623" s="27" t="s">
        <v>420</v>
      </c>
    </row>
    <row r="624" spans="1:21" x14ac:dyDescent="0.25">
      <c r="A624" s="27" t="s">
        <v>1171</v>
      </c>
      <c r="B624" s="27" t="str">
        <f t="shared" si="42"/>
        <v>North Carolina</v>
      </c>
      <c r="C624" s="27" t="str">
        <f t="shared" si="43"/>
        <v>Greene</v>
      </c>
      <c r="D624" s="2">
        <v>3236</v>
      </c>
      <c r="E624" s="2">
        <v>130</v>
      </c>
      <c r="F624" s="2">
        <f>'NC post'!J41</f>
        <v>127.69932014833127</v>
      </c>
      <c r="G624" s="2">
        <v>4853</v>
      </c>
      <c r="H624" s="12">
        <f>'NC post'!M41</f>
        <v>86.344655816070372</v>
      </c>
      <c r="I624" s="2">
        <v>113081</v>
      </c>
      <c r="J624" s="2">
        <v>46</v>
      </c>
      <c r="K624" s="2">
        <v>290000</v>
      </c>
      <c r="L624" s="41">
        <v>1925</v>
      </c>
      <c r="M624" s="2"/>
      <c r="N624" s="27" t="s">
        <v>419</v>
      </c>
      <c r="O624" s="27" t="s">
        <v>422</v>
      </c>
      <c r="P624" s="27" t="str">
        <f t="shared" si="44"/>
        <v>https://ia601407.us.archive.org/6/items/biennialreportof19241926nort/biennialreportof19241926nort.pdf#page=216</v>
      </c>
      <c r="Q624" s="27" t="s">
        <v>419</v>
      </c>
      <c r="R624" s="27" t="str">
        <f t="shared" si="45"/>
        <v>https://ia601407.us.archive.org/6/items/biennialreportof19241926nort/biennialreportof19241926nort.pdf#page=108</v>
      </c>
      <c r="S624" s="27" t="s">
        <v>421</v>
      </c>
      <c r="T624" s="27" t="s">
        <v>420</v>
      </c>
      <c r="U624" s="27" t="s">
        <v>420</v>
      </c>
    </row>
    <row r="625" spans="1:21" x14ac:dyDescent="0.25">
      <c r="A625" s="27" t="s">
        <v>1172</v>
      </c>
      <c r="B625" s="27" t="str">
        <f t="shared" si="42"/>
        <v>North Carolina</v>
      </c>
      <c r="C625" s="27" t="str">
        <f t="shared" si="43"/>
        <v>Guilford</v>
      </c>
      <c r="D625" s="2">
        <v>20141</v>
      </c>
      <c r="E625" s="2">
        <v>774</v>
      </c>
      <c r="F625" s="2">
        <f>'NC post'!J42</f>
        <v>164.78978203664167</v>
      </c>
      <c r="G625" s="2">
        <v>25625</v>
      </c>
      <c r="H625" s="12">
        <f>'NC post'!M42</f>
        <v>128.45320534429482</v>
      </c>
      <c r="I625" s="2">
        <v>2302311</v>
      </c>
      <c r="J625" s="2">
        <v>117</v>
      </c>
      <c r="K625" s="2">
        <v>3829320</v>
      </c>
      <c r="L625" s="41">
        <v>1925</v>
      </c>
      <c r="M625" s="2"/>
      <c r="N625" s="27" t="s">
        <v>419</v>
      </c>
      <c r="O625" s="27" t="s">
        <v>422</v>
      </c>
      <c r="P625" s="27" t="str">
        <f t="shared" si="44"/>
        <v>https://ia601407.us.archive.org/6/items/biennialreportof19241926nort/biennialreportof19241926nort.pdf#page=216</v>
      </c>
      <c r="Q625" s="27" t="s">
        <v>419</v>
      </c>
      <c r="R625" s="27" t="str">
        <f t="shared" si="45"/>
        <v>https://ia601407.us.archive.org/6/items/biennialreportof19241926nort/biennialreportof19241926nort.pdf#page=108</v>
      </c>
      <c r="S625" s="27" t="s">
        <v>421</v>
      </c>
      <c r="T625" s="27" t="s">
        <v>420</v>
      </c>
      <c r="U625" s="27" t="s">
        <v>420</v>
      </c>
    </row>
    <row r="626" spans="1:21" x14ac:dyDescent="0.25">
      <c r="A626" s="27" t="s">
        <v>1173</v>
      </c>
      <c r="B626" s="27" t="str">
        <f t="shared" si="42"/>
        <v>North Carolina</v>
      </c>
      <c r="C626" s="27" t="str">
        <f t="shared" si="43"/>
        <v>Halifax</v>
      </c>
      <c r="D626" s="2">
        <v>8554</v>
      </c>
      <c r="E626" s="2">
        <v>318</v>
      </c>
      <c r="F626" s="2">
        <f>'NC post'!J43</f>
        <v>152.8131868131868</v>
      </c>
      <c r="G626" s="2">
        <v>13324</v>
      </c>
      <c r="H626" s="12">
        <f>'NC post'!M43</f>
        <v>113.88404371851615</v>
      </c>
      <c r="I626" s="2">
        <v>765080</v>
      </c>
      <c r="J626" s="2">
        <v>102</v>
      </c>
      <c r="K626" s="2">
        <v>1314680</v>
      </c>
      <c r="L626" s="41">
        <v>1925</v>
      </c>
      <c r="M626" s="2"/>
      <c r="N626" s="27" t="s">
        <v>419</v>
      </c>
      <c r="O626" s="27" t="s">
        <v>422</v>
      </c>
      <c r="P626" s="27" t="str">
        <f t="shared" si="44"/>
        <v>https://ia601407.us.archive.org/6/items/biennialreportof19241926nort/biennialreportof19241926nort.pdf#page=216</v>
      </c>
      <c r="Q626" s="27" t="s">
        <v>419</v>
      </c>
      <c r="R626" s="27" t="str">
        <f t="shared" si="45"/>
        <v>https://ia601407.us.archive.org/6/items/biennialreportof19241926nort/biennialreportof19241926nort.pdf#page=108</v>
      </c>
      <c r="S626" s="27" t="s">
        <v>421</v>
      </c>
      <c r="T626" s="27" t="s">
        <v>420</v>
      </c>
      <c r="U626" s="27" t="s">
        <v>420</v>
      </c>
    </row>
    <row r="627" spans="1:21" x14ac:dyDescent="0.25">
      <c r="A627" s="27" t="s">
        <v>1174</v>
      </c>
      <c r="B627" s="27" t="str">
        <f t="shared" si="42"/>
        <v>North Carolina</v>
      </c>
      <c r="C627" s="27" t="str">
        <f t="shared" si="43"/>
        <v>Harnett</v>
      </c>
      <c r="D627" s="2">
        <v>7583</v>
      </c>
      <c r="E627" s="2">
        <v>299</v>
      </c>
      <c r="F627" s="2">
        <f>'NC post'!J44</f>
        <v>132.83898193327178</v>
      </c>
      <c r="G627" s="2">
        <v>10559</v>
      </c>
      <c r="H627" s="12">
        <f>'NC post'!M44</f>
        <v>101.86023084206897</v>
      </c>
      <c r="I627" s="2">
        <v>675886</v>
      </c>
      <c r="J627" s="2">
        <v>95</v>
      </c>
      <c r="K627" s="2">
        <v>860000</v>
      </c>
      <c r="L627" s="41">
        <v>1925</v>
      </c>
      <c r="M627" s="2"/>
      <c r="N627" s="27" t="s">
        <v>419</v>
      </c>
      <c r="O627" s="27" t="s">
        <v>422</v>
      </c>
      <c r="P627" s="27" t="str">
        <f t="shared" si="44"/>
        <v>https://ia601407.us.archive.org/6/items/biennialreportof19241926nort/biennialreportof19241926nort.pdf#page=216</v>
      </c>
      <c r="Q627" s="27" t="s">
        <v>419</v>
      </c>
      <c r="R627" s="27" t="str">
        <f t="shared" si="45"/>
        <v>https://ia601407.us.archive.org/6/items/biennialreportof19241926nort/biennialreportof19241926nort.pdf#page=108</v>
      </c>
      <c r="S627" s="27" t="s">
        <v>421</v>
      </c>
      <c r="T627" s="27" t="s">
        <v>420</v>
      </c>
      <c r="U627" s="27" t="s">
        <v>420</v>
      </c>
    </row>
    <row r="628" spans="1:21" x14ac:dyDescent="0.25">
      <c r="A628" s="27" t="s">
        <v>1175</v>
      </c>
      <c r="B628" s="27" t="str">
        <f t="shared" si="42"/>
        <v>North Carolina</v>
      </c>
      <c r="C628" s="27" t="str">
        <f t="shared" si="43"/>
        <v>Haywood</v>
      </c>
      <c r="D628" s="2">
        <v>5145</v>
      </c>
      <c r="E628" s="2">
        <v>196</v>
      </c>
      <c r="F628" s="2">
        <f>'NC post'!J45</f>
        <v>144.60291545189506</v>
      </c>
      <c r="G628" s="2">
        <v>6935</v>
      </c>
      <c r="H628" s="12">
        <f>'NC post'!M45</f>
        <v>94.616511891416721</v>
      </c>
      <c r="I628" s="2">
        <v>414194</v>
      </c>
      <c r="J628" s="2">
        <v>60</v>
      </c>
      <c r="K628" s="2">
        <v>598000</v>
      </c>
      <c r="L628" s="41">
        <v>1925</v>
      </c>
      <c r="M628" s="2"/>
      <c r="N628" s="27" t="s">
        <v>419</v>
      </c>
      <c r="O628" s="27" t="s">
        <v>422</v>
      </c>
      <c r="P628" s="27" t="str">
        <f t="shared" si="44"/>
        <v>https://ia601407.us.archive.org/6/items/biennialreportof19241926nort/biennialreportof19241926nort.pdf#page=216</v>
      </c>
      <c r="Q628" s="27" t="s">
        <v>419</v>
      </c>
      <c r="R628" s="27" t="str">
        <f t="shared" si="45"/>
        <v>https://ia601407.us.archive.org/6/items/biennialreportof19241926nort/biennialreportof19241926nort.pdf#page=108</v>
      </c>
      <c r="S628" s="27" t="s">
        <v>423</v>
      </c>
      <c r="T628" s="27" t="s">
        <v>424</v>
      </c>
      <c r="U628" s="27" t="s">
        <v>424</v>
      </c>
    </row>
    <row r="629" spans="1:21" x14ac:dyDescent="0.25">
      <c r="A629" s="27" t="s">
        <v>1176</v>
      </c>
      <c r="B629" s="27" t="str">
        <f t="shared" si="42"/>
        <v>North Carolina</v>
      </c>
      <c r="C629" s="27" t="str">
        <f t="shared" si="43"/>
        <v>Henderson</v>
      </c>
      <c r="D629" s="2">
        <v>4755</v>
      </c>
      <c r="E629" s="2">
        <v>178</v>
      </c>
      <c r="F629" s="2">
        <f>'NC post'!J46</f>
        <v>144.27129337539432</v>
      </c>
      <c r="G629" s="2">
        <v>5843</v>
      </c>
      <c r="H629" s="12">
        <f>'NC post'!M46</f>
        <v>111.30247265206766</v>
      </c>
      <c r="I629" s="2">
        <v>467561</v>
      </c>
      <c r="J629" s="2">
        <v>59</v>
      </c>
      <c r="K629" s="2">
        <v>500650</v>
      </c>
      <c r="L629" s="41">
        <v>1925</v>
      </c>
      <c r="M629" s="2"/>
      <c r="N629" s="27" t="s">
        <v>419</v>
      </c>
      <c r="O629" s="27" t="s">
        <v>425</v>
      </c>
      <c r="P629" s="27" t="str">
        <f t="shared" si="44"/>
        <v>https://ia601407.us.archive.org/6/items/biennialreportof19241926nort/biennialreportof19241926nort.pdf#page=216</v>
      </c>
      <c r="Q629" s="27" t="s">
        <v>419</v>
      </c>
      <c r="R629" s="27" t="str">
        <f t="shared" si="45"/>
        <v>https://ia601407.us.archive.org/6/items/biennialreportof19241926nort/biennialreportof19241926nort.pdf#page=108</v>
      </c>
      <c r="S629" s="27" t="s">
        <v>423</v>
      </c>
      <c r="T629" s="27" t="s">
        <v>424</v>
      </c>
      <c r="U629" s="27" t="s">
        <v>424</v>
      </c>
    </row>
    <row r="630" spans="1:21" x14ac:dyDescent="0.25">
      <c r="A630" s="27" t="s">
        <v>1177</v>
      </c>
      <c r="B630" s="27" t="str">
        <f t="shared" si="42"/>
        <v>North Carolina</v>
      </c>
      <c r="C630" s="27" t="str">
        <f t="shared" si="43"/>
        <v>Hertford</v>
      </c>
      <c r="D630" s="2">
        <v>3916</v>
      </c>
      <c r="E630" s="2">
        <v>141</v>
      </c>
      <c r="F630" s="2">
        <f>'NC post'!J47</f>
        <v>128.86006128702758</v>
      </c>
      <c r="G630" s="2">
        <v>5677</v>
      </c>
      <c r="H630" s="12">
        <f>'NC post'!M47</f>
        <v>93.896999029779792</v>
      </c>
      <c r="I630" s="2">
        <v>189895</v>
      </c>
      <c r="J630" s="2">
        <v>53</v>
      </c>
      <c r="K630" s="2">
        <v>305150</v>
      </c>
      <c r="L630" s="41">
        <v>1925</v>
      </c>
      <c r="M630" s="2"/>
      <c r="N630" s="27" t="s">
        <v>419</v>
      </c>
      <c r="O630" s="27" t="s">
        <v>425</v>
      </c>
      <c r="P630" s="27" t="str">
        <f t="shared" si="44"/>
        <v>https://ia601407.us.archive.org/6/items/biennialreportof19241926nort/biennialreportof19241926nort.pdf#page=216</v>
      </c>
      <c r="Q630" s="27" t="s">
        <v>419</v>
      </c>
      <c r="R630" s="27" t="str">
        <f t="shared" si="45"/>
        <v>https://ia601407.us.archive.org/6/items/biennialreportof19241926nort/biennialreportof19241926nort.pdf#page=108</v>
      </c>
      <c r="S630" s="27" t="s">
        <v>423</v>
      </c>
      <c r="T630" s="27" t="s">
        <v>424</v>
      </c>
      <c r="U630" s="27" t="s">
        <v>424</v>
      </c>
    </row>
    <row r="631" spans="1:21" x14ac:dyDescent="0.25">
      <c r="A631" s="27" t="s">
        <v>1178</v>
      </c>
      <c r="B631" s="27" t="str">
        <f t="shared" si="42"/>
        <v>North Carolina</v>
      </c>
      <c r="C631" s="27" t="str">
        <f t="shared" si="43"/>
        <v>Hoke</v>
      </c>
      <c r="D631" s="2">
        <v>2635</v>
      </c>
      <c r="E631" s="2">
        <v>90</v>
      </c>
      <c r="F631" s="2">
        <f>'NC post'!J48</f>
        <v>129.18406072106262</v>
      </c>
      <c r="G631" s="2">
        <v>4059</v>
      </c>
      <c r="H631" s="12">
        <f>'NC post'!M48</f>
        <v>98.582698687818251</v>
      </c>
      <c r="I631" s="2">
        <v>84861</v>
      </c>
      <c r="J631" s="2">
        <v>34</v>
      </c>
      <c r="K631" s="2">
        <v>154400</v>
      </c>
      <c r="L631" s="41">
        <v>1925</v>
      </c>
      <c r="M631" s="2"/>
      <c r="N631" s="27" t="s">
        <v>426</v>
      </c>
      <c r="O631" s="27" t="s">
        <v>425</v>
      </c>
      <c r="P631" s="27" t="str">
        <f t="shared" si="44"/>
        <v>https://ia601407.us.archive.org/6/items/biennialreportof19241926nort/biennialreportof19241926nort.pdf#page=216</v>
      </c>
      <c r="Q631" s="27" t="s">
        <v>426</v>
      </c>
      <c r="R631" s="27" t="str">
        <f t="shared" si="45"/>
        <v>https://ia601407.us.archive.org/6/items/biennialreportof19241926nort/biennialreportof19241926nort.pdf#page=108</v>
      </c>
      <c r="S631" s="27" t="s">
        <v>423</v>
      </c>
      <c r="T631" s="27" t="s">
        <v>424</v>
      </c>
      <c r="U631" s="27" t="s">
        <v>424</v>
      </c>
    </row>
    <row r="632" spans="1:21" x14ac:dyDescent="0.25">
      <c r="A632" s="27" t="s">
        <v>1179</v>
      </c>
      <c r="B632" s="27" t="str">
        <f t="shared" si="42"/>
        <v>North Carolina</v>
      </c>
      <c r="C632" s="27" t="str">
        <f t="shared" si="43"/>
        <v>Hyde</v>
      </c>
      <c r="D632" s="2">
        <v>1938</v>
      </c>
      <c r="E632" s="2">
        <v>79</v>
      </c>
      <c r="F632" s="2">
        <f>'NC post'!J49</f>
        <v>135.92260061919504</v>
      </c>
      <c r="G632" s="2">
        <v>2590</v>
      </c>
      <c r="H632" s="12">
        <f>'NC post'!M49</f>
        <v>97.639205129144031</v>
      </c>
      <c r="I632" s="2">
        <v>175938</v>
      </c>
      <c r="J632" s="2">
        <v>36</v>
      </c>
      <c r="K632" s="2">
        <v>144570</v>
      </c>
      <c r="L632" s="41">
        <v>1925</v>
      </c>
      <c r="M632" s="2"/>
      <c r="N632" s="27" t="s">
        <v>426</v>
      </c>
      <c r="O632" s="27" t="s">
        <v>425</v>
      </c>
      <c r="P632" s="27" t="str">
        <f t="shared" si="44"/>
        <v>https://ia601407.us.archive.org/6/items/biennialreportof19241926nort/biennialreportof19241926nort.pdf#page=216</v>
      </c>
      <c r="Q632" s="27" t="s">
        <v>426</v>
      </c>
      <c r="R632" s="27" t="str">
        <f t="shared" si="45"/>
        <v>https://ia601407.us.archive.org/6/items/biennialreportof19241926nort/biennialreportof19241926nort.pdf#page=108</v>
      </c>
      <c r="S632" s="27" t="s">
        <v>423</v>
      </c>
      <c r="T632" s="27" t="s">
        <v>424</v>
      </c>
      <c r="U632" s="27" t="s">
        <v>424</v>
      </c>
    </row>
    <row r="633" spans="1:21" x14ac:dyDescent="0.25">
      <c r="A633" s="27" t="s">
        <v>1180</v>
      </c>
      <c r="B633" s="27" t="str">
        <f t="shared" si="42"/>
        <v>North Carolina</v>
      </c>
      <c r="C633" s="27" t="str">
        <f t="shared" si="43"/>
        <v>Iredell</v>
      </c>
      <c r="D633" s="2">
        <v>10301</v>
      </c>
      <c r="E633" s="2">
        <v>361</v>
      </c>
      <c r="F633" s="2">
        <f>'NC post'!J50</f>
        <v>141.30890204834483</v>
      </c>
      <c r="G633" s="2">
        <v>12875</v>
      </c>
      <c r="H633" s="12">
        <f>'NC post'!M50</f>
        <v>108.37925453107194</v>
      </c>
      <c r="I633" s="2">
        <v>502589</v>
      </c>
      <c r="J633" s="2">
        <v>123</v>
      </c>
      <c r="K633" s="2">
        <v>1273800</v>
      </c>
      <c r="L633" s="41">
        <v>1925</v>
      </c>
      <c r="M633" s="2"/>
      <c r="N633" s="27" t="s">
        <v>426</v>
      </c>
      <c r="O633" s="27" t="s">
        <v>425</v>
      </c>
      <c r="P633" s="27" t="str">
        <f t="shared" si="44"/>
        <v>https://ia601407.us.archive.org/6/items/biennialreportof19241926nort/biennialreportof19241926nort.pdf#page=216</v>
      </c>
      <c r="Q633" s="27" t="s">
        <v>426</v>
      </c>
      <c r="R633" s="27" t="str">
        <f t="shared" si="45"/>
        <v>https://ia601407.us.archive.org/6/items/biennialreportof19241926nort/biennialreportof19241926nort.pdf#page=108</v>
      </c>
      <c r="S633" s="27" t="s">
        <v>423</v>
      </c>
      <c r="T633" s="27" t="s">
        <v>424</v>
      </c>
      <c r="U633" s="27" t="s">
        <v>424</v>
      </c>
    </row>
    <row r="634" spans="1:21" x14ac:dyDescent="0.25">
      <c r="A634" s="27" t="s">
        <v>1181</v>
      </c>
      <c r="B634" s="27" t="str">
        <f t="shared" si="42"/>
        <v>North Carolina</v>
      </c>
      <c r="C634" s="27" t="str">
        <f t="shared" si="43"/>
        <v>Jackson</v>
      </c>
      <c r="D634" s="2">
        <v>2958</v>
      </c>
      <c r="E634" s="2">
        <v>115</v>
      </c>
      <c r="F634" s="2">
        <f>'NC post'!J51</f>
        <v>135.93813387423936</v>
      </c>
      <c r="G634" s="2">
        <v>4001</v>
      </c>
      <c r="H634" s="12">
        <f>'NC post'!M51</f>
        <v>116.22948381100977</v>
      </c>
      <c r="I634" s="2">
        <v>243581</v>
      </c>
      <c r="J634" s="2">
        <v>46</v>
      </c>
      <c r="K634" s="2">
        <v>269500</v>
      </c>
      <c r="L634" s="41">
        <v>1925</v>
      </c>
      <c r="M634" s="2"/>
      <c r="N634" s="27" t="s">
        <v>426</v>
      </c>
      <c r="O634" s="27" t="s">
        <v>425</v>
      </c>
      <c r="P634" s="27" t="str">
        <f t="shared" si="44"/>
        <v>https://ia601407.us.archive.org/6/items/biennialreportof19241926nort/biennialreportof19241926nort.pdf#page=216</v>
      </c>
      <c r="Q634" s="27" t="s">
        <v>426</v>
      </c>
      <c r="R634" s="27" t="str">
        <f t="shared" si="45"/>
        <v>https://ia601407.us.archive.org/6/items/biennialreportof19241926nort/biennialreportof19241926nort.pdf#page=108</v>
      </c>
      <c r="S634" s="27" t="s">
        <v>423</v>
      </c>
      <c r="T634" s="27" t="s">
        <v>424</v>
      </c>
      <c r="U634" s="27" t="s">
        <v>424</v>
      </c>
    </row>
    <row r="635" spans="1:21" x14ac:dyDescent="0.25">
      <c r="A635" s="27" t="s">
        <v>1182</v>
      </c>
      <c r="B635" s="27" t="str">
        <f t="shared" si="42"/>
        <v>North Carolina</v>
      </c>
      <c r="C635" s="27" t="str">
        <f t="shared" si="43"/>
        <v>Johnston</v>
      </c>
      <c r="D635" s="2">
        <v>12602</v>
      </c>
      <c r="E635" s="2">
        <v>465</v>
      </c>
      <c r="F635" s="2">
        <f>'NC post'!J52</f>
        <v>143.87430566576734</v>
      </c>
      <c r="G635" s="2">
        <v>18279</v>
      </c>
      <c r="H635" s="12">
        <f>'NC post'!M52</f>
        <v>102.66970467564826</v>
      </c>
      <c r="I635" s="2">
        <v>1048468</v>
      </c>
      <c r="J635" s="2">
        <v>122</v>
      </c>
      <c r="K635" s="2">
        <v>1561040</v>
      </c>
      <c r="L635" s="41">
        <v>1925</v>
      </c>
      <c r="M635" s="2"/>
      <c r="N635" s="27" t="s">
        <v>426</v>
      </c>
      <c r="O635" s="27" t="s">
        <v>425</v>
      </c>
      <c r="P635" s="27" t="str">
        <f t="shared" si="44"/>
        <v>https://ia601407.us.archive.org/6/items/biennialreportof19241926nort/biennialreportof19241926nort.pdf#page=216</v>
      </c>
      <c r="Q635" s="27" t="s">
        <v>426</v>
      </c>
      <c r="R635" s="27" t="str">
        <f t="shared" si="45"/>
        <v>https://ia601407.us.archive.org/6/items/biennialreportof19241926nort/biennialreportof19241926nort.pdf#page=108</v>
      </c>
      <c r="S635" s="27" t="s">
        <v>423</v>
      </c>
      <c r="T635" s="27" t="s">
        <v>424</v>
      </c>
      <c r="U635" s="27" t="s">
        <v>424</v>
      </c>
    </row>
    <row r="636" spans="1:21" x14ac:dyDescent="0.25">
      <c r="A636" s="27" t="s">
        <v>1183</v>
      </c>
      <c r="B636" s="27" t="str">
        <f t="shared" si="42"/>
        <v>North Carolina</v>
      </c>
      <c r="C636" s="27" t="str">
        <f t="shared" si="43"/>
        <v>Jones</v>
      </c>
      <c r="D636" s="2">
        <v>2261</v>
      </c>
      <c r="E636" s="2">
        <v>97</v>
      </c>
      <c r="F636" s="2">
        <f>'NC post'!J53</f>
        <v>128.59177355152588</v>
      </c>
      <c r="G636" s="2">
        <v>3349</v>
      </c>
      <c r="H636" s="12">
        <f>'NC post'!M53</f>
        <v>82.570207963432281</v>
      </c>
      <c r="I636" s="2">
        <v>126308</v>
      </c>
      <c r="J636" s="2">
        <v>36</v>
      </c>
      <c r="K636" s="2">
        <v>294700</v>
      </c>
      <c r="L636" s="41">
        <v>1925</v>
      </c>
      <c r="M636" s="2"/>
      <c r="N636" s="27" t="s">
        <v>426</v>
      </c>
      <c r="O636" s="27" t="s">
        <v>425</v>
      </c>
      <c r="P636" s="27" t="str">
        <f t="shared" si="44"/>
        <v>https://ia601407.us.archive.org/6/items/biennialreportof19241926nort/biennialreportof19241926nort.pdf#page=216</v>
      </c>
      <c r="Q636" s="27" t="s">
        <v>426</v>
      </c>
      <c r="R636" s="27" t="str">
        <f t="shared" si="45"/>
        <v>https://ia601407.us.archive.org/6/items/biennialreportof19241926nort/biennialreportof19241926nort.pdf#page=108</v>
      </c>
      <c r="S636" s="27" t="s">
        <v>423</v>
      </c>
      <c r="T636" s="27" t="s">
        <v>424</v>
      </c>
      <c r="U636" s="27" t="s">
        <v>424</v>
      </c>
    </row>
    <row r="637" spans="1:21" x14ac:dyDescent="0.25">
      <c r="A637" s="27" t="s">
        <v>1184</v>
      </c>
      <c r="B637" s="27" t="str">
        <f t="shared" si="42"/>
        <v>North Carolina</v>
      </c>
      <c r="C637" s="27" t="str">
        <f t="shared" si="43"/>
        <v>Lee</v>
      </c>
      <c r="D637" s="2">
        <v>3477</v>
      </c>
      <c r="E637" s="2">
        <v>123</v>
      </c>
      <c r="F637" s="2">
        <f>'NC post'!J54</f>
        <v>139.87460454414725</v>
      </c>
      <c r="G637" s="2">
        <v>4856</v>
      </c>
      <c r="H637" s="12">
        <f>'NC post'!M54</f>
        <v>109.59309666589503</v>
      </c>
      <c r="I637" s="2">
        <v>139045</v>
      </c>
      <c r="J637" s="2">
        <v>39</v>
      </c>
      <c r="K637" s="2">
        <v>432000</v>
      </c>
      <c r="L637" s="41">
        <v>1925</v>
      </c>
      <c r="M637" s="2"/>
      <c r="N637" s="27" t="s">
        <v>426</v>
      </c>
      <c r="O637" s="27" t="s">
        <v>425</v>
      </c>
      <c r="P637" s="27" t="str">
        <f t="shared" si="44"/>
        <v>https://ia601407.us.archive.org/6/items/biennialreportof19241926nort/biennialreportof19241926nort.pdf#page=216</v>
      </c>
      <c r="Q637" s="27" t="s">
        <v>426</v>
      </c>
      <c r="R637" s="27" t="str">
        <f t="shared" si="45"/>
        <v>https://ia601407.us.archive.org/6/items/biennialreportof19241926nort/biennialreportof19241926nort.pdf#page=108</v>
      </c>
      <c r="S637" s="27" t="s">
        <v>423</v>
      </c>
      <c r="T637" s="27" t="s">
        <v>427</v>
      </c>
      <c r="U637" s="27" t="s">
        <v>427</v>
      </c>
    </row>
    <row r="638" spans="1:21" x14ac:dyDescent="0.25">
      <c r="A638" s="27" t="s">
        <v>1185</v>
      </c>
      <c r="B638" s="27" t="str">
        <f t="shared" si="42"/>
        <v>North Carolina</v>
      </c>
      <c r="C638" s="27" t="str">
        <f t="shared" si="43"/>
        <v>Lenoir</v>
      </c>
      <c r="D638" s="2">
        <v>6710</v>
      </c>
      <c r="E638" s="2">
        <v>215</v>
      </c>
      <c r="F638" s="2">
        <f>'NC post'!J55</f>
        <v>154.91713859910581</v>
      </c>
      <c r="G638" s="2">
        <v>9609</v>
      </c>
      <c r="H638" s="12">
        <f>'NC post'!M55</f>
        <v>109.24085064464057</v>
      </c>
      <c r="I638" s="2">
        <v>465610</v>
      </c>
      <c r="J638" s="2">
        <v>62</v>
      </c>
      <c r="K638" s="2">
        <v>781085</v>
      </c>
      <c r="L638" s="41">
        <v>1925</v>
      </c>
      <c r="M638" s="2"/>
      <c r="N638" s="27" t="s">
        <v>426</v>
      </c>
      <c r="O638" s="27" t="s">
        <v>425</v>
      </c>
      <c r="P638" s="27" t="str">
        <f t="shared" si="44"/>
        <v>https://ia601407.us.archive.org/6/items/biennialreportof19241926nort/biennialreportof19241926nort.pdf#page=216</v>
      </c>
      <c r="Q638" s="27" t="s">
        <v>426</v>
      </c>
      <c r="R638" s="27" t="str">
        <f t="shared" si="45"/>
        <v>https://ia601407.us.archive.org/6/items/biennialreportof19241926nort/biennialreportof19241926nort.pdf#page=108</v>
      </c>
      <c r="S638" s="27" t="s">
        <v>423</v>
      </c>
      <c r="T638" s="27" t="s">
        <v>427</v>
      </c>
      <c r="U638" s="27" t="s">
        <v>427</v>
      </c>
    </row>
    <row r="639" spans="1:21" x14ac:dyDescent="0.25">
      <c r="A639" s="27" t="s">
        <v>1186</v>
      </c>
      <c r="B639" s="27" t="str">
        <f t="shared" si="42"/>
        <v>North Carolina</v>
      </c>
      <c r="C639" s="27" t="str">
        <f t="shared" si="43"/>
        <v>Lincoln</v>
      </c>
      <c r="D639" s="2">
        <v>4403</v>
      </c>
      <c r="E639" s="2">
        <v>167</v>
      </c>
      <c r="F639" s="2">
        <f>'NC post'!J56</f>
        <v>139.6734044969339</v>
      </c>
      <c r="G639" s="2">
        <v>5921</v>
      </c>
      <c r="H639" s="12">
        <f>'NC post'!M56</f>
        <v>103.13528433926999</v>
      </c>
      <c r="I639" s="2">
        <v>319948</v>
      </c>
      <c r="J639" s="2">
        <v>63</v>
      </c>
      <c r="K639" s="2">
        <v>460290</v>
      </c>
      <c r="L639" s="41">
        <v>1925</v>
      </c>
      <c r="M639" s="2"/>
      <c r="N639" s="27" t="s">
        <v>426</v>
      </c>
      <c r="O639" s="27" t="s">
        <v>425</v>
      </c>
      <c r="P639" s="27" t="str">
        <f t="shared" si="44"/>
        <v>https://ia601407.us.archive.org/6/items/biennialreportof19241926nort/biennialreportof19241926nort.pdf#page=216</v>
      </c>
      <c r="Q639" s="27" t="s">
        <v>426</v>
      </c>
      <c r="R639" s="27" t="str">
        <f t="shared" si="45"/>
        <v>https://ia601407.us.archive.org/6/items/biennialreportof19241926nort/biennialreportof19241926nort.pdf#page=108</v>
      </c>
      <c r="S639" s="27" t="s">
        <v>428</v>
      </c>
      <c r="T639" s="27" t="s">
        <v>427</v>
      </c>
      <c r="U639" s="27" t="s">
        <v>427</v>
      </c>
    </row>
    <row r="640" spans="1:21" x14ac:dyDescent="0.25">
      <c r="A640" s="27" t="s">
        <v>1188</v>
      </c>
      <c r="B640" s="27" t="str">
        <f t="shared" si="42"/>
        <v>North Carolina</v>
      </c>
      <c r="C640" s="27" t="str">
        <f t="shared" si="43"/>
        <v>Macon</v>
      </c>
      <c r="D640" s="2">
        <v>2999</v>
      </c>
      <c r="E640" s="2">
        <v>120</v>
      </c>
      <c r="F640" s="2">
        <f>'NC post'!J57</f>
        <v>137.32177392464155</v>
      </c>
      <c r="G640" s="2">
        <v>3674</v>
      </c>
      <c r="H640" s="12">
        <f>'NC post'!M57</f>
        <v>88.897798101796525</v>
      </c>
      <c r="I640" s="2">
        <v>113801</v>
      </c>
      <c r="J640" s="2">
        <v>62</v>
      </c>
      <c r="K640" s="2">
        <v>189670</v>
      </c>
      <c r="L640" s="41">
        <v>1925</v>
      </c>
      <c r="M640" s="2"/>
      <c r="N640" s="27" t="s">
        <v>426</v>
      </c>
      <c r="O640" s="27" t="s">
        <v>429</v>
      </c>
      <c r="P640" s="27" t="str">
        <f t="shared" si="44"/>
        <v>https://ia601407.us.archive.org/6/items/biennialreportof19241926nort/biennialreportof19241926nort.pdf#page=216</v>
      </c>
      <c r="Q640" s="27" t="s">
        <v>426</v>
      </c>
      <c r="R640" s="27" t="str">
        <f t="shared" si="45"/>
        <v>https://ia601407.us.archive.org/6/items/biennialreportof19241926nort/biennialreportof19241926nort.pdf#page=108</v>
      </c>
      <c r="S640" s="27" t="s">
        <v>428</v>
      </c>
      <c r="T640" s="27" t="s">
        <v>427</v>
      </c>
      <c r="U640" s="27" t="s">
        <v>427</v>
      </c>
    </row>
    <row r="641" spans="1:21" x14ac:dyDescent="0.25">
      <c r="A641" s="27" t="s">
        <v>1189</v>
      </c>
      <c r="B641" s="27" t="str">
        <f t="shared" si="42"/>
        <v>North Carolina</v>
      </c>
      <c r="C641" s="27" t="str">
        <f t="shared" si="43"/>
        <v>Madison</v>
      </c>
      <c r="D641" s="2">
        <v>4048</v>
      </c>
      <c r="E641" s="2">
        <v>155</v>
      </c>
      <c r="F641" s="2">
        <f>'NC post'!J58</f>
        <v>130</v>
      </c>
      <c r="G641" s="2">
        <v>5900</v>
      </c>
      <c r="H641" s="12">
        <f>'NC post'!M58</f>
        <v>87.380059553349867</v>
      </c>
      <c r="I641" s="2">
        <v>206609</v>
      </c>
      <c r="J641" s="2">
        <v>66</v>
      </c>
      <c r="K641" s="2">
        <v>239500</v>
      </c>
      <c r="L641" s="41">
        <v>1925</v>
      </c>
      <c r="M641" s="2"/>
      <c r="N641" s="27" t="s">
        <v>426</v>
      </c>
      <c r="O641" s="27" t="s">
        <v>429</v>
      </c>
      <c r="P641" s="27" t="str">
        <f t="shared" si="44"/>
        <v>https://ia601407.us.archive.org/6/items/biennialreportof19241926nort/biennialreportof19241926nort.pdf#page=216</v>
      </c>
      <c r="Q641" s="27" t="s">
        <v>426</v>
      </c>
      <c r="R641" s="27" t="str">
        <f t="shared" si="45"/>
        <v>https://ia601407.us.archive.org/6/items/biennialreportof19241926nort/biennialreportof19241926nort.pdf#page=108</v>
      </c>
      <c r="S641" s="27" t="s">
        <v>428</v>
      </c>
      <c r="T641" s="27" t="s">
        <v>427</v>
      </c>
      <c r="U641" s="27" t="s">
        <v>427</v>
      </c>
    </row>
    <row r="642" spans="1:21" x14ac:dyDescent="0.25">
      <c r="A642" s="27" t="s">
        <v>1190</v>
      </c>
      <c r="B642" s="27" t="str">
        <f t="shared" ref="B642:B705" si="46">LEFT(A642,FIND(";",A642)-1)</f>
        <v>North Carolina</v>
      </c>
      <c r="C642" s="27" t="str">
        <f t="shared" ref="C642:C705" si="47">MID(A642,FIND(";",A642)+1,100)</f>
        <v>Martin</v>
      </c>
      <c r="D642" s="2">
        <v>4600</v>
      </c>
      <c r="E642" s="2">
        <v>169</v>
      </c>
      <c r="F642" s="2">
        <f>'NC post'!J59</f>
        <v>128.95391304347825</v>
      </c>
      <c r="G642" s="2">
        <v>5935</v>
      </c>
      <c r="H642" s="12">
        <f>'NC post'!M59</f>
        <v>94.605919761291446</v>
      </c>
      <c r="I642" s="2">
        <v>276640</v>
      </c>
      <c r="J642" s="2">
        <v>58</v>
      </c>
      <c r="K642" s="2">
        <v>382890</v>
      </c>
      <c r="L642" s="41">
        <v>1925</v>
      </c>
      <c r="M642" s="2"/>
      <c r="N642" s="27" t="s">
        <v>426</v>
      </c>
      <c r="O642" s="27" t="s">
        <v>429</v>
      </c>
      <c r="P642" s="27" t="str">
        <f t="shared" si="44"/>
        <v>https://ia601407.us.archive.org/6/items/biennialreportof19241926nort/biennialreportof19241926nort.pdf#page=216</v>
      </c>
      <c r="Q642" s="27" t="s">
        <v>426</v>
      </c>
      <c r="R642" s="27" t="str">
        <f t="shared" si="45"/>
        <v>https://ia601407.us.archive.org/6/items/biennialreportof19241926nort/biennialreportof19241926nort.pdf#page=108</v>
      </c>
      <c r="S642" s="27" t="s">
        <v>428</v>
      </c>
      <c r="T642" s="27" t="s">
        <v>427</v>
      </c>
      <c r="U642" s="27" t="s">
        <v>427</v>
      </c>
    </row>
    <row r="643" spans="1:21" x14ac:dyDescent="0.25">
      <c r="A643" s="27" t="s">
        <v>1187</v>
      </c>
      <c r="B643" s="27" t="str">
        <f t="shared" si="46"/>
        <v>North Carolina</v>
      </c>
      <c r="C643" s="27" t="str">
        <f t="shared" si="47"/>
        <v>McDowell</v>
      </c>
      <c r="D643" s="2">
        <v>3777</v>
      </c>
      <c r="E643" s="2">
        <v>154</v>
      </c>
      <c r="F643" s="2">
        <f>'NC post'!J60</f>
        <v>145.46041832141913</v>
      </c>
      <c r="G643" s="2">
        <v>5146</v>
      </c>
      <c r="H643" s="12">
        <f>'NC post'!M60</f>
        <v>103.52662358464099</v>
      </c>
      <c r="I643" s="2">
        <v>244928</v>
      </c>
      <c r="J643" s="2">
        <v>60</v>
      </c>
      <c r="K643" s="2">
        <v>764305</v>
      </c>
      <c r="L643" s="41">
        <v>1925</v>
      </c>
      <c r="M643" s="2"/>
      <c r="N643" s="27" t="s">
        <v>426</v>
      </c>
      <c r="O643" s="27" t="s">
        <v>429</v>
      </c>
      <c r="P643" s="27" t="str">
        <f t="shared" si="44"/>
        <v>https://ia601407.us.archive.org/6/items/biennialreportof19241926nort/biennialreportof19241926nort.pdf#page=216</v>
      </c>
      <c r="Q643" s="27" t="s">
        <v>426</v>
      </c>
      <c r="R643" s="27" t="str">
        <f t="shared" si="45"/>
        <v>https://ia601407.us.archive.org/6/items/biennialreportof19241926nort/biennialreportof19241926nort.pdf#page=108</v>
      </c>
      <c r="S643" s="27" t="s">
        <v>428</v>
      </c>
      <c r="T643" s="27" t="s">
        <v>427</v>
      </c>
      <c r="U643" s="27" t="s">
        <v>427</v>
      </c>
    </row>
    <row r="644" spans="1:21" x14ac:dyDescent="0.25">
      <c r="A644" s="27" t="s">
        <v>1191</v>
      </c>
      <c r="B644" s="27" t="str">
        <f t="shared" si="46"/>
        <v>North Carolina</v>
      </c>
      <c r="C644" s="27" t="str">
        <f t="shared" si="47"/>
        <v>Mecklenburg</v>
      </c>
      <c r="D644" s="2">
        <v>19132</v>
      </c>
      <c r="E644" s="2">
        <v>656</v>
      </c>
      <c r="F644" s="2">
        <f>'NC post'!J61</f>
        <v>160.05456826259669</v>
      </c>
      <c r="G644" s="2">
        <v>24545</v>
      </c>
      <c r="H644" s="12">
        <f>'NC post'!M61</f>
        <v>135.78150970972834</v>
      </c>
      <c r="I644" s="2">
        <v>1606646</v>
      </c>
      <c r="J644" s="2">
        <v>132</v>
      </c>
      <c r="K644" s="2">
        <v>2318340</v>
      </c>
      <c r="L644" s="41">
        <v>1925</v>
      </c>
      <c r="M644" s="2"/>
      <c r="N644" s="27" t="s">
        <v>426</v>
      </c>
      <c r="O644" s="27" t="s">
        <v>429</v>
      </c>
      <c r="P644" s="27" t="str">
        <f t="shared" si="44"/>
        <v>https://ia601407.us.archive.org/6/items/biennialreportof19241926nort/biennialreportof19241926nort.pdf#page=216</v>
      </c>
      <c r="Q644" s="27" t="s">
        <v>426</v>
      </c>
      <c r="R644" s="27" t="str">
        <f t="shared" si="45"/>
        <v>https://ia601407.us.archive.org/6/items/biennialreportof19241926nort/biennialreportof19241926nort.pdf#page=108</v>
      </c>
      <c r="S644" s="27" t="s">
        <v>428</v>
      </c>
      <c r="T644" s="27" t="s">
        <v>427</v>
      </c>
      <c r="U644" s="27" t="s">
        <v>427</v>
      </c>
    </row>
    <row r="645" spans="1:21" x14ac:dyDescent="0.25">
      <c r="A645" s="27" t="s">
        <v>1192</v>
      </c>
      <c r="B645" s="27" t="str">
        <f t="shared" si="46"/>
        <v>North Carolina</v>
      </c>
      <c r="C645" s="27" t="str">
        <f t="shared" si="47"/>
        <v>Mitchell</v>
      </c>
      <c r="D645" s="2">
        <v>2466</v>
      </c>
      <c r="E645" s="2">
        <v>93</v>
      </c>
      <c r="F645" s="2">
        <f>'NC post'!J62</f>
        <v>131.04379562043795</v>
      </c>
      <c r="G645" s="2">
        <v>3437</v>
      </c>
      <c r="H645" s="12">
        <f>'NC post'!M62</f>
        <v>93.915594063112238</v>
      </c>
      <c r="I645" s="2">
        <v>184103</v>
      </c>
      <c r="J645" s="2">
        <v>48</v>
      </c>
      <c r="K645" s="2">
        <v>132175</v>
      </c>
      <c r="L645" s="41">
        <v>1925</v>
      </c>
      <c r="M645" s="2"/>
      <c r="N645" s="27" t="s">
        <v>426</v>
      </c>
      <c r="O645" s="27" t="s">
        <v>429</v>
      </c>
      <c r="P645" s="27" t="str">
        <f t="shared" si="44"/>
        <v>https://ia601407.us.archive.org/6/items/biennialreportof19241926nort/biennialreportof19241926nort.pdf#page=216</v>
      </c>
      <c r="Q645" s="27" t="s">
        <v>426</v>
      </c>
      <c r="R645" s="27" t="str">
        <f t="shared" si="45"/>
        <v>https://ia601407.us.archive.org/6/items/biennialreportof19241926nort/biennialreportof19241926nort.pdf#page=108</v>
      </c>
      <c r="S645" s="27" t="s">
        <v>428</v>
      </c>
      <c r="T645" s="27" t="s">
        <v>427</v>
      </c>
      <c r="U645" s="27" t="s">
        <v>427</v>
      </c>
    </row>
    <row r="646" spans="1:21" x14ac:dyDescent="0.25">
      <c r="A646" s="27" t="s">
        <v>1193</v>
      </c>
      <c r="B646" s="27" t="str">
        <f t="shared" si="46"/>
        <v>North Carolina</v>
      </c>
      <c r="C646" s="27" t="str">
        <f t="shared" si="47"/>
        <v>Montgomery</v>
      </c>
      <c r="D646" s="2">
        <v>3837</v>
      </c>
      <c r="E646" s="2">
        <v>142</v>
      </c>
      <c r="F646" s="2">
        <f>'NC post'!J63</f>
        <v>130.82799061767005</v>
      </c>
      <c r="G646" s="2">
        <v>5155</v>
      </c>
      <c r="H646" s="12">
        <f>'NC post'!M63</f>
        <v>119.09544919475918</v>
      </c>
      <c r="I646" s="2">
        <v>249096</v>
      </c>
      <c r="J646" s="2">
        <v>38</v>
      </c>
      <c r="K646" s="2">
        <v>620000</v>
      </c>
      <c r="L646" s="41">
        <v>1925</v>
      </c>
      <c r="M646" s="2"/>
      <c r="N646" s="27" t="s">
        <v>426</v>
      </c>
      <c r="O646" s="27" t="s">
        <v>429</v>
      </c>
      <c r="P646" s="27" t="str">
        <f t="shared" si="44"/>
        <v>https://ia601407.us.archive.org/6/items/biennialreportof19241926nort/biennialreportof19241926nort.pdf#page=216</v>
      </c>
      <c r="Q646" s="27" t="s">
        <v>426</v>
      </c>
      <c r="R646" s="27" t="str">
        <f t="shared" si="45"/>
        <v>https://ia601407.us.archive.org/6/items/biennialreportof19241926nort/biennialreportof19241926nort.pdf#page=108</v>
      </c>
      <c r="S646" s="27" t="s">
        <v>428</v>
      </c>
      <c r="T646" s="27" t="s">
        <v>427</v>
      </c>
      <c r="U646" s="27" t="s">
        <v>427</v>
      </c>
    </row>
    <row r="647" spans="1:21" x14ac:dyDescent="0.25">
      <c r="A647" s="27" t="s">
        <v>1194</v>
      </c>
      <c r="B647" s="27" t="str">
        <f t="shared" si="46"/>
        <v>North Carolina</v>
      </c>
      <c r="C647" s="27" t="str">
        <f t="shared" si="47"/>
        <v>Moore</v>
      </c>
      <c r="D647" s="2">
        <v>5519</v>
      </c>
      <c r="E647" s="2">
        <v>226</v>
      </c>
      <c r="F647" s="2">
        <f>'NC post'!J64</f>
        <v>148.32614604094945</v>
      </c>
      <c r="G647" s="2">
        <v>7367</v>
      </c>
      <c r="H647" s="12">
        <f>'NC post'!M64</f>
        <v>108.45393948829162</v>
      </c>
      <c r="I647" s="2">
        <v>724961</v>
      </c>
      <c r="J647" s="2">
        <v>80</v>
      </c>
      <c r="K647" s="2">
        <v>749045</v>
      </c>
      <c r="L647" s="41">
        <v>1925</v>
      </c>
      <c r="M647" s="2"/>
      <c r="N647" s="27" t="s">
        <v>430</v>
      </c>
      <c r="O647" s="27" t="s">
        <v>429</v>
      </c>
      <c r="P647" s="27" t="str">
        <f t="shared" si="44"/>
        <v>https://ia601407.us.archive.org/6/items/biennialreportof19241926nort/biennialreportof19241926nort.pdf#page=216</v>
      </c>
      <c r="Q647" s="27" t="s">
        <v>430</v>
      </c>
      <c r="R647" s="27" t="str">
        <f t="shared" si="45"/>
        <v>https://ia601407.us.archive.org/6/items/biennialreportof19241926nort/biennialreportof19241926nort.pdf#page=108</v>
      </c>
      <c r="S647" s="27" t="s">
        <v>428</v>
      </c>
      <c r="T647" s="27" t="s">
        <v>431</v>
      </c>
      <c r="U647" s="27" t="s">
        <v>431</v>
      </c>
    </row>
    <row r="648" spans="1:21" x14ac:dyDescent="0.25">
      <c r="A648" s="27" t="s">
        <v>1195</v>
      </c>
      <c r="B648" s="27" t="str">
        <f t="shared" si="46"/>
        <v>North Carolina</v>
      </c>
      <c r="C648" s="27" t="str">
        <f t="shared" si="47"/>
        <v>Nash</v>
      </c>
      <c r="D648" s="2">
        <v>11584</v>
      </c>
      <c r="E648" s="2">
        <v>391</v>
      </c>
      <c r="F648" s="2">
        <f>'NC post'!J65</f>
        <v>153.17049378453038</v>
      </c>
      <c r="G648" s="2">
        <v>16583</v>
      </c>
      <c r="H648" s="12">
        <f>'NC post'!M65</f>
        <v>108.43761455856458</v>
      </c>
      <c r="I648" s="2">
        <v>599701</v>
      </c>
      <c r="J648" s="2">
        <v>100</v>
      </c>
      <c r="K648" s="2">
        <v>1301650</v>
      </c>
      <c r="L648" s="41">
        <v>1925</v>
      </c>
      <c r="M648" s="2"/>
      <c r="N648" s="27" t="s">
        <v>430</v>
      </c>
      <c r="O648" s="27" t="s">
        <v>432</v>
      </c>
      <c r="P648" s="27" t="str">
        <f t="shared" si="44"/>
        <v>https://ia601407.us.archive.org/6/items/biennialreportof19241926nort/biennialreportof19241926nort.pdf#page=216</v>
      </c>
      <c r="Q648" s="27" t="s">
        <v>430</v>
      </c>
      <c r="R648" s="27" t="str">
        <f t="shared" si="45"/>
        <v>https://ia601407.us.archive.org/6/items/biennialreportof19241926nort/biennialreportof19241926nort.pdf#page=108</v>
      </c>
      <c r="S648" s="27" t="s">
        <v>433</v>
      </c>
      <c r="T648" s="27" t="s">
        <v>431</v>
      </c>
      <c r="U648" s="27" t="s">
        <v>431</v>
      </c>
    </row>
    <row r="649" spans="1:21" x14ac:dyDescent="0.25">
      <c r="A649" s="27" t="s">
        <v>1196</v>
      </c>
      <c r="B649" s="27" t="str">
        <f t="shared" si="46"/>
        <v>North Carolina</v>
      </c>
      <c r="C649" s="27" t="str">
        <f t="shared" si="47"/>
        <v>New Hanover</v>
      </c>
      <c r="D649" s="2">
        <v>7426</v>
      </c>
      <c r="E649" s="2">
        <v>270</v>
      </c>
      <c r="F649" s="2">
        <f>'NC post'!J66</f>
        <v>180</v>
      </c>
      <c r="G649" s="2">
        <v>9080</v>
      </c>
      <c r="H649" s="12">
        <f>'NC post'!M66</f>
        <v>140.68513991769547</v>
      </c>
      <c r="I649" s="2">
        <v>781688</v>
      </c>
      <c r="J649" s="2">
        <v>38</v>
      </c>
      <c r="K649" s="2">
        <v>1162330</v>
      </c>
      <c r="L649" s="41">
        <v>1925</v>
      </c>
      <c r="M649" s="2"/>
      <c r="N649" s="27" t="s">
        <v>430</v>
      </c>
      <c r="O649" s="27" t="s">
        <v>432</v>
      </c>
      <c r="P649" s="27" t="str">
        <f t="shared" si="44"/>
        <v>https://ia601407.us.archive.org/6/items/biennialreportof19241926nort/biennialreportof19241926nort.pdf#page=216</v>
      </c>
      <c r="Q649" s="27" t="s">
        <v>430</v>
      </c>
      <c r="R649" s="27" t="str">
        <f t="shared" si="45"/>
        <v>https://ia601407.us.archive.org/6/items/biennialreportof19241926nort/biennialreportof19241926nort.pdf#page=108</v>
      </c>
      <c r="S649" s="27" t="s">
        <v>433</v>
      </c>
      <c r="T649" s="27" t="s">
        <v>431</v>
      </c>
      <c r="U649" s="27" t="s">
        <v>431</v>
      </c>
    </row>
    <row r="650" spans="1:21" x14ac:dyDescent="0.25">
      <c r="A650" s="27" t="s">
        <v>1197</v>
      </c>
      <c r="B650" s="27" t="str">
        <f t="shared" si="46"/>
        <v>North Carolina</v>
      </c>
      <c r="C650" s="27" t="str">
        <f t="shared" si="47"/>
        <v>Northampton</v>
      </c>
      <c r="D650" s="2">
        <v>5688</v>
      </c>
      <c r="E650" s="2">
        <v>206</v>
      </c>
      <c r="F650" s="2">
        <f>'NC post'!J67</f>
        <v>128.30379746835442</v>
      </c>
      <c r="G650" s="2">
        <v>7254</v>
      </c>
      <c r="H650" s="12">
        <f>'NC post'!M67</f>
        <v>103.74295848307678</v>
      </c>
      <c r="I650" s="2">
        <v>318042</v>
      </c>
      <c r="J650" s="2">
        <v>70</v>
      </c>
      <c r="K650" s="2">
        <v>459850</v>
      </c>
      <c r="L650" s="41">
        <v>1925</v>
      </c>
      <c r="M650" s="2"/>
      <c r="N650" s="27" t="s">
        <v>430</v>
      </c>
      <c r="O650" s="27" t="s">
        <v>432</v>
      </c>
      <c r="P650" s="27" t="str">
        <f t="shared" si="44"/>
        <v>https://ia601407.us.archive.org/6/items/biennialreportof19241926nort/biennialreportof19241926nort.pdf#page=216</v>
      </c>
      <c r="Q650" s="27" t="s">
        <v>430</v>
      </c>
      <c r="R650" s="27" t="str">
        <f t="shared" si="45"/>
        <v>https://ia601407.us.archive.org/6/items/biennialreportof19241926nort/biennialreportof19241926nort.pdf#page=108</v>
      </c>
      <c r="S650" s="27" t="s">
        <v>433</v>
      </c>
      <c r="T650" s="27" t="s">
        <v>431</v>
      </c>
      <c r="U650" s="27" t="s">
        <v>431</v>
      </c>
    </row>
    <row r="651" spans="1:21" x14ac:dyDescent="0.25">
      <c r="A651" s="27" t="s">
        <v>1754</v>
      </c>
      <c r="B651" s="27" t="str">
        <f t="shared" si="46"/>
        <v>North Carolina</v>
      </c>
      <c r="C651" s="27" t="str">
        <f t="shared" si="47"/>
        <v>Onslow</v>
      </c>
      <c r="D651" s="2">
        <v>3308</v>
      </c>
      <c r="E651" s="2">
        <v>149</v>
      </c>
      <c r="F651" s="2">
        <f>'NC post'!J68</f>
        <v>124.05411124546553</v>
      </c>
      <c r="G651" s="2">
        <v>4842</v>
      </c>
      <c r="H651" s="12">
        <f>'NC post'!M68</f>
        <v>91.368020049430157</v>
      </c>
      <c r="I651" s="2">
        <v>159715</v>
      </c>
      <c r="J651" s="2">
        <v>74</v>
      </c>
      <c r="K651" s="2">
        <v>228075</v>
      </c>
      <c r="L651" s="41">
        <v>1925</v>
      </c>
      <c r="M651" s="2"/>
      <c r="N651" s="27" t="s">
        <v>430</v>
      </c>
      <c r="O651" s="27" t="s">
        <v>432</v>
      </c>
      <c r="P651" s="27" t="str">
        <f t="shared" ref="P651:P684" si="48">P650</f>
        <v>https://ia601407.us.archive.org/6/items/biennialreportof19241926nort/biennialreportof19241926nort.pdf#page=216</v>
      </c>
      <c r="Q651" s="27" t="s">
        <v>430</v>
      </c>
      <c r="R651" s="27" t="str">
        <f t="shared" ref="R651:R684" si="49">R650</f>
        <v>https://ia601407.us.archive.org/6/items/biennialreportof19241926nort/biennialreportof19241926nort.pdf#page=108</v>
      </c>
      <c r="S651" s="27" t="s">
        <v>433</v>
      </c>
      <c r="T651" s="27" t="s">
        <v>431</v>
      </c>
      <c r="U651" s="27" t="s">
        <v>431</v>
      </c>
    </row>
    <row r="652" spans="1:21" x14ac:dyDescent="0.25">
      <c r="A652" s="27" t="s">
        <v>1198</v>
      </c>
      <c r="B652" s="27" t="str">
        <f t="shared" si="46"/>
        <v>North Carolina</v>
      </c>
      <c r="C652" s="27" t="str">
        <f t="shared" si="47"/>
        <v>Orange</v>
      </c>
      <c r="D652" s="2">
        <v>3721</v>
      </c>
      <c r="E652" s="2">
        <v>157</v>
      </c>
      <c r="F652" s="2">
        <f>'NC post'!J69</f>
        <v>133.42864821284601</v>
      </c>
      <c r="G652" s="2">
        <v>5305</v>
      </c>
      <c r="H652" s="12">
        <f>'NC post'!M69</f>
        <v>112.42839040785535</v>
      </c>
      <c r="I652" s="2">
        <v>337767</v>
      </c>
      <c r="J652" s="2">
        <v>67</v>
      </c>
      <c r="K652" s="2">
        <v>480000</v>
      </c>
      <c r="L652" s="41">
        <v>1925</v>
      </c>
      <c r="M652" s="2"/>
      <c r="N652" s="27" t="s">
        <v>430</v>
      </c>
      <c r="O652" s="27" t="s">
        <v>432</v>
      </c>
      <c r="P652" s="27" t="str">
        <f t="shared" si="48"/>
        <v>https://ia601407.us.archive.org/6/items/biennialreportof19241926nort/biennialreportof19241926nort.pdf#page=216</v>
      </c>
      <c r="Q652" s="27" t="s">
        <v>430</v>
      </c>
      <c r="R652" s="27" t="str">
        <f t="shared" si="49"/>
        <v>https://ia601407.us.archive.org/6/items/biennialreportof19241926nort/biennialreportof19241926nort.pdf#page=108</v>
      </c>
      <c r="S652" s="27" t="s">
        <v>433</v>
      </c>
      <c r="T652" s="27" t="s">
        <v>431</v>
      </c>
      <c r="U652" s="27" t="s">
        <v>431</v>
      </c>
    </row>
    <row r="653" spans="1:21" x14ac:dyDescent="0.25">
      <c r="A653" s="27" t="s">
        <v>1199</v>
      </c>
      <c r="B653" s="27" t="str">
        <f t="shared" si="46"/>
        <v>North Carolina</v>
      </c>
      <c r="C653" s="27" t="str">
        <f t="shared" si="47"/>
        <v>Pamlico</v>
      </c>
      <c r="D653" s="2">
        <v>2327</v>
      </c>
      <c r="E653" s="2">
        <v>93</v>
      </c>
      <c r="F653" s="2">
        <f>'NC post'!J70</f>
        <v>155.07520412548345</v>
      </c>
      <c r="G653" s="2">
        <v>2973</v>
      </c>
      <c r="H653" s="12">
        <f>'NC post'!M70</f>
        <v>103.36186533484228</v>
      </c>
      <c r="I653" s="2">
        <v>122847</v>
      </c>
      <c r="J653" s="2">
        <v>41</v>
      </c>
      <c r="K653" s="2">
        <v>352200</v>
      </c>
      <c r="L653" s="41">
        <v>1925</v>
      </c>
      <c r="M653" s="2"/>
      <c r="N653" s="27" t="s">
        <v>430</v>
      </c>
      <c r="O653" s="27" t="s">
        <v>432</v>
      </c>
      <c r="P653" s="27" t="str">
        <f t="shared" si="48"/>
        <v>https://ia601407.us.archive.org/6/items/biennialreportof19241926nort/biennialreportof19241926nort.pdf#page=216</v>
      </c>
      <c r="Q653" s="27" t="s">
        <v>430</v>
      </c>
      <c r="R653" s="27" t="str">
        <f t="shared" si="49"/>
        <v>https://ia601407.us.archive.org/6/items/biennialreportof19241926nort/biennialreportof19241926nort.pdf#page=108</v>
      </c>
      <c r="S653" s="27" t="s">
        <v>433</v>
      </c>
      <c r="T653" s="27" t="s">
        <v>431</v>
      </c>
      <c r="U653" s="27" t="s">
        <v>431</v>
      </c>
    </row>
    <row r="654" spans="1:21" x14ac:dyDescent="0.25">
      <c r="A654" s="27" t="s">
        <v>1200</v>
      </c>
      <c r="B654" s="27" t="str">
        <f t="shared" si="46"/>
        <v>North Carolina</v>
      </c>
      <c r="C654" s="27" t="str">
        <f t="shared" si="47"/>
        <v>Pasquotank</v>
      </c>
      <c r="D654" s="2">
        <v>3772</v>
      </c>
      <c r="E654" s="2">
        <v>139</v>
      </c>
      <c r="F654" s="2">
        <f>'NC post'!J71</f>
        <v>159.3170731707317</v>
      </c>
      <c r="G654" s="2">
        <v>4980</v>
      </c>
      <c r="H654" s="12">
        <f>'NC post'!M71</f>
        <v>113.96712851396777</v>
      </c>
      <c r="I654" s="2">
        <v>237296</v>
      </c>
      <c r="J654" s="2">
        <v>34</v>
      </c>
      <c r="K654" s="2">
        <v>675145</v>
      </c>
      <c r="L654" s="41">
        <v>1925</v>
      </c>
      <c r="M654" s="2"/>
      <c r="N654" s="27" t="s">
        <v>430</v>
      </c>
      <c r="O654" s="27" t="s">
        <v>432</v>
      </c>
      <c r="P654" s="27" t="str">
        <f t="shared" si="48"/>
        <v>https://ia601407.us.archive.org/6/items/biennialreportof19241926nort/biennialreportof19241926nort.pdf#page=216</v>
      </c>
      <c r="Q654" s="27" t="s">
        <v>430</v>
      </c>
      <c r="R654" s="27" t="str">
        <f t="shared" si="49"/>
        <v>https://ia601407.us.archive.org/6/items/biennialreportof19241926nort/biennialreportof19241926nort.pdf#page=108</v>
      </c>
      <c r="S654" s="27" t="s">
        <v>433</v>
      </c>
      <c r="T654" s="27" t="s">
        <v>431</v>
      </c>
      <c r="U654" s="27" t="s">
        <v>431</v>
      </c>
    </row>
    <row r="655" spans="1:21" x14ac:dyDescent="0.25">
      <c r="A655" s="27" t="s">
        <v>1201</v>
      </c>
      <c r="B655" s="27" t="str">
        <f t="shared" si="46"/>
        <v>North Carolina</v>
      </c>
      <c r="C655" s="27" t="str">
        <f t="shared" si="47"/>
        <v>Pender</v>
      </c>
      <c r="D655" s="2">
        <v>3422</v>
      </c>
      <c r="E655" s="2">
        <v>149</v>
      </c>
      <c r="F655" s="2">
        <f>'NC post'!J72</f>
        <v>134.5</v>
      </c>
      <c r="G655" s="2">
        <v>4591</v>
      </c>
      <c r="H655" s="12">
        <f>'NC post'!M72</f>
        <v>92.042633666824685</v>
      </c>
      <c r="I655" s="2">
        <v>239339</v>
      </c>
      <c r="J655" s="2">
        <v>70</v>
      </c>
      <c r="K655" s="2">
        <v>189375</v>
      </c>
      <c r="L655" s="41">
        <v>1925</v>
      </c>
      <c r="M655" s="2"/>
      <c r="N655" s="27" t="s">
        <v>430</v>
      </c>
      <c r="O655" s="27" t="s">
        <v>432</v>
      </c>
      <c r="P655" s="27" t="str">
        <f t="shared" si="48"/>
        <v>https://ia601407.us.archive.org/6/items/biennialreportof19241926nort/biennialreportof19241926nort.pdf#page=216</v>
      </c>
      <c r="Q655" s="27" t="s">
        <v>430</v>
      </c>
      <c r="R655" s="27" t="str">
        <f t="shared" si="49"/>
        <v>https://ia601407.us.archive.org/6/items/biennialreportof19241926nort/biennialreportof19241926nort.pdf#page=108</v>
      </c>
      <c r="S655" s="27" t="s">
        <v>433</v>
      </c>
      <c r="T655" s="27" t="s">
        <v>434</v>
      </c>
      <c r="U655" s="27" t="s">
        <v>434</v>
      </c>
    </row>
    <row r="656" spans="1:21" x14ac:dyDescent="0.25">
      <c r="A656" s="27" t="s">
        <v>1202</v>
      </c>
      <c r="B656" s="27" t="str">
        <f t="shared" si="46"/>
        <v>North Carolina</v>
      </c>
      <c r="C656" s="27" t="str">
        <f t="shared" si="47"/>
        <v>Perquimans</v>
      </c>
      <c r="D656" s="2">
        <v>2466</v>
      </c>
      <c r="E656" s="2">
        <v>98</v>
      </c>
      <c r="F656" s="2">
        <f>'NC post'!J73</f>
        <v>137.53771289537713</v>
      </c>
      <c r="G656" s="2">
        <v>3592</v>
      </c>
      <c r="H656" s="12">
        <f>'NC post'!M73</f>
        <v>87.98058892252061</v>
      </c>
      <c r="I656" s="2">
        <v>118697</v>
      </c>
      <c r="J656" s="2">
        <v>47</v>
      </c>
      <c r="K656" s="2">
        <v>228250</v>
      </c>
      <c r="L656" s="41">
        <v>1925</v>
      </c>
      <c r="M656" s="2"/>
      <c r="N656" s="27" t="s">
        <v>430</v>
      </c>
      <c r="O656" s="27" t="s">
        <v>432</v>
      </c>
      <c r="P656" s="27" t="str">
        <f t="shared" si="48"/>
        <v>https://ia601407.us.archive.org/6/items/biennialreportof19241926nort/biennialreportof19241926nort.pdf#page=216</v>
      </c>
      <c r="Q656" s="27" t="s">
        <v>430</v>
      </c>
      <c r="R656" s="27" t="str">
        <f t="shared" si="49"/>
        <v>https://ia601407.us.archive.org/6/items/biennialreportof19241926nort/biennialreportof19241926nort.pdf#page=108</v>
      </c>
      <c r="S656" s="27" t="s">
        <v>433</v>
      </c>
      <c r="T656" s="27" t="s">
        <v>434</v>
      </c>
      <c r="U656" s="27" t="s">
        <v>434</v>
      </c>
    </row>
    <row r="657" spans="1:21" x14ac:dyDescent="0.25">
      <c r="A657" s="27" t="s">
        <v>1203</v>
      </c>
      <c r="B657" s="27" t="str">
        <f t="shared" si="46"/>
        <v>North Carolina</v>
      </c>
      <c r="C657" s="27" t="str">
        <f t="shared" si="47"/>
        <v>Person</v>
      </c>
      <c r="D657" s="2">
        <v>4132</v>
      </c>
      <c r="E657" s="2">
        <v>153</v>
      </c>
      <c r="F657" s="2">
        <f>'NC post'!J74</f>
        <v>129.87536302032913</v>
      </c>
      <c r="G657" s="2">
        <v>5767</v>
      </c>
      <c r="H657" s="12">
        <f>'NC post'!M74</f>
        <v>98.29797330631483</v>
      </c>
      <c r="I657" s="2">
        <v>233103</v>
      </c>
      <c r="J657" s="2">
        <v>74</v>
      </c>
      <c r="K657" s="2">
        <v>293500</v>
      </c>
      <c r="L657" s="41">
        <v>1925</v>
      </c>
      <c r="M657" s="2"/>
      <c r="N657" s="27" t="s">
        <v>430</v>
      </c>
      <c r="O657" s="27" t="s">
        <v>432</v>
      </c>
      <c r="P657" s="27" t="str">
        <f t="shared" si="48"/>
        <v>https://ia601407.us.archive.org/6/items/biennialreportof19241926nort/biennialreportof19241926nort.pdf#page=216</v>
      </c>
      <c r="Q657" s="27" t="s">
        <v>430</v>
      </c>
      <c r="R657" s="27" t="str">
        <f t="shared" si="49"/>
        <v>https://ia601407.us.archive.org/6/items/biennialreportof19241926nort/biennialreportof19241926nort.pdf#page=108</v>
      </c>
      <c r="S657" s="27" t="s">
        <v>433</v>
      </c>
      <c r="T657" s="27" t="s">
        <v>434</v>
      </c>
      <c r="U657" s="27" t="s">
        <v>434</v>
      </c>
    </row>
    <row r="658" spans="1:21" x14ac:dyDescent="0.25">
      <c r="A658" s="27" t="s">
        <v>1204</v>
      </c>
      <c r="B658" s="27" t="str">
        <f t="shared" si="46"/>
        <v>North Carolina</v>
      </c>
      <c r="C658" s="27" t="str">
        <f t="shared" si="47"/>
        <v>Pitt</v>
      </c>
      <c r="D658" s="2">
        <v>10290</v>
      </c>
      <c r="E658" s="2">
        <v>350</v>
      </c>
      <c r="F658" s="2">
        <f>'NC post'!J75</f>
        <v>149.30845481049562</v>
      </c>
      <c r="G658" s="2">
        <v>15234</v>
      </c>
      <c r="H658" s="12">
        <f>'NC post'!M75</f>
        <v>103.9078311672082</v>
      </c>
      <c r="I658" s="2">
        <v>614200</v>
      </c>
      <c r="J658" s="2">
        <v>111</v>
      </c>
      <c r="K658" s="2">
        <v>1133755</v>
      </c>
      <c r="L658" s="41">
        <v>1925</v>
      </c>
      <c r="M658" s="2"/>
      <c r="N658" s="27" t="s">
        <v>430</v>
      </c>
      <c r="O658" s="27" t="s">
        <v>432</v>
      </c>
      <c r="P658" s="27" t="str">
        <f t="shared" si="48"/>
        <v>https://ia601407.us.archive.org/6/items/biennialreportof19241926nort/biennialreportof19241926nort.pdf#page=216</v>
      </c>
      <c r="Q658" s="27" t="s">
        <v>430</v>
      </c>
      <c r="R658" s="27" t="str">
        <f t="shared" si="49"/>
        <v>https://ia601407.us.archive.org/6/items/biennialreportof19241926nort/biennialreportof19241926nort.pdf#page=108</v>
      </c>
      <c r="S658" s="27" t="s">
        <v>433</v>
      </c>
      <c r="T658" s="27" t="s">
        <v>434</v>
      </c>
      <c r="U658" s="27" t="s">
        <v>434</v>
      </c>
    </row>
    <row r="659" spans="1:21" x14ac:dyDescent="0.25">
      <c r="A659" s="27" t="s">
        <v>1205</v>
      </c>
      <c r="B659" s="27" t="str">
        <f t="shared" si="46"/>
        <v>North Carolina</v>
      </c>
      <c r="C659" s="27" t="str">
        <f t="shared" si="47"/>
        <v>Polk</v>
      </c>
      <c r="D659" s="2">
        <v>2395</v>
      </c>
      <c r="E659" s="2">
        <v>93</v>
      </c>
      <c r="F659" s="2">
        <f>'NC post'!J76</f>
        <v>138.70146137787057</v>
      </c>
      <c r="G659" s="2">
        <v>2963</v>
      </c>
      <c r="H659" s="12">
        <f>'NC post'!M76</f>
        <v>116.54964764626541</v>
      </c>
      <c r="I659" s="2">
        <v>205451</v>
      </c>
      <c r="J659" s="2">
        <v>34</v>
      </c>
      <c r="K659" s="2">
        <v>224145</v>
      </c>
      <c r="L659" s="41">
        <v>1925</v>
      </c>
      <c r="M659" s="2"/>
      <c r="N659" s="27" t="s">
        <v>430</v>
      </c>
      <c r="O659" s="27" t="s">
        <v>435</v>
      </c>
      <c r="P659" s="27" t="str">
        <f t="shared" si="48"/>
        <v>https://ia601407.us.archive.org/6/items/biennialreportof19241926nort/biennialreportof19241926nort.pdf#page=216</v>
      </c>
      <c r="Q659" s="27" t="s">
        <v>430</v>
      </c>
      <c r="R659" s="27" t="str">
        <f t="shared" si="49"/>
        <v>https://ia601407.us.archive.org/6/items/biennialreportof19241926nort/biennialreportof19241926nort.pdf#page=108</v>
      </c>
      <c r="S659" s="27" t="s">
        <v>436</v>
      </c>
      <c r="T659" s="27" t="s">
        <v>434</v>
      </c>
      <c r="U659" s="27" t="s">
        <v>434</v>
      </c>
    </row>
    <row r="660" spans="1:21" x14ac:dyDescent="0.25">
      <c r="A660" s="27" t="s">
        <v>1206</v>
      </c>
      <c r="B660" s="27" t="str">
        <f t="shared" si="46"/>
        <v>North Carolina</v>
      </c>
      <c r="C660" s="27" t="str">
        <f t="shared" si="47"/>
        <v>Randolph</v>
      </c>
      <c r="D660" s="2">
        <v>7129</v>
      </c>
      <c r="E660" s="2">
        <v>273</v>
      </c>
      <c r="F660" s="2">
        <f>'NC post'!J77</f>
        <v>140.3484359657736</v>
      </c>
      <c r="G660" s="2">
        <v>9081</v>
      </c>
      <c r="H660" s="12">
        <f>'NC post'!M77</f>
        <v>86.878228170615117</v>
      </c>
      <c r="I660" s="2">
        <v>568413</v>
      </c>
      <c r="J660" s="2">
        <v>112</v>
      </c>
      <c r="K660" s="2">
        <v>732000</v>
      </c>
      <c r="L660" s="41">
        <v>1925</v>
      </c>
      <c r="M660" s="2"/>
      <c r="N660" s="27" t="s">
        <v>430</v>
      </c>
      <c r="O660" s="27" t="s">
        <v>435</v>
      </c>
      <c r="P660" s="27" t="str">
        <f t="shared" si="48"/>
        <v>https://ia601407.us.archive.org/6/items/biennialreportof19241926nort/biennialreportof19241926nort.pdf#page=216</v>
      </c>
      <c r="Q660" s="27" t="s">
        <v>430</v>
      </c>
      <c r="R660" s="27" t="str">
        <f t="shared" si="49"/>
        <v>https://ia601407.us.archive.org/6/items/biennialreportof19241926nort/biennialreportof19241926nort.pdf#page=108</v>
      </c>
      <c r="S660" s="27" t="s">
        <v>436</v>
      </c>
      <c r="T660" s="27" t="s">
        <v>434</v>
      </c>
      <c r="U660" s="27" t="s">
        <v>434</v>
      </c>
    </row>
    <row r="661" spans="1:21" x14ac:dyDescent="0.25">
      <c r="A661" s="27" t="s">
        <v>1207</v>
      </c>
      <c r="B661" s="27" t="str">
        <f t="shared" si="46"/>
        <v>North Carolina</v>
      </c>
      <c r="C661" s="27" t="str">
        <f t="shared" si="47"/>
        <v>Richmond</v>
      </c>
      <c r="D661" s="2">
        <v>6693</v>
      </c>
      <c r="E661" s="2">
        <v>226</v>
      </c>
      <c r="F661" s="2">
        <f>'NC post'!J78</f>
        <v>153.48319139399374</v>
      </c>
      <c r="G661" s="2">
        <v>9490</v>
      </c>
      <c r="H661" s="12">
        <f>'NC post'!M78</f>
        <v>111.93513628994664</v>
      </c>
      <c r="I661" s="2">
        <v>397767</v>
      </c>
      <c r="J661" s="2">
        <v>60</v>
      </c>
      <c r="K661" s="2">
        <v>916170</v>
      </c>
      <c r="L661" s="41">
        <v>1925</v>
      </c>
      <c r="M661" s="2"/>
      <c r="N661" s="27" t="s">
        <v>437</v>
      </c>
      <c r="O661" s="27" t="s">
        <v>435</v>
      </c>
      <c r="P661" s="27" t="str">
        <f t="shared" si="48"/>
        <v>https://ia601407.us.archive.org/6/items/biennialreportof19241926nort/biennialreportof19241926nort.pdf#page=216</v>
      </c>
      <c r="Q661" s="27" t="s">
        <v>437</v>
      </c>
      <c r="R661" s="27" t="str">
        <f t="shared" si="49"/>
        <v>https://ia601407.us.archive.org/6/items/biennialreportof19241926nort/biennialreportof19241926nort.pdf#page=108</v>
      </c>
      <c r="S661" s="27" t="s">
        <v>436</v>
      </c>
      <c r="T661" s="27" t="s">
        <v>434</v>
      </c>
      <c r="U661" s="27" t="s">
        <v>434</v>
      </c>
    </row>
    <row r="662" spans="1:21" x14ac:dyDescent="0.25">
      <c r="A662" s="27" t="s">
        <v>1208</v>
      </c>
      <c r="B662" s="27" t="str">
        <f t="shared" si="46"/>
        <v>North Carolina</v>
      </c>
      <c r="C662" s="27" t="str">
        <f t="shared" si="47"/>
        <v>Robeson</v>
      </c>
      <c r="D662" s="2">
        <v>12799</v>
      </c>
      <c r="E662" s="2">
        <v>475</v>
      </c>
      <c r="F662" s="2">
        <f>'NC post'!J79</f>
        <v>139.68356902883039</v>
      </c>
      <c r="G662" s="2">
        <v>18075</v>
      </c>
      <c r="H662" s="12">
        <f>'NC post'!M79</f>
        <v>85.275538574539439</v>
      </c>
      <c r="I662" s="2">
        <v>602348</v>
      </c>
      <c r="J662" s="2">
        <v>147</v>
      </c>
      <c r="K662" s="2">
        <v>1789225</v>
      </c>
      <c r="L662" s="41">
        <v>1925</v>
      </c>
      <c r="M662" s="2"/>
      <c r="N662" s="27" t="s">
        <v>437</v>
      </c>
      <c r="O662" s="27" t="s">
        <v>435</v>
      </c>
      <c r="P662" s="27" t="str">
        <f t="shared" si="48"/>
        <v>https://ia601407.us.archive.org/6/items/biennialreportof19241926nort/biennialreportof19241926nort.pdf#page=216</v>
      </c>
      <c r="Q662" s="27" t="s">
        <v>437</v>
      </c>
      <c r="R662" s="27" t="str">
        <f t="shared" si="49"/>
        <v>https://ia601407.us.archive.org/6/items/biennialreportof19241926nort/biennialreportof19241926nort.pdf#page=108</v>
      </c>
      <c r="S662" s="27" t="s">
        <v>436</v>
      </c>
      <c r="T662" s="27" t="s">
        <v>434</v>
      </c>
      <c r="U662" s="27" t="s">
        <v>434</v>
      </c>
    </row>
    <row r="663" spans="1:21" x14ac:dyDescent="0.25">
      <c r="A663" s="27" t="s">
        <v>1209</v>
      </c>
      <c r="B663" s="27" t="str">
        <f t="shared" si="46"/>
        <v>North Carolina</v>
      </c>
      <c r="C663" s="27" t="str">
        <f t="shared" si="47"/>
        <v>Rockingham</v>
      </c>
      <c r="D663" s="2">
        <v>10086</v>
      </c>
      <c r="E663" s="2">
        <v>379</v>
      </c>
      <c r="F663" s="2">
        <f>'NC post'!J80</f>
        <v>138.75332143565339</v>
      </c>
      <c r="G663" s="2">
        <v>13090</v>
      </c>
      <c r="H663" s="12">
        <f>'NC post'!M80</f>
        <v>115.32130225608442</v>
      </c>
      <c r="I663" s="2">
        <v>1231492</v>
      </c>
      <c r="J663" s="2">
        <v>122</v>
      </c>
      <c r="K663" s="2">
        <v>1665150</v>
      </c>
      <c r="L663" s="41">
        <v>1925</v>
      </c>
      <c r="M663" s="2"/>
      <c r="N663" s="27" t="s">
        <v>437</v>
      </c>
      <c r="O663" s="27" t="s">
        <v>435</v>
      </c>
      <c r="P663" s="27" t="str">
        <f t="shared" si="48"/>
        <v>https://ia601407.us.archive.org/6/items/biennialreportof19241926nort/biennialreportof19241926nort.pdf#page=216</v>
      </c>
      <c r="Q663" s="27" t="s">
        <v>437</v>
      </c>
      <c r="R663" s="27" t="str">
        <f t="shared" si="49"/>
        <v>https://ia601407.us.archive.org/6/items/biennialreportof19241926nort/biennialreportof19241926nort.pdf#page=108</v>
      </c>
      <c r="S663" s="27" t="s">
        <v>436</v>
      </c>
      <c r="T663" s="27" t="s">
        <v>438</v>
      </c>
      <c r="U663" s="27" t="s">
        <v>438</v>
      </c>
    </row>
    <row r="664" spans="1:21" x14ac:dyDescent="0.25">
      <c r="A664" s="27" t="s">
        <v>1210</v>
      </c>
      <c r="B664" s="27" t="str">
        <f t="shared" si="46"/>
        <v>North Carolina</v>
      </c>
      <c r="C664" s="27" t="str">
        <f t="shared" si="47"/>
        <v>Rowan</v>
      </c>
      <c r="D664" s="2">
        <v>11191</v>
      </c>
      <c r="E664" s="2">
        <v>440</v>
      </c>
      <c r="F664" s="2">
        <f>'NC post'!J81</f>
        <v>141.62380484317757</v>
      </c>
      <c r="G664" s="2">
        <v>13710</v>
      </c>
      <c r="H664" s="12">
        <f>'NC post'!M81</f>
        <v>118.83707763356176</v>
      </c>
      <c r="I664" s="2">
        <v>1034020</v>
      </c>
      <c r="J664" s="2">
        <v>121</v>
      </c>
      <c r="K664" s="2">
        <v>1227160</v>
      </c>
      <c r="L664" s="41">
        <v>1925</v>
      </c>
      <c r="M664" s="2"/>
      <c r="N664" s="27" t="s">
        <v>437</v>
      </c>
      <c r="O664" s="27" t="s">
        <v>439</v>
      </c>
      <c r="P664" s="27" t="str">
        <f t="shared" si="48"/>
        <v>https://ia601407.us.archive.org/6/items/biennialreportof19241926nort/biennialreportof19241926nort.pdf#page=216</v>
      </c>
      <c r="Q664" s="27" t="s">
        <v>437</v>
      </c>
      <c r="R664" s="27" t="str">
        <f t="shared" si="49"/>
        <v>https://ia601407.us.archive.org/6/items/biennialreportof19241926nort/biennialreportof19241926nort.pdf#page=108</v>
      </c>
      <c r="S664" s="27" t="s">
        <v>436</v>
      </c>
      <c r="T664" s="27" t="s">
        <v>438</v>
      </c>
      <c r="U664" s="27" t="s">
        <v>438</v>
      </c>
    </row>
    <row r="665" spans="1:21" x14ac:dyDescent="0.25">
      <c r="A665" s="27" t="s">
        <v>1755</v>
      </c>
      <c r="B665" s="27" t="str">
        <f t="shared" si="46"/>
        <v>North Carolina</v>
      </c>
      <c r="C665" s="27" t="str">
        <f t="shared" si="47"/>
        <v>Rutherford</v>
      </c>
      <c r="D665" s="2">
        <v>7952</v>
      </c>
      <c r="E665" s="2">
        <v>305</v>
      </c>
      <c r="F665" s="2">
        <f>'NC post'!J82</f>
        <v>132.3855633802817</v>
      </c>
      <c r="G665" s="2">
        <v>11213</v>
      </c>
      <c r="H665" s="12">
        <f>'NC post'!M82</f>
        <v>101.52326343637688</v>
      </c>
      <c r="I665" s="2">
        <v>1011684</v>
      </c>
      <c r="J665" s="2">
        <v>107</v>
      </c>
      <c r="K665" s="2">
        <v>1082100</v>
      </c>
      <c r="L665" s="41">
        <v>1925</v>
      </c>
      <c r="M665" s="2"/>
      <c r="N665" s="27" t="s">
        <v>437</v>
      </c>
      <c r="O665" s="27" t="s">
        <v>439</v>
      </c>
      <c r="P665" s="27" t="str">
        <f t="shared" si="48"/>
        <v>https://ia601407.us.archive.org/6/items/biennialreportof19241926nort/biennialreportof19241926nort.pdf#page=216</v>
      </c>
      <c r="Q665" s="27" t="s">
        <v>437</v>
      </c>
      <c r="R665" s="27" t="str">
        <f t="shared" si="49"/>
        <v>https://ia601407.us.archive.org/6/items/biennialreportof19241926nort/biennialreportof19241926nort.pdf#page=108</v>
      </c>
      <c r="S665" s="27" t="s">
        <v>440</v>
      </c>
      <c r="T665" s="27" t="s">
        <v>438</v>
      </c>
      <c r="U665" s="27" t="s">
        <v>438</v>
      </c>
    </row>
    <row r="666" spans="1:21" x14ac:dyDescent="0.25">
      <c r="A666" s="27" t="s">
        <v>1211</v>
      </c>
      <c r="B666" s="27" t="str">
        <f t="shared" si="46"/>
        <v>North Carolina</v>
      </c>
      <c r="C666" s="27" t="str">
        <f t="shared" si="47"/>
        <v>Sampson</v>
      </c>
      <c r="D666" s="2">
        <v>8667</v>
      </c>
      <c r="E666" s="2">
        <v>312</v>
      </c>
      <c r="F666" s="2">
        <f>'NC post'!J83</f>
        <v>129.76877812391831</v>
      </c>
      <c r="G666" s="2">
        <v>11971</v>
      </c>
      <c r="H666" s="12">
        <f>'NC post'!M83</f>
        <v>93.695110455532401</v>
      </c>
      <c r="I666" s="2">
        <v>343992</v>
      </c>
      <c r="J666" s="2">
        <v>118</v>
      </c>
      <c r="K666" s="2">
        <v>402300</v>
      </c>
      <c r="L666" s="41">
        <v>1925</v>
      </c>
      <c r="M666" s="2"/>
      <c r="N666" s="27" t="s">
        <v>437</v>
      </c>
      <c r="O666" s="27" t="s">
        <v>439</v>
      </c>
      <c r="P666" s="27" t="str">
        <f t="shared" si="48"/>
        <v>https://ia601407.us.archive.org/6/items/biennialreportof19241926nort/biennialreportof19241926nort.pdf#page=216</v>
      </c>
      <c r="Q666" s="27" t="s">
        <v>437</v>
      </c>
      <c r="R666" s="27" t="str">
        <f t="shared" si="49"/>
        <v>https://ia601407.us.archive.org/6/items/biennialreportof19241926nort/biennialreportof19241926nort.pdf#page=108</v>
      </c>
      <c r="S666" s="27" t="s">
        <v>440</v>
      </c>
      <c r="T666" s="27" t="s">
        <v>438</v>
      </c>
      <c r="U666" s="27" t="s">
        <v>438</v>
      </c>
    </row>
    <row r="667" spans="1:21" x14ac:dyDescent="0.25">
      <c r="A667" s="27" t="s">
        <v>1212</v>
      </c>
      <c r="B667" s="27" t="str">
        <f t="shared" si="46"/>
        <v>North Carolina</v>
      </c>
      <c r="C667" s="27" t="str">
        <f t="shared" si="47"/>
        <v>Scotland</v>
      </c>
      <c r="D667" s="2">
        <v>3882</v>
      </c>
      <c r="E667" s="2">
        <v>127</v>
      </c>
      <c r="F667" s="2">
        <f>'NC post'!J84</f>
        <v>147.16537867078824</v>
      </c>
      <c r="G667" s="2">
        <v>5440</v>
      </c>
      <c r="H667" s="12">
        <f>'NC post'!M84</f>
        <v>105.92677755806278</v>
      </c>
      <c r="I667" s="2">
        <v>273144</v>
      </c>
      <c r="J667" s="2">
        <v>43</v>
      </c>
      <c r="K667" s="2">
        <v>552625</v>
      </c>
      <c r="L667" s="41">
        <v>1925</v>
      </c>
      <c r="M667" s="2"/>
      <c r="N667" s="27" t="s">
        <v>437</v>
      </c>
      <c r="O667" s="27" t="s">
        <v>439</v>
      </c>
      <c r="P667" s="27" t="str">
        <f t="shared" si="48"/>
        <v>https://ia601407.us.archive.org/6/items/biennialreportof19241926nort/biennialreportof19241926nort.pdf#page=216</v>
      </c>
      <c r="Q667" s="27" t="s">
        <v>437</v>
      </c>
      <c r="R667" s="27" t="str">
        <f t="shared" si="49"/>
        <v>https://ia601407.us.archive.org/6/items/biennialreportof19241926nort/biennialreportof19241926nort.pdf#page=108</v>
      </c>
      <c r="S667" s="27" t="s">
        <v>440</v>
      </c>
      <c r="T667" s="27" t="s">
        <v>438</v>
      </c>
      <c r="U667" s="27" t="s">
        <v>438</v>
      </c>
    </row>
    <row r="668" spans="1:21" x14ac:dyDescent="0.25">
      <c r="A668" s="27" t="s">
        <v>1213</v>
      </c>
      <c r="B668" s="27" t="str">
        <f t="shared" si="46"/>
        <v>North Carolina</v>
      </c>
      <c r="C668" s="27" t="str">
        <f t="shared" si="47"/>
        <v>Stanly</v>
      </c>
      <c r="D668" s="2">
        <v>7590</v>
      </c>
      <c r="E668" s="2">
        <v>215</v>
      </c>
      <c r="F668" s="2">
        <f>'NC post'!J85</f>
        <v>136.03833992094863</v>
      </c>
      <c r="G668" s="2">
        <v>8880</v>
      </c>
      <c r="H668" s="12">
        <f>'NC post'!M85</f>
        <v>108.27396336295594</v>
      </c>
      <c r="I668" s="2">
        <v>436439</v>
      </c>
      <c r="J668" s="2">
        <v>43</v>
      </c>
      <c r="K668" s="2">
        <v>540000</v>
      </c>
      <c r="L668" s="41">
        <v>1925</v>
      </c>
      <c r="M668" s="2"/>
      <c r="N668" s="27" t="s">
        <v>437</v>
      </c>
      <c r="O668" s="27" t="s">
        <v>439</v>
      </c>
      <c r="P668" s="27" t="str">
        <f t="shared" si="48"/>
        <v>https://ia601407.us.archive.org/6/items/biennialreportof19241926nort/biennialreportof19241926nort.pdf#page=216</v>
      </c>
      <c r="Q668" s="27" t="s">
        <v>437</v>
      </c>
      <c r="R668" s="27" t="str">
        <f t="shared" si="49"/>
        <v>https://ia601407.us.archive.org/6/items/biennialreportof19241926nort/biennialreportof19241926nort.pdf#page=108</v>
      </c>
      <c r="S668" s="27" t="s">
        <v>440</v>
      </c>
      <c r="T668" s="27" t="s">
        <v>438</v>
      </c>
      <c r="U668" s="27" t="s">
        <v>438</v>
      </c>
    </row>
    <row r="669" spans="1:21" x14ac:dyDescent="0.25">
      <c r="A669" s="27" t="s">
        <v>1214</v>
      </c>
      <c r="B669" s="27" t="str">
        <f t="shared" si="46"/>
        <v>North Carolina</v>
      </c>
      <c r="C669" s="27" t="str">
        <f t="shared" si="47"/>
        <v>Stokes</v>
      </c>
      <c r="D669" s="2">
        <v>4566</v>
      </c>
      <c r="E669" s="2">
        <v>174</v>
      </c>
      <c r="F669" s="2">
        <f>'NC post'!J86</f>
        <v>123</v>
      </c>
      <c r="G669" s="2">
        <v>6355</v>
      </c>
      <c r="H669" s="145">
        <f>'NC post'!M86</f>
        <v>10.071320437342305</v>
      </c>
      <c r="I669" s="2">
        <v>179022</v>
      </c>
      <c r="J669" s="2">
        <v>70</v>
      </c>
      <c r="K669" s="2">
        <v>282195</v>
      </c>
      <c r="L669" s="41">
        <v>1925</v>
      </c>
      <c r="M669" s="2"/>
      <c r="N669" s="27" t="s">
        <v>437</v>
      </c>
      <c r="O669" s="27" t="s">
        <v>439</v>
      </c>
      <c r="P669" s="27" t="str">
        <f t="shared" si="48"/>
        <v>https://ia601407.us.archive.org/6/items/biennialreportof19241926nort/biennialreportof19241926nort.pdf#page=216</v>
      </c>
      <c r="Q669" s="27" t="s">
        <v>437</v>
      </c>
      <c r="R669" s="27" t="str">
        <f t="shared" si="49"/>
        <v>https://ia601407.us.archive.org/6/items/biennialreportof19241926nort/biennialreportof19241926nort.pdf#page=108</v>
      </c>
      <c r="S669" s="27" t="s">
        <v>440</v>
      </c>
      <c r="T669" s="27" t="s">
        <v>438</v>
      </c>
      <c r="U669" s="27" t="s">
        <v>438</v>
      </c>
    </row>
    <row r="670" spans="1:21" x14ac:dyDescent="0.25">
      <c r="A670" s="27" t="s">
        <v>1215</v>
      </c>
      <c r="B670" s="27" t="str">
        <f t="shared" si="46"/>
        <v>North Carolina</v>
      </c>
      <c r="C670" s="27" t="str">
        <f t="shared" si="47"/>
        <v>Surry</v>
      </c>
      <c r="D670" s="2">
        <v>7398</v>
      </c>
      <c r="E670" s="2">
        <v>278</v>
      </c>
      <c r="F670" s="2">
        <f>'NC post'!J87</f>
        <v>136.20654230873208</v>
      </c>
      <c r="G670" s="2">
        <v>10557</v>
      </c>
      <c r="H670" s="12">
        <f>'NC post'!M87</f>
        <v>102.69512201777437</v>
      </c>
      <c r="I670" s="2">
        <v>428227</v>
      </c>
      <c r="J670" s="2">
        <v>103</v>
      </c>
      <c r="K670" s="2">
        <v>601200</v>
      </c>
      <c r="L670" s="41">
        <v>1925</v>
      </c>
      <c r="M670" s="2"/>
      <c r="N670" s="27" t="s">
        <v>437</v>
      </c>
      <c r="O670" s="27" t="s">
        <v>439</v>
      </c>
      <c r="P670" s="27" t="str">
        <f t="shared" si="48"/>
        <v>https://ia601407.us.archive.org/6/items/biennialreportof19241926nort/biennialreportof19241926nort.pdf#page=216</v>
      </c>
      <c r="Q670" s="27" t="s">
        <v>437</v>
      </c>
      <c r="R670" s="27" t="str">
        <f t="shared" si="49"/>
        <v>https://ia601407.us.archive.org/6/items/biennialreportof19241926nort/biennialreportof19241926nort.pdf#page=108</v>
      </c>
      <c r="S670" s="27" t="s">
        <v>440</v>
      </c>
      <c r="T670" s="27" t="s">
        <v>441</v>
      </c>
      <c r="U670" s="27" t="s">
        <v>441</v>
      </c>
    </row>
    <row r="671" spans="1:21" x14ac:dyDescent="0.25">
      <c r="A671" s="27" t="s">
        <v>1216</v>
      </c>
      <c r="B671" s="27" t="str">
        <f t="shared" si="46"/>
        <v>North Carolina</v>
      </c>
      <c r="C671" s="27" t="str">
        <f t="shared" si="47"/>
        <v>Swain</v>
      </c>
      <c r="D671" s="2">
        <v>2797</v>
      </c>
      <c r="E671" s="2">
        <v>107</v>
      </c>
      <c r="F671" s="2">
        <f>'NC post'!J88</f>
        <v>134.93922059349302</v>
      </c>
      <c r="G671" s="2">
        <v>3782</v>
      </c>
      <c r="H671" s="12">
        <f>'NC post'!M88</f>
        <v>106.59428348146163</v>
      </c>
      <c r="I671" s="2">
        <v>178279</v>
      </c>
      <c r="J671" s="2">
        <v>57</v>
      </c>
      <c r="K671" s="2">
        <v>226900</v>
      </c>
      <c r="L671" s="41">
        <v>1925</v>
      </c>
      <c r="M671" s="2"/>
      <c r="N671" s="27" t="s">
        <v>437</v>
      </c>
      <c r="O671" s="27" t="s">
        <v>439</v>
      </c>
      <c r="P671" s="27" t="str">
        <f t="shared" si="48"/>
        <v>https://ia601407.us.archive.org/6/items/biennialreportof19241926nort/biennialreportof19241926nort.pdf#page=216</v>
      </c>
      <c r="Q671" s="27" t="s">
        <v>437</v>
      </c>
      <c r="R671" s="27" t="str">
        <f t="shared" si="49"/>
        <v>https://ia601407.us.archive.org/6/items/biennialreportof19241926nort/biennialreportof19241926nort.pdf#page=108</v>
      </c>
      <c r="S671" s="27" t="s">
        <v>440</v>
      </c>
      <c r="T671" s="27" t="s">
        <v>441</v>
      </c>
      <c r="U671" s="27" t="s">
        <v>441</v>
      </c>
    </row>
    <row r="672" spans="1:21" x14ac:dyDescent="0.25">
      <c r="A672" s="27" t="s">
        <v>1217</v>
      </c>
      <c r="B672" s="27" t="str">
        <f t="shared" si="46"/>
        <v>North Carolina</v>
      </c>
      <c r="C672" s="27" t="str">
        <f t="shared" si="47"/>
        <v>Transylvania</v>
      </c>
      <c r="D672" s="2">
        <v>2156</v>
      </c>
      <c r="E672" s="2">
        <v>95</v>
      </c>
      <c r="F672" s="2">
        <f>'NC post'!J89</f>
        <v>144.16697588126161</v>
      </c>
      <c r="G672" s="2">
        <v>2747</v>
      </c>
      <c r="H672" s="12">
        <f>'NC post'!M89</f>
        <v>106.22419565243896</v>
      </c>
      <c r="I672" s="2">
        <v>218024</v>
      </c>
      <c r="J672" s="2">
        <v>37</v>
      </c>
      <c r="K672" s="2">
        <v>337435</v>
      </c>
      <c r="L672" s="41">
        <v>1925</v>
      </c>
      <c r="M672" s="2"/>
      <c r="N672" s="27" t="s">
        <v>437</v>
      </c>
      <c r="O672" s="27" t="s">
        <v>439</v>
      </c>
      <c r="P672" s="27" t="str">
        <f t="shared" si="48"/>
        <v>https://ia601407.us.archive.org/6/items/biennialreportof19241926nort/biennialreportof19241926nort.pdf#page=216</v>
      </c>
      <c r="Q672" s="27" t="s">
        <v>437</v>
      </c>
      <c r="R672" s="27" t="str">
        <f t="shared" si="49"/>
        <v>https://ia601407.us.archive.org/6/items/biennialreportof19241926nort/biennialreportof19241926nort.pdf#page=108</v>
      </c>
      <c r="S672" s="27" t="s">
        <v>440</v>
      </c>
      <c r="T672" s="27" t="s">
        <v>441</v>
      </c>
      <c r="U672" s="27" t="s">
        <v>441</v>
      </c>
    </row>
    <row r="673" spans="1:21" x14ac:dyDescent="0.25">
      <c r="A673" s="27" t="s">
        <v>1218</v>
      </c>
      <c r="B673" s="27" t="str">
        <f t="shared" si="46"/>
        <v>North Carolina</v>
      </c>
      <c r="C673" s="27" t="str">
        <f t="shared" si="47"/>
        <v>Tyrrell</v>
      </c>
      <c r="D673" s="2">
        <v>1098</v>
      </c>
      <c r="E673" s="2">
        <v>44</v>
      </c>
      <c r="F673" s="2">
        <f>'NC post'!J90</f>
        <v>123.4471766848816</v>
      </c>
      <c r="G673" s="2">
        <v>1524</v>
      </c>
      <c r="H673" s="12">
        <f>'NC post'!M90</f>
        <v>97.09250366366085</v>
      </c>
      <c r="I673" s="2">
        <v>41139</v>
      </c>
      <c r="J673" s="2">
        <v>19</v>
      </c>
      <c r="K673" s="2">
        <v>103845</v>
      </c>
      <c r="L673" s="41">
        <v>1925</v>
      </c>
      <c r="M673" s="2"/>
      <c r="N673" s="27" t="s">
        <v>437</v>
      </c>
      <c r="O673" s="27" t="s">
        <v>439</v>
      </c>
      <c r="P673" s="27" t="str">
        <f t="shared" si="48"/>
        <v>https://ia601407.us.archive.org/6/items/biennialreportof19241926nort/biennialreportof19241926nort.pdf#page=216</v>
      </c>
      <c r="Q673" s="27" t="s">
        <v>437</v>
      </c>
      <c r="R673" s="27" t="str">
        <f t="shared" si="49"/>
        <v>https://ia601407.us.archive.org/6/items/biennialreportof19241926nort/biennialreportof19241926nort.pdf#page=108</v>
      </c>
      <c r="S673" s="27" t="s">
        <v>440</v>
      </c>
      <c r="T673" s="27" t="s">
        <v>441</v>
      </c>
      <c r="U673" s="27" t="s">
        <v>441</v>
      </c>
    </row>
    <row r="674" spans="1:21" x14ac:dyDescent="0.25">
      <c r="A674" s="27" t="s">
        <v>1219</v>
      </c>
      <c r="B674" s="27" t="str">
        <f t="shared" si="46"/>
        <v>North Carolina</v>
      </c>
      <c r="C674" s="27" t="str">
        <f t="shared" si="47"/>
        <v>Union</v>
      </c>
      <c r="D674" s="2">
        <v>9031</v>
      </c>
      <c r="E674" s="2">
        <v>340</v>
      </c>
      <c r="F674" s="2">
        <f>'NC post'!J91</f>
        <v>141.33495736906212</v>
      </c>
      <c r="G674" s="2">
        <v>13311</v>
      </c>
      <c r="H674" s="12">
        <f>'NC post'!M91</f>
        <v>94.694581970504075</v>
      </c>
      <c r="I674" s="2">
        <v>337912</v>
      </c>
      <c r="J674" s="2">
        <v>132</v>
      </c>
      <c r="K674" s="2">
        <v>707495</v>
      </c>
      <c r="L674" s="41">
        <v>1925</v>
      </c>
      <c r="M674" s="2"/>
      <c r="N674" s="27" t="s">
        <v>437</v>
      </c>
      <c r="O674" s="27" t="s">
        <v>442</v>
      </c>
      <c r="P674" s="27" t="str">
        <f t="shared" si="48"/>
        <v>https://ia601407.us.archive.org/6/items/biennialreportof19241926nort/biennialreportof19241926nort.pdf#page=216</v>
      </c>
      <c r="Q674" s="27" t="s">
        <v>437</v>
      </c>
      <c r="R674" s="27" t="str">
        <f t="shared" si="49"/>
        <v>https://ia601407.us.archive.org/6/items/biennialreportof19241926nort/biennialreportof19241926nort.pdf#page=108</v>
      </c>
      <c r="S674" s="27" t="s">
        <v>440</v>
      </c>
      <c r="T674" s="27" t="s">
        <v>441</v>
      </c>
      <c r="U674" s="27" t="s">
        <v>441</v>
      </c>
    </row>
    <row r="675" spans="1:21" x14ac:dyDescent="0.25">
      <c r="A675" s="27" t="s">
        <v>1220</v>
      </c>
      <c r="B675" s="27" t="str">
        <f t="shared" si="46"/>
        <v>North Carolina</v>
      </c>
      <c r="C675" s="27" t="str">
        <f t="shared" si="47"/>
        <v>Vance</v>
      </c>
      <c r="D675" s="2">
        <v>4282</v>
      </c>
      <c r="E675" s="2">
        <v>173</v>
      </c>
      <c r="F675" s="2">
        <f>'NC post'!J92</f>
        <v>153.32274638019618</v>
      </c>
      <c r="G675" s="2">
        <v>6448</v>
      </c>
      <c r="H675" s="12">
        <f>'NC post'!M92</f>
        <v>115.89425478632803</v>
      </c>
      <c r="I675" s="2">
        <v>373215</v>
      </c>
      <c r="J675" s="2">
        <v>50</v>
      </c>
      <c r="K675" s="2">
        <v>495400</v>
      </c>
      <c r="L675" s="41">
        <v>1925</v>
      </c>
      <c r="M675" s="2"/>
      <c r="N675" s="27" t="s">
        <v>443</v>
      </c>
      <c r="O675" s="27" t="s">
        <v>442</v>
      </c>
      <c r="P675" s="27" t="str">
        <f t="shared" si="48"/>
        <v>https://ia601407.us.archive.org/6/items/biennialreportof19241926nort/biennialreportof19241926nort.pdf#page=216</v>
      </c>
      <c r="Q675" s="27" t="s">
        <v>443</v>
      </c>
      <c r="R675" s="27" t="str">
        <f t="shared" si="49"/>
        <v>https://ia601407.us.archive.org/6/items/biennialreportof19241926nort/biennialreportof19241926nort.pdf#page=108</v>
      </c>
      <c r="S675" s="27" t="s">
        <v>444</v>
      </c>
      <c r="T675" s="27" t="s">
        <v>441</v>
      </c>
      <c r="U675" s="27" t="s">
        <v>441</v>
      </c>
    </row>
    <row r="676" spans="1:21" x14ac:dyDescent="0.25">
      <c r="A676" s="27" t="s">
        <v>1221</v>
      </c>
      <c r="B676" s="27" t="str">
        <f t="shared" si="46"/>
        <v>North Carolina</v>
      </c>
      <c r="C676" s="27" t="str">
        <f t="shared" si="47"/>
        <v>Wake</v>
      </c>
      <c r="D676" s="2">
        <v>17518</v>
      </c>
      <c r="E676" s="2">
        <v>621</v>
      </c>
      <c r="F676" s="2">
        <f>'NC post'!J93</f>
        <v>152.19842447768011</v>
      </c>
      <c r="G676" s="2">
        <v>22646</v>
      </c>
      <c r="H676" s="12">
        <f>'NC post'!M93</f>
        <v>119.26728212764141</v>
      </c>
      <c r="I676" s="2">
        <v>1540810</v>
      </c>
      <c r="J676" s="2">
        <v>153</v>
      </c>
      <c r="K676" s="2">
        <v>2244255</v>
      </c>
      <c r="L676" s="41">
        <v>1925</v>
      </c>
      <c r="M676" s="2"/>
      <c r="N676" s="27" t="s">
        <v>443</v>
      </c>
      <c r="O676" s="27" t="s">
        <v>442</v>
      </c>
      <c r="P676" s="27" t="str">
        <f t="shared" si="48"/>
        <v>https://ia601407.us.archive.org/6/items/biennialreportof19241926nort/biennialreportof19241926nort.pdf#page=216</v>
      </c>
      <c r="Q676" s="27" t="s">
        <v>443</v>
      </c>
      <c r="R676" s="27" t="str">
        <f t="shared" si="49"/>
        <v>https://ia601407.us.archive.org/6/items/biennialreportof19241926nort/biennialreportof19241926nort.pdf#page=108</v>
      </c>
      <c r="S676" s="27" t="s">
        <v>444</v>
      </c>
      <c r="T676" s="27" t="s">
        <v>441</v>
      </c>
      <c r="U676" s="27" t="s">
        <v>441</v>
      </c>
    </row>
    <row r="677" spans="1:21" x14ac:dyDescent="0.25">
      <c r="A677" s="27" t="s">
        <v>1222</v>
      </c>
      <c r="B677" s="27" t="str">
        <f t="shared" si="46"/>
        <v>North Carolina</v>
      </c>
      <c r="C677" s="27" t="str">
        <f t="shared" si="47"/>
        <v>Warren</v>
      </c>
      <c r="D677" s="2">
        <v>4639</v>
      </c>
      <c r="E677" s="2">
        <v>171</v>
      </c>
      <c r="F677" s="2">
        <f>'NC post'!J94</f>
        <v>134.25242509161458</v>
      </c>
      <c r="G677" s="2">
        <v>7327</v>
      </c>
      <c r="H677" s="12">
        <f>'NC post'!M94</f>
        <v>103.38429993338765</v>
      </c>
      <c r="I677" s="2">
        <v>280676</v>
      </c>
      <c r="J677" s="2">
        <v>76</v>
      </c>
      <c r="K677" s="2">
        <v>412050</v>
      </c>
      <c r="L677" s="41">
        <v>1925</v>
      </c>
      <c r="M677" s="2"/>
      <c r="N677" s="27" t="s">
        <v>443</v>
      </c>
      <c r="O677" s="27" t="s">
        <v>442</v>
      </c>
      <c r="P677" s="27" t="str">
        <f t="shared" si="48"/>
        <v>https://ia601407.us.archive.org/6/items/biennialreportof19241926nort/biennialreportof19241926nort.pdf#page=216</v>
      </c>
      <c r="Q677" s="27" t="s">
        <v>443</v>
      </c>
      <c r="R677" s="27" t="str">
        <f t="shared" si="49"/>
        <v>https://ia601407.us.archive.org/6/items/biennialreportof19241926nort/biennialreportof19241926nort.pdf#page=108</v>
      </c>
      <c r="S677" s="27" t="s">
        <v>444</v>
      </c>
      <c r="T677" s="27" t="s">
        <v>441</v>
      </c>
      <c r="U677" s="27" t="s">
        <v>441</v>
      </c>
    </row>
    <row r="678" spans="1:21" x14ac:dyDescent="0.25">
      <c r="A678" s="27" t="s">
        <v>1223</v>
      </c>
      <c r="B678" s="27" t="str">
        <f t="shared" si="46"/>
        <v>North Carolina</v>
      </c>
      <c r="C678" s="27" t="str">
        <f t="shared" si="47"/>
        <v>Washington</v>
      </c>
      <c r="D678" s="2">
        <v>2477</v>
      </c>
      <c r="E678" s="2">
        <v>99</v>
      </c>
      <c r="F678" s="2">
        <f>'NC post'!J95</f>
        <v>141.4517561566411</v>
      </c>
      <c r="G678" s="2">
        <v>3531</v>
      </c>
      <c r="H678" s="12">
        <f>'NC post'!M95</f>
        <v>99.096969771925245</v>
      </c>
      <c r="I678" s="2">
        <v>204710</v>
      </c>
      <c r="J678" s="2">
        <v>27</v>
      </c>
      <c r="K678" s="2">
        <v>483000</v>
      </c>
      <c r="L678" s="41">
        <v>1925</v>
      </c>
      <c r="M678" s="2"/>
      <c r="N678" s="27" t="s">
        <v>443</v>
      </c>
      <c r="O678" s="27" t="s">
        <v>442</v>
      </c>
      <c r="P678" s="27" t="str">
        <f t="shared" si="48"/>
        <v>https://ia601407.us.archive.org/6/items/biennialreportof19241926nort/biennialreportof19241926nort.pdf#page=216</v>
      </c>
      <c r="Q678" s="27" t="s">
        <v>443</v>
      </c>
      <c r="R678" s="27" t="str">
        <f t="shared" si="49"/>
        <v>https://ia601407.us.archive.org/6/items/biennialreportof19241926nort/biennialreportof19241926nort.pdf#page=108</v>
      </c>
      <c r="S678" s="27" t="s">
        <v>444</v>
      </c>
      <c r="T678" s="27" t="s">
        <v>441</v>
      </c>
      <c r="U678" s="27" t="s">
        <v>441</v>
      </c>
    </row>
    <row r="679" spans="1:21" x14ac:dyDescent="0.25">
      <c r="A679" s="27" t="s">
        <v>1756</v>
      </c>
      <c r="B679" s="27" t="str">
        <f t="shared" si="46"/>
        <v>North Carolina</v>
      </c>
      <c r="C679" s="27" t="str">
        <f t="shared" si="47"/>
        <v>Watauga</v>
      </c>
      <c r="D679" s="2">
        <v>3288</v>
      </c>
      <c r="E679" s="2">
        <v>129</v>
      </c>
      <c r="F679" s="2">
        <f>'NC post'!J96</f>
        <v>123.93917274939173</v>
      </c>
      <c r="G679" s="2">
        <v>4264</v>
      </c>
      <c r="H679" s="12">
        <f>'NC post'!M96</f>
        <v>79.865383904232004</v>
      </c>
      <c r="I679" s="2">
        <v>82047</v>
      </c>
      <c r="J679" s="2">
        <v>63</v>
      </c>
      <c r="K679" s="2">
        <v>289500</v>
      </c>
      <c r="L679" s="41">
        <v>1925</v>
      </c>
      <c r="M679" s="2"/>
      <c r="N679" s="27" t="s">
        <v>443</v>
      </c>
      <c r="O679" s="27" t="s">
        <v>442</v>
      </c>
      <c r="P679" s="27" t="str">
        <f t="shared" si="48"/>
        <v>https://ia601407.us.archive.org/6/items/biennialreportof19241926nort/biennialreportof19241926nort.pdf#page=216</v>
      </c>
      <c r="Q679" s="27" t="s">
        <v>443</v>
      </c>
      <c r="R679" s="27" t="str">
        <f t="shared" si="49"/>
        <v>https://ia601407.us.archive.org/6/items/biennialreportof19241926nort/biennialreportof19241926nort.pdf#page=108</v>
      </c>
      <c r="S679" s="27" t="s">
        <v>444</v>
      </c>
      <c r="T679" s="27" t="s">
        <v>441</v>
      </c>
      <c r="U679" s="27" t="s">
        <v>441</v>
      </c>
    </row>
    <row r="680" spans="1:21" x14ac:dyDescent="0.25">
      <c r="A680" s="27" t="s">
        <v>1224</v>
      </c>
      <c r="B680" s="27" t="str">
        <f t="shared" si="46"/>
        <v>North Carolina</v>
      </c>
      <c r="C680" s="27" t="str">
        <f t="shared" si="47"/>
        <v>Wayne</v>
      </c>
      <c r="D680" s="2">
        <v>9658</v>
      </c>
      <c r="E680" s="2">
        <v>360</v>
      </c>
      <c r="F680" s="2">
        <f>'NC post'!J97</f>
        <v>148.09028784427417</v>
      </c>
      <c r="G680" s="2">
        <v>13476</v>
      </c>
      <c r="H680" s="12">
        <f>'NC post'!M97</f>
        <v>112.35539869319433</v>
      </c>
      <c r="I680" s="2">
        <v>982774</v>
      </c>
      <c r="J680" s="2">
        <v>98</v>
      </c>
      <c r="K680" s="2">
        <v>1182000</v>
      </c>
      <c r="L680" s="41">
        <v>1925</v>
      </c>
      <c r="M680" s="2"/>
      <c r="N680" s="27" t="s">
        <v>443</v>
      </c>
      <c r="O680" s="27" t="s">
        <v>442</v>
      </c>
      <c r="P680" s="27" t="str">
        <f t="shared" si="48"/>
        <v>https://ia601407.us.archive.org/6/items/biennialreportof19241926nort/biennialreportof19241926nort.pdf#page=216</v>
      </c>
      <c r="Q680" s="27" t="s">
        <v>443</v>
      </c>
      <c r="R680" s="27" t="str">
        <f t="shared" si="49"/>
        <v>https://ia601407.us.archive.org/6/items/biennialreportof19241926nort/biennialreportof19241926nort.pdf#page=108</v>
      </c>
      <c r="S680" s="27" t="s">
        <v>444</v>
      </c>
      <c r="T680" s="27" t="s">
        <v>445</v>
      </c>
      <c r="U680" s="27" t="s">
        <v>445</v>
      </c>
    </row>
    <row r="681" spans="1:21" x14ac:dyDescent="0.25">
      <c r="A681" s="27" t="s">
        <v>1225</v>
      </c>
      <c r="B681" s="27" t="str">
        <f t="shared" si="46"/>
        <v>North Carolina</v>
      </c>
      <c r="C681" s="27" t="str">
        <f t="shared" si="47"/>
        <v>Wilkes</v>
      </c>
      <c r="D681" s="2">
        <v>9550</v>
      </c>
      <c r="E681" s="2">
        <v>291</v>
      </c>
      <c r="F681" s="2">
        <f>'NC post'!J98</f>
        <v>100.34324607329843</v>
      </c>
      <c r="G681" s="2">
        <v>10280</v>
      </c>
      <c r="H681" s="12">
        <f>'NC post'!M98</f>
        <v>121.55075431733219</v>
      </c>
      <c r="I681" s="2">
        <v>304869</v>
      </c>
      <c r="J681" s="2">
        <v>147</v>
      </c>
      <c r="K681" s="2">
        <v>474335</v>
      </c>
      <c r="L681" s="41">
        <v>1925</v>
      </c>
      <c r="M681" s="2"/>
      <c r="N681" s="27" t="s">
        <v>443</v>
      </c>
      <c r="O681" s="27" t="s">
        <v>446</v>
      </c>
      <c r="P681" s="27" t="str">
        <f t="shared" si="48"/>
        <v>https://ia601407.us.archive.org/6/items/biennialreportof19241926nort/biennialreportof19241926nort.pdf#page=216</v>
      </c>
      <c r="Q681" s="27" t="s">
        <v>443</v>
      </c>
      <c r="R681" s="27" t="str">
        <f t="shared" si="49"/>
        <v>https://ia601407.us.archive.org/6/items/biennialreportof19241926nort/biennialreportof19241926nort.pdf#page=108</v>
      </c>
      <c r="S681" s="27" t="s">
        <v>444</v>
      </c>
      <c r="T681" s="27" t="s">
        <v>445</v>
      </c>
      <c r="U681" s="27" t="s">
        <v>445</v>
      </c>
    </row>
    <row r="682" spans="1:21" x14ac:dyDescent="0.25">
      <c r="A682" s="27" t="s">
        <v>1226</v>
      </c>
      <c r="B682" s="27" t="str">
        <f t="shared" si="46"/>
        <v>North Carolina</v>
      </c>
      <c r="C682" s="27" t="str">
        <f t="shared" si="47"/>
        <v>Wilson</v>
      </c>
      <c r="D682" s="2">
        <v>8047</v>
      </c>
      <c r="E682" s="2">
        <v>290</v>
      </c>
      <c r="F682" s="2">
        <f>'NC post'!J99</f>
        <v>145.91736050702124</v>
      </c>
      <c r="G682" s="2">
        <v>11992</v>
      </c>
      <c r="H682" s="12">
        <f>'NC post'!M99</f>
        <v>128.53101804599376</v>
      </c>
      <c r="I682" s="2">
        <v>684715</v>
      </c>
      <c r="J682" s="2">
        <v>56</v>
      </c>
      <c r="K682" s="2">
        <v>1503600</v>
      </c>
      <c r="L682" s="41">
        <v>1925</v>
      </c>
      <c r="M682" s="2"/>
      <c r="N682" s="27" t="s">
        <v>443</v>
      </c>
      <c r="O682" s="27" t="s">
        <v>446</v>
      </c>
      <c r="P682" s="27" t="str">
        <f t="shared" si="48"/>
        <v>https://ia601407.us.archive.org/6/items/biennialreportof19241926nort/biennialreportof19241926nort.pdf#page=216</v>
      </c>
      <c r="Q682" s="27" t="s">
        <v>443</v>
      </c>
      <c r="R682" s="27" t="str">
        <f t="shared" si="49"/>
        <v>https://ia601407.us.archive.org/6/items/biennialreportof19241926nort/biennialreportof19241926nort.pdf#page=108</v>
      </c>
      <c r="S682" s="27" t="s">
        <v>447</v>
      </c>
      <c r="T682" s="27" t="s">
        <v>445</v>
      </c>
      <c r="U682" s="27" t="s">
        <v>445</v>
      </c>
    </row>
    <row r="683" spans="1:21" x14ac:dyDescent="0.25">
      <c r="A683" s="27" t="s">
        <v>1227</v>
      </c>
      <c r="B683" s="27" t="str">
        <f t="shared" si="46"/>
        <v>North Carolina</v>
      </c>
      <c r="C683" s="27" t="str">
        <f t="shared" si="47"/>
        <v>Yadkin</v>
      </c>
      <c r="D683" s="2">
        <v>3572</v>
      </c>
      <c r="E683" s="2">
        <v>140</v>
      </c>
      <c r="F683" s="2">
        <f>'NC post'!J100</f>
        <v>125.61534154535275</v>
      </c>
      <c r="G683" s="2">
        <v>5088</v>
      </c>
      <c r="H683" s="12">
        <f>'NC post'!M100</f>
        <v>93.361264624058308</v>
      </c>
      <c r="I683" s="2">
        <v>106006</v>
      </c>
      <c r="J683" s="2">
        <v>67</v>
      </c>
      <c r="K683" s="2">
        <v>166000</v>
      </c>
      <c r="L683" s="41">
        <v>1925</v>
      </c>
      <c r="M683" s="2"/>
      <c r="N683" s="27" t="s">
        <v>443</v>
      </c>
      <c r="O683" s="27" t="s">
        <v>446</v>
      </c>
      <c r="P683" s="27" t="str">
        <f t="shared" si="48"/>
        <v>https://ia601407.us.archive.org/6/items/biennialreportof19241926nort/biennialreportof19241926nort.pdf#page=216</v>
      </c>
      <c r="Q683" s="27" t="s">
        <v>443</v>
      </c>
      <c r="R683" s="27" t="str">
        <f t="shared" si="49"/>
        <v>https://ia601407.us.archive.org/6/items/biennialreportof19241926nort/biennialreportof19241926nort.pdf#page=108</v>
      </c>
      <c r="S683" s="27" t="s">
        <v>447</v>
      </c>
      <c r="T683" s="27" t="s">
        <v>445</v>
      </c>
      <c r="U683" s="27" t="s">
        <v>445</v>
      </c>
    </row>
    <row r="684" spans="1:21" x14ac:dyDescent="0.25">
      <c r="A684" s="27" t="s">
        <v>1228</v>
      </c>
      <c r="B684" s="27" t="str">
        <f t="shared" si="46"/>
        <v>North Carolina</v>
      </c>
      <c r="C684" s="27" t="str">
        <f t="shared" si="47"/>
        <v>Yancey</v>
      </c>
      <c r="D684" s="2">
        <v>2751</v>
      </c>
      <c r="E684" s="2">
        <v>107</v>
      </c>
      <c r="F684" s="2">
        <f>'NC post'!J101</f>
        <v>131.71646673936749</v>
      </c>
      <c r="G684" s="2">
        <v>3950</v>
      </c>
      <c r="H684" s="12">
        <f>'NC post'!M101</f>
        <v>87.435600850146656</v>
      </c>
      <c r="I684" s="2">
        <v>131609</v>
      </c>
      <c r="J684" s="2">
        <v>50</v>
      </c>
      <c r="K684" s="2">
        <v>133000</v>
      </c>
      <c r="L684" s="41">
        <v>1925</v>
      </c>
      <c r="M684" s="2"/>
      <c r="N684" s="27" t="s">
        <v>443</v>
      </c>
      <c r="O684" s="27" t="s">
        <v>446</v>
      </c>
      <c r="P684" s="27" t="str">
        <f t="shared" si="48"/>
        <v>https://ia601407.us.archive.org/6/items/biennialreportof19241926nort/biennialreportof19241926nort.pdf#page=216</v>
      </c>
      <c r="Q684" s="27" t="s">
        <v>443</v>
      </c>
      <c r="R684" s="27" t="str">
        <f t="shared" si="49"/>
        <v>https://ia601407.us.archive.org/6/items/biennialreportof19241926nort/biennialreportof19241926nort.pdf#page=108</v>
      </c>
      <c r="S684" s="27" t="s">
        <v>447</v>
      </c>
      <c r="T684" s="27" t="s">
        <v>445</v>
      </c>
      <c r="U684" s="27" t="s">
        <v>445</v>
      </c>
    </row>
    <row r="685" spans="1:21" x14ac:dyDescent="0.25">
      <c r="A685" s="27" t="s">
        <v>1367</v>
      </c>
      <c r="B685" s="27" t="str">
        <f t="shared" si="46"/>
        <v/>
      </c>
      <c r="C685" s="27" t="str">
        <f t="shared" si="47"/>
        <v/>
      </c>
      <c r="D685" s="2">
        <f>SUM(D585:D684)</f>
        <v>598211</v>
      </c>
      <c r="E685" s="2">
        <v>22333</v>
      </c>
      <c r="F685" s="2"/>
      <c r="G685" s="2">
        <f>SUM(G585:G684)</f>
        <v>819836</v>
      </c>
      <c r="I685" s="2">
        <f>SUM(I585:I684)</f>
        <v>44365817</v>
      </c>
      <c r="J685" s="2">
        <f>SUM(J585:J684)</f>
        <v>7076</v>
      </c>
      <c r="K685" s="2">
        <f>SUM(K585:K684)</f>
        <v>70705840</v>
      </c>
      <c r="M685" s="2"/>
      <c r="N685" s="2"/>
      <c r="Q685" s="2"/>
      <c r="S685" s="2"/>
    </row>
    <row r="686" spans="1:21" x14ac:dyDescent="0.25">
      <c r="A686" s="27" t="s">
        <v>1367</v>
      </c>
      <c r="B686" s="27" t="str">
        <f t="shared" si="46"/>
        <v/>
      </c>
      <c r="C686" s="27" t="str">
        <f t="shared" si="47"/>
        <v/>
      </c>
      <c r="D686" s="2">
        <v>596211</v>
      </c>
      <c r="E686" s="2">
        <v>22321</v>
      </c>
      <c r="F686" s="2"/>
      <c r="G686" s="2">
        <v>809834</v>
      </c>
      <c r="I686" s="2">
        <v>44415864</v>
      </c>
      <c r="J686" s="27">
        <v>7096</v>
      </c>
      <c r="K686" s="2">
        <v>70705835</v>
      </c>
      <c r="M686" s="2"/>
      <c r="N686" s="2"/>
      <c r="Q686" s="2"/>
      <c r="S686" s="2"/>
    </row>
    <row r="687" spans="1:21" x14ac:dyDescent="0.25">
      <c r="A687" s="27" t="s">
        <v>1229</v>
      </c>
      <c r="B687" s="27" t="str">
        <f t="shared" si="46"/>
        <v>South Carolina</v>
      </c>
      <c r="C687" s="27" t="str">
        <f t="shared" si="47"/>
        <v>Abbeville</v>
      </c>
      <c r="D687" s="31">
        <v>5100</v>
      </c>
      <c r="E687" s="2">
        <v>196</v>
      </c>
      <c r="F687" s="2">
        <v>135</v>
      </c>
      <c r="G687" s="2">
        <v>7172</v>
      </c>
      <c r="H687" s="89">
        <f>'SC post'!I2</f>
        <v>97.327241118669704</v>
      </c>
      <c r="I687" s="2">
        <v>246171</v>
      </c>
      <c r="J687" s="2">
        <v>82</v>
      </c>
      <c r="K687" s="29">
        <f>'SC post'!S2</f>
        <v>109742.03</v>
      </c>
      <c r="L687" s="41">
        <v>1925</v>
      </c>
      <c r="M687" s="2"/>
      <c r="N687" s="27" t="s">
        <v>448</v>
      </c>
      <c r="O687" s="27" t="s">
        <v>449</v>
      </c>
      <c r="P687" s="27" t="s">
        <v>450</v>
      </c>
      <c r="Q687" s="27" t="s">
        <v>451</v>
      </c>
      <c r="R687" s="27" t="s">
        <v>452</v>
      </c>
      <c r="S687" s="27" t="s">
        <v>453</v>
      </c>
      <c r="T687" s="27" t="s">
        <v>2583</v>
      </c>
      <c r="U687" s="27" t="s">
        <v>454</v>
      </c>
    </row>
    <row r="688" spans="1:21" x14ac:dyDescent="0.25">
      <c r="A688" s="27" t="s">
        <v>1230</v>
      </c>
      <c r="B688" s="27" t="str">
        <f t="shared" si="46"/>
        <v>South Carolina</v>
      </c>
      <c r="C688" s="27" t="str">
        <f t="shared" si="47"/>
        <v>Aiken</v>
      </c>
      <c r="D688" s="2">
        <v>8868</v>
      </c>
      <c r="E688" s="2">
        <v>329</v>
      </c>
      <c r="F688" s="2">
        <v>134</v>
      </c>
      <c r="G688" s="2">
        <v>13190</v>
      </c>
      <c r="H688" s="89">
        <f>'SC post'!I3</f>
        <v>92.274808329174775</v>
      </c>
      <c r="I688" s="2">
        <v>298869</v>
      </c>
      <c r="J688" s="2">
        <v>149</v>
      </c>
      <c r="K688" s="29">
        <f>'SC post'!S3</f>
        <v>80724.11</v>
      </c>
      <c r="L688" s="41">
        <v>1925</v>
      </c>
      <c r="M688" s="2"/>
      <c r="N688" s="27" t="s">
        <v>448</v>
      </c>
      <c r="O688" s="27" t="s">
        <v>449</v>
      </c>
      <c r="P688" s="27" t="s">
        <v>450</v>
      </c>
      <c r="Q688" s="27" t="s">
        <v>451</v>
      </c>
      <c r="R688" s="27" t="s">
        <v>452</v>
      </c>
      <c r="S688" s="27" t="s">
        <v>453</v>
      </c>
      <c r="T688" s="27" t="str">
        <f>T687</f>
        <v>https://babel.hathitrust.org/cgi/pt?id=mdp.39015076594376;view=1up;seq=121</v>
      </c>
      <c r="U688" s="27" t="s">
        <v>454</v>
      </c>
    </row>
    <row r="689" spans="1:21" x14ac:dyDescent="0.25">
      <c r="A689" s="27" t="s">
        <v>1231</v>
      </c>
      <c r="B689" s="27" t="str">
        <f t="shared" si="46"/>
        <v>South Carolina</v>
      </c>
      <c r="C689" s="27" t="str">
        <f t="shared" si="47"/>
        <v>Allendale</v>
      </c>
      <c r="D689" s="2">
        <v>2836</v>
      </c>
      <c r="E689" s="2">
        <v>91</v>
      </c>
      <c r="F689" s="2">
        <v>122</v>
      </c>
      <c r="G689" s="2">
        <v>4374</v>
      </c>
      <c r="H689" s="89">
        <f>'SC post'!I4</f>
        <v>98.844406413258881</v>
      </c>
      <c r="I689" s="2">
        <v>95831</v>
      </c>
      <c r="J689" s="2">
        <v>45</v>
      </c>
      <c r="K689" s="29">
        <f>'SC post'!S4</f>
        <v>30231.519999999997</v>
      </c>
      <c r="L689" s="41">
        <v>1925</v>
      </c>
      <c r="M689" s="2"/>
      <c r="N689" s="27" t="s">
        <v>448</v>
      </c>
      <c r="O689" s="27" t="s">
        <v>449</v>
      </c>
      <c r="P689" s="27" t="s">
        <v>450</v>
      </c>
      <c r="Q689" s="27" t="s">
        <v>451</v>
      </c>
      <c r="R689" s="27" t="s">
        <v>452</v>
      </c>
      <c r="S689" s="27" t="s">
        <v>453</v>
      </c>
      <c r="T689" s="27" t="str">
        <f t="shared" ref="T689:T732" si="50">T688</f>
        <v>https://babel.hathitrust.org/cgi/pt?id=mdp.39015076594376;view=1up;seq=121</v>
      </c>
      <c r="U689" s="27" t="s">
        <v>454</v>
      </c>
    </row>
    <row r="690" spans="1:21" x14ac:dyDescent="0.25">
      <c r="A690" s="27" t="s">
        <v>1232</v>
      </c>
      <c r="B690" s="27" t="str">
        <f t="shared" si="46"/>
        <v>South Carolina</v>
      </c>
      <c r="C690" s="27" t="str">
        <f t="shared" si="47"/>
        <v>Anderson</v>
      </c>
      <c r="D690" s="2">
        <v>14752</v>
      </c>
      <c r="E690" s="2">
        <v>555</v>
      </c>
      <c r="F690" s="2">
        <v>151</v>
      </c>
      <c r="G690" s="2">
        <v>21832</v>
      </c>
      <c r="H690" s="89">
        <f>'SC post'!I5</f>
        <v>102.28747449436192</v>
      </c>
      <c r="I690" s="2">
        <v>765507</v>
      </c>
      <c r="J690" s="2">
        <v>150</v>
      </c>
      <c r="K690" s="29">
        <f>'SC post'!S5</f>
        <v>276200.56</v>
      </c>
      <c r="L690" s="41">
        <v>1925</v>
      </c>
      <c r="M690" s="2"/>
      <c r="N690" s="27" t="s">
        <v>448</v>
      </c>
      <c r="O690" s="27" t="s">
        <v>449</v>
      </c>
      <c r="P690" s="27" t="s">
        <v>450</v>
      </c>
      <c r="Q690" s="27" t="s">
        <v>451</v>
      </c>
      <c r="R690" s="27" t="s">
        <v>452</v>
      </c>
      <c r="S690" s="27" t="s">
        <v>453</v>
      </c>
      <c r="T690" s="27" t="str">
        <f t="shared" si="50"/>
        <v>https://babel.hathitrust.org/cgi/pt?id=mdp.39015076594376;view=1up;seq=121</v>
      </c>
      <c r="U690" s="27" t="s">
        <v>454</v>
      </c>
    </row>
    <row r="691" spans="1:21" x14ac:dyDescent="0.25">
      <c r="A691" s="27" t="s">
        <v>1233</v>
      </c>
      <c r="B691" s="27" t="str">
        <f t="shared" si="46"/>
        <v>South Carolina</v>
      </c>
      <c r="C691" s="27" t="str">
        <f t="shared" si="47"/>
        <v>Bamberg</v>
      </c>
      <c r="D691" s="2">
        <v>4363</v>
      </c>
      <c r="E691" s="2">
        <v>127</v>
      </c>
      <c r="F691" s="2">
        <v>122</v>
      </c>
      <c r="G691" s="2">
        <v>6026</v>
      </c>
      <c r="H691" s="89">
        <f>'SC post'!I6</f>
        <v>116.71707757841746</v>
      </c>
      <c r="I691" s="2">
        <v>123969</v>
      </c>
      <c r="J691" s="2">
        <v>59</v>
      </c>
      <c r="K691" s="29">
        <f>'SC post'!S6</f>
        <v>23866.260000000002</v>
      </c>
      <c r="L691" s="41">
        <v>1925</v>
      </c>
      <c r="M691" s="2"/>
      <c r="N691" s="27" t="s">
        <v>448</v>
      </c>
      <c r="O691" s="27" t="s">
        <v>449</v>
      </c>
      <c r="P691" s="27" t="s">
        <v>450</v>
      </c>
      <c r="Q691" s="27" t="s">
        <v>451</v>
      </c>
      <c r="R691" s="27" t="s">
        <v>452</v>
      </c>
      <c r="S691" s="27" t="s">
        <v>453</v>
      </c>
      <c r="T691" s="27" t="str">
        <f t="shared" si="50"/>
        <v>https://babel.hathitrust.org/cgi/pt?id=mdp.39015076594376;view=1up;seq=121</v>
      </c>
      <c r="U691" s="27" t="s">
        <v>454</v>
      </c>
    </row>
    <row r="692" spans="1:21" x14ac:dyDescent="0.25">
      <c r="A692" s="27" t="s">
        <v>1234</v>
      </c>
      <c r="B692" s="27" t="str">
        <f t="shared" si="46"/>
        <v>South Carolina</v>
      </c>
      <c r="C692" s="27" t="str">
        <f t="shared" si="47"/>
        <v>Barnwell</v>
      </c>
      <c r="D692" s="2">
        <v>4862</v>
      </c>
      <c r="E692" s="2">
        <v>154</v>
      </c>
      <c r="F692" s="2">
        <v>126</v>
      </c>
      <c r="G692" s="2">
        <v>6697</v>
      </c>
      <c r="H692" s="89">
        <f>'SC post'!I7</f>
        <v>98.832086167800455</v>
      </c>
      <c r="I692" s="2">
        <v>205143</v>
      </c>
      <c r="J692" s="2">
        <v>76</v>
      </c>
      <c r="K692" s="29">
        <f>'SC post'!S7</f>
        <v>92768.31</v>
      </c>
      <c r="L692" s="41">
        <v>1925</v>
      </c>
      <c r="M692" s="2"/>
      <c r="N692" s="27" t="s">
        <v>448</v>
      </c>
      <c r="O692" s="27" t="s">
        <v>449</v>
      </c>
      <c r="P692" s="27" t="s">
        <v>450</v>
      </c>
      <c r="Q692" s="27" t="s">
        <v>451</v>
      </c>
      <c r="R692" s="27" t="s">
        <v>452</v>
      </c>
      <c r="S692" s="27" t="s">
        <v>453</v>
      </c>
      <c r="T692" s="27" t="str">
        <f t="shared" si="50"/>
        <v>https://babel.hathitrust.org/cgi/pt?id=mdp.39015076594376;view=1up;seq=121</v>
      </c>
      <c r="U692" s="27" t="s">
        <v>454</v>
      </c>
    </row>
    <row r="693" spans="1:21" x14ac:dyDescent="0.25">
      <c r="A693" s="27" t="s">
        <v>1235</v>
      </c>
      <c r="B693" s="27" t="str">
        <f t="shared" si="46"/>
        <v>South Carolina</v>
      </c>
      <c r="C693" s="27" t="str">
        <f t="shared" si="47"/>
        <v>Beaufort</v>
      </c>
      <c r="D693" s="2">
        <v>3337</v>
      </c>
      <c r="E693" s="2">
        <v>111</v>
      </c>
      <c r="F693" s="2">
        <v>141</v>
      </c>
      <c r="G693" s="2">
        <v>4424</v>
      </c>
      <c r="H693" s="89">
        <f>'SC post'!I8</f>
        <v>72.12031180116287</v>
      </c>
      <c r="I693" s="2">
        <v>171242</v>
      </c>
      <c r="J693" s="2">
        <v>61</v>
      </c>
      <c r="K693" s="29">
        <f>'SC post'!S8</f>
        <v>93988.86</v>
      </c>
      <c r="L693" s="41">
        <v>1925</v>
      </c>
      <c r="M693" s="2"/>
      <c r="N693" s="27" t="s">
        <v>448</v>
      </c>
      <c r="O693" s="27" t="s">
        <v>449</v>
      </c>
      <c r="P693" s="27" t="s">
        <v>450</v>
      </c>
      <c r="Q693" s="27" t="s">
        <v>451</v>
      </c>
      <c r="R693" s="27" t="s">
        <v>452</v>
      </c>
      <c r="S693" s="27" t="s">
        <v>453</v>
      </c>
      <c r="T693" s="27" t="str">
        <f t="shared" si="50"/>
        <v>https://babel.hathitrust.org/cgi/pt?id=mdp.39015076594376;view=1up;seq=121</v>
      </c>
      <c r="U693" s="27" t="s">
        <v>454</v>
      </c>
    </row>
    <row r="694" spans="1:21" x14ac:dyDescent="0.25">
      <c r="A694" s="27" t="s">
        <v>1236</v>
      </c>
      <c r="B694" s="27" t="str">
        <f t="shared" si="46"/>
        <v>South Carolina</v>
      </c>
      <c r="C694" s="27" t="str">
        <f t="shared" si="47"/>
        <v>Berkeley</v>
      </c>
      <c r="D694" s="2">
        <v>4588</v>
      </c>
      <c r="E694" s="2">
        <v>171</v>
      </c>
      <c r="F694" s="2">
        <v>126</v>
      </c>
      <c r="G694" s="2">
        <v>6512</v>
      </c>
      <c r="H694" s="89">
        <f>'SC post'!I9</f>
        <v>79.68716235032025</v>
      </c>
      <c r="I694" s="2">
        <v>197857</v>
      </c>
      <c r="J694" s="2">
        <v>103</v>
      </c>
      <c r="K694" s="29">
        <f>'SC post'!S9</f>
        <v>93681.65</v>
      </c>
      <c r="L694" s="41">
        <v>1925</v>
      </c>
      <c r="M694" s="2"/>
      <c r="N694" s="27" t="s">
        <v>448</v>
      </c>
      <c r="O694" s="27" t="s">
        <v>449</v>
      </c>
      <c r="P694" s="27" t="s">
        <v>450</v>
      </c>
      <c r="Q694" s="27" t="s">
        <v>451</v>
      </c>
      <c r="R694" s="27" t="s">
        <v>452</v>
      </c>
      <c r="S694" s="27" t="s">
        <v>453</v>
      </c>
      <c r="T694" s="27" t="str">
        <f t="shared" si="50"/>
        <v>https://babel.hathitrust.org/cgi/pt?id=mdp.39015076594376;view=1up;seq=121</v>
      </c>
      <c r="U694" s="27" t="s">
        <v>454</v>
      </c>
    </row>
    <row r="695" spans="1:21" x14ac:dyDescent="0.25">
      <c r="A695" s="27" t="s">
        <v>1237</v>
      </c>
      <c r="B695" s="27" t="str">
        <f t="shared" si="46"/>
        <v>South Carolina</v>
      </c>
      <c r="C695" s="27" t="str">
        <f t="shared" si="47"/>
        <v>Calhoun</v>
      </c>
      <c r="D695" s="2">
        <v>3403</v>
      </c>
      <c r="E695" s="2">
        <v>92</v>
      </c>
      <c r="F695" s="2">
        <v>121</v>
      </c>
      <c r="G695" s="2">
        <v>4972</v>
      </c>
      <c r="H695" s="89">
        <f>'SC post'!I10</f>
        <v>107.07240388070429</v>
      </c>
      <c r="I695" s="2">
        <v>128233</v>
      </c>
      <c r="J695" s="2">
        <v>41</v>
      </c>
      <c r="K695" s="29">
        <f>'SC post'!S10</f>
        <v>56560.75</v>
      </c>
      <c r="L695" s="41">
        <v>1925</v>
      </c>
      <c r="M695" s="2"/>
      <c r="N695" s="27" t="s">
        <v>448</v>
      </c>
      <c r="O695" s="27" t="s">
        <v>449</v>
      </c>
      <c r="P695" s="27" t="s">
        <v>450</v>
      </c>
      <c r="Q695" s="27" t="s">
        <v>451</v>
      </c>
      <c r="R695" s="27" t="s">
        <v>452</v>
      </c>
      <c r="S695" s="27" t="s">
        <v>453</v>
      </c>
      <c r="T695" s="27" t="str">
        <f t="shared" si="50"/>
        <v>https://babel.hathitrust.org/cgi/pt?id=mdp.39015076594376;view=1up;seq=121</v>
      </c>
      <c r="U695" s="27" t="s">
        <v>454</v>
      </c>
    </row>
    <row r="696" spans="1:21" x14ac:dyDescent="0.25">
      <c r="A696" s="27" t="s">
        <v>1238</v>
      </c>
      <c r="B696" s="27" t="str">
        <f t="shared" si="46"/>
        <v>South Carolina</v>
      </c>
      <c r="C696" s="27" t="str">
        <f t="shared" si="47"/>
        <v>Charleston</v>
      </c>
      <c r="D696" s="2">
        <v>14953</v>
      </c>
      <c r="E696" s="2">
        <v>448</v>
      </c>
      <c r="F696" s="2">
        <v>162</v>
      </c>
      <c r="G696" s="2">
        <v>18772</v>
      </c>
      <c r="H696" s="89">
        <f>'SC post'!I11</f>
        <v>127.53217592592594</v>
      </c>
      <c r="I696" s="2">
        <v>702231</v>
      </c>
      <c r="J696" s="2">
        <v>106</v>
      </c>
      <c r="K696" s="29">
        <f>'SC post'!S11</f>
        <v>169922.38</v>
      </c>
      <c r="L696" s="41">
        <v>1925</v>
      </c>
      <c r="M696" s="2"/>
      <c r="N696" s="27" t="s">
        <v>448</v>
      </c>
      <c r="O696" s="27" t="s">
        <v>449</v>
      </c>
      <c r="P696" s="27" t="s">
        <v>450</v>
      </c>
      <c r="Q696" s="27" t="s">
        <v>451</v>
      </c>
      <c r="R696" s="27" t="s">
        <v>452</v>
      </c>
      <c r="S696" s="27" t="s">
        <v>453</v>
      </c>
      <c r="T696" s="27" t="str">
        <f t="shared" si="50"/>
        <v>https://babel.hathitrust.org/cgi/pt?id=mdp.39015076594376;view=1up;seq=121</v>
      </c>
      <c r="U696" s="27" t="s">
        <v>454</v>
      </c>
    </row>
    <row r="697" spans="1:21" x14ac:dyDescent="0.25">
      <c r="A697" s="27" t="s">
        <v>1239</v>
      </c>
      <c r="B697" s="27" t="str">
        <f t="shared" si="46"/>
        <v>South Carolina</v>
      </c>
      <c r="C697" s="27" t="str">
        <f t="shared" si="47"/>
        <v>Cherokee</v>
      </c>
      <c r="D697" s="2">
        <v>5573</v>
      </c>
      <c r="E697" s="2">
        <v>220</v>
      </c>
      <c r="F697" s="2">
        <v>144</v>
      </c>
      <c r="G697" s="2">
        <v>8263</v>
      </c>
      <c r="H697" s="89">
        <f>'SC post'!I12</f>
        <v>99.130233585858591</v>
      </c>
      <c r="I697" s="2">
        <v>300395</v>
      </c>
      <c r="J697" s="2">
        <v>84</v>
      </c>
      <c r="K697" s="29">
        <f>'SC post'!S12</f>
        <v>91630.95</v>
      </c>
      <c r="L697" s="41">
        <v>1925</v>
      </c>
      <c r="M697" s="2"/>
      <c r="N697" s="27" t="s">
        <v>448</v>
      </c>
      <c r="O697" s="27" t="s">
        <v>449</v>
      </c>
      <c r="P697" s="27" t="s">
        <v>450</v>
      </c>
      <c r="Q697" s="27" t="s">
        <v>451</v>
      </c>
      <c r="R697" s="27" t="s">
        <v>452</v>
      </c>
      <c r="S697" s="27" t="s">
        <v>453</v>
      </c>
      <c r="T697" s="27" t="str">
        <f t="shared" si="50"/>
        <v>https://babel.hathitrust.org/cgi/pt?id=mdp.39015076594376;view=1up;seq=121</v>
      </c>
      <c r="U697" s="27" t="s">
        <v>454</v>
      </c>
    </row>
    <row r="698" spans="1:21" x14ac:dyDescent="0.25">
      <c r="A698" s="27" t="s">
        <v>1240</v>
      </c>
      <c r="B698" s="27" t="str">
        <f t="shared" si="46"/>
        <v>South Carolina</v>
      </c>
      <c r="C698" s="27" t="str">
        <f t="shared" si="47"/>
        <v>Chester</v>
      </c>
      <c r="D698" s="2">
        <v>6591</v>
      </c>
      <c r="E698" s="2">
        <v>247</v>
      </c>
      <c r="F698" s="2">
        <v>154</v>
      </c>
      <c r="G698" s="2">
        <v>9724</v>
      </c>
      <c r="H698" s="89">
        <f>'SC post'!I13</f>
        <v>97.99022556390976</v>
      </c>
      <c r="I698" s="2">
        <v>489653</v>
      </c>
      <c r="J698" s="2">
        <v>111</v>
      </c>
      <c r="K698" s="29">
        <f>'SC post'!S13</f>
        <v>271388.18</v>
      </c>
      <c r="L698" s="41">
        <v>1925</v>
      </c>
      <c r="M698" s="2"/>
      <c r="N698" s="27" t="s">
        <v>448</v>
      </c>
      <c r="O698" s="27" t="s">
        <v>449</v>
      </c>
      <c r="P698" s="27" t="s">
        <v>450</v>
      </c>
      <c r="Q698" s="27" t="s">
        <v>451</v>
      </c>
      <c r="R698" s="27" t="s">
        <v>452</v>
      </c>
      <c r="S698" s="27" t="s">
        <v>453</v>
      </c>
      <c r="T698" s="27" t="str">
        <f t="shared" si="50"/>
        <v>https://babel.hathitrust.org/cgi/pt?id=mdp.39015076594376;view=1up;seq=121</v>
      </c>
      <c r="U698" s="27" t="s">
        <v>454</v>
      </c>
    </row>
    <row r="699" spans="1:21" x14ac:dyDescent="0.25">
      <c r="A699" s="27" t="s">
        <v>1757</v>
      </c>
      <c r="B699" s="27" t="str">
        <f t="shared" si="46"/>
        <v>South Carolina</v>
      </c>
      <c r="C699" s="27" t="str">
        <f t="shared" si="47"/>
        <v>Chesterfield</v>
      </c>
      <c r="D699" s="2">
        <v>6882</v>
      </c>
      <c r="E699" s="2">
        <v>294</v>
      </c>
      <c r="F699" s="2">
        <v>140</v>
      </c>
      <c r="G699" s="2">
        <v>10868</v>
      </c>
      <c r="H699" s="89">
        <f>'SC post'!I14</f>
        <v>97.868775510204074</v>
      </c>
      <c r="I699" s="2">
        <v>300638</v>
      </c>
      <c r="J699" s="2">
        <v>108</v>
      </c>
      <c r="K699" s="29">
        <f>'SC post'!S14</f>
        <v>67656.800000000003</v>
      </c>
      <c r="L699" s="41">
        <v>1925</v>
      </c>
      <c r="M699" s="2"/>
      <c r="N699" s="27" t="s">
        <v>448</v>
      </c>
      <c r="O699" s="27" t="s">
        <v>449</v>
      </c>
      <c r="P699" s="27" t="s">
        <v>450</v>
      </c>
      <c r="Q699" s="27" t="s">
        <v>451</v>
      </c>
      <c r="R699" s="27" t="s">
        <v>452</v>
      </c>
      <c r="S699" s="27" t="s">
        <v>453</v>
      </c>
      <c r="T699" s="27" t="str">
        <f t="shared" si="50"/>
        <v>https://babel.hathitrust.org/cgi/pt?id=mdp.39015076594376;view=1up;seq=121</v>
      </c>
      <c r="U699" s="27" t="s">
        <v>454</v>
      </c>
    </row>
    <row r="700" spans="1:21" x14ac:dyDescent="0.25">
      <c r="A700" s="27" t="s">
        <v>1241</v>
      </c>
      <c r="B700" s="27" t="str">
        <f t="shared" si="46"/>
        <v>South Carolina</v>
      </c>
      <c r="C700" s="27" t="str">
        <f t="shared" si="47"/>
        <v>Clarendon</v>
      </c>
      <c r="D700" s="2">
        <v>6329</v>
      </c>
      <c r="E700" s="2">
        <v>196</v>
      </c>
      <c r="F700" s="2">
        <v>122</v>
      </c>
      <c r="G700" s="2">
        <v>8761</v>
      </c>
      <c r="H700" s="89">
        <f>'SC post'!I15</f>
        <v>90.709217129474737</v>
      </c>
      <c r="I700" s="2">
        <v>130740</v>
      </c>
      <c r="J700" s="2">
        <v>105</v>
      </c>
      <c r="K700" s="29">
        <f>'SC post'!S15</f>
        <v>13124.11</v>
      </c>
      <c r="L700" s="41">
        <v>1925</v>
      </c>
      <c r="M700" s="2"/>
      <c r="N700" s="27" t="s">
        <v>448</v>
      </c>
      <c r="O700" s="27" t="s">
        <v>449</v>
      </c>
      <c r="P700" s="27" t="s">
        <v>450</v>
      </c>
      <c r="Q700" s="27" t="s">
        <v>451</v>
      </c>
      <c r="R700" s="27" t="s">
        <v>452</v>
      </c>
      <c r="S700" s="27" t="s">
        <v>453</v>
      </c>
      <c r="T700" s="27" t="str">
        <f t="shared" si="50"/>
        <v>https://babel.hathitrust.org/cgi/pt?id=mdp.39015076594376;view=1up;seq=121</v>
      </c>
      <c r="U700" s="27" t="s">
        <v>454</v>
      </c>
    </row>
    <row r="701" spans="1:21" x14ac:dyDescent="0.25">
      <c r="A701" s="27" t="s">
        <v>1242</v>
      </c>
      <c r="B701" s="27" t="str">
        <f t="shared" si="46"/>
        <v>South Carolina</v>
      </c>
      <c r="C701" s="27" t="str">
        <f t="shared" si="47"/>
        <v>Colleton</v>
      </c>
      <c r="D701" s="2">
        <v>5814</v>
      </c>
      <c r="E701" s="2">
        <v>226</v>
      </c>
      <c r="F701" s="29">
        <v>128</v>
      </c>
      <c r="G701" s="2">
        <v>8270</v>
      </c>
      <c r="H701" s="89">
        <f>'SC post'!I16</f>
        <v>96.099004424778755</v>
      </c>
      <c r="I701" s="2">
        <v>227476</v>
      </c>
      <c r="J701" s="2">
        <v>130</v>
      </c>
      <c r="K701" s="29">
        <f>'SC post'!S16</f>
        <v>71564.700000000012</v>
      </c>
      <c r="L701" s="41">
        <v>1925</v>
      </c>
      <c r="M701" s="2"/>
      <c r="N701" s="27" t="s">
        <v>448</v>
      </c>
      <c r="O701" s="27" t="s">
        <v>449</v>
      </c>
      <c r="P701" s="27" t="s">
        <v>450</v>
      </c>
      <c r="Q701" s="27" t="s">
        <v>451</v>
      </c>
      <c r="R701" s="27" t="s">
        <v>452</v>
      </c>
      <c r="S701" s="27" t="s">
        <v>453</v>
      </c>
      <c r="T701" s="27" t="str">
        <f t="shared" si="50"/>
        <v>https://babel.hathitrust.org/cgi/pt?id=mdp.39015076594376;view=1up;seq=121</v>
      </c>
      <c r="U701" s="27" t="s">
        <v>454</v>
      </c>
    </row>
    <row r="702" spans="1:21" x14ac:dyDescent="0.25">
      <c r="A702" s="27" t="s">
        <v>1243</v>
      </c>
      <c r="B702" s="27" t="str">
        <f t="shared" si="46"/>
        <v>South Carolina</v>
      </c>
      <c r="C702" s="27" t="str">
        <f t="shared" si="47"/>
        <v>Darlington</v>
      </c>
      <c r="D702" s="2">
        <v>8076</v>
      </c>
      <c r="E702" s="2">
        <v>291</v>
      </c>
      <c r="F702" s="2">
        <v>150</v>
      </c>
      <c r="G702" s="2">
        <v>11922</v>
      </c>
      <c r="H702" s="89">
        <f>'SC post'!I17</f>
        <v>105.43952348224515</v>
      </c>
      <c r="I702" s="2">
        <v>358631</v>
      </c>
      <c r="J702" s="2">
        <v>67</v>
      </c>
      <c r="K702" s="29">
        <f>'SC post'!S17</f>
        <v>72416.820000000007</v>
      </c>
      <c r="L702" s="41">
        <v>1925</v>
      </c>
      <c r="M702" s="2"/>
      <c r="N702" s="27" t="s">
        <v>448</v>
      </c>
      <c r="O702" s="27" t="s">
        <v>449</v>
      </c>
      <c r="P702" s="27" t="s">
        <v>450</v>
      </c>
      <c r="Q702" s="27" t="s">
        <v>451</v>
      </c>
      <c r="R702" s="27" t="s">
        <v>452</v>
      </c>
      <c r="S702" s="27" t="s">
        <v>453</v>
      </c>
      <c r="T702" s="27" t="str">
        <f t="shared" si="50"/>
        <v>https://babel.hathitrust.org/cgi/pt?id=mdp.39015076594376;view=1up;seq=121</v>
      </c>
      <c r="U702" s="27" t="s">
        <v>454</v>
      </c>
    </row>
    <row r="703" spans="1:21" x14ac:dyDescent="0.25">
      <c r="A703" s="27" t="s">
        <v>1244</v>
      </c>
      <c r="B703" s="27" t="str">
        <f t="shared" si="46"/>
        <v>South Carolina</v>
      </c>
      <c r="C703" s="27" t="str">
        <f t="shared" si="47"/>
        <v>Dillon</v>
      </c>
      <c r="D703" s="2">
        <v>4649</v>
      </c>
      <c r="E703" s="2">
        <v>175</v>
      </c>
      <c r="F703" s="2">
        <v>142</v>
      </c>
      <c r="G703" s="2">
        <v>6872</v>
      </c>
      <c r="H703" s="89">
        <f>'SC post'!I18</f>
        <v>107.10910261569417</v>
      </c>
      <c r="I703" s="2">
        <v>295211</v>
      </c>
      <c r="J703" s="2">
        <v>50</v>
      </c>
      <c r="K703" s="29">
        <f>'SC post'!S18</f>
        <v>120846.55</v>
      </c>
      <c r="L703" s="41">
        <v>1925</v>
      </c>
      <c r="M703" s="2"/>
      <c r="N703" s="27" t="s">
        <v>448</v>
      </c>
      <c r="O703" s="27" t="s">
        <v>449</v>
      </c>
      <c r="P703" s="27" t="s">
        <v>450</v>
      </c>
      <c r="Q703" s="27" t="s">
        <v>451</v>
      </c>
      <c r="R703" s="27" t="s">
        <v>452</v>
      </c>
      <c r="S703" s="27" t="s">
        <v>453</v>
      </c>
      <c r="T703" s="27" t="str">
        <f t="shared" si="50"/>
        <v>https://babel.hathitrust.org/cgi/pt?id=mdp.39015076594376;view=1up;seq=121</v>
      </c>
      <c r="U703" s="27" t="s">
        <v>454</v>
      </c>
    </row>
    <row r="704" spans="1:21" x14ac:dyDescent="0.25">
      <c r="A704" s="27" t="s">
        <v>1245</v>
      </c>
      <c r="B704" s="27" t="str">
        <f t="shared" si="46"/>
        <v>South Carolina</v>
      </c>
      <c r="C704" s="27" t="str">
        <f t="shared" si="47"/>
        <v>Dorchester</v>
      </c>
      <c r="D704" s="2">
        <v>4230</v>
      </c>
      <c r="E704" s="2">
        <v>138</v>
      </c>
      <c r="F704" s="2">
        <v>132</v>
      </c>
      <c r="G704" s="2">
        <v>5585</v>
      </c>
      <c r="H704" s="89">
        <f>'SC post'!I19</f>
        <v>105.95444664031621</v>
      </c>
      <c r="I704" s="2">
        <v>195455</v>
      </c>
      <c r="J704" s="2">
        <v>65</v>
      </c>
      <c r="K704" s="29">
        <f>'SC post'!S19</f>
        <v>98278.17</v>
      </c>
      <c r="L704" s="41">
        <v>1925</v>
      </c>
      <c r="M704" s="2"/>
      <c r="N704" s="27" t="s">
        <v>448</v>
      </c>
      <c r="O704" s="27" t="s">
        <v>449</v>
      </c>
      <c r="P704" s="27" t="s">
        <v>450</v>
      </c>
      <c r="Q704" s="27" t="s">
        <v>451</v>
      </c>
      <c r="R704" s="27" t="s">
        <v>452</v>
      </c>
      <c r="S704" s="27" t="s">
        <v>453</v>
      </c>
      <c r="T704" s="27" t="str">
        <f t="shared" si="50"/>
        <v>https://babel.hathitrust.org/cgi/pt?id=mdp.39015076594376;view=1up;seq=121</v>
      </c>
      <c r="U704" s="27" t="s">
        <v>454</v>
      </c>
    </row>
    <row r="705" spans="1:21" x14ac:dyDescent="0.25">
      <c r="A705" s="27" t="s">
        <v>1246</v>
      </c>
      <c r="B705" s="27" t="str">
        <f t="shared" si="46"/>
        <v>South Carolina</v>
      </c>
      <c r="C705" s="27" t="str">
        <f t="shared" si="47"/>
        <v>Edgefield</v>
      </c>
      <c r="D705" s="2">
        <v>4422</v>
      </c>
      <c r="E705" s="2">
        <v>155</v>
      </c>
      <c r="F705" s="2">
        <v>116</v>
      </c>
      <c r="G705" s="2">
        <v>5959</v>
      </c>
      <c r="H705" s="89">
        <f>'SC post'!I20</f>
        <v>92.543314794215803</v>
      </c>
      <c r="I705" s="2">
        <v>165828</v>
      </c>
      <c r="J705" s="2">
        <v>84</v>
      </c>
      <c r="K705" s="29">
        <f>'SC post'!S20</f>
        <v>76592.349999999991</v>
      </c>
      <c r="L705" s="41">
        <v>1925</v>
      </c>
      <c r="M705" s="2"/>
      <c r="N705" s="27" t="s">
        <v>448</v>
      </c>
      <c r="O705" s="27" t="s">
        <v>449</v>
      </c>
      <c r="P705" s="27" t="s">
        <v>450</v>
      </c>
      <c r="Q705" s="27" t="s">
        <v>451</v>
      </c>
      <c r="R705" s="27" t="s">
        <v>452</v>
      </c>
      <c r="S705" s="27" t="s">
        <v>453</v>
      </c>
      <c r="T705" s="27" t="str">
        <f t="shared" si="50"/>
        <v>https://babel.hathitrust.org/cgi/pt?id=mdp.39015076594376;view=1up;seq=121</v>
      </c>
      <c r="U705" s="27" t="s">
        <v>454</v>
      </c>
    </row>
    <row r="706" spans="1:21" x14ac:dyDescent="0.25">
      <c r="A706" s="27" t="s">
        <v>1247</v>
      </c>
      <c r="B706" s="27" t="str">
        <f t="shared" ref="B706:B769" si="51">LEFT(A706,FIND(";",A706)-1)</f>
        <v>South Carolina</v>
      </c>
      <c r="C706" s="27" t="str">
        <f t="shared" ref="C706:C769" si="52">MID(A706,FIND(";",A706)+1,100)</f>
        <v>Fairfield</v>
      </c>
      <c r="D706" s="2">
        <v>5042</v>
      </c>
      <c r="E706" s="2">
        <v>185</v>
      </c>
      <c r="F706" s="2">
        <v>130</v>
      </c>
      <c r="G706" s="2">
        <v>7256</v>
      </c>
      <c r="H706" s="89">
        <f>'SC post'!I21</f>
        <v>84.848523908523916</v>
      </c>
      <c r="I706" s="2">
        <v>163704</v>
      </c>
      <c r="J706" s="2">
        <v>99</v>
      </c>
      <c r="K706" s="29">
        <f>'SC post'!S21</f>
        <v>39553.520000000004</v>
      </c>
      <c r="L706" s="41">
        <v>1925</v>
      </c>
      <c r="M706" s="2"/>
      <c r="N706" s="27" t="s">
        <v>448</v>
      </c>
      <c r="O706" s="27" t="s">
        <v>449</v>
      </c>
      <c r="P706" s="27" t="s">
        <v>450</v>
      </c>
      <c r="Q706" s="27" t="s">
        <v>451</v>
      </c>
      <c r="R706" s="27" t="s">
        <v>452</v>
      </c>
      <c r="S706" s="27" t="s">
        <v>453</v>
      </c>
      <c r="T706" s="27" t="str">
        <f t="shared" si="50"/>
        <v>https://babel.hathitrust.org/cgi/pt?id=mdp.39015076594376;view=1up;seq=121</v>
      </c>
      <c r="U706" s="27" t="s">
        <v>454</v>
      </c>
    </row>
    <row r="707" spans="1:21" x14ac:dyDescent="0.25">
      <c r="A707" s="27" t="s">
        <v>1248</v>
      </c>
      <c r="B707" s="27" t="str">
        <f t="shared" si="51"/>
        <v>South Carolina</v>
      </c>
      <c r="C707" s="27" t="str">
        <f t="shared" si="52"/>
        <v>Florence</v>
      </c>
      <c r="D707" s="2">
        <v>12068</v>
      </c>
      <c r="E707" s="2">
        <v>479</v>
      </c>
      <c r="F707" s="2">
        <v>152</v>
      </c>
      <c r="G707" s="2">
        <v>17127</v>
      </c>
      <c r="H707" s="89">
        <f>'SC post'!I22</f>
        <v>108.91947313482035</v>
      </c>
      <c r="I707" s="2">
        <v>591963</v>
      </c>
      <c r="J707" s="2">
        <v>121</v>
      </c>
      <c r="K707" s="29">
        <f>'SC post'!S22</f>
        <v>112210.70999999999</v>
      </c>
      <c r="L707" s="41">
        <v>1925</v>
      </c>
      <c r="M707" s="2"/>
      <c r="N707" s="27" t="s">
        <v>448</v>
      </c>
      <c r="O707" s="27" t="s">
        <v>449</v>
      </c>
      <c r="P707" s="27" t="s">
        <v>450</v>
      </c>
      <c r="Q707" s="27" t="s">
        <v>451</v>
      </c>
      <c r="R707" s="27" t="s">
        <v>452</v>
      </c>
      <c r="S707" s="27" t="s">
        <v>453</v>
      </c>
      <c r="T707" s="27" t="str">
        <f t="shared" si="50"/>
        <v>https://babel.hathitrust.org/cgi/pt?id=mdp.39015076594376;view=1up;seq=121</v>
      </c>
      <c r="U707" s="27" t="s">
        <v>454</v>
      </c>
    </row>
    <row r="708" spans="1:21" x14ac:dyDescent="0.25">
      <c r="A708" s="27" t="s">
        <v>1249</v>
      </c>
      <c r="B708" s="27" t="str">
        <f t="shared" si="51"/>
        <v>South Carolina</v>
      </c>
      <c r="C708" s="27" t="str">
        <f t="shared" si="52"/>
        <v>Georgetown</v>
      </c>
      <c r="D708" s="2">
        <v>4713</v>
      </c>
      <c r="E708" s="2">
        <v>163</v>
      </c>
      <c r="F708" s="2">
        <v>141</v>
      </c>
      <c r="G708" s="2">
        <v>5981</v>
      </c>
      <c r="H708" s="89">
        <f>'SC post'!I23</f>
        <v>92.733072270808876</v>
      </c>
      <c r="I708" s="2">
        <v>142391</v>
      </c>
      <c r="J708" s="2">
        <v>66</v>
      </c>
      <c r="K708" s="29">
        <f>'SC post'!S23</f>
        <v>23652.5</v>
      </c>
      <c r="L708" s="41">
        <v>1925</v>
      </c>
      <c r="M708" s="2"/>
      <c r="N708" s="27" t="s">
        <v>448</v>
      </c>
      <c r="O708" s="27" t="s">
        <v>449</v>
      </c>
      <c r="P708" s="27" t="s">
        <v>450</v>
      </c>
      <c r="Q708" s="27" t="s">
        <v>451</v>
      </c>
      <c r="R708" s="27" t="s">
        <v>452</v>
      </c>
      <c r="S708" s="27" t="s">
        <v>453</v>
      </c>
      <c r="T708" s="27" t="str">
        <f t="shared" si="50"/>
        <v>https://babel.hathitrust.org/cgi/pt?id=mdp.39015076594376;view=1up;seq=121</v>
      </c>
      <c r="U708" s="27" t="s">
        <v>454</v>
      </c>
    </row>
    <row r="709" spans="1:21" x14ac:dyDescent="0.25">
      <c r="A709" s="27" t="s">
        <v>1250</v>
      </c>
      <c r="B709" s="27" t="str">
        <f t="shared" si="51"/>
        <v>South Carolina</v>
      </c>
      <c r="C709" s="27" t="str">
        <f t="shared" si="52"/>
        <v>Greenville</v>
      </c>
      <c r="D709" s="2">
        <v>20278</v>
      </c>
      <c r="E709" s="2">
        <v>822</v>
      </c>
      <c r="F709" s="2">
        <v>160</v>
      </c>
      <c r="G709" s="2">
        <v>28581</v>
      </c>
      <c r="H709" s="89">
        <f>'SC post'!I24</f>
        <v>108.2233743917275</v>
      </c>
      <c r="I709" s="2">
        <v>1058534</v>
      </c>
      <c r="J709" s="2">
        <v>191</v>
      </c>
      <c r="K709" s="29">
        <f>'SC post'!S24</f>
        <v>253502.74</v>
      </c>
      <c r="L709" s="41">
        <v>1925</v>
      </c>
      <c r="M709" s="2"/>
      <c r="N709" s="27" t="s">
        <v>448</v>
      </c>
      <c r="O709" s="27" t="s">
        <v>449</v>
      </c>
      <c r="P709" s="27" t="s">
        <v>450</v>
      </c>
      <c r="Q709" s="27" t="s">
        <v>451</v>
      </c>
      <c r="R709" s="27" t="s">
        <v>452</v>
      </c>
      <c r="S709" s="27" t="s">
        <v>453</v>
      </c>
      <c r="T709" s="27" t="str">
        <f t="shared" si="50"/>
        <v>https://babel.hathitrust.org/cgi/pt?id=mdp.39015076594376;view=1up;seq=121</v>
      </c>
      <c r="U709" s="27" t="s">
        <v>454</v>
      </c>
    </row>
    <row r="710" spans="1:21" x14ac:dyDescent="0.25">
      <c r="A710" s="27" t="s">
        <v>1758</v>
      </c>
      <c r="B710" s="27" t="str">
        <f t="shared" si="51"/>
        <v>South Carolina</v>
      </c>
      <c r="C710" s="27" t="str">
        <f t="shared" si="52"/>
        <v>Greenwood</v>
      </c>
      <c r="D710" s="2">
        <v>7434</v>
      </c>
      <c r="E710" s="2">
        <v>228</v>
      </c>
      <c r="F710" s="2">
        <v>148</v>
      </c>
      <c r="G710" s="2">
        <v>10430</v>
      </c>
      <c r="H710" s="89">
        <f>'SC post'!I25</f>
        <v>109.40758060692271</v>
      </c>
      <c r="I710" s="2">
        <v>286673</v>
      </c>
      <c r="J710" s="2">
        <v>83</v>
      </c>
      <c r="K710" s="29">
        <f>'SC post'!S25</f>
        <v>78655.78</v>
      </c>
      <c r="L710" s="41">
        <v>1925</v>
      </c>
      <c r="M710" s="2"/>
      <c r="N710" s="27" t="s">
        <v>448</v>
      </c>
      <c r="O710" s="27" t="s">
        <v>449</v>
      </c>
      <c r="P710" s="27" t="s">
        <v>450</v>
      </c>
      <c r="Q710" s="27" t="s">
        <v>451</v>
      </c>
      <c r="R710" s="27" t="s">
        <v>452</v>
      </c>
      <c r="S710" s="27" t="s">
        <v>453</v>
      </c>
      <c r="T710" s="27" t="str">
        <f t="shared" si="50"/>
        <v>https://babel.hathitrust.org/cgi/pt?id=mdp.39015076594376;view=1up;seq=121</v>
      </c>
      <c r="U710" s="27" t="s">
        <v>454</v>
      </c>
    </row>
    <row r="711" spans="1:21" x14ac:dyDescent="0.25">
      <c r="A711" s="27" t="s">
        <v>1251</v>
      </c>
      <c r="B711" s="27" t="str">
        <f t="shared" si="51"/>
        <v>South Carolina</v>
      </c>
      <c r="C711" s="27" t="str">
        <f t="shared" si="52"/>
        <v>Hampton</v>
      </c>
      <c r="D711" s="2">
        <v>3713</v>
      </c>
      <c r="E711" s="2">
        <v>146</v>
      </c>
      <c r="F711" s="2">
        <v>135</v>
      </c>
      <c r="G711" s="2">
        <v>5293</v>
      </c>
      <c r="H711" s="89">
        <f>'SC post'!I26</f>
        <v>99.153708777270424</v>
      </c>
      <c r="I711" s="2">
        <v>150499</v>
      </c>
      <c r="J711" s="2">
        <v>69</v>
      </c>
      <c r="K711" s="29">
        <f>'SC post'!S26</f>
        <v>38773.14</v>
      </c>
      <c r="L711" s="41">
        <v>1925</v>
      </c>
      <c r="M711" s="2"/>
      <c r="N711" s="27" t="s">
        <v>448</v>
      </c>
      <c r="O711" s="27" t="s">
        <v>449</v>
      </c>
      <c r="P711" s="27" t="s">
        <v>450</v>
      </c>
      <c r="Q711" s="27" t="s">
        <v>451</v>
      </c>
      <c r="R711" s="27" t="s">
        <v>452</v>
      </c>
      <c r="S711" s="27" t="s">
        <v>453</v>
      </c>
      <c r="T711" s="27" t="str">
        <f t="shared" si="50"/>
        <v>https://babel.hathitrust.org/cgi/pt?id=mdp.39015076594376;view=1up;seq=121</v>
      </c>
      <c r="U711" s="27" t="s">
        <v>454</v>
      </c>
    </row>
    <row r="712" spans="1:21" x14ac:dyDescent="0.25">
      <c r="A712" s="27" t="s">
        <v>1252</v>
      </c>
      <c r="B712" s="27" t="str">
        <f t="shared" si="51"/>
        <v>South Carolina</v>
      </c>
      <c r="C712" s="27" t="str">
        <f t="shared" si="52"/>
        <v>Horry</v>
      </c>
      <c r="D712" s="2">
        <v>6747</v>
      </c>
      <c r="E712" s="2">
        <v>310</v>
      </c>
      <c r="F712" s="2">
        <v>139</v>
      </c>
      <c r="G712" s="2">
        <v>10284</v>
      </c>
      <c r="H712" s="89">
        <f>'SC post'!I27</f>
        <v>97.54964028776979</v>
      </c>
      <c r="I712" s="2">
        <v>306545</v>
      </c>
      <c r="J712" s="2">
        <v>125</v>
      </c>
      <c r="K712" s="29">
        <f>'SC post'!S27</f>
        <v>80941.63</v>
      </c>
      <c r="L712" s="41">
        <v>1925</v>
      </c>
      <c r="M712" s="2"/>
      <c r="N712" s="27" t="s">
        <v>448</v>
      </c>
      <c r="O712" s="27" t="s">
        <v>449</v>
      </c>
      <c r="P712" s="27" t="s">
        <v>450</v>
      </c>
      <c r="Q712" s="27" t="s">
        <v>451</v>
      </c>
      <c r="R712" s="27" t="s">
        <v>452</v>
      </c>
      <c r="S712" s="27" t="s">
        <v>453</v>
      </c>
      <c r="T712" s="27" t="str">
        <f t="shared" si="50"/>
        <v>https://babel.hathitrust.org/cgi/pt?id=mdp.39015076594376;view=1up;seq=121</v>
      </c>
      <c r="U712" s="27" t="s">
        <v>454</v>
      </c>
    </row>
    <row r="713" spans="1:21" x14ac:dyDescent="0.25">
      <c r="A713" s="27" t="s">
        <v>1253</v>
      </c>
      <c r="B713" s="27" t="str">
        <f t="shared" si="51"/>
        <v>South Carolina</v>
      </c>
      <c r="C713" s="27" t="str">
        <f t="shared" si="52"/>
        <v>Jasper</v>
      </c>
      <c r="D713" s="2">
        <v>1932</v>
      </c>
      <c r="E713" s="2">
        <v>77</v>
      </c>
      <c r="F713" s="2">
        <v>108</v>
      </c>
      <c r="G713" s="2">
        <v>2589</v>
      </c>
      <c r="H713" s="89">
        <f>'SC post'!I28</f>
        <v>78.868566618566618</v>
      </c>
      <c r="I713" s="2">
        <v>42194</v>
      </c>
      <c r="J713" s="2">
        <v>56</v>
      </c>
      <c r="K713" s="29">
        <f>'SC post'!S28</f>
        <v>4058.1099999999997</v>
      </c>
      <c r="L713" s="41">
        <v>1925</v>
      </c>
      <c r="M713" s="2"/>
      <c r="N713" s="27" t="s">
        <v>448</v>
      </c>
      <c r="O713" s="27" t="s">
        <v>449</v>
      </c>
      <c r="P713" s="27" t="s">
        <v>450</v>
      </c>
      <c r="Q713" s="27" t="s">
        <v>451</v>
      </c>
      <c r="R713" s="27" t="s">
        <v>452</v>
      </c>
      <c r="S713" s="27" t="s">
        <v>453</v>
      </c>
      <c r="T713" s="27" t="str">
        <f t="shared" si="50"/>
        <v>https://babel.hathitrust.org/cgi/pt?id=mdp.39015076594376;view=1up;seq=121</v>
      </c>
      <c r="U713" s="27" t="s">
        <v>454</v>
      </c>
    </row>
    <row r="714" spans="1:21" x14ac:dyDescent="0.25">
      <c r="A714" s="27" t="s">
        <v>1254</v>
      </c>
      <c r="B714" s="27" t="str">
        <f t="shared" si="51"/>
        <v>South Carolina</v>
      </c>
      <c r="C714" s="27" t="str">
        <f t="shared" si="52"/>
        <v>Kershaw</v>
      </c>
      <c r="D714" s="2">
        <v>6968</v>
      </c>
      <c r="E714" s="2">
        <v>234</v>
      </c>
      <c r="F714" s="2">
        <v>141</v>
      </c>
      <c r="G714" s="2">
        <v>10235</v>
      </c>
      <c r="H714" s="89">
        <f>'SC post'!I29</f>
        <v>92.667933563678261</v>
      </c>
      <c r="I714" s="2">
        <v>305822</v>
      </c>
      <c r="J714" s="2">
        <v>96</v>
      </c>
      <c r="K714" s="29">
        <f>'SC post'!S29</f>
        <v>123680.69</v>
      </c>
      <c r="L714" s="41">
        <v>1925</v>
      </c>
      <c r="M714" s="2"/>
      <c r="N714" s="27" t="s">
        <v>448</v>
      </c>
      <c r="O714" s="27" t="s">
        <v>449</v>
      </c>
      <c r="P714" s="27" t="s">
        <v>450</v>
      </c>
      <c r="Q714" s="27" t="s">
        <v>451</v>
      </c>
      <c r="R714" s="27" t="s">
        <v>452</v>
      </c>
      <c r="S714" s="27" t="s">
        <v>453</v>
      </c>
      <c r="T714" s="27" t="str">
        <f t="shared" si="50"/>
        <v>https://babel.hathitrust.org/cgi/pt?id=mdp.39015076594376;view=1up;seq=121</v>
      </c>
      <c r="U714" s="27" t="s">
        <v>454</v>
      </c>
    </row>
    <row r="715" spans="1:21" x14ac:dyDescent="0.25">
      <c r="A715" s="27" t="s">
        <v>1255</v>
      </c>
      <c r="B715" s="27" t="str">
        <f t="shared" si="51"/>
        <v>South Carolina</v>
      </c>
      <c r="C715" s="27" t="str">
        <f t="shared" si="52"/>
        <v>Lancaster</v>
      </c>
      <c r="D715" s="2">
        <v>6122</v>
      </c>
      <c r="E715" s="2">
        <v>233</v>
      </c>
      <c r="F715" s="2">
        <v>131</v>
      </c>
      <c r="G715" s="2">
        <v>8750</v>
      </c>
      <c r="H715" s="89">
        <f>'SC post'!I30</f>
        <v>99.209474822265179</v>
      </c>
      <c r="I715" s="2">
        <v>211362</v>
      </c>
      <c r="J715" s="2">
        <v>87</v>
      </c>
      <c r="K715" s="29">
        <f>'SC post'!S30</f>
        <v>43153.939999999995</v>
      </c>
      <c r="L715" s="41">
        <v>1925</v>
      </c>
      <c r="M715" s="2"/>
      <c r="N715" s="27" t="s">
        <v>455</v>
      </c>
      <c r="O715" s="27" t="s">
        <v>449</v>
      </c>
      <c r="P715" s="27" t="s">
        <v>450</v>
      </c>
      <c r="Q715" s="27" t="s">
        <v>451</v>
      </c>
      <c r="R715" s="27" t="s">
        <v>452</v>
      </c>
      <c r="S715" s="27" t="s">
        <v>453</v>
      </c>
      <c r="T715" s="27" t="str">
        <f t="shared" si="50"/>
        <v>https://babel.hathitrust.org/cgi/pt?id=mdp.39015076594376;view=1up;seq=121</v>
      </c>
      <c r="U715" s="27" t="s">
        <v>454</v>
      </c>
    </row>
    <row r="716" spans="1:21" x14ac:dyDescent="0.25">
      <c r="A716" s="27" t="s">
        <v>1256</v>
      </c>
      <c r="B716" s="27" t="str">
        <f t="shared" si="51"/>
        <v>South Carolina</v>
      </c>
      <c r="C716" s="27" t="str">
        <f t="shared" si="52"/>
        <v>Laurens</v>
      </c>
      <c r="D716" s="2">
        <v>7528</v>
      </c>
      <c r="E716" s="2">
        <v>314</v>
      </c>
      <c r="F716" s="2">
        <v>137</v>
      </c>
      <c r="G716" s="2">
        <v>10626</v>
      </c>
      <c r="H716" s="89">
        <f>'SC post'!I31</f>
        <v>107.37094239620625</v>
      </c>
      <c r="I716" s="2">
        <v>304128</v>
      </c>
      <c r="J716" s="2">
        <v>121</v>
      </c>
      <c r="K716" s="29">
        <f>'SC post'!S31</f>
        <v>48443.070000000007</v>
      </c>
      <c r="L716" s="41">
        <v>1925</v>
      </c>
      <c r="M716" s="2"/>
      <c r="N716" s="27" t="s">
        <v>455</v>
      </c>
      <c r="O716" s="27" t="s">
        <v>449</v>
      </c>
      <c r="P716" s="27" t="s">
        <v>450</v>
      </c>
      <c r="Q716" s="27" t="s">
        <v>451</v>
      </c>
      <c r="R716" s="27" t="s">
        <v>456</v>
      </c>
      <c r="S716" s="27" t="s">
        <v>457</v>
      </c>
      <c r="T716" s="27" t="str">
        <f t="shared" si="50"/>
        <v>https://babel.hathitrust.org/cgi/pt?id=mdp.39015076594376;view=1up;seq=121</v>
      </c>
      <c r="U716" s="27" t="s">
        <v>454</v>
      </c>
    </row>
    <row r="717" spans="1:21" x14ac:dyDescent="0.25">
      <c r="A717" s="27" t="s">
        <v>1257</v>
      </c>
      <c r="B717" s="27" t="str">
        <f t="shared" si="51"/>
        <v>South Carolina</v>
      </c>
      <c r="C717" s="27" t="str">
        <f t="shared" si="52"/>
        <v>Lee</v>
      </c>
      <c r="D717" s="2">
        <v>5183</v>
      </c>
      <c r="E717" s="2">
        <v>181</v>
      </c>
      <c r="F717" s="2">
        <v>120</v>
      </c>
      <c r="G717" s="2">
        <v>7669</v>
      </c>
      <c r="H717" s="89">
        <f>'SC post'!I32</f>
        <v>102.75351749539595</v>
      </c>
      <c r="I717" s="2">
        <v>185148</v>
      </c>
      <c r="J717" s="2">
        <v>82</v>
      </c>
      <c r="K717" s="29">
        <f>'SC post'!S32</f>
        <v>53556.729999999996</v>
      </c>
      <c r="L717" s="41">
        <v>1925</v>
      </c>
      <c r="M717" s="2"/>
      <c r="N717" s="27" t="s">
        <v>455</v>
      </c>
      <c r="O717" s="27" t="s">
        <v>449</v>
      </c>
      <c r="P717" s="27" t="s">
        <v>450</v>
      </c>
      <c r="Q717" s="27" t="s">
        <v>451</v>
      </c>
      <c r="R717" s="27" t="s">
        <v>456</v>
      </c>
      <c r="S717" s="27" t="s">
        <v>457</v>
      </c>
      <c r="T717" s="27" t="str">
        <f t="shared" si="50"/>
        <v>https://babel.hathitrust.org/cgi/pt?id=mdp.39015076594376;view=1up;seq=121</v>
      </c>
      <c r="U717" s="27" t="s">
        <v>454</v>
      </c>
    </row>
    <row r="718" spans="1:21" x14ac:dyDescent="0.25">
      <c r="A718" s="27" t="s">
        <v>1258</v>
      </c>
      <c r="B718" s="27" t="str">
        <f t="shared" si="51"/>
        <v>South Carolina</v>
      </c>
      <c r="C718" s="27" t="str">
        <f t="shared" si="52"/>
        <v>Lexington</v>
      </c>
      <c r="D718" s="2">
        <v>7437</v>
      </c>
      <c r="E718" s="2">
        <v>317</v>
      </c>
      <c r="F718" s="2">
        <v>142</v>
      </c>
      <c r="G718" s="2">
        <v>10280</v>
      </c>
      <c r="H718" s="89">
        <f>'SC post'!I33</f>
        <v>112.63003510019107</v>
      </c>
      <c r="I718" s="2">
        <v>404724</v>
      </c>
      <c r="J718" s="2">
        <v>119</v>
      </c>
      <c r="K718" s="29">
        <f>'SC post'!S33</f>
        <v>106574.54</v>
      </c>
      <c r="L718" s="41">
        <v>1925</v>
      </c>
      <c r="M718" s="2"/>
      <c r="N718" s="27" t="s">
        <v>455</v>
      </c>
      <c r="O718" s="27" t="s">
        <v>449</v>
      </c>
      <c r="P718" s="27" t="s">
        <v>450</v>
      </c>
      <c r="Q718" s="27" t="s">
        <v>451</v>
      </c>
      <c r="R718" s="27" t="s">
        <v>456</v>
      </c>
      <c r="S718" s="27" t="s">
        <v>457</v>
      </c>
      <c r="T718" s="27" t="str">
        <f t="shared" si="50"/>
        <v>https://babel.hathitrust.org/cgi/pt?id=mdp.39015076594376;view=1up;seq=121</v>
      </c>
      <c r="U718" s="27" t="s">
        <v>454</v>
      </c>
    </row>
    <row r="719" spans="1:21" x14ac:dyDescent="0.25">
      <c r="A719" s="27" t="s">
        <v>1260</v>
      </c>
      <c r="B719" s="27" t="str">
        <f t="shared" si="51"/>
        <v>South Carolina</v>
      </c>
      <c r="C719" s="27" t="str">
        <f t="shared" si="52"/>
        <v>Marion</v>
      </c>
      <c r="D719" s="2">
        <v>2599</v>
      </c>
      <c r="E719" s="2">
        <v>94</v>
      </c>
      <c r="F719" s="2">
        <v>124</v>
      </c>
      <c r="G719" s="2">
        <v>3900</v>
      </c>
      <c r="H719" s="89">
        <f>'SC post'!I34</f>
        <v>88.902728208647915</v>
      </c>
      <c r="I719" s="2">
        <v>120013</v>
      </c>
      <c r="J719" s="2">
        <v>62</v>
      </c>
      <c r="K719" s="29">
        <f>'SC post'!S34</f>
        <v>57243.759999999995</v>
      </c>
      <c r="L719" s="41">
        <v>1925</v>
      </c>
      <c r="M719" s="2"/>
      <c r="N719" s="27" t="s">
        <v>455</v>
      </c>
      <c r="O719" s="27" t="s">
        <v>449</v>
      </c>
      <c r="P719" s="27" t="s">
        <v>450</v>
      </c>
      <c r="Q719" s="27" t="s">
        <v>451</v>
      </c>
      <c r="R719" s="27" t="s">
        <v>456</v>
      </c>
      <c r="S719" s="27" t="s">
        <v>457</v>
      </c>
      <c r="T719" s="27" t="str">
        <f t="shared" si="50"/>
        <v>https://babel.hathitrust.org/cgi/pt?id=mdp.39015076594376;view=1up;seq=121</v>
      </c>
      <c r="U719" s="27" t="s">
        <v>454</v>
      </c>
    </row>
    <row r="720" spans="1:21" x14ac:dyDescent="0.25">
      <c r="A720" s="27" t="s">
        <v>1261</v>
      </c>
      <c r="B720" s="27" t="str">
        <f t="shared" si="51"/>
        <v>South Carolina</v>
      </c>
      <c r="C720" s="27" t="str">
        <f t="shared" si="52"/>
        <v>Marlboro</v>
      </c>
      <c r="D720" s="2">
        <v>5302</v>
      </c>
      <c r="E720" s="2">
        <v>202</v>
      </c>
      <c r="F720" s="2">
        <v>141</v>
      </c>
      <c r="G720" s="2">
        <v>7504</v>
      </c>
      <c r="H720" s="89">
        <f>'SC post'!I35</f>
        <v>112.75774173161997</v>
      </c>
      <c r="I720" s="2">
        <v>281216</v>
      </c>
      <c r="J720" s="2">
        <v>49</v>
      </c>
      <c r="K720" s="29">
        <f>'SC post'!S35</f>
        <v>74957.070000000007</v>
      </c>
      <c r="L720" s="41">
        <v>1925</v>
      </c>
      <c r="M720" s="2"/>
      <c r="N720" s="27" t="s">
        <v>455</v>
      </c>
      <c r="O720" s="27" t="s">
        <v>449</v>
      </c>
      <c r="P720" s="27" t="s">
        <v>450</v>
      </c>
      <c r="Q720" s="27" t="s">
        <v>451</v>
      </c>
      <c r="R720" s="27" t="s">
        <v>456</v>
      </c>
      <c r="S720" s="27" t="s">
        <v>457</v>
      </c>
      <c r="T720" s="27" t="str">
        <f t="shared" si="50"/>
        <v>https://babel.hathitrust.org/cgi/pt?id=mdp.39015076594376;view=1up;seq=121</v>
      </c>
      <c r="U720" s="27" t="s">
        <v>454</v>
      </c>
    </row>
    <row r="721" spans="1:21" x14ac:dyDescent="0.25">
      <c r="A721" s="27" t="s">
        <v>1259</v>
      </c>
      <c r="B721" s="27" t="str">
        <f t="shared" si="51"/>
        <v>South Carolina</v>
      </c>
      <c r="C721" s="27" t="str">
        <f t="shared" si="52"/>
        <v>McCormick</v>
      </c>
      <c r="D721" s="2">
        <v>5923</v>
      </c>
      <c r="E721" s="2">
        <v>213</v>
      </c>
      <c r="F721" s="2">
        <v>137</v>
      </c>
      <c r="G721" s="2">
        <v>8899</v>
      </c>
      <c r="H721" s="89">
        <f>'SC post'!I36</f>
        <v>113.50798122065729</v>
      </c>
      <c r="I721" s="2">
        <v>232089</v>
      </c>
      <c r="J721" s="2">
        <v>76</v>
      </c>
      <c r="K721" s="29">
        <f>'SC post'!S36</f>
        <v>63638.520000000004</v>
      </c>
      <c r="L721" s="41">
        <v>1925</v>
      </c>
      <c r="M721" s="2"/>
      <c r="N721" s="27" t="s">
        <v>455</v>
      </c>
      <c r="O721" s="27" t="s">
        <v>449</v>
      </c>
      <c r="P721" s="27" t="s">
        <v>450</v>
      </c>
      <c r="Q721" s="27" t="s">
        <v>451</v>
      </c>
      <c r="R721" s="27" t="s">
        <v>456</v>
      </c>
      <c r="S721" s="27" t="s">
        <v>457</v>
      </c>
      <c r="T721" s="27" t="str">
        <f t="shared" si="50"/>
        <v>https://babel.hathitrust.org/cgi/pt?id=mdp.39015076594376;view=1up;seq=121</v>
      </c>
      <c r="U721" s="27" t="s">
        <v>454</v>
      </c>
    </row>
    <row r="722" spans="1:21" x14ac:dyDescent="0.25">
      <c r="A722" s="27" t="s">
        <v>1262</v>
      </c>
      <c r="B722" s="27" t="str">
        <f t="shared" si="51"/>
        <v>South Carolina</v>
      </c>
      <c r="C722" s="27" t="str">
        <f t="shared" si="52"/>
        <v>Newberry</v>
      </c>
      <c r="D722" s="2">
        <v>6896</v>
      </c>
      <c r="E722" s="2">
        <v>261</v>
      </c>
      <c r="F722" s="2">
        <v>147</v>
      </c>
      <c r="G722" s="2">
        <v>9814</v>
      </c>
      <c r="H722" s="89">
        <f>'SC post'!I37</f>
        <v>96.682680428493242</v>
      </c>
      <c r="I722" s="2">
        <v>335404</v>
      </c>
      <c r="J722" s="2">
        <v>107</v>
      </c>
      <c r="K722" s="29">
        <f>'SC post'!S37</f>
        <v>139592.01</v>
      </c>
      <c r="L722" s="41">
        <v>1925</v>
      </c>
      <c r="M722" s="2"/>
      <c r="N722" s="27" t="s">
        <v>455</v>
      </c>
      <c r="O722" s="27" t="s">
        <v>449</v>
      </c>
      <c r="P722" s="27" t="s">
        <v>450</v>
      </c>
      <c r="Q722" s="27" t="s">
        <v>451</v>
      </c>
      <c r="R722" s="27" t="s">
        <v>456</v>
      </c>
      <c r="S722" s="27" t="s">
        <v>457</v>
      </c>
      <c r="T722" s="27" t="str">
        <f t="shared" si="50"/>
        <v>https://babel.hathitrust.org/cgi/pt?id=mdp.39015076594376;view=1up;seq=121</v>
      </c>
      <c r="U722" s="27" t="s">
        <v>454</v>
      </c>
    </row>
    <row r="723" spans="1:21" x14ac:dyDescent="0.25">
      <c r="A723" s="27" t="s">
        <v>1263</v>
      </c>
      <c r="B723" s="27" t="str">
        <f t="shared" si="51"/>
        <v>South Carolina</v>
      </c>
      <c r="C723" s="27" t="str">
        <f t="shared" si="52"/>
        <v>Oconee</v>
      </c>
      <c r="D723" s="2">
        <v>6595</v>
      </c>
      <c r="E723" s="2">
        <v>318</v>
      </c>
      <c r="F723" s="2">
        <v>153</v>
      </c>
      <c r="G723" s="2">
        <v>10319</v>
      </c>
      <c r="H723" s="89">
        <f>'SC post'!I38</f>
        <v>95.738492210301303</v>
      </c>
      <c r="I723" s="2">
        <v>398393</v>
      </c>
      <c r="J723" s="2">
        <v>101</v>
      </c>
      <c r="K723" s="29">
        <f>'SC post'!S38</f>
        <v>130871.69</v>
      </c>
      <c r="L723" s="41">
        <v>1925</v>
      </c>
      <c r="M723" s="2"/>
      <c r="N723" s="27" t="s">
        <v>455</v>
      </c>
      <c r="O723" s="27" t="s">
        <v>449</v>
      </c>
      <c r="P723" s="27" t="s">
        <v>450</v>
      </c>
      <c r="Q723" s="27" t="s">
        <v>451</v>
      </c>
      <c r="R723" s="27" t="s">
        <v>456</v>
      </c>
      <c r="S723" s="27" t="s">
        <v>457</v>
      </c>
      <c r="T723" s="27" t="str">
        <f t="shared" si="50"/>
        <v>https://babel.hathitrust.org/cgi/pt?id=mdp.39015076594376;view=1up;seq=121</v>
      </c>
      <c r="U723" s="27" t="s">
        <v>454</v>
      </c>
    </row>
    <row r="724" spans="1:21" x14ac:dyDescent="0.25">
      <c r="A724" s="27" t="s">
        <v>1264</v>
      </c>
      <c r="B724" s="27" t="str">
        <f t="shared" si="51"/>
        <v>South Carolina</v>
      </c>
      <c r="C724" s="27" t="str">
        <f t="shared" si="52"/>
        <v>Orangeburg</v>
      </c>
      <c r="D724" s="2">
        <v>13680</v>
      </c>
      <c r="E724" s="2">
        <v>416</v>
      </c>
      <c r="F724" s="2">
        <v>132</v>
      </c>
      <c r="G724" s="2">
        <v>19562</v>
      </c>
      <c r="H724" s="89">
        <f>'SC post'!I39</f>
        <v>110.86874271561771</v>
      </c>
      <c r="I724" s="2">
        <v>409206</v>
      </c>
      <c r="J724" s="2">
        <v>159</v>
      </c>
      <c r="K724" s="29">
        <f>'SC post'!S39</f>
        <v>92827.489999999991</v>
      </c>
      <c r="L724" s="41">
        <v>1925</v>
      </c>
      <c r="M724" s="2"/>
      <c r="N724" s="27" t="s">
        <v>455</v>
      </c>
      <c r="O724" s="27" t="s">
        <v>449</v>
      </c>
      <c r="P724" s="27" t="s">
        <v>450</v>
      </c>
      <c r="Q724" s="27" t="s">
        <v>451</v>
      </c>
      <c r="R724" s="27" t="s">
        <v>456</v>
      </c>
      <c r="S724" s="27" t="s">
        <v>457</v>
      </c>
      <c r="T724" s="27" t="str">
        <f t="shared" si="50"/>
        <v>https://babel.hathitrust.org/cgi/pt?id=mdp.39015076594376;view=1up;seq=121</v>
      </c>
      <c r="U724" s="27" t="s">
        <v>454</v>
      </c>
    </row>
    <row r="725" spans="1:21" x14ac:dyDescent="0.25">
      <c r="A725" s="27" t="s">
        <v>1265</v>
      </c>
      <c r="B725" s="27" t="str">
        <f t="shared" si="51"/>
        <v>South Carolina</v>
      </c>
      <c r="C725" s="27" t="str">
        <f t="shared" si="52"/>
        <v>Pickens</v>
      </c>
      <c r="D725" s="2">
        <v>6260</v>
      </c>
      <c r="E725" s="2">
        <v>278</v>
      </c>
      <c r="F725" s="29">
        <v>151</v>
      </c>
      <c r="G725" s="2">
        <v>9370</v>
      </c>
      <c r="H725" s="89">
        <f>'SC post'!I40</f>
        <v>104.27244270808518</v>
      </c>
      <c r="I725" s="2">
        <v>373347</v>
      </c>
      <c r="J725" s="2">
        <v>75</v>
      </c>
      <c r="K725" s="29">
        <f>'SC post'!S40</f>
        <v>119989.31</v>
      </c>
      <c r="L725" s="41">
        <v>1925</v>
      </c>
      <c r="M725" s="2"/>
      <c r="N725" s="27" t="s">
        <v>455</v>
      </c>
      <c r="O725" s="27" t="s">
        <v>449</v>
      </c>
      <c r="P725" s="27" t="s">
        <v>450</v>
      </c>
      <c r="Q725" s="27" t="s">
        <v>451</v>
      </c>
      <c r="R725" s="27" t="s">
        <v>456</v>
      </c>
      <c r="S725" s="27" t="s">
        <v>457</v>
      </c>
      <c r="T725" s="27" t="str">
        <f t="shared" si="50"/>
        <v>https://babel.hathitrust.org/cgi/pt?id=mdp.39015076594376;view=1up;seq=121</v>
      </c>
      <c r="U725" s="27" t="s">
        <v>454</v>
      </c>
    </row>
    <row r="726" spans="1:21" x14ac:dyDescent="0.25">
      <c r="A726" s="27" t="s">
        <v>1266</v>
      </c>
      <c r="B726" s="27" t="str">
        <f t="shared" si="51"/>
        <v>South Carolina</v>
      </c>
      <c r="C726" s="27" t="str">
        <f t="shared" si="52"/>
        <v>Richland</v>
      </c>
      <c r="D726" s="2">
        <v>13898</v>
      </c>
      <c r="E726" s="2">
        <v>505</v>
      </c>
      <c r="F726" s="2">
        <v>159</v>
      </c>
      <c r="G726" s="2">
        <v>19149</v>
      </c>
      <c r="H726" s="89">
        <f>'SC post'!I41</f>
        <v>122.19222118438257</v>
      </c>
      <c r="I726" s="2">
        <v>956036</v>
      </c>
      <c r="J726" s="2">
        <v>127</v>
      </c>
      <c r="K726" s="29">
        <f>'SC post'!S41</f>
        <v>376008.43999999994</v>
      </c>
      <c r="L726" s="41">
        <v>1925</v>
      </c>
      <c r="M726" s="2"/>
      <c r="N726" s="27" t="s">
        <v>455</v>
      </c>
      <c r="O726" s="27" t="s">
        <v>449</v>
      </c>
      <c r="P726" s="27" t="s">
        <v>450</v>
      </c>
      <c r="Q726" s="27" t="s">
        <v>451</v>
      </c>
      <c r="R726" s="27" t="s">
        <v>456</v>
      </c>
      <c r="S726" s="27" t="s">
        <v>457</v>
      </c>
      <c r="T726" s="27" t="str">
        <f t="shared" si="50"/>
        <v>https://babel.hathitrust.org/cgi/pt?id=mdp.39015076594376;view=1up;seq=121</v>
      </c>
      <c r="U726" s="27" t="s">
        <v>454</v>
      </c>
    </row>
    <row r="727" spans="1:21" x14ac:dyDescent="0.25">
      <c r="A727" s="27" t="s">
        <v>1267</v>
      </c>
      <c r="B727" s="27" t="str">
        <f t="shared" si="51"/>
        <v>South Carolina</v>
      </c>
      <c r="C727" s="27" t="str">
        <f t="shared" si="52"/>
        <v>Saluda</v>
      </c>
      <c r="D727" s="2">
        <v>4394</v>
      </c>
      <c r="E727" s="2">
        <v>169</v>
      </c>
      <c r="F727" s="2">
        <v>124</v>
      </c>
      <c r="G727" s="2">
        <v>6217</v>
      </c>
      <c r="H727" s="89">
        <f>'SC post'!I42</f>
        <v>104.92832601641534</v>
      </c>
      <c r="I727" s="2">
        <v>155311</v>
      </c>
      <c r="J727" s="2">
        <v>86</v>
      </c>
      <c r="K727" s="29">
        <f>'SC post'!S42</f>
        <v>40726.620000000003</v>
      </c>
      <c r="L727" s="41">
        <v>1925</v>
      </c>
      <c r="M727" s="2"/>
      <c r="N727" s="27" t="s">
        <v>455</v>
      </c>
      <c r="O727" s="27" t="s">
        <v>449</v>
      </c>
      <c r="P727" s="27" t="s">
        <v>450</v>
      </c>
      <c r="Q727" s="27" t="s">
        <v>451</v>
      </c>
      <c r="R727" s="27" t="s">
        <v>456</v>
      </c>
      <c r="S727" s="27" t="s">
        <v>457</v>
      </c>
      <c r="T727" s="27" t="str">
        <f t="shared" si="50"/>
        <v>https://babel.hathitrust.org/cgi/pt?id=mdp.39015076594376;view=1up;seq=121</v>
      </c>
      <c r="U727" s="27" t="s">
        <v>454</v>
      </c>
    </row>
    <row r="728" spans="1:21" x14ac:dyDescent="0.25">
      <c r="A728" s="27" t="s">
        <v>1268</v>
      </c>
      <c r="B728" s="27" t="str">
        <f t="shared" si="51"/>
        <v>South Carolina</v>
      </c>
      <c r="C728" s="27" t="str">
        <f t="shared" si="52"/>
        <v>Spartanburg</v>
      </c>
      <c r="D728" s="2">
        <v>21015</v>
      </c>
      <c r="E728" s="2">
        <v>833</v>
      </c>
      <c r="F728" s="2">
        <v>157</v>
      </c>
      <c r="G728" s="2">
        <v>31116</v>
      </c>
      <c r="H728" s="89">
        <f>'SC post'!I43</f>
        <v>99.39424687072281</v>
      </c>
      <c r="I728" s="2">
        <v>1234069</v>
      </c>
      <c r="J728" s="2">
        <v>204</v>
      </c>
      <c r="K728" s="29">
        <f>'SC post'!S43</f>
        <v>466230.76</v>
      </c>
      <c r="L728" s="41">
        <v>1925</v>
      </c>
      <c r="M728" s="2"/>
      <c r="N728" s="27" t="s">
        <v>455</v>
      </c>
      <c r="O728" s="27" t="s">
        <v>449</v>
      </c>
      <c r="P728" s="27" t="s">
        <v>450</v>
      </c>
      <c r="Q728" s="27" t="s">
        <v>451</v>
      </c>
      <c r="R728" s="27" t="s">
        <v>456</v>
      </c>
      <c r="S728" s="27" t="s">
        <v>457</v>
      </c>
      <c r="T728" s="27" t="str">
        <f t="shared" si="50"/>
        <v>https://babel.hathitrust.org/cgi/pt?id=mdp.39015076594376;view=1up;seq=121</v>
      </c>
      <c r="U728" s="27" t="s">
        <v>454</v>
      </c>
    </row>
    <row r="729" spans="1:21" x14ac:dyDescent="0.25">
      <c r="A729" s="27" t="s">
        <v>1269</v>
      </c>
      <c r="B729" s="27" t="str">
        <f t="shared" si="51"/>
        <v>South Carolina</v>
      </c>
      <c r="C729" s="27" t="str">
        <f t="shared" si="52"/>
        <v>Sumter</v>
      </c>
      <c r="D729" s="2">
        <v>9620</v>
      </c>
      <c r="E729" s="2">
        <v>280</v>
      </c>
      <c r="F729" s="2">
        <v>134</v>
      </c>
      <c r="G729" s="2">
        <v>13463</v>
      </c>
      <c r="H729" s="89">
        <f>'SC post'!I44</f>
        <v>96.074866737739868</v>
      </c>
      <c r="I729" s="2">
        <v>502615</v>
      </c>
      <c r="J729" s="2">
        <v>123</v>
      </c>
      <c r="K729" s="29">
        <f>'SC post'!S44</f>
        <v>278959.17</v>
      </c>
      <c r="L729" s="41">
        <v>1925</v>
      </c>
      <c r="M729" s="2"/>
      <c r="N729" s="27" t="s">
        <v>455</v>
      </c>
      <c r="O729" s="27" t="s">
        <v>449</v>
      </c>
      <c r="P729" s="27" t="s">
        <v>450</v>
      </c>
      <c r="Q729" s="27" t="s">
        <v>451</v>
      </c>
      <c r="R729" s="27" t="s">
        <v>456</v>
      </c>
      <c r="S729" s="27" t="s">
        <v>457</v>
      </c>
      <c r="T729" s="27" t="str">
        <f t="shared" si="50"/>
        <v>https://babel.hathitrust.org/cgi/pt?id=mdp.39015076594376;view=1up;seq=121</v>
      </c>
      <c r="U729" s="27" t="s">
        <v>454</v>
      </c>
    </row>
    <row r="730" spans="1:21" x14ac:dyDescent="0.25">
      <c r="A730" s="27" t="s">
        <v>1270</v>
      </c>
      <c r="B730" s="27" t="str">
        <f t="shared" si="51"/>
        <v>South Carolina</v>
      </c>
      <c r="C730" s="27" t="str">
        <f t="shared" si="52"/>
        <v>Union</v>
      </c>
      <c r="D730" s="2">
        <v>6474</v>
      </c>
      <c r="E730" s="2">
        <v>232</v>
      </c>
      <c r="F730" s="2">
        <v>144</v>
      </c>
      <c r="G730" s="2">
        <v>9089</v>
      </c>
      <c r="H730" s="89">
        <f>'SC post'!I45</f>
        <v>100.34658165708811</v>
      </c>
      <c r="I730" s="2">
        <v>242360</v>
      </c>
      <c r="J730" s="2">
        <v>82</v>
      </c>
      <c r="K730" s="29">
        <f>'SC post'!S45</f>
        <v>50503.05</v>
      </c>
      <c r="L730" s="41">
        <v>1925</v>
      </c>
      <c r="M730" s="2"/>
      <c r="N730" s="27" t="s">
        <v>455</v>
      </c>
      <c r="O730" s="27" t="s">
        <v>449</v>
      </c>
      <c r="P730" s="27" t="s">
        <v>450</v>
      </c>
      <c r="Q730" s="27" t="s">
        <v>451</v>
      </c>
      <c r="R730" s="27" t="s">
        <v>456</v>
      </c>
      <c r="S730" s="27" t="s">
        <v>457</v>
      </c>
      <c r="T730" s="27" t="str">
        <f t="shared" si="50"/>
        <v>https://babel.hathitrust.org/cgi/pt?id=mdp.39015076594376;view=1up;seq=121</v>
      </c>
      <c r="U730" s="27" t="s">
        <v>454</v>
      </c>
    </row>
    <row r="731" spans="1:21" x14ac:dyDescent="0.25">
      <c r="A731" s="27" t="s">
        <v>1271</v>
      </c>
      <c r="B731" s="27" t="str">
        <f t="shared" si="51"/>
        <v>South Carolina</v>
      </c>
      <c r="C731" s="27" t="str">
        <f t="shared" si="52"/>
        <v>Williamsburg</v>
      </c>
      <c r="D731" s="2">
        <v>7347</v>
      </c>
      <c r="E731" s="1">
        <v>273</v>
      </c>
      <c r="F731" s="2">
        <v>117</v>
      </c>
      <c r="G731" s="2">
        <v>11110</v>
      </c>
      <c r="H731" s="89">
        <f>'SC post'!I46</f>
        <v>96.30863780094549</v>
      </c>
      <c r="I731" s="2">
        <v>262146</v>
      </c>
      <c r="J731" s="2">
        <v>131</v>
      </c>
      <c r="K731" s="29">
        <f>'SC post'!S46</f>
        <v>84421.25</v>
      </c>
      <c r="L731" s="41">
        <v>1925</v>
      </c>
      <c r="M731" s="2"/>
      <c r="N731" s="27" t="s">
        <v>455</v>
      </c>
      <c r="O731" s="27" t="s">
        <v>449</v>
      </c>
      <c r="P731" s="27" t="s">
        <v>450</v>
      </c>
      <c r="Q731" s="27" t="s">
        <v>451</v>
      </c>
      <c r="R731" s="27" t="s">
        <v>456</v>
      </c>
      <c r="S731" s="27" t="s">
        <v>457</v>
      </c>
      <c r="T731" s="27" t="str">
        <f t="shared" si="50"/>
        <v>https://babel.hathitrust.org/cgi/pt?id=mdp.39015076594376;view=1up;seq=121</v>
      </c>
      <c r="U731" s="27" t="s">
        <v>454</v>
      </c>
    </row>
    <row r="732" spans="1:21" x14ac:dyDescent="0.25">
      <c r="A732" s="27" t="s">
        <v>1272</v>
      </c>
      <c r="B732" s="27" t="str">
        <f t="shared" si="51"/>
        <v>South Carolina</v>
      </c>
      <c r="C732" s="27" t="str">
        <f t="shared" si="52"/>
        <v>York</v>
      </c>
      <c r="D732" s="2">
        <v>10538</v>
      </c>
      <c r="E732" s="2">
        <v>392</v>
      </c>
      <c r="F732" s="2">
        <v>145</v>
      </c>
      <c r="G732" s="2">
        <v>15788</v>
      </c>
      <c r="H732" s="89">
        <f>'SC post'!I47</f>
        <v>107.70091484869809</v>
      </c>
      <c r="I732" s="2">
        <v>483715</v>
      </c>
      <c r="J732" s="2">
        <v>132</v>
      </c>
      <c r="K732" s="29">
        <f>'SC post'!S47</f>
        <v>158592.49</v>
      </c>
      <c r="L732" s="41">
        <v>1925</v>
      </c>
      <c r="M732" s="2"/>
      <c r="N732" s="27" t="s">
        <v>455</v>
      </c>
      <c r="O732" s="27" t="s">
        <v>449</v>
      </c>
      <c r="P732" s="27" t="s">
        <v>450</v>
      </c>
      <c r="Q732" s="27" t="s">
        <v>451</v>
      </c>
      <c r="R732" s="27" t="s">
        <v>456</v>
      </c>
      <c r="S732" s="27" t="s">
        <v>457</v>
      </c>
      <c r="T732" s="27" t="str">
        <f t="shared" si="50"/>
        <v>https://babel.hathitrust.org/cgi/pt?id=mdp.39015076594376;view=1up;seq=121</v>
      </c>
      <c r="U732" s="27" t="s">
        <v>454</v>
      </c>
    </row>
    <row r="733" spans="1:21" x14ac:dyDescent="0.25">
      <c r="A733" s="27" t="s">
        <v>1367</v>
      </c>
      <c r="B733" s="27" t="str">
        <f t="shared" si="51"/>
        <v/>
      </c>
      <c r="C733" s="27" t="str">
        <f t="shared" si="52"/>
        <v/>
      </c>
      <c r="D733" s="27">
        <f>SUM(D687:D732)</f>
        <v>335334</v>
      </c>
      <c r="E733" s="2">
        <f>SUM(E687:E732)</f>
        <v>12371</v>
      </c>
      <c r="F733" s="2"/>
      <c r="G733" s="2">
        <f>SUM(G687:G732)</f>
        <v>480596</v>
      </c>
      <c r="I733" s="2">
        <f>SUM(I687:I732)</f>
        <v>15538687</v>
      </c>
    </row>
    <row r="734" spans="1:21" x14ac:dyDescent="0.25">
      <c r="A734" s="27" t="s">
        <v>1367</v>
      </c>
      <c r="B734" s="27" t="str">
        <f t="shared" si="51"/>
        <v/>
      </c>
      <c r="C734" s="27" t="str">
        <f t="shared" si="52"/>
        <v/>
      </c>
      <c r="D734" s="2">
        <v>335334</v>
      </c>
      <c r="E734" s="2">
        <v>12371</v>
      </c>
      <c r="F734" s="2"/>
      <c r="G734" s="2">
        <v>480596</v>
      </c>
      <c r="I734" s="2">
        <v>15538809</v>
      </c>
    </row>
    <row r="735" spans="1:21" x14ac:dyDescent="0.25">
      <c r="A735" s="27" t="s">
        <v>1275</v>
      </c>
      <c r="B735" s="27" t="str">
        <f t="shared" si="51"/>
        <v>Tennessee</v>
      </c>
      <c r="C735" s="27" t="str">
        <f t="shared" si="52"/>
        <v>Anderson</v>
      </c>
      <c r="D735" s="27">
        <f>'TN post'!J2</f>
        <v>4330</v>
      </c>
      <c r="E735" s="27">
        <f>'TN post'!L2</f>
        <v>122</v>
      </c>
      <c r="F735" s="2">
        <f>'TN post'!Q2</f>
        <v>121.72494226327944</v>
      </c>
      <c r="G735" s="2">
        <f>'TN post'!U2</f>
        <v>4944</v>
      </c>
      <c r="H735" s="28">
        <f>'TN post'!AB2</f>
        <v>94.481585778002923</v>
      </c>
      <c r="I735" s="2">
        <f>'TN post'!AF2</f>
        <v>122238.35999999999</v>
      </c>
      <c r="J735" s="27">
        <f>'TN post'!AG2</f>
        <v>48</v>
      </c>
      <c r="K735" s="29">
        <f>'TN post'!AL2</f>
        <v>415215</v>
      </c>
      <c r="L735" s="41">
        <v>1925</v>
      </c>
      <c r="N735" s="4" t="s">
        <v>398</v>
      </c>
      <c r="O735" s="4" t="s">
        <v>458</v>
      </c>
      <c r="P735" s="4" t="s">
        <v>459</v>
      </c>
      <c r="Q735" s="4" t="s">
        <v>460</v>
      </c>
      <c r="R735" s="4" t="s">
        <v>383</v>
      </c>
      <c r="S735" s="4" t="s">
        <v>461</v>
      </c>
      <c r="T735" s="4" t="s">
        <v>462</v>
      </c>
      <c r="U735" s="4" t="s">
        <v>463</v>
      </c>
    </row>
    <row r="736" spans="1:21" x14ac:dyDescent="0.25">
      <c r="A736" s="27" t="s">
        <v>1276</v>
      </c>
      <c r="B736" s="27" t="str">
        <f t="shared" si="51"/>
        <v>Tennessee</v>
      </c>
      <c r="C736" s="27" t="str">
        <f t="shared" si="52"/>
        <v>Bedford</v>
      </c>
      <c r="D736" s="27">
        <f>'TN post'!J3</f>
        <v>5840</v>
      </c>
      <c r="E736" s="27">
        <f>'TN post'!L3</f>
        <v>142</v>
      </c>
      <c r="F736" s="2">
        <f>'TN post'!Q3</f>
        <v>178.26472602739727</v>
      </c>
      <c r="G736" s="2">
        <f>'TN post'!U3</f>
        <v>5388</v>
      </c>
      <c r="H736" s="28">
        <f>'TN post'!AB3</f>
        <v>69.590616097373413</v>
      </c>
      <c r="I736" s="2">
        <f>'TN post'!AF3</f>
        <v>180670.69999999998</v>
      </c>
      <c r="J736" s="27">
        <f>'TN post'!AG3</f>
        <v>71</v>
      </c>
      <c r="K736" s="29">
        <f>'TN post'!AL3</f>
        <v>266174</v>
      </c>
      <c r="L736" s="41">
        <v>1925</v>
      </c>
      <c r="N736" s="4" t="s">
        <v>398</v>
      </c>
      <c r="O736" s="4" t="s">
        <v>458</v>
      </c>
      <c r="P736" s="4" t="s">
        <v>459</v>
      </c>
      <c r="Q736" s="4" t="s">
        <v>460</v>
      </c>
      <c r="R736" s="4" t="s">
        <v>383</v>
      </c>
      <c r="S736" s="4" t="s">
        <v>461</v>
      </c>
      <c r="T736" s="4" t="s">
        <v>462</v>
      </c>
      <c r="U736" s="4" t="s">
        <v>463</v>
      </c>
    </row>
    <row r="737" spans="1:21" x14ac:dyDescent="0.25">
      <c r="A737" s="27" t="s">
        <v>1277</v>
      </c>
      <c r="B737" s="27" t="str">
        <f t="shared" si="51"/>
        <v>Tennessee</v>
      </c>
      <c r="C737" s="27" t="str">
        <f t="shared" si="52"/>
        <v>Benton</v>
      </c>
      <c r="D737" s="27">
        <f>'TN post'!J4</f>
        <v>2455</v>
      </c>
      <c r="E737" s="27">
        <f>'TN post'!L4</f>
        <v>90</v>
      </c>
      <c r="F737" s="2">
        <f>'TN post'!Q4</f>
        <v>145.82484725050915</v>
      </c>
      <c r="G737" s="2">
        <f>'TN post'!U4</f>
        <v>3709</v>
      </c>
      <c r="H737" s="28">
        <f>'TN post'!AB4</f>
        <v>75.537439354438249</v>
      </c>
      <c r="I737" s="2">
        <f>'TN post'!AF4</f>
        <v>71711.92</v>
      </c>
      <c r="J737" s="27">
        <f>'TN post'!AG4</f>
        <v>63</v>
      </c>
      <c r="K737" s="29">
        <f>'TN post'!AL4</f>
        <v>175730</v>
      </c>
      <c r="L737" s="41">
        <v>1925</v>
      </c>
      <c r="N737" s="4" t="s">
        <v>398</v>
      </c>
      <c r="O737" s="4" t="s">
        <v>458</v>
      </c>
      <c r="P737" s="4" t="s">
        <v>459</v>
      </c>
      <c r="Q737" s="4" t="s">
        <v>460</v>
      </c>
      <c r="R737" s="4" t="s">
        <v>383</v>
      </c>
      <c r="S737" s="4" t="s">
        <v>461</v>
      </c>
      <c r="T737" s="4" t="s">
        <v>462</v>
      </c>
      <c r="U737" s="4" t="s">
        <v>463</v>
      </c>
    </row>
    <row r="738" spans="1:21" x14ac:dyDescent="0.25">
      <c r="A738" s="27" t="s">
        <v>1759</v>
      </c>
      <c r="B738" s="27" t="str">
        <f t="shared" si="51"/>
        <v>Tennessee</v>
      </c>
      <c r="C738" s="27" t="str">
        <f t="shared" si="52"/>
        <v>Bledsoe</v>
      </c>
      <c r="D738" s="27">
        <f>'TN post'!J5</f>
        <v>1632</v>
      </c>
      <c r="E738" s="27">
        <f>'TN post'!L5</f>
        <v>62</v>
      </c>
      <c r="F738" s="2">
        <f>'TN post'!Q5</f>
        <v>113.93198529411765</v>
      </c>
      <c r="G738" s="2">
        <f>'TN post'!U5</f>
        <v>2263</v>
      </c>
      <c r="H738" s="28">
        <f>'TN post'!AB5</f>
        <v>97.255364642238334</v>
      </c>
      <c r="I738" s="2">
        <f>'TN post'!AF5</f>
        <v>65493.380000000005</v>
      </c>
      <c r="J738" s="27">
        <f>'TN post'!AG5</f>
        <v>34</v>
      </c>
      <c r="K738" s="29">
        <f>'TN post'!AL5</f>
        <v>170090</v>
      </c>
      <c r="L738" s="41">
        <v>1925</v>
      </c>
      <c r="N738" s="4" t="s">
        <v>398</v>
      </c>
      <c r="O738" s="4" t="s">
        <v>458</v>
      </c>
      <c r="P738" s="4" t="s">
        <v>459</v>
      </c>
      <c r="Q738" s="4" t="s">
        <v>460</v>
      </c>
      <c r="R738" s="4" t="s">
        <v>383</v>
      </c>
      <c r="S738" s="4" t="s">
        <v>461</v>
      </c>
      <c r="T738" s="4" t="s">
        <v>462</v>
      </c>
      <c r="U738" s="4" t="s">
        <v>463</v>
      </c>
    </row>
    <row r="739" spans="1:21" x14ac:dyDescent="0.25">
      <c r="A739" s="27" t="s">
        <v>1278</v>
      </c>
      <c r="B739" s="27" t="str">
        <f t="shared" si="51"/>
        <v>Tennessee</v>
      </c>
      <c r="C739" s="27" t="str">
        <f t="shared" si="52"/>
        <v>Blount</v>
      </c>
      <c r="D739" s="27">
        <f>'TN post'!J6</f>
        <v>8098</v>
      </c>
      <c r="E739" s="27">
        <f>'TN post'!L6</f>
        <v>211</v>
      </c>
      <c r="F739" s="2">
        <f>'TN post'!Q6</f>
        <v>159.5464312175846</v>
      </c>
      <c r="G739" s="2">
        <f>'TN post'!U6</f>
        <v>8701</v>
      </c>
      <c r="H739" s="28">
        <f>'TN post'!AB6</f>
        <v>96.461292545709327</v>
      </c>
      <c r="I739" s="2">
        <f>'TN post'!AF6</f>
        <v>331285.27</v>
      </c>
      <c r="J739" s="27">
        <f>'TN post'!AG6</f>
        <v>86</v>
      </c>
      <c r="K739" s="29">
        <f>'TN post'!AL6</f>
        <v>488337</v>
      </c>
      <c r="L739" s="41">
        <v>1925</v>
      </c>
      <c r="N739" s="4" t="s">
        <v>398</v>
      </c>
      <c r="O739" s="4" t="s">
        <v>458</v>
      </c>
      <c r="P739" s="4" t="s">
        <v>459</v>
      </c>
      <c r="Q739" s="4" t="s">
        <v>460</v>
      </c>
      <c r="R739" s="4" t="s">
        <v>383</v>
      </c>
      <c r="S739" s="4" t="s">
        <v>461</v>
      </c>
      <c r="T739" s="4" t="s">
        <v>462</v>
      </c>
      <c r="U739" s="4" t="s">
        <v>463</v>
      </c>
    </row>
    <row r="740" spans="1:21" x14ac:dyDescent="0.25">
      <c r="A740" s="27" t="s">
        <v>1279</v>
      </c>
      <c r="B740" s="27" t="str">
        <f t="shared" si="51"/>
        <v>Tennessee</v>
      </c>
      <c r="C740" s="27" t="str">
        <f t="shared" si="52"/>
        <v>Bradley</v>
      </c>
      <c r="D740" s="27">
        <f>'TN post'!J7</f>
        <v>5839</v>
      </c>
      <c r="E740" s="27">
        <f>'TN post'!L7</f>
        <v>145</v>
      </c>
      <c r="F740" s="2">
        <f>'TN post'!Q7</f>
        <v>144.48689844151394</v>
      </c>
      <c r="G740" s="2">
        <f>'TN post'!U7</f>
        <v>5857</v>
      </c>
      <c r="H740" s="28">
        <f>'TN post'!AB7</f>
        <v>95.229214146866255</v>
      </c>
      <c r="I740" s="2">
        <f>'TN post'!AF7</f>
        <v>270281.14</v>
      </c>
      <c r="J740" s="27">
        <f>'TN post'!AG7</f>
        <v>48</v>
      </c>
      <c r="K740" s="29">
        <f>'TN post'!AL7</f>
        <v>614827</v>
      </c>
      <c r="L740" s="41">
        <v>1925</v>
      </c>
      <c r="N740" s="4" t="s">
        <v>398</v>
      </c>
      <c r="O740" s="4" t="s">
        <v>458</v>
      </c>
      <c r="P740" s="4" t="s">
        <v>459</v>
      </c>
      <c r="Q740" s="4" t="s">
        <v>460</v>
      </c>
      <c r="R740" s="4" t="s">
        <v>383</v>
      </c>
      <c r="S740" s="4" t="s">
        <v>461</v>
      </c>
      <c r="T740" s="4" t="s">
        <v>462</v>
      </c>
      <c r="U740" s="4" t="s">
        <v>463</v>
      </c>
    </row>
    <row r="741" spans="1:21" x14ac:dyDescent="0.25">
      <c r="A741" s="27" t="s">
        <v>1280</v>
      </c>
      <c r="B741" s="27" t="str">
        <f t="shared" si="51"/>
        <v>Tennessee</v>
      </c>
      <c r="C741" s="27" t="str">
        <f t="shared" si="52"/>
        <v>Campbell</v>
      </c>
      <c r="D741" s="27">
        <f>'TN post'!J8</f>
        <v>6877</v>
      </c>
      <c r="E741" s="27">
        <f>'TN post'!L8</f>
        <v>203</v>
      </c>
      <c r="F741" s="2">
        <f>'TN post'!Q8</f>
        <v>143.47186273084193</v>
      </c>
      <c r="G741" s="2">
        <f>'TN post'!U8</f>
        <v>8480</v>
      </c>
      <c r="H741" s="28">
        <f>'TN post'!AB8</f>
        <v>98.265937139075461</v>
      </c>
      <c r="I741" s="2">
        <f>'TN post'!AF8</f>
        <v>212256.08000000002</v>
      </c>
      <c r="J741" s="27">
        <f>'TN post'!AG8</f>
        <v>79</v>
      </c>
      <c r="K741" s="29">
        <f>'TN post'!AL8</f>
        <v>518428</v>
      </c>
      <c r="L741" s="41">
        <v>1925</v>
      </c>
      <c r="N741" s="4" t="s">
        <v>398</v>
      </c>
      <c r="O741" s="4" t="s">
        <v>458</v>
      </c>
      <c r="P741" s="4" t="s">
        <v>459</v>
      </c>
      <c r="Q741" s="4" t="s">
        <v>460</v>
      </c>
      <c r="R741" s="4" t="s">
        <v>383</v>
      </c>
      <c r="S741" s="4" t="s">
        <v>461</v>
      </c>
      <c r="T741" s="4" t="s">
        <v>462</v>
      </c>
      <c r="U741" s="4" t="s">
        <v>463</v>
      </c>
    </row>
    <row r="742" spans="1:21" x14ac:dyDescent="0.25">
      <c r="A742" s="27" t="s">
        <v>1281</v>
      </c>
      <c r="B742" s="27" t="str">
        <f t="shared" si="51"/>
        <v>Tennessee</v>
      </c>
      <c r="C742" s="27" t="str">
        <f t="shared" si="52"/>
        <v>Cannon</v>
      </c>
      <c r="D742" s="27">
        <f>'TN post'!J9</f>
        <v>2384</v>
      </c>
      <c r="E742" s="27">
        <f>'TN post'!L9</f>
        <v>76</v>
      </c>
      <c r="F742" s="2">
        <f>'TN post'!Q9</f>
        <v>114.71644295302013</v>
      </c>
      <c r="G742" s="2">
        <f>'TN post'!U9</f>
        <v>2852</v>
      </c>
      <c r="H742" s="28">
        <f>'TN post'!AB9</f>
        <v>74.815480401432126</v>
      </c>
      <c r="I742" s="2">
        <f>'TN post'!AF9</f>
        <v>66487.009999999995</v>
      </c>
      <c r="J742" s="27">
        <f>'TN post'!AG9</f>
        <v>44</v>
      </c>
      <c r="K742" s="29">
        <f>'TN post'!AL9</f>
        <v>318004</v>
      </c>
      <c r="L742" s="41">
        <v>1925</v>
      </c>
      <c r="N742" s="4" t="s">
        <v>398</v>
      </c>
      <c r="O742" s="4" t="s">
        <v>458</v>
      </c>
      <c r="P742" s="4" t="s">
        <v>459</v>
      </c>
      <c r="Q742" s="4" t="s">
        <v>460</v>
      </c>
      <c r="R742" s="4" t="s">
        <v>383</v>
      </c>
      <c r="S742" s="4" t="s">
        <v>461</v>
      </c>
      <c r="T742" s="4" t="s">
        <v>462</v>
      </c>
      <c r="U742" s="4" t="s">
        <v>463</v>
      </c>
    </row>
    <row r="743" spans="1:21" x14ac:dyDescent="0.25">
      <c r="A743" s="27" t="s">
        <v>1282</v>
      </c>
      <c r="B743" s="27" t="str">
        <f t="shared" si="51"/>
        <v>Tennessee</v>
      </c>
      <c r="C743" s="27" t="str">
        <f t="shared" si="52"/>
        <v>Carroll</v>
      </c>
      <c r="D743" s="27">
        <f>'TN post'!J10</f>
        <v>5710</v>
      </c>
      <c r="E743" s="27">
        <f>'TN post'!L10</f>
        <v>190</v>
      </c>
      <c r="F743" s="2">
        <f>'TN post'!Q10</f>
        <v>141.57968476357269</v>
      </c>
      <c r="G743" s="2">
        <f>'TN post'!U10</f>
        <v>7952</v>
      </c>
      <c r="H743" s="28">
        <f>'TN post'!AB10</f>
        <v>80.909043280004269</v>
      </c>
      <c r="I743" s="2">
        <f>'TN post'!AF10</f>
        <v>187056.89</v>
      </c>
      <c r="J743" s="27">
        <f>'TN post'!AG10</f>
        <v>101</v>
      </c>
      <c r="K743" s="29">
        <f>'TN post'!AL10</f>
        <v>412740</v>
      </c>
      <c r="L743" s="41">
        <v>1925</v>
      </c>
      <c r="N743" s="4" t="s">
        <v>398</v>
      </c>
      <c r="O743" s="4" t="s">
        <v>458</v>
      </c>
      <c r="P743" s="4" t="s">
        <v>459</v>
      </c>
      <c r="Q743" s="4" t="s">
        <v>460</v>
      </c>
      <c r="R743" s="4" t="s">
        <v>383</v>
      </c>
      <c r="S743" s="4" t="s">
        <v>461</v>
      </c>
      <c r="T743" s="4" t="s">
        <v>462</v>
      </c>
      <c r="U743" s="4" t="s">
        <v>463</v>
      </c>
    </row>
    <row r="744" spans="1:21" x14ac:dyDescent="0.25">
      <c r="A744" s="27" t="s">
        <v>1283</v>
      </c>
      <c r="B744" s="27" t="str">
        <f t="shared" si="51"/>
        <v>Tennessee</v>
      </c>
      <c r="C744" s="27" t="str">
        <f t="shared" si="52"/>
        <v>Carter</v>
      </c>
      <c r="D744" s="27">
        <f>'TN post'!J11</f>
        <v>5979</v>
      </c>
      <c r="E744" s="27">
        <f>'TN post'!L11</f>
        <v>141</v>
      </c>
      <c r="F744" s="2">
        <f>'TN post'!Q11</f>
        <v>146.72269610302726</v>
      </c>
      <c r="G744" s="2">
        <f>'TN post'!U11</f>
        <v>6384</v>
      </c>
      <c r="H744" s="28">
        <f>'TN post'!AB11</f>
        <v>82.098714110274116</v>
      </c>
      <c r="I744" s="2">
        <f>'TN post'!AF11</f>
        <v>222484.32</v>
      </c>
      <c r="J744" s="27">
        <f>'TN post'!AG11</f>
        <v>63</v>
      </c>
      <c r="K744" s="29">
        <f>'TN post'!AL11</f>
        <v>426125</v>
      </c>
      <c r="L744" s="41">
        <v>1925</v>
      </c>
      <c r="N744" s="4" t="s">
        <v>398</v>
      </c>
      <c r="O744" s="4" t="s">
        <v>458</v>
      </c>
      <c r="P744" s="4" t="s">
        <v>459</v>
      </c>
      <c r="Q744" s="4" t="s">
        <v>460</v>
      </c>
      <c r="R744" s="4" t="s">
        <v>383</v>
      </c>
      <c r="S744" s="4" t="s">
        <v>461</v>
      </c>
      <c r="T744" s="4" t="s">
        <v>462</v>
      </c>
      <c r="U744" s="4" t="s">
        <v>463</v>
      </c>
    </row>
    <row r="745" spans="1:21" x14ac:dyDescent="0.25">
      <c r="A745" s="27" t="s">
        <v>1284</v>
      </c>
      <c r="B745" s="27" t="str">
        <f t="shared" si="51"/>
        <v>Tennessee</v>
      </c>
      <c r="C745" s="27" t="str">
        <f t="shared" si="52"/>
        <v>Cheatham</v>
      </c>
      <c r="D745" s="27">
        <f>'TN post'!J12</f>
        <v>1940</v>
      </c>
      <c r="E745" s="27">
        <f>'TN post'!L12</f>
        <v>76</v>
      </c>
      <c r="F745" s="2">
        <f>'TN post'!Q12</f>
        <v>124.29896907216495</v>
      </c>
      <c r="G745" s="2">
        <f>'TN post'!U12</f>
        <v>2644</v>
      </c>
      <c r="H745" s="28">
        <f>'TN post'!AB12</f>
        <v>75.858062361676772</v>
      </c>
      <c r="I745" s="2">
        <f>'TN post'!AF12</f>
        <v>65334.51</v>
      </c>
      <c r="J745" s="27">
        <f>'TN post'!AG12</f>
        <v>48</v>
      </c>
      <c r="K745" s="29">
        <f>'TN post'!AL12</f>
        <v>173325</v>
      </c>
      <c r="L745" s="41">
        <v>1925</v>
      </c>
      <c r="N745" s="4" t="s">
        <v>398</v>
      </c>
      <c r="O745" s="4" t="s">
        <v>458</v>
      </c>
      <c r="P745" s="4" t="s">
        <v>459</v>
      </c>
      <c r="Q745" s="4" t="s">
        <v>460</v>
      </c>
      <c r="R745" s="4" t="s">
        <v>383</v>
      </c>
      <c r="S745" s="4" t="s">
        <v>461</v>
      </c>
      <c r="T745" s="4" t="s">
        <v>462</v>
      </c>
      <c r="U745" s="4" t="s">
        <v>463</v>
      </c>
    </row>
    <row r="746" spans="1:21" x14ac:dyDescent="0.25">
      <c r="A746" s="27" t="s">
        <v>1285</v>
      </c>
      <c r="B746" s="27" t="str">
        <f t="shared" si="51"/>
        <v>Tennessee</v>
      </c>
      <c r="C746" s="27" t="str">
        <f t="shared" si="52"/>
        <v>Chester</v>
      </c>
      <c r="D746" s="27">
        <f>'TN post'!J13</f>
        <v>2319</v>
      </c>
      <c r="E746" s="27">
        <f>'TN post'!L13</f>
        <v>76</v>
      </c>
      <c r="F746" s="2">
        <f>'TN post'!Q13</f>
        <v>131.41009055627427</v>
      </c>
      <c r="G746" s="2">
        <f>'TN post'!U13</f>
        <v>2837</v>
      </c>
      <c r="H746" s="28">
        <f>'TN post'!AB13</f>
        <v>71.580359918550059</v>
      </c>
      <c r="I746" s="2">
        <f>'TN post'!AF13</f>
        <v>62814.68</v>
      </c>
      <c r="J746" s="27">
        <f>'TN post'!AG13</f>
        <v>42</v>
      </c>
      <c r="K746" s="29">
        <f>'TN post'!AL13</f>
        <v>252360</v>
      </c>
      <c r="L746" s="41">
        <v>1925</v>
      </c>
      <c r="N746" s="4" t="s">
        <v>398</v>
      </c>
      <c r="O746" s="4" t="s">
        <v>458</v>
      </c>
      <c r="P746" s="4" t="s">
        <v>459</v>
      </c>
      <c r="Q746" s="4" t="s">
        <v>460</v>
      </c>
      <c r="R746" s="4" t="s">
        <v>383</v>
      </c>
      <c r="S746" s="4" t="s">
        <v>461</v>
      </c>
      <c r="T746" s="4" t="s">
        <v>462</v>
      </c>
      <c r="U746" s="4" t="s">
        <v>463</v>
      </c>
    </row>
    <row r="747" spans="1:21" x14ac:dyDescent="0.25">
      <c r="A747" s="27" t="s">
        <v>1286</v>
      </c>
      <c r="B747" s="27" t="str">
        <f t="shared" si="51"/>
        <v>Tennessee</v>
      </c>
      <c r="C747" s="27" t="str">
        <f t="shared" si="52"/>
        <v>Claiborne</v>
      </c>
      <c r="D747" s="27">
        <f>'TN post'!J14</f>
        <v>4685</v>
      </c>
      <c r="E747" s="27">
        <f>'TN post'!L14</f>
        <v>138</v>
      </c>
      <c r="F747" s="2">
        <f>'TN post'!Q14</f>
        <v>138.94578441835645</v>
      </c>
      <c r="G747" s="2">
        <f>'TN post'!U14</f>
        <v>6685</v>
      </c>
      <c r="H747" s="28">
        <f>'TN post'!AB14</f>
        <v>77.641533446125337</v>
      </c>
      <c r="I747" s="2">
        <f>'TN post'!AF14</f>
        <v>112430.59</v>
      </c>
      <c r="J747" s="27">
        <f>'TN post'!AG14</f>
        <v>98</v>
      </c>
      <c r="K747" s="29">
        <f>'TN post'!AL14</f>
        <v>220726.8</v>
      </c>
      <c r="L747" s="41">
        <v>1925</v>
      </c>
      <c r="N747" s="4" t="s">
        <v>398</v>
      </c>
      <c r="O747" s="4" t="s">
        <v>458</v>
      </c>
      <c r="P747" s="4" t="s">
        <v>459</v>
      </c>
      <c r="Q747" s="4" t="s">
        <v>460</v>
      </c>
      <c r="R747" s="4" t="s">
        <v>383</v>
      </c>
      <c r="S747" s="4" t="s">
        <v>461</v>
      </c>
      <c r="T747" s="4" t="s">
        <v>462</v>
      </c>
      <c r="U747" s="4" t="s">
        <v>463</v>
      </c>
    </row>
    <row r="748" spans="1:21" x14ac:dyDescent="0.25">
      <c r="A748" s="27" t="s">
        <v>1287</v>
      </c>
      <c r="B748" s="27" t="str">
        <f t="shared" si="51"/>
        <v>Tennessee</v>
      </c>
      <c r="C748" s="27" t="str">
        <f t="shared" si="52"/>
        <v>Clay</v>
      </c>
      <c r="D748" s="27">
        <f>'TN post'!J15</f>
        <v>1711</v>
      </c>
      <c r="E748" s="27">
        <f>'TN post'!L15</f>
        <v>45</v>
      </c>
      <c r="F748" s="2">
        <f>'TN post'!Q15</f>
        <v>116.02688486265342</v>
      </c>
      <c r="G748" s="2">
        <f>'TN post'!U15</f>
        <v>2659</v>
      </c>
      <c r="H748" s="28">
        <f>'TN post'!AB15</f>
        <v>136.51295863094938</v>
      </c>
      <c r="I748" s="2">
        <f>'TN post'!AF15</f>
        <v>49293.59</v>
      </c>
      <c r="J748" s="27">
        <f>'TN post'!AG15</f>
        <v>41</v>
      </c>
      <c r="K748" s="29">
        <f>'TN post'!AL15</f>
        <v>85511</v>
      </c>
      <c r="L748" s="41">
        <v>1925</v>
      </c>
      <c r="N748" s="4" t="s">
        <v>398</v>
      </c>
      <c r="O748" s="4" t="s">
        <v>458</v>
      </c>
      <c r="P748" s="4" t="s">
        <v>459</v>
      </c>
      <c r="Q748" s="4" t="s">
        <v>460</v>
      </c>
      <c r="R748" s="4" t="s">
        <v>383</v>
      </c>
      <c r="S748" s="4" t="s">
        <v>461</v>
      </c>
      <c r="T748" s="4" t="s">
        <v>462</v>
      </c>
      <c r="U748" s="4" t="s">
        <v>463</v>
      </c>
    </row>
    <row r="749" spans="1:21" x14ac:dyDescent="0.25">
      <c r="A749" s="27" t="s">
        <v>1288</v>
      </c>
      <c r="B749" s="27" t="str">
        <f t="shared" si="51"/>
        <v>Tennessee</v>
      </c>
      <c r="C749" s="27" t="str">
        <f t="shared" si="52"/>
        <v>Cocke</v>
      </c>
      <c r="D749" s="27">
        <f>'TN post'!J16</f>
        <v>4473</v>
      </c>
      <c r="E749" s="27">
        <f>'TN post'!L16</f>
        <v>152</v>
      </c>
      <c r="F749" s="2">
        <f>'TN post'!Q16</f>
        <v>122.58528951486699</v>
      </c>
      <c r="G749" s="2">
        <f>'TN post'!U16</f>
        <v>5966</v>
      </c>
      <c r="H749" s="28">
        <f>'TN post'!AB16</f>
        <v>67.221758147507089</v>
      </c>
      <c r="I749" s="2">
        <f>'TN post'!AF16</f>
        <v>117908.47</v>
      </c>
      <c r="J749" s="27">
        <f>'TN post'!AG16</f>
        <v>82</v>
      </c>
      <c r="K749" s="29">
        <f>'TN post'!AL16</f>
        <v>478190</v>
      </c>
      <c r="L749" s="41">
        <v>1925</v>
      </c>
      <c r="N749" s="4" t="s">
        <v>398</v>
      </c>
      <c r="O749" s="4" t="s">
        <v>458</v>
      </c>
      <c r="P749" s="4" t="s">
        <v>459</v>
      </c>
      <c r="Q749" s="4" t="s">
        <v>460</v>
      </c>
      <c r="R749" s="4" t="s">
        <v>383</v>
      </c>
      <c r="S749" s="4" t="s">
        <v>461</v>
      </c>
      <c r="T749" s="4" t="s">
        <v>462</v>
      </c>
      <c r="U749" s="4" t="s">
        <v>463</v>
      </c>
    </row>
    <row r="750" spans="1:21" x14ac:dyDescent="0.25">
      <c r="A750" s="27" t="s">
        <v>1289</v>
      </c>
      <c r="B750" s="27" t="str">
        <f t="shared" si="51"/>
        <v>Tennessee</v>
      </c>
      <c r="C750" s="27" t="str">
        <f t="shared" si="52"/>
        <v>Coffee</v>
      </c>
      <c r="D750" s="27">
        <f>'TN post'!J17</f>
        <v>4545</v>
      </c>
      <c r="E750" s="27">
        <f>'TN post'!L17</f>
        <v>134</v>
      </c>
      <c r="F750" s="2">
        <f>'TN post'!Q17</f>
        <v>114.64290429042904</v>
      </c>
      <c r="G750" s="2">
        <f>'TN post'!U17</f>
        <v>4939</v>
      </c>
      <c r="H750" s="28">
        <f>'TN post'!AB17</f>
        <v>97.160558916914468</v>
      </c>
      <c r="I750" s="2">
        <f>'TN post'!AF17</f>
        <v>177186.51</v>
      </c>
      <c r="J750" s="27">
        <f>'TN post'!AG17</f>
        <v>49</v>
      </c>
      <c r="K750" s="29">
        <f>'TN post'!AL17</f>
        <v>147009</v>
      </c>
      <c r="L750" s="41">
        <v>1925</v>
      </c>
      <c r="N750" s="4" t="s">
        <v>398</v>
      </c>
      <c r="O750" s="4" t="s">
        <v>458</v>
      </c>
      <c r="P750" s="4" t="s">
        <v>459</v>
      </c>
      <c r="Q750" s="4" t="s">
        <v>460</v>
      </c>
      <c r="R750" s="4" t="s">
        <v>383</v>
      </c>
      <c r="S750" s="4" t="s">
        <v>461</v>
      </c>
      <c r="T750" s="4" t="s">
        <v>462</v>
      </c>
      <c r="U750" s="4" t="s">
        <v>463</v>
      </c>
    </row>
    <row r="751" spans="1:21" x14ac:dyDescent="0.25">
      <c r="A751" s="27" t="s">
        <v>1290</v>
      </c>
      <c r="B751" s="27" t="str">
        <f t="shared" si="51"/>
        <v>Tennessee</v>
      </c>
      <c r="C751" s="27" t="str">
        <f t="shared" si="52"/>
        <v>Crockett</v>
      </c>
      <c r="D751" s="27">
        <f>'TN post'!J18</f>
        <v>4994</v>
      </c>
      <c r="E751" s="27">
        <f>'TN post'!L18</f>
        <v>136</v>
      </c>
      <c r="F751" s="2">
        <f>'TN post'!Q18</f>
        <v>139.46816179415299</v>
      </c>
      <c r="G751" s="2">
        <f>'TN post'!U18</f>
        <v>6245</v>
      </c>
      <c r="H751" s="28">
        <f>'TN post'!AB18</f>
        <v>87.280957526699737</v>
      </c>
      <c r="I751" s="2">
        <f>'TN post'!AF18</f>
        <v>106173.29000000001</v>
      </c>
      <c r="J751" s="27">
        <f>'TN post'!AG18</f>
        <v>50</v>
      </c>
      <c r="K751" s="29">
        <f>'TN post'!AL18</f>
        <v>380845</v>
      </c>
      <c r="L751" s="41">
        <v>1925</v>
      </c>
      <c r="N751" s="4" t="s">
        <v>398</v>
      </c>
      <c r="O751" s="4" t="s">
        <v>458</v>
      </c>
      <c r="P751" s="4" t="s">
        <v>459</v>
      </c>
      <c r="Q751" s="4" t="s">
        <v>460</v>
      </c>
      <c r="R751" s="4" t="s">
        <v>383</v>
      </c>
      <c r="S751" s="4" t="s">
        <v>461</v>
      </c>
      <c r="T751" s="4" t="s">
        <v>462</v>
      </c>
      <c r="U751" s="4" t="s">
        <v>463</v>
      </c>
    </row>
    <row r="752" spans="1:21" x14ac:dyDescent="0.25">
      <c r="A752" s="27" t="s">
        <v>1291</v>
      </c>
      <c r="B752" s="27" t="str">
        <f t="shared" si="51"/>
        <v>Tennessee</v>
      </c>
      <c r="C752" s="27" t="str">
        <f t="shared" si="52"/>
        <v>Cumberland</v>
      </c>
      <c r="D752" s="27">
        <f>'TN post'!J19</f>
        <v>2901</v>
      </c>
      <c r="E752" s="27">
        <f>'TN post'!L19</f>
        <v>83</v>
      </c>
      <c r="F752" s="2">
        <f>'TN post'!Q19</f>
        <v>122.04998276456395</v>
      </c>
      <c r="G752" s="2">
        <f>'TN post'!U19</f>
        <v>3398</v>
      </c>
      <c r="H752" s="28">
        <f>'TN post'!AB19</f>
        <v>75.396327582271965</v>
      </c>
      <c r="I752" s="2">
        <f>'TN post'!AF19</f>
        <v>88595.810000000012</v>
      </c>
      <c r="J752" s="27">
        <f>'TN post'!AG19</f>
        <v>61</v>
      </c>
      <c r="K752" s="29">
        <f>'TN post'!AL19</f>
        <v>94149</v>
      </c>
      <c r="L752" s="41">
        <v>1925</v>
      </c>
      <c r="N752" s="4" t="s">
        <v>398</v>
      </c>
      <c r="O752" s="4" t="s">
        <v>458</v>
      </c>
      <c r="P752" s="4" t="s">
        <v>459</v>
      </c>
      <c r="Q752" s="4" t="s">
        <v>460</v>
      </c>
      <c r="R752" s="4" t="s">
        <v>383</v>
      </c>
      <c r="S752" s="4" t="s">
        <v>461</v>
      </c>
      <c r="T752" s="4" t="s">
        <v>462</v>
      </c>
      <c r="U752" s="4" t="s">
        <v>463</v>
      </c>
    </row>
    <row r="753" spans="1:21" x14ac:dyDescent="0.25">
      <c r="A753" s="27" t="s">
        <v>1292</v>
      </c>
      <c r="B753" s="27" t="str">
        <f t="shared" si="51"/>
        <v>Tennessee</v>
      </c>
      <c r="C753" s="27" t="str">
        <f t="shared" si="52"/>
        <v>Davidson</v>
      </c>
      <c r="D753" s="27">
        <f>'TN post'!J20</f>
        <v>42937</v>
      </c>
      <c r="E753" s="27">
        <f>'TN post'!L20</f>
        <v>853</v>
      </c>
      <c r="F753" s="2">
        <f>'TN post'!Q20</f>
        <v>163.42757994270676</v>
      </c>
      <c r="G753" s="2">
        <f>'TN post'!U20</f>
        <v>39394</v>
      </c>
      <c r="H753" s="28">
        <f>'TN post'!AB20</f>
        <v>126.91877718678441</v>
      </c>
      <c r="I753" s="2">
        <f>'TN post'!AF20</f>
        <v>2417456.4699999997</v>
      </c>
      <c r="J753" s="27">
        <f>'TN post'!AG20</f>
        <v>143</v>
      </c>
      <c r="K753" s="29">
        <f>'TN post'!AL20</f>
        <v>2318047.23</v>
      </c>
      <c r="L753" s="41">
        <v>1925</v>
      </c>
      <c r="N753" s="4" t="s">
        <v>398</v>
      </c>
      <c r="O753" s="4" t="s">
        <v>458</v>
      </c>
      <c r="P753" s="4" t="s">
        <v>459</v>
      </c>
      <c r="Q753" s="4" t="s">
        <v>460</v>
      </c>
      <c r="R753" s="4" t="s">
        <v>383</v>
      </c>
      <c r="S753" s="4" t="s">
        <v>461</v>
      </c>
      <c r="T753" s="4" t="s">
        <v>462</v>
      </c>
      <c r="U753" s="4" t="s">
        <v>463</v>
      </c>
    </row>
    <row r="754" spans="1:21" x14ac:dyDescent="0.25">
      <c r="A754" s="27" t="s">
        <v>1293</v>
      </c>
      <c r="B754" s="27" t="str">
        <f t="shared" si="51"/>
        <v>Tennessee</v>
      </c>
      <c r="C754" s="27" t="str">
        <f t="shared" si="52"/>
        <v>Decatur</v>
      </c>
      <c r="D754" s="27">
        <f>'TN post'!J21</f>
        <v>2071</v>
      </c>
      <c r="E754" s="27">
        <f>'TN post'!L21</f>
        <v>85</v>
      </c>
      <c r="F754" s="2">
        <f>'TN post'!Q21</f>
        <v>122.01062288749397</v>
      </c>
      <c r="G754" s="2">
        <f>'TN post'!U21</f>
        <v>3222</v>
      </c>
      <c r="H754" s="28">
        <f>'TN post'!AB21</f>
        <v>86.737886250857855</v>
      </c>
      <c r="I754" s="2">
        <f>'TN post'!AF21</f>
        <v>52729.78</v>
      </c>
      <c r="J754" s="27">
        <f>'TN post'!AG21</f>
        <v>0</v>
      </c>
      <c r="K754" s="29">
        <f>'TN post'!AL21</f>
        <v>109450</v>
      </c>
      <c r="L754" s="41">
        <v>1925</v>
      </c>
      <c r="N754" s="4" t="s">
        <v>398</v>
      </c>
      <c r="O754" s="4" t="s">
        <v>458</v>
      </c>
      <c r="P754" s="4" t="s">
        <v>459</v>
      </c>
      <c r="Q754" s="4" t="s">
        <v>460</v>
      </c>
      <c r="R754" s="4" t="s">
        <v>383</v>
      </c>
      <c r="S754" s="4" t="s">
        <v>461</v>
      </c>
      <c r="T754" s="4" t="s">
        <v>462</v>
      </c>
      <c r="U754" s="4" t="s">
        <v>463</v>
      </c>
    </row>
    <row r="755" spans="1:21" x14ac:dyDescent="0.25">
      <c r="A755" s="27" t="s">
        <v>1760</v>
      </c>
      <c r="B755" s="27" t="str">
        <f t="shared" si="51"/>
        <v>Tennessee</v>
      </c>
      <c r="C755" s="27" t="str">
        <f t="shared" si="52"/>
        <v>DeKalb</v>
      </c>
      <c r="D755" s="27">
        <f>'TN post'!J22</f>
        <v>3839</v>
      </c>
      <c r="E755" s="27">
        <f>'TN post'!L22</f>
        <v>116</v>
      </c>
      <c r="F755" s="2">
        <f>'TN post'!Q22</f>
        <v>120.49466006772597</v>
      </c>
      <c r="G755" s="2">
        <f>'TN post'!U22</f>
        <v>4382</v>
      </c>
      <c r="H755" s="28">
        <f>'TN post'!AB22</f>
        <v>77.875135095284008</v>
      </c>
      <c r="I755" s="2">
        <f>'TN post'!AF22</f>
        <v>117556.15000000001</v>
      </c>
      <c r="J755" s="27">
        <f>'TN post'!AG22</f>
        <v>65</v>
      </c>
      <c r="K755" s="29">
        <f>'TN post'!AL22</f>
        <v>153140</v>
      </c>
      <c r="L755" s="41">
        <v>1925</v>
      </c>
      <c r="N755" s="4" t="s">
        <v>398</v>
      </c>
      <c r="O755" s="4" t="s">
        <v>458</v>
      </c>
      <c r="P755" s="4" t="s">
        <v>459</v>
      </c>
      <c r="Q755" s="4" t="s">
        <v>460</v>
      </c>
      <c r="R755" s="4" t="s">
        <v>383</v>
      </c>
      <c r="S755" s="4" t="s">
        <v>461</v>
      </c>
      <c r="T755" s="4" t="s">
        <v>462</v>
      </c>
      <c r="U755" s="4" t="s">
        <v>463</v>
      </c>
    </row>
    <row r="756" spans="1:21" x14ac:dyDescent="0.25">
      <c r="A756" s="27" t="s">
        <v>1294</v>
      </c>
      <c r="B756" s="27" t="str">
        <f t="shared" si="51"/>
        <v>Tennessee</v>
      </c>
      <c r="C756" s="27" t="str">
        <f t="shared" si="52"/>
        <v>Dickson</v>
      </c>
      <c r="D756" s="27">
        <f>'TN post'!J23</f>
        <v>4497</v>
      </c>
      <c r="E756" s="27">
        <f>'TN post'!L23</f>
        <v>131</v>
      </c>
      <c r="F756" s="2">
        <f>'TN post'!Q23</f>
        <v>138.87502779630864</v>
      </c>
      <c r="G756" s="2">
        <f>'TN post'!U23</f>
        <v>5500</v>
      </c>
      <c r="H756" s="28">
        <f>'TN post'!AB23</f>
        <v>68.252918502389093</v>
      </c>
      <c r="I756" s="2">
        <f>'TN post'!AF23</f>
        <v>128266.95999999999</v>
      </c>
      <c r="J756" s="27">
        <f>'TN post'!AG23</f>
        <v>82</v>
      </c>
      <c r="K756" s="29">
        <f>'TN post'!AL23</f>
        <v>195230</v>
      </c>
      <c r="L756" s="41">
        <v>1925</v>
      </c>
      <c r="N756" s="4" t="s">
        <v>398</v>
      </c>
      <c r="O756" s="4" t="s">
        <v>458</v>
      </c>
      <c r="P756" s="4" t="s">
        <v>459</v>
      </c>
      <c r="Q756" s="4" t="s">
        <v>460</v>
      </c>
      <c r="R756" s="4" t="s">
        <v>383</v>
      </c>
      <c r="S756" s="4" t="s">
        <v>461</v>
      </c>
      <c r="T756" s="4" t="s">
        <v>462</v>
      </c>
      <c r="U756" s="4" t="s">
        <v>463</v>
      </c>
    </row>
    <row r="757" spans="1:21" x14ac:dyDescent="0.25">
      <c r="A757" s="27" t="s">
        <v>1295</v>
      </c>
      <c r="B757" s="27" t="str">
        <f t="shared" si="51"/>
        <v>Tennessee</v>
      </c>
      <c r="C757" s="27" t="str">
        <f t="shared" si="52"/>
        <v>Dyer</v>
      </c>
      <c r="D757" s="27">
        <f>'TN post'!J24</f>
        <v>9224</v>
      </c>
      <c r="E757" s="27">
        <f>'TN post'!L24</f>
        <v>245</v>
      </c>
      <c r="F757" s="2">
        <f>'TN post'!Q24</f>
        <v>146.78360797918472</v>
      </c>
      <c r="G757" s="2">
        <f>'TN post'!U24</f>
        <v>9967</v>
      </c>
      <c r="H757" s="28">
        <f>'TN post'!AB24</f>
        <v>91.029082380588022</v>
      </c>
      <c r="I757" s="2">
        <f>'TN post'!AF24</f>
        <v>333652.23</v>
      </c>
      <c r="J757" s="27">
        <f>'TN post'!AG24</f>
        <v>84</v>
      </c>
      <c r="K757" s="29">
        <f>'TN post'!AL24</f>
        <v>573586</v>
      </c>
      <c r="L757" s="41">
        <v>1925</v>
      </c>
      <c r="N757" s="4" t="s">
        <v>398</v>
      </c>
      <c r="O757" s="4" t="s">
        <v>458</v>
      </c>
      <c r="P757" s="4" t="s">
        <v>459</v>
      </c>
      <c r="Q757" s="4" t="s">
        <v>460</v>
      </c>
      <c r="R757" s="4" t="s">
        <v>383</v>
      </c>
      <c r="S757" s="4" t="s">
        <v>461</v>
      </c>
      <c r="T757" s="4" t="s">
        <v>462</v>
      </c>
      <c r="U757" s="4" t="s">
        <v>463</v>
      </c>
    </row>
    <row r="758" spans="1:21" x14ac:dyDescent="0.25">
      <c r="A758" s="27" t="s">
        <v>1296</v>
      </c>
      <c r="B758" s="27" t="str">
        <f t="shared" si="51"/>
        <v>Tennessee</v>
      </c>
      <c r="C758" s="27" t="str">
        <f t="shared" si="52"/>
        <v>Fayette</v>
      </c>
      <c r="D758" s="27">
        <f>'TN post'!J25</f>
        <v>5233</v>
      </c>
      <c r="E758" s="27">
        <f>'TN post'!L25</f>
        <v>166</v>
      </c>
      <c r="F758" s="2">
        <f>'TN post'!Q25</f>
        <v>121.67074335944965</v>
      </c>
      <c r="G758" s="2">
        <f>'TN post'!U25</f>
        <v>7904</v>
      </c>
      <c r="H758" s="28">
        <f>'TN post'!AB25</f>
        <v>70.740491552216795</v>
      </c>
      <c r="I758" s="2">
        <f>'TN post'!AF25</f>
        <v>102391.54000000001</v>
      </c>
      <c r="J758" s="27">
        <f>'TN post'!AG25</f>
        <v>114</v>
      </c>
      <c r="K758" s="29">
        <f>'TN post'!AL25</f>
        <v>242758</v>
      </c>
      <c r="L758" s="41">
        <v>1925</v>
      </c>
      <c r="N758" s="4" t="s">
        <v>398</v>
      </c>
      <c r="O758" s="4" t="s">
        <v>458</v>
      </c>
      <c r="P758" s="4" t="s">
        <v>459</v>
      </c>
      <c r="Q758" s="4" t="s">
        <v>460</v>
      </c>
      <c r="R758" s="4" t="s">
        <v>383</v>
      </c>
      <c r="S758" s="4" t="s">
        <v>461</v>
      </c>
      <c r="T758" s="4" t="s">
        <v>462</v>
      </c>
      <c r="U758" s="4" t="s">
        <v>463</v>
      </c>
    </row>
    <row r="759" spans="1:21" x14ac:dyDescent="0.25">
      <c r="A759" s="27" t="s">
        <v>1297</v>
      </c>
      <c r="B759" s="27" t="str">
        <f t="shared" si="51"/>
        <v>Tennessee</v>
      </c>
      <c r="C759" s="27" t="str">
        <f t="shared" si="52"/>
        <v>Fentress</v>
      </c>
      <c r="D759" s="27">
        <f>'TN post'!J26</f>
        <v>1947</v>
      </c>
      <c r="E759" s="27">
        <f>'TN post'!L26</f>
        <v>76</v>
      </c>
      <c r="F759" s="2">
        <f>'TN post'!Q26</f>
        <v>115.97226502311248</v>
      </c>
      <c r="G759" s="2">
        <f>'TN post'!U26</f>
        <v>2941</v>
      </c>
      <c r="H759" s="28">
        <f>'TN post'!AB26</f>
        <v>73.979462139191938</v>
      </c>
      <c r="I759" s="2">
        <f>'TN post'!AF26</f>
        <v>73428.38</v>
      </c>
      <c r="J759" s="27">
        <f>'TN post'!AG26</f>
        <v>57</v>
      </c>
      <c r="K759" s="29">
        <f>'TN post'!AL26</f>
        <v>89435</v>
      </c>
      <c r="L759" s="41">
        <v>1925</v>
      </c>
      <c r="N759" s="4" t="s">
        <v>398</v>
      </c>
      <c r="O759" s="4" t="s">
        <v>458</v>
      </c>
      <c r="P759" s="4" t="s">
        <v>459</v>
      </c>
      <c r="Q759" s="4" t="s">
        <v>460</v>
      </c>
      <c r="R759" s="4" t="s">
        <v>383</v>
      </c>
      <c r="S759" s="4" t="s">
        <v>461</v>
      </c>
      <c r="T759" s="4" t="s">
        <v>462</v>
      </c>
      <c r="U759" s="4" t="s">
        <v>463</v>
      </c>
    </row>
    <row r="760" spans="1:21" x14ac:dyDescent="0.25">
      <c r="A760" s="27" t="s">
        <v>1298</v>
      </c>
      <c r="B760" s="27" t="str">
        <f t="shared" si="51"/>
        <v>Tennessee</v>
      </c>
      <c r="C760" s="27" t="str">
        <f t="shared" si="52"/>
        <v>Franklin</v>
      </c>
      <c r="D760" s="27">
        <f>'TN post'!J27</f>
        <v>4578</v>
      </c>
      <c r="E760" s="27">
        <f>'TN post'!L27</f>
        <v>139</v>
      </c>
      <c r="F760" s="2">
        <f>'TN post'!Q27</f>
        <v>160.7474879860201</v>
      </c>
      <c r="G760" s="2">
        <f>'TN post'!U27</f>
        <v>6029</v>
      </c>
      <c r="H760" s="28">
        <f>'TN post'!AB27</f>
        <v>72.493742803453117</v>
      </c>
      <c r="I760" s="2">
        <f>'TN post'!AF27</f>
        <v>125970.44</v>
      </c>
      <c r="J760" s="27">
        <f>'TN post'!AG27</f>
        <v>72</v>
      </c>
      <c r="K760" s="29">
        <f>'TN post'!AL27</f>
        <v>270165</v>
      </c>
      <c r="L760" s="41">
        <v>1925</v>
      </c>
      <c r="N760" s="4" t="s">
        <v>398</v>
      </c>
      <c r="O760" s="4" t="s">
        <v>458</v>
      </c>
      <c r="P760" s="4" t="s">
        <v>459</v>
      </c>
      <c r="Q760" s="4" t="s">
        <v>460</v>
      </c>
      <c r="R760" s="4" t="s">
        <v>383</v>
      </c>
      <c r="S760" s="4" t="s">
        <v>461</v>
      </c>
      <c r="T760" s="4" t="s">
        <v>462</v>
      </c>
      <c r="U760" s="4" t="s">
        <v>463</v>
      </c>
    </row>
    <row r="761" spans="1:21" x14ac:dyDescent="0.25">
      <c r="A761" s="27" t="s">
        <v>1299</v>
      </c>
      <c r="B761" s="27" t="str">
        <f t="shared" si="51"/>
        <v>Tennessee</v>
      </c>
      <c r="C761" s="27" t="str">
        <f t="shared" si="52"/>
        <v>Gibson</v>
      </c>
      <c r="D761" s="27">
        <f>'TN post'!J28</f>
        <v>11794</v>
      </c>
      <c r="E761" s="27">
        <f>'TN post'!L28</f>
        <v>332</v>
      </c>
      <c r="F761" s="2">
        <f>'TN post'!Q28</f>
        <v>145.43411904358149</v>
      </c>
      <c r="G761" s="2">
        <f>'TN post'!U28</f>
        <v>13539</v>
      </c>
      <c r="H761" s="28">
        <f>'TN post'!AB28</f>
        <v>84.396479942682845</v>
      </c>
      <c r="I761" s="2">
        <f>'TN post'!AF28</f>
        <v>414748.55</v>
      </c>
      <c r="J761" s="27">
        <f>'TN post'!AG28</f>
        <v>121</v>
      </c>
      <c r="K761" s="29">
        <f>'TN post'!AL28</f>
        <v>635155</v>
      </c>
      <c r="L761" s="41">
        <v>1925</v>
      </c>
      <c r="N761" s="4" t="s">
        <v>398</v>
      </c>
      <c r="O761" s="4" t="s">
        <v>458</v>
      </c>
      <c r="P761" s="4" t="s">
        <v>459</v>
      </c>
      <c r="Q761" s="4" t="s">
        <v>460</v>
      </c>
      <c r="R761" s="4" t="s">
        <v>383</v>
      </c>
      <c r="S761" s="4" t="s">
        <v>461</v>
      </c>
      <c r="T761" s="4" t="s">
        <v>462</v>
      </c>
      <c r="U761" s="4" t="s">
        <v>463</v>
      </c>
    </row>
    <row r="762" spans="1:21" x14ac:dyDescent="0.25">
      <c r="A762" s="27" t="s">
        <v>1300</v>
      </c>
      <c r="B762" s="27" t="str">
        <f t="shared" si="51"/>
        <v>Tennessee</v>
      </c>
      <c r="C762" s="27" t="str">
        <f t="shared" si="52"/>
        <v>Giles</v>
      </c>
      <c r="D762" s="27">
        <f>'TN post'!J29</f>
        <v>6385</v>
      </c>
      <c r="E762" s="27">
        <f>'TN post'!L29</f>
        <v>186</v>
      </c>
      <c r="F762" s="2">
        <f>'TN post'!Q29</f>
        <v>154.28332028191073</v>
      </c>
      <c r="G762" s="2">
        <f>'TN post'!U29</f>
        <v>8249</v>
      </c>
      <c r="H762" s="28">
        <f>'TN post'!AB29</f>
        <v>72.202440534141175</v>
      </c>
      <c r="I762" s="2">
        <f>'TN post'!AF29</f>
        <v>241369.90999999997</v>
      </c>
      <c r="J762" s="27">
        <f>'TN post'!AG29</f>
        <v>81</v>
      </c>
      <c r="K762" s="29">
        <f>'TN post'!AL29</f>
        <v>263320</v>
      </c>
      <c r="L762" s="41">
        <v>1925</v>
      </c>
      <c r="N762" s="4" t="s">
        <v>398</v>
      </c>
      <c r="O762" s="4" t="s">
        <v>458</v>
      </c>
      <c r="P762" s="4" t="s">
        <v>459</v>
      </c>
      <c r="Q762" s="4" t="s">
        <v>460</v>
      </c>
      <c r="R762" s="4" t="s">
        <v>383</v>
      </c>
      <c r="S762" s="4" t="s">
        <v>461</v>
      </c>
      <c r="T762" s="4" t="s">
        <v>462</v>
      </c>
      <c r="U762" s="4" t="s">
        <v>463</v>
      </c>
    </row>
    <row r="763" spans="1:21" x14ac:dyDescent="0.25">
      <c r="A763" s="27" t="s">
        <v>1761</v>
      </c>
      <c r="B763" s="27" t="str">
        <f t="shared" si="51"/>
        <v>Tennessee</v>
      </c>
      <c r="C763" s="27" t="str">
        <f t="shared" si="52"/>
        <v>Grainger</v>
      </c>
      <c r="D763" s="27">
        <f>'TN post'!J30</f>
        <v>2310</v>
      </c>
      <c r="E763" s="27">
        <f>'TN post'!L30</f>
        <v>89</v>
      </c>
      <c r="F763" s="2">
        <f>'TN post'!Q30</f>
        <v>146.77142857142857</v>
      </c>
      <c r="G763" s="2">
        <f>'TN post'!U30</f>
        <v>3736</v>
      </c>
      <c r="H763" s="28">
        <f>'TN post'!AB30</f>
        <v>73.14476599597981</v>
      </c>
      <c r="I763" s="2">
        <f>'TN post'!AF30</f>
        <v>65631.320000000007</v>
      </c>
      <c r="J763" s="27">
        <f>'TN post'!AG30</f>
        <v>0</v>
      </c>
      <c r="K763" s="29">
        <f>'TN post'!AL30</f>
        <v>6250</v>
      </c>
      <c r="L763" s="41">
        <v>1925</v>
      </c>
      <c r="N763" s="4" t="s">
        <v>398</v>
      </c>
      <c r="O763" s="4" t="s">
        <v>458</v>
      </c>
      <c r="P763" s="4" t="s">
        <v>459</v>
      </c>
      <c r="Q763" s="4" t="s">
        <v>460</v>
      </c>
      <c r="R763" s="4" t="s">
        <v>383</v>
      </c>
      <c r="S763" s="4" t="s">
        <v>461</v>
      </c>
      <c r="T763" s="4" t="s">
        <v>462</v>
      </c>
      <c r="U763" s="4" t="s">
        <v>463</v>
      </c>
    </row>
    <row r="764" spans="1:21" x14ac:dyDescent="0.25">
      <c r="A764" s="27" t="s">
        <v>1301</v>
      </c>
      <c r="B764" s="27" t="str">
        <f t="shared" si="51"/>
        <v>Tennessee</v>
      </c>
      <c r="C764" s="27" t="str">
        <f t="shared" si="52"/>
        <v>Greene</v>
      </c>
      <c r="D764" s="27">
        <f>'TN post'!J31</f>
        <v>9768</v>
      </c>
      <c r="E764" s="27">
        <f>'TN post'!L31</f>
        <v>258</v>
      </c>
      <c r="F764" s="2">
        <f>'TN post'!Q31</f>
        <v>162.35257985257985</v>
      </c>
      <c r="G764" s="2">
        <f>'TN post'!U31</f>
        <v>10562</v>
      </c>
      <c r="H764" s="28">
        <f>'TN post'!AB31</f>
        <v>67.935730342483097</v>
      </c>
      <c r="I764" s="2">
        <f>'TN post'!AF31</f>
        <v>235247.09999999998</v>
      </c>
      <c r="J764" s="27">
        <f>'TN post'!AG31</f>
        <v>115</v>
      </c>
      <c r="K764" s="29">
        <f>'TN post'!AL31</f>
        <v>749360</v>
      </c>
      <c r="L764" s="41">
        <v>1925</v>
      </c>
      <c r="N764" s="4" t="s">
        <v>398</v>
      </c>
      <c r="O764" s="4" t="s">
        <v>458</v>
      </c>
      <c r="P764" s="4" t="s">
        <v>459</v>
      </c>
      <c r="Q764" s="4" t="s">
        <v>460</v>
      </c>
      <c r="R764" s="4" t="s">
        <v>383</v>
      </c>
      <c r="S764" s="4" t="s">
        <v>461</v>
      </c>
      <c r="T764" s="4" t="s">
        <v>462</v>
      </c>
      <c r="U764" s="4" t="s">
        <v>463</v>
      </c>
    </row>
    <row r="765" spans="1:21" x14ac:dyDescent="0.25">
      <c r="A765" s="27" t="s">
        <v>1302</v>
      </c>
      <c r="B765" s="27" t="str">
        <f t="shared" si="51"/>
        <v>Tennessee</v>
      </c>
      <c r="C765" s="27" t="str">
        <f t="shared" si="52"/>
        <v>Grundy</v>
      </c>
      <c r="D765" s="27">
        <f>'TN post'!J32</f>
        <v>2428</v>
      </c>
      <c r="E765" s="27">
        <f>'TN post'!L32</f>
        <v>75</v>
      </c>
      <c r="F765" s="2">
        <f>'TN post'!Q32</f>
        <v>127.72611202635915</v>
      </c>
      <c r="G765" s="2">
        <f>'TN post'!U32</f>
        <v>2813</v>
      </c>
      <c r="H765" s="28">
        <f>'TN post'!AB32</f>
        <v>72.808375038829183</v>
      </c>
      <c r="I765" s="2">
        <f>'TN post'!AF32</f>
        <v>68819.41</v>
      </c>
      <c r="J765" s="27">
        <f>'TN post'!AG32</f>
        <v>33</v>
      </c>
      <c r="K765" s="29">
        <f>'TN post'!AL32</f>
        <v>77995</v>
      </c>
      <c r="L765" s="41">
        <v>1925</v>
      </c>
      <c r="N765" s="4" t="s">
        <v>398</v>
      </c>
      <c r="O765" s="4" t="s">
        <v>458</v>
      </c>
      <c r="P765" s="4" t="s">
        <v>459</v>
      </c>
      <c r="Q765" s="4" t="s">
        <v>460</v>
      </c>
      <c r="R765" s="4" t="s">
        <v>383</v>
      </c>
      <c r="S765" s="4" t="s">
        <v>461</v>
      </c>
      <c r="T765" s="4" t="s">
        <v>462</v>
      </c>
      <c r="U765" s="4" t="s">
        <v>463</v>
      </c>
    </row>
    <row r="766" spans="1:21" x14ac:dyDescent="0.25">
      <c r="A766" s="27" t="s">
        <v>1303</v>
      </c>
      <c r="B766" s="27" t="str">
        <f t="shared" si="51"/>
        <v>Tennessee</v>
      </c>
      <c r="C766" s="27" t="str">
        <f t="shared" si="52"/>
        <v>Hamblen</v>
      </c>
      <c r="D766" s="27">
        <f>'TN post'!J33</f>
        <v>5441</v>
      </c>
      <c r="E766" s="27">
        <f>'TN post'!L33</f>
        <v>132</v>
      </c>
      <c r="F766" s="2">
        <f>'TN post'!Q33</f>
        <v>153.35342767873553</v>
      </c>
      <c r="G766" s="2">
        <f>'TN post'!U33</f>
        <v>4344</v>
      </c>
      <c r="H766" s="28">
        <f>'TN post'!AB33</f>
        <v>95.807375265969938</v>
      </c>
      <c r="I766" s="2">
        <f>'TN post'!AF33</f>
        <v>170781.71000000002</v>
      </c>
      <c r="J766" s="27">
        <f>'TN post'!AG33</f>
        <v>39</v>
      </c>
      <c r="K766" s="29">
        <f>'TN post'!AL33</f>
        <v>563080</v>
      </c>
      <c r="L766" s="41">
        <v>1925</v>
      </c>
      <c r="N766" s="4" t="s">
        <v>398</v>
      </c>
      <c r="O766" s="4" t="s">
        <v>458</v>
      </c>
      <c r="P766" s="4" t="s">
        <v>459</v>
      </c>
      <c r="Q766" s="4" t="s">
        <v>460</v>
      </c>
      <c r="R766" s="4" t="s">
        <v>383</v>
      </c>
      <c r="S766" s="4" t="s">
        <v>461</v>
      </c>
      <c r="T766" s="4" t="s">
        <v>462</v>
      </c>
      <c r="U766" s="4" t="s">
        <v>463</v>
      </c>
    </row>
    <row r="767" spans="1:21" x14ac:dyDescent="0.25">
      <c r="A767" s="27" t="s">
        <v>1304</v>
      </c>
      <c r="B767" s="27" t="str">
        <f t="shared" si="51"/>
        <v>Tennessee</v>
      </c>
      <c r="C767" s="27" t="str">
        <f t="shared" si="52"/>
        <v>Hamilton</v>
      </c>
      <c r="D767" s="27">
        <f>'TN post'!J34</f>
        <v>36891</v>
      </c>
      <c r="E767" s="27">
        <f>'TN post'!L34</f>
        <v>827</v>
      </c>
      <c r="F767" s="2">
        <f>'TN post'!Q34</f>
        <v>180</v>
      </c>
      <c r="G767" s="2">
        <f>'TN post'!U34</f>
        <v>30850</v>
      </c>
      <c r="H767" s="28">
        <f>'TN post'!AB34</f>
        <v>117.74990595190113</v>
      </c>
      <c r="I767" s="2">
        <f>'TN post'!AF34</f>
        <v>1690325.17</v>
      </c>
      <c r="J767" s="27">
        <f>'TN post'!AG34</f>
        <v>127</v>
      </c>
      <c r="K767" s="29">
        <f>'TN post'!AL34</f>
        <v>5305557.4000000004</v>
      </c>
      <c r="L767" s="41">
        <v>1925</v>
      </c>
      <c r="N767" s="4" t="s">
        <v>398</v>
      </c>
      <c r="O767" s="4" t="s">
        <v>458</v>
      </c>
      <c r="P767" s="4" t="s">
        <v>459</v>
      </c>
      <c r="Q767" s="4" t="s">
        <v>460</v>
      </c>
      <c r="R767" s="4" t="s">
        <v>383</v>
      </c>
      <c r="S767" s="4" t="s">
        <v>461</v>
      </c>
      <c r="T767" s="4" t="s">
        <v>462</v>
      </c>
      <c r="U767" s="4" t="s">
        <v>463</v>
      </c>
    </row>
    <row r="768" spans="1:21" x14ac:dyDescent="0.25">
      <c r="A768" s="27" t="s">
        <v>1305</v>
      </c>
      <c r="B768" s="27" t="str">
        <f t="shared" si="51"/>
        <v>Tennessee</v>
      </c>
      <c r="C768" s="27" t="str">
        <f t="shared" si="52"/>
        <v>Hancock</v>
      </c>
      <c r="D768" s="27">
        <f>'TN post'!J35</f>
        <v>1969</v>
      </c>
      <c r="E768" s="27">
        <f>'TN post'!L35</f>
        <v>64</v>
      </c>
      <c r="F768" s="2">
        <f>'TN post'!Q35</f>
        <v>131.05129507364146</v>
      </c>
      <c r="G768" s="2">
        <f>'TN post'!U35</f>
        <v>2946</v>
      </c>
      <c r="H768" s="28">
        <f>'TN post'!AB35</f>
        <v>69.037852658502558</v>
      </c>
      <c r="I768" s="2">
        <f>'TN post'!AF35</f>
        <v>45771.72</v>
      </c>
      <c r="J768" s="27">
        <f>'TN post'!AG35</f>
        <v>48</v>
      </c>
      <c r="K768" s="29">
        <f>'TN post'!AL35</f>
        <v>77520</v>
      </c>
      <c r="L768" s="41">
        <v>1925</v>
      </c>
      <c r="N768" s="4" t="s">
        <v>398</v>
      </c>
      <c r="O768" s="4" t="s">
        <v>458</v>
      </c>
      <c r="P768" s="4" t="s">
        <v>459</v>
      </c>
      <c r="Q768" s="4" t="s">
        <v>460</v>
      </c>
      <c r="R768" s="4" t="s">
        <v>383</v>
      </c>
      <c r="S768" s="4" t="s">
        <v>461</v>
      </c>
      <c r="T768" s="4" t="s">
        <v>462</v>
      </c>
      <c r="U768" s="4" t="s">
        <v>463</v>
      </c>
    </row>
    <row r="769" spans="1:21" x14ac:dyDescent="0.25">
      <c r="A769" s="27" t="s">
        <v>1306</v>
      </c>
      <c r="B769" s="27" t="str">
        <f t="shared" si="51"/>
        <v>Tennessee</v>
      </c>
      <c r="C769" s="27" t="str">
        <f t="shared" si="52"/>
        <v>Hardeman</v>
      </c>
      <c r="D769" s="27">
        <f>'TN post'!J36</f>
        <v>4517</v>
      </c>
      <c r="E769" s="27">
        <f>'TN post'!L36</f>
        <v>150</v>
      </c>
      <c r="F769" s="2">
        <f>'TN post'!Q36</f>
        <v>124.07947752933363</v>
      </c>
      <c r="G769" s="2">
        <f>'TN post'!U36</f>
        <v>6012</v>
      </c>
      <c r="H769" s="28">
        <f>'TN post'!AB36</f>
        <v>77.13838627668234</v>
      </c>
      <c r="I769" s="2">
        <f>'TN post'!AF36</f>
        <v>138462.51999999999</v>
      </c>
      <c r="J769" s="27">
        <f>'TN post'!AG36</f>
        <v>88</v>
      </c>
      <c r="K769" s="29">
        <f>'TN post'!AL36</f>
        <v>163893</v>
      </c>
      <c r="L769" s="41">
        <v>1925</v>
      </c>
      <c r="N769" s="4" t="s">
        <v>398</v>
      </c>
      <c r="O769" s="4" t="s">
        <v>458</v>
      </c>
      <c r="P769" s="4" t="s">
        <v>459</v>
      </c>
      <c r="Q769" s="4" t="s">
        <v>460</v>
      </c>
      <c r="R769" s="4" t="s">
        <v>383</v>
      </c>
      <c r="S769" s="4" t="s">
        <v>461</v>
      </c>
      <c r="T769" s="4" t="s">
        <v>462</v>
      </c>
      <c r="U769" s="4" t="s">
        <v>463</v>
      </c>
    </row>
    <row r="770" spans="1:21" x14ac:dyDescent="0.25">
      <c r="A770" s="27" t="s">
        <v>1307</v>
      </c>
      <c r="B770" s="27" t="str">
        <f t="shared" ref="B770:B832" si="53">LEFT(A770,FIND(";",A770)-1)</f>
        <v>Tennessee</v>
      </c>
      <c r="C770" s="27" t="str">
        <f t="shared" ref="C770:C832" si="54">MID(A770,FIND(";",A770)+1,100)</f>
        <v>Hardin</v>
      </c>
      <c r="D770" s="27">
        <f>'TN post'!J37</f>
        <v>3707</v>
      </c>
      <c r="E770" s="27">
        <f>'TN post'!L37</f>
        <v>138</v>
      </c>
      <c r="F770" s="2">
        <f>'TN post'!Q37</f>
        <v>121.03318046938224</v>
      </c>
      <c r="G770" s="2">
        <f>'TN post'!U37</f>
        <v>4982</v>
      </c>
      <c r="H770" s="28">
        <f>'TN post'!AB37</f>
        <v>76.447296389360773</v>
      </c>
      <c r="I770" s="2">
        <f>'TN post'!AF37</f>
        <v>195415.7</v>
      </c>
      <c r="J770" s="27">
        <f>'TN post'!AG37</f>
        <v>78</v>
      </c>
      <c r="K770" s="29">
        <f>'TN post'!AL37</f>
        <v>207110</v>
      </c>
      <c r="L770" s="41">
        <v>1925</v>
      </c>
      <c r="N770" s="4" t="s">
        <v>398</v>
      </c>
      <c r="O770" s="4" t="s">
        <v>458</v>
      </c>
      <c r="P770" s="4" t="s">
        <v>459</v>
      </c>
      <c r="Q770" s="4" t="s">
        <v>460</v>
      </c>
      <c r="R770" s="4" t="s">
        <v>383</v>
      </c>
      <c r="S770" s="4" t="s">
        <v>461</v>
      </c>
      <c r="T770" s="4" t="s">
        <v>462</v>
      </c>
      <c r="U770" s="4" t="s">
        <v>463</v>
      </c>
    </row>
    <row r="771" spans="1:21" x14ac:dyDescent="0.25">
      <c r="A771" s="27" t="s">
        <v>1308</v>
      </c>
      <c r="B771" s="27" t="str">
        <f t="shared" si="53"/>
        <v>Tennessee</v>
      </c>
      <c r="C771" s="27" t="str">
        <f t="shared" si="54"/>
        <v>Hawkins</v>
      </c>
      <c r="D771" s="27">
        <f>'TN post'!J38</f>
        <v>5286</v>
      </c>
      <c r="E771" s="27">
        <f>'TN post'!L38</f>
        <v>176</v>
      </c>
      <c r="F771" s="2">
        <f>'TN post'!Q38</f>
        <v>139.00681044267878</v>
      </c>
      <c r="G771" s="2">
        <f>'TN post'!U38</f>
        <v>6558</v>
      </c>
      <c r="H771" s="28">
        <f>'TN post'!AB38</f>
        <v>74.193912212394636</v>
      </c>
      <c r="I771" s="2">
        <f>'TN post'!AF38</f>
        <v>125600.56</v>
      </c>
      <c r="J771" s="27">
        <f>'TN post'!AG38</f>
        <v>100</v>
      </c>
      <c r="K771" s="29">
        <f>'TN post'!AL38</f>
        <v>615245</v>
      </c>
      <c r="L771" s="41">
        <v>1925</v>
      </c>
      <c r="N771" s="4" t="s">
        <v>398</v>
      </c>
      <c r="O771" s="4" t="s">
        <v>458</v>
      </c>
      <c r="P771" s="4" t="s">
        <v>459</v>
      </c>
      <c r="Q771" s="4" t="s">
        <v>460</v>
      </c>
      <c r="R771" s="4" t="s">
        <v>383</v>
      </c>
      <c r="S771" s="4" t="s">
        <v>461</v>
      </c>
      <c r="T771" s="4" t="s">
        <v>462</v>
      </c>
      <c r="U771" s="4" t="s">
        <v>463</v>
      </c>
    </row>
    <row r="772" spans="1:21" x14ac:dyDescent="0.25">
      <c r="A772" s="27" t="s">
        <v>1309</v>
      </c>
      <c r="B772" s="27" t="str">
        <f t="shared" si="53"/>
        <v>Tennessee</v>
      </c>
      <c r="C772" s="27" t="str">
        <f t="shared" si="54"/>
        <v>Haywood</v>
      </c>
      <c r="D772" s="27">
        <f>'TN post'!J39</f>
        <v>5327</v>
      </c>
      <c r="E772" s="27">
        <f>'TN post'!L39</f>
        <v>126</v>
      </c>
      <c r="F772" s="2">
        <f>'TN post'!Q39</f>
        <v>125.55622301483011</v>
      </c>
      <c r="G772" s="2">
        <f>'TN post'!U39</f>
        <v>6422</v>
      </c>
      <c r="H772" s="28">
        <f>'TN post'!AB39</f>
        <v>91.778488080986889</v>
      </c>
      <c r="I772" s="2">
        <f>'TN post'!AF39</f>
        <v>143540.76999999999</v>
      </c>
      <c r="J772" s="27">
        <f>'TN post'!AG39</f>
        <v>72</v>
      </c>
      <c r="K772" s="29">
        <f>'TN post'!AL39</f>
        <v>185995</v>
      </c>
      <c r="L772" s="41">
        <v>1925</v>
      </c>
      <c r="N772" s="4" t="s">
        <v>398</v>
      </c>
      <c r="O772" s="4" t="s">
        <v>458</v>
      </c>
      <c r="P772" s="4" t="s">
        <v>459</v>
      </c>
      <c r="Q772" s="4" t="s">
        <v>460</v>
      </c>
      <c r="R772" s="4" t="s">
        <v>383</v>
      </c>
      <c r="S772" s="4" t="s">
        <v>461</v>
      </c>
      <c r="T772" s="4" t="s">
        <v>462</v>
      </c>
      <c r="U772" s="4" t="s">
        <v>463</v>
      </c>
    </row>
    <row r="773" spans="1:21" x14ac:dyDescent="0.25">
      <c r="A773" s="27" t="s">
        <v>1310</v>
      </c>
      <c r="B773" s="27" t="str">
        <f t="shared" si="53"/>
        <v>Tennessee</v>
      </c>
      <c r="C773" s="27" t="str">
        <f t="shared" si="54"/>
        <v>Henderson</v>
      </c>
      <c r="D773" s="27">
        <f>'TN post'!J40</f>
        <v>4526</v>
      </c>
      <c r="E773" s="27">
        <f>'TN post'!L40</f>
        <v>140</v>
      </c>
      <c r="F773" s="2">
        <f>'TN post'!Q40</f>
        <v>129.66062748563854</v>
      </c>
      <c r="G773" s="2">
        <f>'TN post'!U40</f>
        <v>5815</v>
      </c>
      <c r="H773" s="28">
        <f>'TN post'!AB40</f>
        <v>60.993821302716611</v>
      </c>
      <c r="I773" s="2">
        <f>'TN post'!AF40</f>
        <v>75824.67</v>
      </c>
      <c r="J773" s="27">
        <f>'TN post'!AG40</f>
        <v>90</v>
      </c>
      <c r="K773" s="29">
        <f>'TN post'!AL40</f>
        <v>249150</v>
      </c>
      <c r="L773" s="41">
        <v>1925</v>
      </c>
      <c r="N773" s="4" t="s">
        <v>398</v>
      </c>
      <c r="O773" s="4" t="s">
        <v>458</v>
      </c>
      <c r="P773" s="4" t="s">
        <v>459</v>
      </c>
      <c r="Q773" s="4" t="s">
        <v>460</v>
      </c>
      <c r="R773" s="4" t="s">
        <v>383</v>
      </c>
      <c r="S773" s="4" t="s">
        <v>461</v>
      </c>
      <c r="T773" s="4" t="s">
        <v>462</v>
      </c>
      <c r="U773" s="4" t="s">
        <v>463</v>
      </c>
    </row>
    <row r="774" spans="1:21" x14ac:dyDescent="0.25">
      <c r="A774" s="27" t="s">
        <v>1311</v>
      </c>
      <c r="B774" s="27" t="str">
        <f t="shared" si="53"/>
        <v>Tennessee</v>
      </c>
      <c r="C774" s="27" t="str">
        <f t="shared" si="54"/>
        <v>Henry</v>
      </c>
      <c r="D774" s="27">
        <f>'TN post'!J41</f>
        <v>6865</v>
      </c>
      <c r="E774" s="27">
        <f>'TN post'!L41</f>
        <v>215</v>
      </c>
      <c r="F774" s="2">
        <f>'TN post'!Q41</f>
        <v>135.65972323379461</v>
      </c>
      <c r="G774" s="2">
        <f>'TN post'!U41</f>
        <v>7283</v>
      </c>
      <c r="H774" s="28">
        <f>'TN post'!AB41</f>
        <v>79.497626778476558</v>
      </c>
      <c r="I774" s="2">
        <f>'TN post'!AF41</f>
        <v>240505.3</v>
      </c>
      <c r="J774" s="27">
        <f>'TN post'!AG41</f>
        <v>97</v>
      </c>
      <c r="K774" s="29">
        <f>'TN post'!AL41</f>
        <v>322175</v>
      </c>
      <c r="L774" s="41">
        <v>1925</v>
      </c>
      <c r="N774" s="4" t="s">
        <v>398</v>
      </c>
      <c r="O774" s="4" t="s">
        <v>458</v>
      </c>
      <c r="P774" s="4" t="s">
        <v>459</v>
      </c>
      <c r="Q774" s="4" t="s">
        <v>460</v>
      </c>
      <c r="R774" s="4" t="s">
        <v>383</v>
      </c>
      <c r="S774" s="4" t="s">
        <v>461</v>
      </c>
      <c r="T774" s="4" t="s">
        <v>462</v>
      </c>
      <c r="U774" s="4" t="s">
        <v>463</v>
      </c>
    </row>
    <row r="775" spans="1:21" x14ac:dyDescent="0.25">
      <c r="A775" s="27" t="s">
        <v>1312</v>
      </c>
      <c r="B775" s="27" t="str">
        <f t="shared" si="53"/>
        <v>Tennessee</v>
      </c>
      <c r="C775" s="27" t="str">
        <f t="shared" si="54"/>
        <v>Hickman</v>
      </c>
      <c r="D775" s="27">
        <f>'TN post'!J42</f>
        <v>3191</v>
      </c>
      <c r="E775" s="27">
        <f>'TN post'!L42</f>
        <v>118</v>
      </c>
      <c r="F775" s="2">
        <f>'TN post'!Q42</f>
        <v>146.55311814478219</v>
      </c>
      <c r="G775" s="2">
        <f>'TN post'!U42</f>
        <v>4400</v>
      </c>
      <c r="H775" s="28">
        <f>'TN post'!AB42</f>
        <v>74.911867694034768</v>
      </c>
      <c r="I775" s="2">
        <f>'TN post'!AF42</f>
        <v>114679.15</v>
      </c>
      <c r="J775" s="27">
        <f>'TN post'!AG42</f>
        <v>82</v>
      </c>
      <c r="K775" s="29">
        <f>'TN post'!AL42</f>
        <v>201915</v>
      </c>
      <c r="L775" s="41">
        <v>1925</v>
      </c>
      <c r="N775" s="4" t="s">
        <v>398</v>
      </c>
      <c r="O775" s="4" t="s">
        <v>458</v>
      </c>
      <c r="P775" s="4" t="s">
        <v>459</v>
      </c>
      <c r="Q775" s="4" t="s">
        <v>460</v>
      </c>
      <c r="R775" s="4" t="s">
        <v>383</v>
      </c>
      <c r="S775" s="4" t="s">
        <v>461</v>
      </c>
      <c r="T775" s="4" t="s">
        <v>462</v>
      </c>
      <c r="U775" s="4" t="s">
        <v>463</v>
      </c>
    </row>
    <row r="776" spans="1:21" x14ac:dyDescent="0.25">
      <c r="A776" s="27" t="s">
        <v>1313</v>
      </c>
      <c r="B776" s="27" t="str">
        <f t="shared" si="53"/>
        <v>Tennessee</v>
      </c>
      <c r="C776" s="27" t="str">
        <f t="shared" si="54"/>
        <v>Houston</v>
      </c>
      <c r="D776" s="27">
        <f>'TN post'!J43</f>
        <v>1059</v>
      </c>
      <c r="E776" s="27">
        <f>'TN post'!L43</f>
        <v>44</v>
      </c>
      <c r="F776" s="2">
        <f>'TN post'!Q43</f>
        <v>152.40793201133144</v>
      </c>
      <c r="G776" s="2">
        <f>'TN post'!U43</f>
        <v>1559</v>
      </c>
      <c r="H776" s="28">
        <f>'TN post'!AB43</f>
        <v>72.600015207840485</v>
      </c>
      <c r="I776" s="2">
        <f>'TN post'!AF43</f>
        <v>33205.11</v>
      </c>
      <c r="J776" s="27">
        <f>'TN post'!AG43</f>
        <v>20</v>
      </c>
      <c r="K776" s="29">
        <f>'TN post'!AL43</f>
        <v>54680</v>
      </c>
      <c r="L776" s="41">
        <v>1925</v>
      </c>
      <c r="N776" s="4" t="s">
        <v>398</v>
      </c>
      <c r="O776" s="4" t="s">
        <v>458</v>
      </c>
      <c r="P776" s="4" t="s">
        <v>459</v>
      </c>
      <c r="Q776" s="4" t="s">
        <v>460</v>
      </c>
      <c r="R776" s="4" t="s">
        <v>383</v>
      </c>
      <c r="S776" s="4" t="s">
        <v>461</v>
      </c>
      <c r="T776" s="4" t="s">
        <v>462</v>
      </c>
      <c r="U776" s="4" t="s">
        <v>463</v>
      </c>
    </row>
    <row r="777" spans="1:21" x14ac:dyDescent="0.25">
      <c r="A777" s="27" t="s">
        <v>1314</v>
      </c>
      <c r="B777" s="27" t="str">
        <f t="shared" si="53"/>
        <v>Tennessee</v>
      </c>
      <c r="C777" s="27" t="str">
        <f t="shared" si="54"/>
        <v>Humphreys</v>
      </c>
      <c r="D777" s="27">
        <f>'TN post'!J44</f>
        <v>3021</v>
      </c>
      <c r="E777" s="27">
        <f>'TN post'!L44</f>
        <v>98</v>
      </c>
      <c r="F777" s="2">
        <f>'TN post'!Q44</f>
        <v>142.75173783515393</v>
      </c>
      <c r="G777" s="2">
        <f>'TN post'!U44</f>
        <v>3753</v>
      </c>
      <c r="H777" s="28">
        <f>'TN post'!AB44</f>
        <v>66.043529237560577</v>
      </c>
      <c r="I777" s="2">
        <f>'TN post'!AF44</f>
        <v>105611.32999999999</v>
      </c>
      <c r="J777" s="27">
        <f>'TN post'!AG44</f>
        <v>66</v>
      </c>
      <c r="K777" s="29">
        <f>'TN post'!AL44</f>
        <v>148745</v>
      </c>
      <c r="L777" s="41">
        <v>1925</v>
      </c>
      <c r="N777" s="4" t="s">
        <v>398</v>
      </c>
      <c r="O777" s="4" t="s">
        <v>458</v>
      </c>
      <c r="P777" s="4" t="s">
        <v>459</v>
      </c>
      <c r="Q777" s="4" t="s">
        <v>460</v>
      </c>
      <c r="R777" s="4" t="s">
        <v>383</v>
      </c>
      <c r="S777" s="4" t="s">
        <v>461</v>
      </c>
      <c r="T777" s="4" t="s">
        <v>462</v>
      </c>
      <c r="U777" s="4" t="s">
        <v>463</v>
      </c>
    </row>
    <row r="778" spans="1:21" x14ac:dyDescent="0.25">
      <c r="A778" s="27" t="s">
        <v>1315</v>
      </c>
      <c r="B778" s="27" t="str">
        <f t="shared" si="53"/>
        <v>Tennessee</v>
      </c>
      <c r="C778" s="27" t="str">
        <f t="shared" si="54"/>
        <v>Jackson</v>
      </c>
      <c r="D778" s="27">
        <f>'TN post'!J45</f>
        <v>2425</v>
      </c>
      <c r="E778" s="27">
        <f>'TN post'!L45</f>
        <v>94</v>
      </c>
      <c r="F778" s="2">
        <f>'TN post'!Q45</f>
        <v>142.70103092783506</v>
      </c>
      <c r="G778" s="2">
        <f>'TN post'!U45</f>
        <v>3844</v>
      </c>
      <c r="H778" s="28">
        <f>'TN post'!AB45</f>
        <v>67.825644277207502</v>
      </c>
      <c r="I778" s="2">
        <f>'TN post'!AF45</f>
        <v>62858.41</v>
      </c>
      <c r="J778" s="27">
        <f>'TN post'!AG45</f>
        <v>58</v>
      </c>
      <c r="K778" s="29">
        <f>'TN post'!AL45</f>
        <v>76815</v>
      </c>
      <c r="L778" s="41">
        <v>1925</v>
      </c>
      <c r="N778" s="4" t="s">
        <v>398</v>
      </c>
      <c r="O778" s="4" t="s">
        <v>458</v>
      </c>
      <c r="P778" s="4" t="s">
        <v>459</v>
      </c>
      <c r="Q778" s="4" t="s">
        <v>460</v>
      </c>
      <c r="R778" s="4" t="s">
        <v>383</v>
      </c>
      <c r="S778" s="4" t="s">
        <v>461</v>
      </c>
      <c r="T778" s="4" t="s">
        <v>462</v>
      </c>
      <c r="U778" s="4" t="s">
        <v>463</v>
      </c>
    </row>
    <row r="779" spans="1:21" x14ac:dyDescent="0.25">
      <c r="A779" s="27" t="s">
        <v>1317</v>
      </c>
      <c r="B779" s="27" t="str">
        <f t="shared" si="53"/>
        <v>Tennessee</v>
      </c>
      <c r="C779" s="27" t="str">
        <f t="shared" si="54"/>
        <v>Jefferson</v>
      </c>
      <c r="D779" s="27">
        <f>'TN post'!J46</f>
        <v>4010</v>
      </c>
      <c r="E779" s="27">
        <f>'TN post'!L46</f>
        <v>124</v>
      </c>
      <c r="F779" s="2">
        <f>'TN post'!Q46</f>
        <v>140.27032418952618</v>
      </c>
      <c r="G779" s="2">
        <f>'TN post'!U46</f>
        <v>4968</v>
      </c>
      <c r="H779" s="28">
        <f>'TN post'!AB46</f>
        <v>84.262609476949137</v>
      </c>
      <c r="I779" s="2">
        <f>'TN post'!AF46</f>
        <v>128322.6</v>
      </c>
      <c r="J779" s="27">
        <f>'TN post'!AG46</f>
        <v>60</v>
      </c>
      <c r="K779" s="29">
        <f>'TN post'!AL46</f>
        <v>281930</v>
      </c>
      <c r="L779" s="41">
        <v>1925</v>
      </c>
      <c r="N779" s="4" t="s">
        <v>398</v>
      </c>
      <c r="O779" s="4" t="s">
        <v>458</v>
      </c>
      <c r="P779" s="4" t="s">
        <v>459</v>
      </c>
      <c r="Q779" s="4" t="s">
        <v>460</v>
      </c>
      <c r="R779" s="4" t="s">
        <v>383</v>
      </c>
      <c r="S779" s="4" t="s">
        <v>461</v>
      </c>
      <c r="T779" s="4" t="s">
        <v>462</v>
      </c>
      <c r="U779" s="4" t="s">
        <v>463</v>
      </c>
    </row>
    <row r="780" spans="1:21" x14ac:dyDescent="0.25">
      <c r="A780" s="27" t="s">
        <v>1318</v>
      </c>
      <c r="B780" s="27" t="str">
        <f t="shared" si="53"/>
        <v>Tennessee</v>
      </c>
      <c r="C780" s="27" t="str">
        <f t="shared" si="54"/>
        <v>Johnson</v>
      </c>
      <c r="D780" s="27">
        <f>'TN post'!J47</f>
        <v>3470</v>
      </c>
      <c r="E780" s="27">
        <f>'TN post'!L47</f>
        <v>82</v>
      </c>
      <c r="F780" s="2">
        <f>'TN post'!Q47</f>
        <v>129.61383285302594</v>
      </c>
      <c r="G780" s="2">
        <f>'TN post'!U47</f>
        <v>3761</v>
      </c>
      <c r="H780" s="28">
        <f>'TN post'!AB47</f>
        <v>90.26507573686996</v>
      </c>
      <c r="I780" s="2">
        <f>'TN post'!AF47</f>
        <v>69929.180000000008</v>
      </c>
      <c r="J780" s="27">
        <f>'TN post'!AG47</f>
        <v>47</v>
      </c>
      <c r="K780" s="29">
        <f>'TN post'!AL47</f>
        <v>110177</v>
      </c>
      <c r="L780" s="41">
        <v>1925</v>
      </c>
      <c r="N780" s="4" t="s">
        <v>398</v>
      </c>
      <c r="O780" s="4" t="s">
        <v>458</v>
      </c>
      <c r="P780" s="4" t="s">
        <v>459</v>
      </c>
      <c r="Q780" s="4" t="s">
        <v>460</v>
      </c>
      <c r="R780" s="4" t="s">
        <v>383</v>
      </c>
      <c r="S780" s="4" t="s">
        <v>461</v>
      </c>
      <c r="T780" s="4" t="s">
        <v>462</v>
      </c>
      <c r="U780" s="4" t="s">
        <v>463</v>
      </c>
    </row>
    <row r="781" spans="1:21" x14ac:dyDescent="0.25">
      <c r="A781" s="27" t="s">
        <v>1319</v>
      </c>
      <c r="B781" s="27" t="str">
        <f t="shared" si="53"/>
        <v>Tennessee</v>
      </c>
      <c r="C781" s="27" t="str">
        <f t="shared" si="54"/>
        <v>Knox</v>
      </c>
      <c r="D781" s="27">
        <f>'TN post'!J48</f>
        <v>36201</v>
      </c>
      <c r="E781" s="27">
        <f>'TN post'!L48</f>
        <v>730</v>
      </c>
      <c r="F781" s="2">
        <f>'TN post'!Q48</f>
        <v>167.53354879699455</v>
      </c>
      <c r="G781" s="2">
        <f>'TN post'!U48</f>
        <v>30327</v>
      </c>
      <c r="H781" s="28">
        <f>'TN post'!AB48</f>
        <v>30.671632244158943</v>
      </c>
      <c r="I781" s="2">
        <f>'TN post'!AF48</f>
        <v>1342673.8599999999</v>
      </c>
      <c r="J781" s="27">
        <f>'TN post'!AG48</f>
        <v>134</v>
      </c>
      <c r="K781" s="29">
        <f>'TN post'!AL48</f>
        <v>841755</v>
      </c>
      <c r="L781" s="41">
        <v>1925</v>
      </c>
      <c r="N781" s="4" t="s">
        <v>398</v>
      </c>
      <c r="O781" s="4" t="s">
        <v>458</v>
      </c>
      <c r="P781" s="4" t="s">
        <v>459</v>
      </c>
      <c r="Q781" s="4" t="s">
        <v>460</v>
      </c>
      <c r="R781" s="4" t="s">
        <v>383</v>
      </c>
      <c r="S781" s="4" t="s">
        <v>461</v>
      </c>
      <c r="T781" s="4" t="s">
        <v>462</v>
      </c>
      <c r="U781" s="4" t="s">
        <v>463</v>
      </c>
    </row>
    <row r="782" spans="1:21" x14ac:dyDescent="0.25">
      <c r="A782" s="27" t="s">
        <v>1320</v>
      </c>
      <c r="B782" s="27" t="str">
        <f t="shared" si="53"/>
        <v>Tennessee</v>
      </c>
      <c r="C782" s="27" t="str">
        <f t="shared" si="54"/>
        <v>Lake</v>
      </c>
      <c r="D782" s="27">
        <f>'TN post'!J49</f>
        <v>2801</v>
      </c>
      <c r="E782" s="27">
        <f>'TN post'!L49</f>
        <v>60</v>
      </c>
      <c r="F782" s="2">
        <f>'TN post'!Q49</f>
        <v>144.36879685826491</v>
      </c>
      <c r="G782" s="2">
        <f>'TN post'!U49</f>
        <v>3112</v>
      </c>
      <c r="H782" s="28">
        <f>'TN post'!AB49</f>
        <v>98.764508977183823</v>
      </c>
      <c r="I782" s="2">
        <f>'TN post'!AF49</f>
        <v>75807.92</v>
      </c>
      <c r="J782" s="27">
        <f>'TN post'!AG49</f>
        <v>18</v>
      </c>
      <c r="K782" s="29">
        <f>'TN post'!AL49</f>
        <v>227075</v>
      </c>
      <c r="L782" s="41">
        <v>1925</v>
      </c>
      <c r="N782" s="4" t="s">
        <v>398</v>
      </c>
      <c r="O782" s="4" t="s">
        <v>458</v>
      </c>
      <c r="P782" s="4" t="s">
        <v>459</v>
      </c>
      <c r="Q782" s="4" t="s">
        <v>460</v>
      </c>
      <c r="R782" s="4" t="s">
        <v>383</v>
      </c>
      <c r="S782" s="4" t="s">
        <v>461</v>
      </c>
      <c r="T782" s="4" t="s">
        <v>462</v>
      </c>
      <c r="U782" s="4" t="s">
        <v>463</v>
      </c>
    </row>
    <row r="783" spans="1:21" x14ac:dyDescent="0.25">
      <c r="A783" s="27" t="s">
        <v>1321</v>
      </c>
      <c r="B783" s="27" t="str">
        <f t="shared" si="53"/>
        <v>Tennessee</v>
      </c>
      <c r="C783" s="27" t="str">
        <f t="shared" si="54"/>
        <v>Lauderdale</v>
      </c>
      <c r="D783" s="27">
        <f>'TN post'!J50</f>
        <v>5659</v>
      </c>
      <c r="E783" s="27">
        <f>'TN post'!L50</f>
        <v>169</v>
      </c>
      <c r="F783" s="2">
        <f>'TN post'!Q50</f>
        <v>149.04877186782116</v>
      </c>
      <c r="G783" s="2">
        <f>'TN post'!U50</f>
        <v>7285</v>
      </c>
      <c r="H783" s="28">
        <f>'TN post'!AB50</f>
        <v>75.759825017233226</v>
      </c>
      <c r="I783" s="2">
        <f>'TN post'!AF50</f>
        <v>169199.39</v>
      </c>
      <c r="J783" s="27">
        <f>'TN post'!AG50</f>
        <v>62</v>
      </c>
      <c r="K783" s="29">
        <f>'TN post'!AL50</f>
        <v>356415</v>
      </c>
      <c r="L783" s="41">
        <v>1925</v>
      </c>
      <c r="N783" s="4" t="s">
        <v>398</v>
      </c>
      <c r="O783" s="4" t="s">
        <v>458</v>
      </c>
      <c r="P783" s="4" t="s">
        <v>459</v>
      </c>
      <c r="Q783" s="4" t="s">
        <v>460</v>
      </c>
      <c r="R783" s="4" t="s">
        <v>383</v>
      </c>
      <c r="S783" s="4" t="s">
        <v>461</v>
      </c>
      <c r="T783" s="4" t="s">
        <v>462</v>
      </c>
      <c r="U783" s="4" t="s">
        <v>463</v>
      </c>
    </row>
    <row r="784" spans="1:21" x14ac:dyDescent="0.25">
      <c r="A784" s="27" t="s">
        <v>1322</v>
      </c>
      <c r="B784" s="27" t="str">
        <f t="shared" si="53"/>
        <v>Tennessee</v>
      </c>
      <c r="C784" s="27" t="str">
        <f t="shared" si="54"/>
        <v>Lawrence</v>
      </c>
      <c r="D784" s="27">
        <f>'TN post'!J51</f>
        <v>5694</v>
      </c>
      <c r="E784" s="27">
        <f>'TN post'!L51</f>
        <v>181</v>
      </c>
      <c r="F784" s="2">
        <f>'TN post'!Q51</f>
        <v>121.48103266596418</v>
      </c>
      <c r="G784" s="2">
        <f>'TN post'!U51</f>
        <v>8664</v>
      </c>
      <c r="H784" s="28">
        <f>'TN post'!AB51</f>
        <v>74.237913068615072</v>
      </c>
      <c r="I784" s="2">
        <f>'TN post'!AF51</f>
        <v>144826.33000000002</v>
      </c>
      <c r="J784" s="27">
        <f>'TN post'!AG51</f>
        <v>92</v>
      </c>
      <c r="K784" s="29">
        <f>'TN post'!AL51</f>
        <v>283682</v>
      </c>
      <c r="L784" s="41">
        <v>1925</v>
      </c>
      <c r="N784" s="4" t="s">
        <v>398</v>
      </c>
      <c r="O784" s="4" t="s">
        <v>458</v>
      </c>
      <c r="P784" s="4" t="s">
        <v>459</v>
      </c>
      <c r="Q784" s="4" t="s">
        <v>460</v>
      </c>
      <c r="R784" s="4" t="s">
        <v>383</v>
      </c>
      <c r="S784" s="4" t="s">
        <v>461</v>
      </c>
      <c r="T784" s="4" t="s">
        <v>462</v>
      </c>
      <c r="U784" s="4" t="s">
        <v>463</v>
      </c>
    </row>
    <row r="785" spans="1:21" x14ac:dyDescent="0.25">
      <c r="A785" s="27" t="s">
        <v>1323</v>
      </c>
      <c r="B785" s="27" t="str">
        <f t="shared" si="53"/>
        <v>Tennessee</v>
      </c>
      <c r="C785" s="27" t="str">
        <f t="shared" si="54"/>
        <v>Lewis</v>
      </c>
      <c r="D785" s="27">
        <f>'TN post'!J52</f>
        <v>1192</v>
      </c>
      <c r="E785" s="27">
        <f>'TN post'!L52</f>
        <v>46</v>
      </c>
      <c r="F785" s="2">
        <f>'TN post'!Q52</f>
        <v>140.06040268456377</v>
      </c>
      <c r="G785" s="2">
        <f>'TN post'!U52</f>
        <v>1600</v>
      </c>
      <c r="H785" s="28">
        <f>'TN post'!AB52</f>
        <v>81.220764937383706</v>
      </c>
      <c r="I785" s="2">
        <f>'TN post'!AF52</f>
        <v>50246.41</v>
      </c>
      <c r="J785" s="27">
        <f>'TN post'!AG52</f>
        <v>31</v>
      </c>
      <c r="K785" s="29">
        <f>'TN post'!AL52</f>
        <v>26790</v>
      </c>
      <c r="L785" s="41">
        <v>1925</v>
      </c>
      <c r="N785" s="4" t="s">
        <v>398</v>
      </c>
      <c r="O785" s="4" t="s">
        <v>458</v>
      </c>
      <c r="P785" s="4" t="s">
        <v>459</v>
      </c>
      <c r="Q785" s="4" t="s">
        <v>460</v>
      </c>
      <c r="R785" s="4" t="s">
        <v>383</v>
      </c>
      <c r="S785" s="4" t="s">
        <v>461</v>
      </c>
      <c r="T785" s="4" t="s">
        <v>462</v>
      </c>
      <c r="U785" s="4" t="s">
        <v>463</v>
      </c>
    </row>
    <row r="786" spans="1:21" x14ac:dyDescent="0.25">
      <c r="A786" s="27" t="s">
        <v>1324</v>
      </c>
      <c r="B786" s="27" t="str">
        <f t="shared" si="53"/>
        <v>Tennessee</v>
      </c>
      <c r="C786" s="27" t="str">
        <f t="shared" si="54"/>
        <v>Lincoln</v>
      </c>
      <c r="D786" s="27">
        <f>'TN post'!J53</f>
        <v>5763</v>
      </c>
      <c r="E786" s="27">
        <f>'TN post'!L53</f>
        <v>142</v>
      </c>
      <c r="F786" s="2">
        <f>'TN post'!Q53</f>
        <v>156.66597258372374</v>
      </c>
      <c r="G786" s="2">
        <f>'TN post'!U53</f>
        <v>7291</v>
      </c>
      <c r="H786" s="28">
        <f>'TN post'!AB53</f>
        <v>95.22097025581418</v>
      </c>
      <c r="I786" s="2">
        <f>'TN post'!AF53</f>
        <v>194373.38</v>
      </c>
      <c r="J786" s="27">
        <f>'TN post'!AG53</f>
        <v>66</v>
      </c>
      <c r="K786" s="29">
        <f>'TN post'!AL53</f>
        <v>327255</v>
      </c>
      <c r="L786" s="41">
        <v>1925</v>
      </c>
      <c r="N786" s="4" t="s">
        <v>398</v>
      </c>
      <c r="O786" s="4" t="s">
        <v>458</v>
      </c>
      <c r="P786" s="4" t="s">
        <v>459</v>
      </c>
      <c r="Q786" s="4" t="s">
        <v>460</v>
      </c>
      <c r="R786" s="4" t="s">
        <v>383</v>
      </c>
      <c r="S786" s="4" t="s">
        <v>461</v>
      </c>
      <c r="T786" s="4" t="s">
        <v>462</v>
      </c>
      <c r="U786" s="4" t="s">
        <v>463</v>
      </c>
    </row>
    <row r="787" spans="1:21" x14ac:dyDescent="0.25">
      <c r="A787" s="27" t="s">
        <v>1325</v>
      </c>
      <c r="B787" s="27" t="str">
        <f t="shared" si="53"/>
        <v>Tennessee</v>
      </c>
      <c r="C787" s="27" t="str">
        <f t="shared" si="54"/>
        <v>Loudon</v>
      </c>
      <c r="D787" s="27">
        <f>'TN post'!J54</f>
        <v>4771</v>
      </c>
      <c r="E787" s="27">
        <f>'TN post'!L54</f>
        <v>118</v>
      </c>
      <c r="F787" s="2">
        <f>'TN post'!Q54</f>
        <v>163.32928107315027</v>
      </c>
      <c r="G787" s="2">
        <f>'TN post'!U54</f>
        <v>4495</v>
      </c>
      <c r="H787" s="28">
        <f>'TN post'!AB54</f>
        <v>72.996283520864083</v>
      </c>
      <c r="I787" s="2">
        <f>'TN post'!AF54</f>
        <v>241155.1</v>
      </c>
      <c r="J787" s="27">
        <f>'TN post'!AG54</f>
        <v>40</v>
      </c>
      <c r="K787" s="29">
        <f>'TN post'!AL54</f>
        <v>259350</v>
      </c>
      <c r="L787" s="41">
        <v>1925</v>
      </c>
      <c r="N787" s="4" t="s">
        <v>398</v>
      </c>
      <c r="O787" s="4" t="s">
        <v>458</v>
      </c>
      <c r="P787" s="4" t="s">
        <v>459</v>
      </c>
      <c r="Q787" s="4" t="s">
        <v>460</v>
      </c>
      <c r="R787" s="4" t="s">
        <v>383</v>
      </c>
      <c r="S787" s="4" t="s">
        <v>461</v>
      </c>
      <c r="T787" s="4" t="s">
        <v>462</v>
      </c>
      <c r="U787" s="4" t="s">
        <v>463</v>
      </c>
    </row>
    <row r="788" spans="1:21" x14ac:dyDescent="0.25">
      <c r="A788" s="27" t="s">
        <v>1326</v>
      </c>
      <c r="B788" s="27" t="str">
        <f t="shared" si="53"/>
        <v>Tennessee</v>
      </c>
      <c r="C788" s="27" t="str">
        <f t="shared" si="54"/>
        <v>McMinn</v>
      </c>
      <c r="D788" s="27">
        <f>'TN post'!J55</f>
        <v>8341</v>
      </c>
      <c r="E788" s="27">
        <f>'TN post'!L55</f>
        <v>176</v>
      </c>
      <c r="F788" s="2">
        <f>'TN post'!Q55</f>
        <v>122.92650761299605</v>
      </c>
      <c r="G788" s="2">
        <f>'TN post'!U55</f>
        <v>8573</v>
      </c>
      <c r="H788" s="28">
        <f>'TN post'!AB55</f>
        <v>103.69559623487073</v>
      </c>
      <c r="I788" s="2">
        <f>'TN post'!AF55</f>
        <v>223222.86</v>
      </c>
      <c r="J788" s="27">
        <f>'TN post'!AG55</f>
        <v>88</v>
      </c>
      <c r="K788" s="29">
        <f>'TN post'!AL55</f>
        <v>522689</v>
      </c>
      <c r="L788" s="41">
        <v>1925</v>
      </c>
      <c r="N788" s="4" t="s">
        <v>398</v>
      </c>
      <c r="O788" s="4" t="s">
        <v>458</v>
      </c>
      <c r="P788" s="4" t="s">
        <v>459</v>
      </c>
      <c r="Q788" s="4" t="s">
        <v>460</v>
      </c>
      <c r="R788" s="4" t="s">
        <v>383</v>
      </c>
      <c r="S788" s="4" t="s">
        <v>461</v>
      </c>
      <c r="T788" s="4" t="s">
        <v>462</v>
      </c>
      <c r="U788" s="4" t="s">
        <v>463</v>
      </c>
    </row>
    <row r="789" spans="1:21" x14ac:dyDescent="0.25">
      <c r="A789" s="27" t="s">
        <v>1327</v>
      </c>
      <c r="B789" s="27" t="str">
        <f t="shared" si="53"/>
        <v>Tennessee</v>
      </c>
      <c r="C789" s="27" t="str">
        <f t="shared" si="54"/>
        <v>McNairy</v>
      </c>
      <c r="D789" s="27">
        <f>'TN post'!J56</f>
        <v>3940</v>
      </c>
      <c r="E789" s="27">
        <f>'TN post'!L56</f>
        <v>150</v>
      </c>
      <c r="F789" s="2">
        <f>'TN post'!Q56</f>
        <v>122.90786802030456</v>
      </c>
      <c r="G789" s="2">
        <f>'TN post'!U56</f>
        <v>5604</v>
      </c>
      <c r="H789" s="28">
        <f>'TN post'!AB56</f>
        <v>72.923978025442423</v>
      </c>
      <c r="I789" s="2">
        <f>'TN post'!AF56</f>
        <v>91306.14</v>
      </c>
      <c r="J789" s="27">
        <f>'TN post'!AG56</f>
        <v>98</v>
      </c>
      <c r="K789" s="29">
        <f>'TN post'!AL56</f>
        <v>176090</v>
      </c>
      <c r="L789" s="41">
        <v>1925</v>
      </c>
      <c r="N789" s="4" t="s">
        <v>398</v>
      </c>
      <c r="O789" s="4" t="s">
        <v>458</v>
      </c>
      <c r="P789" s="4" t="s">
        <v>459</v>
      </c>
      <c r="Q789" s="4" t="s">
        <v>460</v>
      </c>
      <c r="R789" s="4" t="s">
        <v>383</v>
      </c>
      <c r="S789" s="4" t="s">
        <v>461</v>
      </c>
      <c r="T789" s="4" t="s">
        <v>462</v>
      </c>
      <c r="U789" s="4" t="s">
        <v>463</v>
      </c>
    </row>
    <row r="790" spans="1:21" x14ac:dyDescent="0.25">
      <c r="A790" s="27" t="s">
        <v>1328</v>
      </c>
      <c r="B790" s="27" t="str">
        <f t="shared" si="53"/>
        <v>Tennessee</v>
      </c>
      <c r="C790" s="27" t="str">
        <f t="shared" si="54"/>
        <v>Macon</v>
      </c>
      <c r="D790" s="27">
        <f>'TN post'!J57</f>
        <v>2300</v>
      </c>
      <c r="E790" s="27">
        <f>'TN post'!L57</f>
        <v>80</v>
      </c>
      <c r="F790" s="2">
        <f>'TN post'!Q57</f>
        <v>123.41739130434783</v>
      </c>
      <c r="G790" s="2">
        <f>'TN post'!U57</f>
        <v>3642</v>
      </c>
      <c r="H790" s="28">
        <f>'TN post'!AB57</f>
        <v>73.060327274008316</v>
      </c>
      <c r="I790" s="2">
        <f>'TN post'!AF57</f>
        <v>58657.78</v>
      </c>
      <c r="J790" s="27">
        <f>'TN post'!AG57</f>
        <v>59</v>
      </c>
      <c r="K790" s="29">
        <f>'TN post'!AL57</f>
        <v>68285</v>
      </c>
      <c r="L790" s="41">
        <v>1925</v>
      </c>
      <c r="N790" s="4" t="s">
        <v>398</v>
      </c>
      <c r="O790" s="4" t="s">
        <v>458</v>
      </c>
      <c r="P790" s="4" t="s">
        <v>459</v>
      </c>
      <c r="Q790" s="4" t="s">
        <v>460</v>
      </c>
      <c r="R790" s="4" t="s">
        <v>383</v>
      </c>
      <c r="S790" s="4" t="s">
        <v>461</v>
      </c>
      <c r="T790" s="4" t="s">
        <v>462</v>
      </c>
      <c r="U790" s="4" t="s">
        <v>463</v>
      </c>
    </row>
    <row r="791" spans="1:21" x14ac:dyDescent="0.25">
      <c r="A791" s="27" t="s">
        <v>1329</v>
      </c>
      <c r="B791" s="27" t="str">
        <f t="shared" si="53"/>
        <v>Tennessee</v>
      </c>
      <c r="C791" s="27" t="str">
        <f t="shared" si="54"/>
        <v>Madison</v>
      </c>
      <c r="D791" s="27">
        <f>'TN post'!J58</f>
        <v>13322</v>
      </c>
      <c r="E791" s="27">
        <f>'TN post'!L58</f>
        <v>310</v>
      </c>
      <c r="F791" s="2">
        <f>'TN post'!Q58</f>
        <v>133.34033928839514</v>
      </c>
      <c r="G791" s="2">
        <f>'TN post'!U58</f>
        <v>13491</v>
      </c>
      <c r="H791" s="28">
        <f>'TN post'!AB58</f>
        <v>97.27558384852243</v>
      </c>
      <c r="I791" s="2">
        <f>'TN post'!AF58</f>
        <v>438822.93</v>
      </c>
      <c r="J791" s="27">
        <f>'TN post'!AG58</f>
        <v>99</v>
      </c>
      <c r="K791" s="29">
        <f>'TN post'!AL58</f>
        <v>769105</v>
      </c>
      <c r="L791" s="41">
        <v>1925</v>
      </c>
      <c r="N791" s="4" t="s">
        <v>398</v>
      </c>
      <c r="O791" s="4" t="s">
        <v>458</v>
      </c>
      <c r="P791" s="4" t="s">
        <v>459</v>
      </c>
      <c r="Q791" s="4" t="s">
        <v>460</v>
      </c>
      <c r="R791" s="4" t="s">
        <v>383</v>
      </c>
      <c r="S791" s="4" t="s">
        <v>461</v>
      </c>
      <c r="T791" s="4" t="s">
        <v>462</v>
      </c>
      <c r="U791" s="4" t="s">
        <v>463</v>
      </c>
    </row>
    <row r="792" spans="1:21" x14ac:dyDescent="0.25">
      <c r="A792" s="27" t="s">
        <v>1330</v>
      </c>
      <c r="B792" s="27" t="str">
        <f t="shared" si="53"/>
        <v>Tennessee</v>
      </c>
      <c r="C792" s="27" t="str">
        <f t="shared" si="54"/>
        <v>Marion</v>
      </c>
      <c r="D792" s="27">
        <f>'TN post'!J59</f>
        <v>5061</v>
      </c>
      <c r="E792" s="27">
        <f>'TN post'!L59</f>
        <v>141</v>
      </c>
      <c r="F792" s="2">
        <f>'TN post'!Q59</f>
        <v>123.1649871566884</v>
      </c>
      <c r="G792" s="2">
        <f>'TN post'!U59</f>
        <v>4797</v>
      </c>
      <c r="H792" s="28">
        <f>'TN post'!AB59</f>
        <v>107.31240104494381</v>
      </c>
      <c r="I792" s="2">
        <f>'TN post'!AF59</f>
        <v>196631.47</v>
      </c>
      <c r="J792" s="27">
        <f>'TN post'!AG59</f>
        <v>56</v>
      </c>
      <c r="K792" s="29">
        <f>'TN post'!AL59</f>
        <v>547825</v>
      </c>
      <c r="L792" s="41">
        <v>1925</v>
      </c>
      <c r="N792" s="4" t="s">
        <v>398</v>
      </c>
      <c r="O792" s="4" t="s">
        <v>458</v>
      </c>
      <c r="P792" s="4" t="s">
        <v>459</v>
      </c>
      <c r="Q792" s="4" t="s">
        <v>460</v>
      </c>
      <c r="R792" s="4" t="s">
        <v>383</v>
      </c>
      <c r="S792" s="4" t="s">
        <v>461</v>
      </c>
      <c r="T792" s="4" t="s">
        <v>462</v>
      </c>
      <c r="U792" s="4" t="s">
        <v>463</v>
      </c>
    </row>
    <row r="793" spans="1:21" x14ac:dyDescent="0.25">
      <c r="A793" s="27" t="s">
        <v>1331</v>
      </c>
      <c r="B793" s="27" t="str">
        <f t="shared" si="53"/>
        <v>Tennessee</v>
      </c>
      <c r="C793" s="27" t="str">
        <f t="shared" si="54"/>
        <v>Marshall</v>
      </c>
      <c r="D793" s="27">
        <f>'TN post'!J60</f>
        <v>2771</v>
      </c>
      <c r="E793" s="27">
        <f>'TN post'!L60</f>
        <v>96</v>
      </c>
      <c r="F793" s="2">
        <f>'TN post'!Q60</f>
        <v>161.78996752075062</v>
      </c>
      <c r="G793" s="2">
        <f>'TN post'!U60</f>
        <v>3628</v>
      </c>
      <c r="H793" s="28">
        <f>'TN post'!AB60</f>
        <v>78.247538216749945</v>
      </c>
      <c r="I793" s="2">
        <f>'TN post'!AF60</f>
        <v>124869.65</v>
      </c>
      <c r="J793" s="27">
        <f>'TN post'!AG60</f>
        <v>49</v>
      </c>
      <c r="K793" s="29">
        <f>'TN post'!AL60</f>
        <v>230785</v>
      </c>
      <c r="L793" s="41">
        <v>1925</v>
      </c>
      <c r="N793" s="4" t="s">
        <v>398</v>
      </c>
      <c r="O793" s="4" t="s">
        <v>458</v>
      </c>
      <c r="P793" s="4" t="s">
        <v>459</v>
      </c>
      <c r="Q793" s="4" t="s">
        <v>460</v>
      </c>
      <c r="R793" s="4" t="s">
        <v>383</v>
      </c>
      <c r="S793" s="4" t="s">
        <v>461</v>
      </c>
      <c r="T793" s="4" t="s">
        <v>462</v>
      </c>
      <c r="U793" s="4" t="s">
        <v>463</v>
      </c>
    </row>
    <row r="794" spans="1:21" x14ac:dyDescent="0.25">
      <c r="A794" s="27" t="s">
        <v>1332</v>
      </c>
      <c r="B794" s="27" t="str">
        <f t="shared" si="53"/>
        <v>Tennessee</v>
      </c>
      <c r="C794" s="27" t="str">
        <f t="shared" si="54"/>
        <v>Maury</v>
      </c>
      <c r="D794" s="27">
        <f>'TN post'!J61</f>
        <v>8755</v>
      </c>
      <c r="E794" s="27">
        <f>'TN post'!L61</f>
        <v>240</v>
      </c>
      <c r="F794" s="2">
        <f>'TN post'!Q61</f>
        <v>159.22067390062821</v>
      </c>
      <c r="G794" s="2">
        <f>'TN post'!U61</f>
        <v>9172</v>
      </c>
      <c r="H794" s="28">
        <f>'TN post'!AB61</f>
        <v>93.560646376637976</v>
      </c>
      <c r="I794" s="2">
        <f>'TN post'!AF61</f>
        <v>256483.38</v>
      </c>
      <c r="J794" s="27">
        <f>'TN post'!AG61</f>
        <v>90</v>
      </c>
      <c r="K794" s="29">
        <f>'TN post'!AL61</f>
        <v>595550</v>
      </c>
      <c r="L794" s="41">
        <v>1925</v>
      </c>
      <c r="N794" s="4" t="s">
        <v>398</v>
      </c>
      <c r="O794" s="4" t="s">
        <v>458</v>
      </c>
      <c r="P794" s="4" t="s">
        <v>459</v>
      </c>
      <c r="Q794" s="4" t="s">
        <v>460</v>
      </c>
      <c r="R794" s="4" t="s">
        <v>383</v>
      </c>
      <c r="S794" s="4" t="s">
        <v>461</v>
      </c>
      <c r="T794" s="4" t="s">
        <v>462</v>
      </c>
      <c r="U794" s="4" t="s">
        <v>463</v>
      </c>
    </row>
    <row r="795" spans="1:21" x14ac:dyDescent="0.25">
      <c r="A795" s="27" t="s">
        <v>1333</v>
      </c>
      <c r="B795" s="27" t="str">
        <f t="shared" si="53"/>
        <v>Tennessee</v>
      </c>
      <c r="C795" s="27" t="str">
        <f t="shared" si="54"/>
        <v>Meigs</v>
      </c>
      <c r="D795" s="27">
        <f>'TN post'!J62</f>
        <v>1243</v>
      </c>
      <c r="E795" s="27">
        <f>'TN post'!L62</f>
        <v>44</v>
      </c>
      <c r="F795" s="2">
        <f>'TN post'!Q62</f>
        <v>118.67739340305712</v>
      </c>
      <c r="G795" s="2">
        <f>'TN post'!U62</f>
        <v>1743</v>
      </c>
      <c r="H795" s="28">
        <f>'TN post'!AB62</f>
        <v>84.423369668374946</v>
      </c>
      <c r="I795" s="2">
        <f>'TN post'!AF62</f>
        <v>37532.78</v>
      </c>
      <c r="J795" s="27">
        <f>'TN post'!AG62</f>
        <v>25</v>
      </c>
      <c r="K795" s="29">
        <f>'TN post'!AL62</f>
        <v>59920</v>
      </c>
      <c r="L795" s="41">
        <v>1925</v>
      </c>
      <c r="N795" s="4" t="s">
        <v>398</v>
      </c>
      <c r="O795" s="4" t="s">
        <v>458</v>
      </c>
      <c r="P795" s="4" t="s">
        <v>459</v>
      </c>
      <c r="Q795" s="4" t="s">
        <v>460</v>
      </c>
      <c r="R795" s="4" t="s">
        <v>383</v>
      </c>
      <c r="S795" s="4" t="s">
        <v>461</v>
      </c>
      <c r="T795" s="4" t="s">
        <v>462</v>
      </c>
      <c r="U795" s="4" t="s">
        <v>463</v>
      </c>
    </row>
    <row r="796" spans="1:21" x14ac:dyDescent="0.25">
      <c r="A796" s="27" t="s">
        <v>1334</v>
      </c>
      <c r="B796" s="27" t="str">
        <f t="shared" si="53"/>
        <v>Tennessee</v>
      </c>
      <c r="C796" s="27" t="str">
        <f t="shared" si="54"/>
        <v>Monroe</v>
      </c>
      <c r="D796" s="27">
        <f>'TN post'!J63</f>
        <v>5597</v>
      </c>
      <c r="E796" s="27">
        <f>'TN post'!L63</f>
        <v>160</v>
      </c>
      <c r="F796" s="2">
        <f>'TN post'!Q63</f>
        <v>147.19689119170985</v>
      </c>
      <c r="G796" s="2">
        <f>'TN post'!U63</f>
        <v>6608</v>
      </c>
      <c r="H796" s="28">
        <f>'TN post'!AB63</f>
        <v>80.88807890985251</v>
      </c>
      <c r="I796" s="2">
        <f>'TN post'!AF63</f>
        <v>313288.09999999998</v>
      </c>
      <c r="J796" s="27">
        <f>'TN post'!AG63</f>
        <v>85</v>
      </c>
      <c r="K796" s="29">
        <f>'TN post'!AL63</f>
        <v>219340</v>
      </c>
      <c r="L796" s="41">
        <v>1925</v>
      </c>
      <c r="N796" s="4" t="s">
        <v>398</v>
      </c>
      <c r="O796" s="4" t="s">
        <v>458</v>
      </c>
      <c r="P796" s="4" t="s">
        <v>459</v>
      </c>
      <c r="Q796" s="4" t="s">
        <v>460</v>
      </c>
      <c r="R796" s="4" t="s">
        <v>383</v>
      </c>
      <c r="S796" s="4" t="s">
        <v>461</v>
      </c>
      <c r="T796" s="4" t="s">
        <v>462</v>
      </c>
      <c r="U796" s="4" t="s">
        <v>463</v>
      </c>
    </row>
    <row r="797" spans="1:21" x14ac:dyDescent="0.25">
      <c r="A797" s="27" t="s">
        <v>1335</v>
      </c>
      <c r="B797" s="27" t="str">
        <f t="shared" si="53"/>
        <v>Tennessee</v>
      </c>
      <c r="C797" s="27" t="str">
        <f t="shared" si="54"/>
        <v>Montgomery</v>
      </c>
      <c r="D797" s="27">
        <f>'TN post'!J64</f>
        <v>7991</v>
      </c>
      <c r="E797" s="27">
        <f>'TN post'!L64</f>
        <v>217</v>
      </c>
      <c r="F797" s="2">
        <f>'TN post'!Q64</f>
        <v>158.26642472781879</v>
      </c>
      <c r="G797" s="2">
        <f>'TN post'!U64</f>
        <v>8923</v>
      </c>
      <c r="H797" s="28">
        <f>'TN post'!AB64</f>
        <v>78.810058397198418</v>
      </c>
      <c r="I797" s="2">
        <f>'TN post'!AF64</f>
        <v>305673.87</v>
      </c>
      <c r="J797" s="27">
        <f>'TN post'!AG64</f>
        <v>97</v>
      </c>
      <c r="K797" s="29">
        <f>'TN post'!AL64</f>
        <v>552136</v>
      </c>
      <c r="L797" s="41">
        <v>1925</v>
      </c>
      <c r="N797" s="4" t="s">
        <v>398</v>
      </c>
      <c r="O797" s="4" t="s">
        <v>458</v>
      </c>
      <c r="P797" s="4" t="s">
        <v>459</v>
      </c>
      <c r="Q797" s="4" t="s">
        <v>460</v>
      </c>
      <c r="R797" s="4" t="s">
        <v>383</v>
      </c>
      <c r="S797" s="4" t="s">
        <v>461</v>
      </c>
      <c r="T797" s="4" t="s">
        <v>462</v>
      </c>
      <c r="U797" s="4" t="s">
        <v>463</v>
      </c>
    </row>
    <row r="798" spans="1:21" x14ac:dyDescent="0.25">
      <c r="A798" s="27" t="s">
        <v>1336</v>
      </c>
      <c r="B798" s="27" t="str">
        <f t="shared" si="53"/>
        <v>Tennessee</v>
      </c>
      <c r="C798" s="27" t="str">
        <f t="shared" si="54"/>
        <v>Moore</v>
      </c>
      <c r="D798" s="27">
        <f>'TN post'!J65</f>
        <v>925</v>
      </c>
      <c r="E798" s="27">
        <f>'TN post'!L65</f>
        <v>32</v>
      </c>
      <c r="F798" s="2">
        <f>'TN post'!Q65</f>
        <v>166.18918918918919</v>
      </c>
      <c r="G798" s="2">
        <f>'TN post'!U65</f>
        <v>1136</v>
      </c>
      <c r="H798" s="28">
        <f>'TN post'!AB65</f>
        <v>81.289132379248656</v>
      </c>
      <c r="I798" s="2">
        <f>'TN post'!AF65</f>
        <v>44658.020000000004</v>
      </c>
      <c r="J798" s="27">
        <f>'TN post'!AG65</f>
        <v>20</v>
      </c>
      <c r="K798" s="29">
        <f>'TN post'!AL65</f>
        <v>21682</v>
      </c>
      <c r="L798" s="41">
        <v>1925</v>
      </c>
      <c r="N798" s="4" t="s">
        <v>398</v>
      </c>
      <c r="O798" s="4" t="s">
        <v>458</v>
      </c>
      <c r="P798" s="4" t="s">
        <v>459</v>
      </c>
      <c r="Q798" s="4" t="s">
        <v>460</v>
      </c>
      <c r="R798" s="4" t="s">
        <v>383</v>
      </c>
      <c r="S798" s="4" t="s">
        <v>461</v>
      </c>
      <c r="T798" s="4" t="s">
        <v>462</v>
      </c>
      <c r="U798" s="4" t="s">
        <v>463</v>
      </c>
    </row>
    <row r="799" spans="1:21" x14ac:dyDescent="0.25">
      <c r="A799" s="27" t="s">
        <v>1337</v>
      </c>
      <c r="B799" s="27" t="str">
        <f t="shared" si="53"/>
        <v>Tennessee</v>
      </c>
      <c r="C799" s="27" t="str">
        <f t="shared" si="54"/>
        <v>Morgan</v>
      </c>
      <c r="D799" s="27">
        <f>'TN post'!J66</f>
        <v>3064</v>
      </c>
      <c r="E799" s="27">
        <f>'TN post'!L66</f>
        <v>93</v>
      </c>
      <c r="F799" s="2">
        <f>'TN post'!Q66</f>
        <v>125.90992167101828</v>
      </c>
      <c r="G799" s="2">
        <f>'TN post'!U66</f>
        <v>3704</v>
      </c>
      <c r="H799" s="28">
        <f>'TN post'!AB66</f>
        <v>105.00604758020199</v>
      </c>
      <c r="I799" s="2">
        <f>'TN post'!AF66</f>
        <v>103612.57</v>
      </c>
      <c r="J799" s="27">
        <f>'TN post'!AG66</f>
        <v>53</v>
      </c>
      <c r="K799" s="29">
        <f>'TN post'!AL66</f>
        <v>490822</v>
      </c>
      <c r="L799" s="41">
        <v>1925</v>
      </c>
      <c r="N799" s="4" t="s">
        <v>398</v>
      </c>
      <c r="O799" s="4" t="s">
        <v>458</v>
      </c>
      <c r="P799" s="4" t="s">
        <v>459</v>
      </c>
      <c r="Q799" s="4" t="s">
        <v>460</v>
      </c>
      <c r="R799" s="4" t="s">
        <v>383</v>
      </c>
      <c r="S799" s="4" t="s">
        <v>461</v>
      </c>
      <c r="T799" s="4" t="s">
        <v>462</v>
      </c>
      <c r="U799" s="4" t="s">
        <v>463</v>
      </c>
    </row>
    <row r="800" spans="1:21" x14ac:dyDescent="0.25">
      <c r="A800" s="27" t="s">
        <v>1338</v>
      </c>
      <c r="B800" s="27" t="str">
        <f t="shared" si="53"/>
        <v>Tennessee</v>
      </c>
      <c r="C800" s="27" t="str">
        <f t="shared" si="54"/>
        <v>Obion</v>
      </c>
      <c r="D800" s="27">
        <f>'TN post'!J67</f>
        <v>7166</v>
      </c>
      <c r="E800" s="27">
        <f>'TN post'!L67</f>
        <v>227</v>
      </c>
      <c r="F800" s="2">
        <f>'TN post'!Q67</f>
        <v>157.2242534189227</v>
      </c>
      <c r="G800" s="2">
        <f>'TN post'!U67</f>
        <v>9285</v>
      </c>
      <c r="H800" s="28">
        <f>'TN post'!AB67</f>
        <v>95.411448974281967</v>
      </c>
      <c r="I800" s="2">
        <f>'TN post'!AF67</f>
        <v>315237.61</v>
      </c>
      <c r="J800" s="27">
        <f>'TN post'!AG67</f>
        <v>88</v>
      </c>
      <c r="K800" s="29">
        <f>'TN post'!AL67</f>
        <v>609840</v>
      </c>
      <c r="L800" s="41">
        <v>1925</v>
      </c>
      <c r="N800" s="4" t="s">
        <v>398</v>
      </c>
      <c r="O800" s="4" t="s">
        <v>458</v>
      </c>
      <c r="P800" s="4" t="s">
        <v>459</v>
      </c>
      <c r="Q800" s="4" t="s">
        <v>460</v>
      </c>
      <c r="R800" s="4" t="s">
        <v>383</v>
      </c>
      <c r="S800" s="4" t="s">
        <v>461</v>
      </c>
      <c r="T800" s="4" t="s">
        <v>462</v>
      </c>
      <c r="U800" s="4" t="s">
        <v>463</v>
      </c>
    </row>
    <row r="801" spans="1:21" x14ac:dyDescent="0.25">
      <c r="A801" s="27" t="s">
        <v>1339</v>
      </c>
      <c r="B801" s="27" t="str">
        <f t="shared" si="53"/>
        <v>Tennessee</v>
      </c>
      <c r="C801" s="27" t="str">
        <f t="shared" si="54"/>
        <v>Overton</v>
      </c>
      <c r="D801" s="27">
        <f>'TN post'!J68</f>
        <v>4739</v>
      </c>
      <c r="E801" s="27">
        <f>'TN post'!L68</f>
        <v>130</v>
      </c>
      <c r="F801" s="2">
        <f>'TN post'!Q68</f>
        <v>108.25195188858409</v>
      </c>
      <c r="G801" s="2">
        <f>'TN post'!U68</f>
        <v>6089</v>
      </c>
      <c r="H801" s="28">
        <f>'TN post'!AB68</f>
        <v>67.194865845023841</v>
      </c>
      <c r="I801" s="2">
        <f>'TN post'!AF68</f>
        <v>100709.78</v>
      </c>
      <c r="J801" s="27">
        <f>'TN post'!AG68</f>
        <v>76</v>
      </c>
      <c r="K801" s="29">
        <f>'TN post'!AL68</f>
        <v>303205</v>
      </c>
      <c r="L801" s="41">
        <v>1925</v>
      </c>
      <c r="N801" s="4" t="s">
        <v>398</v>
      </c>
      <c r="O801" s="4" t="s">
        <v>458</v>
      </c>
      <c r="P801" s="4" t="s">
        <v>459</v>
      </c>
      <c r="Q801" s="4" t="s">
        <v>460</v>
      </c>
      <c r="R801" s="4" t="s">
        <v>383</v>
      </c>
      <c r="S801" s="4" t="s">
        <v>461</v>
      </c>
      <c r="T801" s="4" t="s">
        <v>462</v>
      </c>
      <c r="U801" s="4" t="s">
        <v>463</v>
      </c>
    </row>
    <row r="802" spans="1:21" x14ac:dyDescent="0.25">
      <c r="A802" s="27" t="s">
        <v>1340</v>
      </c>
      <c r="B802" s="27" t="str">
        <f t="shared" si="53"/>
        <v>Tennessee</v>
      </c>
      <c r="C802" s="27" t="str">
        <f t="shared" si="54"/>
        <v>Perry</v>
      </c>
      <c r="D802" s="27">
        <f>'TN post'!J69</f>
        <v>1484</v>
      </c>
      <c r="E802" s="27">
        <f>'TN post'!L69</f>
        <v>61</v>
      </c>
      <c r="F802" s="2">
        <f>'TN post'!Q69</f>
        <v>110.66576819407008</v>
      </c>
      <c r="G802" s="2">
        <f>'TN post'!U69</f>
        <v>1980</v>
      </c>
      <c r="H802" s="28">
        <f>'TN post'!AB69</f>
        <v>84.920035680104078</v>
      </c>
      <c r="I802" s="2">
        <f>'TN post'!AF69</f>
        <v>54981.33</v>
      </c>
      <c r="J802" s="27">
        <f>'TN post'!AG69</f>
        <v>43</v>
      </c>
      <c r="K802" s="29">
        <f>'TN post'!AL69</f>
        <v>52230</v>
      </c>
      <c r="L802" s="41">
        <v>1925</v>
      </c>
      <c r="N802" s="4" t="s">
        <v>398</v>
      </c>
      <c r="O802" s="4" t="s">
        <v>458</v>
      </c>
      <c r="P802" s="4" t="s">
        <v>459</v>
      </c>
      <c r="Q802" s="4" t="s">
        <v>460</v>
      </c>
      <c r="R802" s="4" t="s">
        <v>383</v>
      </c>
      <c r="S802" s="4" t="s">
        <v>461</v>
      </c>
      <c r="T802" s="4" t="s">
        <v>462</v>
      </c>
      <c r="U802" s="4" t="s">
        <v>463</v>
      </c>
    </row>
    <row r="803" spans="1:21" x14ac:dyDescent="0.25">
      <c r="A803" s="27" t="s">
        <v>1341</v>
      </c>
      <c r="B803" s="27" t="str">
        <f t="shared" si="53"/>
        <v>Tennessee</v>
      </c>
      <c r="C803" s="27" t="str">
        <f t="shared" si="54"/>
        <v>Pickett</v>
      </c>
      <c r="D803" s="27">
        <f>'TN post'!J70</f>
        <v>1058</v>
      </c>
      <c r="E803" s="27">
        <f>'TN post'!L70</f>
        <v>40</v>
      </c>
      <c r="F803" s="2">
        <f>'TN post'!Q70</f>
        <v>119.34782608695652</v>
      </c>
      <c r="G803" s="2">
        <f>'TN post'!U70</f>
        <v>1707</v>
      </c>
      <c r="H803" s="28">
        <f>'TN post'!AB70</f>
        <v>73.07116757741349</v>
      </c>
      <c r="I803" s="2">
        <f>'TN post'!AF70</f>
        <v>36587.360000000001</v>
      </c>
      <c r="J803" s="27">
        <f>'TN post'!AG70</f>
        <v>32</v>
      </c>
      <c r="K803" s="29">
        <f>'TN post'!AL70</f>
        <v>31580</v>
      </c>
      <c r="L803" s="41">
        <v>1925</v>
      </c>
      <c r="N803" s="4" t="s">
        <v>398</v>
      </c>
      <c r="O803" s="4" t="s">
        <v>458</v>
      </c>
      <c r="P803" s="4" t="s">
        <v>459</v>
      </c>
      <c r="Q803" s="4" t="s">
        <v>460</v>
      </c>
      <c r="R803" s="4" t="s">
        <v>383</v>
      </c>
      <c r="S803" s="4" t="s">
        <v>461</v>
      </c>
      <c r="T803" s="4" t="s">
        <v>462</v>
      </c>
      <c r="U803" s="4" t="s">
        <v>463</v>
      </c>
    </row>
    <row r="804" spans="1:21" x14ac:dyDescent="0.25">
      <c r="A804" s="27" t="s">
        <v>1342</v>
      </c>
      <c r="B804" s="27" t="str">
        <f t="shared" si="53"/>
        <v>Tennessee</v>
      </c>
      <c r="C804" s="27" t="str">
        <f t="shared" si="54"/>
        <v>Polk</v>
      </c>
      <c r="D804" s="27">
        <f>'TN post'!J71</f>
        <v>3117</v>
      </c>
      <c r="E804" s="27">
        <f>'TN post'!L71</f>
        <v>123</v>
      </c>
      <c r="F804" s="2">
        <f>'TN post'!Q71</f>
        <v>155.43214629451396</v>
      </c>
      <c r="G804" s="2">
        <f>'TN post'!U71</f>
        <v>4401</v>
      </c>
      <c r="H804" s="28">
        <f>'TN post'!AB71</f>
        <v>112.536743905812</v>
      </c>
      <c r="I804" s="2">
        <f>'TN post'!AF71</f>
        <v>224325.26</v>
      </c>
      <c r="J804" s="27">
        <f>'TN post'!AG71</f>
        <v>40</v>
      </c>
      <c r="K804" s="29">
        <f>'TN post'!AL71</f>
        <v>318175</v>
      </c>
      <c r="L804" s="41">
        <v>1925</v>
      </c>
      <c r="N804" s="4" t="s">
        <v>398</v>
      </c>
      <c r="O804" s="4" t="s">
        <v>458</v>
      </c>
      <c r="P804" s="4" t="s">
        <v>459</v>
      </c>
      <c r="Q804" s="4" t="s">
        <v>460</v>
      </c>
      <c r="R804" s="4" t="s">
        <v>383</v>
      </c>
      <c r="S804" s="4" t="s">
        <v>461</v>
      </c>
      <c r="T804" s="4" t="s">
        <v>462</v>
      </c>
      <c r="U804" s="4" t="s">
        <v>463</v>
      </c>
    </row>
    <row r="805" spans="1:21" x14ac:dyDescent="0.25">
      <c r="A805" s="27" t="s">
        <v>1343</v>
      </c>
      <c r="B805" s="27" t="str">
        <f t="shared" si="53"/>
        <v>Tennessee</v>
      </c>
      <c r="C805" s="27" t="str">
        <f t="shared" si="54"/>
        <v>Putnam</v>
      </c>
      <c r="D805" s="27">
        <f>'TN post'!J72</f>
        <v>5043</v>
      </c>
      <c r="E805" s="27">
        <f>'TN post'!L72</f>
        <v>152</v>
      </c>
      <c r="F805" s="2">
        <f>'TN post'!Q72</f>
        <v>144.65476898671426</v>
      </c>
      <c r="G805" s="2">
        <f>'TN post'!U72</f>
        <v>6914</v>
      </c>
      <c r="H805" s="28">
        <f>'TN post'!AB72</f>
        <v>73.818031288955453</v>
      </c>
      <c r="I805" s="2">
        <f>'TN post'!AF72</f>
        <v>146518.64000000001</v>
      </c>
      <c r="J805" s="27">
        <f>'TN post'!AG72</f>
        <v>71</v>
      </c>
      <c r="K805" s="29">
        <f>'TN post'!AL72</f>
        <v>501915</v>
      </c>
      <c r="L805" s="41">
        <v>1925</v>
      </c>
      <c r="N805" s="4" t="s">
        <v>398</v>
      </c>
      <c r="O805" s="4" t="s">
        <v>458</v>
      </c>
      <c r="P805" s="4" t="s">
        <v>459</v>
      </c>
      <c r="Q805" s="4" t="s">
        <v>460</v>
      </c>
      <c r="R805" s="4" t="s">
        <v>383</v>
      </c>
      <c r="S805" s="4" t="s">
        <v>461</v>
      </c>
      <c r="T805" s="4" t="s">
        <v>462</v>
      </c>
      <c r="U805" s="4" t="s">
        <v>463</v>
      </c>
    </row>
    <row r="806" spans="1:21" x14ac:dyDescent="0.25">
      <c r="A806" s="27" t="s">
        <v>1344</v>
      </c>
      <c r="B806" s="27" t="str">
        <f t="shared" si="53"/>
        <v>Tennessee</v>
      </c>
      <c r="C806" s="27" t="str">
        <f t="shared" si="54"/>
        <v>Rhea</v>
      </c>
      <c r="D806" s="27">
        <f>'TN post'!J73</f>
        <v>3494</v>
      </c>
      <c r="E806" s="27">
        <f>'TN post'!L73</f>
        <v>117</v>
      </c>
      <c r="F806" s="2">
        <f>'TN post'!Q73</f>
        <v>128.10875787063537</v>
      </c>
      <c r="G806" s="2">
        <f>'TN post'!U73</f>
        <v>4212</v>
      </c>
      <c r="H806" s="28">
        <f>'TN post'!AB73</f>
        <v>62.837460870224071</v>
      </c>
      <c r="I806" s="2">
        <f>'TN post'!AF73</f>
        <v>97791.83</v>
      </c>
      <c r="J806" s="27">
        <f>'TN post'!AG73</f>
        <v>49</v>
      </c>
      <c r="K806" s="29">
        <f>'TN post'!AL73</f>
        <v>279555</v>
      </c>
      <c r="L806" s="41">
        <v>1925</v>
      </c>
      <c r="N806" s="4" t="s">
        <v>398</v>
      </c>
      <c r="O806" s="4" t="s">
        <v>458</v>
      </c>
      <c r="P806" s="4" t="s">
        <v>459</v>
      </c>
      <c r="Q806" s="4" t="s">
        <v>460</v>
      </c>
      <c r="R806" s="4" t="s">
        <v>383</v>
      </c>
      <c r="S806" s="4" t="s">
        <v>461</v>
      </c>
      <c r="T806" s="4" t="s">
        <v>462</v>
      </c>
      <c r="U806" s="4" t="s">
        <v>463</v>
      </c>
    </row>
    <row r="807" spans="1:21" x14ac:dyDescent="0.25">
      <c r="A807" s="27" t="s">
        <v>1345</v>
      </c>
      <c r="B807" s="27" t="str">
        <f t="shared" si="53"/>
        <v>Tennessee</v>
      </c>
      <c r="C807" s="27" t="str">
        <f t="shared" si="54"/>
        <v>Roane</v>
      </c>
      <c r="D807" s="27">
        <f>'TN post'!J74</f>
        <v>7795</v>
      </c>
      <c r="E807" s="27">
        <f>'TN post'!L74</f>
        <v>176</v>
      </c>
      <c r="F807" s="2">
        <f>'TN post'!Q74</f>
        <v>142.23284156510584</v>
      </c>
      <c r="G807" s="2">
        <f>'TN post'!U74</f>
        <v>7255</v>
      </c>
      <c r="H807" s="28">
        <f>'TN post'!AB74</f>
        <v>111.38966224313296</v>
      </c>
      <c r="I807" s="2">
        <f>'TN post'!AF74</f>
        <v>241082.32</v>
      </c>
      <c r="J807" s="27">
        <f>'TN post'!AG74</f>
        <v>67</v>
      </c>
      <c r="K807" s="29">
        <f>'TN post'!AL74</f>
        <v>564940</v>
      </c>
      <c r="L807" s="41">
        <v>1925</v>
      </c>
      <c r="N807" s="4" t="s">
        <v>398</v>
      </c>
      <c r="O807" s="4" t="s">
        <v>458</v>
      </c>
      <c r="P807" s="4" t="s">
        <v>459</v>
      </c>
      <c r="Q807" s="4" t="s">
        <v>460</v>
      </c>
      <c r="R807" s="4" t="s">
        <v>383</v>
      </c>
      <c r="S807" s="4" t="s">
        <v>461</v>
      </c>
      <c r="T807" s="4" t="s">
        <v>462</v>
      </c>
      <c r="U807" s="4" t="s">
        <v>463</v>
      </c>
    </row>
    <row r="808" spans="1:21" x14ac:dyDescent="0.25">
      <c r="A808" s="27" t="s">
        <v>1346</v>
      </c>
      <c r="B808" s="27" t="str">
        <f t="shared" si="53"/>
        <v>Tennessee</v>
      </c>
      <c r="C808" s="27" t="str">
        <f t="shared" si="54"/>
        <v>Robertson</v>
      </c>
      <c r="D808" s="27">
        <f>'TN post'!J75</f>
        <v>5587</v>
      </c>
      <c r="E808" s="27">
        <f>'TN post'!L75</f>
        <v>189</v>
      </c>
      <c r="F808" s="2">
        <f>'TN post'!Q75</f>
        <v>151.39126543762305</v>
      </c>
      <c r="G808" s="2">
        <f>'TN post'!U75</f>
        <v>7221</v>
      </c>
      <c r="H808" s="28">
        <f>'TN post'!AB75</f>
        <v>78.431020404302757</v>
      </c>
      <c r="I808" s="2">
        <f>'TN post'!AF75</f>
        <v>230624.41</v>
      </c>
      <c r="J808" s="27">
        <f>'TN post'!AG75</f>
        <v>89</v>
      </c>
      <c r="K808" s="29">
        <f>'TN post'!AL75</f>
        <v>454085</v>
      </c>
      <c r="L808" s="41">
        <v>1925</v>
      </c>
      <c r="N808" s="4" t="s">
        <v>398</v>
      </c>
      <c r="O808" s="4" t="s">
        <v>458</v>
      </c>
      <c r="P808" s="4" t="s">
        <v>459</v>
      </c>
      <c r="Q808" s="4" t="s">
        <v>460</v>
      </c>
      <c r="R808" s="4" t="s">
        <v>383</v>
      </c>
      <c r="S808" s="4" t="s">
        <v>461</v>
      </c>
      <c r="T808" s="4" t="s">
        <v>462</v>
      </c>
      <c r="U808" s="4" t="s">
        <v>463</v>
      </c>
    </row>
    <row r="809" spans="1:21" x14ac:dyDescent="0.25">
      <c r="A809" s="27" t="s">
        <v>1347</v>
      </c>
      <c r="B809" s="27" t="str">
        <f t="shared" si="53"/>
        <v>Tennessee</v>
      </c>
      <c r="C809" s="27" t="str">
        <f t="shared" si="54"/>
        <v>Rutherford</v>
      </c>
      <c r="D809" s="27">
        <f>'TN post'!J76</f>
        <v>7698</v>
      </c>
      <c r="E809" s="27">
        <f>'TN post'!L76</f>
        <v>224</v>
      </c>
      <c r="F809" s="2">
        <f>'TN post'!Q76</f>
        <v>160.86243180046765</v>
      </c>
      <c r="G809" s="2">
        <f>'TN post'!U76</f>
        <v>9430</v>
      </c>
      <c r="H809" s="28">
        <f>'TN post'!AB76</f>
        <v>83.671727135738053</v>
      </c>
      <c r="I809" s="2">
        <f>'TN post'!AF76</f>
        <v>232684.57</v>
      </c>
      <c r="J809" s="27">
        <f>'TN post'!AG76</f>
        <v>99</v>
      </c>
      <c r="K809" s="29">
        <f>'TN post'!AL76</f>
        <v>714550</v>
      </c>
      <c r="L809" s="41">
        <v>1925</v>
      </c>
      <c r="N809" s="4" t="s">
        <v>398</v>
      </c>
      <c r="O809" s="4" t="s">
        <v>458</v>
      </c>
      <c r="P809" s="4" t="s">
        <v>459</v>
      </c>
      <c r="Q809" s="4" t="s">
        <v>460</v>
      </c>
      <c r="R809" s="4" t="s">
        <v>383</v>
      </c>
      <c r="S809" s="4" t="s">
        <v>461</v>
      </c>
      <c r="T809" s="4" t="s">
        <v>462</v>
      </c>
      <c r="U809" s="4" t="s">
        <v>463</v>
      </c>
    </row>
    <row r="810" spans="1:21" x14ac:dyDescent="0.25">
      <c r="A810" s="27" t="s">
        <v>1348</v>
      </c>
      <c r="B810" s="27" t="str">
        <f t="shared" si="53"/>
        <v>Tennessee</v>
      </c>
      <c r="C810" s="27" t="str">
        <f t="shared" si="54"/>
        <v>Scott</v>
      </c>
      <c r="D810" s="27">
        <f>'TN post'!J77</f>
        <v>2853</v>
      </c>
      <c r="E810" s="27">
        <f>'TN post'!L77</f>
        <v>125</v>
      </c>
      <c r="F810" s="2">
        <f>'TN post'!Q77</f>
        <v>126.33543638275499</v>
      </c>
      <c r="G810" s="2">
        <f>'TN post'!U77</f>
        <v>4438</v>
      </c>
      <c r="H810" s="28">
        <f>'TN post'!AB77</f>
        <v>98.091559698697395</v>
      </c>
      <c r="I810" s="2">
        <f>'TN post'!AF77</f>
        <v>161156.97999999998</v>
      </c>
      <c r="J810" s="27">
        <f>'TN post'!AG77</f>
        <v>63</v>
      </c>
      <c r="K810" s="29">
        <f>'TN post'!AL77</f>
        <v>253670</v>
      </c>
      <c r="L810" s="41">
        <v>1925</v>
      </c>
      <c r="N810" s="4" t="s">
        <v>398</v>
      </c>
      <c r="O810" s="4" t="s">
        <v>458</v>
      </c>
      <c r="P810" s="4" t="s">
        <v>459</v>
      </c>
      <c r="Q810" s="4" t="s">
        <v>460</v>
      </c>
      <c r="R810" s="4" t="s">
        <v>383</v>
      </c>
      <c r="S810" s="4" t="s">
        <v>461</v>
      </c>
      <c r="T810" s="4" t="s">
        <v>462</v>
      </c>
      <c r="U810" s="4" t="s">
        <v>463</v>
      </c>
    </row>
    <row r="811" spans="1:21" x14ac:dyDescent="0.25">
      <c r="A811" s="27" t="s">
        <v>1762</v>
      </c>
      <c r="B811" s="27" t="str">
        <f t="shared" si="53"/>
        <v>Tennessee</v>
      </c>
      <c r="C811" s="27" t="str">
        <f t="shared" si="54"/>
        <v>Sequatchie</v>
      </c>
      <c r="D811" s="27">
        <f>'TN post'!J78</f>
        <v>1208</v>
      </c>
      <c r="E811" s="27">
        <f>'TN post'!L78</f>
        <v>30</v>
      </c>
      <c r="F811" s="2">
        <f>'TN post'!Q78</f>
        <v>125.56953642384106</v>
      </c>
      <c r="G811" s="2">
        <f>'TN post'!U78</f>
        <v>1759</v>
      </c>
      <c r="H811" s="28">
        <f>'TN post'!AB78</f>
        <v>90.868536469595483</v>
      </c>
      <c r="I811" s="2">
        <f>'TN post'!AF78</f>
        <v>68124.479999999996</v>
      </c>
      <c r="J811" s="27">
        <f>'TN post'!AG78</f>
        <v>14</v>
      </c>
      <c r="K811" s="29">
        <f>'TN post'!AL78</f>
        <v>69720</v>
      </c>
      <c r="L811" s="41">
        <v>1925</v>
      </c>
      <c r="N811" s="4" t="s">
        <v>398</v>
      </c>
      <c r="O811" s="4" t="s">
        <v>458</v>
      </c>
      <c r="P811" s="4" t="s">
        <v>459</v>
      </c>
      <c r="Q811" s="4" t="s">
        <v>460</v>
      </c>
      <c r="R811" s="4" t="s">
        <v>383</v>
      </c>
      <c r="S811" s="4" t="s">
        <v>461</v>
      </c>
      <c r="T811" s="4" t="s">
        <v>462</v>
      </c>
      <c r="U811" s="4" t="s">
        <v>463</v>
      </c>
    </row>
    <row r="812" spans="1:21" x14ac:dyDescent="0.25">
      <c r="A812" s="27" t="s">
        <v>1349</v>
      </c>
      <c r="B812" s="27" t="str">
        <f t="shared" si="53"/>
        <v>Tennessee</v>
      </c>
      <c r="C812" s="27" t="str">
        <f t="shared" si="54"/>
        <v>Sevier</v>
      </c>
      <c r="D812" s="27">
        <f>'TN post'!J79</f>
        <v>4864</v>
      </c>
      <c r="E812" s="27">
        <f>'TN post'!L79</f>
        <v>157</v>
      </c>
      <c r="F812" s="2">
        <f>'TN post'!Q79</f>
        <v>102.71381578947368</v>
      </c>
      <c r="G812" s="2">
        <f>'TN post'!U79</f>
        <v>6365</v>
      </c>
      <c r="H812" s="28">
        <f>'TN post'!AB79</f>
        <v>72.669290591709043</v>
      </c>
      <c r="I812" s="2">
        <f>'TN post'!AF79</f>
        <v>86668.69</v>
      </c>
      <c r="J812" s="27">
        <f>'TN post'!AG79</f>
        <v>94</v>
      </c>
      <c r="K812" s="29">
        <f>'TN post'!AL79</f>
        <v>249072</v>
      </c>
      <c r="L812" s="41">
        <v>1925</v>
      </c>
      <c r="N812" s="4" t="s">
        <v>398</v>
      </c>
      <c r="O812" s="4" t="s">
        <v>458</v>
      </c>
      <c r="P812" s="4" t="s">
        <v>459</v>
      </c>
      <c r="Q812" s="4" t="s">
        <v>460</v>
      </c>
      <c r="R812" s="4" t="s">
        <v>383</v>
      </c>
      <c r="S812" s="4" t="s">
        <v>461</v>
      </c>
      <c r="T812" s="4" t="s">
        <v>462</v>
      </c>
      <c r="U812" s="4" t="s">
        <v>463</v>
      </c>
    </row>
    <row r="813" spans="1:21" x14ac:dyDescent="0.25">
      <c r="A813" s="27" t="s">
        <v>1350</v>
      </c>
      <c r="B813" s="27" t="str">
        <f t="shared" si="53"/>
        <v>Tennessee</v>
      </c>
      <c r="C813" s="27" t="str">
        <f t="shared" si="54"/>
        <v>Shelby</v>
      </c>
      <c r="D813" s="27">
        <f>'TN post'!J80</f>
        <v>72327</v>
      </c>
      <c r="E813" s="27">
        <f>'TN post'!L80</f>
        <v>1527</v>
      </c>
      <c r="F813" s="2">
        <f>'TN post'!Q80</f>
        <v>168.09351970909896</v>
      </c>
      <c r="G813" s="2">
        <f>'TN post'!U80</f>
        <v>58673</v>
      </c>
      <c r="H813" s="28">
        <f>'TN post'!AB80</f>
        <v>140.29445655517932</v>
      </c>
      <c r="I813" s="2">
        <f>'TN post'!AF80</f>
        <v>6246247.1799999997</v>
      </c>
      <c r="J813" s="27">
        <f>'TN post'!AG80</f>
        <v>161</v>
      </c>
      <c r="K813" s="29">
        <f>'TN post'!AL80</f>
        <v>7267494.9100000001</v>
      </c>
      <c r="L813" s="41">
        <v>1925</v>
      </c>
      <c r="N813" s="4" t="s">
        <v>398</v>
      </c>
      <c r="O813" s="4" t="s">
        <v>458</v>
      </c>
      <c r="P813" s="4" t="s">
        <v>459</v>
      </c>
      <c r="Q813" s="4" t="s">
        <v>460</v>
      </c>
      <c r="R813" s="4" t="s">
        <v>383</v>
      </c>
      <c r="S813" s="4" t="s">
        <v>461</v>
      </c>
      <c r="T813" s="4" t="s">
        <v>462</v>
      </c>
      <c r="U813" s="4" t="s">
        <v>463</v>
      </c>
    </row>
    <row r="814" spans="1:21" x14ac:dyDescent="0.25">
      <c r="A814" s="27" t="s">
        <v>1351</v>
      </c>
      <c r="B814" s="27" t="str">
        <f t="shared" si="53"/>
        <v>Tennessee</v>
      </c>
      <c r="C814" s="27" t="str">
        <f t="shared" si="54"/>
        <v>Smith</v>
      </c>
      <c r="D814" s="27">
        <f>'TN post'!J81</f>
        <v>3643</v>
      </c>
      <c r="E814" s="27">
        <f>'TN post'!L81</f>
        <v>121</v>
      </c>
      <c r="F814" s="2">
        <f>'TN post'!Q81</f>
        <v>157.37331869338456</v>
      </c>
      <c r="G814" s="2">
        <f>'TN post'!U81</f>
        <v>4787</v>
      </c>
      <c r="H814" s="28">
        <f>'TN post'!AB81</f>
        <v>83.764185970861362</v>
      </c>
      <c r="I814" s="2">
        <f>'TN post'!AF81</f>
        <v>125429.92</v>
      </c>
      <c r="J814" s="27">
        <f>'TN post'!AG81</f>
        <v>70</v>
      </c>
      <c r="K814" s="29">
        <f>'TN post'!AL81</f>
        <v>184175</v>
      </c>
      <c r="L814" s="41">
        <v>1925</v>
      </c>
      <c r="N814" s="4" t="s">
        <v>398</v>
      </c>
      <c r="O814" s="4" t="s">
        <v>458</v>
      </c>
      <c r="P814" s="4" t="s">
        <v>459</v>
      </c>
      <c r="Q814" s="4" t="s">
        <v>460</v>
      </c>
      <c r="R814" s="4" t="s">
        <v>383</v>
      </c>
      <c r="S814" s="4" t="s">
        <v>461</v>
      </c>
      <c r="T814" s="4" t="s">
        <v>462</v>
      </c>
      <c r="U814" s="4" t="s">
        <v>463</v>
      </c>
    </row>
    <row r="815" spans="1:21" x14ac:dyDescent="0.25">
      <c r="A815" s="27" t="s">
        <v>1352</v>
      </c>
      <c r="B815" s="27" t="str">
        <f t="shared" si="53"/>
        <v>Tennessee</v>
      </c>
      <c r="C815" s="27" t="str">
        <f t="shared" si="54"/>
        <v>Stewart</v>
      </c>
      <c r="D815" s="27">
        <f>'TN post'!J82</f>
        <v>3001</v>
      </c>
      <c r="E815" s="27">
        <f>'TN post'!L82</f>
        <v>95</v>
      </c>
      <c r="F815" s="2">
        <f>'TN post'!Q82</f>
        <v>142.00133288903697</v>
      </c>
      <c r="G815" s="2">
        <f>'TN post'!U82</f>
        <v>4549</v>
      </c>
      <c r="H815" s="28">
        <f>'TN post'!AB82</f>
        <v>75.364007195952368</v>
      </c>
      <c r="I815" s="2">
        <f>'TN post'!AF82</f>
        <v>109264.67</v>
      </c>
      <c r="J815" s="27">
        <f>'TN post'!AG82</f>
        <v>62</v>
      </c>
      <c r="K815" s="29">
        <f>'TN post'!AL82</f>
        <v>97160</v>
      </c>
      <c r="L815" s="41">
        <v>1925</v>
      </c>
      <c r="N815" s="4" t="s">
        <v>398</v>
      </c>
      <c r="O815" s="4" t="s">
        <v>458</v>
      </c>
      <c r="P815" s="4" t="s">
        <v>459</v>
      </c>
      <c r="Q815" s="4" t="s">
        <v>460</v>
      </c>
      <c r="R815" s="4" t="s">
        <v>383</v>
      </c>
      <c r="S815" s="4" t="s">
        <v>461</v>
      </c>
      <c r="T815" s="4" t="s">
        <v>462</v>
      </c>
      <c r="U815" s="4" t="s">
        <v>463</v>
      </c>
    </row>
    <row r="816" spans="1:21" x14ac:dyDescent="0.25">
      <c r="A816" s="27" t="s">
        <v>1353</v>
      </c>
      <c r="B816" s="27" t="str">
        <f t="shared" si="53"/>
        <v>Tennessee</v>
      </c>
      <c r="C816" s="27" t="str">
        <f t="shared" si="54"/>
        <v>Sullivan</v>
      </c>
      <c r="D816" s="27">
        <f>'TN post'!J83</f>
        <v>10845</v>
      </c>
      <c r="E816" s="27">
        <f>'TN post'!L83</f>
        <v>275</v>
      </c>
      <c r="F816" s="2">
        <f>'TN post'!Q83</f>
        <v>164.16652835408021</v>
      </c>
      <c r="G816" s="2">
        <f>'TN post'!U83</f>
        <v>10470</v>
      </c>
      <c r="H816" s="28">
        <f>'TN post'!AB83</f>
        <v>96.950034242829673</v>
      </c>
      <c r="I816" s="2">
        <f>'TN post'!AF83</f>
        <v>371954.56</v>
      </c>
      <c r="J816" s="27">
        <f>'TN post'!AG83</f>
        <v>91</v>
      </c>
      <c r="K816" s="29">
        <f>'TN post'!AL83</f>
        <v>676845</v>
      </c>
      <c r="L816" s="41">
        <v>1925</v>
      </c>
      <c r="N816" s="4" t="s">
        <v>398</v>
      </c>
      <c r="O816" s="4" t="s">
        <v>458</v>
      </c>
      <c r="P816" s="4" t="s">
        <v>459</v>
      </c>
      <c r="Q816" s="4" t="s">
        <v>460</v>
      </c>
      <c r="R816" s="4" t="s">
        <v>383</v>
      </c>
      <c r="S816" s="4" t="s">
        <v>461</v>
      </c>
      <c r="T816" s="4" t="s">
        <v>462</v>
      </c>
      <c r="U816" s="4" t="s">
        <v>463</v>
      </c>
    </row>
    <row r="817" spans="1:21" x14ac:dyDescent="0.25">
      <c r="A817" s="27" t="s">
        <v>1354</v>
      </c>
      <c r="B817" s="27" t="str">
        <f t="shared" si="53"/>
        <v>Tennessee</v>
      </c>
      <c r="C817" s="27" t="str">
        <f t="shared" si="54"/>
        <v>Sumner</v>
      </c>
      <c r="D817" s="27">
        <f>'TN post'!J84</f>
        <v>6167</v>
      </c>
      <c r="E817" s="27">
        <f>'TN post'!L84</f>
        <v>195</v>
      </c>
      <c r="F817" s="2">
        <f>'TN post'!Q84</f>
        <v>146.513539808659</v>
      </c>
      <c r="G817" s="2">
        <f>'TN post'!U84</f>
        <v>7685</v>
      </c>
      <c r="H817" s="28">
        <f>'TN post'!AB84</f>
        <v>71.797820421584831</v>
      </c>
      <c r="I817" s="2">
        <f>'TN post'!AF84</f>
        <v>176949.37</v>
      </c>
      <c r="J817" s="27">
        <f>'TN post'!AG84</f>
        <v>110</v>
      </c>
      <c r="K817" s="29">
        <f>'TN post'!AL84</f>
        <v>369121</v>
      </c>
      <c r="L817" s="41">
        <v>1925</v>
      </c>
      <c r="N817" s="4" t="s">
        <v>398</v>
      </c>
      <c r="O817" s="4" t="s">
        <v>458</v>
      </c>
      <c r="P817" s="4" t="s">
        <v>459</v>
      </c>
      <c r="Q817" s="4" t="s">
        <v>460</v>
      </c>
      <c r="R817" s="4" t="s">
        <v>383</v>
      </c>
      <c r="S817" s="4" t="s">
        <v>461</v>
      </c>
      <c r="T817" s="4" t="s">
        <v>462</v>
      </c>
      <c r="U817" s="4" t="s">
        <v>463</v>
      </c>
    </row>
    <row r="818" spans="1:21" x14ac:dyDescent="0.25">
      <c r="A818" s="27" t="s">
        <v>1355</v>
      </c>
      <c r="B818" s="27" t="str">
        <f t="shared" si="53"/>
        <v>Tennessee</v>
      </c>
      <c r="C818" s="27" t="str">
        <f t="shared" si="54"/>
        <v>Tipton</v>
      </c>
      <c r="D818" s="27">
        <f>'TN post'!J85</f>
        <v>5728</v>
      </c>
      <c r="E818" s="27">
        <f>'TN post'!L85</f>
        <v>157</v>
      </c>
      <c r="F818" s="2">
        <f>'TN post'!Q85</f>
        <v>136.48289106145251</v>
      </c>
      <c r="G818" s="2">
        <f>'TN post'!U85</f>
        <v>7651</v>
      </c>
      <c r="H818" s="28">
        <f>'TN post'!AB85</f>
        <v>89.152370335773483</v>
      </c>
      <c r="I818" s="2">
        <f>'TN post'!AF85</f>
        <v>169612.95</v>
      </c>
      <c r="J818" s="27">
        <f>'TN post'!AG85</f>
        <v>80</v>
      </c>
      <c r="K818" s="29">
        <f>'TN post'!AL85</f>
        <v>352545</v>
      </c>
      <c r="L818" s="41">
        <v>1925</v>
      </c>
      <c r="N818" s="4" t="s">
        <v>398</v>
      </c>
      <c r="O818" s="4" t="s">
        <v>458</v>
      </c>
      <c r="P818" s="4" t="s">
        <v>459</v>
      </c>
      <c r="Q818" s="4" t="s">
        <v>460</v>
      </c>
      <c r="R818" s="4" t="s">
        <v>383</v>
      </c>
      <c r="S818" s="4" t="s">
        <v>461</v>
      </c>
      <c r="T818" s="4" t="s">
        <v>462</v>
      </c>
      <c r="U818" s="4" t="s">
        <v>463</v>
      </c>
    </row>
    <row r="819" spans="1:21" x14ac:dyDescent="0.25">
      <c r="A819" s="27" t="s">
        <v>1356</v>
      </c>
      <c r="B819" s="27" t="str">
        <f t="shared" si="53"/>
        <v>Tennessee</v>
      </c>
      <c r="C819" s="27" t="str">
        <f t="shared" si="54"/>
        <v>Trousdale</v>
      </c>
      <c r="D819" s="27">
        <f>'TN post'!J86</f>
        <v>1080</v>
      </c>
      <c r="E819" s="27">
        <f>'TN post'!L86</f>
        <v>39</v>
      </c>
      <c r="F819" s="2">
        <f>'TN post'!Q86</f>
        <v>172.62222222222223</v>
      </c>
      <c r="G819" s="2">
        <f>'TN post'!U86</f>
        <v>1518</v>
      </c>
      <c r="H819" s="28">
        <f>'TN post'!AB86</f>
        <v>85.360552166679867</v>
      </c>
      <c r="I819" s="2">
        <f>'TN post'!AF86</f>
        <v>65283.5</v>
      </c>
      <c r="J819" s="27">
        <f>'TN post'!AG86</f>
        <v>20</v>
      </c>
      <c r="K819" s="29">
        <f>'TN post'!AL86</f>
        <v>70840</v>
      </c>
      <c r="L819" s="41">
        <v>1925</v>
      </c>
      <c r="N819" s="4" t="s">
        <v>398</v>
      </c>
      <c r="O819" s="4" t="s">
        <v>458</v>
      </c>
      <c r="P819" s="4" t="s">
        <v>459</v>
      </c>
      <c r="Q819" s="4" t="s">
        <v>460</v>
      </c>
      <c r="R819" s="4" t="s">
        <v>383</v>
      </c>
      <c r="S819" s="4" t="s">
        <v>461</v>
      </c>
      <c r="T819" s="4" t="s">
        <v>462</v>
      </c>
      <c r="U819" s="4" t="s">
        <v>463</v>
      </c>
    </row>
    <row r="820" spans="1:21" x14ac:dyDescent="0.25">
      <c r="A820" s="27" t="s">
        <v>1357</v>
      </c>
      <c r="B820" s="27" t="str">
        <f t="shared" si="53"/>
        <v>Tennessee</v>
      </c>
      <c r="C820" s="27" t="str">
        <f t="shared" si="54"/>
        <v>Unicoi</v>
      </c>
      <c r="D820" s="27">
        <f>'TN post'!J87</f>
        <v>3706</v>
      </c>
      <c r="E820" s="27">
        <f>'TN post'!L87</f>
        <v>76</v>
      </c>
      <c r="F820" s="2">
        <f>'TN post'!Q87</f>
        <v>132.0957906098219</v>
      </c>
      <c r="G820" s="2">
        <f>'TN post'!U87</f>
        <v>3459</v>
      </c>
      <c r="H820" s="28">
        <f>'TN post'!AB87</f>
        <v>104.85811641331573</v>
      </c>
      <c r="I820" s="2">
        <f>'TN post'!AF87</f>
        <v>113544.91</v>
      </c>
      <c r="J820" s="27">
        <f>'TN post'!AG87</f>
        <v>28</v>
      </c>
      <c r="K820" s="29">
        <f>'TN post'!AL87</f>
        <v>298840</v>
      </c>
      <c r="L820" s="41">
        <v>1925</v>
      </c>
      <c r="N820" s="4" t="s">
        <v>398</v>
      </c>
      <c r="O820" s="4" t="s">
        <v>458</v>
      </c>
      <c r="P820" s="4" t="s">
        <v>459</v>
      </c>
      <c r="Q820" s="4" t="s">
        <v>460</v>
      </c>
      <c r="R820" s="4" t="s">
        <v>383</v>
      </c>
      <c r="S820" s="4" t="s">
        <v>461</v>
      </c>
      <c r="T820" s="4" t="s">
        <v>462</v>
      </c>
      <c r="U820" s="4" t="s">
        <v>463</v>
      </c>
    </row>
    <row r="821" spans="1:21" x14ac:dyDescent="0.25">
      <c r="A821" s="27" t="s">
        <v>1358</v>
      </c>
      <c r="B821" s="27" t="str">
        <f t="shared" si="53"/>
        <v>Tennessee</v>
      </c>
      <c r="C821" s="27" t="str">
        <f t="shared" si="54"/>
        <v>Union</v>
      </c>
      <c r="D821" s="27">
        <f>'TN post'!J88</f>
        <v>2198</v>
      </c>
      <c r="E821" s="27">
        <f>'TN post'!L88</f>
        <v>75</v>
      </c>
      <c r="F821" s="2">
        <f>'TN post'!Q88</f>
        <v>122.26569608735214</v>
      </c>
      <c r="G821" s="2">
        <f>'TN post'!U88</f>
        <v>3208</v>
      </c>
      <c r="H821" s="28">
        <f>'TN post'!AB88</f>
        <v>82.872522636501202</v>
      </c>
      <c r="I821" s="2">
        <f>'TN post'!AF88</f>
        <v>52436.75</v>
      </c>
      <c r="J821" s="27">
        <f>'TN post'!AG88</f>
        <v>53</v>
      </c>
      <c r="K821" s="29">
        <f>'TN post'!AL88</f>
        <v>31150</v>
      </c>
      <c r="L821" s="41">
        <v>1925</v>
      </c>
      <c r="N821" s="4" t="s">
        <v>398</v>
      </c>
      <c r="O821" s="4" t="s">
        <v>458</v>
      </c>
      <c r="P821" s="4" t="s">
        <v>459</v>
      </c>
      <c r="Q821" s="4" t="s">
        <v>460</v>
      </c>
      <c r="R821" s="4" t="s">
        <v>383</v>
      </c>
      <c r="S821" s="4" t="s">
        <v>461</v>
      </c>
      <c r="T821" s="4" t="s">
        <v>462</v>
      </c>
      <c r="U821" s="4" t="s">
        <v>463</v>
      </c>
    </row>
    <row r="822" spans="1:21" x14ac:dyDescent="0.25">
      <c r="A822" s="27" t="s">
        <v>1359</v>
      </c>
      <c r="B822" s="27" t="str">
        <f t="shared" si="53"/>
        <v>Tennessee</v>
      </c>
      <c r="C822" s="27" t="str">
        <f t="shared" si="54"/>
        <v>Van Buren</v>
      </c>
      <c r="D822" s="27">
        <f>'TN post'!J89</f>
        <v>804</v>
      </c>
      <c r="E822" s="27">
        <f>'TN post'!L89</f>
        <v>30</v>
      </c>
      <c r="F822" s="2">
        <f>'TN post'!Q89</f>
        <v>140.48507462686567</v>
      </c>
      <c r="G822" s="2">
        <f>'TN post'!U89</f>
        <v>1012</v>
      </c>
      <c r="H822" s="28">
        <f>'TN post'!AB89</f>
        <v>72.415759185480297</v>
      </c>
      <c r="I822" s="2">
        <f>'TN post'!AF89</f>
        <v>35851.71</v>
      </c>
      <c r="J822" s="27">
        <f>'TN post'!AG89</f>
        <v>19</v>
      </c>
      <c r="K822" s="29">
        <f>'TN post'!AL89</f>
        <v>45655</v>
      </c>
      <c r="L822" s="41">
        <v>1925</v>
      </c>
      <c r="N822" s="4" t="s">
        <v>398</v>
      </c>
      <c r="O822" s="4" t="s">
        <v>458</v>
      </c>
      <c r="P822" s="4" t="s">
        <v>459</v>
      </c>
      <c r="Q822" s="4" t="s">
        <v>460</v>
      </c>
      <c r="R822" s="4" t="s">
        <v>383</v>
      </c>
      <c r="S822" s="4" t="s">
        <v>461</v>
      </c>
      <c r="T822" s="4" t="s">
        <v>462</v>
      </c>
      <c r="U822" s="4" t="s">
        <v>463</v>
      </c>
    </row>
    <row r="823" spans="1:21" x14ac:dyDescent="0.25">
      <c r="A823" s="27" t="s">
        <v>1360</v>
      </c>
      <c r="B823" s="27" t="str">
        <f t="shared" si="53"/>
        <v>Tennessee</v>
      </c>
      <c r="C823" s="27" t="str">
        <f t="shared" si="54"/>
        <v>Warren</v>
      </c>
      <c r="D823" s="27">
        <f>'TN post'!J90</f>
        <v>4694</v>
      </c>
      <c r="E823" s="27">
        <f>'TN post'!L90</f>
        <v>131</v>
      </c>
      <c r="F823" s="2">
        <f>'TN post'!Q90</f>
        <v>144.75798892202812</v>
      </c>
      <c r="G823" s="2">
        <f>'TN post'!U90</f>
        <v>5304</v>
      </c>
      <c r="H823" s="28">
        <f>'TN post'!AB90</f>
        <v>81.359535565497239</v>
      </c>
      <c r="I823" s="2">
        <f>'TN post'!AF90</f>
        <v>146510.93</v>
      </c>
      <c r="J823" s="27">
        <f>'TN post'!AG90</f>
        <v>62</v>
      </c>
      <c r="K823" s="29">
        <f>'TN post'!AL90</f>
        <v>363473</v>
      </c>
      <c r="L823" s="41">
        <v>1925</v>
      </c>
      <c r="N823" s="4" t="s">
        <v>398</v>
      </c>
      <c r="O823" s="4" t="s">
        <v>458</v>
      </c>
      <c r="P823" s="4" t="s">
        <v>459</v>
      </c>
      <c r="Q823" s="4" t="s">
        <v>460</v>
      </c>
      <c r="R823" s="4" t="s">
        <v>383</v>
      </c>
      <c r="S823" s="4" t="s">
        <v>461</v>
      </c>
      <c r="T823" s="4" t="s">
        <v>462</v>
      </c>
      <c r="U823" s="4" t="s">
        <v>463</v>
      </c>
    </row>
    <row r="824" spans="1:21" x14ac:dyDescent="0.25">
      <c r="A824" s="27" t="s">
        <v>1361</v>
      </c>
      <c r="B824" s="27" t="str">
        <f t="shared" si="53"/>
        <v>Tennessee</v>
      </c>
      <c r="C824" s="27" t="str">
        <f t="shared" si="54"/>
        <v>Washington</v>
      </c>
      <c r="D824" s="27">
        <f>'TN post'!J91</f>
        <v>11516</v>
      </c>
      <c r="E824" s="27">
        <f>'TN post'!L91</f>
        <v>266</v>
      </c>
      <c r="F824" s="2">
        <f>'TN post'!Q91</f>
        <v>154.56443209447724</v>
      </c>
      <c r="G824" s="2">
        <f>'TN post'!U91</f>
        <v>9470</v>
      </c>
      <c r="H824" s="28">
        <f>'TN post'!AB91</f>
        <v>100.75599555506767</v>
      </c>
      <c r="I824" s="2">
        <f>'TN post'!AF91</f>
        <v>357297.42000000004</v>
      </c>
      <c r="J824" s="27">
        <f>'TN post'!AG91</f>
        <v>86</v>
      </c>
      <c r="K824" s="29">
        <f>'TN post'!AL91</f>
        <v>1156525</v>
      </c>
      <c r="L824" s="41">
        <v>1925</v>
      </c>
      <c r="N824" s="4" t="s">
        <v>398</v>
      </c>
      <c r="O824" s="4" t="s">
        <v>458</v>
      </c>
      <c r="P824" s="4" t="s">
        <v>459</v>
      </c>
      <c r="Q824" s="4" t="s">
        <v>460</v>
      </c>
      <c r="R824" s="4" t="s">
        <v>383</v>
      </c>
      <c r="S824" s="4" t="s">
        <v>461</v>
      </c>
      <c r="T824" s="4" t="s">
        <v>462</v>
      </c>
      <c r="U824" s="4" t="s">
        <v>463</v>
      </c>
    </row>
    <row r="825" spans="1:21" x14ac:dyDescent="0.25">
      <c r="A825" s="27" t="s">
        <v>1362</v>
      </c>
      <c r="B825" s="27" t="str">
        <f t="shared" si="53"/>
        <v>Tennessee</v>
      </c>
      <c r="C825" s="27" t="str">
        <f t="shared" si="54"/>
        <v>Wayne</v>
      </c>
      <c r="D825" s="27">
        <f>'TN post'!J92</f>
        <v>2878</v>
      </c>
      <c r="E825" s="27">
        <f>'TN post'!L92</f>
        <v>106</v>
      </c>
      <c r="F825" s="2">
        <f>'TN post'!Q92</f>
        <v>106.09624739402362</v>
      </c>
      <c r="G825" s="2">
        <f>'TN post'!U92</f>
        <v>3623</v>
      </c>
      <c r="H825" s="28">
        <f>'TN post'!AB92</f>
        <v>80.213371772171115</v>
      </c>
      <c r="I825" s="2">
        <f>'TN post'!AF92</f>
        <v>71469.149999999994</v>
      </c>
      <c r="J825" s="27">
        <f>'TN post'!AG92</f>
        <v>69</v>
      </c>
      <c r="K825" s="29">
        <f>'TN post'!AL92</f>
        <v>121500</v>
      </c>
      <c r="L825" s="41">
        <v>1925</v>
      </c>
      <c r="N825" s="4" t="s">
        <v>398</v>
      </c>
      <c r="O825" s="4" t="s">
        <v>458</v>
      </c>
      <c r="P825" s="4" t="s">
        <v>459</v>
      </c>
      <c r="Q825" s="4" t="s">
        <v>460</v>
      </c>
      <c r="R825" s="4" t="s">
        <v>383</v>
      </c>
      <c r="S825" s="4" t="s">
        <v>461</v>
      </c>
      <c r="T825" s="4" t="s">
        <v>462</v>
      </c>
      <c r="U825" s="4" t="s">
        <v>463</v>
      </c>
    </row>
    <row r="826" spans="1:21" x14ac:dyDescent="0.25">
      <c r="A826" s="27" t="s">
        <v>1363</v>
      </c>
      <c r="B826" s="27" t="str">
        <f t="shared" si="53"/>
        <v>Tennessee</v>
      </c>
      <c r="C826" s="27" t="str">
        <f t="shared" si="54"/>
        <v>Weakley</v>
      </c>
      <c r="D826" s="27">
        <f>'TN post'!J93</f>
        <v>9595</v>
      </c>
      <c r="E826" s="27">
        <f>'TN post'!L93</f>
        <v>220</v>
      </c>
      <c r="F826" s="2">
        <f>'TN post'!Q93</f>
        <v>140.94445023449714</v>
      </c>
      <c r="G826" s="2">
        <f>'TN post'!U93</f>
        <v>8842</v>
      </c>
      <c r="H826" s="28">
        <f>'TN post'!AB93</f>
        <v>80.905800954854612</v>
      </c>
      <c r="I826" s="2">
        <f>'TN post'!AF93</f>
        <v>305024.06</v>
      </c>
      <c r="J826" s="27">
        <f>'TN post'!AG93</f>
        <v>94</v>
      </c>
      <c r="K826" s="29">
        <f>'TN post'!AL93</f>
        <v>502470</v>
      </c>
      <c r="L826" s="41">
        <v>1925</v>
      </c>
      <c r="N826" s="4" t="s">
        <v>398</v>
      </c>
      <c r="O826" s="4" t="s">
        <v>458</v>
      </c>
      <c r="P826" s="4" t="s">
        <v>459</v>
      </c>
      <c r="Q826" s="4" t="s">
        <v>460</v>
      </c>
      <c r="R826" s="4" t="s">
        <v>383</v>
      </c>
      <c r="S826" s="4" t="s">
        <v>461</v>
      </c>
      <c r="T826" s="4" t="s">
        <v>462</v>
      </c>
      <c r="U826" s="4" t="s">
        <v>463</v>
      </c>
    </row>
    <row r="827" spans="1:21" x14ac:dyDescent="0.25">
      <c r="A827" s="27" t="s">
        <v>1364</v>
      </c>
      <c r="B827" s="27" t="str">
        <f t="shared" si="53"/>
        <v>Tennessee</v>
      </c>
      <c r="C827" s="27" t="str">
        <f t="shared" si="54"/>
        <v>White</v>
      </c>
      <c r="D827" s="27">
        <f>'TN post'!J94</f>
        <v>4500</v>
      </c>
      <c r="E827" s="27">
        <f>'TN post'!L94</f>
        <v>112</v>
      </c>
      <c r="F827" s="2">
        <f>'TN post'!Q94</f>
        <v>116.35599999999999</v>
      </c>
      <c r="G827" s="2">
        <f>'TN post'!U94</f>
        <v>4167</v>
      </c>
      <c r="H827" s="28">
        <f>'TN post'!AB94</f>
        <v>85.159446010519446</v>
      </c>
      <c r="I827" s="2">
        <f>'TN post'!AF94</f>
        <v>216717.22999999998</v>
      </c>
      <c r="J827" s="27">
        <f>'TN post'!AG94</f>
        <v>67</v>
      </c>
      <c r="K827" s="29">
        <f>'TN post'!AL94</f>
        <v>405992</v>
      </c>
      <c r="L827" s="41">
        <v>1925</v>
      </c>
      <c r="N827" s="4" t="s">
        <v>398</v>
      </c>
      <c r="O827" s="4" t="s">
        <v>458</v>
      </c>
      <c r="P827" s="4" t="s">
        <v>459</v>
      </c>
      <c r="Q827" s="4" t="s">
        <v>460</v>
      </c>
      <c r="R827" s="4" t="s">
        <v>383</v>
      </c>
      <c r="S827" s="4" t="s">
        <v>461</v>
      </c>
      <c r="T827" s="4" t="s">
        <v>462</v>
      </c>
      <c r="U827" s="4" t="s">
        <v>463</v>
      </c>
    </row>
    <row r="828" spans="1:21" x14ac:dyDescent="0.25">
      <c r="A828" s="27" t="s">
        <v>1365</v>
      </c>
      <c r="B828" s="27" t="str">
        <f t="shared" si="53"/>
        <v>Tennessee</v>
      </c>
      <c r="C828" s="27" t="str">
        <f t="shared" si="54"/>
        <v>Williamson</v>
      </c>
      <c r="D828" s="27">
        <f>'TN post'!J95</f>
        <v>5722</v>
      </c>
      <c r="E828" s="27">
        <f>'TN post'!L95</f>
        <v>174</v>
      </c>
      <c r="F828" s="2">
        <f>'TN post'!Q95</f>
        <v>160.5791681230339</v>
      </c>
      <c r="G828" s="2">
        <f>'TN post'!U95</f>
        <v>6464</v>
      </c>
      <c r="H828" s="28">
        <f>'TN post'!AB95</f>
        <v>70.69115234227769</v>
      </c>
      <c r="I828" s="2">
        <f>'TN post'!AF95</f>
        <v>200199.63</v>
      </c>
      <c r="J828" s="27">
        <f>'TN post'!AG95</f>
        <v>90</v>
      </c>
      <c r="K828" s="29">
        <f>'TN post'!AL95</f>
        <v>393424</v>
      </c>
      <c r="L828" s="41">
        <v>1925</v>
      </c>
      <c r="N828" s="4" t="s">
        <v>398</v>
      </c>
      <c r="O828" s="4" t="s">
        <v>458</v>
      </c>
      <c r="P828" s="4" t="s">
        <v>459</v>
      </c>
      <c r="Q828" s="4" t="s">
        <v>460</v>
      </c>
      <c r="R828" s="4" t="s">
        <v>383</v>
      </c>
      <c r="S828" s="4" t="s">
        <v>461</v>
      </c>
      <c r="T828" s="4" t="s">
        <v>462</v>
      </c>
      <c r="U828" s="4" t="s">
        <v>463</v>
      </c>
    </row>
    <row r="829" spans="1:21" x14ac:dyDescent="0.25">
      <c r="A829" s="27" t="s">
        <v>1366</v>
      </c>
      <c r="B829" s="27" t="str">
        <f t="shared" si="53"/>
        <v>Tennessee</v>
      </c>
      <c r="C829" s="27" t="str">
        <f t="shared" si="54"/>
        <v>Wilson</v>
      </c>
      <c r="D829" s="27">
        <f>'TN post'!J96</f>
        <v>5647</v>
      </c>
      <c r="E829" s="27">
        <f>'TN post'!L96</f>
        <v>172</v>
      </c>
      <c r="F829" s="2">
        <f>'TN post'!Q96</f>
        <v>161.1283867540287</v>
      </c>
      <c r="G829" s="2">
        <f>'TN post'!U96</f>
        <v>6031</v>
      </c>
      <c r="H829" s="28">
        <f>'TN post'!AB96</f>
        <v>79.71808549933705</v>
      </c>
      <c r="I829" s="2">
        <f>'TN post'!AF96</f>
        <v>250030.46000000002</v>
      </c>
      <c r="J829" s="27">
        <f>'TN post'!AG96</f>
        <v>97</v>
      </c>
      <c r="K829" s="29">
        <f>'TN post'!AL96</f>
        <v>268815</v>
      </c>
      <c r="L829" s="41">
        <v>1925</v>
      </c>
      <c r="N829" s="4" t="s">
        <v>398</v>
      </c>
      <c r="O829" s="4" t="s">
        <v>458</v>
      </c>
      <c r="P829" s="4" t="s">
        <v>459</v>
      </c>
      <c r="Q829" s="4" t="s">
        <v>460</v>
      </c>
      <c r="R829" s="4" t="s">
        <v>383</v>
      </c>
      <c r="S829" s="4" t="s">
        <v>461</v>
      </c>
      <c r="T829" s="4" t="s">
        <v>462</v>
      </c>
      <c r="U829" s="4" t="s">
        <v>463</v>
      </c>
    </row>
    <row r="830" spans="1:21" x14ac:dyDescent="0.25">
      <c r="A830" s="27" t="s">
        <v>1367</v>
      </c>
      <c r="B830" s="27" t="str">
        <f t="shared" si="53"/>
        <v/>
      </c>
      <c r="C830" s="27" t="str">
        <f t="shared" si="54"/>
        <v/>
      </c>
      <c r="E830" s="2">
        <f>SUM(E735:E829)</f>
        <v>16208</v>
      </c>
      <c r="G830" s="2">
        <f>SUM(G735:G829)</f>
        <v>659402</v>
      </c>
      <c r="J830" s="27">
        <f>SUM(J735:J829)</f>
        <v>6493</v>
      </c>
      <c r="L830" s="82"/>
      <c r="M830" s="7"/>
      <c r="N830" s="7"/>
      <c r="O830" s="7"/>
      <c r="P830" s="36"/>
      <c r="Q830" s="7"/>
      <c r="R830" s="7"/>
      <c r="S830" s="7"/>
      <c r="T830" s="7"/>
      <c r="U830" s="7"/>
    </row>
    <row r="831" spans="1:21" x14ac:dyDescent="0.25">
      <c r="A831" s="27" t="s">
        <v>1367</v>
      </c>
      <c r="B831" s="27" t="str">
        <f t="shared" si="53"/>
        <v/>
      </c>
      <c r="C831" s="27" t="str">
        <f t="shared" si="54"/>
        <v/>
      </c>
      <c r="E831" s="2">
        <v>16208</v>
      </c>
      <c r="G831" s="2">
        <v>659402</v>
      </c>
      <c r="J831" s="27">
        <v>6493</v>
      </c>
      <c r="L831" s="82"/>
      <c r="M831" s="7"/>
      <c r="N831" s="7"/>
      <c r="O831" s="7"/>
      <c r="P831" s="36"/>
      <c r="Q831" s="7"/>
      <c r="R831" s="7"/>
      <c r="S831" s="7"/>
      <c r="T831" s="7"/>
      <c r="U831" s="7"/>
    </row>
    <row r="832" spans="1:21" x14ac:dyDescent="0.25">
      <c r="A832" s="27" t="s">
        <v>1368</v>
      </c>
      <c r="B832" s="27" t="str">
        <f t="shared" si="53"/>
        <v>Texas</v>
      </c>
      <c r="C832" s="27" t="str">
        <f t="shared" si="54"/>
        <v>Anderson</v>
      </c>
      <c r="D832" s="7">
        <f>'TX post'!D2</f>
        <v>6175</v>
      </c>
      <c r="E832" s="2">
        <f>'TX post'!E2</f>
        <v>258</v>
      </c>
      <c r="F832" s="26">
        <v>115</v>
      </c>
      <c r="G832" s="2">
        <f>'TX post'!I2</f>
        <v>9306</v>
      </c>
      <c r="H832" s="88">
        <f>'TX post'!M2</f>
        <v>123.86260869565218</v>
      </c>
      <c r="I832" s="29">
        <f>'TX post'!P2</f>
        <v>265010.52</v>
      </c>
      <c r="J832" s="27">
        <v>92</v>
      </c>
      <c r="K832" s="29">
        <f>'TX post'!R2</f>
        <v>158585</v>
      </c>
      <c r="L832" s="41">
        <v>1922</v>
      </c>
      <c r="N832" s="27" t="s">
        <v>2570</v>
      </c>
      <c r="O832" s="27" t="s">
        <v>1972</v>
      </c>
      <c r="P832" s="27" t="s">
        <v>548</v>
      </c>
      <c r="Q832" s="27" t="s">
        <v>2570</v>
      </c>
      <c r="R832" s="27" t="s">
        <v>547</v>
      </c>
      <c r="S832" s="27" t="s">
        <v>2569</v>
      </c>
      <c r="T832" s="27" t="s">
        <v>2584</v>
      </c>
      <c r="U832" s="27" t="s">
        <v>2570</v>
      </c>
    </row>
    <row r="833" spans="1:21" x14ac:dyDescent="0.25">
      <c r="A833" s="27" t="s">
        <v>1371</v>
      </c>
      <c r="B833" s="27" t="str">
        <f t="shared" ref="B833:B895" si="55">LEFT(A833,FIND(";",A833)-1)</f>
        <v>Texas</v>
      </c>
      <c r="C833" s="27" t="str">
        <f>MID(A834,FIND(";",A834)+1,100)</f>
        <v>Andrews</v>
      </c>
      <c r="D833" s="7">
        <f>'TX post'!D3</f>
        <v>44</v>
      </c>
      <c r="E833" s="2">
        <f>'TX post'!E3</f>
        <v>5</v>
      </c>
      <c r="F833" s="26">
        <v>162.75</v>
      </c>
      <c r="G833" s="2">
        <f>'TX post'!I3</f>
        <v>71</v>
      </c>
      <c r="H833" s="88">
        <f>'TX post'!M3</f>
        <v>105.39877300613496</v>
      </c>
      <c r="I833" s="29">
        <f>'TX post'!P3</f>
        <v>9175.02</v>
      </c>
      <c r="J833" s="27">
        <v>4</v>
      </c>
      <c r="K833" s="29">
        <f>'TX post'!R3</f>
        <v>21000</v>
      </c>
      <c r="L833" s="41">
        <v>1922</v>
      </c>
      <c r="N833" s="27" t="str">
        <f>N832</f>
        <v>https://ia601500.us.archive.org/33/items/tx192224/1922-24%2c%20selected%20pages%20%28pp.%20192-93%20clipped%29.pdf</v>
      </c>
      <c r="O833" s="27" t="s">
        <v>1972</v>
      </c>
      <c r="P833" s="27" t="s">
        <v>548</v>
      </c>
      <c r="Q833" s="27" t="s">
        <v>2570</v>
      </c>
      <c r="R833" s="27" t="s">
        <v>547</v>
      </c>
      <c r="S833" s="27" t="str">
        <f>S832</f>
        <v>https://ia601505.us.archive.org/29/items/tx192426/1924-26.pdf</v>
      </c>
      <c r="T833" s="27" t="str">
        <f>T832</f>
        <v>https://babel.hathitrust.org/cgi/pt?id=uiug.30112058522902;view=1up;seq=175</v>
      </c>
      <c r="U833" s="27" t="s">
        <v>2570</v>
      </c>
    </row>
    <row r="834" spans="1:21" x14ac:dyDescent="0.25">
      <c r="A834" s="27" t="s">
        <v>1369</v>
      </c>
      <c r="B834" s="27" t="str">
        <f t="shared" si="55"/>
        <v>Texas</v>
      </c>
      <c r="C834" s="27" t="str">
        <f>MID(A835,FIND(";",A835)+1,100)</f>
        <v>Angelina</v>
      </c>
      <c r="D834" s="7">
        <f>'TX post'!D4</f>
        <v>5309</v>
      </c>
      <c r="E834" s="2">
        <f>'TX post'!E4</f>
        <v>179</v>
      </c>
      <c r="F834" s="26">
        <v>116</v>
      </c>
      <c r="G834" s="2">
        <f>'TX post'!I4</f>
        <v>7040</v>
      </c>
      <c r="H834" s="88">
        <f>'TX post'!M4</f>
        <v>135.6396551724138</v>
      </c>
      <c r="I834" s="29">
        <f>'TX post'!P4</f>
        <v>234537.04</v>
      </c>
      <c r="J834" s="27">
        <v>59</v>
      </c>
      <c r="K834" s="29">
        <f>'TX post'!R4</f>
        <v>160918.25</v>
      </c>
      <c r="L834" s="41">
        <v>1922</v>
      </c>
      <c r="N834" s="27" t="str">
        <f t="shared" ref="N834:N897" si="56">N833</f>
        <v>https://ia601500.us.archive.org/33/items/tx192224/1922-24%2c%20selected%20pages%20%28pp.%20192-93%20clipped%29.pdf</v>
      </c>
      <c r="O834" s="27" t="s">
        <v>1972</v>
      </c>
      <c r="P834" s="27" t="s">
        <v>548</v>
      </c>
      <c r="Q834" s="27" t="s">
        <v>2570</v>
      </c>
      <c r="R834" s="27" t="s">
        <v>547</v>
      </c>
      <c r="S834" s="27" t="str">
        <f t="shared" ref="S834:S897" si="57">S833</f>
        <v>https://ia601505.us.archive.org/29/items/tx192426/1924-26.pdf</v>
      </c>
      <c r="T834" s="27" t="str">
        <f t="shared" ref="T834:T897" si="58">T833</f>
        <v>https://babel.hathitrust.org/cgi/pt?id=uiug.30112058522902;view=1up;seq=175</v>
      </c>
      <c r="U834" s="27" t="s">
        <v>2570</v>
      </c>
    </row>
    <row r="835" spans="1:21" x14ac:dyDescent="0.25">
      <c r="A835" s="27" t="s">
        <v>1370</v>
      </c>
      <c r="B835" s="27" t="str">
        <f t="shared" si="55"/>
        <v>Texas</v>
      </c>
      <c r="C835" s="27" t="str">
        <f t="shared" ref="C835" si="59">MID(A833,FIND(";",A833)+1,100)</f>
        <v>Aransas</v>
      </c>
      <c r="D835" s="7">
        <f>'TX post'!D5</f>
        <v>424</v>
      </c>
      <c r="E835" s="2">
        <f>'TX post'!E5</f>
        <v>15</v>
      </c>
      <c r="F835" s="26">
        <v>127</v>
      </c>
      <c r="G835" s="2">
        <f>'TX post'!I5</f>
        <v>510</v>
      </c>
      <c r="H835" s="88">
        <f>'TX post'!M5</f>
        <v>131.37952755905513</v>
      </c>
      <c r="I835" s="29">
        <f>'TX post'!P5</f>
        <v>9861.75</v>
      </c>
      <c r="J835" s="27">
        <v>4</v>
      </c>
      <c r="K835" s="29">
        <f>'TX post'!R5</f>
        <v>34950</v>
      </c>
      <c r="L835" s="41">
        <v>1922</v>
      </c>
      <c r="N835" s="27" t="str">
        <f t="shared" si="56"/>
        <v>https://ia601500.us.archive.org/33/items/tx192224/1922-24%2c%20selected%20pages%20%28pp.%20192-93%20clipped%29.pdf</v>
      </c>
      <c r="O835" s="27" t="s">
        <v>1972</v>
      </c>
      <c r="P835" s="27" t="s">
        <v>548</v>
      </c>
      <c r="Q835" s="27" t="s">
        <v>2570</v>
      </c>
      <c r="R835" s="27" t="s">
        <v>547</v>
      </c>
      <c r="S835" s="27" t="str">
        <f t="shared" si="57"/>
        <v>https://ia601505.us.archive.org/29/items/tx192426/1924-26.pdf</v>
      </c>
      <c r="T835" s="27" t="str">
        <f t="shared" si="58"/>
        <v>https://babel.hathitrust.org/cgi/pt?id=uiug.30112058522902;view=1up;seq=175</v>
      </c>
      <c r="U835" s="27" t="s">
        <v>2570</v>
      </c>
    </row>
    <row r="836" spans="1:21" x14ac:dyDescent="0.25">
      <c r="A836" s="27" t="s">
        <v>1372</v>
      </c>
      <c r="B836" s="27" t="str">
        <f t="shared" si="55"/>
        <v>Texas</v>
      </c>
      <c r="C836" s="27" t="str">
        <f t="shared" ref="C836:C867" si="60">MID(A836,FIND(";",A836)+1,100)</f>
        <v>Archer</v>
      </c>
      <c r="D836" s="7">
        <f>'TX post'!D6</f>
        <v>449</v>
      </c>
      <c r="E836" s="2">
        <f>'TX post'!E6</f>
        <v>58</v>
      </c>
      <c r="F836" s="26">
        <v>140</v>
      </c>
      <c r="G836" s="2">
        <f>'TX post'!I6</f>
        <v>1259</v>
      </c>
      <c r="H836" s="88">
        <f>'TX post'!M6</f>
        <v>114.86714285714287</v>
      </c>
      <c r="I836" s="29">
        <f>'TX post'!P6</f>
        <v>115699.55</v>
      </c>
      <c r="J836" s="27">
        <v>30</v>
      </c>
      <c r="K836" s="29">
        <f>'TX post'!R6</f>
        <v>72500</v>
      </c>
      <c r="L836" s="41">
        <v>1922</v>
      </c>
      <c r="N836" s="27" t="str">
        <f t="shared" si="56"/>
        <v>https://ia601500.us.archive.org/33/items/tx192224/1922-24%2c%20selected%20pages%20%28pp.%20192-93%20clipped%29.pdf</v>
      </c>
      <c r="O836" s="27" t="s">
        <v>1972</v>
      </c>
      <c r="P836" s="27" t="s">
        <v>548</v>
      </c>
      <c r="Q836" s="27" t="s">
        <v>2570</v>
      </c>
      <c r="R836" s="27" t="s">
        <v>547</v>
      </c>
      <c r="S836" s="27" t="str">
        <f t="shared" si="57"/>
        <v>https://ia601505.us.archive.org/29/items/tx192426/1924-26.pdf</v>
      </c>
      <c r="T836" s="27" t="str">
        <f t="shared" si="58"/>
        <v>https://babel.hathitrust.org/cgi/pt?id=uiug.30112058522902;view=1up;seq=175</v>
      </c>
      <c r="U836" s="27" t="s">
        <v>2570</v>
      </c>
    </row>
    <row r="837" spans="1:21" x14ac:dyDescent="0.25">
      <c r="A837" s="27" t="s">
        <v>1373</v>
      </c>
      <c r="B837" s="27" t="str">
        <f t="shared" si="55"/>
        <v>Texas</v>
      </c>
      <c r="C837" s="27" t="str">
        <f t="shared" si="60"/>
        <v>Armstrong</v>
      </c>
      <c r="D837" s="7">
        <f>'TX post'!D7</f>
        <v>633</v>
      </c>
      <c r="E837" s="2">
        <f>'TX post'!E7</f>
        <v>34</v>
      </c>
      <c r="F837" s="26">
        <v>160</v>
      </c>
      <c r="G837" s="2">
        <f>'TX post'!I7</f>
        <v>837</v>
      </c>
      <c r="H837" s="88">
        <f>'TX post'!M7</f>
        <v>117.79125000000001</v>
      </c>
      <c r="I837" s="29">
        <f>'TX post'!P7</f>
        <v>53937.279999999999</v>
      </c>
      <c r="J837" s="27">
        <v>8</v>
      </c>
      <c r="K837" s="29">
        <f>'TX post'!R7</f>
        <v>31150</v>
      </c>
      <c r="L837" s="41">
        <v>1922</v>
      </c>
      <c r="N837" s="27" t="str">
        <f t="shared" si="56"/>
        <v>https://ia601500.us.archive.org/33/items/tx192224/1922-24%2c%20selected%20pages%20%28pp.%20192-93%20clipped%29.pdf</v>
      </c>
      <c r="O837" s="27" t="s">
        <v>1972</v>
      </c>
      <c r="P837" s="27" t="s">
        <v>548</v>
      </c>
      <c r="Q837" s="27" t="s">
        <v>2570</v>
      </c>
      <c r="R837" s="27" t="s">
        <v>547</v>
      </c>
      <c r="S837" s="27" t="str">
        <f t="shared" si="57"/>
        <v>https://ia601505.us.archive.org/29/items/tx192426/1924-26.pdf</v>
      </c>
      <c r="T837" s="27" t="str">
        <f t="shared" si="58"/>
        <v>https://babel.hathitrust.org/cgi/pt?id=uiug.30112058522902;view=1up;seq=175</v>
      </c>
      <c r="U837" s="27" t="s">
        <v>2570</v>
      </c>
    </row>
    <row r="838" spans="1:21" x14ac:dyDescent="0.25">
      <c r="A838" s="27" t="s">
        <v>1374</v>
      </c>
      <c r="B838" s="27" t="str">
        <f t="shared" si="55"/>
        <v>Texas</v>
      </c>
      <c r="C838" s="27" t="str">
        <f t="shared" si="60"/>
        <v>Atascosa</v>
      </c>
      <c r="D838" s="7">
        <f>'TX post'!D8</f>
        <v>1925</v>
      </c>
      <c r="E838" s="2">
        <f>'TX post'!E8</f>
        <v>101</v>
      </c>
      <c r="F838" s="26">
        <v>136.02000000000001</v>
      </c>
      <c r="G838" s="2">
        <f>'TX post'!I8</f>
        <v>3103</v>
      </c>
      <c r="H838" s="88">
        <f>'TX post'!M8</f>
        <v>120.09264705882353</v>
      </c>
      <c r="I838" s="29">
        <f>'TX post'!P8</f>
        <v>133600.23000000001</v>
      </c>
      <c r="J838" s="27">
        <v>35</v>
      </c>
      <c r="K838" s="29">
        <f>'TX post'!R8</f>
        <v>110252</v>
      </c>
      <c r="L838" s="41">
        <v>1922</v>
      </c>
      <c r="N838" s="27" t="str">
        <f t="shared" si="56"/>
        <v>https://ia601500.us.archive.org/33/items/tx192224/1922-24%2c%20selected%20pages%20%28pp.%20192-93%20clipped%29.pdf</v>
      </c>
      <c r="O838" s="27" t="s">
        <v>1972</v>
      </c>
      <c r="P838" s="27" t="s">
        <v>548</v>
      </c>
      <c r="Q838" s="27" t="s">
        <v>2570</v>
      </c>
      <c r="R838" s="27" t="s">
        <v>547</v>
      </c>
      <c r="S838" s="27" t="str">
        <f t="shared" si="57"/>
        <v>https://ia601505.us.archive.org/29/items/tx192426/1924-26.pdf</v>
      </c>
      <c r="T838" s="27" t="str">
        <f t="shared" si="58"/>
        <v>https://babel.hathitrust.org/cgi/pt?id=uiug.30112058522902;view=1up;seq=175</v>
      </c>
      <c r="U838" s="27" t="s">
        <v>2570</v>
      </c>
    </row>
    <row r="839" spans="1:21" x14ac:dyDescent="0.25">
      <c r="A839" s="27" t="s">
        <v>1375</v>
      </c>
      <c r="B839" s="27" t="str">
        <f t="shared" si="55"/>
        <v>Texas</v>
      </c>
      <c r="C839" s="27" t="str">
        <f t="shared" si="60"/>
        <v>Austin</v>
      </c>
      <c r="D839" s="7">
        <f>'TX post'!D9</f>
        <v>2687</v>
      </c>
      <c r="E839" s="2">
        <f>'TX post'!E9</f>
        <v>111</v>
      </c>
      <c r="F839" s="26">
        <v>134.46</v>
      </c>
      <c r="G839" s="2">
        <f>'TX post'!I9</f>
        <v>3789</v>
      </c>
      <c r="H839" s="88">
        <f>'TX post'!M9</f>
        <v>111.2134328358209</v>
      </c>
      <c r="I839" s="29">
        <f>'TX post'!P9</f>
        <v>103599.84</v>
      </c>
      <c r="J839" s="27">
        <v>56</v>
      </c>
      <c r="K839" s="29">
        <f>'TX post'!R9</f>
        <v>73296</v>
      </c>
      <c r="L839" s="41">
        <v>1922</v>
      </c>
      <c r="N839" s="27" t="str">
        <f t="shared" si="56"/>
        <v>https://ia601500.us.archive.org/33/items/tx192224/1922-24%2c%20selected%20pages%20%28pp.%20192-93%20clipped%29.pdf</v>
      </c>
      <c r="O839" s="27" t="s">
        <v>1972</v>
      </c>
      <c r="P839" s="27" t="s">
        <v>548</v>
      </c>
      <c r="Q839" s="27" t="s">
        <v>2570</v>
      </c>
      <c r="R839" s="27" t="s">
        <v>547</v>
      </c>
      <c r="S839" s="27" t="str">
        <f t="shared" si="57"/>
        <v>https://ia601505.us.archive.org/29/items/tx192426/1924-26.pdf</v>
      </c>
      <c r="T839" s="27" t="str">
        <f t="shared" si="58"/>
        <v>https://babel.hathitrust.org/cgi/pt?id=uiug.30112058522902;view=1up;seq=175</v>
      </c>
      <c r="U839" s="27" t="s">
        <v>2570</v>
      </c>
    </row>
    <row r="840" spans="1:21" x14ac:dyDescent="0.25">
      <c r="A840" s="27" t="s">
        <v>1376</v>
      </c>
      <c r="B840" s="27" t="str">
        <f t="shared" si="55"/>
        <v>Texas</v>
      </c>
      <c r="C840" s="27" t="str">
        <f t="shared" si="60"/>
        <v>Bailey</v>
      </c>
      <c r="D840" s="7">
        <f>'TX post'!D10</f>
        <v>222</v>
      </c>
      <c r="E840" s="2">
        <f>'TX post'!E10</f>
        <v>11</v>
      </c>
      <c r="F840" s="26">
        <v>157.33000000000001</v>
      </c>
      <c r="G840" s="2">
        <f>'TX post'!I10</f>
        <v>225</v>
      </c>
      <c r="H840" s="88">
        <f>'TX post'!M10</f>
        <v>136.73375796178343</v>
      </c>
      <c r="I840" s="29">
        <f>'TX post'!P10</f>
        <v>42937.7</v>
      </c>
      <c r="J840" s="27">
        <v>9</v>
      </c>
      <c r="K840" s="29">
        <f>'TX post'!R10</f>
        <v>13800</v>
      </c>
      <c r="L840" s="41">
        <v>1922</v>
      </c>
      <c r="N840" s="27" t="str">
        <f t="shared" si="56"/>
        <v>https://ia601500.us.archive.org/33/items/tx192224/1922-24%2c%20selected%20pages%20%28pp.%20192-93%20clipped%29.pdf</v>
      </c>
      <c r="O840" s="27" t="s">
        <v>1972</v>
      </c>
      <c r="P840" s="27" t="s">
        <v>548</v>
      </c>
      <c r="Q840" s="27" t="s">
        <v>2570</v>
      </c>
      <c r="R840" s="27" t="s">
        <v>547</v>
      </c>
      <c r="S840" s="27" t="str">
        <f t="shared" si="57"/>
        <v>https://ia601505.us.archive.org/29/items/tx192426/1924-26.pdf</v>
      </c>
      <c r="T840" s="27" t="str">
        <f t="shared" si="58"/>
        <v>https://babel.hathitrust.org/cgi/pt?id=uiug.30112058522902;view=1up;seq=175</v>
      </c>
      <c r="U840" s="27" t="s">
        <v>2570</v>
      </c>
    </row>
    <row r="841" spans="1:21" x14ac:dyDescent="0.25">
      <c r="A841" s="27" t="s">
        <v>1377</v>
      </c>
      <c r="B841" s="27" t="str">
        <f t="shared" si="55"/>
        <v>Texas</v>
      </c>
      <c r="C841" s="27" t="str">
        <f t="shared" si="60"/>
        <v>Bandera</v>
      </c>
      <c r="D841" s="7">
        <f>'TX post'!D11</f>
        <v>681</v>
      </c>
      <c r="E841" s="2">
        <f>'TX post'!E11</f>
        <v>38</v>
      </c>
      <c r="F841" s="26">
        <v>134.16</v>
      </c>
      <c r="G841" s="2">
        <f>'TX post'!I11</f>
        <v>971</v>
      </c>
      <c r="H841" s="88">
        <f>'TX post'!M11</f>
        <v>90.089552238805965</v>
      </c>
      <c r="I841" s="29">
        <f>'TX post'!P11</f>
        <v>29765</v>
      </c>
      <c r="J841" s="27">
        <v>25</v>
      </c>
      <c r="K841" s="29">
        <f>'TX post'!R11</f>
        <v>30683</v>
      </c>
      <c r="L841" s="41">
        <v>1922</v>
      </c>
      <c r="N841" s="27" t="str">
        <f t="shared" si="56"/>
        <v>https://ia601500.us.archive.org/33/items/tx192224/1922-24%2c%20selected%20pages%20%28pp.%20192-93%20clipped%29.pdf</v>
      </c>
      <c r="O841" s="27" t="s">
        <v>1972</v>
      </c>
      <c r="P841" s="27" t="s">
        <v>548</v>
      </c>
      <c r="Q841" s="27" t="s">
        <v>2570</v>
      </c>
      <c r="R841" s="27" t="s">
        <v>547</v>
      </c>
      <c r="S841" s="27" t="str">
        <f t="shared" si="57"/>
        <v>https://ia601505.us.archive.org/29/items/tx192426/1924-26.pdf</v>
      </c>
      <c r="T841" s="27" t="str">
        <f t="shared" si="58"/>
        <v>https://babel.hathitrust.org/cgi/pt?id=uiug.30112058522902;view=1up;seq=175</v>
      </c>
      <c r="U841" s="27" t="s">
        <v>2570</v>
      </c>
    </row>
    <row r="842" spans="1:21" x14ac:dyDescent="0.25">
      <c r="A842" s="27" t="s">
        <v>1378</v>
      </c>
      <c r="B842" s="27" t="str">
        <f t="shared" si="55"/>
        <v>Texas</v>
      </c>
      <c r="C842" s="27" t="str">
        <f t="shared" si="60"/>
        <v>Bastrop</v>
      </c>
      <c r="D842" s="7">
        <f>'TX post'!D12</f>
        <v>4260</v>
      </c>
      <c r="E842" s="2">
        <f>'TX post'!E12</f>
        <v>179</v>
      </c>
      <c r="F842" s="26">
        <v>122.9</v>
      </c>
      <c r="G842" s="2">
        <f>'TX post'!I12</f>
        <v>6386</v>
      </c>
      <c r="H842" s="88">
        <f>'TX post'!M12</f>
        <v>118.54471544715446</v>
      </c>
      <c r="I842" s="29">
        <f>'TX post'!P12</f>
        <v>173543.09</v>
      </c>
      <c r="J842" s="27">
        <v>80</v>
      </c>
      <c r="K842" s="29">
        <f>'TX post'!R12</f>
        <v>111100</v>
      </c>
      <c r="L842" s="41">
        <v>1922</v>
      </c>
      <c r="N842" s="27" t="str">
        <f t="shared" si="56"/>
        <v>https://ia601500.us.archive.org/33/items/tx192224/1922-24%2c%20selected%20pages%20%28pp.%20192-93%20clipped%29.pdf</v>
      </c>
      <c r="O842" s="27" t="s">
        <v>1972</v>
      </c>
      <c r="P842" s="27" t="s">
        <v>548</v>
      </c>
      <c r="Q842" s="27" t="s">
        <v>2570</v>
      </c>
      <c r="R842" s="27" t="s">
        <v>547</v>
      </c>
      <c r="S842" s="27" t="str">
        <f t="shared" si="57"/>
        <v>https://ia601505.us.archive.org/29/items/tx192426/1924-26.pdf</v>
      </c>
      <c r="T842" s="27" t="str">
        <f t="shared" si="58"/>
        <v>https://babel.hathitrust.org/cgi/pt?id=uiug.30112058522902;view=1up;seq=175</v>
      </c>
      <c r="U842" s="27" t="s">
        <v>2570</v>
      </c>
    </row>
    <row r="843" spans="1:21" x14ac:dyDescent="0.25">
      <c r="A843" s="27" t="s">
        <v>1379</v>
      </c>
      <c r="B843" s="27" t="str">
        <f t="shared" si="55"/>
        <v>Texas</v>
      </c>
      <c r="C843" s="27" t="str">
        <f t="shared" si="60"/>
        <v>Baylor</v>
      </c>
      <c r="D843" s="7">
        <f>'TX post'!D13</f>
        <v>2218</v>
      </c>
      <c r="E843" s="2">
        <f>'TX post'!E13</f>
        <v>70</v>
      </c>
      <c r="F843" s="26">
        <v>121</v>
      </c>
      <c r="G843" s="2">
        <f>'TX post'!I13</f>
        <v>2330</v>
      </c>
      <c r="H843" s="88">
        <f>'TX post'!M13</f>
        <v>140.09421487603308</v>
      </c>
      <c r="I843" s="29">
        <f>'TX post'!P13</f>
        <v>101576.03</v>
      </c>
      <c r="J843" s="27">
        <v>24</v>
      </c>
      <c r="K843" s="29">
        <f>'TX post'!R13</f>
        <v>103000</v>
      </c>
      <c r="L843" s="41">
        <v>1922</v>
      </c>
      <c r="N843" s="27" t="str">
        <f t="shared" si="56"/>
        <v>https://ia601500.us.archive.org/33/items/tx192224/1922-24%2c%20selected%20pages%20%28pp.%20192-93%20clipped%29.pdf</v>
      </c>
      <c r="O843" s="27" t="s">
        <v>1972</v>
      </c>
      <c r="P843" s="27" t="s">
        <v>548</v>
      </c>
      <c r="Q843" s="27" t="s">
        <v>2570</v>
      </c>
      <c r="R843" s="27" t="s">
        <v>547</v>
      </c>
      <c r="S843" s="27" t="str">
        <f t="shared" si="57"/>
        <v>https://ia601505.us.archive.org/29/items/tx192426/1924-26.pdf</v>
      </c>
      <c r="T843" s="27" t="str">
        <f t="shared" si="58"/>
        <v>https://babel.hathitrust.org/cgi/pt?id=uiug.30112058522902;view=1up;seq=175</v>
      </c>
      <c r="U843" s="27" t="s">
        <v>2570</v>
      </c>
    </row>
    <row r="844" spans="1:21" x14ac:dyDescent="0.25">
      <c r="A844" s="27" t="s">
        <v>1380</v>
      </c>
      <c r="B844" s="27" t="str">
        <f t="shared" si="55"/>
        <v>Texas</v>
      </c>
      <c r="C844" s="27" t="str">
        <f t="shared" si="60"/>
        <v>Bee</v>
      </c>
      <c r="D844" s="7">
        <f>'TX post'!D14</f>
        <v>1752</v>
      </c>
      <c r="E844" s="2">
        <f>'TX post'!E14</f>
        <v>80</v>
      </c>
      <c r="F844" s="26">
        <v>134.75</v>
      </c>
      <c r="G844" s="2">
        <f>'TX post'!I14</f>
        <v>2627</v>
      </c>
      <c r="H844" s="88">
        <f>'TX post'!M14</f>
        <v>151.95703703703705</v>
      </c>
      <c r="I844" s="29">
        <f>'TX post'!P14</f>
        <v>97795.36</v>
      </c>
      <c r="J844" s="27">
        <v>29</v>
      </c>
      <c r="K844" s="29">
        <f>'TX post'!R14</f>
        <v>75473</v>
      </c>
      <c r="L844" s="41">
        <v>1922</v>
      </c>
      <c r="N844" s="27" t="str">
        <f t="shared" si="56"/>
        <v>https://ia601500.us.archive.org/33/items/tx192224/1922-24%2c%20selected%20pages%20%28pp.%20192-93%20clipped%29.pdf</v>
      </c>
      <c r="O844" s="27" t="s">
        <v>1972</v>
      </c>
      <c r="P844" s="27" t="s">
        <v>548</v>
      </c>
      <c r="Q844" s="27" t="s">
        <v>2570</v>
      </c>
      <c r="R844" s="27" t="s">
        <v>547</v>
      </c>
      <c r="S844" s="27" t="str">
        <f t="shared" si="57"/>
        <v>https://ia601505.us.archive.org/29/items/tx192426/1924-26.pdf</v>
      </c>
      <c r="T844" s="27" t="str">
        <f t="shared" si="58"/>
        <v>https://babel.hathitrust.org/cgi/pt?id=uiug.30112058522902;view=1up;seq=175</v>
      </c>
      <c r="U844" s="27" t="s">
        <v>2570</v>
      </c>
    </row>
    <row r="845" spans="1:21" x14ac:dyDescent="0.25">
      <c r="A845" s="27" t="s">
        <v>1381</v>
      </c>
      <c r="B845" s="27" t="str">
        <f t="shared" si="55"/>
        <v>Texas</v>
      </c>
      <c r="C845" s="27" t="str">
        <f t="shared" si="60"/>
        <v>Bell</v>
      </c>
      <c r="D845" s="7">
        <f>'TX post'!D15</f>
        <v>9546</v>
      </c>
      <c r="E845" s="2">
        <f>'TX post'!E15</f>
        <v>329</v>
      </c>
      <c r="F845" s="26">
        <v>115.32</v>
      </c>
      <c r="G845" s="2">
        <f>'TX post'!I15</f>
        <v>13946</v>
      </c>
      <c r="H845" s="88">
        <f>'TX post'!M15</f>
        <v>166.40869565217392</v>
      </c>
      <c r="I845" s="29">
        <f>'TX post'!P15</f>
        <v>459408.95</v>
      </c>
      <c r="J845" s="27">
        <v>89</v>
      </c>
      <c r="K845" s="29">
        <f>'TX post'!R15</f>
        <v>276800</v>
      </c>
      <c r="L845" s="41">
        <v>1922</v>
      </c>
      <c r="N845" s="27" t="str">
        <f t="shared" si="56"/>
        <v>https://ia601500.us.archive.org/33/items/tx192224/1922-24%2c%20selected%20pages%20%28pp.%20192-93%20clipped%29.pdf</v>
      </c>
      <c r="O845" s="27" t="s">
        <v>1972</v>
      </c>
      <c r="P845" s="27" t="s">
        <v>548</v>
      </c>
      <c r="Q845" s="27" t="s">
        <v>2570</v>
      </c>
      <c r="R845" s="27" t="s">
        <v>547</v>
      </c>
      <c r="S845" s="27" t="str">
        <f t="shared" si="57"/>
        <v>https://ia601505.us.archive.org/29/items/tx192426/1924-26.pdf</v>
      </c>
      <c r="T845" s="27" t="str">
        <f t="shared" si="58"/>
        <v>https://babel.hathitrust.org/cgi/pt?id=uiug.30112058522902;view=1up;seq=175</v>
      </c>
      <c r="U845" s="27" t="s">
        <v>2570</v>
      </c>
    </row>
    <row r="846" spans="1:21" x14ac:dyDescent="0.25">
      <c r="A846" s="27" t="s">
        <v>1382</v>
      </c>
      <c r="B846" s="27" t="str">
        <f t="shared" si="55"/>
        <v>Texas</v>
      </c>
      <c r="C846" s="27" t="str">
        <f t="shared" si="60"/>
        <v>Bexar</v>
      </c>
      <c r="D846" s="7">
        <f>'TX post'!D16</f>
        <v>4155</v>
      </c>
      <c r="E846" s="2">
        <f>'TX post'!E16</f>
        <v>803</v>
      </c>
      <c r="F846" s="26">
        <v>173.96</v>
      </c>
      <c r="G846" s="2">
        <f>'TX post'!I16</f>
        <v>33649</v>
      </c>
      <c r="H846" s="88">
        <f>'TX post'!M16</f>
        <v>139</v>
      </c>
      <c r="I846" s="29">
        <f>'TX post'!P16</f>
        <v>2234437.46</v>
      </c>
      <c r="J846" s="27">
        <v>62</v>
      </c>
      <c r="K846" s="29">
        <f>'TX post'!R16</f>
        <v>383468</v>
      </c>
      <c r="L846" s="41">
        <v>1922</v>
      </c>
      <c r="N846" s="27" t="str">
        <f t="shared" si="56"/>
        <v>https://ia601500.us.archive.org/33/items/tx192224/1922-24%2c%20selected%20pages%20%28pp.%20192-93%20clipped%29.pdf</v>
      </c>
      <c r="O846" s="27" t="s">
        <v>1972</v>
      </c>
      <c r="P846" s="27" t="s">
        <v>548</v>
      </c>
      <c r="Q846" s="27" t="s">
        <v>2570</v>
      </c>
      <c r="R846" s="27" t="s">
        <v>547</v>
      </c>
      <c r="S846" s="27" t="str">
        <f t="shared" si="57"/>
        <v>https://ia601505.us.archive.org/29/items/tx192426/1924-26.pdf</v>
      </c>
      <c r="T846" s="27" t="str">
        <f t="shared" si="58"/>
        <v>https://babel.hathitrust.org/cgi/pt?id=uiug.30112058522902;view=1up;seq=175</v>
      </c>
      <c r="U846" s="27" t="s">
        <v>2570</v>
      </c>
    </row>
    <row r="847" spans="1:21" x14ac:dyDescent="0.25">
      <c r="A847" s="27" t="s">
        <v>1383</v>
      </c>
      <c r="B847" s="27" t="str">
        <f t="shared" si="55"/>
        <v>Texas</v>
      </c>
      <c r="C847" s="27" t="str">
        <f t="shared" si="60"/>
        <v>Blanco</v>
      </c>
      <c r="D847" s="7">
        <f>'TX post'!D17</f>
        <v>751</v>
      </c>
      <c r="E847" s="2">
        <f>'TX post'!E17</f>
        <v>34</v>
      </c>
      <c r="F847" s="26">
        <v>133.69</v>
      </c>
      <c r="G847" s="2">
        <f>'TX post'!I17</f>
        <v>902</v>
      </c>
      <c r="H847" s="88">
        <f>'TX post'!M17</f>
        <v>89.05074626865671</v>
      </c>
      <c r="I847" s="29">
        <f>'TX post'!P17</f>
        <v>18358.580000000002</v>
      </c>
      <c r="J847" s="27">
        <v>23</v>
      </c>
      <c r="K847" s="29">
        <f>'TX post'!R17</f>
        <v>22603</v>
      </c>
      <c r="L847" s="41">
        <v>1922</v>
      </c>
      <c r="N847" s="27" t="str">
        <f t="shared" si="56"/>
        <v>https://ia601500.us.archive.org/33/items/tx192224/1922-24%2c%20selected%20pages%20%28pp.%20192-93%20clipped%29.pdf</v>
      </c>
      <c r="O847" s="27" t="s">
        <v>1972</v>
      </c>
      <c r="P847" s="27" t="s">
        <v>548</v>
      </c>
      <c r="Q847" s="27" t="s">
        <v>2570</v>
      </c>
      <c r="R847" s="27" t="s">
        <v>547</v>
      </c>
      <c r="S847" s="27" t="str">
        <f t="shared" si="57"/>
        <v>https://ia601505.us.archive.org/29/items/tx192426/1924-26.pdf</v>
      </c>
      <c r="T847" s="27" t="str">
        <f t="shared" si="58"/>
        <v>https://babel.hathitrust.org/cgi/pt?id=uiug.30112058522902;view=1up;seq=175</v>
      </c>
      <c r="U847" s="27" t="s">
        <v>2570</v>
      </c>
    </row>
    <row r="848" spans="1:21" x14ac:dyDescent="0.25">
      <c r="A848" s="27" t="s">
        <v>1384</v>
      </c>
      <c r="B848" s="27" t="str">
        <f t="shared" si="55"/>
        <v>Texas</v>
      </c>
      <c r="C848" s="27" t="str">
        <f t="shared" si="60"/>
        <v>Borden</v>
      </c>
      <c r="D848" s="7">
        <f>'TX post'!D18</f>
        <v>225</v>
      </c>
      <c r="E848" s="2">
        <f>'TX post'!E18</f>
        <v>21</v>
      </c>
      <c r="F848" s="26">
        <v>130.36000000000001</v>
      </c>
      <c r="G848" s="2">
        <f>'TX post'!I18</f>
        <v>333</v>
      </c>
      <c r="H848" s="88">
        <f>'TX post'!M18</f>
        <v>93.156923076923078</v>
      </c>
      <c r="I848" s="29">
        <f>'TX post'!P18</f>
        <v>10629.64</v>
      </c>
      <c r="J848" s="27">
        <v>11</v>
      </c>
      <c r="K848" s="29">
        <f>'TX post'!R18</f>
        <v>17850</v>
      </c>
      <c r="L848" s="41">
        <v>1922</v>
      </c>
      <c r="N848" s="27" t="str">
        <f t="shared" si="56"/>
        <v>https://ia601500.us.archive.org/33/items/tx192224/1922-24%2c%20selected%20pages%20%28pp.%20192-93%20clipped%29.pdf</v>
      </c>
      <c r="O848" s="27" t="s">
        <v>1972</v>
      </c>
      <c r="P848" s="27" t="s">
        <v>548</v>
      </c>
      <c r="Q848" s="27" t="s">
        <v>2570</v>
      </c>
      <c r="R848" s="27" t="s">
        <v>547</v>
      </c>
      <c r="S848" s="27" t="str">
        <f t="shared" si="57"/>
        <v>https://ia601505.us.archive.org/29/items/tx192426/1924-26.pdf</v>
      </c>
      <c r="T848" s="27" t="str">
        <f t="shared" si="58"/>
        <v>https://babel.hathitrust.org/cgi/pt?id=uiug.30112058522902;view=1up;seq=175</v>
      </c>
      <c r="U848" s="27" t="s">
        <v>2570</v>
      </c>
    </row>
    <row r="849" spans="1:21" x14ac:dyDescent="0.25">
      <c r="A849" s="27" t="s">
        <v>1385</v>
      </c>
      <c r="B849" s="27" t="str">
        <f t="shared" si="55"/>
        <v>Texas</v>
      </c>
      <c r="C849" s="27" t="str">
        <f t="shared" si="60"/>
        <v>Bosque</v>
      </c>
      <c r="D849" s="7">
        <f>'TX post'!D19</f>
        <v>3546</v>
      </c>
      <c r="E849" s="2">
        <f>'TX post'!E19</f>
        <v>160</v>
      </c>
      <c r="F849" s="26">
        <v>118</v>
      </c>
      <c r="G849" s="2">
        <f>'TX post'!I19</f>
        <v>5000</v>
      </c>
      <c r="H849" s="88">
        <f>'TX post'!M19</f>
        <v>114.22203389830507</v>
      </c>
      <c r="I849" s="29">
        <f>'TX post'!P19</f>
        <v>151522.54</v>
      </c>
      <c r="J849" s="27">
        <v>55</v>
      </c>
      <c r="K849" s="29">
        <f>'TX post'!R19</f>
        <v>142449</v>
      </c>
      <c r="L849" s="41">
        <v>1922</v>
      </c>
      <c r="N849" s="27" t="str">
        <f t="shared" si="56"/>
        <v>https://ia601500.us.archive.org/33/items/tx192224/1922-24%2c%20selected%20pages%20%28pp.%20192-93%20clipped%29.pdf</v>
      </c>
      <c r="O849" s="27" t="s">
        <v>1972</v>
      </c>
      <c r="P849" s="27" t="s">
        <v>548</v>
      </c>
      <c r="Q849" s="27" t="s">
        <v>2570</v>
      </c>
      <c r="R849" s="27" t="s">
        <v>547</v>
      </c>
      <c r="S849" s="27" t="str">
        <f t="shared" si="57"/>
        <v>https://ia601505.us.archive.org/29/items/tx192426/1924-26.pdf</v>
      </c>
      <c r="T849" s="27" t="str">
        <f t="shared" si="58"/>
        <v>https://babel.hathitrust.org/cgi/pt?id=uiug.30112058522902;view=1up;seq=175</v>
      </c>
      <c r="U849" s="27" t="s">
        <v>2570</v>
      </c>
    </row>
    <row r="850" spans="1:21" x14ac:dyDescent="0.25">
      <c r="A850" s="27" t="s">
        <v>1386</v>
      </c>
      <c r="B850" s="27" t="str">
        <f t="shared" si="55"/>
        <v>Texas</v>
      </c>
      <c r="C850" s="27" t="str">
        <f t="shared" si="60"/>
        <v>Bowie</v>
      </c>
      <c r="D850" s="7">
        <f>'TX post'!D20</f>
        <v>7592</v>
      </c>
      <c r="E850" s="2">
        <f>'TX post'!E20</f>
        <v>278</v>
      </c>
      <c r="F850" s="26">
        <v>133</v>
      </c>
      <c r="G850" s="2">
        <f>'TX post'!I20</f>
        <v>12057</v>
      </c>
      <c r="H850" s="88">
        <f>'TX post'!M20</f>
        <v>110.05714285714285</v>
      </c>
      <c r="I850" s="29">
        <f>'TX post'!P20</f>
        <v>322241.69</v>
      </c>
      <c r="J850" s="27">
        <v>90</v>
      </c>
      <c r="K850" s="29">
        <f>'TX post'!R20</f>
        <v>33675</v>
      </c>
      <c r="L850" s="41">
        <v>1922</v>
      </c>
      <c r="N850" s="27" t="str">
        <f t="shared" si="56"/>
        <v>https://ia601500.us.archive.org/33/items/tx192224/1922-24%2c%20selected%20pages%20%28pp.%20192-93%20clipped%29.pdf</v>
      </c>
      <c r="O850" s="27" t="s">
        <v>1972</v>
      </c>
      <c r="P850" s="27" t="s">
        <v>548</v>
      </c>
      <c r="Q850" s="27" t="s">
        <v>2570</v>
      </c>
      <c r="R850" s="27" t="s">
        <v>547</v>
      </c>
      <c r="S850" s="27" t="str">
        <f t="shared" si="57"/>
        <v>https://ia601505.us.archive.org/29/items/tx192426/1924-26.pdf</v>
      </c>
      <c r="T850" s="27" t="str">
        <f t="shared" si="58"/>
        <v>https://babel.hathitrust.org/cgi/pt?id=uiug.30112058522902;view=1up;seq=175</v>
      </c>
      <c r="U850" s="27" t="s">
        <v>2570</v>
      </c>
    </row>
    <row r="851" spans="1:21" x14ac:dyDescent="0.25">
      <c r="A851" s="27" t="s">
        <v>1387</v>
      </c>
      <c r="B851" s="27" t="str">
        <f t="shared" si="55"/>
        <v>Texas</v>
      </c>
      <c r="C851" s="27" t="str">
        <f t="shared" si="60"/>
        <v>Brazoria</v>
      </c>
      <c r="D851" s="7">
        <f>'TX post'!D21</f>
        <v>2911</v>
      </c>
      <c r="E851" s="2">
        <f>'TX post'!E21</f>
        <v>165</v>
      </c>
      <c r="F851" s="26">
        <v>155.25</v>
      </c>
      <c r="G851" s="2">
        <f>'TX post'!I21</f>
        <v>5016</v>
      </c>
      <c r="H851" s="88">
        <f>'TX post'!M21</f>
        <v>112.45548387096774</v>
      </c>
      <c r="I851" s="29">
        <f>'TX post'!P21</f>
        <v>261975.58</v>
      </c>
      <c r="J851" s="27">
        <v>59</v>
      </c>
      <c r="K851" s="29">
        <f>'TX post'!R21</f>
        <v>232275</v>
      </c>
      <c r="L851" s="41">
        <v>1922</v>
      </c>
      <c r="N851" s="27" t="str">
        <f t="shared" si="56"/>
        <v>https://ia601500.us.archive.org/33/items/tx192224/1922-24%2c%20selected%20pages%20%28pp.%20192-93%20clipped%29.pdf</v>
      </c>
      <c r="O851" s="27" t="s">
        <v>1972</v>
      </c>
      <c r="P851" s="27" t="s">
        <v>548</v>
      </c>
      <c r="Q851" s="27" t="s">
        <v>2570</v>
      </c>
      <c r="R851" s="27" t="s">
        <v>547</v>
      </c>
      <c r="S851" s="27" t="str">
        <f t="shared" si="57"/>
        <v>https://ia601505.us.archive.org/29/items/tx192426/1924-26.pdf</v>
      </c>
      <c r="T851" s="27" t="str">
        <f t="shared" si="58"/>
        <v>https://babel.hathitrust.org/cgi/pt?id=uiug.30112058522902;view=1up;seq=175</v>
      </c>
      <c r="U851" s="27" t="s">
        <v>2570</v>
      </c>
    </row>
    <row r="852" spans="1:21" x14ac:dyDescent="0.25">
      <c r="A852" s="27" t="s">
        <v>1388</v>
      </c>
      <c r="B852" s="27" t="str">
        <f t="shared" si="55"/>
        <v>Texas</v>
      </c>
      <c r="C852" s="27" t="str">
        <f t="shared" si="60"/>
        <v>Brazos</v>
      </c>
      <c r="D852" s="7">
        <f>'TX post'!D22</f>
        <v>3935</v>
      </c>
      <c r="E852" s="2">
        <f>'TX post'!E22</f>
        <v>138</v>
      </c>
      <c r="F852" s="26">
        <v>126.32</v>
      </c>
      <c r="G852" s="2">
        <f>'TX post'!I22</f>
        <v>5085</v>
      </c>
      <c r="H852" s="88">
        <f>'TX post'!M22</f>
        <v>147.91428571428571</v>
      </c>
      <c r="I852" s="29">
        <f>'TX post'!P22</f>
        <v>163491.10999999999</v>
      </c>
      <c r="J852" s="27">
        <v>64</v>
      </c>
      <c r="K852" s="29">
        <f>'TX post'!R22</f>
        <v>112830</v>
      </c>
      <c r="L852" s="41">
        <v>1922</v>
      </c>
      <c r="N852" s="27" t="str">
        <f t="shared" si="56"/>
        <v>https://ia601500.us.archive.org/33/items/tx192224/1922-24%2c%20selected%20pages%20%28pp.%20192-93%20clipped%29.pdf</v>
      </c>
      <c r="O852" s="27" t="s">
        <v>1972</v>
      </c>
      <c r="P852" s="27" t="s">
        <v>548</v>
      </c>
      <c r="Q852" s="27" t="s">
        <v>2570</v>
      </c>
      <c r="R852" s="27" t="s">
        <v>547</v>
      </c>
      <c r="S852" s="27" t="str">
        <f t="shared" si="57"/>
        <v>https://ia601505.us.archive.org/29/items/tx192426/1924-26.pdf</v>
      </c>
      <c r="T852" s="27" t="str">
        <f t="shared" si="58"/>
        <v>https://babel.hathitrust.org/cgi/pt?id=uiug.30112058522902;view=1up;seq=175</v>
      </c>
      <c r="U852" s="27" t="s">
        <v>2570</v>
      </c>
    </row>
    <row r="853" spans="1:21" x14ac:dyDescent="0.25">
      <c r="A853" s="27" t="s">
        <v>1389</v>
      </c>
      <c r="B853" s="27" t="str">
        <f t="shared" si="55"/>
        <v>Texas</v>
      </c>
      <c r="C853" s="27" t="str">
        <f t="shared" si="60"/>
        <v>Brewster</v>
      </c>
      <c r="D853" s="7">
        <f>'TX post'!D23</f>
        <v>553</v>
      </c>
      <c r="E853" s="2">
        <f>'TX post'!E23</f>
        <v>36</v>
      </c>
      <c r="F853" s="26">
        <v>149</v>
      </c>
      <c r="G853" s="2">
        <f>'TX post'!I23</f>
        <v>11903</v>
      </c>
      <c r="H853" s="88">
        <f>'TX post'!M23</f>
        <v>96.740939597315432</v>
      </c>
      <c r="I853" s="29">
        <f>'TX post'!P23</f>
        <v>47378.55</v>
      </c>
      <c r="J853" s="27">
        <v>6</v>
      </c>
      <c r="K853" s="29">
        <f>'TX post'!R23</f>
        <v>2075.5</v>
      </c>
      <c r="L853" s="41">
        <v>1922</v>
      </c>
      <c r="N853" s="27" t="str">
        <f t="shared" si="56"/>
        <v>https://ia601500.us.archive.org/33/items/tx192224/1922-24%2c%20selected%20pages%20%28pp.%20192-93%20clipped%29.pdf</v>
      </c>
      <c r="O853" s="27" t="s">
        <v>1972</v>
      </c>
      <c r="P853" s="27" t="s">
        <v>548</v>
      </c>
      <c r="Q853" s="27" t="s">
        <v>2570</v>
      </c>
      <c r="R853" s="27" t="s">
        <v>547</v>
      </c>
      <c r="S853" s="27" t="str">
        <f t="shared" si="57"/>
        <v>https://ia601505.us.archive.org/29/items/tx192426/1924-26.pdf</v>
      </c>
      <c r="T853" s="27" t="str">
        <f t="shared" si="58"/>
        <v>https://babel.hathitrust.org/cgi/pt?id=uiug.30112058522902;view=1up;seq=175</v>
      </c>
      <c r="U853" s="27" t="s">
        <v>2570</v>
      </c>
    </row>
    <row r="854" spans="1:21" x14ac:dyDescent="0.25">
      <c r="A854" s="27" t="s">
        <v>1390</v>
      </c>
      <c r="B854" s="27" t="str">
        <f t="shared" si="55"/>
        <v>Texas</v>
      </c>
      <c r="C854" s="27" t="str">
        <f t="shared" si="60"/>
        <v>Briscoe</v>
      </c>
      <c r="D854" s="7">
        <f>'TX post'!D24</f>
        <v>607</v>
      </c>
      <c r="E854" s="2">
        <f>'TX post'!E24</f>
        <v>40</v>
      </c>
      <c r="F854" s="26">
        <v>154</v>
      </c>
      <c r="G854" s="2">
        <f>'TX post'!I24</f>
        <v>1124</v>
      </c>
      <c r="H854" s="88">
        <f>'TX post'!M24</f>
        <v>125.22727272727272</v>
      </c>
      <c r="I854" s="29">
        <f>'TX post'!P24</f>
        <v>51387.92</v>
      </c>
      <c r="J854" s="27">
        <v>12</v>
      </c>
      <c r="K854" s="29">
        <f>'TX post'!R24</f>
        <v>72290</v>
      </c>
      <c r="L854" s="41">
        <v>1922</v>
      </c>
      <c r="N854" s="27" t="str">
        <f t="shared" si="56"/>
        <v>https://ia601500.us.archive.org/33/items/tx192224/1922-24%2c%20selected%20pages%20%28pp.%20192-93%20clipped%29.pdf</v>
      </c>
      <c r="O854" s="27" t="s">
        <v>1972</v>
      </c>
      <c r="P854" s="27" t="s">
        <v>548</v>
      </c>
      <c r="Q854" s="27" t="s">
        <v>2570</v>
      </c>
      <c r="R854" s="27" t="s">
        <v>547</v>
      </c>
      <c r="S854" s="27" t="str">
        <f t="shared" si="57"/>
        <v>https://ia601505.us.archive.org/29/items/tx192426/1924-26.pdf</v>
      </c>
      <c r="T854" s="27" t="str">
        <f t="shared" si="58"/>
        <v>https://babel.hathitrust.org/cgi/pt?id=uiug.30112058522902;view=1up;seq=175</v>
      </c>
      <c r="U854" s="27" t="s">
        <v>2570</v>
      </c>
    </row>
    <row r="855" spans="1:21" x14ac:dyDescent="0.25">
      <c r="A855" s="27" t="s">
        <v>1391</v>
      </c>
      <c r="B855" s="27" t="str">
        <f t="shared" si="55"/>
        <v>Texas</v>
      </c>
      <c r="C855" s="27" t="str">
        <f t="shared" si="60"/>
        <v>Brooks</v>
      </c>
      <c r="D855" s="7">
        <f>'TX post'!D25</f>
        <v>453</v>
      </c>
      <c r="E855" s="2">
        <f>'TX post'!E25</f>
        <v>17</v>
      </c>
      <c r="F855" s="26">
        <v>160</v>
      </c>
      <c r="G855" s="2">
        <f>'TX post'!I25</f>
        <v>603</v>
      </c>
      <c r="H855" s="88">
        <f>'TX post'!M25</f>
        <v>177.27875</v>
      </c>
      <c r="I855" s="29">
        <f>'TX post'!P25</f>
        <v>27356.19</v>
      </c>
      <c r="J855" s="27">
        <v>3</v>
      </c>
      <c r="K855" s="29">
        <f>'TX post'!R25</f>
        <v>800</v>
      </c>
      <c r="L855" s="41">
        <v>1922</v>
      </c>
      <c r="N855" s="27" t="str">
        <f t="shared" si="56"/>
        <v>https://ia601500.us.archive.org/33/items/tx192224/1922-24%2c%20selected%20pages%20%28pp.%20192-93%20clipped%29.pdf</v>
      </c>
      <c r="O855" s="27" t="s">
        <v>1972</v>
      </c>
      <c r="P855" s="27" t="s">
        <v>548</v>
      </c>
      <c r="Q855" s="27" t="s">
        <v>2570</v>
      </c>
      <c r="R855" s="27" t="s">
        <v>547</v>
      </c>
      <c r="S855" s="27" t="str">
        <f t="shared" si="57"/>
        <v>https://ia601505.us.archive.org/29/items/tx192426/1924-26.pdf</v>
      </c>
      <c r="T855" s="27" t="str">
        <f t="shared" si="58"/>
        <v>https://babel.hathitrust.org/cgi/pt?id=uiug.30112058522902;view=1up;seq=175</v>
      </c>
      <c r="U855" s="27" t="s">
        <v>2570</v>
      </c>
    </row>
    <row r="856" spans="1:21" x14ac:dyDescent="0.25">
      <c r="A856" s="27" t="s">
        <v>1392</v>
      </c>
      <c r="B856" s="27" t="str">
        <f t="shared" si="55"/>
        <v>Texas</v>
      </c>
      <c r="C856" s="27" t="str">
        <f t="shared" si="60"/>
        <v>Brown</v>
      </c>
      <c r="D856" s="7">
        <f>'TX post'!D26</f>
        <v>4433</v>
      </c>
      <c r="E856" s="2">
        <f>'TX post'!E26</f>
        <v>181</v>
      </c>
      <c r="F856" s="26">
        <v>118.38</v>
      </c>
      <c r="G856" s="2">
        <f>'TX post'!I26</f>
        <v>7072</v>
      </c>
      <c r="H856" s="88">
        <f>'TX post'!M26</f>
        <v>149.29999999999998</v>
      </c>
      <c r="I856" s="29">
        <f>'TX post'!P26</f>
        <v>219550.77</v>
      </c>
      <c r="J856" s="27">
        <v>50</v>
      </c>
      <c r="K856" s="29">
        <f>'TX post'!R26</f>
        <v>204175</v>
      </c>
      <c r="L856" s="41">
        <v>1922</v>
      </c>
      <c r="N856" s="27" t="str">
        <f t="shared" si="56"/>
        <v>https://ia601500.us.archive.org/33/items/tx192224/1922-24%2c%20selected%20pages%20%28pp.%20192-93%20clipped%29.pdf</v>
      </c>
      <c r="O856" s="27" t="s">
        <v>1972</v>
      </c>
      <c r="P856" s="27" t="s">
        <v>548</v>
      </c>
      <c r="Q856" s="27" t="s">
        <v>2570</v>
      </c>
      <c r="R856" s="27" t="s">
        <v>547</v>
      </c>
      <c r="S856" s="27" t="str">
        <f t="shared" si="57"/>
        <v>https://ia601505.us.archive.org/29/items/tx192426/1924-26.pdf</v>
      </c>
      <c r="T856" s="27" t="str">
        <f t="shared" si="58"/>
        <v>https://babel.hathitrust.org/cgi/pt?id=uiug.30112058522902;view=1up;seq=175</v>
      </c>
      <c r="U856" s="27" t="s">
        <v>2570</v>
      </c>
    </row>
    <row r="857" spans="1:21" x14ac:dyDescent="0.25">
      <c r="A857" s="27" t="s">
        <v>1393</v>
      </c>
      <c r="B857" s="27" t="str">
        <f t="shared" si="55"/>
        <v>Texas</v>
      </c>
      <c r="C857" s="27" t="str">
        <f t="shared" si="60"/>
        <v>Burleson</v>
      </c>
      <c r="D857" s="7">
        <f>'TX post'!D27</f>
        <v>4015</v>
      </c>
      <c r="E857" s="2">
        <f>'TX post'!E27</f>
        <v>134</v>
      </c>
      <c r="F857" s="26">
        <v>129</v>
      </c>
      <c r="G857" s="2">
        <f>'TX post'!I27</f>
        <v>5251</v>
      </c>
      <c r="H857" s="88">
        <f>'TX post'!M27</f>
        <v>111.75503875968992</v>
      </c>
      <c r="I857" s="29">
        <f>'TX post'!P27</f>
        <v>132909.94</v>
      </c>
      <c r="J857" s="27">
        <v>69</v>
      </c>
      <c r="K857" s="29">
        <f>'TX post'!R27</f>
        <v>126400</v>
      </c>
      <c r="L857" s="41">
        <v>1922</v>
      </c>
      <c r="N857" s="27" t="str">
        <f t="shared" si="56"/>
        <v>https://ia601500.us.archive.org/33/items/tx192224/1922-24%2c%20selected%20pages%20%28pp.%20192-93%20clipped%29.pdf</v>
      </c>
      <c r="O857" s="27" t="s">
        <v>1972</v>
      </c>
      <c r="P857" s="27" t="s">
        <v>548</v>
      </c>
      <c r="Q857" s="27" t="s">
        <v>2570</v>
      </c>
      <c r="R857" s="27" t="s">
        <v>547</v>
      </c>
      <c r="S857" s="27" t="str">
        <f t="shared" si="57"/>
        <v>https://ia601505.us.archive.org/29/items/tx192426/1924-26.pdf</v>
      </c>
      <c r="T857" s="27" t="str">
        <f t="shared" si="58"/>
        <v>https://babel.hathitrust.org/cgi/pt?id=uiug.30112058522902;view=1up;seq=175</v>
      </c>
      <c r="U857" s="27" t="s">
        <v>2570</v>
      </c>
    </row>
    <row r="858" spans="1:21" x14ac:dyDescent="0.25">
      <c r="A858" s="27" t="s">
        <v>1394</v>
      </c>
      <c r="B858" s="27" t="str">
        <f t="shared" si="55"/>
        <v>Texas</v>
      </c>
      <c r="C858" s="27" t="str">
        <f t="shared" si="60"/>
        <v>Burnet</v>
      </c>
      <c r="D858" s="7">
        <f>'TX post'!D28</f>
        <v>1728</v>
      </c>
      <c r="E858" s="2">
        <f>'TX post'!E28</f>
        <v>83</v>
      </c>
      <c r="F858" s="26">
        <v>121.11</v>
      </c>
      <c r="G858" s="2">
        <f>'TX post'!I28</f>
        <v>2642</v>
      </c>
      <c r="H858" s="88">
        <f>'TX post'!M28</f>
        <v>97.552066115702488</v>
      </c>
      <c r="I858" s="29">
        <f>'TX post'!P28</f>
        <v>75831.39</v>
      </c>
      <c r="J858" s="27">
        <v>36</v>
      </c>
      <c r="K858" s="29">
        <f>'TX post'!R28</f>
        <v>51800</v>
      </c>
      <c r="L858" s="41">
        <v>1922</v>
      </c>
      <c r="N858" s="27" t="str">
        <f t="shared" si="56"/>
        <v>https://ia601500.us.archive.org/33/items/tx192224/1922-24%2c%20selected%20pages%20%28pp.%20192-93%20clipped%29.pdf</v>
      </c>
      <c r="O858" s="27" t="s">
        <v>1972</v>
      </c>
      <c r="P858" s="27" t="s">
        <v>548</v>
      </c>
      <c r="Q858" s="27" t="s">
        <v>2570</v>
      </c>
      <c r="R858" s="27" t="s">
        <v>547</v>
      </c>
      <c r="S858" s="27" t="str">
        <f t="shared" si="57"/>
        <v>https://ia601505.us.archive.org/29/items/tx192426/1924-26.pdf</v>
      </c>
      <c r="T858" s="27" t="str">
        <f t="shared" si="58"/>
        <v>https://babel.hathitrust.org/cgi/pt?id=uiug.30112058522902;view=1up;seq=175</v>
      </c>
      <c r="U858" s="27" t="s">
        <v>2570</v>
      </c>
    </row>
    <row r="859" spans="1:21" x14ac:dyDescent="0.25">
      <c r="A859" s="27" t="s">
        <v>1395</v>
      </c>
      <c r="B859" s="27" t="str">
        <f t="shared" si="55"/>
        <v>Texas</v>
      </c>
      <c r="C859" s="27" t="str">
        <f t="shared" si="60"/>
        <v>Caldwell</v>
      </c>
      <c r="D859" s="7">
        <f>'TX post'!D29</f>
        <v>3283</v>
      </c>
      <c r="E859" s="2">
        <f>'TX post'!E29</f>
        <v>150</v>
      </c>
      <c r="F859" s="26">
        <v>140</v>
      </c>
      <c r="G859" s="2">
        <f>'TX post'!I29</f>
        <v>5217</v>
      </c>
      <c r="H859" s="88">
        <f>'TX post'!M29</f>
        <v>99.28</v>
      </c>
      <c r="I859" s="29">
        <f>'TX post'!P29</f>
        <v>184656.43</v>
      </c>
      <c r="J859" s="27">
        <v>61</v>
      </c>
      <c r="K859" s="29">
        <f>'TX post'!R29</f>
        <v>107525</v>
      </c>
      <c r="L859" s="41">
        <v>1922</v>
      </c>
      <c r="N859" s="27" t="str">
        <f t="shared" si="56"/>
        <v>https://ia601500.us.archive.org/33/items/tx192224/1922-24%2c%20selected%20pages%20%28pp.%20192-93%20clipped%29.pdf</v>
      </c>
      <c r="O859" s="27" t="s">
        <v>1972</v>
      </c>
      <c r="P859" s="27" t="s">
        <v>548</v>
      </c>
      <c r="Q859" s="27" t="s">
        <v>2570</v>
      </c>
      <c r="R859" s="27" t="s">
        <v>547</v>
      </c>
      <c r="S859" s="27" t="str">
        <f t="shared" si="57"/>
        <v>https://ia601505.us.archive.org/29/items/tx192426/1924-26.pdf</v>
      </c>
      <c r="T859" s="27" t="str">
        <f t="shared" si="58"/>
        <v>https://babel.hathitrust.org/cgi/pt?id=uiug.30112058522902;view=1up;seq=175</v>
      </c>
      <c r="U859" s="27" t="s">
        <v>2570</v>
      </c>
    </row>
    <row r="860" spans="1:21" x14ac:dyDescent="0.25">
      <c r="A860" s="27" t="s">
        <v>1396</v>
      </c>
      <c r="B860" s="27" t="str">
        <f t="shared" si="55"/>
        <v>Texas</v>
      </c>
      <c r="C860" s="27" t="str">
        <f t="shared" si="60"/>
        <v>Calhoun</v>
      </c>
      <c r="D860" s="7">
        <f>'TX post'!D30</f>
        <v>667</v>
      </c>
      <c r="E860" s="2">
        <f>'TX post'!E30</f>
        <v>29</v>
      </c>
      <c r="F860" s="26">
        <v>137</v>
      </c>
      <c r="G860" s="2">
        <f>'TX post'!I30</f>
        <v>894</v>
      </c>
      <c r="H860" s="88">
        <f>'TX post'!M30</f>
        <v>91.783941605839431</v>
      </c>
      <c r="I860" s="29">
        <f>'TX post'!P30</f>
        <v>45541.58</v>
      </c>
      <c r="J860" s="27">
        <v>10</v>
      </c>
      <c r="K860" s="29">
        <f>'TX post'!R30</f>
        <v>32720</v>
      </c>
      <c r="L860" s="41">
        <v>1922</v>
      </c>
      <c r="N860" s="27" t="str">
        <f t="shared" si="56"/>
        <v>https://ia601500.us.archive.org/33/items/tx192224/1922-24%2c%20selected%20pages%20%28pp.%20192-93%20clipped%29.pdf</v>
      </c>
      <c r="O860" s="27" t="s">
        <v>1972</v>
      </c>
      <c r="P860" s="27" t="s">
        <v>548</v>
      </c>
      <c r="Q860" s="27" t="s">
        <v>2570</v>
      </c>
      <c r="R860" s="27" t="s">
        <v>547</v>
      </c>
      <c r="S860" s="27" t="str">
        <f t="shared" si="57"/>
        <v>https://ia601505.us.archive.org/29/items/tx192426/1924-26.pdf</v>
      </c>
      <c r="T860" s="27" t="str">
        <f t="shared" si="58"/>
        <v>https://babel.hathitrust.org/cgi/pt?id=uiug.30112058522902;view=1up;seq=175</v>
      </c>
      <c r="U860" s="27" t="s">
        <v>2570</v>
      </c>
    </row>
    <row r="861" spans="1:21" x14ac:dyDescent="0.25">
      <c r="A861" s="27" t="s">
        <v>1397</v>
      </c>
      <c r="B861" s="27" t="str">
        <f t="shared" si="55"/>
        <v>Texas</v>
      </c>
      <c r="C861" s="27" t="str">
        <f t="shared" si="60"/>
        <v>Callahan</v>
      </c>
      <c r="D861" s="7">
        <f>'TX post'!D31</f>
        <v>1644</v>
      </c>
      <c r="E861" s="2">
        <f>'TX post'!E31</f>
        <v>98</v>
      </c>
      <c r="F861" s="26">
        <v>125.88</v>
      </c>
      <c r="G861" s="2">
        <f>'TX post'!I31</f>
        <v>2826</v>
      </c>
      <c r="H861" s="88">
        <f>'TX post'!M31</f>
        <v>114.82222222222222</v>
      </c>
      <c r="I861" s="29">
        <f>'TX post'!P31</f>
        <v>121655.5</v>
      </c>
      <c r="J861" s="27">
        <v>34</v>
      </c>
      <c r="K861" s="29">
        <f>'TX post'!R31</f>
        <v>3362</v>
      </c>
      <c r="L861" s="41">
        <v>1922</v>
      </c>
      <c r="N861" s="27" t="str">
        <f t="shared" si="56"/>
        <v>https://ia601500.us.archive.org/33/items/tx192224/1922-24%2c%20selected%20pages%20%28pp.%20192-93%20clipped%29.pdf</v>
      </c>
      <c r="O861" s="27" t="s">
        <v>1972</v>
      </c>
      <c r="P861" s="27" t="s">
        <v>548</v>
      </c>
      <c r="Q861" s="27" t="s">
        <v>2570</v>
      </c>
      <c r="R861" s="27" t="s">
        <v>547</v>
      </c>
      <c r="S861" s="27" t="str">
        <f t="shared" si="57"/>
        <v>https://ia601505.us.archive.org/29/items/tx192426/1924-26.pdf</v>
      </c>
      <c r="T861" s="27" t="str">
        <f t="shared" si="58"/>
        <v>https://babel.hathitrust.org/cgi/pt?id=uiug.30112058522902;view=1up;seq=175</v>
      </c>
      <c r="U861" s="27" t="s">
        <v>2570</v>
      </c>
    </row>
    <row r="862" spans="1:21" x14ac:dyDescent="0.25">
      <c r="A862" s="27" t="s">
        <v>1398</v>
      </c>
      <c r="B862" s="27" t="str">
        <f t="shared" si="55"/>
        <v>Texas</v>
      </c>
      <c r="C862" s="27" t="str">
        <f t="shared" si="60"/>
        <v>Cameron</v>
      </c>
      <c r="D862" s="7">
        <f>'TX post'!D32</f>
        <v>4993</v>
      </c>
      <c r="E862" s="2">
        <f>'TX post'!E32</f>
        <v>164</v>
      </c>
      <c r="F862" s="26">
        <v>155.56</v>
      </c>
      <c r="G862" s="2">
        <f>'TX post'!I32</f>
        <v>5100</v>
      </c>
      <c r="H862" s="88">
        <f>'TX post'!M32</f>
        <v>161.00128205128206</v>
      </c>
      <c r="I862" s="29">
        <f>'TX post'!P32</f>
        <v>387301.24</v>
      </c>
      <c r="J862" s="27">
        <v>16</v>
      </c>
      <c r="K862" s="29">
        <f>'TX post'!R32</f>
        <v>109500</v>
      </c>
      <c r="L862" s="41">
        <v>1922</v>
      </c>
      <c r="N862" s="27" t="str">
        <f t="shared" si="56"/>
        <v>https://ia601500.us.archive.org/33/items/tx192224/1922-24%2c%20selected%20pages%20%28pp.%20192-93%20clipped%29.pdf</v>
      </c>
      <c r="O862" s="27" t="s">
        <v>1972</v>
      </c>
      <c r="P862" s="27" t="s">
        <v>548</v>
      </c>
      <c r="Q862" s="27" t="s">
        <v>2570</v>
      </c>
      <c r="R862" s="27" t="s">
        <v>547</v>
      </c>
      <c r="S862" s="27" t="str">
        <f t="shared" si="57"/>
        <v>https://ia601505.us.archive.org/29/items/tx192426/1924-26.pdf</v>
      </c>
      <c r="T862" s="27" t="str">
        <f t="shared" si="58"/>
        <v>https://babel.hathitrust.org/cgi/pt?id=uiug.30112058522902;view=1up;seq=175</v>
      </c>
      <c r="U862" s="27" t="s">
        <v>2570</v>
      </c>
    </row>
    <row r="863" spans="1:21" x14ac:dyDescent="0.25">
      <c r="A863" s="27" t="s">
        <v>1399</v>
      </c>
      <c r="B863" s="27" t="str">
        <f t="shared" si="55"/>
        <v>Texas</v>
      </c>
      <c r="C863" s="27" t="str">
        <f t="shared" si="60"/>
        <v>Camp</v>
      </c>
      <c r="D863" s="7">
        <f>'TX post'!D33</f>
        <v>2237</v>
      </c>
      <c r="E863" s="2">
        <f>'TX post'!E33</f>
        <v>76</v>
      </c>
      <c r="F863" s="26">
        <v>120.08</v>
      </c>
      <c r="G863" s="2">
        <f>'TX post'!I33</f>
        <v>3197</v>
      </c>
      <c r="H863" s="88">
        <f>'TX post'!M33</f>
        <v>112.64999999999999</v>
      </c>
      <c r="I863" s="29">
        <f>'TX post'!P33</f>
        <v>81048.52</v>
      </c>
      <c r="J863" s="27">
        <v>24</v>
      </c>
      <c r="K863" s="29">
        <f>'TX post'!R33</f>
        <v>60340</v>
      </c>
      <c r="L863" s="41">
        <v>1922</v>
      </c>
      <c r="N863" s="27" t="str">
        <f t="shared" si="56"/>
        <v>https://ia601500.us.archive.org/33/items/tx192224/1922-24%2c%20selected%20pages%20%28pp.%20192-93%20clipped%29.pdf</v>
      </c>
      <c r="O863" s="27" t="s">
        <v>1972</v>
      </c>
      <c r="P863" s="27" t="s">
        <v>548</v>
      </c>
      <c r="Q863" s="27" t="s">
        <v>2570</v>
      </c>
      <c r="R863" s="27" t="s">
        <v>547</v>
      </c>
      <c r="S863" s="27" t="str">
        <f t="shared" si="57"/>
        <v>https://ia601505.us.archive.org/29/items/tx192426/1924-26.pdf</v>
      </c>
      <c r="T863" s="27" t="str">
        <f t="shared" si="58"/>
        <v>https://babel.hathitrust.org/cgi/pt?id=uiug.30112058522902;view=1up;seq=175</v>
      </c>
      <c r="U863" s="27" t="s">
        <v>2570</v>
      </c>
    </row>
    <row r="864" spans="1:21" x14ac:dyDescent="0.25">
      <c r="A864" s="27" t="s">
        <v>1400</v>
      </c>
      <c r="B864" s="27" t="str">
        <f t="shared" si="55"/>
        <v>Texas</v>
      </c>
      <c r="C864" s="27" t="str">
        <f t="shared" si="60"/>
        <v>Carson</v>
      </c>
      <c r="D864" s="7">
        <f>'TX post'!D34</f>
        <v>709</v>
      </c>
      <c r="E864" s="2">
        <f>'TX post'!E34</f>
        <v>35</v>
      </c>
      <c r="F864" s="26">
        <v>153</v>
      </c>
      <c r="G864" s="2">
        <f>'TX post'!I34</f>
        <v>930</v>
      </c>
      <c r="H864" s="88">
        <f>'TX post'!M34</f>
        <v>152.68366013071895</v>
      </c>
      <c r="I864" s="29">
        <f>'TX post'!P34</f>
        <v>78496.62</v>
      </c>
      <c r="J864" s="27">
        <v>14</v>
      </c>
      <c r="K864" s="29">
        <f>'TX post'!R34</f>
        <v>16175</v>
      </c>
      <c r="L864" s="41">
        <v>1922</v>
      </c>
      <c r="N864" s="27" t="str">
        <f t="shared" si="56"/>
        <v>https://ia601500.us.archive.org/33/items/tx192224/1922-24%2c%20selected%20pages%20%28pp.%20192-93%20clipped%29.pdf</v>
      </c>
      <c r="O864" s="27" t="s">
        <v>1972</v>
      </c>
      <c r="P864" s="27" t="s">
        <v>548</v>
      </c>
      <c r="Q864" s="27" t="s">
        <v>2570</v>
      </c>
      <c r="R864" s="27" t="s">
        <v>547</v>
      </c>
      <c r="S864" s="27" t="str">
        <f t="shared" si="57"/>
        <v>https://ia601505.us.archive.org/29/items/tx192426/1924-26.pdf</v>
      </c>
      <c r="T864" s="27" t="str">
        <f t="shared" si="58"/>
        <v>https://babel.hathitrust.org/cgi/pt?id=uiug.30112058522902;view=1up;seq=175</v>
      </c>
      <c r="U864" s="27" t="s">
        <v>2570</v>
      </c>
    </row>
    <row r="865" spans="1:21" x14ac:dyDescent="0.25">
      <c r="A865" s="27" t="s">
        <v>1790</v>
      </c>
      <c r="B865" s="27" t="str">
        <f t="shared" si="55"/>
        <v>Texas</v>
      </c>
      <c r="C865" s="27" t="str">
        <f t="shared" si="60"/>
        <v>Cass/Davis</v>
      </c>
      <c r="D865" s="7">
        <f>'TX post'!D35</f>
        <v>5853</v>
      </c>
      <c r="E865" s="2">
        <f>'TX post'!E35</f>
        <v>227</v>
      </c>
      <c r="F865" s="26">
        <v>118.43</v>
      </c>
      <c r="G865" s="2">
        <f>'TX post'!I35</f>
        <v>9864</v>
      </c>
      <c r="H865" s="88">
        <f>'TX post'!M35</f>
        <v>111.04067796610168</v>
      </c>
      <c r="I865" s="29">
        <f>'TX post'!P35</f>
        <v>202693.5</v>
      </c>
      <c r="J865" s="27">
        <v>99</v>
      </c>
      <c r="K865" s="29">
        <f>'TX post'!R35</f>
        <v>137417.1</v>
      </c>
      <c r="L865" s="41">
        <v>1922</v>
      </c>
      <c r="N865" s="27" t="str">
        <f t="shared" si="56"/>
        <v>https://ia601500.us.archive.org/33/items/tx192224/1922-24%2c%20selected%20pages%20%28pp.%20192-93%20clipped%29.pdf</v>
      </c>
      <c r="O865" s="27" t="s">
        <v>1972</v>
      </c>
      <c r="P865" s="27" t="s">
        <v>548</v>
      </c>
      <c r="Q865" s="27" t="s">
        <v>2570</v>
      </c>
      <c r="R865" s="27" t="s">
        <v>547</v>
      </c>
      <c r="S865" s="27" t="str">
        <f t="shared" si="57"/>
        <v>https://ia601505.us.archive.org/29/items/tx192426/1924-26.pdf</v>
      </c>
      <c r="T865" s="27" t="str">
        <f t="shared" si="58"/>
        <v>https://babel.hathitrust.org/cgi/pt?id=uiug.30112058522902;view=1up;seq=175</v>
      </c>
      <c r="U865" s="27" t="s">
        <v>2570</v>
      </c>
    </row>
    <row r="866" spans="1:21" x14ac:dyDescent="0.25">
      <c r="A866" s="27" t="s">
        <v>1401</v>
      </c>
      <c r="B866" s="27" t="str">
        <f t="shared" si="55"/>
        <v>Texas</v>
      </c>
      <c r="C866" s="27" t="str">
        <f t="shared" si="60"/>
        <v>Castro</v>
      </c>
      <c r="D866" s="7">
        <f>'TX post'!D36</f>
        <v>360</v>
      </c>
      <c r="E866" s="2">
        <f>'TX post'!E36</f>
        <v>25</v>
      </c>
      <c r="F866" s="26">
        <v>127.47</v>
      </c>
      <c r="G866" s="2">
        <f>'TX post'!I36</f>
        <v>456</v>
      </c>
      <c r="H866" s="88">
        <f>'TX post'!M36</f>
        <v>134.70866141732284</v>
      </c>
      <c r="I866" s="29">
        <f>'TX post'!P36</f>
        <v>39788.94</v>
      </c>
      <c r="J866" s="27">
        <v>19</v>
      </c>
      <c r="K866" s="29">
        <f>'TX post'!R36</f>
        <v>63074</v>
      </c>
      <c r="L866" s="41">
        <v>1922</v>
      </c>
      <c r="N866" s="27" t="str">
        <f t="shared" si="56"/>
        <v>https://ia601500.us.archive.org/33/items/tx192224/1922-24%2c%20selected%20pages%20%28pp.%20192-93%20clipped%29.pdf</v>
      </c>
      <c r="O866" s="27" t="s">
        <v>1972</v>
      </c>
      <c r="P866" s="27" t="s">
        <v>548</v>
      </c>
      <c r="Q866" s="27" t="s">
        <v>2570</v>
      </c>
      <c r="R866" s="27" t="s">
        <v>547</v>
      </c>
      <c r="S866" s="27" t="str">
        <f t="shared" si="57"/>
        <v>https://ia601505.us.archive.org/29/items/tx192426/1924-26.pdf</v>
      </c>
      <c r="T866" s="27" t="str">
        <f t="shared" si="58"/>
        <v>https://babel.hathitrust.org/cgi/pt?id=uiug.30112058522902;view=1up;seq=175</v>
      </c>
      <c r="U866" s="27" t="s">
        <v>2570</v>
      </c>
    </row>
    <row r="867" spans="1:21" x14ac:dyDescent="0.25">
      <c r="A867" s="27" t="s">
        <v>1402</v>
      </c>
      <c r="B867" s="27" t="str">
        <f t="shared" si="55"/>
        <v>Texas</v>
      </c>
      <c r="C867" s="27" t="str">
        <f t="shared" si="60"/>
        <v>Chambers</v>
      </c>
      <c r="D867" s="7">
        <f>'TX post'!D37</f>
        <v>616</v>
      </c>
      <c r="E867" s="2">
        <f>'TX post'!E37</f>
        <v>30</v>
      </c>
      <c r="F867" s="26">
        <v>158.32</v>
      </c>
      <c r="G867" s="2">
        <f>'TX post'!I37</f>
        <v>902</v>
      </c>
      <c r="H867" s="88">
        <f>'TX post'!M37</f>
        <v>127.46329113924051</v>
      </c>
      <c r="I867" s="29">
        <f>'TX post'!P37</f>
        <v>49375.360000000001</v>
      </c>
      <c r="J867" s="27">
        <v>24</v>
      </c>
      <c r="K867" s="29">
        <f>'TX post'!R37</f>
        <v>49760</v>
      </c>
      <c r="L867" s="41">
        <v>1922</v>
      </c>
      <c r="N867" s="27" t="str">
        <f t="shared" si="56"/>
        <v>https://ia601500.us.archive.org/33/items/tx192224/1922-24%2c%20selected%20pages%20%28pp.%20192-93%20clipped%29.pdf</v>
      </c>
      <c r="O867" s="27" t="s">
        <v>1972</v>
      </c>
      <c r="P867" s="27" t="s">
        <v>548</v>
      </c>
      <c r="Q867" s="27" t="s">
        <v>2570</v>
      </c>
      <c r="R867" s="27" t="s">
        <v>547</v>
      </c>
      <c r="S867" s="27" t="str">
        <f t="shared" si="57"/>
        <v>https://ia601505.us.archive.org/29/items/tx192426/1924-26.pdf</v>
      </c>
      <c r="T867" s="27" t="str">
        <f t="shared" si="58"/>
        <v>https://babel.hathitrust.org/cgi/pt?id=uiug.30112058522902;view=1up;seq=175</v>
      </c>
      <c r="U867" s="27" t="s">
        <v>2570</v>
      </c>
    </row>
    <row r="868" spans="1:21" x14ac:dyDescent="0.25">
      <c r="A868" s="27" t="s">
        <v>1403</v>
      </c>
      <c r="B868" s="27" t="str">
        <f t="shared" si="55"/>
        <v>Texas</v>
      </c>
      <c r="C868" s="27" t="str">
        <f t="shared" ref="C868:C895" si="61">MID(A868,FIND(";",A868)+1,100)</f>
        <v>Cherokee</v>
      </c>
      <c r="D868" s="7">
        <f>'TX post'!D38</f>
        <v>7806</v>
      </c>
      <c r="E868" s="2">
        <f>'TX post'!E38</f>
        <v>280</v>
      </c>
      <c r="F868" s="26">
        <v>117.46</v>
      </c>
      <c r="G868" s="2">
        <f>'TX post'!I38</f>
        <v>10667</v>
      </c>
      <c r="H868" s="88">
        <f>'TX post'!M38</f>
        <v>112.76239316239317</v>
      </c>
      <c r="I868" s="29">
        <f>'TX post'!P38</f>
        <v>259327.27</v>
      </c>
      <c r="J868" s="27">
        <v>93</v>
      </c>
      <c r="K868" s="29">
        <f>'TX post'!R38</f>
        <v>252250</v>
      </c>
      <c r="L868" s="41">
        <v>1922</v>
      </c>
      <c r="N868" s="27" t="str">
        <f t="shared" si="56"/>
        <v>https://ia601500.us.archive.org/33/items/tx192224/1922-24%2c%20selected%20pages%20%28pp.%20192-93%20clipped%29.pdf</v>
      </c>
      <c r="O868" s="27" t="s">
        <v>1972</v>
      </c>
      <c r="P868" s="27" t="s">
        <v>548</v>
      </c>
      <c r="Q868" s="27" t="s">
        <v>2570</v>
      </c>
      <c r="R868" s="27" t="s">
        <v>547</v>
      </c>
      <c r="S868" s="27" t="str">
        <f t="shared" si="57"/>
        <v>https://ia601505.us.archive.org/29/items/tx192426/1924-26.pdf</v>
      </c>
      <c r="T868" s="27" t="str">
        <f t="shared" si="58"/>
        <v>https://babel.hathitrust.org/cgi/pt?id=uiug.30112058522902;view=1up;seq=175</v>
      </c>
      <c r="U868" s="27" t="s">
        <v>2570</v>
      </c>
    </row>
    <row r="869" spans="1:21" x14ac:dyDescent="0.25">
      <c r="A869" s="27" t="s">
        <v>1404</v>
      </c>
      <c r="B869" s="27" t="str">
        <f t="shared" si="55"/>
        <v>Texas</v>
      </c>
      <c r="C869" s="27" t="str">
        <f t="shared" si="61"/>
        <v>Childress</v>
      </c>
      <c r="D869" s="7">
        <f>'TX post'!D39</f>
        <v>2322</v>
      </c>
      <c r="E869" s="2">
        <f>'TX post'!E39</f>
        <v>94</v>
      </c>
      <c r="F869" s="26">
        <v>135.86000000000001</v>
      </c>
      <c r="G869" s="2">
        <f>'TX post'!I39</f>
        <v>3997</v>
      </c>
      <c r="H869" s="88">
        <f>'TX post'!M39</f>
        <v>125.79705882352941</v>
      </c>
      <c r="I869" s="29">
        <f>'TX post'!P39</f>
        <v>143781.98000000001</v>
      </c>
      <c r="J869" s="27">
        <v>29</v>
      </c>
      <c r="K869" s="29">
        <f>'TX post'!R39</f>
        <v>74990.25</v>
      </c>
      <c r="L869" s="41">
        <v>1922</v>
      </c>
      <c r="N869" s="27" t="str">
        <f t="shared" si="56"/>
        <v>https://ia601500.us.archive.org/33/items/tx192224/1922-24%2c%20selected%20pages%20%28pp.%20192-93%20clipped%29.pdf</v>
      </c>
      <c r="O869" s="27" t="s">
        <v>1972</v>
      </c>
      <c r="P869" s="27" t="s">
        <v>548</v>
      </c>
      <c r="Q869" s="27" t="s">
        <v>2570</v>
      </c>
      <c r="R869" s="27" t="s">
        <v>547</v>
      </c>
      <c r="S869" s="27" t="str">
        <f t="shared" si="57"/>
        <v>https://ia601505.us.archive.org/29/items/tx192426/1924-26.pdf</v>
      </c>
      <c r="T869" s="27" t="str">
        <f t="shared" si="58"/>
        <v>https://babel.hathitrust.org/cgi/pt?id=uiug.30112058522902;view=1up;seq=175</v>
      </c>
      <c r="U869" s="27" t="s">
        <v>2570</v>
      </c>
    </row>
    <row r="870" spans="1:21" x14ac:dyDescent="0.25">
      <c r="A870" s="27" t="s">
        <v>1405</v>
      </c>
      <c r="B870" s="27" t="str">
        <f t="shared" si="55"/>
        <v>Texas</v>
      </c>
      <c r="C870" s="27" t="str">
        <f t="shared" si="61"/>
        <v>Clay</v>
      </c>
      <c r="D870" s="7">
        <f>'TX post'!D40</f>
        <v>3079</v>
      </c>
      <c r="E870" s="2">
        <f>'TX post'!E40</f>
        <v>148</v>
      </c>
      <c r="F870" s="26">
        <v>122.5</v>
      </c>
      <c r="G870" s="2">
        <f>'TX post'!I40</f>
        <v>4743</v>
      </c>
      <c r="H870" s="88">
        <f>'TX post'!M40</f>
        <v>116.41138211382112</v>
      </c>
      <c r="I870" s="29">
        <f>'TX post'!P40</f>
        <v>169563.18</v>
      </c>
      <c r="J870" s="27">
        <v>60</v>
      </c>
      <c r="K870" s="29">
        <f>'TX post'!R40</f>
        <v>77200</v>
      </c>
      <c r="L870" s="41">
        <v>1922</v>
      </c>
      <c r="N870" s="27" t="str">
        <f t="shared" si="56"/>
        <v>https://ia601500.us.archive.org/33/items/tx192224/1922-24%2c%20selected%20pages%20%28pp.%20192-93%20clipped%29.pdf</v>
      </c>
      <c r="O870" s="27" t="s">
        <v>1972</v>
      </c>
      <c r="P870" s="27" t="s">
        <v>548</v>
      </c>
      <c r="Q870" s="27" t="s">
        <v>2570</v>
      </c>
      <c r="R870" s="27" t="s">
        <v>547</v>
      </c>
      <c r="S870" s="27" t="str">
        <f t="shared" si="57"/>
        <v>https://ia601505.us.archive.org/29/items/tx192426/1924-26.pdf</v>
      </c>
      <c r="T870" s="27" t="str">
        <f t="shared" si="58"/>
        <v>https://babel.hathitrust.org/cgi/pt?id=uiug.30112058522902;view=1up;seq=175</v>
      </c>
      <c r="U870" s="27" t="s">
        <v>2570</v>
      </c>
    </row>
    <row r="871" spans="1:21" x14ac:dyDescent="0.25">
      <c r="A871" s="27" t="s">
        <v>1791</v>
      </c>
      <c r="B871" s="27" t="str">
        <f t="shared" si="55"/>
        <v>Texas</v>
      </c>
      <c r="C871" s="27" t="str">
        <f t="shared" si="61"/>
        <v>Cochran</v>
      </c>
      <c r="D871" s="7"/>
      <c r="E871" s="2"/>
      <c r="F871" s="26"/>
      <c r="G871" s="2"/>
      <c r="H871" s="88"/>
      <c r="I871" s="29">
        <f>'TX post'!P41</f>
        <v>11368.19</v>
      </c>
      <c r="K871" s="29"/>
      <c r="L871" s="41">
        <v>1922</v>
      </c>
      <c r="N871" s="27" t="str">
        <f t="shared" si="56"/>
        <v>https://ia601500.us.archive.org/33/items/tx192224/1922-24%2c%20selected%20pages%20%28pp.%20192-93%20clipped%29.pdf</v>
      </c>
      <c r="O871" s="27" t="s">
        <v>1972</v>
      </c>
      <c r="P871" s="27" t="s">
        <v>548</v>
      </c>
      <c r="Q871" s="27" t="s">
        <v>2570</v>
      </c>
      <c r="R871" s="27" t="s">
        <v>547</v>
      </c>
      <c r="S871" s="27" t="str">
        <f t="shared" si="57"/>
        <v>https://ia601505.us.archive.org/29/items/tx192426/1924-26.pdf</v>
      </c>
      <c r="T871" s="27" t="str">
        <f t="shared" si="58"/>
        <v>https://babel.hathitrust.org/cgi/pt?id=uiug.30112058522902;view=1up;seq=175</v>
      </c>
      <c r="U871" s="27" t="s">
        <v>2570</v>
      </c>
    </row>
    <row r="872" spans="1:21" x14ac:dyDescent="0.25">
      <c r="A872" s="27" t="s">
        <v>1406</v>
      </c>
      <c r="B872" s="27" t="str">
        <f t="shared" si="55"/>
        <v>Texas</v>
      </c>
      <c r="C872" s="27" t="str">
        <f t="shared" si="61"/>
        <v>Coke</v>
      </c>
      <c r="D872" s="7">
        <f>'TX post'!D42</f>
        <v>1173</v>
      </c>
      <c r="E872" s="2">
        <f>'TX post'!E42</f>
        <v>54</v>
      </c>
      <c r="F872" s="26">
        <v>106</v>
      </c>
      <c r="G872" s="2">
        <f>'TX post'!I42</f>
        <v>1618</v>
      </c>
      <c r="H872" s="88">
        <f>'TX post'!M42</f>
        <v>118.01132075471699</v>
      </c>
      <c r="I872" s="29">
        <f>'TX post'!P42</f>
        <v>55449.45</v>
      </c>
      <c r="J872" s="27">
        <v>27</v>
      </c>
      <c r="K872" s="29">
        <f>'TX post'!R42</f>
        <v>12870</v>
      </c>
      <c r="L872" s="41">
        <v>1922</v>
      </c>
      <c r="N872" s="27" t="str">
        <f t="shared" si="56"/>
        <v>https://ia601500.us.archive.org/33/items/tx192224/1922-24%2c%20selected%20pages%20%28pp.%20192-93%20clipped%29.pdf</v>
      </c>
      <c r="O872" s="27" t="s">
        <v>1972</v>
      </c>
      <c r="P872" s="27" t="s">
        <v>548</v>
      </c>
      <c r="Q872" s="27" t="s">
        <v>2570</v>
      </c>
      <c r="R872" s="27" t="s">
        <v>551</v>
      </c>
      <c r="S872" s="27" t="str">
        <f t="shared" si="57"/>
        <v>https://ia601505.us.archive.org/29/items/tx192426/1924-26.pdf</v>
      </c>
      <c r="T872" s="27" t="str">
        <f t="shared" si="58"/>
        <v>https://babel.hathitrust.org/cgi/pt?id=uiug.30112058522902;view=1up;seq=175</v>
      </c>
      <c r="U872" s="27" t="s">
        <v>2570</v>
      </c>
    </row>
    <row r="873" spans="1:21" x14ac:dyDescent="0.25">
      <c r="A873" s="27" t="s">
        <v>1407</v>
      </c>
      <c r="B873" s="27" t="str">
        <f t="shared" si="55"/>
        <v>Texas</v>
      </c>
      <c r="C873" s="27" t="str">
        <f t="shared" si="61"/>
        <v>Coleman</v>
      </c>
      <c r="D873" s="7">
        <f>'TX post'!D43</f>
        <v>3976</v>
      </c>
      <c r="E873" s="2">
        <f>'TX post'!E43</f>
        <v>157</v>
      </c>
      <c r="F873" s="26">
        <v>126</v>
      </c>
      <c r="G873" s="2">
        <f>'TX post'!I43</f>
        <v>5723</v>
      </c>
      <c r="H873" s="88">
        <f>'TX post'!M43</f>
        <v>125.6904761904762</v>
      </c>
      <c r="I873" s="29">
        <f>'TX post'!P43</f>
        <v>224945.82</v>
      </c>
      <c r="J873" s="27">
        <v>59</v>
      </c>
      <c r="K873" s="29">
        <f>'TX post'!R43</f>
        <v>189150</v>
      </c>
      <c r="L873" s="41">
        <v>1922</v>
      </c>
      <c r="N873" s="27" t="str">
        <f t="shared" si="56"/>
        <v>https://ia601500.us.archive.org/33/items/tx192224/1922-24%2c%20selected%20pages%20%28pp.%20192-93%20clipped%29.pdf</v>
      </c>
      <c r="O873" s="27" t="s">
        <v>1972</v>
      </c>
      <c r="P873" s="27" t="s">
        <v>548</v>
      </c>
      <c r="Q873" s="27" t="s">
        <v>2570</v>
      </c>
      <c r="R873" s="27" t="s">
        <v>551</v>
      </c>
      <c r="S873" s="27" t="str">
        <f t="shared" si="57"/>
        <v>https://ia601505.us.archive.org/29/items/tx192426/1924-26.pdf</v>
      </c>
      <c r="T873" s="27" t="str">
        <f t="shared" si="58"/>
        <v>https://babel.hathitrust.org/cgi/pt?id=uiug.30112058522902;view=1up;seq=175</v>
      </c>
      <c r="U873" s="27" t="s">
        <v>2570</v>
      </c>
    </row>
    <row r="874" spans="1:21" x14ac:dyDescent="0.25">
      <c r="A874" s="27" t="s">
        <v>1408</v>
      </c>
      <c r="B874" s="27" t="str">
        <f t="shared" si="55"/>
        <v>Texas</v>
      </c>
      <c r="C874" s="27" t="str">
        <f t="shared" si="61"/>
        <v>Collin</v>
      </c>
      <c r="D874" s="7">
        <f>'TX post'!D44</f>
        <v>9198</v>
      </c>
      <c r="E874" s="2">
        <f>'TX post'!E44</f>
        <v>399</v>
      </c>
      <c r="F874" s="26">
        <v>155.4</v>
      </c>
      <c r="G874" s="2">
        <f>'TX post'!I44</f>
        <v>16601</v>
      </c>
      <c r="H874" s="88">
        <f>'TX post'!M44</f>
        <v>95.238709677419351</v>
      </c>
      <c r="I874" s="29">
        <f>'TX post'!P44</f>
        <v>472116.24</v>
      </c>
      <c r="J874" s="27">
        <v>103</v>
      </c>
      <c r="K874" s="29">
        <f>'TX post'!R44</f>
        <v>269950</v>
      </c>
      <c r="L874" s="41">
        <v>1922</v>
      </c>
      <c r="N874" s="27" t="str">
        <f t="shared" si="56"/>
        <v>https://ia601500.us.archive.org/33/items/tx192224/1922-24%2c%20selected%20pages%20%28pp.%20192-93%20clipped%29.pdf</v>
      </c>
      <c r="O874" s="27" t="s">
        <v>1972</v>
      </c>
      <c r="P874" s="27" t="s">
        <v>548</v>
      </c>
      <c r="Q874" s="27" t="s">
        <v>2570</v>
      </c>
      <c r="R874" s="27" t="s">
        <v>551</v>
      </c>
      <c r="S874" s="27" t="str">
        <f t="shared" si="57"/>
        <v>https://ia601505.us.archive.org/29/items/tx192426/1924-26.pdf</v>
      </c>
      <c r="T874" s="27" t="str">
        <f t="shared" si="58"/>
        <v>https://babel.hathitrust.org/cgi/pt?id=uiug.30112058522902;view=1up;seq=175</v>
      </c>
      <c r="U874" s="27" t="s">
        <v>2570</v>
      </c>
    </row>
    <row r="875" spans="1:21" x14ac:dyDescent="0.25">
      <c r="A875" s="27" t="s">
        <v>1409</v>
      </c>
      <c r="B875" s="27" t="str">
        <f t="shared" si="55"/>
        <v>Texas</v>
      </c>
      <c r="C875" s="27" t="str">
        <f t="shared" si="61"/>
        <v>Collingsworth</v>
      </c>
      <c r="D875" s="7">
        <f>'TX post'!D45</f>
        <v>2279</v>
      </c>
      <c r="E875" s="2">
        <f>'TX post'!E45</f>
        <v>88</v>
      </c>
      <c r="F875" s="26">
        <v>125.07</v>
      </c>
      <c r="G875" s="2">
        <f>'TX post'!I45</f>
        <v>3241</v>
      </c>
      <c r="H875" s="88">
        <f>'TX post'!M45</f>
        <v>116.27200000000001</v>
      </c>
      <c r="I875" s="29">
        <f>'TX post'!P45</f>
        <v>123264.48</v>
      </c>
      <c r="J875" s="27">
        <v>38</v>
      </c>
      <c r="K875" s="29">
        <f>'TX post'!R45</f>
        <v>425800</v>
      </c>
      <c r="L875" s="41">
        <v>1922</v>
      </c>
      <c r="N875" s="27" t="str">
        <f t="shared" si="56"/>
        <v>https://ia601500.us.archive.org/33/items/tx192224/1922-24%2c%20selected%20pages%20%28pp.%20192-93%20clipped%29.pdf</v>
      </c>
      <c r="O875" s="27" t="s">
        <v>1972</v>
      </c>
      <c r="P875" s="27" t="s">
        <v>548</v>
      </c>
      <c r="Q875" s="27" t="s">
        <v>2570</v>
      </c>
      <c r="R875" s="27" t="s">
        <v>551</v>
      </c>
      <c r="S875" s="27" t="str">
        <f t="shared" si="57"/>
        <v>https://ia601505.us.archive.org/29/items/tx192426/1924-26.pdf</v>
      </c>
      <c r="T875" s="27" t="str">
        <f t="shared" si="58"/>
        <v>https://babel.hathitrust.org/cgi/pt?id=uiug.30112058522902;view=1up;seq=175</v>
      </c>
      <c r="U875" s="27" t="s">
        <v>2570</v>
      </c>
    </row>
    <row r="876" spans="1:21" x14ac:dyDescent="0.25">
      <c r="A876" s="27" t="s">
        <v>1410</v>
      </c>
      <c r="B876" s="27" t="str">
        <f t="shared" si="55"/>
        <v>Texas</v>
      </c>
      <c r="C876" s="27" t="str">
        <f t="shared" si="61"/>
        <v>Colorado</v>
      </c>
      <c r="D876" s="7">
        <f>'TX post'!D46</f>
        <v>1914</v>
      </c>
      <c r="E876" s="2">
        <f>'TX post'!E46</f>
        <v>139</v>
      </c>
      <c r="F876" s="26">
        <v>134.19999999999999</v>
      </c>
      <c r="G876" s="2">
        <f>'TX post'!I46</f>
        <v>4230</v>
      </c>
      <c r="H876" s="88">
        <f>'TX post'!M46</f>
        <v>100.25373134328359</v>
      </c>
      <c r="I876" s="29">
        <f>'TX post'!P46</f>
        <v>146403.91</v>
      </c>
      <c r="J876" s="27">
        <v>56</v>
      </c>
      <c r="K876" s="29">
        <f>'TX post'!R46</f>
        <v>78005</v>
      </c>
      <c r="L876" s="41">
        <v>1922</v>
      </c>
      <c r="N876" s="27" t="str">
        <f t="shared" si="56"/>
        <v>https://ia601500.us.archive.org/33/items/tx192224/1922-24%2c%20selected%20pages%20%28pp.%20192-93%20clipped%29.pdf</v>
      </c>
      <c r="O876" s="27" t="s">
        <v>1972</v>
      </c>
      <c r="P876" s="27" t="s">
        <v>548</v>
      </c>
      <c r="Q876" s="27" t="s">
        <v>2570</v>
      </c>
      <c r="R876" s="27" t="s">
        <v>551</v>
      </c>
      <c r="S876" s="27" t="str">
        <f t="shared" si="57"/>
        <v>https://ia601505.us.archive.org/29/items/tx192426/1924-26.pdf</v>
      </c>
      <c r="T876" s="27" t="str">
        <f t="shared" si="58"/>
        <v>https://babel.hathitrust.org/cgi/pt?id=uiug.30112058522902;view=1up;seq=175</v>
      </c>
      <c r="U876" s="27" t="s">
        <v>2570</v>
      </c>
    </row>
    <row r="877" spans="1:21" x14ac:dyDescent="0.25">
      <c r="A877" s="27" t="s">
        <v>1411</v>
      </c>
      <c r="B877" s="27" t="str">
        <f t="shared" si="55"/>
        <v>Texas</v>
      </c>
      <c r="C877" s="27" t="str">
        <f t="shared" si="61"/>
        <v>Comal</v>
      </c>
      <c r="D877" s="7">
        <f>'TX post'!D47</f>
        <v>1020</v>
      </c>
      <c r="E877" s="2">
        <f>'TX post'!E47</f>
        <v>47</v>
      </c>
      <c r="F877" s="26">
        <v>165</v>
      </c>
      <c r="G877" s="2">
        <f>'TX post'!I47</f>
        <v>1445</v>
      </c>
      <c r="H877" s="88">
        <f>'TX post'!M47</f>
        <v>107.31878787878787</v>
      </c>
      <c r="I877" s="29">
        <f>'TX post'!P47</f>
        <v>67712.12</v>
      </c>
      <c r="J877" s="27">
        <v>26</v>
      </c>
      <c r="K877" s="29">
        <f>'TX post'!R47</f>
        <v>26329</v>
      </c>
      <c r="L877" s="41">
        <v>1922</v>
      </c>
      <c r="N877" s="27" t="str">
        <f t="shared" si="56"/>
        <v>https://ia601500.us.archive.org/33/items/tx192224/1922-24%2c%20selected%20pages%20%28pp.%20192-93%20clipped%29.pdf</v>
      </c>
      <c r="O877" s="27" t="s">
        <v>1972</v>
      </c>
      <c r="P877" s="27" t="s">
        <v>548</v>
      </c>
      <c r="Q877" s="27" t="s">
        <v>2570</v>
      </c>
      <c r="R877" s="27" t="s">
        <v>551</v>
      </c>
      <c r="S877" s="27" t="str">
        <f t="shared" si="57"/>
        <v>https://ia601505.us.archive.org/29/items/tx192426/1924-26.pdf</v>
      </c>
      <c r="T877" s="27" t="str">
        <f t="shared" si="58"/>
        <v>https://babel.hathitrust.org/cgi/pt?id=uiug.30112058522902;view=1up;seq=175</v>
      </c>
      <c r="U877" s="27" t="s">
        <v>2570</v>
      </c>
    </row>
    <row r="878" spans="1:21" x14ac:dyDescent="0.25">
      <c r="A878" s="27" t="s">
        <v>1412</v>
      </c>
      <c r="B878" s="27" t="str">
        <f t="shared" si="55"/>
        <v>Texas</v>
      </c>
      <c r="C878" s="27" t="str">
        <f t="shared" si="61"/>
        <v>Comanche</v>
      </c>
      <c r="D878" s="7">
        <f>'TX post'!D48</f>
        <v>4907</v>
      </c>
      <c r="E878" s="2">
        <f>'TX post'!E48</f>
        <v>211</v>
      </c>
      <c r="F878" s="26">
        <v>115.6</v>
      </c>
      <c r="G878" s="2">
        <f>'TX post'!I48</f>
        <v>7416</v>
      </c>
      <c r="H878" s="88">
        <f>'TX post'!M48</f>
        <v>126.58620689655173</v>
      </c>
      <c r="I878" s="29">
        <f>'TX post'!P48</f>
        <v>209999.83</v>
      </c>
      <c r="J878" s="27">
        <v>66</v>
      </c>
      <c r="K878" s="29">
        <f>'TX post'!R48</f>
        <v>209700</v>
      </c>
      <c r="L878" s="41">
        <v>1922</v>
      </c>
      <c r="N878" s="27" t="str">
        <f t="shared" si="56"/>
        <v>https://ia601500.us.archive.org/33/items/tx192224/1922-24%2c%20selected%20pages%20%28pp.%20192-93%20clipped%29.pdf</v>
      </c>
      <c r="O878" s="27" t="s">
        <v>1972</v>
      </c>
      <c r="P878" s="27" t="s">
        <v>548</v>
      </c>
      <c r="Q878" s="27" t="s">
        <v>2570</v>
      </c>
      <c r="R878" s="27" t="s">
        <v>551</v>
      </c>
      <c r="S878" s="27" t="str">
        <f t="shared" si="57"/>
        <v>https://ia601505.us.archive.org/29/items/tx192426/1924-26.pdf</v>
      </c>
      <c r="T878" s="27" t="str">
        <f t="shared" si="58"/>
        <v>https://babel.hathitrust.org/cgi/pt?id=uiug.30112058522902;view=1up;seq=175</v>
      </c>
      <c r="U878" s="27" t="s">
        <v>2570</v>
      </c>
    </row>
    <row r="879" spans="1:21" x14ac:dyDescent="0.25">
      <c r="A879" s="27" t="s">
        <v>1413</v>
      </c>
      <c r="B879" s="27" t="str">
        <f t="shared" si="55"/>
        <v>Texas</v>
      </c>
      <c r="C879" s="27" t="str">
        <f t="shared" si="61"/>
        <v>Concho</v>
      </c>
      <c r="D879" s="7">
        <f>'TX post'!D49</f>
        <v>755</v>
      </c>
      <c r="E879" s="2">
        <f>'TX post'!E49</f>
        <v>42</v>
      </c>
      <c r="F879" s="26">
        <v>130</v>
      </c>
      <c r="G879" s="2">
        <f>'TX post'!I49</f>
        <v>1064</v>
      </c>
      <c r="H879" s="88">
        <f>'TX post'!M49</f>
        <v>118.53384615384616</v>
      </c>
      <c r="I879" s="29">
        <f>'TX post'!P49</f>
        <v>49187.83</v>
      </c>
      <c r="J879" s="27">
        <v>15</v>
      </c>
      <c r="K879" s="29">
        <f>'TX post'!R49</f>
        <v>33960</v>
      </c>
      <c r="L879" s="41">
        <v>1922</v>
      </c>
      <c r="N879" s="27" t="str">
        <f t="shared" si="56"/>
        <v>https://ia601500.us.archive.org/33/items/tx192224/1922-24%2c%20selected%20pages%20%28pp.%20192-93%20clipped%29.pdf</v>
      </c>
      <c r="O879" s="27" t="s">
        <v>1972</v>
      </c>
      <c r="P879" s="27" t="s">
        <v>548</v>
      </c>
      <c r="Q879" s="27" t="s">
        <v>2570</v>
      </c>
      <c r="R879" s="27" t="s">
        <v>551</v>
      </c>
      <c r="S879" s="27" t="str">
        <f t="shared" si="57"/>
        <v>https://ia601505.us.archive.org/29/items/tx192426/1924-26.pdf</v>
      </c>
      <c r="T879" s="27" t="str">
        <f t="shared" si="58"/>
        <v>https://babel.hathitrust.org/cgi/pt?id=uiug.30112058522902;view=1up;seq=175</v>
      </c>
      <c r="U879" s="27" t="s">
        <v>2570</v>
      </c>
    </row>
    <row r="880" spans="1:21" x14ac:dyDescent="0.25">
      <c r="A880" s="27" t="s">
        <v>1414</v>
      </c>
      <c r="B880" s="27" t="str">
        <f t="shared" si="55"/>
        <v>Texas</v>
      </c>
      <c r="C880" s="27" t="str">
        <f t="shared" si="61"/>
        <v>Cooke</v>
      </c>
      <c r="D880" s="7">
        <f>'TX post'!D50</f>
        <v>4427</v>
      </c>
      <c r="E880" s="2">
        <f>'TX post'!E50</f>
        <v>193</v>
      </c>
      <c r="F880" s="26">
        <v>124</v>
      </c>
      <c r="G880" s="2">
        <f>'TX post'!I50</f>
        <v>6809</v>
      </c>
      <c r="H880" s="88">
        <f>'TX post'!M50</f>
        <v>129.95483870967743</v>
      </c>
      <c r="I880" s="29">
        <f>'TX post'!P50</f>
        <v>246299.12</v>
      </c>
      <c r="J880" s="27">
        <v>82</v>
      </c>
      <c r="K880" s="29">
        <f>'TX post'!R50</f>
        <v>140600</v>
      </c>
      <c r="L880" s="41">
        <v>1922</v>
      </c>
      <c r="N880" s="27" t="str">
        <f t="shared" si="56"/>
        <v>https://ia601500.us.archive.org/33/items/tx192224/1922-24%2c%20selected%20pages%20%28pp.%20192-93%20clipped%29.pdf</v>
      </c>
      <c r="O880" s="27" t="s">
        <v>1972</v>
      </c>
      <c r="P880" s="27" t="s">
        <v>548</v>
      </c>
      <c r="Q880" s="27" t="s">
        <v>2570</v>
      </c>
      <c r="R880" s="27" t="s">
        <v>551</v>
      </c>
      <c r="S880" s="27" t="str">
        <f t="shared" si="57"/>
        <v>https://ia601505.us.archive.org/29/items/tx192426/1924-26.pdf</v>
      </c>
      <c r="T880" s="27" t="str">
        <f t="shared" si="58"/>
        <v>https://babel.hathitrust.org/cgi/pt?id=uiug.30112058522902;view=1up;seq=175</v>
      </c>
      <c r="U880" s="27" t="s">
        <v>2570</v>
      </c>
    </row>
    <row r="881" spans="1:21" x14ac:dyDescent="0.25">
      <c r="A881" s="27" t="s">
        <v>1415</v>
      </c>
      <c r="B881" s="27" t="str">
        <f t="shared" si="55"/>
        <v>Texas</v>
      </c>
      <c r="C881" s="27" t="str">
        <f t="shared" si="61"/>
        <v>Coryell</v>
      </c>
      <c r="D881" s="7">
        <f>'TX post'!D51</f>
        <v>4766</v>
      </c>
      <c r="E881" s="2">
        <f>'TX post'!E51</f>
        <v>297</v>
      </c>
      <c r="F881" s="26">
        <v>122</v>
      </c>
      <c r="G881" s="2">
        <f>'TX post'!I51</f>
        <v>7310</v>
      </c>
      <c r="H881" s="88">
        <f>'TX post'!M51</f>
        <v>66.347540983606564</v>
      </c>
      <c r="I881" s="29">
        <f>'TX post'!P51</f>
        <v>206163.04</v>
      </c>
      <c r="J881" s="27">
        <v>68</v>
      </c>
      <c r="K881" s="29">
        <f>'TX post'!R51</f>
        <v>163195</v>
      </c>
      <c r="L881" s="41">
        <v>1922</v>
      </c>
      <c r="N881" s="27" t="str">
        <f t="shared" si="56"/>
        <v>https://ia601500.us.archive.org/33/items/tx192224/1922-24%2c%20selected%20pages%20%28pp.%20192-93%20clipped%29.pdf</v>
      </c>
      <c r="O881" s="27" t="s">
        <v>1972</v>
      </c>
      <c r="P881" s="27" t="s">
        <v>548</v>
      </c>
      <c r="Q881" s="27" t="s">
        <v>2570</v>
      </c>
      <c r="R881" s="27" t="s">
        <v>551</v>
      </c>
      <c r="S881" s="27" t="str">
        <f t="shared" si="57"/>
        <v>https://ia601505.us.archive.org/29/items/tx192426/1924-26.pdf</v>
      </c>
      <c r="T881" s="27" t="str">
        <f t="shared" si="58"/>
        <v>https://babel.hathitrust.org/cgi/pt?id=uiug.30112058522902;view=1up;seq=175</v>
      </c>
      <c r="U881" s="27" t="s">
        <v>2570</v>
      </c>
    </row>
    <row r="882" spans="1:21" x14ac:dyDescent="0.25">
      <c r="A882" s="27" t="s">
        <v>1416</v>
      </c>
      <c r="B882" s="27" t="str">
        <f t="shared" si="55"/>
        <v>Texas</v>
      </c>
      <c r="C882" s="27" t="str">
        <f t="shared" si="61"/>
        <v>Cottle</v>
      </c>
      <c r="D882" s="7">
        <f>'TX post'!D52</f>
        <v>1117</v>
      </c>
      <c r="E882" s="2">
        <f>'TX post'!E52</f>
        <v>59</v>
      </c>
      <c r="F882" s="26">
        <v>128.21</v>
      </c>
      <c r="G882" s="2">
        <f>'TX post'!I52</f>
        <v>2138</v>
      </c>
      <c r="H882" s="88">
        <f>'TX post'!M52</f>
        <v>125.84062499999999</v>
      </c>
      <c r="I882" s="29">
        <f>'TX post'!P52</f>
        <v>79439.8</v>
      </c>
      <c r="J882" s="27">
        <v>23</v>
      </c>
      <c r="K882" s="29">
        <f>'TX post'!R52</f>
        <v>89844</v>
      </c>
      <c r="L882" s="41">
        <v>1922</v>
      </c>
      <c r="N882" s="27" t="str">
        <f t="shared" si="56"/>
        <v>https://ia601500.us.archive.org/33/items/tx192224/1922-24%2c%20selected%20pages%20%28pp.%20192-93%20clipped%29.pdf</v>
      </c>
      <c r="O882" s="27" t="s">
        <v>1972</v>
      </c>
      <c r="P882" s="27" t="s">
        <v>548</v>
      </c>
      <c r="Q882" s="27" t="s">
        <v>2570</v>
      </c>
      <c r="R882" s="27" t="s">
        <v>551</v>
      </c>
      <c r="S882" s="27" t="str">
        <f t="shared" si="57"/>
        <v>https://ia601505.us.archive.org/29/items/tx192426/1924-26.pdf</v>
      </c>
      <c r="T882" s="27" t="str">
        <f t="shared" si="58"/>
        <v>https://babel.hathitrust.org/cgi/pt?id=uiug.30112058522902;view=1up;seq=175</v>
      </c>
      <c r="U882" s="27" t="s">
        <v>2570</v>
      </c>
    </row>
    <row r="883" spans="1:21" x14ac:dyDescent="0.25">
      <c r="A883" s="27" t="s">
        <v>1418</v>
      </c>
      <c r="B883" s="27" t="str">
        <f t="shared" si="55"/>
        <v>Texas</v>
      </c>
      <c r="C883" s="27" t="str">
        <f t="shared" si="61"/>
        <v>Crockett</v>
      </c>
      <c r="D883" s="7">
        <f>'TX post'!D53</f>
        <v>242</v>
      </c>
      <c r="E883" s="2">
        <f>'TX post'!E53</f>
        <v>13</v>
      </c>
      <c r="F883" s="26">
        <v>150</v>
      </c>
      <c r="G883" s="2">
        <f>'TX post'!I53</f>
        <v>302</v>
      </c>
      <c r="H883" s="88">
        <f>'TX post'!M53</f>
        <v>175.84533333333331</v>
      </c>
      <c r="I883" s="29">
        <f>'TX post'!P53</f>
        <v>18332.8</v>
      </c>
      <c r="J883" s="27">
        <v>2</v>
      </c>
      <c r="K883" s="29">
        <f>'TX post'!R53</f>
        <v>107000</v>
      </c>
      <c r="L883" s="41">
        <v>1922</v>
      </c>
      <c r="N883" s="27" t="str">
        <f t="shared" si="56"/>
        <v>https://ia601500.us.archive.org/33/items/tx192224/1922-24%2c%20selected%20pages%20%28pp.%20192-93%20clipped%29.pdf</v>
      </c>
      <c r="O883" s="27" t="s">
        <v>1972</v>
      </c>
      <c r="P883" s="27" t="s">
        <v>548</v>
      </c>
      <c r="Q883" s="27" t="s">
        <v>2570</v>
      </c>
      <c r="R883" s="27" t="s">
        <v>551</v>
      </c>
      <c r="S883" s="27" t="str">
        <f t="shared" si="57"/>
        <v>https://ia601505.us.archive.org/29/items/tx192426/1924-26.pdf</v>
      </c>
      <c r="T883" s="27" t="str">
        <f t="shared" si="58"/>
        <v>https://babel.hathitrust.org/cgi/pt?id=uiug.30112058522902;view=1up;seq=175</v>
      </c>
      <c r="U883" s="27" t="s">
        <v>2570</v>
      </c>
    </row>
    <row r="884" spans="1:21" x14ac:dyDescent="0.25">
      <c r="A884" s="27" t="s">
        <v>1419</v>
      </c>
      <c r="B884" s="27" t="str">
        <f t="shared" si="55"/>
        <v>Texas</v>
      </c>
      <c r="C884" s="27" t="str">
        <f t="shared" si="61"/>
        <v>Crosby</v>
      </c>
      <c r="D884" s="7">
        <f>'TX post'!D54</f>
        <v>1243</v>
      </c>
      <c r="E884" s="2">
        <f>'TX post'!E54</f>
        <v>72</v>
      </c>
      <c r="F884" s="26">
        <v>134</v>
      </c>
      <c r="G884" s="2">
        <f>'TX post'!I54</f>
        <v>2832</v>
      </c>
      <c r="H884" s="88">
        <f>'TX post'!M54</f>
        <v>149.21194029850747</v>
      </c>
      <c r="I884" s="29">
        <f>'TX post'!P54</f>
        <v>124106.42</v>
      </c>
      <c r="J884" s="27">
        <v>13</v>
      </c>
      <c r="K884" s="29">
        <f>'TX post'!R54</f>
        <v>32563.75</v>
      </c>
      <c r="L884" s="41">
        <v>1922</v>
      </c>
      <c r="N884" s="27" t="str">
        <f t="shared" si="56"/>
        <v>https://ia601500.us.archive.org/33/items/tx192224/1922-24%2c%20selected%20pages%20%28pp.%20192-93%20clipped%29.pdf</v>
      </c>
      <c r="O884" s="27" t="s">
        <v>1972</v>
      </c>
      <c r="P884" s="27" t="s">
        <v>548</v>
      </c>
      <c r="Q884" s="27" t="s">
        <v>2570</v>
      </c>
      <c r="R884" s="27" t="s">
        <v>551</v>
      </c>
      <c r="S884" s="27" t="str">
        <f t="shared" si="57"/>
        <v>https://ia601505.us.archive.org/29/items/tx192426/1924-26.pdf</v>
      </c>
      <c r="T884" s="27" t="str">
        <f t="shared" si="58"/>
        <v>https://babel.hathitrust.org/cgi/pt?id=uiug.30112058522902;view=1up;seq=175</v>
      </c>
      <c r="U884" s="27" t="s">
        <v>2570</v>
      </c>
    </row>
    <row r="885" spans="1:21" x14ac:dyDescent="0.25">
      <c r="A885" s="27" t="s">
        <v>1420</v>
      </c>
      <c r="B885" s="27" t="str">
        <f t="shared" si="55"/>
        <v>Texas</v>
      </c>
      <c r="C885" s="27" t="str">
        <f t="shared" si="61"/>
        <v>Culberson</v>
      </c>
      <c r="D885" s="7">
        <f>'TX post'!D55</f>
        <v>102</v>
      </c>
      <c r="E885" s="2">
        <f>'TX post'!E55</f>
        <v>25</v>
      </c>
      <c r="F885" s="26">
        <v>175</v>
      </c>
      <c r="G885" s="2">
        <f>'TX post'!I55</f>
        <v>1161</v>
      </c>
      <c r="H885" s="88">
        <f>'TX post'!M55</f>
        <v>43.885714285714286</v>
      </c>
      <c r="I885" s="29">
        <f>'TX post'!P55</f>
        <v>11068.85</v>
      </c>
      <c r="J885" s="27">
        <v>9</v>
      </c>
      <c r="K885" s="29">
        <f>'TX post'!R55</f>
        <v>15100</v>
      </c>
      <c r="L885" s="41">
        <v>1922</v>
      </c>
      <c r="N885" s="27" t="str">
        <f t="shared" si="56"/>
        <v>https://ia601500.us.archive.org/33/items/tx192224/1922-24%2c%20selected%20pages%20%28pp.%20192-93%20clipped%29.pdf</v>
      </c>
      <c r="O885" s="27" t="s">
        <v>1972</v>
      </c>
      <c r="P885" s="27" t="s">
        <v>548</v>
      </c>
      <c r="Q885" s="27" t="s">
        <v>2570</v>
      </c>
      <c r="R885" s="27" t="s">
        <v>551</v>
      </c>
      <c r="S885" s="27" t="str">
        <f t="shared" si="57"/>
        <v>https://ia601505.us.archive.org/29/items/tx192426/1924-26.pdf</v>
      </c>
      <c r="T885" s="27" t="str">
        <f t="shared" si="58"/>
        <v>https://babel.hathitrust.org/cgi/pt?id=uiug.30112058522902;view=1up;seq=175</v>
      </c>
      <c r="U885" s="27" t="s">
        <v>2570</v>
      </c>
    </row>
    <row r="886" spans="1:21" x14ac:dyDescent="0.25">
      <c r="A886" s="27" t="s">
        <v>1421</v>
      </c>
      <c r="B886" s="27" t="str">
        <f t="shared" si="55"/>
        <v>Texas</v>
      </c>
      <c r="C886" s="27" t="str">
        <f t="shared" si="61"/>
        <v>Dallam</v>
      </c>
      <c r="D886" s="7">
        <f>'TX post'!D56</f>
        <v>1107</v>
      </c>
      <c r="E886" s="2">
        <f>'TX post'!E56</f>
        <v>41</v>
      </c>
      <c r="F886" s="26">
        <v>170</v>
      </c>
      <c r="G886" s="2">
        <f>'TX post'!I56</f>
        <v>1326</v>
      </c>
      <c r="H886" s="88">
        <f>'TX post'!M56</f>
        <v>141.41882352941175</v>
      </c>
      <c r="I886" s="29">
        <f>'TX post'!P56</f>
        <v>79898.490000000005</v>
      </c>
      <c r="J886" s="27">
        <v>10</v>
      </c>
      <c r="K886" s="29">
        <f>'TX post'!R56</f>
        <v>25435</v>
      </c>
      <c r="L886" s="41">
        <v>1922</v>
      </c>
      <c r="N886" s="27" t="str">
        <f t="shared" si="56"/>
        <v>https://ia601500.us.archive.org/33/items/tx192224/1922-24%2c%20selected%20pages%20%28pp.%20192-93%20clipped%29.pdf</v>
      </c>
      <c r="O886" s="27" t="s">
        <v>1972</v>
      </c>
      <c r="P886" s="27" t="s">
        <v>548</v>
      </c>
      <c r="Q886" s="27" t="s">
        <v>2570</v>
      </c>
      <c r="R886" s="27" t="s">
        <v>551</v>
      </c>
      <c r="S886" s="27" t="str">
        <f t="shared" si="57"/>
        <v>https://ia601505.us.archive.org/29/items/tx192426/1924-26.pdf</v>
      </c>
      <c r="T886" s="27" t="str">
        <f t="shared" si="58"/>
        <v>https://babel.hathitrust.org/cgi/pt?id=uiug.30112058522902;view=1up;seq=175</v>
      </c>
      <c r="U886" s="27" t="s">
        <v>2570</v>
      </c>
    </row>
    <row r="887" spans="1:21" x14ac:dyDescent="0.25">
      <c r="A887" s="27" t="s">
        <v>1422</v>
      </c>
      <c r="B887" s="27" t="str">
        <f t="shared" si="55"/>
        <v>Texas</v>
      </c>
      <c r="C887" s="27" t="str">
        <f t="shared" si="61"/>
        <v>Dallas</v>
      </c>
      <c r="D887" s="7">
        <f>'TX post'!D57</f>
        <v>33627</v>
      </c>
      <c r="E887" s="2">
        <f>'TX post'!E57</f>
        <v>1262</v>
      </c>
      <c r="F887" s="26">
        <v>135.69999999999999</v>
      </c>
      <c r="G887" s="2">
        <f>'TX post'!I57</f>
        <v>44741</v>
      </c>
      <c r="H887" s="88">
        <f>'TX post'!M57</f>
        <v>222.43970588235294</v>
      </c>
      <c r="I887" s="29">
        <f>'TX post'!P57</f>
        <v>2721912.39</v>
      </c>
      <c r="J887" s="27">
        <v>70</v>
      </c>
      <c r="K887" s="29">
        <f>'TX post'!R57</f>
        <v>228993</v>
      </c>
      <c r="L887" s="41">
        <v>1922</v>
      </c>
      <c r="N887" s="27" t="str">
        <f t="shared" si="56"/>
        <v>https://ia601500.us.archive.org/33/items/tx192224/1922-24%2c%20selected%20pages%20%28pp.%20192-93%20clipped%29.pdf</v>
      </c>
      <c r="O887" s="27" t="s">
        <v>1972</v>
      </c>
      <c r="P887" s="27" t="s">
        <v>548</v>
      </c>
      <c r="Q887" s="27" t="s">
        <v>2570</v>
      </c>
      <c r="R887" s="27" t="s">
        <v>551</v>
      </c>
      <c r="S887" s="27" t="str">
        <f t="shared" si="57"/>
        <v>https://ia601505.us.archive.org/29/items/tx192426/1924-26.pdf</v>
      </c>
      <c r="T887" s="27" t="str">
        <f t="shared" si="58"/>
        <v>https://babel.hathitrust.org/cgi/pt?id=uiug.30112058522902;view=1up;seq=175</v>
      </c>
      <c r="U887" s="27" t="s">
        <v>2570</v>
      </c>
    </row>
    <row r="888" spans="1:21" x14ac:dyDescent="0.25">
      <c r="A888" s="27" t="s">
        <v>1423</v>
      </c>
      <c r="B888" s="27" t="str">
        <f t="shared" si="55"/>
        <v>Texas</v>
      </c>
      <c r="C888" s="27" t="str">
        <f t="shared" si="61"/>
        <v>Dawson</v>
      </c>
      <c r="D888" s="7">
        <f>'TX post'!D58</f>
        <v>1984</v>
      </c>
      <c r="E888" s="2">
        <f>'TX post'!E58</f>
        <v>53</v>
      </c>
      <c r="F888" s="26">
        <v>131</v>
      </c>
      <c r="G888" s="2">
        <f>'TX post'!I58</f>
        <v>1701</v>
      </c>
      <c r="H888" s="88">
        <f>'TX post'!M58</f>
        <v>118.80916030534353</v>
      </c>
      <c r="I888" s="29">
        <f>'TX post'!P58</f>
        <v>137752.32999999999</v>
      </c>
      <c r="J888" s="27">
        <v>25</v>
      </c>
      <c r="K888" s="29">
        <f>'TX post'!R58</f>
        <v>55300</v>
      </c>
      <c r="L888" s="41">
        <v>1922</v>
      </c>
      <c r="N888" s="27" t="str">
        <f t="shared" si="56"/>
        <v>https://ia601500.us.archive.org/33/items/tx192224/1922-24%2c%20selected%20pages%20%28pp.%20192-93%20clipped%29.pdf</v>
      </c>
      <c r="O888" s="27" t="s">
        <v>1972</v>
      </c>
      <c r="P888" s="27" t="s">
        <v>548</v>
      </c>
      <c r="Q888" s="27" t="s">
        <v>2570</v>
      </c>
      <c r="R888" s="27" t="s">
        <v>551</v>
      </c>
      <c r="S888" s="27" t="str">
        <f t="shared" si="57"/>
        <v>https://ia601505.us.archive.org/29/items/tx192426/1924-26.pdf</v>
      </c>
      <c r="T888" s="27" t="str">
        <f t="shared" si="58"/>
        <v>https://babel.hathitrust.org/cgi/pt?id=uiug.30112058522902;view=1up;seq=175</v>
      </c>
      <c r="U888" s="27" t="s">
        <v>2570</v>
      </c>
    </row>
    <row r="889" spans="1:21" x14ac:dyDescent="0.25">
      <c r="A889" s="27" t="s">
        <v>1424</v>
      </c>
      <c r="B889" s="27" t="str">
        <f t="shared" si="55"/>
        <v>Texas</v>
      </c>
      <c r="C889" s="27" t="str">
        <f t="shared" si="61"/>
        <v>Deaf Smith</v>
      </c>
      <c r="D889" s="7">
        <f>'TX post'!D59</f>
        <v>758</v>
      </c>
      <c r="E889" s="2">
        <f>'TX post'!E59</f>
        <v>46</v>
      </c>
      <c r="F889" s="26">
        <v>165</v>
      </c>
      <c r="G889" s="2">
        <f>'TX post'!I59</f>
        <v>1086</v>
      </c>
      <c r="H889" s="88">
        <f>'TX post'!M59</f>
        <v>105.54545454545455</v>
      </c>
      <c r="I889" s="29">
        <f>'TX post'!P59</f>
        <v>82961.570000000007</v>
      </c>
      <c r="J889" s="27">
        <v>20</v>
      </c>
      <c r="K889" s="29">
        <f>'TX post'!R59</f>
        <v>32600</v>
      </c>
      <c r="L889" s="41">
        <v>1922</v>
      </c>
      <c r="N889" s="27" t="str">
        <f t="shared" si="56"/>
        <v>https://ia601500.us.archive.org/33/items/tx192224/1922-24%2c%20selected%20pages%20%28pp.%20192-93%20clipped%29.pdf</v>
      </c>
      <c r="O889" s="27" t="s">
        <v>1972</v>
      </c>
      <c r="P889" s="27" t="s">
        <v>548</v>
      </c>
      <c r="Q889" s="27" t="s">
        <v>2570</v>
      </c>
      <c r="R889" s="27" t="s">
        <v>551</v>
      </c>
      <c r="S889" s="27" t="str">
        <f t="shared" si="57"/>
        <v>https://ia601505.us.archive.org/29/items/tx192426/1924-26.pdf</v>
      </c>
      <c r="T889" s="27" t="str">
        <f t="shared" si="58"/>
        <v>https://babel.hathitrust.org/cgi/pt?id=uiug.30112058522902;view=1up;seq=175</v>
      </c>
      <c r="U889" s="27" t="s">
        <v>2570</v>
      </c>
    </row>
    <row r="890" spans="1:21" x14ac:dyDescent="0.25">
      <c r="A890" s="27" t="s">
        <v>1425</v>
      </c>
      <c r="B890" s="27" t="str">
        <f t="shared" si="55"/>
        <v>Texas</v>
      </c>
      <c r="C890" s="27" t="str">
        <f t="shared" si="61"/>
        <v>Delta</v>
      </c>
      <c r="D890" s="7">
        <f>'TX post'!D60</f>
        <v>3123</v>
      </c>
      <c r="E890" s="2">
        <f>'TX post'!E60</f>
        <v>196</v>
      </c>
      <c r="F890" s="26">
        <v>121.44</v>
      </c>
      <c r="G890" s="2">
        <f>'TX post'!I60</f>
        <v>4825</v>
      </c>
      <c r="H890" s="88">
        <f>'TX post'!M60</f>
        <v>99.347107438016522</v>
      </c>
      <c r="I890" s="29">
        <f>'TX post'!P60</f>
        <v>132459.72</v>
      </c>
      <c r="J890" s="27">
        <v>38</v>
      </c>
      <c r="K890" s="29">
        <f>'TX post'!R60</f>
        <v>119300</v>
      </c>
      <c r="L890" s="41">
        <v>1922</v>
      </c>
      <c r="N890" s="27" t="str">
        <f t="shared" si="56"/>
        <v>https://ia601500.us.archive.org/33/items/tx192224/1922-24%2c%20selected%20pages%20%28pp.%20192-93%20clipped%29.pdf</v>
      </c>
      <c r="O890" s="27" t="s">
        <v>1972</v>
      </c>
      <c r="P890" s="27" t="s">
        <v>548</v>
      </c>
      <c r="Q890" s="27" t="s">
        <v>2570</v>
      </c>
      <c r="R890" s="27" t="s">
        <v>551</v>
      </c>
      <c r="S890" s="27" t="str">
        <f t="shared" si="57"/>
        <v>https://ia601505.us.archive.org/29/items/tx192426/1924-26.pdf</v>
      </c>
      <c r="T890" s="27" t="str">
        <f t="shared" si="58"/>
        <v>https://babel.hathitrust.org/cgi/pt?id=uiug.30112058522902;view=1up;seq=175</v>
      </c>
      <c r="U890" s="27" t="s">
        <v>2570</v>
      </c>
    </row>
    <row r="891" spans="1:21" x14ac:dyDescent="0.25">
      <c r="A891" s="27" t="s">
        <v>1426</v>
      </c>
      <c r="B891" s="27" t="str">
        <f t="shared" si="55"/>
        <v>Texas</v>
      </c>
      <c r="C891" s="27" t="str">
        <f t="shared" si="61"/>
        <v>Denton</v>
      </c>
      <c r="D891" s="7">
        <f>'TX post'!D61</f>
        <v>6567</v>
      </c>
      <c r="E891" s="2">
        <f>'TX post'!E61</f>
        <v>272</v>
      </c>
      <c r="F891" s="26">
        <v>129.13999999999999</v>
      </c>
      <c r="G891" s="2">
        <f>'TX post'!I61</f>
        <v>9816</v>
      </c>
      <c r="H891" s="88">
        <f>'TX post'!M61</f>
        <v>114.86511627906977</v>
      </c>
      <c r="I891" s="29">
        <f>'TX post'!P61</f>
        <v>308516.49</v>
      </c>
      <c r="J891" s="27">
        <v>71</v>
      </c>
      <c r="K891" s="29">
        <f>'TX post'!R61</f>
        <v>207265</v>
      </c>
      <c r="L891" s="41">
        <v>1922</v>
      </c>
      <c r="N891" s="27" t="str">
        <f t="shared" si="56"/>
        <v>https://ia601500.us.archive.org/33/items/tx192224/1922-24%2c%20selected%20pages%20%28pp.%20192-93%20clipped%29.pdf</v>
      </c>
      <c r="O891" s="27" t="s">
        <v>1972</v>
      </c>
      <c r="P891" s="27" t="s">
        <v>548</v>
      </c>
      <c r="Q891" s="27" t="s">
        <v>2570</v>
      </c>
      <c r="R891" s="27" t="s">
        <v>551</v>
      </c>
      <c r="S891" s="27" t="str">
        <f t="shared" si="57"/>
        <v>https://ia601505.us.archive.org/29/items/tx192426/1924-26.pdf</v>
      </c>
      <c r="T891" s="27" t="str">
        <f t="shared" si="58"/>
        <v>https://babel.hathitrust.org/cgi/pt?id=uiug.30112058522902;view=1up;seq=175</v>
      </c>
      <c r="U891" s="27" t="s">
        <v>2570</v>
      </c>
    </row>
    <row r="892" spans="1:21" x14ac:dyDescent="0.25">
      <c r="A892" s="27" t="s">
        <v>1427</v>
      </c>
      <c r="B892" s="27" t="str">
        <f t="shared" si="55"/>
        <v>Texas</v>
      </c>
      <c r="C892" s="27" t="str">
        <f t="shared" si="61"/>
        <v>DeWitt</v>
      </c>
      <c r="D892" s="7">
        <f>'TX post'!D62</f>
        <v>4861</v>
      </c>
      <c r="E892" s="2">
        <f>'TX post'!E62</f>
        <v>197</v>
      </c>
      <c r="F892" s="26">
        <v>144.36000000000001</v>
      </c>
      <c r="G892" s="2">
        <f>'TX post'!I62</f>
        <v>6508</v>
      </c>
      <c r="H892" s="88">
        <f>'TX post'!M62</f>
        <v>110.60277777777777</v>
      </c>
      <c r="I892" s="29">
        <f>'TX post'!P62</f>
        <v>231206.95</v>
      </c>
      <c r="J892" s="27">
        <v>65</v>
      </c>
      <c r="K892" s="29">
        <f>'TX post'!R62</f>
        <v>83900</v>
      </c>
      <c r="L892" s="41">
        <v>1922</v>
      </c>
      <c r="N892" s="27" t="str">
        <f t="shared" si="56"/>
        <v>https://ia601500.us.archive.org/33/items/tx192224/1922-24%2c%20selected%20pages%20%28pp.%20192-93%20clipped%29.pdf</v>
      </c>
      <c r="O892" s="27" t="s">
        <v>1972</v>
      </c>
      <c r="P892" s="27" t="s">
        <v>548</v>
      </c>
      <c r="Q892" s="27" t="s">
        <v>2570</v>
      </c>
      <c r="R892" s="27" t="s">
        <v>551</v>
      </c>
      <c r="S892" s="27" t="str">
        <f t="shared" si="57"/>
        <v>https://ia601505.us.archive.org/29/items/tx192426/1924-26.pdf</v>
      </c>
      <c r="T892" s="27" t="str">
        <f t="shared" si="58"/>
        <v>https://babel.hathitrust.org/cgi/pt?id=uiug.30112058522902;view=1up;seq=175</v>
      </c>
      <c r="U892" s="27" t="s">
        <v>2570</v>
      </c>
    </row>
    <row r="893" spans="1:21" x14ac:dyDescent="0.25">
      <c r="A893" s="27" t="s">
        <v>1428</v>
      </c>
      <c r="B893" s="27" t="str">
        <f t="shared" si="55"/>
        <v>Texas</v>
      </c>
      <c r="C893" s="27" t="str">
        <f t="shared" si="61"/>
        <v>Dickens</v>
      </c>
      <c r="D893" s="7">
        <f>'TX post'!D63</f>
        <v>1311</v>
      </c>
      <c r="E893" s="2">
        <f>'TX post'!E63</f>
        <v>66</v>
      </c>
      <c r="F893" s="26">
        <v>121.3</v>
      </c>
      <c r="G893" s="2">
        <f>'TX post'!I63</f>
        <v>2242</v>
      </c>
      <c r="H893" s="88">
        <f>'TX post'!M63</f>
        <v>133.90578512396695</v>
      </c>
      <c r="I893" s="29">
        <f>'TX post'!P63</f>
        <v>89234.86</v>
      </c>
      <c r="J893" s="27">
        <v>23</v>
      </c>
      <c r="K893" s="29">
        <f>'TX post'!R63</f>
        <v>94680</v>
      </c>
      <c r="L893" s="41">
        <v>1922</v>
      </c>
      <c r="N893" s="27" t="str">
        <f t="shared" si="56"/>
        <v>https://ia601500.us.archive.org/33/items/tx192224/1922-24%2c%20selected%20pages%20%28pp.%20192-93%20clipped%29.pdf</v>
      </c>
      <c r="O893" s="27" t="s">
        <v>1972</v>
      </c>
      <c r="P893" s="27" t="s">
        <v>548</v>
      </c>
      <c r="Q893" s="27" t="s">
        <v>2570</v>
      </c>
      <c r="R893" s="27" t="s">
        <v>551</v>
      </c>
      <c r="S893" s="27" t="str">
        <f t="shared" si="57"/>
        <v>https://ia601505.us.archive.org/29/items/tx192426/1924-26.pdf</v>
      </c>
      <c r="T893" s="27" t="str">
        <f t="shared" si="58"/>
        <v>https://babel.hathitrust.org/cgi/pt?id=uiug.30112058522902;view=1up;seq=175</v>
      </c>
      <c r="U893" s="27" t="s">
        <v>2570</v>
      </c>
    </row>
    <row r="894" spans="1:21" x14ac:dyDescent="0.25">
      <c r="A894" s="27" t="s">
        <v>1429</v>
      </c>
      <c r="B894" s="27" t="str">
        <f t="shared" si="55"/>
        <v>Texas</v>
      </c>
      <c r="C894" s="27" t="str">
        <f t="shared" si="61"/>
        <v>Dimmit</v>
      </c>
      <c r="D894" s="7">
        <f>'TX post'!D64</f>
        <v>243</v>
      </c>
      <c r="E894" s="2">
        <f>'TX post'!E64</f>
        <v>37</v>
      </c>
      <c r="F894" s="26">
        <v>166</v>
      </c>
      <c r="G894" s="2">
        <f>'TX post'!I64</f>
        <v>997</v>
      </c>
      <c r="H894" s="88">
        <f>'TX post'!M64</f>
        <v>63.049397590361437</v>
      </c>
      <c r="I894" s="29">
        <f>'TX post'!P64</f>
        <v>48875.4</v>
      </c>
      <c r="J894" s="27">
        <v>8</v>
      </c>
      <c r="K894" s="29"/>
      <c r="L894" s="41">
        <v>1922</v>
      </c>
      <c r="N894" s="27" t="str">
        <f t="shared" si="56"/>
        <v>https://ia601500.us.archive.org/33/items/tx192224/1922-24%2c%20selected%20pages%20%28pp.%20192-93%20clipped%29.pdf</v>
      </c>
      <c r="O894" s="27" t="s">
        <v>1972</v>
      </c>
      <c r="P894" s="27" t="s">
        <v>548</v>
      </c>
      <c r="Q894" s="27" t="s">
        <v>2570</v>
      </c>
      <c r="R894" s="27" t="s">
        <v>551</v>
      </c>
      <c r="S894" s="27" t="str">
        <f t="shared" si="57"/>
        <v>https://ia601505.us.archive.org/29/items/tx192426/1924-26.pdf</v>
      </c>
      <c r="T894" s="27" t="str">
        <f t="shared" si="58"/>
        <v>https://babel.hathitrust.org/cgi/pt?id=uiug.30112058522902;view=1up;seq=175</v>
      </c>
      <c r="U894" s="27" t="s">
        <v>2570</v>
      </c>
    </row>
    <row r="895" spans="1:21" x14ac:dyDescent="0.25">
      <c r="A895" s="27" t="s">
        <v>1430</v>
      </c>
      <c r="B895" s="27" t="str">
        <f t="shared" si="55"/>
        <v>Texas</v>
      </c>
      <c r="C895" s="27" t="str">
        <f t="shared" si="61"/>
        <v>Donley</v>
      </c>
      <c r="D895" s="7">
        <f>'TX post'!D65</f>
        <v>1161</v>
      </c>
      <c r="E895" s="2">
        <f>'TX post'!E65</f>
        <v>73</v>
      </c>
      <c r="F895" s="26">
        <v>135</v>
      </c>
      <c r="G895" s="2">
        <f>'TX post'!I65</f>
        <v>2783</v>
      </c>
      <c r="H895" s="88">
        <f>'TX post'!M65</f>
        <v>132.7037037037037</v>
      </c>
      <c r="I895" s="29">
        <f>'TX post'!P65</f>
        <v>111752.88</v>
      </c>
      <c r="J895" s="27">
        <v>20</v>
      </c>
      <c r="K895" s="29">
        <f>'TX post'!R65</f>
        <v>96280</v>
      </c>
      <c r="L895" s="41">
        <v>1922</v>
      </c>
      <c r="N895" s="27" t="str">
        <f t="shared" si="56"/>
        <v>https://ia601500.us.archive.org/33/items/tx192224/1922-24%2c%20selected%20pages%20%28pp.%20192-93%20clipped%29.pdf</v>
      </c>
      <c r="O895" s="27" t="s">
        <v>1972</v>
      </c>
      <c r="P895" s="27" t="s">
        <v>548</v>
      </c>
      <c r="Q895" s="27" t="s">
        <v>2570</v>
      </c>
      <c r="R895" s="27" t="s">
        <v>551</v>
      </c>
      <c r="S895" s="27" t="str">
        <f t="shared" si="57"/>
        <v>https://ia601505.us.archive.org/29/items/tx192426/1924-26.pdf</v>
      </c>
      <c r="T895" s="27" t="str">
        <f t="shared" si="58"/>
        <v>https://babel.hathitrust.org/cgi/pt?id=uiug.30112058522902;view=1up;seq=175</v>
      </c>
      <c r="U895" s="27" t="s">
        <v>2570</v>
      </c>
    </row>
    <row r="896" spans="1:21" x14ac:dyDescent="0.25">
      <c r="A896" s="27" t="s">
        <v>1431</v>
      </c>
      <c r="B896" s="27" t="str">
        <f t="shared" ref="B896:B959" si="62">LEFT(A896,FIND(";",A896)-1)</f>
        <v>Texas</v>
      </c>
      <c r="C896" s="27" t="str">
        <f t="shared" ref="C896:C959" si="63">MID(A896,FIND(";",A896)+1,100)</f>
        <v>Duval</v>
      </c>
      <c r="D896" s="7">
        <f>'TX post'!D66</f>
        <v>1055</v>
      </c>
      <c r="E896" s="2">
        <f>'TX post'!E66</f>
        <v>62</v>
      </c>
      <c r="F896" s="26">
        <v>143.07</v>
      </c>
      <c r="G896" s="2">
        <f>'TX post'!I66</f>
        <v>1976</v>
      </c>
      <c r="H896" s="88">
        <f>'TX post'!M66</f>
        <v>94.788811188811181</v>
      </c>
      <c r="I896" s="29">
        <f>'TX post'!P66</f>
        <v>64548.88</v>
      </c>
      <c r="J896" s="27">
        <v>26</v>
      </c>
      <c r="K896" s="29">
        <f>'TX post'!R66</f>
        <v>9975</v>
      </c>
      <c r="L896" s="41">
        <v>1922</v>
      </c>
      <c r="N896" s="27" t="str">
        <f t="shared" si="56"/>
        <v>https://ia601500.us.archive.org/33/items/tx192224/1922-24%2c%20selected%20pages%20%28pp.%20192-93%20clipped%29.pdf</v>
      </c>
      <c r="O896" s="27" t="s">
        <v>1972</v>
      </c>
      <c r="P896" s="27" t="s">
        <v>548</v>
      </c>
      <c r="Q896" s="27" t="s">
        <v>2570</v>
      </c>
      <c r="R896" s="27" t="s">
        <v>551</v>
      </c>
      <c r="S896" s="27" t="str">
        <f t="shared" si="57"/>
        <v>https://ia601505.us.archive.org/29/items/tx192426/1924-26.pdf</v>
      </c>
      <c r="T896" s="27" t="str">
        <f t="shared" si="58"/>
        <v>https://babel.hathitrust.org/cgi/pt?id=uiug.30112058522902;view=1up;seq=175</v>
      </c>
      <c r="U896" s="27" t="s">
        <v>2570</v>
      </c>
    </row>
    <row r="897" spans="1:21" x14ac:dyDescent="0.25">
      <c r="A897" s="27" t="s">
        <v>1432</v>
      </c>
      <c r="B897" s="27" t="str">
        <f t="shared" si="62"/>
        <v>Texas</v>
      </c>
      <c r="C897" s="27" t="str">
        <f t="shared" si="63"/>
        <v>Eastland</v>
      </c>
      <c r="D897" s="7">
        <f>'TX post'!D67</f>
        <v>7244</v>
      </c>
      <c r="E897" s="2">
        <f>'TX post'!E67</f>
        <v>306</v>
      </c>
      <c r="F897" s="26">
        <v>128.69</v>
      </c>
      <c r="G897" s="2">
        <f>'TX post'!I67</f>
        <v>10917</v>
      </c>
      <c r="H897" s="88">
        <f>'TX post'!M67</f>
        <v>155.00310077519379</v>
      </c>
      <c r="I897" s="29">
        <f>'TX post'!P67</f>
        <v>456758.22</v>
      </c>
      <c r="J897" s="27">
        <v>69</v>
      </c>
      <c r="K897" s="29">
        <f>'TX post'!R67</f>
        <v>164700</v>
      </c>
      <c r="L897" s="41">
        <v>1922</v>
      </c>
      <c r="N897" s="27" t="str">
        <f t="shared" si="56"/>
        <v>https://ia601500.us.archive.org/33/items/tx192224/1922-24%2c%20selected%20pages%20%28pp.%20192-93%20clipped%29.pdf</v>
      </c>
      <c r="O897" s="27" t="s">
        <v>1972</v>
      </c>
      <c r="P897" s="27" t="s">
        <v>548</v>
      </c>
      <c r="Q897" s="27" t="s">
        <v>2570</v>
      </c>
      <c r="R897" s="27" t="s">
        <v>551</v>
      </c>
      <c r="S897" s="27" t="str">
        <f t="shared" si="57"/>
        <v>https://ia601505.us.archive.org/29/items/tx192426/1924-26.pdf</v>
      </c>
      <c r="T897" s="27" t="str">
        <f t="shared" si="58"/>
        <v>https://babel.hathitrust.org/cgi/pt?id=uiug.30112058522902;view=1up;seq=175</v>
      </c>
      <c r="U897" s="27" t="s">
        <v>2570</v>
      </c>
    </row>
    <row r="898" spans="1:21" x14ac:dyDescent="0.25">
      <c r="A898" s="27" t="s">
        <v>1433</v>
      </c>
      <c r="B898" s="27" t="str">
        <f t="shared" si="62"/>
        <v>Texas</v>
      </c>
      <c r="C898" s="27" t="str">
        <f t="shared" si="63"/>
        <v>Ector</v>
      </c>
      <c r="D898" s="7">
        <f>'TX post'!D68</f>
        <v>126</v>
      </c>
      <c r="E898" s="2">
        <f>'TX post'!E68</f>
        <v>9</v>
      </c>
      <c r="F898" s="26">
        <v>180</v>
      </c>
      <c r="G898" s="2">
        <f>'TX post'!I68</f>
        <v>175</v>
      </c>
      <c r="H898" s="88">
        <f>'TX post'!M68</f>
        <v>150.43111111111114</v>
      </c>
      <c r="I898" s="29">
        <f>'TX post'!P68</f>
        <v>16516.13</v>
      </c>
      <c r="J898" s="27">
        <v>1</v>
      </c>
      <c r="K898" s="29">
        <f>'TX post'!R68</f>
        <v>69000</v>
      </c>
      <c r="L898" s="41">
        <v>1922</v>
      </c>
      <c r="N898" s="27" t="str">
        <f t="shared" ref="N898:N961" si="64">N897</f>
        <v>https://ia601500.us.archive.org/33/items/tx192224/1922-24%2c%20selected%20pages%20%28pp.%20192-93%20clipped%29.pdf</v>
      </c>
      <c r="O898" s="27" t="s">
        <v>1972</v>
      </c>
      <c r="P898" s="27" t="s">
        <v>548</v>
      </c>
      <c r="Q898" s="27" t="s">
        <v>2570</v>
      </c>
      <c r="R898" s="27" t="s">
        <v>551</v>
      </c>
      <c r="S898" s="27" t="str">
        <f t="shared" ref="S898:S961" si="65">S897</f>
        <v>https://ia601505.us.archive.org/29/items/tx192426/1924-26.pdf</v>
      </c>
      <c r="T898" s="27" t="str">
        <f t="shared" ref="T898:T961" si="66">T897</f>
        <v>https://babel.hathitrust.org/cgi/pt?id=uiug.30112058522902;view=1up;seq=175</v>
      </c>
      <c r="U898" s="27" t="s">
        <v>2570</v>
      </c>
    </row>
    <row r="899" spans="1:21" x14ac:dyDescent="0.25">
      <c r="A899" s="27" t="s">
        <v>1434</v>
      </c>
      <c r="B899" s="27" t="str">
        <f t="shared" si="62"/>
        <v>Texas</v>
      </c>
      <c r="C899" s="27" t="str">
        <f t="shared" si="63"/>
        <v>Edwards</v>
      </c>
      <c r="D899" s="7">
        <f>'TX post'!D69</f>
        <v>232</v>
      </c>
      <c r="E899" s="2">
        <f>'TX post'!E69</f>
        <v>23</v>
      </c>
      <c r="F899" s="26">
        <v>152.77000000000001</v>
      </c>
      <c r="G899" s="2">
        <f>'TX post'!I69</f>
        <v>566</v>
      </c>
      <c r="H899" s="88">
        <f>'TX post'!M69</f>
        <v>117.12418300653594</v>
      </c>
      <c r="I899" s="29">
        <f>'TX post'!P69</f>
        <v>29146.3</v>
      </c>
      <c r="J899" s="27">
        <v>9</v>
      </c>
      <c r="K899" s="29">
        <f>'TX post'!R69</f>
        <v>29400</v>
      </c>
      <c r="L899" s="41">
        <v>1922</v>
      </c>
      <c r="N899" s="27" t="str">
        <f t="shared" si="64"/>
        <v>https://ia601500.us.archive.org/33/items/tx192224/1922-24%2c%20selected%20pages%20%28pp.%20192-93%20clipped%29.pdf</v>
      </c>
      <c r="O899" s="27" t="s">
        <v>1972</v>
      </c>
      <c r="P899" s="27" t="s">
        <v>548</v>
      </c>
      <c r="Q899" s="27" t="s">
        <v>2570</v>
      </c>
      <c r="R899" s="27" t="s">
        <v>551</v>
      </c>
      <c r="S899" s="27" t="str">
        <f t="shared" si="65"/>
        <v>https://ia601505.us.archive.org/29/items/tx192426/1924-26.pdf</v>
      </c>
      <c r="T899" s="27" t="str">
        <f t="shared" si="66"/>
        <v>https://babel.hathitrust.org/cgi/pt?id=uiug.30112058522902;view=1up;seq=175</v>
      </c>
      <c r="U899" s="27" t="s">
        <v>2570</v>
      </c>
    </row>
    <row r="900" spans="1:21" x14ac:dyDescent="0.25">
      <c r="A900" s="27" t="s">
        <v>1436</v>
      </c>
      <c r="B900" s="27" t="str">
        <f t="shared" si="62"/>
        <v>Texas</v>
      </c>
      <c r="C900" s="27" t="str">
        <f t="shared" si="63"/>
        <v>Ellis</v>
      </c>
      <c r="D900" s="7">
        <f>'TX post'!D70</f>
        <v>11634</v>
      </c>
      <c r="E900" s="2">
        <f>'TX post'!E70</f>
        <v>429</v>
      </c>
      <c r="F900" s="26"/>
      <c r="G900" s="2">
        <f>'TX post'!I70</f>
        <v>16760</v>
      </c>
      <c r="H900" s="88"/>
      <c r="I900" s="29">
        <f>'TX post'!P70</f>
        <v>519031.94</v>
      </c>
      <c r="K900" s="29">
        <f>'TX post'!R70</f>
        <v>311810.90000000002</v>
      </c>
      <c r="L900" s="41">
        <v>1922</v>
      </c>
      <c r="N900" s="27" t="str">
        <f t="shared" si="64"/>
        <v>https://ia601500.us.archive.org/33/items/tx192224/1922-24%2c%20selected%20pages%20%28pp.%20192-93%20clipped%29.pdf</v>
      </c>
      <c r="O900" s="27" t="s">
        <v>1972</v>
      </c>
      <c r="P900" s="27" t="s">
        <v>548</v>
      </c>
      <c r="Q900" s="27" t="s">
        <v>2570</v>
      </c>
      <c r="R900" s="27" t="s">
        <v>551</v>
      </c>
      <c r="S900" s="27" t="str">
        <f t="shared" si="65"/>
        <v>https://ia601505.us.archive.org/29/items/tx192426/1924-26.pdf</v>
      </c>
      <c r="T900" s="27" t="str">
        <f t="shared" si="66"/>
        <v>https://babel.hathitrust.org/cgi/pt?id=uiug.30112058522902;view=1up;seq=175</v>
      </c>
      <c r="U900" s="27" t="s">
        <v>2570</v>
      </c>
    </row>
    <row r="901" spans="1:21" x14ac:dyDescent="0.25">
      <c r="A901" s="27" t="s">
        <v>1435</v>
      </c>
      <c r="B901" s="27" t="str">
        <f t="shared" si="62"/>
        <v>Texas</v>
      </c>
      <c r="C901" s="27" t="str">
        <f t="shared" si="63"/>
        <v>El Paso</v>
      </c>
      <c r="D901" s="7">
        <f>'TX post'!D71</f>
        <v>15210</v>
      </c>
      <c r="E901" s="2">
        <f>'TX post'!E71</f>
        <v>537</v>
      </c>
      <c r="F901" s="26">
        <v>175.72</v>
      </c>
      <c r="G901" s="2">
        <f>'TX post'!I71</f>
        <v>18408</v>
      </c>
      <c r="H901" s="88">
        <f>'TX post'!M71</f>
        <v>148.65454545454546</v>
      </c>
      <c r="I901" s="29">
        <f>'TX post'!P71</f>
        <v>1178439.67</v>
      </c>
      <c r="J901" s="27">
        <v>14</v>
      </c>
      <c r="K901" s="29">
        <f>'TX post'!R71</f>
        <v>293232.74000000005</v>
      </c>
      <c r="L901" s="41">
        <v>1922</v>
      </c>
      <c r="N901" s="27" t="str">
        <f t="shared" si="64"/>
        <v>https://ia601500.us.archive.org/33/items/tx192224/1922-24%2c%20selected%20pages%20%28pp.%20192-93%20clipped%29.pdf</v>
      </c>
      <c r="O901" s="27" t="s">
        <v>1972</v>
      </c>
      <c r="P901" s="27" t="s">
        <v>548</v>
      </c>
      <c r="Q901" s="27" t="s">
        <v>2570</v>
      </c>
      <c r="R901" s="27" t="s">
        <v>551</v>
      </c>
      <c r="S901" s="27" t="str">
        <f t="shared" si="65"/>
        <v>https://ia601505.us.archive.org/29/items/tx192426/1924-26.pdf</v>
      </c>
      <c r="T901" s="27" t="str">
        <f t="shared" si="66"/>
        <v>https://babel.hathitrust.org/cgi/pt?id=uiug.30112058522902;view=1up;seq=175</v>
      </c>
      <c r="U901" s="27" t="s">
        <v>2570</v>
      </c>
    </row>
    <row r="902" spans="1:21" x14ac:dyDescent="0.25">
      <c r="A902" s="27" t="s">
        <v>1437</v>
      </c>
      <c r="B902" s="27" t="str">
        <f t="shared" si="62"/>
        <v>Texas</v>
      </c>
      <c r="C902" s="27" t="str">
        <f t="shared" si="63"/>
        <v>Erath</v>
      </c>
      <c r="D902" s="7">
        <f>'TX post'!D72</f>
        <v>4760</v>
      </c>
      <c r="E902" s="2">
        <f>'TX post'!E72</f>
        <v>210</v>
      </c>
      <c r="F902" s="26">
        <v>128.44999999999999</v>
      </c>
      <c r="G902" s="2">
        <f>'TX post'!I72</f>
        <v>8325</v>
      </c>
      <c r="H902" s="88">
        <f>'TX post'!M72</f>
        <v>93.75</v>
      </c>
      <c r="I902" s="29">
        <f>'TX post'!P72</f>
        <v>167088.79</v>
      </c>
      <c r="J902" s="27">
        <v>21</v>
      </c>
      <c r="K902" s="29">
        <f>'TX post'!R72</f>
        <v>179290</v>
      </c>
      <c r="L902" s="41">
        <v>1922</v>
      </c>
      <c r="N902" s="27" t="str">
        <f t="shared" si="64"/>
        <v>https://ia601500.us.archive.org/33/items/tx192224/1922-24%2c%20selected%20pages%20%28pp.%20192-93%20clipped%29.pdf</v>
      </c>
      <c r="O902" s="27" t="s">
        <v>1972</v>
      </c>
      <c r="P902" s="27" t="s">
        <v>548</v>
      </c>
      <c r="Q902" s="27" t="s">
        <v>2570</v>
      </c>
      <c r="R902" s="27" t="s">
        <v>551</v>
      </c>
      <c r="S902" s="27" t="str">
        <f t="shared" si="65"/>
        <v>https://ia601505.us.archive.org/29/items/tx192426/1924-26.pdf</v>
      </c>
      <c r="T902" s="27" t="str">
        <f t="shared" si="66"/>
        <v>https://babel.hathitrust.org/cgi/pt?id=uiug.30112058522902;view=1up;seq=175</v>
      </c>
      <c r="U902" s="27" t="s">
        <v>2570</v>
      </c>
    </row>
    <row r="903" spans="1:21" x14ac:dyDescent="0.25">
      <c r="A903" s="27" t="s">
        <v>1438</v>
      </c>
      <c r="B903" s="27" t="str">
        <f t="shared" si="62"/>
        <v>Texas</v>
      </c>
      <c r="C903" s="27" t="str">
        <f t="shared" si="63"/>
        <v>Falls</v>
      </c>
      <c r="D903" s="7">
        <f>'TX post'!D73</f>
        <v>8895</v>
      </c>
      <c r="E903" s="2">
        <f>'TX post'!E73</f>
        <v>234</v>
      </c>
      <c r="F903" s="26">
        <v>138.81</v>
      </c>
      <c r="G903" s="2">
        <f>'TX post'!I73</f>
        <v>9964</v>
      </c>
      <c r="H903" s="88">
        <f>'TX post'!M73</f>
        <v>116.67338129496403</v>
      </c>
      <c r="I903" s="29">
        <f>'TX post'!P73</f>
        <v>289481.37</v>
      </c>
      <c r="J903" s="27">
        <v>82</v>
      </c>
      <c r="K903" s="29">
        <f>'TX post'!R73</f>
        <v>232557</v>
      </c>
      <c r="L903" s="41">
        <v>1922</v>
      </c>
      <c r="N903" s="27" t="str">
        <f t="shared" si="64"/>
        <v>https://ia601500.us.archive.org/33/items/tx192224/1922-24%2c%20selected%20pages%20%28pp.%20192-93%20clipped%29.pdf</v>
      </c>
      <c r="O903" s="27" t="s">
        <v>1972</v>
      </c>
      <c r="P903" s="27" t="s">
        <v>548</v>
      </c>
      <c r="Q903" s="27" t="s">
        <v>2570</v>
      </c>
      <c r="R903" s="27" t="s">
        <v>555</v>
      </c>
      <c r="S903" s="27" t="str">
        <f t="shared" si="65"/>
        <v>https://ia601505.us.archive.org/29/items/tx192426/1924-26.pdf</v>
      </c>
      <c r="T903" s="27" t="str">
        <f t="shared" si="66"/>
        <v>https://babel.hathitrust.org/cgi/pt?id=uiug.30112058522902;view=1up;seq=175</v>
      </c>
      <c r="U903" s="27" t="s">
        <v>2570</v>
      </c>
    </row>
    <row r="904" spans="1:21" x14ac:dyDescent="0.25">
      <c r="A904" s="27" t="s">
        <v>1439</v>
      </c>
      <c r="B904" s="27" t="str">
        <f t="shared" si="62"/>
        <v>Texas</v>
      </c>
      <c r="C904" s="27" t="str">
        <f t="shared" si="63"/>
        <v>Fannin</v>
      </c>
      <c r="D904" s="7">
        <f>'TX post'!D74</f>
        <v>8792</v>
      </c>
      <c r="E904" s="2">
        <f>'TX post'!E74</f>
        <v>352</v>
      </c>
      <c r="F904" s="26">
        <v>129.38</v>
      </c>
      <c r="G904" s="2">
        <f>'TX post'!I74</f>
        <v>13716</v>
      </c>
      <c r="H904" s="88">
        <f>'TX post'!M74</f>
        <v>118.1984496124031</v>
      </c>
      <c r="I904" s="29">
        <f>'TX post'!P74</f>
        <v>374017.65</v>
      </c>
      <c r="J904" s="27">
        <v>130</v>
      </c>
      <c r="K904" s="29">
        <f>'TX post'!R74</f>
        <v>374000</v>
      </c>
      <c r="L904" s="41">
        <v>1922</v>
      </c>
      <c r="N904" s="27" t="str">
        <f t="shared" si="64"/>
        <v>https://ia601500.us.archive.org/33/items/tx192224/1922-24%2c%20selected%20pages%20%28pp.%20192-93%20clipped%29.pdf</v>
      </c>
      <c r="O904" s="27" t="s">
        <v>1972</v>
      </c>
      <c r="P904" s="27" t="s">
        <v>548</v>
      </c>
      <c r="Q904" s="27" t="s">
        <v>2570</v>
      </c>
      <c r="R904" s="27" t="s">
        <v>556</v>
      </c>
      <c r="S904" s="27" t="str">
        <f t="shared" si="65"/>
        <v>https://ia601505.us.archive.org/29/items/tx192426/1924-26.pdf</v>
      </c>
      <c r="T904" s="27" t="str">
        <f t="shared" si="66"/>
        <v>https://babel.hathitrust.org/cgi/pt?id=uiug.30112058522902;view=1up;seq=175</v>
      </c>
      <c r="U904" s="27" t="s">
        <v>2570</v>
      </c>
    </row>
    <row r="905" spans="1:21" x14ac:dyDescent="0.25">
      <c r="A905" s="27" t="s">
        <v>1440</v>
      </c>
      <c r="B905" s="27" t="str">
        <f t="shared" si="62"/>
        <v>Texas</v>
      </c>
      <c r="C905" s="27" t="str">
        <f t="shared" si="63"/>
        <v>Fayette</v>
      </c>
      <c r="D905" s="7">
        <f>'TX post'!D75</f>
        <v>4029</v>
      </c>
      <c r="E905" s="2">
        <f>'TX post'!E75</f>
        <v>190</v>
      </c>
      <c r="F905" s="26"/>
      <c r="G905" s="2">
        <f>'TX post'!I75</f>
        <v>5994</v>
      </c>
      <c r="H905" s="88"/>
      <c r="I905" s="29">
        <f>'TX post'!P75</f>
        <v>173501.54</v>
      </c>
      <c r="K905" s="29">
        <f>'TX post'!R75</f>
        <v>125905</v>
      </c>
      <c r="L905" s="41">
        <v>1922</v>
      </c>
      <c r="N905" s="27" t="str">
        <f t="shared" si="64"/>
        <v>https://ia601500.us.archive.org/33/items/tx192224/1922-24%2c%20selected%20pages%20%28pp.%20192-93%20clipped%29.pdf</v>
      </c>
      <c r="O905" s="27" t="s">
        <v>1972</v>
      </c>
      <c r="P905" s="27" t="s">
        <v>548</v>
      </c>
      <c r="Q905" s="27" t="s">
        <v>2570</v>
      </c>
      <c r="R905" s="27" t="s">
        <v>557</v>
      </c>
      <c r="S905" s="27" t="str">
        <f t="shared" si="65"/>
        <v>https://ia601505.us.archive.org/29/items/tx192426/1924-26.pdf</v>
      </c>
      <c r="T905" s="27" t="str">
        <f t="shared" si="66"/>
        <v>https://babel.hathitrust.org/cgi/pt?id=uiug.30112058522902;view=1up;seq=175</v>
      </c>
      <c r="U905" s="27" t="s">
        <v>2570</v>
      </c>
    </row>
    <row r="906" spans="1:21" x14ac:dyDescent="0.25">
      <c r="A906" s="27" t="s">
        <v>1441</v>
      </c>
      <c r="B906" s="27" t="str">
        <f t="shared" si="62"/>
        <v>Texas</v>
      </c>
      <c r="C906" s="27" t="str">
        <f t="shared" si="63"/>
        <v>Fisher</v>
      </c>
      <c r="D906" s="7">
        <f>'TX post'!D76</f>
        <v>4400</v>
      </c>
      <c r="E906" s="2">
        <f>'TX post'!E76</f>
        <v>141</v>
      </c>
      <c r="F906" s="26">
        <v>121.1</v>
      </c>
      <c r="G906" s="2">
        <f>'TX post'!I76</f>
        <v>3791</v>
      </c>
      <c r="H906" s="88">
        <f>'TX post'!M76</f>
        <v>102.46611570247933</v>
      </c>
      <c r="I906" s="29">
        <f>'TX post'!P76</f>
        <v>171784.34</v>
      </c>
      <c r="J906" s="27">
        <v>36</v>
      </c>
      <c r="K906" s="29">
        <f>'TX post'!R76</f>
        <v>128500</v>
      </c>
      <c r="L906" s="41">
        <v>1922</v>
      </c>
      <c r="N906" s="27" t="str">
        <f t="shared" si="64"/>
        <v>https://ia601500.us.archive.org/33/items/tx192224/1922-24%2c%20selected%20pages%20%28pp.%20192-93%20clipped%29.pdf</v>
      </c>
      <c r="O906" s="27" t="s">
        <v>1972</v>
      </c>
      <c r="P906" s="27" t="s">
        <v>548</v>
      </c>
      <c r="Q906" s="27" t="s">
        <v>2570</v>
      </c>
      <c r="R906" s="27" t="s">
        <v>551</v>
      </c>
      <c r="S906" s="27" t="str">
        <f t="shared" si="65"/>
        <v>https://ia601505.us.archive.org/29/items/tx192426/1924-26.pdf</v>
      </c>
      <c r="T906" s="27" t="str">
        <f t="shared" si="66"/>
        <v>https://babel.hathitrust.org/cgi/pt?id=uiug.30112058522902;view=1up;seq=175</v>
      </c>
      <c r="U906" s="27" t="s">
        <v>2570</v>
      </c>
    </row>
    <row r="907" spans="1:21" x14ac:dyDescent="0.25">
      <c r="A907" s="27" t="s">
        <v>1442</v>
      </c>
      <c r="B907" s="27" t="str">
        <f t="shared" si="62"/>
        <v>Texas</v>
      </c>
      <c r="C907" s="27" t="str">
        <f t="shared" si="63"/>
        <v>Floyd</v>
      </c>
      <c r="D907" s="7">
        <f>'TX post'!D77</f>
        <v>595</v>
      </c>
      <c r="E907" s="2">
        <f>'TX post'!E77</f>
        <v>102</v>
      </c>
      <c r="F907" s="26">
        <v>153.4</v>
      </c>
      <c r="G907" s="2">
        <f>'TX post'!I77</f>
        <v>3756</v>
      </c>
      <c r="H907" s="88">
        <f>'TX post'!M77</f>
        <v>130.82614379084967</v>
      </c>
      <c r="I907" s="29">
        <f>'TX post'!P77</f>
        <v>153613.59</v>
      </c>
      <c r="J907" s="27">
        <v>33</v>
      </c>
      <c r="K907" s="29">
        <f>'TX post'!R77</f>
        <v>101993</v>
      </c>
      <c r="L907" s="41">
        <v>1922</v>
      </c>
      <c r="N907" s="27" t="str">
        <f t="shared" si="64"/>
        <v>https://ia601500.us.archive.org/33/items/tx192224/1922-24%2c%20selected%20pages%20%28pp.%20192-93%20clipped%29.pdf</v>
      </c>
      <c r="O907" s="27" t="s">
        <v>1972</v>
      </c>
      <c r="P907" s="27" t="s">
        <v>548</v>
      </c>
      <c r="Q907" s="27" t="s">
        <v>2570</v>
      </c>
      <c r="R907" s="27" t="s">
        <v>551</v>
      </c>
      <c r="S907" s="27" t="str">
        <f t="shared" si="65"/>
        <v>https://ia601505.us.archive.org/29/items/tx192426/1924-26.pdf</v>
      </c>
      <c r="T907" s="27" t="str">
        <f t="shared" si="66"/>
        <v>https://babel.hathitrust.org/cgi/pt?id=uiug.30112058522902;view=1up;seq=175</v>
      </c>
      <c r="U907" s="27" t="s">
        <v>2570</v>
      </c>
    </row>
    <row r="908" spans="1:21" x14ac:dyDescent="0.25">
      <c r="A908" s="27" t="s">
        <v>1443</v>
      </c>
      <c r="B908" s="27" t="str">
        <f t="shared" si="62"/>
        <v>Texas</v>
      </c>
      <c r="C908" s="27" t="str">
        <f t="shared" si="63"/>
        <v>Foard</v>
      </c>
      <c r="D908" s="7">
        <f>'TX post'!D78</f>
        <v>1150</v>
      </c>
      <c r="E908" s="2">
        <f>'TX post'!E78</f>
        <v>45</v>
      </c>
      <c r="F908" s="26">
        <v>155</v>
      </c>
      <c r="G908" s="2">
        <f>'TX post'!I78</f>
        <v>1530</v>
      </c>
      <c r="H908" s="88">
        <f>'TX post'!M78</f>
        <v>115.9483870967742</v>
      </c>
      <c r="I908" s="29">
        <f>'TX post'!P78</f>
        <v>72710.820000000007</v>
      </c>
      <c r="J908" s="27">
        <v>16</v>
      </c>
      <c r="K908" s="29">
        <f>'TX post'!R78</f>
        <v>44000</v>
      </c>
      <c r="L908" s="41">
        <v>1922</v>
      </c>
      <c r="N908" s="27" t="str">
        <f t="shared" si="64"/>
        <v>https://ia601500.us.archive.org/33/items/tx192224/1922-24%2c%20selected%20pages%20%28pp.%20192-93%20clipped%29.pdf</v>
      </c>
      <c r="O908" s="27" t="s">
        <v>1972</v>
      </c>
      <c r="P908" s="27" t="s">
        <v>548</v>
      </c>
      <c r="Q908" s="27" t="s">
        <v>2570</v>
      </c>
      <c r="R908" s="27" t="s">
        <v>551</v>
      </c>
      <c r="S908" s="27" t="str">
        <f t="shared" si="65"/>
        <v>https://ia601505.us.archive.org/29/items/tx192426/1924-26.pdf</v>
      </c>
      <c r="T908" s="27" t="str">
        <f t="shared" si="66"/>
        <v>https://babel.hathitrust.org/cgi/pt?id=uiug.30112058522902;view=1up;seq=175</v>
      </c>
      <c r="U908" s="27" t="s">
        <v>2570</v>
      </c>
    </row>
    <row r="909" spans="1:21" x14ac:dyDescent="0.25">
      <c r="A909" s="27" t="s">
        <v>1444</v>
      </c>
      <c r="B909" s="27" t="str">
        <f t="shared" si="62"/>
        <v>Texas</v>
      </c>
      <c r="C909" s="27" t="str">
        <f t="shared" si="63"/>
        <v>Fort Bend</v>
      </c>
      <c r="D909" s="7">
        <f>'TX post'!D79</f>
        <v>3557</v>
      </c>
      <c r="E909" s="2">
        <f>'TX post'!E79</f>
        <v>162</v>
      </c>
      <c r="F909" s="26">
        <v>147.66999999999999</v>
      </c>
      <c r="G909" s="2">
        <f>'TX post'!I79</f>
        <v>5299</v>
      </c>
      <c r="H909" s="88">
        <f>'TX post'!M79</f>
        <v>96.756756756756758</v>
      </c>
      <c r="I909" s="29">
        <f>'TX post'!P79</f>
        <v>181350.19</v>
      </c>
      <c r="J909" s="27">
        <v>62</v>
      </c>
      <c r="K909" s="29">
        <f>'TX post'!R79</f>
        <v>121760</v>
      </c>
      <c r="L909" s="41">
        <v>1922</v>
      </c>
      <c r="N909" s="27" t="str">
        <f t="shared" si="64"/>
        <v>https://ia601500.us.archive.org/33/items/tx192224/1922-24%2c%20selected%20pages%20%28pp.%20192-93%20clipped%29.pdf</v>
      </c>
      <c r="O909" s="27" t="s">
        <v>1972</v>
      </c>
      <c r="P909" s="27" t="s">
        <v>548</v>
      </c>
      <c r="Q909" s="27" t="s">
        <v>2570</v>
      </c>
      <c r="R909" s="27" t="s">
        <v>551</v>
      </c>
      <c r="S909" s="27" t="str">
        <f t="shared" si="65"/>
        <v>https://ia601505.us.archive.org/29/items/tx192426/1924-26.pdf</v>
      </c>
      <c r="T909" s="27" t="str">
        <f t="shared" si="66"/>
        <v>https://babel.hathitrust.org/cgi/pt?id=uiug.30112058522902;view=1up;seq=175</v>
      </c>
      <c r="U909" s="27" t="s">
        <v>2570</v>
      </c>
    </row>
    <row r="910" spans="1:21" x14ac:dyDescent="0.25">
      <c r="A910" s="27" t="s">
        <v>1445</v>
      </c>
      <c r="B910" s="27" t="str">
        <f t="shared" si="62"/>
        <v>Texas</v>
      </c>
      <c r="C910" s="27" t="str">
        <f t="shared" si="63"/>
        <v>Franklin</v>
      </c>
      <c r="D910" s="7">
        <f>'TX post'!D80</f>
        <v>1990</v>
      </c>
      <c r="E910" s="2">
        <f>'TX post'!E80</f>
        <v>72</v>
      </c>
      <c r="F910" s="26">
        <v>103</v>
      </c>
      <c r="G910" s="2">
        <f>'TX post'!I80</f>
        <v>3211</v>
      </c>
      <c r="H910" s="88">
        <f>'TX post'!M80</f>
        <v>117.74174757281553</v>
      </c>
      <c r="I910" s="29">
        <f>'TX post'!P80</f>
        <v>59965.61</v>
      </c>
      <c r="J910" s="27">
        <v>33</v>
      </c>
      <c r="K910" s="29">
        <f>'TX post'!R80</f>
        <v>51380</v>
      </c>
      <c r="L910" s="41">
        <v>1922</v>
      </c>
      <c r="N910" s="27" t="str">
        <f t="shared" si="64"/>
        <v>https://ia601500.us.archive.org/33/items/tx192224/1922-24%2c%20selected%20pages%20%28pp.%20192-93%20clipped%29.pdf</v>
      </c>
      <c r="O910" s="27" t="s">
        <v>1972</v>
      </c>
      <c r="P910" s="27" t="s">
        <v>548</v>
      </c>
      <c r="Q910" s="27" t="s">
        <v>2570</v>
      </c>
      <c r="R910" s="27" t="s">
        <v>551</v>
      </c>
      <c r="S910" s="27" t="str">
        <f t="shared" si="65"/>
        <v>https://ia601505.us.archive.org/29/items/tx192426/1924-26.pdf</v>
      </c>
      <c r="T910" s="27" t="str">
        <f t="shared" si="66"/>
        <v>https://babel.hathitrust.org/cgi/pt?id=uiug.30112058522902;view=1up;seq=175</v>
      </c>
      <c r="U910" s="27" t="s">
        <v>2570</v>
      </c>
    </row>
    <row r="911" spans="1:21" x14ac:dyDescent="0.25">
      <c r="A911" s="27" t="s">
        <v>1763</v>
      </c>
      <c r="B911" s="27" t="str">
        <f t="shared" si="62"/>
        <v>Texas</v>
      </c>
      <c r="C911" s="27" t="str">
        <f t="shared" si="63"/>
        <v>Freestone</v>
      </c>
      <c r="D911" s="7">
        <f>'TX post'!D81</f>
        <v>4320</v>
      </c>
      <c r="E911" s="2">
        <f>'TX post'!E81</f>
        <v>198</v>
      </c>
      <c r="F911" s="26">
        <v>117.67</v>
      </c>
      <c r="G911" s="2">
        <f>'TX post'!I81</f>
        <v>6796</v>
      </c>
      <c r="H911" s="88">
        <f>'TX post'!M81</f>
        <v>93.542372881355917</v>
      </c>
      <c r="I911" s="29">
        <f>'TX post'!P81</f>
        <v>139045.72</v>
      </c>
      <c r="J911" s="27">
        <v>65</v>
      </c>
      <c r="K911" s="29">
        <f>'TX post'!R81</f>
        <v>83560</v>
      </c>
      <c r="L911" s="41">
        <v>1922</v>
      </c>
      <c r="N911" s="27" t="str">
        <f t="shared" si="64"/>
        <v>https://ia601500.us.archive.org/33/items/tx192224/1922-24%2c%20selected%20pages%20%28pp.%20192-93%20clipped%29.pdf</v>
      </c>
      <c r="O911" s="27" t="s">
        <v>1972</v>
      </c>
      <c r="P911" s="27" t="s">
        <v>548</v>
      </c>
      <c r="Q911" s="27" t="s">
        <v>2570</v>
      </c>
      <c r="R911" s="27" t="s">
        <v>551</v>
      </c>
      <c r="S911" s="27" t="str">
        <f t="shared" si="65"/>
        <v>https://ia601505.us.archive.org/29/items/tx192426/1924-26.pdf</v>
      </c>
      <c r="T911" s="27" t="str">
        <f t="shared" si="66"/>
        <v>https://babel.hathitrust.org/cgi/pt?id=uiug.30112058522902;view=1up;seq=175</v>
      </c>
      <c r="U911" s="27" t="s">
        <v>2570</v>
      </c>
    </row>
    <row r="912" spans="1:21" x14ac:dyDescent="0.25">
      <c r="A912" s="27" t="s">
        <v>1446</v>
      </c>
      <c r="B912" s="27" t="str">
        <f t="shared" si="62"/>
        <v>Texas</v>
      </c>
      <c r="C912" s="27" t="str">
        <f t="shared" si="63"/>
        <v>Frio</v>
      </c>
      <c r="D912" s="7">
        <f>'TX post'!D82</f>
        <v>508</v>
      </c>
      <c r="E912" s="2">
        <f>'TX post'!E82</f>
        <v>62</v>
      </c>
      <c r="F912" s="26">
        <v>163.33000000000001</v>
      </c>
      <c r="G912" s="2">
        <f>'TX post'!I82</f>
        <v>1559</v>
      </c>
      <c r="H912" s="88">
        <f>'TX post'!M82</f>
        <v>131.97668711656439</v>
      </c>
      <c r="I912" s="29">
        <f>'TX post'!P82</f>
        <v>90520.8</v>
      </c>
      <c r="J912" s="27">
        <v>18</v>
      </c>
      <c r="K912" s="29">
        <f>'TX post'!R82</f>
        <v>88755</v>
      </c>
      <c r="L912" s="41">
        <v>1922</v>
      </c>
      <c r="N912" s="27" t="str">
        <f t="shared" si="64"/>
        <v>https://ia601500.us.archive.org/33/items/tx192224/1922-24%2c%20selected%20pages%20%28pp.%20192-93%20clipped%29.pdf</v>
      </c>
      <c r="O912" s="27" t="s">
        <v>1972</v>
      </c>
      <c r="P912" s="27" t="s">
        <v>548</v>
      </c>
      <c r="Q912" s="27" t="s">
        <v>2570</v>
      </c>
      <c r="R912" s="27" t="s">
        <v>551</v>
      </c>
      <c r="S912" s="27" t="str">
        <f t="shared" si="65"/>
        <v>https://ia601505.us.archive.org/29/items/tx192426/1924-26.pdf</v>
      </c>
      <c r="T912" s="27" t="str">
        <f t="shared" si="66"/>
        <v>https://babel.hathitrust.org/cgi/pt?id=uiug.30112058522902;view=1up;seq=175</v>
      </c>
      <c r="U912" s="27" t="s">
        <v>2570</v>
      </c>
    </row>
    <row r="913" spans="1:21" x14ac:dyDescent="0.25">
      <c r="A913" s="27" t="s">
        <v>1447</v>
      </c>
      <c r="B913" s="27" t="str">
        <f t="shared" si="62"/>
        <v>Texas</v>
      </c>
      <c r="C913" s="27" t="str">
        <f t="shared" si="63"/>
        <v>Gaines</v>
      </c>
      <c r="D913" s="7">
        <f>'TX post'!D83</f>
        <v>521</v>
      </c>
      <c r="E913" s="2">
        <f>'TX post'!E83</f>
        <v>22</v>
      </c>
      <c r="F913" s="26">
        <v>148.18</v>
      </c>
      <c r="G913" s="2">
        <f>'TX post'!I83</f>
        <v>458</v>
      </c>
      <c r="H913" s="88">
        <f>'TX post'!M83</f>
        <v>110.36216216216215</v>
      </c>
      <c r="I913" s="29">
        <f>'TX post'!P83</f>
        <v>49239.23</v>
      </c>
      <c r="J913" s="27">
        <v>11</v>
      </c>
      <c r="K913" s="29">
        <f>'TX post'!R83</f>
        <v>38000</v>
      </c>
      <c r="L913" s="41">
        <v>1922</v>
      </c>
      <c r="N913" s="27" t="str">
        <f t="shared" si="64"/>
        <v>https://ia601500.us.archive.org/33/items/tx192224/1922-24%2c%20selected%20pages%20%28pp.%20192-93%20clipped%29.pdf</v>
      </c>
      <c r="O913" s="27" t="s">
        <v>1973</v>
      </c>
      <c r="P913" s="27" t="s">
        <v>559</v>
      </c>
      <c r="Q913" s="27" t="s">
        <v>2570</v>
      </c>
      <c r="R913" s="27" t="s">
        <v>558</v>
      </c>
      <c r="S913" s="27" t="str">
        <f t="shared" si="65"/>
        <v>https://ia601505.us.archive.org/29/items/tx192426/1924-26.pdf</v>
      </c>
      <c r="T913" s="27" t="str">
        <f t="shared" si="66"/>
        <v>https://babel.hathitrust.org/cgi/pt?id=uiug.30112058522902;view=1up;seq=175</v>
      </c>
      <c r="U913" s="27" t="s">
        <v>2570</v>
      </c>
    </row>
    <row r="914" spans="1:21" x14ac:dyDescent="0.25">
      <c r="A914" s="27" t="s">
        <v>1448</v>
      </c>
      <c r="B914" s="27" t="str">
        <f t="shared" si="62"/>
        <v>Texas</v>
      </c>
      <c r="C914" s="27" t="str">
        <f t="shared" si="63"/>
        <v>Galveston</v>
      </c>
      <c r="D914" s="7">
        <f>'TX post'!D84</f>
        <v>6612</v>
      </c>
      <c r="E914" s="2">
        <f>'TX post'!E84</f>
        <v>278</v>
      </c>
      <c r="F914" s="26">
        <v>161.33000000000001</v>
      </c>
      <c r="G914" s="2">
        <f>'TX post'!I84</f>
        <v>8733</v>
      </c>
      <c r="H914" s="88">
        <f>'TX post'!M84</f>
        <v>164.49316770186334</v>
      </c>
      <c r="I914" s="29">
        <f>'TX post'!P84</f>
        <v>504814.13</v>
      </c>
      <c r="J914" s="27">
        <v>15</v>
      </c>
      <c r="K914" s="29">
        <f>'TX post'!R84</f>
        <v>165225</v>
      </c>
      <c r="L914" s="41">
        <v>1922</v>
      </c>
      <c r="N914" s="27" t="str">
        <f t="shared" si="64"/>
        <v>https://ia601500.us.archive.org/33/items/tx192224/1922-24%2c%20selected%20pages%20%28pp.%20192-93%20clipped%29.pdf</v>
      </c>
      <c r="O914" s="27" t="s">
        <v>1973</v>
      </c>
      <c r="P914" s="27" t="s">
        <v>559</v>
      </c>
      <c r="Q914" s="27" t="s">
        <v>2570</v>
      </c>
      <c r="R914" s="27" t="s">
        <v>558</v>
      </c>
      <c r="S914" s="27" t="str">
        <f t="shared" si="65"/>
        <v>https://ia601505.us.archive.org/29/items/tx192426/1924-26.pdf</v>
      </c>
      <c r="T914" s="27" t="str">
        <f t="shared" si="66"/>
        <v>https://babel.hathitrust.org/cgi/pt?id=uiug.30112058522902;view=1up;seq=175</v>
      </c>
      <c r="U914" s="27" t="s">
        <v>2570</v>
      </c>
    </row>
    <row r="915" spans="1:21" x14ac:dyDescent="0.25">
      <c r="A915" s="27" t="s">
        <v>1449</v>
      </c>
      <c r="B915" s="27" t="str">
        <f t="shared" si="62"/>
        <v>Texas</v>
      </c>
      <c r="C915" s="27" t="str">
        <f t="shared" si="63"/>
        <v>Garza</v>
      </c>
      <c r="D915" s="7">
        <f>'TX post'!D85</f>
        <v>712</v>
      </c>
      <c r="E915" s="2">
        <f>'TX post'!E85</f>
        <v>21</v>
      </c>
      <c r="F915" s="26">
        <v>130.33000000000001</v>
      </c>
      <c r="G915" s="2">
        <f>'TX post'!I85</f>
        <v>903</v>
      </c>
      <c r="H915" s="88">
        <f>'TX post'!M85</f>
        <v>149.75692307692307</v>
      </c>
      <c r="I915" s="29">
        <f>'TX post'!P85</f>
        <v>75426.3</v>
      </c>
      <c r="J915" s="27">
        <v>14</v>
      </c>
      <c r="K915" s="29">
        <f>'TX post'!R85</f>
        <v>17606</v>
      </c>
      <c r="L915" s="41">
        <v>1922</v>
      </c>
      <c r="N915" s="27" t="str">
        <f t="shared" si="64"/>
        <v>https://ia601500.us.archive.org/33/items/tx192224/1922-24%2c%20selected%20pages%20%28pp.%20192-93%20clipped%29.pdf</v>
      </c>
      <c r="O915" s="27" t="s">
        <v>1973</v>
      </c>
      <c r="P915" s="27" t="s">
        <v>559</v>
      </c>
      <c r="Q915" s="27" t="s">
        <v>2570</v>
      </c>
      <c r="R915" s="27" t="s">
        <v>558</v>
      </c>
      <c r="S915" s="27" t="str">
        <f t="shared" si="65"/>
        <v>https://ia601505.us.archive.org/29/items/tx192426/1924-26.pdf</v>
      </c>
      <c r="T915" s="27" t="str">
        <f t="shared" si="66"/>
        <v>https://babel.hathitrust.org/cgi/pt?id=uiug.30112058522902;view=1up;seq=175</v>
      </c>
      <c r="U915" s="27" t="s">
        <v>2570</v>
      </c>
    </row>
    <row r="916" spans="1:21" x14ac:dyDescent="0.25">
      <c r="A916" s="27" t="s">
        <v>1450</v>
      </c>
      <c r="B916" s="27" t="str">
        <f t="shared" si="62"/>
        <v>Texas</v>
      </c>
      <c r="C916" s="27" t="str">
        <f t="shared" si="63"/>
        <v>Gillespie</v>
      </c>
      <c r="D916" s="7">
        <f>'TX post'!D86</f>
        <v>1560</v>
      </c>
      <c r="E916" s="2">
        <f>'TX post'!E86</f>
        <v>66</v>
      </c>
      <c r="F916" s="26">
        <v>157.41999999999999</v>
      </c>
      <c r="G916" s="2">
        <f>'TX post'!I86</f>
        <v>1915</v>
      </c>
      <c r="H916" s="88">
        <f>'TX post'!M86</f>
        <v>88.240764331210201</v>
      </c>
      <c r="I916" s="29">
        <f>'TX post'!P86</f>
        <v>58818.07</v>
      </c>
      <c r="J916" s="27">
        <v>38</v>
      </c>
      <c r="K916" s="29">
        <f>'TX post'!R86</f>
        <v>52423</v>
      </c>
      <c r="L916" s="41">
        <v>1922</v>
      </c>
      <c r="N916" s="27" t="str">
        <f t="shared" si="64"/>
        <v>https://ia601500.us.archive.org/33/items/tx192224/1922-24%2c%20selected%20pages%20%28pp.%20192-93%20clipped%29.pdf</v>
      </c>
      <c r="O916" s="27" t="s">
        <v>1973</v>
      </c>
      <c r="P916" s="27" t="s">
        <v>559</v>
      </c>
      <c r="Q916" s="27" t="s">
        <v>2570</v>
      </c>
      <c r="R916" s="27" t="s">
        <v>558</v>
      </c>
      <c r="S916" s="27" t="str">
        <f t="shared" si="65"/>
        <v>https://ia601505.us.archive.org/29/items/tx192426/1924-26.pdf</v>
      </c>
      <c r="T916" s="27" t="str">
        <f t="shared" si="66"/>
        <v>https://babel.hathitrust.org/cgi/pt?id=uiug.30112058522902;view=1up;seq=175</v>
      </c>
      <c r="U916" s="27" t="s">
        <v>2570</v>
      </c>
    </row>
    <row r="917" spans="1:21" x14ac:dyDescent="0.25">
      <c r="A917" s="27" t="s">
        <v>1451</v>
      </c>
      <c r="B917" s="27" t="str">
        <f t="shared" si="62"/>
        <v>Texas</v>
      </c>
      <c r="C917" s="27" t="str">
        <f t="shared" si="63"/>
        <v>Glasscock</v>
      </c>
      <c r="D917" s="7"/>
      <c r="E917" s="2">
        <f>'TX post'!E87</f>
        <v>10</v>
      </c>
      <c r="F917" s="26">
        <v>140</v>
      </c>
      <c r="G917" s="2">
        <f>'TX post'!I87</f>
        <v>129</v>
      </c>
      <c r="H917" s="88">
        <f>'TX post'!M87</f>
        <v>85.5</v>
      </c>
      <c r="I917" s="29">
        <f>'TX post'!P87</f>
        <v>8303.51</v>
      </c>
      <c r="J917" s="27">
        <v>6</v>
      </c>
      <c r="K917" s="29">
        <f>'TX post'!R87</f>
        <v>9900</v>
      </c>
      <c r="L917" s="41">
        <v>1922</v>
      </c>
      <c r="N917" s="27" t="str">
        <f t="shared" si="64"/>
        <v>https://ia601500.us.archive.org/33/items/tx192224/1922-24%2c%20selected%20pages%20%28pp.%20192-93%20clipped%29.pdf</v>
      </c>
      <c r="O917" s="27" t="s">
        <v>1973</v>
      </c>
      <c r="P917" s="27" t="s">
        <v>559</v>
      </c>
      <c r="Q917" s="27" t="s">
        <v>2570</v>
      </c>
      <c r="R917" s="27" t="s">
        <v>558</v>
      </c>
      <c r="S917" s="27" t="str">
        <f t="shared" si="65"/>
        <v>https://ia601505.us.archive.org/29/items/tx192426/1924-26.pdf</v>
      </c>
      <c r="T917" s="27" t="str">
        <f t="shared" si="66"/>
        <v>https://babel.hathitrust.org/cgi/pt?id=uiug.30112058522902;view=1up;seq=175</v>
      </c>
      <c r="U917" s="27" t="s">
        <v>2570</v>
      </c>
    </row>
    <row r="918" spans="1:21" x14ac:dyDescent="0.25">
      <c r="A918" s="27" t="s">
        <v>1452</v>
      </c>
      <c r="B918" s="27" t="str">
        <f t="shared" si="62"/>
        <v>Texas</v>
      </c>
      <c r="C918" s="27" t="str">
        <f t="shared" si="63"/>
        <v>Goliad</v>
      </c>
      <c r="D918" s="7">
        <f>'TX post'!D88</f>
        <v>1156</v>
      </c>
      <c r="E918" s="2">
        <f>'TX post'!E88</f>
        <v>65</v>
      </c>
      <c r="F918" s="26">
        <v>132.18</v>
      </c>
      <c r="G918" s="2">
        <f>'TX post'!I88</f>
        <v>2116</v>
      </c>
      <c r="H918" s="88">
        <f>'TX post'!M88</f>
        <v>126.79696969696971</v>
      </c>
      <c r="I918" s="29">
        <f>'TX post'!P88</f>
        <v>79366.649999999994</v>
      </c>
      <c r="J918" s="27">
        <v>32</v>
      </c>
      <c r="K918" s="29">
        <f>'TX post'!R88</f>
        <v>46550</v>
      </c>
      <c r="L918" s="41">
        <v>1922</v>
      </c>
      <c r="N918" s="27" t="str">
        <f t="shared" si="64"/>
        <v>https://ia601500.us.archive.org/33/items/tx192224/1922-24%2c%20selected%20pages%20%28pp.%20192-93%20clipped%29.pdf</v>
      </c>
      <c r="O918" s="27" t="s">
        <v>1973</v>
      </c>
      <c r="P918" s="27" t="s">
        <v>559</v>
      </c>
      <c r="Q918" s="27" t="s">
        <v>2570</v>
      </c>
      <c r="R918" s="27" t="s">
        <v>558</v>
      </c>
      <c r="S918" s="27" t="str">
        <f t="shared" si="65"/>
        <v>https://ia601505.us.archive.org/29/items/tx192426/1924-26.pdf</v>
      </c>
      <c r="T918" s="27" t="str">
        <f t="shared" si="66"/>
        <v>https://babel.hathitrust.org/cgi/pt?id=uiug.30112058522902;view=1up;seq=175</v>
      </c>
      <c r="U918" s="27" t="s">
        <v>2570</v>
      </c>
    </row>
    <row r="919" spans="1:21" x14ac:dyDescent="0.25">
      <c r="A919" s="27" t="s">
        <v>1453</v>
      </c>
      <c r="B919" s="27" t="str">
        <f t="shared" si="62"/>
        <v>Texas</v>
      </c>
      <c r="C919" s="27" t="str">
        <f t="shared" si="63"/>
        <v>Gonzales</v>
      </c>
      <c r="D919" s="7">
        <f>'TX post'!D89</f>
        <v>4448</v>
      </c>
      <c r="E919" s="2">
        <f>'TX post'!E89</f>
        <v>215</v>
      </c>
      <c r="F919" s="26">
        <v>140</v>
      </c>
      <c r="G919" s="2">
        <f>'TX post'!I89</f>
        <v>6842</v>
      </c>
      <c r="H919" s="88">
        <f>'TX post'!M89</f>
        <v>97.025714285714272</v>
      </c>
      <c r="I919" s="29">
        <f>'TX post'!P89</f>
        <v>206311.5</v>
      </c>
      <c r="J919" s="27">
        <v>91</v>
      </c>
      <c r="K919" s="29">
        <f>'TX post'!R89</f>
        <v>108040</v>
      </c>
      <c r="L919" s="41">
        <v>1922</v>
      </c>
      <c r="N919" s="27" t="str">
        <f t="shared" si="64"/>
        <v>https://ia601500.us.archive.org/33/items/tx192224/1922-24%2c%20selected%20pages%20%28pp.%20192-93%20clipped%29.pdf</v>
      </c>
      <c r="O919" s="27" t="s">
        <v>1973</v>
      </c>
      <c r="P919" s="27" t="s">
        <v>559</v>
      </c>
      <c r="Q919" s="27" t="s">
        <v>2570</v>
      </c>
      <c r="R919" s="27" t="s">
        <v>558</v>
      </c>
      <c r="S919" s="27" t="str">
        <f t="shared" si="65"/>
        <v>https://ia601505.us.archive.org/29/items/tx192426/1924-26.pdf</v>
      </c>
      <c r="T919" s="27" t="str">
        <f t="shared" si="66"/>
        <v>https://babel.hathitrust.org/cgi/pt?id=uiug.30112058522902;view=1up;seq=175</v>
      </c>
      <c r="U919" s="27" t="s">
        <v>2570</v>
      </c>
    </row>
    <row r="920" spans="1:21" x14ac:dyDescent="0.25">
      <c r="A920" s="27" t="s">
        <v>1454</v>
      </c>
      <c r="B920" s="27" t="str">
        <f t="shared" si="62"/>
        <v>Texas</v>
      </c>
      <c r="C920" s="27" t="str">
        <f t="shared" si="63"/>
        <v>Gray</v>
      </c>
      <c r="D920" s="7">
        <f>'TX post'!D90</f>
        <v>1174</v>
      </c>
      <c r="E920" s="2">
        <f>'TX post'!E90</f>
        <v>45</v>
      </c>
      <c r="F920" s="26">
        <v>130</v>
      </c>
      <c r="G920" s="2">
        <f>'TX post'!I90</f>
        <v>1264</v>
      </c>
      <c r="H920" s="88">
        <f>'TX post'!M90</f>
        <v>147.04153846153847</v>
      </c>
      <c r="I920" s="29">
        <f>'TX post'!P90</f>
        <v>68322.94</v>
      </c>
      <c r="J920" s="27">
        <v>14</v>
      </c>
      <c r="K920" s="29">
        <f>'TX post'!R90</f>
        <v>16900</v>
      </c>
      <c r="L920" s="41">
        <v>1922</v>
      </c>
      <c r="N920" s="27" t="str">
        <f t="shared" si="64"/>
        <v>https://ia601500.us.archive.org/33/items/tx192224/1922-24%2c%20selected%20pages%20%28pp.%20192-93%20clipped%29.pdf</v>
      </c>
      <c r="O920" s="27" t="s">
        <v>1973</v>
      </c>
      <c r="P920" s="27" t="s">
        <v>559</v>
      </c>
      <c r="Q920" s="27" t="s">
        <v>2570</v>
      </c>
      <c r="R920" s="27" t="s">
        <v>558</v>
      </c>
      <c r="S920" s="27" t="str">
        <f t="shared" si="65"/>
        <v>https://ia601505.us.archive.org/29/items/tx192426/1924-26.pdf</v>
      </c>
      <c r="T920" s="27" t="str">
        <f t="shared" si="66"/>
        <v>https://babel.hathitrust.org/cgi/pt?id=uiug.30112058522902;view=1up;seq=175</v>
      </c>
      <c r="U920" s="27" t="s">
        <v>2570</v>
      </c>
    </row>
    <row r="921" spans="1:21" x14ac:dyDescent="0.25">
      <c r="A921" s="27" t="s">
        <v>1455</v>
      </c>
      <c r="B921" s="27" t="str">
        <f t="shared" si="62"/>
        <v>Texas</v>
      </c>
      <c r="C921" s="27" t="str">
        <f t="shared" si="63"/>
        <v>Grayson</v>
      </c>
      <c r="D921" s="7">
        <f>'TX post'!D91</f>
        <v>16185</v>
      </c>
      <c r="E921" s="2">
        <f>'TX post'!E91</f>
        <v>506</v>
      </c>
      <c r="F921" s="26">
        <v>131</v>
      </c>
      <c r="G921" s="2">
        <f>'TX post'!I91</f>
        <v>21392</v>
      </c>
      <c r="H921" s="88">
        <f>'TX post'!M91</f>
        <v>136.75419847328246</v>
      </c>
      <c r="I921" s="29">
        <f>'TX post'!P91</f>
        <v>676766.8</v>
      </c>
      <c r="J921" s="27">
        <v>118</v>
      </c>
      <c r="K921" s="29">
        <f>'TX post'!R91</f>
        <v>444300</v>
      </c>
      <c r="L921" s="41">
        <v>1922</v>
      </c>
      <c r="N921" s="27" t="str">
        <f t="shared" si="64"/>
        <v>https://ia601500.us.archive.org/33/items/tx192224/1922-24%2c%20selected%20pages%20%28pp.%20192-93%20clipped%29.pdf</v>
      </c>
      <c r="O921" s="27" t="s">
        <v>1973</v>
      </c>
      <c r="P921" s="27" t="s">
        <v>559</v>
      </c>
      <c r="Q921" s="27" t="s">
        <v>2570</v>
      </c>
      <c r="R921" s="27" t="s">
        <v>558</v>
      </c>
      <c r="S921" s="27" t="str">
        <f t="shared" si="65"/>
        <v>https://ia601505.us.archive.org/29/items/tx192426/1924-26.pdf</v>
      </c>
      <c r="T921" s="27" t="str">
        <f t="shared" si="66"/>
        <v>https://babel.hathitrust.org/cgi/pt?id=uiug.30112058522902;view=1up;seq=175</v>
      </c>
      <c r="U921" s="27" t="s">
        <v>2570</v>
      </c>
    </row>
    <row r="922" spans="1:21" x14ac:dyDescent="0.25">
      <c r="A922" s="27" t="s">
        <v>1456</v>
      </c>
      <c r="B922" s="27" t="str">
        <f t="shared" si="62"/>
        <v>Texas</v>
      </c>
      <c r="C922" s="27" t="str">
        <f t="shared" si="63"/>
        <v>Gregg</v>
      </c>
      <c r="D922" s="7">
        <f>'TX post'!D92</f>
        <v>3309</v>
      </c>
      <c r="E922" s="2">
        <f>'TX post'!E92</f>
        <v>117</v>
      </c>
      <c r="F922" s="26">
        <v>133.03</v>
      </c>
      <c r="G922" s="2">
        <f>'TX post'!I92</f>
        <v>4916</v>
      </c>
      <c r="H922" s="88">
        <f>'TX post'!M92</f>
        <v>115.9593984962406</v>
      </c>
      <c r="I922" s="29">
        <f>'TX post'!P92</f>
        <v>130983.89</v>
      </c>
      <c r="J922" s="27">
        <v>31</v>
      </c>
      <c r="K922" s="29">
        <f>'TX post'!R92</f>
        <v>45500</v>
      </c>
      <c r="L922" s="41">
        <v>1922</v>
      </c>
      <c r="N922" s="27" t="str">
        <f t="shared" si="64"/>
        <v>https://ia601500.us.archive.org/33/items/tx192224/1922-24%2c%20selected%20pages%20%28pp.%20192-93%20clipped%29.pdf</v>
      </c>
      <c r="O922" s="27" t="s">
        <v>1973</v>
      </c>
      <c r="P922" s="27" t="s">
        <v>559</v>
      </c>
      <c r="Q922" s="27" t="s">
        <v>2570</v>
      </c>
      <c r="R922" s="27" t="s">
        <v>558</v>
      </c>
      <c r="S922" s="27" t="str">
        <f t="shared" si="65"/>
        <v>https://ia601505.us.archive.org/29/items/tx192426/1924-26.pdf</v>
      </c>
      <c r="T922" s="27" t="str">
        <f t="shared" si="66"/>
        <v>https://babel.hathitrust.org/cgi/pt?id=uiug.30112058522902;view=1up;seq=175</v>
      </c>
      <c r="U922" s="27" t="s">
        <v>2570</v>
      </c>
    </row>
    <row r="923" spans="1:21" x14ac:dyDescent="0.25">
      <c r="A923" s="27" t="s">
        <v>1457</v>
      </c>
      <c r="B923" s="27" t="str">
        <f t="shared" si="62"/>
        <v>Texas</v>
      </c>
      <c r="C923" s="27" t="str">
        <f t="shared" si="63"/>
        <v>Grimes</v>
      </c>
      <c r="D923" s="7">
        <f>'TX post'!D93</f>
        <v>3522</v>
      </c>
      <c r="E923" s="2">
        <f>'TX post'!E93</f>
        <v>174</v>
      </c>
      <c r="F923" s="26">
        <v>140</v>
      </c>
      <c r="G923" s="2">
        <f>'TX post'!I93</f>
        <v>5873</v>
      </c>
      <c r="H923" s="88">
        <f>'TX post'!M93</f>
        <v>103.35571428571428</v>
      </c>
      <c r="I923" s="29">
        <f>'TX post'!P93</f>
        <v>167994.18</v>
      </c>
      <c r="J923" s="27">
        <v>62</v>
      </c>
      <c r="K923" s="29">
        <f>'TX post'!R93</f>
        <v>100750</v>
      </c>
      <c r="L923" s="41">
        <v>1922</v>
      </c>
      <c r="N923" s="27" t="str">
        <f t="shared" si="64"/>
        <v>https://ia601500.us.archive.org/33/items/tx192224/1922-24%2c%20selected%20pages%20%28pp.%20192-93%20clipped%29.pdf</v>
      </c>
      <c r="O923" s="27" t="s">
        <v>1973</v>
      </c>
      <c r="P923" s="27" t="s">
        <v>559</v>
      </c>
      <c r="Q923" s="27" t="s">
        <v>2570</v>
      </c>
      <c r="R923" s="27" t="s">
        <v>558</v>
      </c>
      <c r="S923" s="27" t="str">
        <f t="shared" si="65"/>
        <v>https://ia601505.us.archive.org/29/items/tx192426/1924-26.pdf</v>
      </c>
      <c r="T923" s="27" t="str">
        <f t="shared" si="66"/>
        <v>https://babel.hathitrust.org/cgi/pt?id=uiug.30112058522902;view=1up;seq=175</v>
      </c>
      <c r="U923" s="27" t="s">
        <v>2570</v>
      </c>
    </row>
    <row r="924" spans="1:21" x14ac:dyDescent="0.25">
      <c r="A924" s="27" t="s">
        <v>1764</v>
      </c>
      <c r="B924" s="27" t="str">
        <f t="shared" si="62"/>
        <v>Texas</v>
      </c>
      <c r="C924" s="27" t="str">
        <f t="shared" si="63"/>
        <v>Guadalupe</v>
      </c>
      <c r="D924" s="7">
        <f>'TX post'!D94</f>
        <v>3191</v>
      </c>
      <c r="E924" s="2">
        <f>'TX post'!E94</f>
        <v>154</v>
      </c>
      <c r="F924" s="26">
        <v>155</v>
      </c>
      <c r="G924" s="2">
        <f>'TX post'!I94</f>
        <v>4904</v>
      </c>
      <c r="H924" s="88">
        <f>'TX post'!M94</f>
        <v>103.73677419354838</v>
      </c>
      <c r="I924" s="29">
        <f>'TX post'!P94</f>
        <v>165196.01</v>
      </c>
      <c r="J924" s="27">
        <v>72</v>
      </c>
      <c r="K924" s="29">
        <f>'TX post'!R94</f>
        <v>220860</v>
      </c>
      <c r="L924" s="41">
        <v>1922</v>
      </c>
      <c r="N924" s="27" t="str">
        <f t="shared" si="64"/>
        <v>https://ia601500.us.archive.org/33/items/tx192224/1922-24%2c%20selected%20pages%20%28pp.%20192-93%20clipped%29.pdf</v>
      </c>
      <c r="O924" s="27" t="s">
        <v>1973</v>
      </c>
      <c r="P924" s="27" t="s">
        <v>559</v>
      </c>
      <c r="Q924" s="27" t="s">
        <v>2570</v>
      </c>
      <c r="R924" s="27" t="s">
        <v>558</v>
      </c>
      <c r="S924" s="27" t="str">
        <f t="shared" si="65"/>
        <v>https://ia601505.us.archive.org/29/items/tx192426/1924-26.pdf</v>
      </c>
      <c r="T924" s="27" t="str">
        <f t="shared" si="66"/>
        <v>https://babel.hathitrust.org/cgi/pt?id=uiug.30112058522902;view=1up;seq=175</v>
      </c>
      <c r="U924" s="27" t="s">
        <v>2570</v>
      </c>
    </row>
    <row r="925" spans="1:21" x14ac:dyDescent="0.25">
      <c r="A925" s="27" t="s">
        <v>1458</v>
      </c>
      <c r="B925" s="27" t="str">
        <f t="shared" si="62"/>
        <v>Texas</v>
      </c>
      <c r="C925" s="27" t="str">
        <f t="shared" si="63"/>
        <v>Hale</v>
      </c>
      <c r="D925" s="7">
        <f>'TX post'!D95</f>
        <v>1786</v>
      </c>
      <c r="E925" s="2">
        <f>'TX post'!E95</f>
        <v>115</v>
      </c>
      <c r="F925" s="26">
        <v>148</v>
      </c>
      <c r="G925" s="2">
        <f>'TX post'!I95</f>
        <v>3106</v>
      </c>
      <c r="H925" s="88">
        <f>'TX post'!M95</f>
        <v>119.29864864864864</v>
      </c>
      <c r="I925" s="29">
        <f>'TX post'!P95</f>
        <v>210643.32</v>
      </c>
      <c r="J925" s="27">
        <v>17</v>
      </c>
      <c r="K925" s="29">
        <f>'TX post'!R95</f>
        <v>165000</v>
      </c>
      <c r="L925" s="41">
        <v>1922</v>
      </c>
      <c r="N925" s="27" t="str">
        <f t="shared" si="64"/>
        <v>https://ia601500.us.archive.org/33/items/tx192224/1922-24%2c%20selected%20pages%20%28pp.%20192-93%20clipped%29.pdf</v>
      </c>
      <c r="O925" s="27" t="s">
        <v>1973</v>
      </c>
      <c r="P925" s="27" t="s">
        <v>559</v>
      </c>
      <c r="Q925" s="27" t="s">
        <v>2570</v>
      </c>
      <c r="R925" s="27" t="s">
        <v>558</v>
      </c>
      <c r="S925" s="27" t="str">
        <f t="shared" si="65"/>
        <v>https://ia601505.us.archive.org/29/items/tx192426/1924-26.pdf</v>
      </c>
      <c r="T925" s="27" t="str">
        <f t="shared" si="66"/>
        <v>https://babel.hathitrust.org/cgi/pt?id=uiug.30112058522902;view=1up;seq=175</v>
      </c>
      <c r="U925" s="27" t="s">
        <v>2570</v>
      </c>
    </row>
    <row r="926" spans="1:21" x14ac:dyDescent="0.25">
      <c r="A926" s="27" t="s">
        <v>1459</v>
      </c>
      <c r="B926" s="27" t="str">
        <f t="shared" si="62"/>
        <v>Texas</v>
      </c>
      <c r="C926" s="27" t="str">
        <f t="shared" si="63"/>
        <v>Hall</v>
      </c>
      <c r="D926" s="7">
        <f>'TX post'!D96</f>
        <v>2531</v>
      </c>
      <c r="E926" s="2">
        <f>'TX post'!E96</f>
        <v>102</v>
      </c>
      <c r="F926" s="26">
        <v>137.36000000000001</v>
      </c>
      <c r="G926" s="2">
        <f>'TX post'!I96</f>
        <v>4127</v>
      </c>
      <c r="H926" s="88">
        <f>'TX post'!M96</f>
        <v>123.8102189781022</v>
      </c>
      <c r="I926" s="29">
        <f>'TX post'!P96</f>
        <v>162946.93</v>
      </c>
      <c r="J926" s="27">
        <v>19</v>
      </c>
      <c r="K926" s="29">
        <f>'TX post'!R96</f>
        <v>60770</v>
      </c>
      <c r="L926" s="41">
        <v>1922</v>
      </c>
      <c r="N926" s="27" t="str">
        <f t="shared" si="64"/>
        <v>https://ia601500.us.archive.org/33/items/tx192224/1922-24%2c%20selected%20pages%20%28pp.%20192-93%20clipped%29.pdf</v>
      </c>
      <c r="O926" s="27" t="s">
        <v>1973</v>
      </c>
      <c r="P926" s="27" t="s">
        <v>559</v>
      </c>
      <c r="Q926" s="27" t="s">
        <v>2570</v>
      </c>
      <c r="R926" s="27" t="s">
        <v>558</v>
      </c>
      <c r="S926" s="27" t="str">
        <f t="shared" si="65"/>
        <v>https://ia601505.us.archive.org/29/items/tx192426/1924-26.pdf</v>
      </c>
      <c r="T926" s="27" t="str">
        <f t="shared" si="66"/>
        <v>https://babel.hathitrust.org/cgi/pt?id=uiug.30112058522902;view=1up;seq=175</v>
      </c>
      <c r="U926" s="27" t="s">
        <v>2570</v>
      </c>
    </row>
    <row r="927" spans="1:21" x14ac:dyDescent="0.25">
      <c r="A927" s="27" t="s">
        <v>1460</v>
      </c>
      <c r="B927" s="27" t="str">
        <f t="shared" si="62"/>
        <v>Texas</v>
      </c>
      <c r="C927" s="27" t="str">
        <f t="shared" si="63"/>
        <v>Hamilton</v>
      </c>
      <c r="D927" s="7">
        <f>'TX post'!D97</f>
        <v>2919</v>
      </c>
      <c r="E927" s="2">
        <f>'TX post'!E97</f>
        <v>127</v>
      </c>
      <c r="F927" s="26">
        <v>122.83</v>
      </c>
      <c r="G927" s="2">
        <f>'TX post'!I97</f>
        <v>4060</v>
      </c>
      <c r="H927" s="88">
        <f>'TX post'!M97</f>
        <v>110.930081300813</v>
      </c>
      <c r="I927" s="29">
        <f>'TX post'!P97</f>
        <v>138914.62</v>
      </c>
      <c r="J927" s="27">
        <v>47</v>
      </c>
      <c r="K927" s="29">
        <f>'TX post'!R97</f>
        <v>112133</v>
      </c>
      <c r="L927" s="41">
        <v>1922</v>
      </c>
      <c r="N927" s="27" t="str">
        <f t="shared" si="64"/>
        <v>https://ia601500.us.archive.org/33/items/tx192224/1922-24%2c%20selected%20pages%20%28pp.%20192-93%20clipped%29.pdf</v>
      </c>
      <c r="O927" s="27" t="s">
        <v>1973</v>
      </c>
      <c r="P927" s="27" t="s">
        <v>559</v>
      </c>
      <c r="Q927" s="27" t="s">
        <v>2570</v>
      </c>
      <c r="R927" s="27" t="s">
        <v>558</v>
      </c>
      <c r="S927" s="27" t="str">
        <f t="shared" si="65"/>
        <v>https://ia601505.us.archive.org/29/items/tx192426/1924-26.pdf</v>
      </c>
      <c r="T927" s="27" t="str">
        <f t="shared" si="66"/>
        <v>https://babel.hathitrust.org/cgi/pt?id=uiug.30112058522902;view=1up;seq=175</v>
      </c>
      <c r="U927" s="27" t="s">
        <v>2570</v>
      </c>
    </row>
    <row r="928" spans="1:21" x14ac:dyDescent="0.25">
      <c r="A928" s="27" t="s">
        <v>1461</v>
      </c>
      <c r="B928" s="27" t="str">
        <f t="shared" si="62"/>
        <v>Texas</v>
      </c>
      <c r="C928" s="27" t="str">
        <f t="shared" si="63"/>
        <v>Hansford</v>
      </c>
      <c r="D928" s="7">
        <f>'TX post'!D98</f>
        <v>337</v>
      </c>
      <c r="E928" s="2">
        <f>'TX post'!E98</f>
        <v>14</v>
      </c>
      <c r="F928" s="26">
        <v>133.63999999999999</v>
      </c>
      <c r="G928" s="2">
        <f>'TX post'!I98</f>
        <v>166</v>
      </c>
      <c r="H928" s="88">
        <f>'TX post'!M98</f>
        <v>215.39402985074628</v>
      </c>
      <c r="I928" s="29">
        <f>'TX post'!P98</f>
        <v>27660.74</v>
      </c>
      <c r="J928" s="27">
        <v>11</v>
      </c>
      <c r="K928" s="29">
        <f>'TX post'!R98</f>
        <v>12690</v>
      </c>
      <c r="L928" s="41">
        <v>1922</v>
      </c>
      <c r="N928" s="27" t="str">
        <f t="shared" si="64"/>
        <v>https://ia601500.us.archive.org/33/items/tx192224/1922-24%2c%20selected%20pages%20%28pp.%20192-93%20clipped%29.pdf</v>
      </c>
      <c r="O928" s="27" t="s">
        <v>1973</v>
      </c>
      <c r="P928" s="27" t="s">
        <v>559</v>
      </c>
      <c r="Q928" s="27" t="s">
        <v>2570</v>
      </c>
      <c r="R928" s="27" t="s">
        <v>558</v>
      </c>
      <c r="S928" s="27" t="str">
        <f t="shared" si="65"/>
        <v>https://ia601505.us.archive.org/29/items/tx192426/1924-26.pdf</v>
      </c>
      <c r="T928" s="27" t="str">
        <f t="shared" si="66"/>
        <v>https://babel.hathitrust.org/cgi/pt?id=uiug.30112058522902;view=1up;seq=175</v>
      </c>
      <c r="U928" s="27" t="s">
        <v>2570</v>
      </c>
    </row>
    <row r="929" spans="1:21" x14ac:dyDescent="0.25">
      <c r="A929" s="27" t="s">
        <v>1462</v>
      </c>
      <c r="B929" s="27" t="str">
        <f t="shared" si="62"/>
        <v>Texas</v>
      </c>
      <c r="C929" s="27" t="str">
        <f t="shared" si="63"/>
        <v>Hardeman</v>
      </c>
      <c r="D929" s="7">
        <f>'TX post'!D99</f>
        <v>2785</v>
      </c>
      <c r="E929" s="2">
        <f>'TX post'!E99</f>
        <v>100</v>
      </c>
      <c r="F929" s="26">
        <v>160</v>
      </c>
      <c r="G929" s="2">
        <f>'TX post'!I99</f>
        <v>3945</v>
      </c>
      <c r="H929" s="88">
        <f>'TX post'!M99</f>
        <v>107.57375</v>
      </c>
      <c r="I929" s="29">
        <f>'TX post'!P99</f>
        <v>159990</v>
      </c>
      <c r="J929" s="27">
        <v>27</v>
      </c>
      <c r="K929" s="29">
        <f>'TX post'!R99</f>
        <v>83325</v>
      </c>
      <c r="L929" s="41">
        <v>1922</v>
      </c>
      <c r="N929" s="27" t="str">
        <f t="shared" si="64"/>
        <v>https://ia601500.us.archive.org/33/items/tx192224/1922-24%2c%20selected%20pages%20%28pp.%20192-93%20clipped%29.pdf</v>
      </c>
      <c r="O929" s="27" t="s">
        <v>1973</v>
      </c>
      <c r="P929" s="27" t="s">
        <v>559</v>
      </c>
      <c r="Q929" s="27" t="s">
        <v>2570</v>
      </c>
      <c r="R929" s="27" t="s">
        <v>558</v>
      </c>
      <c r="S929" s="27" t="str">
        <f t="shared" si="65"/>
        <v>https://ia601505.us.archive.org/29/items/tx192426/1924-26.pdf</v>
      </c>
      <c r="T929" s="27" t="str">
        <f t="shared" si="66"/>
        <v>https://babel.hathitrust.org/cgi/pt?id=uiug.30112058522902;view=1up;seq=175</v>
      </c>
      <c r="U929" s="27" t="s">
        <v>2570</v>
      </c>
    </row>
    <row r="930" spans="1:21" x14ac:dyDescent="0.25">
      <c r="A930" s="27" t="s">
        <v>1463</v>
      </c>
      <c r="B930" s="27" t="str">
        <f t="shared" si="62"/>
        <v>Texas</v>
      </c>
      <c r="C930" s="27" t="str">
        <f t="shared" si="63"/>
        <v>Hardin</v>
      </c>
      <c r="D930" s="7">
        <f>'TX post'!D100</f>
        <v>3264</v>
      </c>
      <c r="E930" s="2">
        <f>'TX post'!E100</f>
        <v>132</v>
      </c>
      <c r="F930" s="26">
        <v>152.28</v>
      </c>
      <c r="G930" s="2">
        <f>'TX post'!I100</f>
        <v>4282</v>
      </c>
      <c r="H930" s="88">
        <f>'TX post'!M100</f>
        <v>128.44473684210527</v>
      </c>
      <c r="I930" s="29">
        <f>'TX post'!P100</f>
        <v>169910.39</v>
      </c>
      <c r="J930" s="27">
        <v>21</v>
      </c>
      <c r="K930" s="29">
        <f>'TX post'!R100</f>
        <v>19120</v>
      </c>
      <c r="L930" s="41">
        <v>1922</v>
      </c>
      <c r="N930" s="27" t="str">
        <f t="shared" si="64"/>
        <v>https://ia601500.us.archive.org/33/items/tx192224/1922-24%2c%20selected%20pages%20%28pp.%20192-93%20clipped%29.pdf</v>
      </c>
      <c r="O930" s="27" t="s">
        <v>1973</v>
      </c>
      <c r="P930" s="27" t="s">
        <v>559</v>
      </c>
      <c r="Q930" s="27" t="s">
        <v>2570</v>
      </c>
      <c r="R930" s="27" t="s">
        <v>558</v>
      </c>
      <c r="S930" s="27" t="str">
        <f t="shared" si="65"/>
        <v>https://ia601505.us.archive.org/29/items/tx192426/1924-26.pdf</v>
      </c>
      <c r="T930" s="27" t="str">
        <f t="shared" si="66"/>
        <v>https://babel.hathitrust.org/cgi/pt?id=uiug.30112058522902;view=1up;seq=175</v>
      </c>
      <c r="U930" s="27" t="s">
        <v>2570</v>
      </c>
    </row>
    <row r="931" spans="1:21" x14ac:dyDescent="0.25">
      <c r="A931" s="27" t="s">
        <v>1464</v>
      </c>
      <c r="B931" s="27" t="str">
        <f t="shared" si="62"/>
        <v>Texas</v>
      </c>
      <c r="C931" s="27" t="str">
        <f t="shared" si="63"/>
        <v>Harris</v>
      </c>
      <c r="D931" s="7">
        <f>'TX post'!D101</f>
        <v>34234</v>
      </c>
      <c r="E931" s="2">
        <f>'TX post'!E101</f>
        <v>1381</v>
      </c>
      <c r="F931" s="26">
        <v>150.68</v>
      </c>
      <c r="G931" s="2">
        <f>'TX post'!I101</f>
        <v>40635</v>
      </c>
      <c r="H931" s="88">
        <f>'TX post'!M101</f>
        <v>144.53245033112583</v>
      </c>
      <c r="I931" s="29">
        <f>'TX post'!P101</f>
        <v>3065148.36</v>
      </c>
      <c r="J931" s="27">
        <v>58</v>
      </c>
      <c r="K931" s="29">
        <f>'TX post'!R101</f>
        <v>289110</v>
      </c>
      <c r="L931" s="41">
        <v>1922</v>
      </c>
      <c r="N931" s="27" t="str">
        <f t="shared" si="64"/>
        <v>https://ia601500.us.archive.org/33/items/tx192224/1922-24%2c%20selected%20pages%20%28pp.%20192-93%20clipped%29.pdf</v>
      </c>
      <c r="O931" s="27" t="s">
        <v>1973</v>
      </c>
      <c r="P931" s="27" t="s">
        <v>559</v>
      </c>
      <c r="Q931" s="27" t="s">
        <v>2570</v>
      </c>
      <c r="R931" s="27" t="s">
        <v>558</v>
      </c>
      <c r="S931" s="27" t="str">
        <f t="shared" si="65"/>
        <v>https://ia601505.us.archive.org/29/items/tx192426/1924-26.pdf</v>
      </c>
      <c r="T931" s="27" t="str">
        <f t="shared" si="66"/>
        <v>https://babel.hathitrust.org/cgi/pt?id=uiug.30112058522902;view=1up;seq=175</v>
      </c>
      <c r="U931" s="27" t="s">
        <v>2570</v>
      </c>
    </row>
    <row r="932" spans="1:21" x14ac:dyDescent="0.25">
      <c r="A932" s="27" t="s">
        <v>1465</v>
      </c>
      <c r="B932" s="27" t="str">
        <f t="shared" si="62"/>
        <v>Texas</v>
      </c>
      <c r="C932" s="27" t="str">
        <f t="shared" si="63"/>
        <v>Harrison</v>
      </c>
      <c r="D932" s="7">
        <f>'TX post'!D102</f>
        <v>8511</v>
      </c>
      <c r="E932" s="2">
        <f>'TX post'!E102</f>
        <v>240</v>
      </c>
      <c r="F932" s="26">
        <v>125.17</v>
      </c>
      <c r="G932" s="2">
        <f>'TX post'!I102</f>
        <v>12151</v>
      </c>
      <c r="H932" s="88">
        <f>'TX post'!M102</f>
        <v>127.18879999999999</v>
      </c>
      <c r="I932" s="29">
        <f>'TX post'!P102</f>
        <v>272954.37</v>
      </c>
      <c r="J932" s="27">
        <v>115</v>
      </c>
      <c r="K932" s="29">
        <f>'TX post'!R102</f>
        <v>136105</v>
      </c>
      <c r="L932" s="41">
        <v>1922</v>
      </c>
      <c r="N932" s="27" t="str">
        <f t="shared" si="64"/>
        <v>https://ia601500.us.archive.org/33/items/tx192224/1922-24%2c%20selected%20pages%20%28pp.%20192-93%20clipped%29.pdf</v>
      </c>
      <c r="O932" s="27" t="s">
        <v>1973</v>
      </c>
      <c r="P932" s="27" t="s">
        <v>559</v>
      </c>
      <c r="Q932" s="27" t="s">
        <v>2570</v>
      </c>
      <c r="R932" s="27" t="s">
        <v>558</v>
      </c>
      <c r="S932" s="27" t="str">
        <f t="shared" si="65"/>
        <v>https://ia601505.us.archive.org/29/items/tx192426/1924-26.pdf</v>
      </c>
      <c r="T932" s="27" t="str">
        <f t="shared" si="66"/>
        <v>https://babel.hathitrust.org/cgi/pt?id=uiug.30112058522902;view=1up;seq=175</v>
      </c>
      <c r="U932" s="27" t="s">
        <v>2570</v>
      </c>
    </row>
    <row r="933" spans="1:21" x14ac:dyDescent="0.25">
      <c r="A933" s="27" t="s">
        <v>1466</v>
      </c>
      <c r="B933" s="27" t="str">
        <f t="shared" si="62"/>
        <v>Texas</v>
      </c>
      <c r="C933" s="27" t="str">
        <f t="shared" si="63"/>
        <v>Hartley</v>
      </c>
      <c r="D933" s="7">
        <f>'TX post'!D103</f>
        <v>200</v>
      </c>
      <c r="E933" s="2">
        <f>'TX post'!E103</f>
        <v>18</v>
      </c>
      <c r="F933" s="26">
        <v>174</v>
      </c>
      <c r="G933" s="2">
        <f>'TX post'!I103</f>
        <v>296</v>
      </c>
      <c r="H933" s="88">
        <f>'TX post'!M103</f>
        <v>112.99425287356323</v>
      </c>
      <c r="I933" s="29">
        <f>'TX post'!P103</f>
        <v>27527.15</v>
      </c>
      <c r="J933" s="27">
        <v>10</v>
      </c>
      <c r="K933" s="29">
        <f>'TX post'!R103</f>
        <v>61490</v>
      </c>
      <c r="L933" s="41">
        <v>1922</v>
      </c>
      <c r="N933" s="27" t="str">
        <f t="shared" si="64"/>
        <v>https://ia601500.us.archive.org/33/items/tx192224/1922-24%2c%20selected%20pages%20%28pp.%20192-93%20clipped%29.pdf</v>
      </c>
      <c r="O933" s="27" t="s">
        <v>1973</v>
      </c>
      <c r="P933" s="27" t="s">
        <v>559</v>
      </c>
      <c r="Q933" s="27" t="s">
        <v>2570</v>
      </c>
      <c r="R933" s="27" t="s">
        <v>558</v>
      </c>
      <c r="S933" s="27" t="str">
        <f t="shared" si="65"/>
        <v>https://ia601505.us.archive.org/29/items/tx192426/1924-26.pdf</v>
      </c>
      <c r="T933" s="27" t="str">
        <f t="shared" si="66"/>
        <v>https://babel.hathitrust.org/cgi/pt?id=uiug.30112058522902;view=1up;seq=175</v>
      </c>
      <c r="U933" s="27" t="s">
        <v>2570</v>
      </c>
    </row>
    <row r="934" spans="1:21" x14ac:dyDescent="0.25">
      <c r="A934" s="27" t="s">
        <v>1467</v>
      </c>
      <c r="B934" s="27" t="str">
        <f t="shared" si="62"/>
        <v>Texas</v>
      </c>
      <c r="C934" s="27" t="str">
        <f t="shared" si="63"/>
        <v>Haskell</v>
      </c>
      <c r="D934" s="7">
        <f>'TX post'!D104</f>
        <v>3291</v>
      </c>
      <c r="E934" s="2">
        <f>'TX post'!E104</f>
        <v>133</v>
      </c>
      <c r="F934" s="26">
        <v>126.02</v>
      </c>
      <c r="G934" s="2">
        <f>'TX post'!I104</f>
        <v>4652</v>
      </c>
      <c r="H934" s="88">
        <f>'TX post'!M104</f>
        <v>115.7</v>
      </c>
      <c r="I934" s="29">
        <f>'TX post'!P104</f>
        <v>186348.95</v>
      </c>
      <c r="J934" s="27">
        <v>46</v>
      </c>
      <c r="K934" s="29">
        <f>'TX post'!R104</f>
        <v>118000</v>
      </c>
      <c r="L934" s="41">
        <v>1922</v>
      </c>
      <c r="N934" s="27" t="str">
        <f t="shared" si="64"/>
        <v>https://ia601500.us.archive.org/33/items/tx192224/1922-24%2c%20selected%20pages%20%28pp.%20192-93%20clipped%29.pdf</v>
      </c>
      <c r="O934" s="27" t="s">
        <v>1973</v>
      </c>
      <c r="P934" s="27" t="s">
        <v>559</v>
      </c>
      <c r="Q934" s="27" t="s">
        <v>2570</v>
      </c>
      <c r="R934" s="27" t="s">
        <v>558</v>
      </c>
      <c r="S934" s="27" t="str">
        <f t="shared" si="65"/>
        <v>https://ia601505.us.archive.org/29/items/tx192426/1924-26.pdf</v>
      </c>
      <c r="T934" s="27" t="str">
        <f t="shared" si="66"/>
        <v>https://babel.hathitrust.org/cgi/pt?id=uiug.30112058522902;view=1up;seq=175</v>
      </c>
      <c r="U934" s="27" t="s">
        <v>2570</v>
      </c>
    </row>
    <row r="935" spans="1:21" x14ac:dyDescent="0.25">
      <c r="A935" s="27" t="s">
        <v>1468</v>
      </c>
      <c r="B935" s="27" t="str">
        <f t="shared" si="62"/>
        <v>Texas</v>
      </c>
      <c r="C935" s="27" t="str">
        <f t="shared" si="63"/>
        <v>Hays</v>
      </c>
      <c r="D935" s="7">
        <f>'TX post'!D105</f>
        <v>2044</v>
      </c>
      <c r="E935" s="2">
        <f>'TX post'!E105</f>
        <v>107</v>
      </c>
      <c r="F935" s="26">
        <v>139.41999999999999</v>
      </c>
      <c r="G935" s="2">
        <f>'TX post'!I105</f>
        <v>3112</v>
      </c>
      <c r="H935" s="88">
        <f>'TX post'!M105</f>
        <v>134.41870503597121</v>
      </c>
      <c r="I935" s="29">
        <f>'TX post'!P105</f>
        <v>123024.64</v>
      </c>
      <c r="J935" s="27">
        <v>38</v>
      </c>
      <c r="K935" s="29">
        <f>'TX post'!R105</f>
        <v>61370</v>
      </c>
      <c r="L935" s="41">
        <v>1922</v>
      </c>
      <c r="N935" s="27" t="str">
        <f t="shared" si="64"/>
        <v>https://ia601500.us.archive.org/33/items/tx192224/1922-24%2c%20selected%20pages%20%28pp.%20192-93%20clipped%29.pdf</v>
      </c>
      <c r="O935" s="27" t="s">
        <v>1973</v>
      </c>
      <c r="P935" s="27" t="s">
        <v>559</v>
      </c>
      <c r="Q935" s="27" t="s">
        <v>2570</v>
      </c>
      <c r="R935" s="27" t="s">
        <v>558</v>
      </c>
      <c r="S935" s="27" t="str">
        <f t="shared" si="65"/>
        <v>https://ia601505.us.archive.org/29/items/tx192426/1924-26.pdf</v>
      </c>
      <c r="T935" s="27" t="str">
        <f t="shared" si="66"/>
        <v>https://babel.hathitrust.org/cgi/pt?id=uiug.30112058522902;view=1up;seq=175</v>
      </c>
      <c r="U935" s="27" t="s">
        <v>2570</v>
      </c>
    </row>
    <row r="936" spans="1:21" x14ac:dyDescent="0.25">
      <c r="A936" s="27" t="s">
        <v>1469</v>
      </c>
      <c r="B936" s="27" t="str">
        <f t="shared" si="62"/>
        <v>Texas</v>
      </c>
      <c r="C936" s="27" t="str">
        <f t="shared" si="63"/>
        <v>Hemphill</v>
      </c>
      <c r="D936" s="7">
        <f>'TX post'!D106</f>
        <v>764</v>
      </c>
      <c r="E936" s="2">
        <f>'TX post'!E106</f>
        <v>41</v>
      </c>
      <c r="F936" s="26">
        <v>144.44</v>
      </c>
      <c r="G936" s="2">
        <f>'TX post'!I106</f>
        <v>1065</v>
      </c>
      <c r="H936" s="88">
        <f>'TX post'!M106</f>
        <v>140.30694444444444</v>
      </c>
      <c r="I936" s="29">
        <f>'TX post'!P106</f>
        <v>61710.69</v>
      </c>
      <c r="J936" s="27">
        <v>18</v>
      </c>
      <c r="K936" s="29">
        <f>'TX post'!R106</f>
        <v>26000</v>
      </c>
      <c r="L936" s="41">
        <v>1922</v>
      </c>
      <c r="N936" s="27" t="str">
        <f t="shared" si="64"/>
        <v>https://ia601500.us.archive.org/33/items/tx192224/1922-24%2c%20selected%20pages%20%28pp.%20192-93%20clipped%29.pdf</v>
      </c>
      <c r="O936" s="27" t="s">
        <v>1973</v>
      </c>
      <c r="P936" s="27" t="s">
        <v>559</v>
      </c>
      <c r="Q936" s="27" t="s">
        <v>2570</v>
      </c>
      <c r="R936" s="27" t="s">
        <v>558</v>
      </c>
      <c r="S936" s="27" t="str">
        <f t="shared" si="65"/>
        <v>https://ia601505.us.archive.org/29/items/tx192426/1924-26.pdf</v>
      </c>
      <c r="T936" s="27" t="str">
        <f t="shared" si="66"/>
        <v>https://babel.hathitrust.org/cgi/pt?id=uiug.30112058522902;view=1up;seq=175</v>
      </c>
      <c r="U936" s="27" t="s">
        <v>2570</v>
      </c>
    </row>
    <row r="937" spans="1:21" x14ac:dyDescent="0.25">
      <c r="A937" s="27" t="s">
        <v>1470</v>
      </c>
      <c r="B937" s="27" t="str">
        <f t="shared" si="62"/>
        <v>Texas</v>
      </c>
      <c r="C937" s="27" t="str">
        <f t="shared" si="63"/>
        <v>Henderson</v>
      </c>
      <c r="D937" s="7">
        <f>'TX post'!D107</f>
        <v>5892</v>
      </c>
      <c r="E937" s="2">
        <f>'TX post'!E107</f>
        <v>217</v>
      </c>
      <c r="F937" s="26">
        <v>114.1</v>
      </c>
      <c r="G937" s="2">
        <f>'TX post'!I107</f>
        <v>9144</v>
      </c>
      <c r="H937" s="88">
        <f>'TX post'!M107</f>
        <v>124.11052631578946</v>
      </c>
      <c r="I937" s="29">
        <f>'TX post'!P107</f>
        <v>203000.06</v>
      </c>
      <c r="J937" s="27">
        <v>85</v>
      </c>
      <c r="K937" s="29">
        <f>'TX post'!R107</f>
        <v>92000</v>
      </c>
      <c r="L937" s="41">
        <v>1922</v>
      </c>
      <c r="N937" s="27" t="str">
        <f t="shared" si="64"/>
        <v>https://ia601500.us.archive.org/33/items/tx192224/1922-24%2c%20selected%20pages%20%28pp.%20192-93%20clipped%29.pdf</v>
      </c>
      <c r="O937" s="27" t="s">
        <v>1973</v>
      </c>
      <c r="P937" s="27" t="s">
        <v>559</v>
      </c>
      <c r="Q937" s="27" t="s">
        <v>2570</v>
      </c>
      <c r="R937" s="27" t="s">
        <v>558</v>
      </c>
      <c r="S937" s="27" t="str">
        <f t="shared" si="65"/>
        <v>https://ia601505.us.archive.org/29/items/tx192426/1924-26.pdf</v>
      </c>
      <c r="T937" s="27" t="str">
        <f t="shared" si="66"/>
        <v>https://babel.hathitrust.org/cgi/pt?id=uiug.30112058522902;view=1up;seq=175</v>
      </c>
      <c r="U937" s="27" t="s">
        <v>2570</v>
      </c>
    </row>
    <row r="938" spans="1:21" x14ac:dyDescent="0.25">
      <c r="A938" s="27" t="s">
        <v>1471</v>
      </c>
      <c r="B938" s="27" t="str">
        <f t="shared" si="62"/>
        <v>Texas</v>
      </c>
      <c r="C938" s="27" t="str">
        <f t="shared" si="63"/>
        <v>Hidalgo</v>
      </c>
      <c r="D938" s="7">
        <f>'TX post'!D108</f>
        <v>6158</v>
      </c>
      <c r="E938" s="2">
        <f>'TX post'!E108</f>
        <v>213</v>
      </c>
      <c r="F938" s="26">
        <v>160</v>
      </c>
      <c r="G938" s="2">
        <f>'TX post'!I108</f>
        <v>8026</v>
      </c>
      <c r="H938" s="88">
        <f>'TX post'!M108</f>
        <v>150.19499999999999</v>
      </c>
      <c r="I938" s="29">
        <f>'TX post'!P108</f>
        <v>458223.35</v>
      </c>
      <c r="J938" s="27">
        <v>27</v>
      </c>
      <c r="K938" s="29">
        <f>'TX post'!R108</f>
        <v>201300</v>
      </c>
      <c r="L938" s="41">
        <v>1922</v>
      </c>
      <c r="N938" s="27" t="str">
        <f t="shared" si="64"/>
        <v>https://ia601500.us.archive.org/33/items/tx192224/1922-24%2c%20selected%20pages%20%28pp.%20192-93%20clipped%29.pdf</v>
      </c>
      <c r="O938" s="27" t="s">
        <v>1973</v>
      </c>
      <c r="P938" s="27" t="s">
        <v>559</v>
      </c>
      <c r="Q938" s="27" t="s">
        <v>2570</v>
      </c>
      <c r="R938" s="27" t="s">
        <v>558</v>
      </c>
      <c r="S938" s="27" t="str">
        <f t="shared" si="65"/>
        <v>https://ia601505.us.archive.org/29/items/tx192426/1924-26.pdf</v>
      </c>
      <c r="T938" s="27" t="str">
        <f t="shared" si="66"/>
        <v>https://babel.hathitrust.org/cgi/pt?id=uiug.30112058522902;view=1up;seq=175</v>
      </c>
      <c r="U938" s="27" t="s">
        <v>2570</v>
      </c>
    </row>
    <row r="939" spans="1:21" x14ac:dyDescent="0.25">
      <c r="A939" s="27" t="s">
        <v>1472</v>
      </c>
      <c r="B939" s="27" t="str">
        <f t="shared" si="62"/>
        <v>Texas</v>
      </c>
      <c r="C939" s="27" t="str">
        <f t="shared" si="63"/>
        <v>Hill</v>
      </c>
      <c r="D939" s="7">
        <f>'TX post'!D109</f>
        <v>13010</v>
      </c>
      <c r="E939" s="2">
        <f>'TX post'!E109</f>
        <v>359</v>
      </c>
      <c r="F939" s="26">
        <v>124.66</v>
      </c>
      <c r="G939" s="2">
        <f>'TX post'!I109</f>
        <v>13637</v>
      </c>
      <c r="H939" s="88">
        <f>'TX post'!M109</f>
        <v>127.7248</v>
      </c>
      <c r="I939" s="29">
        <f>'TX post'!P109</f>
        <v>400660.53</v>
      </c>
      <c r="J939" s="27">
        <v>89</v>
      </c>
      <c r="K939" s="29">
        <f>'TX post'!R109</f>
        <v>223081</v>
      </c>
      <c r="L939" s="41">
        <v>1922</v>
      </c>
      <c r="N939" s="27" t="str">
        <f t="shared" si="64"/>
        <v>https://ia601500.us.archive.org/33/items/tx192224/1922-24%2c%20selected%20pages%20%28pp.%20192-93%20clipped%29.pdf</v>
      </c>
      <c r="O939" s="27" t="s">
        <v>1973</v>
      </c>
      <c r="P939" s="27" t="s">
        <v>559</v>
      </c>
      <c r="Q939" s="27" t="s">
        <v>2570</v>
      </c>
      <c r="R939" s="27" t="s">
        <v>558</v>
      </c>
      <c r="S939" s="27" t="str">
        <f t="shared" si="65"/>
        <v>https://ia601505.us.archive.org/29/items/tx192426/1924-26.pdf</v>
      </c>
      <c r="T939" s="27" t="str">
        <f t="shared" si="66"/>
        <v>https://babel.hathitrust.org/cgi/pt?id=uiug.30112058522902;view=1up;seq=175</v>
      </c>
      <c r="U939" s="27" t="s">
        <v>2570</v>
      </c>
    </row>
    <row r="940" spans="1:21" x14ac:dyDescent="0.25">
      <c r="A940" s="27" t="s">
        <v>1473</v>
      </c>
      <c r="B940" s="27" t="str">
        <f t="shared" si="62"/>
        <v>Texas</v>
      </c>
      <c r="C940" s="27" t="str">
        <f t="shared" si="63"/>
        <v>Hockley</v>
      </c>
      <c r="D940" s="7">
        <f>'TX post'!D110</f>
        <v>186</v>
      </c>
      <c r="E940" s="2">
        <f>'TX post'!E110</f>
        <v>8</v>
      </c>
      <c r="F940" s="26">
        <v>180</v>
      </c>
      <c r="G940" s="2">
        <f>'TX post'!I110</f>
        <v>105</v>
      </c>
      <c r="H940" s="88">
        <f>'TX post'!M110</f>
        <v>113.75</v>
      </c>
      <c r="I940" s="29">
        <f>'TX post'!P110</f>
        <v>14000.4</v>
      </c>
      <c r="J940" s="27">
        <v>6</v>
      </c>
      <c r="K940" s="29">
        <f>'TX post'!R110</f>
        <v>38350</v>
      </c>
      <c r="L940" s="41">
        <v>1922</v>
      </c>
      <c r="N940" s="27" t="str">
        <f t="shared" si="64"/>
        <v>https://ia601500.us.archive.org/33/items/tx192224/1922-24%2c%20selected%20pages%20%28pp.%20192-93%20clipped%29.pdf</v>
      </c>
      <c r="O940" s="27" t="s">
        <v>1973</v>
      </c>
      <c r="P940" s="27" t="s">
        <v>559</v>
      </c>
      <c r="Q940" s="27" t="s">
        <v>2570</v>
      </c>
      <c r="R940" s="27" t="s">
        <v>558</v>
      </c>
      <c r="S940" s="27" t="str">
        <f t="shared" si="65"/>
        <v>https://ia601505.us.archive.org/29/items/tx192426/1924-26.pdf</v>
      </c>
      <c r="T940" s="27" t="str">
        <f t="shared" si="66"/>
        <v>https://babel.hathitrust.org/cgi/pt?id=uiug.30112058522902;view=1up;seq=175</v>
      </c>
      <c r="U940" s="27" t="s">
        <v>2570</v>
      </c>
    </row>
    <row r="941" spans="1:21" x14ac:dyDescent="0.25">
      <c r="A941" s="27" t="s">
        <v>1474</v>
      </c>
      <c r="B941" s="27" t="str">
        <f t="shared" si="62"/>
        <v>Texas</v>
      </c>
      <c r="C941" s="27" t="str">
        <f t="shared" si="63"/>
        <v>Hood</v>
      </c>
      <c r="D941" s="7">
        <f>'TX post'!D111</f>
        <v>30051</v>
      </c>
      <c r="E941" s="2">
        <f>'TX post'!E111</f>
        <v>65</v>
      </c>
      <c r="F941" s="26">
        <v>121.07</v>
      </c>
      <c r="G941" s="2">
        <f>'TX post'!I111</f>
        <v>2437</v>
      </c>
      <c r="H941" s="88">
        <f>'TX post'!M111</f>
        <v>128.01652892561984</v>
      </c>
      <c r="I941" s="29">
        <f>'TX post'!P111</f>
        <v>59874.92</v>
      </c>
      <c r="J941" s="27">
        <v>28</v>
      </c>
      <c r="K941" s="29">
        <f>'TX post'!R111</f>
        <v>64305</v>
      </c>
      <c r="L941" s="41">
        <v>1922</v>
      </c>
      <c r="N941" s="27" t="str">
        <f t="shared" si="64"/>
        <v>https://ia601500.us.archive.org/33/items/tx192224/1922-24%2c%20selected%20pages%20%28pp.%20192-93%20clipped%29.pdf</v>
      </c>
      <c r="O941" s="27" t="s">
        <v>1973</v>
      </c>
      <c r="P941" s="27" t="s">
        <v>559</v>
      </c>
      <c r="Q941" s="27" t="s">
        <v>2570</v>
      </c>
      <c r="R941" s="27" t="s">
        <v>558</v>
      </c>
      <c r="S941" s="27" t="str">
        <f t="shared" si="65"/>
        <v>https://ia601505.us.archive.org/29/items/tx192426/1924-26.pdf</v>
      </c>
      <c r="T941" s="27" t="str">
        <f t="shared" si="66"/>
        <v>https://babel.hathitrust.org/cgi/pt?id=uiug.30112058522902;view=1up;seq=175</v>
      </c>
      <c r="U941" s="27" t="s">
        <v>2570</v>
      </c>
    </row>
    <row r="942" spans="1:21" x14ac:dyDescent="0.25">
      <c r="A942" s="27" t="s">
        <v>1475</v>
      </c>
      <c r="B942" s="27" t="str">
        <f t="shared" si="62"/>
        <v>Texas</v>
      </c>
      <c r="C942" s="27" t="str">
        <f t="shared" si="63"/>
        <v>Hopkins</v>
      </c>
      <c r="D942" s="7">
        <f>'TX post'!D112</f>
        <v>7999</v>
      </c>
      <c r="E942" s="2">
        <f>'TX post'!E112</f>
        <v>262</v>
      </c>
      <c r="F942" s="26">
        <v>115</v>
      </c>
      <c r="G942" s="2">
        <f>'TX post'!I112</f>
        <v>10951</v>
      </c>
      <c r="H942" s="88">
        <f>'TX post'!M112</f>
        <v>142.83130434782609</v>
      </c>
      <c r="I942" s="29">
        <f>'TX post'!P112</f>
        <v>249431.75</v>
      </c>
      <c r="J942" s="27">
        <v>95</v>
      </c>
      <c r="K942" s="29">
        <f>'TX post'!R112</f>
        <v>253310</v>
      </c>
      <c r="L942" s="41">
        <v>1922</v>
      </c>
      <c r="N942" s="27" t="str">
        <f t="shared" si="64"/>
        <v>https://ia601500.us.archive.org/33/items/tx192224/1922-24%2c%20selected%20pages%20%28pp.%20192-93%20clipped%29.pdf</v>
      </c>
      <c r="O942" s="27" t="s">
        <v>1973</v>
      </c>
      <c r="P942" s="27" t="s">
        <v>559</v>
      </c>
      <c r="Q942" s="27" t="s">
        <v>2570</v>
      </c>
      <c r="R942" s="27" t="s">
        <v>558</v>
      </c>
      <c r="S942" s="27" t="str">
        <f t="shared" si="65"/>
        <v>https://ia601505.us.archive.org/29/items/tx192426/1924-26.pdf</v>
      </c>
      <c r="T942" s="27" t="str">
        <f t="shared" si="66"/>
        <v>https://babel.hathitrust.org/cgi/pt?id=uiug.30112058522902;view=1up;seq=175</v>
      </c>
      <c r="U942" s="27" t="s">
        <v>2570</v>
      </c>
    </row>
    <row r="943" spans="1:21" x14ac:dyDescent="0.25">
      <c r="A943" s="27" t="s">
        <v>1476</v>
      </c>
      <c r="B943" s="27" t="str">
        <f t="shared" si="62"/>
        <v>Texas</v>
      </c>
      <c r="C943" s="27" t="str">
        <f t="shared" si="63"/>
        <v>Houston</v>
      </c>
      <c r="D943" s="7">
        <f>'TX post'!D113</f>
        <v>5663</v>
      </c>
      <c r="E943" s="2">
        <f>'TX post'!E113</f>
        <v>247</v>
      </c>
      <c r="F943" s="26">
        <v>136</v>
      </c>
      <c r="G943" s="2">
        <f>'TX post'!I113</f>
        <v>8902</v>
      </c>
      <c r="H943" s="88">
        <f>'TX post'!M113</f>
        <v>94.6220588235294</v>
      </c>
      <c r="I943" s="29">
        <f>'TX post'!P113</f>
        <v>222000.47</v>
      </c>
      <c r="J943" s="27">
        <v>110</v>
      </c>
      <c r="K943" s="29">
        <f>'TX post'!R113</f>
        <v>234000</v>
      </c>
      <c r="L943" s="41">
        <v>1922</v>
      </c>
      <c r="N943" s="27" t="str">
        <f t="shared" si="64"/>
        <v>https://ia601500.us.archive.org/33/items/tx192224/1922-24%2c%20selected%20pages%20%28pp.%20192-93%20clipped%29.pdf</v>
      </c>
      <c r="O943" s="27" t="s">
        <v>1973</v>
      </c>
      <c r="P943" s="27" t="s">
        <v>559</v>
      </c>
      <c r="Q943" s="27" t="s">
        <v>2570</v>
      </c>
      <c r="R943" s="27" t="s">
        <v>558</v>
      </c>
      <c r="S943" s="27" t="str">
        <f t="shared" si="65"/>
        <v>https://ia601505.us.archive.org/29/items/tx192426/1924-26.pdf</v>
      </c>
      <c r="T943" s="27" t="str">
        <f t="shared" si="66"/>
        <v>https://babel.hathitrust.org/cgi/pt?id=uiug.30112058522902;view=1up;seq=175</v>
      </c>
      <c r="U943" s="27" t="s">
        <v>2570</v>
      </c>
    </row>
    <row r="944" spans="1:21" x14ac:dyDescent="0.25">
      <c r="A944" s="27" t="s">
        <v>1477</v>
      </c>
      <c r="B944" s="27" t="str">
        <f t="shared" si="62"/>
        <v>Texas</v>
      </c>
      <c r="C944" s="27" t="str">
        <f t="shared" si="63"/>
        <v>Howard</v>
      </c>
      <c r="D944" s="7">
        <f>'TX post'!D114</f>
        <v>1648</v>
      </c>
      <c r="E944" s="2">
        <f>'TX post'!E114</f>
        <v>57</v>
      </c>
      <c r="F944" s="26">
        <v>131.11000000000001</v>
      </c>
      <c r="G944" s="2">
        <f>'TX post'!I114</f>
        <v>2059</v>
      </c>
      <c r="H944" s="88">
        <f>'TX post'!M114</f>
        <v>149.06870229007635</v>
      </c>
      <c r="I944" s="29">
        <f>'TX post'!P114</f>
        <v>94644.37</v>
      </c>
      <c r="J944" s="27">
        <v>18</v>
      </c>
      <c r="K944" s="29">
        <f>'TX post'!R114</f>
        <v>51500</v>
      </c>
      <c r="L944" s="41">
        <v>1922</v>
      </c>
      <c r="N944" s="27" t="str">
        <f t="shared" si="64"/>
        <v>https://ia601500.us.archive.org/33/items/tx192224/1922-24%2c%20selected%20pages%20%28pp.%20192-93%20clipped%29.pdf</v>
      </c>
      <c r="O944" s="27" t="s">
        <v>1973</v>
      </c>
      <c r="P944" s="27" t="s">
        <v>559</v>
      </c>
      <c r="Q944" s="27" t="s">
        <v>2570</v>
      </c>
      <c r="R944" s="27" t="s">
        <v>558</v>
      </c>
      <c r="S944" s="27" t="str">
        <f t="shared" si="65"/>
        <v>https://ia601505.us.archive.org/29/items/tx192426/1924-26.pdf</v>
      </c>
      <c r="T944" s="27" t="str">
        <f t="shared" si="66"/>
        <v>https://babel.hathitrust.org/cgi/pt?id=uiug.30112058522902;view=1up;seq=175</v>
      </c>
      <c r="U944" s="27" t="s">
        <v>2570</v>
      </c>
    </row>
    <row r="945" spans="1:21" x14ac:dyDescent="0.25">
      <c r="A945" s="27" t="s">
        <v>1478</v>
      </c>
      <c r="B945" s="27" t="str">
        <f t="shared" si="62"/>
        <v>Texas</v>
      </c>
      <c r="C945" s="27" t="str">
        <f t="shared" si="63"/>
        <v>Hudspeth</v>
      </c>
      <c r="D945" s="7">
        <f>'TX post'!D115</f>
        <v>191</v>
      </c>
      <c r="E945" s="2">
        <f>'TX post'!E115</f>
        <v>9</v>
      </c>
      <c r="F945" s="26">
        <v>176.66</v>
      </c>
      <c r="G945" s="2">
        <f>'TX post'!I115</f>
        <v>173</v>
      </c>
      <c r="H945" s="88">
        <f>'TX post'!M115</f>
        <v>120.91751412429377</v>
      </c>
      <c r="I945" s="29">
        <f>'TX post'!P115</f>
        <v>16086.95</v>
      </c>
      <c r="J945" s="27">
        <v>6</v>
      </c>
      <c r="K945" s="29">
        <f>'TX post'!R115</f>
        <v>10716</v>
      </c>
      <c r="L945" s="41">
        <v>1922</v>
      </c>
      <c r="N945" s="27" t="str">
        <f t="shared" si="64"/>
        <v>https://ia601500.us.archive.org/33/items/tx192224/1922-24%2c%20selected%20pages%20%28pp.%20192-93%20clipped%29.pdf</v>
      </c>
      <c r="O945" s="27" t="s">
        <v>1973</v>
      </c>
      <c r="P945" s="27" t="s">
        <v>559</v>
      </c>
      <c r="Q945" s="27" t="s">
        <v>2570</v>
      </c>
      <c r="R945" s="27" t="s">
        <v>558</v>
      </c>
      <c r="S945" s="27" t="str">
        <f t="shared" si="65"/>
        <v>https://ia601505.us.archive.org/29/items/tx192426/1924-26.pdf</v>
      </c>
      <c r="T945" s="27" t="str">
        <f t="shared" si="66"/>
        <v>https://babel.hathitrust.org/cgi/pt?id=uiug.30112058522902;view=1up;seq=175</v>
      </c>
      <c r="U945" s="27" t="s">
        <v>2570</v>
      </c>
    </row>
    <row r="946" spans="1:21" x14ac:dyDescent="0.25">
      <c r="A946" s="27" t="s">
        <v>1479</v>
      </c>
      <c r="B946" s="27" t="str">
        <f t="shared" si="62"/>
        <v>Texas</v>
      </c>
      <c r="C946" s="27" t="str">
        <f t="shared" si="63"/>
        <v>Hunt</v>
      </c>
      <c r="D946" s="7">
        <f>'TX post'!D116</f>
        <v>10856</v>
      </c>
      <c r="E946" s="2">
        <f>'TX post'!E116</f>
        <v>394</v>
      </c>
      <c r="F946" s="26">
        <v>116.75</v>
      </c>
      <c r="G946" s="2">
        <f>'TX post'!I116</f>
        <v>15086</v>
      </c>
      <c r="H946" s="88">
        <f>'TX post'!M116</f>
        <v>130.37606837606839</v>
      </c>
      <c r="I946" s="29">
        <f>'TX post'!P116</f>
        <v>451026.56</v>
      </c>
      <c r="J946" s="27">
        <v>108</v>
      </c>
      <c r="K946" s="29">
        <f>'TX post'!R116</f>
        <v>380090</v>
      </c>
      <c r="L946" s="41">
        <v>1922</v>
      </c>
      <c r="N946" s="27" t="str">
        <f t="shared" si="64"/>
        <v>https://ia601500.us.archive.org/33/items/tx192224/1922-24%2c%20selected%20pages%20%28pp.%20192-93%20clipped%29.pdf</v>
      </c>
      <c r="O946" s="27" t="s">
        <v>1973</v>
      </c>
      <c r="P946" s="27" t="s">
        <v>559</v>
      </c>
      <c r="Q946" s="27" t="s">
        <v>2570</v>
      </c>
      <c r="R946" s="27" t="s">
        <v>558</v>
      </c>
      <c r="S946" s="27" t="str">
        <f t="shared" si="65"/>
        <v>https://ia601505.us.archive.org/29/items/tx192426/1924-26.pdf</v>
      </c>
      <c r="T946" s="27" t="str">
        <f t="shared" si="66"/>
        <v>https://babel.hathitrust.org/cgi/pt?id=uiug.30112058522902;view=1up;seq=175</v>
      </c>
      <c r="U946" s="27" t="s">
        <v>2570</v>
      </c>
    </row>
    <row r="947" spans="1:21" x14ac:dyDescent="0.25">
      <c r="A947" s="27" t="s">
        <v>1480</v>
      </c>
      <c r="B947" s="27" t="str">
        <f t="shared" si="62"/>
        <v>Texas</v>
      </c>
      <c r="C947" s="27" t="str">
        <f t="shared" si="63"/>
        <v>Hutchinson</v>
      </c>
      <c r="D947" s="7">
        <f>'TX post'!D117</f>
        <v>171</v>
      </c>
      <c r="E947" s="2">
        <f>'TX post'!E117</f>
        <v>17</v>
      </c>
      <c r="F947" s="26">
        <v>146</v>
      </c>
      <c r="G947" s="2">
        <f>'TX post'!I117</f>
        <v>219</v>
      </c>
      <c r="H947" s="88">
        <f>'TX post'!M117</f>
        <v>106.76027397260275</v>
      </c>
      <c r="I947" s="29">
        <f>'TX post'!P117</f>
        <v>18882.59</v>
      </c>
      <c r="J947" s="27">
        <v>15</v>
      </c>
      <c r="K947" s="29">
        <f>'TX post'!R117</f>
        <v>20800</v>
      </c>
      <c r="L947" s="41">
        <v>1922</v>
      </c>
      <c r="N947" s="27" t="str">
        <f t="shared" si="64"/>
        <v>https://ia601500.us.archive.org/33/items/tx192224/1922-24%2c%20selected%20pages%20%28pp.%20192-93%20clipped%29.pdf</v>
      </c>
      <c r="O947" s="27" t="s">
        <v>1973</v>
      </c>
      <c r="P947" s="27" t="s">
        <v>559</v>
      </c>
      <c r="Q947" s="27" t="s">
        <v>2570</v>
      </c>
      <c r="R947" s="27" t="s">
        <v>558</v>
      </c>
      <c r="S947" s="27" t="str">
        <f t="shared" si="65"/>
        <v>https://ia601505.us.archive.org/29/items/tx192426/1924-26.pdf</v>
      </c>
      <c r="T947" s="27" t="str">
        <f t="shared" si="66"/>
        <v>https://babel.hathitrust.org/cgi/pt?id=uiug.30112058522902;view=1up;seq=175</v>
      </c>
      <c r="U947" s="27" t="s">
        <v>2570</v>
      </c>
    </row>
    <row r="948" spans="1:21" x14ac:dyDescent="0.25">
      <c r="A948" s="27" t="s">
        <v>1481</v>
      </c>
      <c r="B948" s="27" t="str">
        <f t="shared" si="62"/>
        <v>Texas</v>
      </c>
      <c r="C948" s="27" t="str">
        <f t="shared" si="63"/>
        <v>Irion</v>
      </c>
      <c r="D948" s="7">
        <f>'TX post'!D118</f>
        <v>308</v>
      </c>
      <c r="E948" s="2">
        <f>'TX post'!E118</f>
        <v>23</v>
      </c>
      <c r="F948" s="26">
        <v>160</v>
      </c>
      <c r="G948" s="2">
        <f>'TX post'!I118</f>
        <v>436</v>
      </c>
      <c r="H948" s="88">
        <f>'TX post'!M118</f>
        <v>141.98374999999999</v>
      </c>
      <c r="I948" s="29">
        <f>'TX post'!P118</f>
        <v>18360.95</v>
      </c>
      <c r="J948" s="27">
        <v>3</v>
      </c>
      <c r="K948" s="29">
        <f>'TX post'!R118</f>
        <v>74750</v>
      </c>
      <c r="L948" s="41">
        <v>1922</v>
      </c>
      <c r="N948" s="27" t="str">
        <f t="shared" si="64"/>
        <v>https://ia601500.us.archive.org/33/items/tx192224/1922-24%2c%20selected%20pages%20%28pp.%20192-93%20clipped%29.pdf</v>
      </c>
      <c r="O948" s="27" t="s">
        <v>1973</v>
      </c>
      <c r="P948" s="27" t="s">
        <v>559</v>
      </c>
      <c r="Q948" s="27" t="s">
        <v>2570</v>
      </c>
      <c r="R948" s="27" t="s">
        <v>558</v>
      </c>
      <c r="S948" s="27" t="str">
        <f t="shared" si="65"/>
        <v>https://ia601505.us.archive.org/29/items/tx192426/1924-26.pdf</v>
      </c>
      <c r="T948" s="27" t="str">
        <f t="shared" si="66"/>
        <v>https://babel.hathitrust.org/cgi/pt?id=uiug.30112058522902;view=1up;seq=175</v>
      </c>
      <c r="U948" s="27" t="s">
        <v>2570</v>
      </c>
    </row>
    <row r="949" spans="1:21" x14ac:dyDescent="0.25">
      <c r="A949" s="27" t="s">
        <v>1482</v>
      </c>
      <c r="B949" s="27" t="str">
        <f t="shared" si="62"/>
        <v>Texas</v>
      </c>
      <c r="C949" s="27" t="str">
        <f t="shared" si="63"/>
        <v>Jack</v>
      </c>
      <c r="D949" s="7">
        <f>'TX post'!D119</f>
        <v>2604</v>
      </c>
      <c r="E949" s="2">
        <f>'TX post'!E119</f>
        <v>102</v>
      </c>
      <c r="F949" s="26">
        <v>115.68</v>
      </c>
      <c r="G949" s="2">
        <f>'TX post'!I119</f>
        <v>3005</v>
      </c>
      <c r="H949" s="88">
        <f>'TX post'!M119</f>
        <v>105.43793103448276</v>
      </c>
      <c r="I949" s="29">
        <f>'TX post'!P119</f>
        <v>92180.99</v>
      </c>
      <c r="J949" s="27">
        <v>51</v>
      </c>
      <c r="K949" s="29">
        <f>'TX post'!R119</f>
        <v>67000</v>
      </c>
      <c r="L949" s="41">
        <v>1922</v>
      </c>
      <c r="N949" s="27" t="str">
        <f t="shared" si="64"/>
        <v>https://ia601500.us.archive.org/33/items/tx192224/1922-24%2c%20selected%20pages%20%28pp.%20192-93%20clipped%29.pdf</v>
      </c>
      <c r="O949" s="27" t="s">
        <v>1973</v>
      </c>
      <c r="P949" s="27" t="s">
        <v>559</v>
      </c>
      <c r="Q949" s="27" t="s">
        <v>2570</v>
      </c>
      <c r="R949" s="27" t="s">
        <v>558</v>
      </c>
      <c r="S949" s="27" t="str">
        <f t="shared" si="65"/>
        <v>https://ia601505.us.archive.org/29/items/tx192426/1924-26.pdf</v>
      </c>
      <c r="T949" s="27" t="str">
        <f t="shared" si="66"/>
        <v>https://babel.hathitrust.org/cgi/pt?id=uiug.30112058522902;view=1up;seq=175</v>
      </c>
      <c r="U949" s="27" t="s">
        <v>2570</v>
      </c>
    </row>
    <row r="950" spans="1:21" x14ac:dyDescent="0.25">
      <c r="A950" s="27" t="s">
        <v>1483</v>
      </c>
      <c r="B950" s="27" t="str">
        <f t="shared" si="62"/>
        <v>Texas</v>
      </c>
      <c r="C950" s="27" t="str">
        <f t="shared" si="63"/>
        <v>Jackson</v>
      </c>
      <c r="D950" s="7">
        <f>'TX post'!D120</f>
        <v>1469</v>
      </c>
      <c r="E950" s="2">
        <f>'TX post'!E120</f>
        <v>75</v>
      </c>
      <c r="F950" s="26">
        <v>126.11</v>
      </c>
      <c r="G950" s="2">
        <f>'TX post'!I120</f>
        <v>2549</v>
      </c>
      <c r="H950" s="88">
        <f>'TX post'!M120</f>
        <v>124.82857142857142</v>
      </c>
      <c r="I950" s="29">
        <f>'TX post'!P120</f>
        <v>100951.85</v>
      </c>
      <c r="J950" s="27">
        <v>37</v>
      </c>
      <c r="K950" s="29">
        <f>'TX post'!R120</f>
        <v>173600</v>
      </c>
      <c r="L950" s="41">
        <v>1922</v>
      </c>
      <c r="N950" s="27" t="str">
        <f t="shared" si="64"/>
        <v>https://ia601500.us.archive.org/33/items/tx192224/1922-24%2c%20selected%20pages%20%28pp.%20192-93%20clipped%29.pdf</v>
      </c>
      <c r="O950" s="27" t="s">
        <v>1973</v>
      </c>
      <c r="P950" s="27" t="s">
        <v>559</v>
      </c>
      <c r="Q950" s="27" t="s">
        <v>2570</v>
      </c>
      <c r="R950" s="27" t="s">
        <v>562</v>
      </c>
      <c r="S950" s="27" t="str">
        <f t="shared" si="65"/>
        <v>https://ia601505.us.archive.org/29/items/tx192426/1924-26.pdf</v>
      </c>
      <c r="T950" s="27" t="str">
        <f t="shared" si="66"/>
        <v>https://babel.hathitrust.org/cgi/pt?id=uiug.30112058522902;view=1up;seq=175</v>
      </c>
      <c r="U950" s="27" t="s">
        <v>2570</v>
      </c>
    </row>
    <row r="951" spans="1:21" x14ac:dyDescent="0.25">
      <c r="A951" s="27" t="s">
        <v>1484</v>
      </c>
      <c r="B951" s="27" t="str">
        <f t="shared" si="62"/>
        <v>Texas</v>
      </c>
      <c r="C951" s="27" t="str">
        <f t="shared" si="63"/>
        <v>Jasper</v>
      </c>
      <c r="D951" s="7">
        <f>'TX post'!D121</f>
        <v>34233</v>
      </c>
      <c r="E951" s="2">
        <f>'TX post'!E121</f>
        <v>134</v>
      </c>
      <c r="F951" s="26">
        <v>147</v>
      </c>
      <c r="G951" s="2">
        <f>'TX post'!I121</f>
        <v>4944</v>
      </c>
      <c r="H951" s="88">
        <f>'TX post'!M121</f>
        <v>111.23238095238095</v>
      </c>
      <c r="I951" s="29">
        <f>'TX post'!P121</f>
        <v>168978.1</v>
      </c>
      <c r="J951" s="27">
        <v>41</v>
      </c>
      <c r="K951" s="29">
        <f>'TX post'!R121</f>
        <v>75298</v>
      </c>
      <c r="L951" s="41">
        <v>1922</v>
      </c>
      <c r="N951" s="27" t="str">
        <f t="shared" si="64"/>
        <v>https://ia601500.us.archive.org/33/items/tx192224/1922-24%2c%20selected%20pages%20%28pp.%20192-93%20clipped%29.pdf</v>
      </c>
      <c r="O951" s="27" t="s">
        <v>1973</v>
      </c>
      <c r="P951" s="27" t="s">
        <v>559</v>
      </c>
      <c r="Q951" s="27" t="s">
        <v>2570</v>
      </c>
      <c r="R951" s="27" t="s">
        <v>562</v>
      </c>
      <c r="S951" s="27" t="str">
        <f t="shared" si="65"/>
        <v>https://ia601505.us.archive.org/29/items/tx192426/1924-26.pdf</v>
      </c>
      <c r="T951" s="27" t="str">
        <f t="shared" si="66"/>
        <v>https://babel.hathitrust.org/cgi/pt?id=uiug.30112058522902;view=1up;seq=175</v>
      </c>
      <c r="U951" s="27" t="s">
        <v>2570</v>
      </c>
    </row>
    <row r="952" spans="1:21" x14ac:dyDescent="0.25">
      <c r="A952" s="27" t="s">
        <v>1485</v>
      </c>
      <c r="B952" s="27" t="str">
        <f t="shared" si="62"/>
        <v>Texas</v>
      </c>
      <c r="C952" s="27" t="str">
        <f t="shared" si="63"/>
        <v>Jeff Davis</v>
      </c>
      <c r="D952" s="7">
        <f>'TX post'!D122</f>
        <v>240</v>
      </c>
      <c r="E952" s="2">
        <f>'TX post'!E122</f>
        <v>14</v>
      </c>
      <c r="F952" s="26">
        <v>170</v>
      </c>
      <c r="G952" s="2">
        <f>'TX post'!I122</f>
        <v>273</v>
      </c>
      <c r="H952" s="88">
        <f>'TX post'!M122</f>
        <v>97.361176470588248</v>
      </c>
      <c r="I952" s="29">
        <f>'TX post'!P122</f>
        <v>20122.63</v>
      </c>
      <c r="J952" s="27">
        <v>6</v>
      </c>
      <c r="K952" s="29">
        <f>'TX post'!R122</f>
        <v>16350</v>
      </c>
      <c r="L952" s="41">
        <v>1922</v>
      </c>
      <c r="N952" s="27" t="str">
        <f t="shared" si="64"/>
        <v>https://ia601500.us.archive.org/33/items/tx192224/1922-24%2c%20selected%20pages%20%28pp.%20192-93%20clipped%29.pdf</v>
      </c>
      <c r="O952" s="27" t="s">
        <v>1973</v>
      </c>
      <c r="P952" s="27" t="s">
        <v>559</v>
      </c>
      <c r="Q952" s="27" t="s">
        <v>2570</v>
      </c>
      <c r="R952" s="27" t="s">
        <v>562</v>
      </c>
      <c r="S952" s="27" t="str">
        <f t="shared" si="65"/>
        <v>https://ia601505.us.archive.org/29/items/tx192426/1924-26.pdf</v>
      </c>
      <c r="T952" s="27" t="str">
        <f t="shared" si="66"/>
        <v>https://babel.hathitrust.org/cgi/pt?id=uiug.30112058522902;view=1up;seq=175</v>
      </c>
      <c r="U952" s="27" t="s">
        <v>2570</v>
      </c>
    </row>
    <row r="953" spans="1:21" x14ac:dyDescent="0.25">
      <c r="A953" s="27" t="s">
        <v>1486</v>
      </c>
      <c r="B953" s="27" t="str">
        <f t="shared" si="62"/>
        <v>Texas</v>
      </c>
      <c r="C953" s="27" t="str">
        <f t="shared" si="63"/>
        <v>Jefferson</v>
      </c>
      <c r="D953" s="7">
        <f>'TX post'!D123</f>
        <v>15167</v>
      </c>
      <c r="E953" s="2">
        <f>'TX post'!E123</f>
        <v>445</v>
      </c>
      <c r="F953" s="26">
        <v>176.46</v>
      </c>
      <c r="G953" s="2">
        <f>'TX post'!I123</f>
        <v>17041</v>
      </c>
      <c r="H953" s="88">
        <f>'TX post'!M123</f>
        <v>146.48522727272726</v>
      </c>
      <c r="I953" s="29">
        <f>'TX post'!P123</f>
        <v>1261764.23</v>
      </c>
      <c r="J953" s="27">
        <v>17</v>
      </c>
      <c r="K953" s="29">
        <f>'TX post'!R123</f>
        <v>261208</v>
      </c>
      <c r="L953" s="41">
        <v>1922</v>
      </c>
      <c r="N953" s="27" t="str">
        <f t="shared" si="64"/>
        <v>https://ia601500.us.archive.org/33/items/tx192224/1922-24%2c%20selected%20pages%20%28pp.%20192-93%20clipped%29.pdf</v>
      </c>
      <c r="O953" s="27" t="s">
        <v>1973</v>
      </c>
      <c r="P953" s="27" t="s">
        <v>559</v>
      </c>
      <c r="Q953" s="27" t="s">
        <v>2570</v>
      </c>
      <c r="R953" s="27" t="s">
        <v>562</v>
      </c>
      <c r="S953" s="27" t="str">
        <f t="shared" si="65"/>
        <v>https://ia601505.us.archive.org/29/items/tx192426/1924-26.pdf</v>
      </c>
      <c r="T953" s="27" t="str">
        <f t="shared" si="66"/>
        <v>https://babel.hathitrust.org/cgi/pt?id=uiug.30112058522902;view=1up;seq=175</v>
      </c>
      <c r="U953" s="27" t="s">
        <v>2570</v>
      </c>
    </row>
    <row r="954" spans="1:21" x14ac:dyDescent="0.25">
      <c r="A954" s="27" t="s">
        <v>1487</v>
      </c>
      <c r="B954" s="27" t="str">
        <f t="shared" si="62"/>
        <v>Texas</v>
      </c>
      <c r="C954" s="27" t="str">
        <f t="shared" si="63"/>
        <v>Jim Hogg</v>
      </c>
      <c r="D954" s="7">
        <f>'TX post'!D124</f>
        <v>257</v>
      </c>
      <c r="E954" s="2">
        <f>'TX post'!E124</f>
        <v>15</v>
      </c>
      <c r="F954" s="26">
        <v>134</v>
      </c>
      <c r="G954" s="2">
        <f>'TX post'!I124</f>
        <v>356</v>
      </c>
      <c r="H954" s="88">
        <f>'TX post'!M124</f>
        <v>121.30597014925372</v>
      </c>
      <c r="I954" s="29">
        <f>'TX post'!P124</f>
        <v>18055.57</v>
      </c>
      <c r="J954" s="27">
        <v>10</v>
      </c>
      <c r="K954" s="29">
        <f>'TX post'!R124</f>
        <v>150</v>
      </c>
      <c r="L954" s="41">
        <v>1922</v>
      </c>
      <c r="N954" s="27" t="str">
        <f t="shared" si="64"/>
        <v>https://ia601500.us.archive.org/33/items/tx192224/1922-24%2c%20selected%20pages%20%28pp.%20192-93%20clipped%29.pdf</v>
      </c>
      <c r="O954" s="27" t="s">
        <v>1973</v>
      </c>
      <c r="P954" s="27" t="s">
        <v>559</v>
      </c>
      <c r="Q954" s="27" t="s">
        <v>2570</v>
      </c>
      <c r="R954" s="27" t="s">
        <v>562</v>
      </c>
      <c r="S954" s="27" t="str">
        <f t="shared" si="65"/>
        <v>https://ia601505.us.archive.org/29/items/tx192426/1924-26.pdf</v>
      </c>
      <c r="T954" s="27" t="str">
        <f t="shared" si="66"/>
        <v>https://babel.hathitrust.org/cgi/pt?id=uiug.30112058522902;view=1up;seq=175</v>
      </c>
      <c r="U954" s="27" t="s">
        <v>2570</v>
      </c>
    </row>
    <row r="955" spans="1:21" x14ac:dyDescent="0.25">
      <c r="A955" s="27" t="s">
        <v>1488</v>
      </c>
      <c r="B955" s="27" t="str">
        <f t="shared" si="62"/>
        <v>Texas</v>
      </c>
      <c r="C955" s="27" t="str">
        <f t="shared" si="63"/>
        <v>Jim Wells</v>
      </c>
      <c r="D955" s="7">
        <f>'TX post'!D125</f>
        <v>1571</v>
      </c>
      <c r="E955" s="2">
        <f>'TX post'!E125</f>
        <v>59</v>
      </c>
      <c r="F955" s="26">
        <v>146.55000000000001</v>
      </c>
      <c r="G955" s="2">
        <f>'TX post'!I125</f>
        <v>1956</v>
      </c>
      <c r="H955" s="88">
        <f>'TX post'!M125</f>
        <v>106.48027210884354</v>
      </c>
      <c r="I955" s="29">
        <f>'TX post'!P125</f>
        <v>76911.42</v>
      </c>
      <c r="J955" s="27">
        <v>16</v>
      </c>
      <c r="K955" s="29">
        <f>'TX post'!R125</f>
        <v>48000</v>
      </c>
      <c r="L955" s="41">
        <v>1922</v>
      </c>
      <c r="N955" s="27" t="str">
        <f t="shared" si="64"/>
        <v>https://ia601500.us.archive.org/33/items/tx192224/1922-24%2c%20selected%20pages%20%28pp.%20192-93%20clipped%29.pdf</v>
      </c>
      <c r="O955" s="27" t="s">
        <v>1973</v>
      </c>
      <c r="P955" s="27" t="s">
        <v>559</v>
      </c>
      <c r="Q955" s="27" t="s">
        <v>2570</v>
      </c>
      <c r="R955" s="27" t="s">
        <v>562</v>
      </c>
      <c r="S955" s="27" t="str">
        <f t="shared" si="65"/>
        <v>https://ia601505.us.archive.org/29/items/tx192426/1924-26.pdf</v>
      </c>
      <c r="T955" s="27" t="str">
        <f t="shared" si="66"/>
        <v>https://babel.hathitrust.org/cgi/pt?id=uiug.30112058522902;view=1up;seq=175</v>
      </c>
      <c r="U955" s="27" t="s">
        <v>2570</v>
      </c>
    </row>
    <row r="956" spans="1:21" x14ac:dyDescent="0.25">
      <c r="A956" s="27" t="s">
        <v>1489</v>
      </c>
      <c r="B956" s="27" t="str">
        <f t="shared" si="62"/>
        <v>Texas</v>
      </c>
      <c r="C956" s="27" t="str">
        <f t="shared" si="63"/>
        <v>Johnson</v>
      </c>
      <c r="D956" s="7">
        <f>'TX post'!D126</f>
        <v>4950</v>
      </c>
      <c r="E956" s="2">
        <f>'TX post'!E126</f>
        <v>301</v>
      </c>
      <c r="F956" s="26">
        <v>118.54</v>
      </c>
      <c r="G956" s="2">
        <f>'TX post'!I126</f>
        <v>11357</v>
      </c>
      <c r="H956" s="88">
        <f>'TX post'!M126</f>
        <v>138.09075630252102</v>
      </c>
      <c r="I956" s="29">
        <f>'TX post'!P126</f>
        <v>363491.73</v>
      </c>
      <c r="J956" s="27">
        <v>48</v>
      </c>
      <c r="K956" s="29"/>
      <c r="L956" s="41">
        <v>1922</v>
      </c>
      <c r="N956" s="27" t="str">
        <f t="shared" si="64"/>
        <v>https://ia601500.us.archive.org/33/items/tx192224/1922-24%2c%20selected%20pages%20%28pp.%20192-93%20clipped%29.pdf</v>
      </c>
      <c r="O956" s="27" t="s">
        <v>1973</v>
      </c>
      <c r="P956" s="27" t="s">
        <v>559</v>
      </c>
      <c r="Q956" s="27" t="s">
        <v>2570</v>
      </c>
      <c r="R956" s="27" t="s">
        <v>562</v>
      </c>
      <c r="S956" s="27" t="str">
        <f t="shared" si="65"/>
        <v>https://ia601505.us.archive.org/29/items/tx192426/1924-26.pdf</v>
      </c>
      <c r="T956" s="27" t="str">
        <f t="shared" si="66"/>
        <v>https://babel.hathitrust.org/cgi/pt?id=uiug.30112058522902;view=1up;seq=175</v>
      </c>
      <c r="U956" s="27" t="s">
        <v>2570</v>
      </c>
    </row>
    <row r="957" spans="1:21" x14ac:dyDescent="0.25">
      <c r="A957" s="27" t="s">
        <v>1490</v>
      </c>
      <c r="B957" s="27" t="str">
        <f t="shared" si="62"/>
        <v>Texas</v>
      </c>
      <c r="C957" s="27" t="str">
        <f t="shared" si="63"/>
        <v>Jones</v>
      </c>
      <c r="D957" s="7">
        <f>'TX post'!D127</f>
        <v>4462</v>
      </c>
      <c r="E957" s="2">
        <f>'TX post'!E127</f>
        <v>193</v>
      </c>
      <c r="F957" s="26">
        <v>120.4</v>
      </c>
      <c r="G957" s="2">
        <f>'TX post'!I127</f>
        <v>7141</v>
      </c>
      <c r="H957" s="88">
        <f>'TX post'!M127</f>
        <v>131.10999999999999</v>
      </c>
      <c r="I957" s="29">
        <f>'TX post'!P127</f>
        <v>250672.89</v>
      </c>
      <c r="J957" s="27">
        <v>50</v>
      </c>
      <c r="K957" s="29">
        <f>'TX post'!R127</f>
        <v>272800</v>
      </c>
      <c r="L957" s="41">
        <v>1922</v>
      </c>
      <c r="N957" s="27" t="str">
        <f t="shared" si="64"/>
        <v>https://ia601500.us.archive.org/33/items/tx192224/1922-24%2c%20selected%20pages%20%28pp.%20192-93%20clipped%29.pdf</v>
      </c>
      <c r="O957" s="27" t="s">
        <v>1973</v>
      </c>
      <c r="P957" s="27" t="s">
        <v>559</v>
      </c>
      <c r="Q957" s="27" t="s">
        <v>2570</v>
      </c>
      <c r="R957" s="27" t="s">
        <v>562</v>
      </c>
      <c r="S957" s="27" t="str">
        <f t="shared" si="65"/>
        <v>https://ia601505.us.archive.org/29/items/tx192426/1924-26.pdf</v>
      </c>
      <c r="T957" s="27" t="str">
        <f t="shared" si="66"/>
        <v>https://babel.hathitrust.org/cgi/pt?id=uiug.30112058522902;view=1up;seq=175</v>
      </c>
      <c r="U957" s="27" t="s">
        <v>2570</v>
      </c>
    </row>
    <row r="958" spans="1:21" x14ac:dyDescent="0.25">
      <c r="A958" s="27" t="s">
        <v>1491</v>
      </c>
      <c r="B958" s="27" t="str">
        <f t="shared" si="62"/>
        <v>Texas</v>
      </c>
      <c r="C958" s="27" t="str">
        <f t="shared" si="63"/>
        <v>Karnes</v>
      </c>
      <c r="D958" s="7">
        <f>'TX post'!D128</f>
        <v>2472</v>
      </c>
      <c r="E958" s="2">
        <f>'TX post'!E128</f>
        <v>106</v>
      </c>
      <c r="F958" s="26">
        <v>145.85</v>
      </c>
      <c r="G958" s="2">
        <f>'TX post'!I128</f>
        <v>3527</v>
      </c>
      <c r="H958" s="88">
        <f>'TX post'!M128</f>
        <v>116.83150684931508</v>
      </c>
      <c r="I958" s="29">
        <f>'TX post'!P128</f>
        <v>160818.79</v>
      </c>
      <c r="J958" s="27">
        <v>42</v>
      </c>
      <c r="K958" s="29">
        <f>'TX post'!R128</f>
        <v>89192</v>
      </c>
      <c r="L958" s="41">
        <v>1922</v>
      </c>
      <c r="N958" s="27" t="str">
        <f t="shared" si="64"/>
        <v>https://ia601500.us.archive.org/33/items/tx192224/1922-24%2c%20selected%20pages%20%28pp.%20192-93%20clipped%29.pdf</v>
      </c>
      <c r="O958" s="27" t="s">
        <v>1973</v>
      </c>
      <c r="P958" s="27" t="s">
        <v>559</v>
      </c>
      <c r="Q958" s="27" t="s">
        <v>2570</v>
      </c>
      <c r="R958" s="27" t="s">
        <v>562</v>
      </c>
      <c r="S958" s="27" t="str">
        <f t="shared" si="65"/>
        <v>https://ia601505.us.archive.org/29/items/tx192426/1924-26.pdf</v>
      </c>
      <c r="T958" s="27" t="str">
        <f t="shared" si="66"/>
        <v>https://babel.hathitrust.org/cgi/pt?id=uiug.30112058522902;view=1up;seq=175</v>
      </c>
      <c r="U958" s="27" t="s">
        <v>2570</v>
      </c>
    </row>
    <row r="959" spans="1:21" x14ac:dyDescent="0.25">
      <c r="A959" s="27" t="s">
        <v>1492</v>
      </c>
      <c r="B959" s="27" t="str">
        <f t="shared" si="62"/>
        <v>Texas</v>
      </c>
      <c r="C959" s="27" t="str">
        <f t="shared" si="63"/>
        <v>Kaufman</v>
      </c>
      <c r="D959" s="7">
        <f>'TX post'!D129</f>
        <v>7763</v>
      </c>
      <c r="E959" s="2">
        <f>'TX post'!E129</f>
        <v>324</v>
      </c>
      <c r="F959" s="26">
        <v>129.76</v>
      </c>
      <c r="G959" s="2">
        <f>'TX post'!I129</f>
        <v>14164</v>
      </c>
      <c r="H959" s="88">
        <f>'TX post'!M129</f>
        <v>115.47230769230769</v>
      </c>
      <c r="I959" s="29">
        <f>'TX post'!P129</f>
        <v>334679.06</v>
      </c>
      <c r="J959" s="27">
        <v>98</v>
      </c>
      <c r="K959" s="29">
        <f>'TX post'!R129</f>
        <v>338075</v>
      </c>
      <c r="L959" s="41">
        <v>1922</v>
      </c>
      <c r="N959" s="27" t="str">
        <f t="shared" si="64"/>
        <v>https://ia601500.us.archive.org/33/items/tx192224/1922-24%2c%20selected%20pages%20%28pp.%20192-93%20clipped%29.pdf</v>
      </c>
      <c r="O959" s="27" t="s">
        <v>1973</v>
      </c>
      <c r="P959" s="27" t="s">
        <v>559</v>
      </c>
      <c r="Q959" s="27" t="s">
        <v>2570</v>
      </c>
      <c r="R959" s="27" t="s">
        <v>562</v>
      </c>
      <c r="S959" s="27" t="str">
        <f t="shared" si="65"/>
        <v>https://ia601505.us.archive.org/29/items/tx192426/1924-26.pdf</v>
      </c>
      <c r="T959" s="27" t="str">
        <f t="shared" si="66"/>
        <v>https://babel.hathitrust.org/cgi/pt?id=uiug.30112058522902;view=1up;seq=175</v>
      </c>
      <c r="U959" s="27" t="s">
        <v>2570</v>
      </c>
    </row>
    <row r="960" spans="1:21" x14ac:dyDescent="0.25">
      <c r="A960" s="27" t="s">
        <v>1493</v>
      </c>
      <c r="B960" s="27" t="str">
        <f t="shared" ref="B960:B1023" si="67">LEFT(A960,FIND(";",A960)-1)</f>
        <v>Texas</v>
      </c>
      <c r="C960" s="27" t="str">
        <f t="shared" ref="C960:C1023" si="68">MID(A960,FIND(";",A960)+1,100)</f>
        <v>Kendall</v>
      </c>
      <c r="D960" s="7">
        <f>'TX post'!D130</f>
        <v>740</v>
      </c>
      <c r="E960" s="2">
        <f>'TX post'!E130</f>
        <v>32</v>
      </c>
      <c r="F960" s="26">
        <v>176.17</v>
      </c>
      <c r="G960" s="2">
        <f>'TX post'!I130</f>
        <v>937</v>
      </c>
      <c r="H960" s="88">
        <f>'TX post'!M130</f>
        <v>92.755681818181813</v>
      </c>
      <c r="I960" s="29">
        <f>'TX post'!P130</f>
        <v>33520.39</v>
      </c>
      <c r="J960" s="27">
        <v>17</v>
      </c>
      <c r="K960" s="29">
        <f>'TX post'!R130</f>
        <v>3230</v>
      </c>
      <c r="L960" s="41">
        <v>1922</v>
      </c>
      <c r="N960" s="27" t="str">
        <f t="shared" si="64"/>
        <v>https://ia601500.us.archive.org/33/items/tx192224/1922-24%2c%20selected%20pages%20%28pp.%20192-93%20clipped%29.pdf</v>
      </c>
      <c r="O960" s="27" t="s">
        <v>1973</v>
      </c>
      <c r="P960" s="27" t="s">
        <v>559</v>
      </c>
      <c r="Q960" s="27" t="s">
        <v>2570</v>
      </c>
      <c r="R960" s="27" t="s">
        <v>562</v>
      </c>
      <c r="S960" s="27" t="str">
        <f t="shared" si="65"/>
        <v>https://ia601505.us.archive.org/29/items/tx192426/1924-26.pdf</v>
      </c>
      <c r="T960" s="27" t="str">
        <f t="shared" si="66"/>
        <v>https://babel.hathitrust.org/cgi/pt?id=uiug.30112058522902;view=1up;seq=175</v>
      </c>
      <c r="U960" s="27" t="s">
        <v>2570</v>
      </c>
    </row>
    <row r="961" spans="1:21" x14ac:dyDescent="0.25">
      <c r="A961" s="27" t="s">
        <v>1494</v>
      </c>
      <c r="B961" s="27" t="str">
        <f t="shared" si="67"/>
        <v>Texas</v>
      </c>
      <c r="C961" s="27" t="str">
        <f t="shared" si="68"/>
        <v>Kenedy</v>
      </c>
      <c r="D961" s="7">
        <f>'TX post'!D131</f>
        <v>89</v>
      </c>
      <c r="E961" s="2">
        <f>'TX post'!E131</f>
        <v>6</v>
      </c>
      <c r="F961" s="26">
        <v>136.66</v>
      </c>
      <c r="G961" s="2">
        <f>'TX post'!I131</f>
        <v>164</v>
      </c>
      <c r="H961" s="88">
        <f>'TX post'!M131</f>
        <v>88.394160583941613</v>
      </c>
      <c r="I961" s="29">
        <f>'TX post'!P131</f>
        <v>3107.02</v>
      </c>
      <c r="J961" s="27">
        <v>6</v>
      </c>
      <c r="K961" s="29">
        <f>'TX post'!R131</f>
        <v>6200</v>
      </c>
      <c r="L961" s="41">
        <v>1922</v>
      </c>
      <c r="N961" s="27" t="str">
        <f t="shared" si="64"/>
        <v>https://ia601500.us.archive.org/33/items/tx192224/1922-24%2c%20selected%20pages%20%28pp.%20192-93%20clipped%29.pdf</v>
      </c>
      <c r="O961" s="27" t="s">
        <v>1973</v>
      </c>
      <c r="P961" s="27" t="s">
        <v>559</v>
      </c>
      <c r="Q961" s="27" t="s">
        <v>2570</v>
      </c>
      <c r="R961" s="27" t="s">
        <v>562</v>
      </c>
      <c r="S961" s="27" t="str">
        <f t="shared" si="65"/>
        <v>https://ia601505.us.archive.org/29/items/tx192426/1924-26.pdf</v>
      </c>
      <c r="T961" s="27" t="str">
        <f t="shared" si="66"/>
        <v>https://babel.hathitrust.org/cgi/pt?id=uiug.30112058522902;view=1up;seq=175</v>
      </c>
      <c r="U961" s="27" t="s">
        <v>2570</v>
      </c>
    </row>
    <row r="962" spans="1:21" x14ac:dyDescent="0.25">
      <c r="A962" s="27" t="s">
        <v>1495</v>
      </c>
      <c r="B962" s="27" t="str">
        <f t="shared" si="67"/>
        <v>Texas</v>
      </c>
      <c r="C962" s="27" t="str">
        <f t="shared" si="68"/>
        <v>Kent</v>
      </c>
      <c r="D962" s="7">
        <f>'TX post'!D132</f>
        <v>711</v>
      </c>
      <c r="E962" s="2">
        <f>'TX post'!E132</f>
        <v>38</v>
      </c>
      <c r="F962" s="26">
        <v>118.43</v>
      </c>
      <c r="G962" s="2">
        <f>'TX post'!I132</f>
        <v>1128</v>
      </c>
      <c r="H962" s="88">
        <f>'TX post'!M132</f>
        <v>123.43728813559321</v>
      </c>
      <c r="I962" s="29">
        <f>'TX post'!P132</f>
        <v>47577.81</v>
      </c>
      <c r="J962" s="27">
        <v>16</v>
      </c>
      <c r="K962" s="29">
        <f>'TX post'!R132</f>
        <v>34100</v>
      </c>
      <c r="L962" s="41">
        <v>1922</v>
      </c>
      <c r="N962" s="27" t="str">
        <f t="shared" ref="N962:N1025" si="69">N961</f>
        <v>https://ia601500.us.archive.org/33/items/tx192224/1922-24%2c%20selected%20pages%20%28pp.%20192-93%20clipped%29.pdf</v>
      </c>
      <c r="O962" s="27" t="s">
        <v>1973</v>
      </c>
      <c r="P962" s="27" t="s">
        <v>559</v>
      </c>
      <c r="Q962" s="27" t="s">
        <v>2570</v>
      </c>
      <c r="R962" s="27" t="s">
        <v>562</v>
      </c>
      <c r="S962" s="27" t="str">
        <f t="shared" ref="S962:S1025" si="70">S961</f>
        <v>https://ia601505.us.archive.org/29/items/tx192426/1924-26.pdf</v>
      </c>
      <c r="T962" s="27" t="str">
        <f t="shared" ref="T962:T1025" si="71">T961</f>
        <v>https://babel.hathitrust.org/cgi/pt?id=uiug.30112058522902;view=1up;seq=175</v>
      </c>
      <c r="U962" s="27" t="s">
        <v>2570</v>
      </c>
    </row>
    <row r="963" spans="1:21" x14ac:dyDescent="0.25">
      <c r="A963" s="27" t="s">
        <v>1496</v>
      </c>
      <c r="B963" s="27" t="str">
        <f t="shared" si="67"/>
        <v>Texas</v>
      </c>
      <c r="C963" s="27" t="str">
        <f t="shared" si="68"/>
        <v>Kerr</v>
      </c>
      <c r="D963" s="7">
        <f>'TX post'!D133</f>
        <v>919</v>
      </c>
      <c r="E963" s="2">
        <f>'TX post'!E133</f>
        <v>39</v>
      </c>
      <c r="F963" s="26">
        <v>161.53</v>
      </c>
      <c r="G963" s="2">
        <f>'TX post'!I133</f>
        <v>1242</v>
      </c>
      <c r="H963" s="88">
        <f>'TX post'!M133</f>
        <v>109.03703703703705</v>
      </c>
      <c r="I963" s="29">
        <f>'TX post'!P133</f>
        <v>52366.65</v>
      </c>
      <c r="J963" s="27">
        <v>13</v>
      </c>
      <c r="K963" s="29">
        <f>'TX post'!R133</f>
        <v>13900</v>
      </c>
      <c r="L963" s="41">
        <v>1922</v>
      </c>
      <c r="N963" s="27" t="str">
        <f t="shared" si="69"/>
        <v>https://ia601500.us.archive.org/33/items/tx192224/1922-24%2c%20selected%20pages%20%28pp.%20192-93%20clipped%29.pdf</v>
      </c>
      <c r="O963" s="27" t="s">
        <v>1973</v>
      </c>
      <c r="P963" s="27" t="s">
        <v>559</v>
      </c>
      <c r="Q963" s="27" t="s">
        <v>2570</v>
      </c>
      <c r="R963" s="27" t="s">
        <v>562</v>
      </c>
      <c r="S963" s="27" t="str">
        <f t="shared" si="70"/>
        <v>https://ia601505.us.archive.org/29/items/tx192426/1924-26.pdf</v>
      </c>
      <c r="T963" s="27" t="str">
        <f t="shared" si="71"/>
        <v>https://babel.hathitrust.org/cgi/pt?id=uiug.30112058522902;view=1up;seq=175</v>
      </c>
      <c r="U963" s="27" t="s">
        <v>2570</v>
      </c>
    </row>
    <row r="964" spans="1:21" x14ac:dyDescent="0.25">
      <c r="A964" s="27" t="s">
        <v>1497</v>
      </c>
      <c r="B964" s="27" t="str">
        <f t="shared" si="67"/>
        <v>Texas</v>
      </c>
      <c r="C964" s="27" t="str">
        <f t="shared" si="68"/>
        <v>Kimble</v>
      </c>
      <c r="D964" s="7">
        <f>'TX post'!D134</f>
        <v>516</v>
      </c>
      <c r="E964" s="2">
        <f>'TX post'!E134</f>
        <v>32</v>
      </c>
      <c r="F964" s="26">
        <v>154.94999999999999</v>
      </c>
      <c r="G964" s="2">
        <f>'TX post'!I134</f>
        <v>735</v>
      </c>
      <c r="H964" s="88">
        <f>'TX post'!M134</f>
        <v>109.6774193548387</v>
      </c>
      <c r="I964" s="29">
        <f>'TX post'!P134</f>
        <v>34743.53</v>
      </c>
      <c r="J964" s="27">
        <v>20</v>
      </c>
      <c r="K964" s="29">
        <f>'TX post'!R134</f>
        <v>23000</v>
      </c>
      <c r="L964" s="41">
        <v>1922</v>
      </c>
      <c r="N964" s="27" t="str">
        <f t="shared" si="69"/>
        <v>https://ia601500.us.archive.org/33/items/tx192224/1922-24%2c%20selected%20pages%20%28pp.%20192-93%20clipped%29.pdf</v>
      </c>
      <c r="O964" s="27" t="s">
        <v>1973</v>
      </c>
      <c r="P964" s="27" t="s">
        <v>559</v>
      </c>
      <c r="Q964" s="27" t="s">
        <v>2570</v>
      </c>
      <c r="R964" s="27" t="s">
        <v>562</v>
      </c>
      <c r="S964" s="27" t="str">
        <f t="shared" si="70"/>
        <v>https://ia601505.us.archive.org/29/items/tx192426/1924-26.pdf</v>
      </c>
      <c r="T964" s="27" t="str">
        <f t="shared" si="71"/>
        <v>https://babel.hathitrust.org/cgi/pt?id=uiug.30112058522902;view=1up;seq=175</v>
      </c>
      <c r="U964" s="27" t="s">
        <v>2570</v>
      </c>
    </row>
    <row r="965" spans="1:21" x14ac:dyDescent="0.25">
      <c r="A965" s="27" t="s">
        <v>1498</v>
      </c>
      <c r="B965" s="27" t="str">
        <f t="shared" si="67"/>
        <v>Texas</v>
      </c>
      <c r="C965" s="27" t="str">
        <f t="shared" si="68"/>
        <v>King</v>
      </c>
      <c r="D965" s="7">
        <f>'TX post'!D135</f>
        <v>187</v>
      </c>
      <c r="E965" s="2">
        <f>'TX post'!E135</f>
        <v>14</v>
      </c>
      <c r="F965" s="26">
        <v>138.88</v>
      </c>
      <c r="G965" s="2">
        <f>'TX post'!I135</f>
        <v>354</v>
      </c>
      <c r="H965" s="88">
        <f>'TX post'!M135</f>
        <v>107.0705035971223</v>
      </c>
      <c r="I965" s="29">
        <f>'TX post'!P135</f>
        <v>17041.080000000002</v>
      </c>
      <c r="J965" s="27">
        <v>9</v>
      </c>
      <c r="K965" s="29">
        <f>'TX post'!R135</f>
        <v>7400</v>
      </c>
      <c r="L965" s="41">
        <v>1922</v>
      </c>
      <c r="N965" s="27" t="str">
        <f t="shared" si="69"/>
        <v>https://ia601500.us.archive.org/33/items/tx192224/1922-24%2c%20selected%20pages%20%28pp.%20192-93%20clipped%29.pdf</v>
      </c>
      <c r="O965" s="27" t="s">
        <v>1973</v>
      </c>
      <c r="P965" s="27" t="s">
        <v>559</v>
      </c>
      <c r="Q965" s="27" t="s">
        <v>2570</v>
      </c>
      <c r="R965" s="27" t="s">
        <v>562</v>
      </c>
      <c r="S965" s="27" t="str">
        <f t="shared" si="70"/>
        <v>https://ia601505.us.archive.org/29/items/tx192426/1924-26.pdf</v>
      </c>
      <c r="T965" s="27" t="str">
        <f t="shared" si="71"/>
        <v>https://babel.hathitrust.org/cgi/pt?id=uiug.30112058522902;view=1up;seq=175</v>
      </c>
      <c r="U965" s="27" t="s">
        <v>2570</v>
      </c>
    </row>
    <row r="966" spans="1:21" x14ac:dyDescent="0.25">
      <c r="A966" s="27" t="s">
        <v>1499</v>
      </c>
      <c r="B966" s="27" t="str">
        <f t="shared" si="67"/>
        <v>Texas</v>
      </c>
      <c r="C966" s="27" t="str">
        <f t="shared" si="68"/>
        <v>Kinney</v>
      </c>
      <c r="D966" s="7">
        <f>'TX post'!D136</f>
        <v>476</v>
      </c>
      <c r="E966" s="2">
        <f>'TX post'!E136</f>
        <v>21</v>
      </c>
      <c r="F966" s="26">
        <v>180</v>
      </c>
      <c r="G966" s="2">
        <f>'TX post'!I136</f>
        <v>639</v>
      </c>
      <c r="H966" s="88">
        <f>'TX post'!M136</f>
        <v>93.808888888888887</v>
      </c>
      <c r="I966" s="29">
        <f>'TX post'!P136</f>
        <v>26079.95</v>
      </c>
      <c r="J966" s="27">
        <v>3</v>
      </c>
      <c r="K966" s="29">
        <f>'TX post'!R136</f>
        <v>7717</v>
      </c>
      <c r="L966" s="41">
        <v>1922</v>
      </c>
      <c r="N966" s="27" t="str">
        <f t="shared" si="69"/>
        <v>https://ia601500.us.archive.org/33/items/tx192224/1922-24%2c%20selected%20pages%20%28pp.%20192-93%20clipped%29.pdf</v>
      </c>
      <c r="O966" s="27" t="s">
        <v>1973</v>
      </c>
      <c r="P966" s="27" t="s">
        <v>559</v>
      </c>
      <c r="Q966" s="27" t="s">
        <v>2570</v>
      </c>
      <c r="R966" s="27" t="s">
        <v>562</v>
      </c>
      <c r="S966" s="27" t="str">
        <f t="shared" si="70"/>
        <v>https://ia601505.us.archive.org/29/items/tx192426/1924-26.pdf</v>
      </c>
      <c r="T966" s="27" t="str">
        <f t="shared" si="71"/>
        <v>https://babel.hathitrust.org/cgi/pt?id=uiug.30112058522902;view=1up;seq=175</v>
      </c>
      <c r="U966" s="27" t="s">
        <v>2570</v>
      </c>
    </row>
    <row r="967" spans="1:21" x14ac:dyDescent="0.25">
      <c r="A967" s="27" t="s">
        <v>1500</v>
      </c>
      <c r="B967" s="27" t="str">
        <f t="shared" si="67"/>
        <v>Texas</v>
      </c>
      <c r="C967" s="27" t="str">
        <f t="shared" si="68"/>
        <v>Kleberg</v>
      </c>
      <c r="D967" s="7">
        <f>'TX post'!D137</f>
        <v>1354</v>
      </c>
      <c r="E967" s="2">
        <f>'TX post'!E137</f>
        <v>44</v>
      </c>
      <c r="F967" s="26">
        <v>161</v>
      </c>
      <c r="G967" s="2">
        <f>'TX post'!I137</f>
        <v>1839</v>
      </c>
      <c r="H967" s="88">
        <f>'TX post'!M137</f>
        <v>131.59627329192546</v>
      </c>
      <c r="I967" s="29">
        <f>'TX post'!P137</f>
        <v>86679.46</v>
      </c>
      <c r="J967" s="27">
        <v>4</v>
      </c>
      <c r="K967" s="29"/>
      <c r="L967" s="41">
        <v>1922</v>
      </c>
      <c r="N967" s="27" t="str">
        <f t="shared" si="69"/>
        <v>https://ia601500.us.archive.org/33/items/tx192224/1922-24%2c%20selected%20pages%20%28pp.%20192-93%20clipped%29.pdf</v>
      </c>
      <c r="O967" s="27" t="s">
        <v>1973</v>
      </c>
      <c r="P967" s="27" t="s">
        <v>559</v>
      </c>
      <c r="Q967" s="27" t="s">
        <v>2570</v>
      </c>
      <c r="R967" s="27" t="s">
        <v>562</v>
      </c>
      <c r="S967" s="27" t="str">
        <f t="shared" si="70"/>
        <v>https://ia601505.us.archive.org/29/items/tx192426/1924-26.pdf</v>
      </c>
      <c r="T967" s="27" t="str">
        <f t="shared" si="71"/>
        <v>https://babel.hathitrust.org/cgi/pt?id=uiug.30112058522902;view=1up;seq=175</v>
      </c>
      <c r="U967" s="27" t="s">
        <v>2570</v>
      </c>
    </row>
    <row r="968" spans="1:21" x14ac:dyDescent="0.25">
      <c r="A968" s="27" t="s">
        <v>1501</v>
      </c>
      <c r="B968" s="27" t="str">
        <f t="shared" si="67"/>
        <v>Texas</v>
      </c>
      <c r="C968" s="27" t="str">
        <f t="shared" si="68"/>
        <v>Knox</v>
      </c>
      <c r="D968" s="7">
        <f>'TX post'!D138</f>
        <v>2077</v>
      </c>
      <c r="E968" s="2">
        <f>'TX post'!E138</f>
        <v>76</v>
      </c>
      <c r="F968" s="26">
        <v>132.77000000000001</v>
      </c>
      <c r="G968" s="2">
        <f>'TX post'!I138</f>
        <v>22931</v>
      </c>
      <c r="H968" s="88">
        <f>'TX post'!M138</f>
        <v>149.5248120300752</v>
      </c>
      <c r="I968" s="29">
        <f>'TX post'!P138</f>
        <v>131071.67999999999</v>
      </c>
      <c r="J968" s="27">
        <v>18</v>
      </c>
      <c r="K968" s="29">
        <f>'TX post'!R138</f>
        <v>129879</v>
      </c>
      <c r="L968" s="41">
        <v>1922</v>
      </c>
      <c r="N968" s="27" t="str">
        <f t="shared" si="69"/>
        <v>https://ia601500.us.archive.org/33/items/tx192224/1922-24%2c%20selected%20pages%20%28pp.%20192-93%20clipped%29.pdf</v>
      </c>
      <c r="O968" s="27" t="s">
        <v>1973</v>
      </c>
      <c r="P968" s="27" t="s">
        <v>559</v>
      </c>
      <c r="Q968" s="27" t="s">
        <v>2570</v>
      </c>
      <c r="R968" s="27" t="s">
        <v>562</v>
      </c>
      <c r="S968" s="27" t="str">
        <f t="shared" si="70"/>
        <v>https://ia601505.us.archive.org/29/items/tx192426/1924-26.pdf</v>
      </c>
      <c r="T968" s="27" t="str">
        <f t="shared" si="71"/>
        <v>https://babel.hathitrust.org/cgi/pt?id=uiug.30112058522902;view=1up;seq=175</v>
      </c>
      <c r="U968" s="27" t="s">
        <v>2570</v>
      </c>
    </row>
    <row r="969" spans="1:21" x14ac:dyDescent="0.25">
      <c r="A969" s="27" t="s">
        <v>1502</v>
      </c>
      <c r="B969" s="27" t="str">
        <f t="shared" si="67"/>
        <v>Texas</v>
      </c>
      <c r="C969" s="27" t="str">
        <f t="shared" si="68"/>
        <v>Lamar</v>
      </c>
      <c r="D969" s="7">
        <f>'TX post'!D139</f>
        <v>13549</v>
      </c>
      <c r="E969" s="2">
        <f>'TX post'!E139</f>
        <v>384</v>
      </c>
      <c r="F969" s="26">
        <v>115</v>
      </c>
      <c r="G969" s="2">
        <f>'TX post'!I139</f>
        <v>17943</v>
      </c>
      <c r="H969" s="88">
        <f>'TX post'!M139</f>
        <v>142.62782608695653</v>
      </c>
      <c r="I969" s="29">
        <f>'TX post'!P139</f>
        <v>432993.97</v>
      </c>
      <c r="J969" s="27">
        <v>135</v>
      </c>
      <c r="K969" s="29">
        <f>'TX post'!R139</f>
        <v>287000</v>
      </c>
      <c r="L969" s="41">
        <v>1922</v>
      </c>
      <c r="N969" s="27" t="str">
        <f t="shared" si="69"/>
        <v>https://ia601500.us.archive.org/33/items/tx192224/1922-24%2c%20selected%20pages%20%28pp.%20192-93%20clipped%29.pdf</v>
      </c>
      <c r="O969" s="27" t="s">
        <v>1973</v>
      </c>
      <c r="P969" s="27" t="s">
        <v>559</v>
      </c>
      <c r="Q969" s="27" t="s">
        <v>2570</v>
      </c>
      <c r="R969" s="27" t="s">
        <v>562</v>
      </c>
      <c r="S969" s="27" t="str">
        <f t="shared" si="70"/>
        <v>https://ia601505.us.archive.org/29/items/tx192426/1924-26.pdf</v>
      </c>
      <c r="T969" s="27" t="str">
        <f t="shared" si="71"/>
        <v>https://babel.hathitrust.org/cgi/pt?id=uiug.30112058522902;view=1up;seq=175</v>
      </c>
      <c r="U969" s="27" t="s">
        <v>2570</v>
      </c>
    </row>
    <row r="970" spans="1:21" x14ac:dyDescent="0.25">
      <c r="A970" s="27" t="s">
        <v>1503</v>
      </c>
      <c r="B970" s="27" t="str">
        <f t="shared" si="67"/>
        <v>Texas</v>
      </c>
      <c r="C970" s="27" t="str">
        <f t="shared" si="68"/>
        <v>Lamb</v>
      </c>
      <c r="D970" s="7">
        <f>'TX post'!D140</f>
        <v>583</v>
      </c>
      <c r="E970" s="2">
        <f>'TX post'!E140</f>
        <v>19</v>
      </c>
      <c r="F970" s="26">
        <v>160</v>
      </c>
      <c r="G970" s="2">
        <f>'TX post'!I140</f>
        <v>463</v>
      </c>
      <c r="H970" s="88">
        <f>'TX post'!M140</f>
        <v>116.05249999999999</v>
      </c>
      <c r="I970" s="29">
        <f>'TX post'!P140</f>
        <v>78111.56</v>
      </c>
      <c r="J970" s="27">
        <v>5</v>
      </c>
      <c r="K970" s="29">
        <f>'TX post'!R140</f>
        <v>110050</v>
      </c>
      <c r="L970" s="41">
        <v>1922</v>
      </c>
      <c r="N970" s="27" t="str">
        <f t="shared" si="69"/>
        <v>https://ia601500.us.archive.org/33/items/tx192224/1922-24%2c%20selected%20pages%20%28pp.%20192-93%20clipped%29.pdf</v>
      </c>
      <c r="O970" s="27" t="s">
        <v>1973</v>
      </c>
      <c r="P970" s="27" t="s">
        <v>559</v>
      </c>
      <c r="Q970" s="27" t="s">
        <v>2570</v>
      </c>
      <c r="R970" s="27" t="s">
        <v>562</v>
      </c>
      <c r="S970" s="27" t="str">
        <f t="shared" si="70"/>
        <v>https://ia601505.us.archive.org/29/items/tx192426/1924-26.pdf</v>
      </c>
      <c r="T970" s="27" t="str">
        <f t="shared" si="71"/>
        <v>https://babel.hathitrust.org/cgi/pt?id=uiug.30112058522902;view=1up;seq=175</v>
      </c>
      <c r="U970" s="27" t="s">
        <v>2570</v>
      </c>
    </row>
    <row r="971" spans="1:21" x14ac:dyDescent="0.25">
      <c r="A971" s="27" t="s">
        <v>1504</v>
      </c>
      <c r="B971" s="27" t="str">
        <f t="shared" si="67"/>
        <v>Texas</v>
      </c>
      <c r="C971" s="27" t="str">
        <f t="shared" si="68"/>
        <v>Lampasas</v>
      </c>
      <c r="D971" s="7">
        <f>'TX post'!D141</f>
        <v>1722</v>
      </c>
      <c r="E971" s="2">
        <f>'TX post'!E141</f>
        <v>74</v>
      </c>
      <c r="F971" s="26">
        <v>123.75</v>
      </c>
      <c r="G971" s="2">
        <f>'TX post'!I141</f>
        <v>2431</v>
      </c>
      <c r="H971" s="88">
        <f>'TX post'!M141</f>
        <v>124.05</v>
      </c>
      <c r="I971" s="29">
        <f>'TX post'!P141</f>
        <v>73739.62</v>
      </c>
      <c r="J971" s="27">
        <v>28</v>
      </c>
      <c r="K971" s="29">
        <f>'TX post'!R141</f>
        <v>49879</v>
      </c>
      <c r="L971" s="41">
        <v>1922</v>
      </c>
      <c r="N971" s="27" t="str">
        <f t="shared" si="69"/>
        <v>https://ia601500.us.archive.org/33/items/tx192224/1922-24%2c%20selected%20pages%20%28pp.%20192-93%20clipped%29.pdf</v>
      </c>
      <c r="O971" s="27" t="s">
        <v>1973</v>
      </c>
      <c r="P971" s="27" t="s">
        <v>559</v>
      </c>
      <c r="Q971" s="27" t="s">
        <v>2570</v>
      </c>
      <c r="R971" s="27" t="s">
        <v>562</v>
      </c>
      <c r="S971" s="27" t="str">
        <f t="shared" si="70"/>
        <v>https://ia601505.us.archive.org/29/items/tx192426/1924-26.pdf</v>
      </c>
      <c r="T971" s="27" t="str">
        <f t="shared" si="71"/>
        <v>https://babel.hathitrust.org/cgi/pt?id=uiug.30112058522902;view=1up;seq=175</v>
      </c>
      <c r="U971" s="27" t="s">
        <v>2570</v>
      </c>
    </row>
    <row r="972" spans="1:21" x14ac:dyDescent="0.25">
      <c r="A972" s="27" t="s">
        <v>1505</v>
      </c>
      <c r="B972" s="27" t="str">
        <f t="shared" si="67"/>
        <v>Texas</v>
      </c>
      <c r="C972" s="27" t="str">
        <f t="shared" si="68"/>
        <v>La Salle</v>
      </c>
      <c r="D972" s="7">
        <f>'TX post'!D142</f>
        <v>623</v>
      </c>
      <c r="E972" s="2">
        <f>'TX post'!E142</f>
        <v>29</v>
      </c>
      <c r="F972" s="26">
        <v>180</v>
      </c>
      <c r="G972" s="2">
        <f>'TX post'!I142</f>
        <v>818</v>
      </c>
      <c r="H972" s="88">
        <f>'TX post'!M142</f>
        <v>113.24666666666667</v>
      </c>
      <c r="I972" s="29">
        <f>'TX post'!P142</f>
        <v>55085.36</v>
      </c>
      <c r="J972" s="27">
        <v>11</v>
      </c>
      <c r="K972" s="29">
        <f>'TX post'!R142</f>
        <v>55275</v>
      </c>
      <c r="L972" s="41">
        <v>1922</v>
      </c>
      <c r="N972" s="27" t="str">
        <f t="shared" si="69"/>
        <v>https://ia601500.us.archive.org/33/items/tx192224/1922-24%2c%20selected%20pages%20%28pp.%20192-93%20clipped%29.pdf</v>
      </c>
      <c r="O972" s="27" t="s">
        <v>1973</v>
      </c>
      <c r="P972" s="27" t="s">
        <v>559</v>
      </c>
      <c r="Q972" s="27" t="s">
        <v>2570</v>
      </c>
      <c r="R972" s="27" t="s">
        <v>562</v>
      </c>
      <c r="S972" s="27" t="str">
        <f t="shared" si="70"/>
        <v>https://ia601505.us.archive.org/29/items/tx192426/1924-26.pdf</v>
      </c>
      <c r="T972" s="27" t="str">
        <f t="shared" si="71"/>
        <v>https://babel.hathitrust.org/cgi/pt?id=uiug.30112058522902;view=1up;seq=175</v>
      </c>
      <c r="U972" s="27" t="s">
        <v>2570</v>
      </c>
    </row>
    <row r="973" spans="1:21" x14ac:dyDescent="0.25">
      <c r="A973" s="27" t="s">
        <v>1506</v>
      </c>
      <c r="B973" s="27" t="str">
        <f t="shared" si="67"/>
        <v>Texas</v>
      </c>
      <c r="C973" s="27" t="str">
        <f t="shared" si="68"/>
        <v>Lavaca</v>
      </c>
      <c r="D973" s="7">
        <f>'TX post'!D143</f>
        <v>3757</v>
      </c>
      <c r="E973" s="2">
        <f>'TX post'!E143</f>
        <v>157</v>
      </c>
      <c r="F973" s="26">
        <v>139.1</v>
      </c>
      <c r="G973" s="2">
        <f>'TX post'!I143</f>
        <v>5149</v>
      </c>
      <c r="H973" s="88">
        <f>'TX post'!M143</f>
        <v>101.49496402877698</v>
      </c>
      <c r="I973" s="29">
        <f>'TX post'!P143</f>
        <v>153203</v>
      </c>
      <c r="J973" s="27">
        <v>60</v>
      </c>
      <c r="K973" s="29">
        <f>'TX post'!R143</f>
        <v>124329</v>
      </c>
      <c r="L973" s="41">
        <v>1922</v>
      </c>
      <c r="N973" s="27" t="str">
        <f t="shared" si="69"/>
        <v>https://ia601500.us.archive.org/33/items/tx192224/1922-24%2c%20selected%20pages%20%28pp.%20192-93%20clipped%29.pdf</v>
      </c>
      <c r="O973" s="27" t="s">
        <v>1973</v>
      </c>
      <c r="P973" s="27" t="s">
        <v>559</v>
      </c>
      <c r="Q973" s="27" t="s">
        <v>2570</v>
      </c>
      <c r="R973" s="27" t="s">
        <v>562</v>
      </c>
      <c r="S973" s="27" t="str">
        <f t="shared" si="70"/>
        <v>https://ia601505.us.archive.org/29/items/tx192426/1924-26.pdf</v>
      </c>
      <c r="T973" s="27" t="str">
        <f t="shared" si="71"/>
        <v>https://babel.hathitrust.org/cgi/pt?id=uiug.30112058522902;view=1up;seq=175</v>
      </c>
      <c r="U973" s="27" t="s">
        <v>2570</v>
      </c>
    </row>
    <row r="974" spans="1:21" x14ac:dyDescent="0.25">
      <c r="A974" s="27" t="s">
        <v>1507</v>
      </c>
      <c r="B974" s="27" t="str">
        <f t="shared" si="67"/>
        <v>Texas</v>
      </c>
      <c r="C974" s="27" t="str">
        <f t="shared" si="68"/>
        <v>Lee</v>
      </c>
      <c r="D974" s="7">
        <f>'TX post'!D144</f>
        <v>1992</v>
      </c>
      <c r="E974" s="2">
        <f>'TX post'!E144</f>
        <v>94</v>
      </c>
      <c r="F974" s="26">
        <v>136</v>
      </c>
      <c r="G974" s="2">
        <f>'TX post'!I144</f>
        <v>1756</v>
      </c>
      <c r="H974" s="88">
        <f>'TX post'!M144</f>
        <v>78.573529411764696</v>
      </c>
      <c r="I974" s="29">
        <f>'TX post'!P144</f>
        <v>105236.42</v>
      </c>
      <c r="J974" s="27">
        <v>56</v>
      </c>
      <c r="K974" s="29">
        <f>'TX post'!R144</f>
        <v>97675</v>
      </c>
      <c r="L974" s="41">
        <v>1922</v>
      </c>
      <c r="N974" s="27" t="str">
        <f t="shared" si="69"/>
        <v>https://ia601500.us.archive.org/33/items/tx192224/1922-24%2c%20selected%20pages%20%28pp.%20192-93%20clipped%29.pdf</v>
      </c>
      <c r="O974" s="27" t="s">
        <v>1973</v>
      </c>
      <c r="P974" s="27" t="s">
        <v>559</v>
      </c>
      <c r="Q974" s="27" t="s">
        <v>2570</v>
      </c>
      <c r="R974" s="27" t="s">
        <v>562</v>
      </c>
      <c r="S974" s="27" t="str">
        <f t="shared" si="70"/>
        <v>https://ia601505.us.archive.org/29/items/tx192426/1924-26.pdf</v>
      </c>
      <c r="T974" s="27" t="str">
        <f t="shared" si="71"/>
        <v>https://babel.hathitrust.org/cgi/pt?id=uiug.30112058522902;view=1up;seq=175</v>
      </c>
      <c r="U974" s="27" t="s">
        <v>2570</v>
      </c>
    </row>
    <row r="975" spans="1:21" x14ac:dyDescent="0.25">
      <c r="A975" s="27" t="s">
        <v>1508</v>
      </c>
      <c r="B975" s="27" t="str">
        <f t="shared" si="67"/>
        <v>Texas</v>
      </c>
      <c r="C975" s="27" t="str">
        <f t="shared" si="68"/>
        <v>Leon</v>
      </c>
      <c r="D975" s="7">
        <f>'TX post'!D145</f>
        <v>3613</v>
      </c>
      <c r="E975" s="2">
        <f>'TX post'!E145</f>
        <v>164</v>
      </c>
      <c r="F975" s="26">
        <v>116.6</v>
      </c>
      <c r="G975" s="2">
        <f>'TX post'!I145</f>
        <v>5320</v>
      </c>
      <c r="H975" s="88">
        <f>'TX post'!M145</f>
        <v>96.241025641025644</v>
      </c>
      <c r="I975" s="29">
        <f>'TX post'!P145</f>
        <v>114385.89</v>
      </c>
      <c r="J975" s="27">
        <v>86</v>
      </c>
      <c r="K975" s="29">
        <f>'TX post'!R145</f>
        <v>102724</v>
      </c>
      <c r="L975" s="41">
        <v>1922</v>
      </c>
      <c r="N975" s="27" t="str">
        <f t="shared" si="69"/>
        <v>https://ia601500.us.archive.org/33/items/tx192224/1922-24%2c%20selected%20pages%20%28pp.%20192-93%20clipped%29.pdf</v>
      </c>
      <c r="O975" s="27" t="s">
        <v>1973</v>
      </c>
      <c r="P975" s="27" t="s">
        <v>559</v>
      </c>
      <c r="Q975" s="27" t="s">
        <v>2570</v>
      </c>
      <c r="R975" s="27" t="s">
        <v>562</v>
      </c>
      <c r="S975" s="27" t="str">
        <f t="shared" si="70"/>
        <v>https://ia601505.us.archive.org/29/items/tx192426/1924-26.pdf</v>
      </c>
      <c r="T975" s="27" t="str">
        <f t="shared" si="71"/>
        <v>https://babel.hathitrust.org/cgi/pt?id=uiug.30112058522902;view=1up;seq=175</v>
      </c>
      <c r="U975" s="27" t="s">
        <v>2570</v>
      </c>
    </row>
    <row r="976" spans="1:21" x14ac:dyDescent="0.25">
      <c r="A976" s="27" t="s">
        <v>1509</v>
      </c>
      <c r="B976" s="27" t="str">
        <f t="shared" si="67"/>
        <v>Texas</v>
      </c>
      <c r="C976" s="27" t="str">
        <f t="shared" si="68"/>
        <v>Liberty</v>
      </c>
      <c r="D976" s="7">
        <f>'TX post'!D146</f>
        <v>2845</v>
      </c>
      <c r="E976" s="2">
        <f>'TX post'!E146</f>
        <v>115</v>
      </c>
      <c r="F976" s="26">
        <v>142.19999999999999</v>
      </c>
      <c r="G976" s="2">
        <f>'TX post'!I146</f>
        <v>4212</v>
      </c>
      <c r="H976" s="88">
        <f>'TX post'!M146</f>
        <v>106.90845070422534</v>
      </c>
      <c r="I976" s="29">
        <f>'TX post'!P146</f>
        <v>200180.4</v>
      </c>
      <c r="J976" s="27">
        <v>42</v>
      </c>
      <c r="K976" s="29">
        <f>'TX post'!R146</f>
        <v>85330</v>
      </c>
      <c r="L976" s="41">
        <v>1922</v>
      </c>
      <c r="N976" s="27" t="str">
        <f t="shared" si="69"/>
        <v>https://ia601500.us.archive.org/33/items/tx192224/1922-24%2c%20selected%20pages%20%28pp.%20192-93%20clipped%29.pdf</v>
      </c>
      <c r="O976" s="27" t="s">
        <v>1973</v>
      </c>
      <c r="P976" s="27" t="s">
        <v>559</v>
      </c>
      <c r="Q976" s="27" t="s">
        <v>2570</v>
      </c>
      <c r="R976" s="27" t="s">
        <v>562</v>
      </c>
      <c r="S976" s="27" t="str">
        <f t="shared" si="70"/>
        <v>https://ia601505.us.archive.org/29/items/tx192426/1924-26.pdf</v>
      </c>
      <c r="T976" s="27" t="str">
        <f t="shared" si="71"/>
        <v>https://babel.hathitrust.org/cgi/pt?id=uiug.30112058522902;view=1up;seq=175</v>
      </c>
      <c r="U976" s="27" t="s">
        <v>2570</v>
      </c>
    </row>
    <row r="977" spans="1:21" x14ac:dyDescent="0.25">
      <c r="A977" s="27" t="s">
        <v>1510</v>
      </c>
      <c r="B977" s="27" t="str">
        <f t="shared" si="67"/>
        <v>Texas</v>
      </c>
      <c r="C977" s="27" t="str">
        <f t="shared" si="68"/>
        <v>Limestone</v>
      </c>
      <c r="D977" s="7">
        <f>'TX post'!D147</f>
        <v>7910</v>
      </c>
      <c r="E977" s="2">
        <f>'TX post'!E147</f>
        <v>294</v>
      </c>
      <c r="F977" s="26">
        <v>116</v>
      </c>
      <c r="G977" s="2">
        <f>'TX post'!I147</f>
        <v>12540</v>
      </c>
      <c r="H977" s="88">
        <f>'TX post'!M147</f>
        <v>122.89827586206896</v>
      </c>
      <c r="I977" s="29">
        <f>'TX post'!P147</f>
        <v>484384.74</v>
      </c>
      <c r="J977" s="27">
        <v>86</v>
      </c>
      <c r="K977" s="29">
        <f>'TX post'!R147</f>
        <v>269243</v>
      </c>
      <c r="L977" s="41">
        <v>1922</v>
      </c>
      <c r="N977" s="27" t="str">
        <f t="shared" si="69"/>
        <v>https://ia601500.us.archive.org/33/items/tx192224/1922-24%2c%20selected%20pages%20%28pp.%20192-93%20clipped%29.pdf</v>
      </c>
      <c r="O977" s="27" t="s">
        <v>1973</v>
      </c>
      <c r="P977" s="27" t="s">
        <v>559</v>
      </c>
      <c r="Q977" s="27" t="s">
        <v>2570</v>
      </c>
      <c r="R977" s="27" t="s">
        <v>562</v>
      </c>
      <c r="S977" s="27" t="str">
        <f t="shared" si="70"/>
        <v>https://ia601505.us.archive.org/29/items/tx192426/1924-26.pdf</v>
      </c>
      <c r="T977" s="27" t="str">
        <f t="shared" si="71"/>
        <v>https://babel.hathitrust.org/cgi/pt?id=uiug.30112058522902;view=1up;seq=175</v>
      </c>
      <c r="U977" s="27" t="s">
        <v>2570</v>
      </c>
    </row>
    <row r="978" spans="1:21" x14ac:dyDescent="0.25">
      <c r="A978" s="27" t="s">
        <v>1511</v>
      </c>
      <c r="B978" s="27" t="str">
        <f t="shared" si="67"/>
        <v>Texas</v>
      </c>
      <c r="C978" s="27" t="str">
        <f t="shared" si="68"/>
        <v>Lipscomb</v>
      </c>
      <c r="D978" s="7">
        <f>'TX post'!D148</f>
        <v>681</v>
      </c>
      <c r="E978" s="2">
        <f>'TX post'!E148</f>
        <v>50</v>
      </c>
      <c r="F978" s="26">
        <v>136.63</v>
      </c>
      <c r="G978" s="2">
        <f>'TX post'!I148</f>
        <v>1337</v>
      </c>
      <c r="H978" s="88">
        <f>'TX post'!M148</f>
        <v>136.75912408759123</v>
      </c>
      <c r="I978" s="29">
        <f>'TX post'!P148</f>
        <v>72914.44</v>
      </c>
      <c r="J978" s="27">
        <v>22</v>
      </c>
      <c r="K978" s="29"/>
      <c r="L978" s="41">
        <v>1922</v>
      </c>
      <c r="N978" s="27" t="str">
        <f t="shared" si="69"/>
        <v>https://ia601500.us.archive.org/33/items/tx192224/1922-24%2c%20selected%20pages%20%28pp.%20192-93%20clipped%29.pdf</v>
      </c>
      <c r="O978" s="27" t="s">
        <v>1973</v>
      </c>
      <c r="P978" s="27" t="s">
        <v>559</v>
      </c>
      <c r="Q978" s="27" t="s">
        <v>2570</v>
      </c>
      <c r="R978" s="27" t="s">
        <v>562</v>
      </c>
      <c r="S978" s="27" t="str">
        <f t="shared" si="70"/>
        <v>https://ia601505.us.archive.org/29/items/tx192426/1924-26.pdf</v>
      </c>
      <c r="T978" s="27" t="str">
        <f t="shared" si="71"/>
        <v>https://babel.hathitrust.org/cgi/pt?id=uiug.30112058522902;view=1up;seq=175</v>
      </c>
      <c r="U978" s="27" t="s">
        <v>2570</v>
      </c>
    </row>
    <row r="979" spans="1:21" x14ac:dyDescent="0.25">
      <c r="A979" s="27" t="s">
        <v>1512</v>
      </c>
      <c r="B979" s="27" t="str">
        <f t="shared" si="67"/>
        <v>Texas</v>
      </c>
      <c r="C979" s="27" t="str">
        <f t="shared" si="68"/>
        <v>Live Oak</v>
      </c>
      <c r="D979" s="7">
        <f>'TX post'!D149</f>
        <v>778</v>
      </c>
      <c r="E979" s="2">
        <f>'TX post'!E149</f>
        <v>42</v>
      </c>
      <c r="F979" s="26">
        <v>151.9</v>
      </c>
      <c r="G979" s="2">
        <f>'TX post'!I149</f>
        <v>9047</v>
      </c>
      <c r="H979" s="88">
        <f>'TX post'!M149</f>
        <v>105.67368421052632</v>
      </c>
      <c r="I979" s="29">
        <f>'TX post'!P149</f>
        <v>57443.26</v>
      </c>
      <c r="J979" s="27">
        <v>21</v>
      </c>
      <c r="K979" s="29">
        <f>'TX post'!R149</f>
        <v>73746</v>
      </c>
      <c r="L979" s="41">
        <v>1922</v>
      </c>
      <c r="N979" s="27" t="str">
        <f t="shared" si="69"/>
        <v>https://ia601500.us.archive.org/33/items/tx192224/1922-24%2c%20selected%20pages%20%28pp.%20192-93%20clipped%29.pdf</v>
      </c>
      <c r="O979" s="27" t="s">
        <v>1973</v>
      </c>
      <c r="P979" s="27" t="s">
        <v>559</v>
      </c>
      <c r="Q979" s="27" t="s">
        <v>2570</v>
      </c>
      <c r="R979" s="27" t="s">
        <v>562</v>
      </c>
      <c r="S979" s="27" t="str">
        <f t="shared" si="70"/>
        <v>https://ia601505.us.archive.org/29/items/tx192426/1924-26.pdf</v>
      </c>
      <c r="T979" s="27" t="str">
        <f t="shared" si="71"/>
        <v>https://babel.hathitrust.org/cgi/pt?id=uiug.30112058522902;view=1up;seq=175</v>
      </c>
      <c r="U979" s="27" t="s">
        <v>2570</v>
      </c>
    </row>
    <row r="980" spans="1:21" x14ac:dyDescent="0.25">
      <c r="A980" s="27" t="s">
        <v>1513</v>
      </c>
      <c r="B980" s="27" t="str">
        <f t="shared" si="67"/>
        <v>Texas</v>
      </c>
      <c r="C980" s="27" t="str">
        <f t="shared" si="68"/>
        <v>Llano</v>
      </c>
      <c r="D980" s="7">
        <f>'TX post'!D150</f>
        <v>1083</v>
      </c>
      <c r="E980" s="2">
        <f>'TX post'!E150</f>
        <v>50</v>
      </c>
      <c r="F980" s="26">
        <v>133.52000000000001</v>
      </c>
      <c r="G980" s="2">
        <f>'TX post'!I150</f>
        <v>1391</v>
      </c>
      <c r="H980" s="88">
        <f>'TX post'!M150</f>
        <v>114.23582089552238</v>
      </c>
      <c r="I980" s="29">
        <f>'TX post'!P150</f>
        <v>49974.87</v>
      </c>
      <c r="J980" s="27">
        <v>23</v>
      </c>
      <c r="K980" s="29">
        <f>'TX post'!R150</f>
        <v>24742</v>
      </c>
      <c r="L980" s="41">
        <v>1922</v>
      </c>
      <c r="N980" s="27" t="str">
        <f t="shared" si="69"/>
        <v>https://ia601500.us.archive.org/33/items/tx192224/1922-24%2c%20selected%20pages%20%28pp.%20192-93%20clipped%29.pdf</v>
      </c>
      <c r="O980" s="27" t="s">
        <v>1973</v>
      </c>
      <c r="P980" s="27" t="s">
        <v>559</v>
      </c>
      <c r="Q980" s="27" t="s">
        <v>2570</v>
      </c>
      <c r="R980" s="27" t="s">
        <v>562</v>
      </c>
      <c r="S980" s="27" t="str">
        <f t="shared" si="70"/>
        <v>https://ia601505.us.archive.org/29/items/tx192426/1924-26.pdf</v>
      </c>
      <c r="T980" s="27" t="str">
        <f t="shared" si="71"/>
        <v>https://babel.hathitrust.org/cgi/pt?id=uiug.30112058522902;view=1up;seq=175</v>
      </c>
      <c r="U980" s="27" t="s">
        <v>2570</v>
      </c>
    </row>
    <row r="981" spans="1:21" x14ac:dyDescent="0.25">
      <c r="A981" s="27" t="s">
        <v>1514</v>
      </c>
      <c r="B981" s="27" t="str">
        <f t="shared" si="67"/>
        <v>Texas</v>
      </c>
      <c r="C981" s="27" t="str">
        <f t="shared" si="68"/>
        <v>Loving</v>
      </c>
      <c r="D981" s="7"/>
      <c r="E981" s="2">
        <f>'TX post'!E151</f>
        <v>14</v>
      </c>
      <c r="F981" s="26">
        <v>163.33000000000001</v>
      </c>
      <c r="G981" s="2"/>
      <c r="H981" s="88">
        <f>'TX post'!M151</f>
        <v>115.99386503067484</v>
      </c>
      <c r="I981" s="29">
        <f>'TX post'!P151</f>
        <v>280</v>
      </c>
      <c r="J981" s="27">
        <v>6</v>
      </c>
      <c r="K981" s="29"/>
      <c r="L981" s="41">
        <v>1922</v>
      </c>
      <c r="N981" s="27" t="str">
        <f t="shared" si="69"/>
        <v>https://ia601500.us.archive.org/33/items/tx192224/1922-24%2c%20selected%20pages%20%28pp.%20192-93%20clipped%29.pdf</v>
      </c>
      <c r="O981" s="27" t="s">
        <v>1973</v>
      </c>
      <c r="P981" s="27" t="s">
        <v>559</v>
      </c>
      <c r="Q981" s="27" t="s">
        <v>2570</v>
      </c>
      <c r="R981" s="27" t="s">
        <v>562</v>
      </c>
      <c r="S981" s="27" t="str">
        <f t="shared" si="70"/>
        <v>https://ia601505.us.archive.org/29/items/tx192426/1924-26.pdf</v>
      </c>
      <c r="T981" s="27" t="str">
        <f t="shared" si="71"/>
        <v>https://babel.hathitrust.org/cgi/pt?id=uiug.30112058522902;view=1up;seq=175</v>
      </c>
      <c r="U981" s="27" t="s">
        <v>2570</v>
      </c>
    </row>
    <row r="982" spans="1:21" x14ac:dyDescent="0.25">
      <c r="A982" s="27" t="s">
        <v>1515</v>
      </c>
      <c r="B982" s="27" t="str">
        <f t="shared" si="67"/>
        <v>Texas</v>
      </c>
      <c r="C982" s="27" t="str">
        <f t="shared" si="68"/>
        <v>Lubbock</v>
      </c>
      <c r="D982" s="7">
        <f>'TX post'!D152</f>
        <v>4409</v>
      </c>
      <c r="E982" s="2">
        <f>'TX post'!E152</f>
        <v>115</v>
      </c>
      <c r="F982" s="26">
        <v>158</v>
      </c>
      <c r="G982" s="2">
        <f>'TX post'!I152</f>
        <v>4608</v>
      </c>
      <c r="H982" s="88">
        <f>'TX post'!M152</f>
        <v>122.30759493670885</v>
      </c>
      <c r="I982" s="29">
        <f>'TX post'!P152</f>
        <v>360197.92</v>
      </c>
      <c r="J982" s="27">
        <v>20</v>
      </c>
      <c r="K982" s="29">
        <f>'TX post'!R152</f>
        <v>180415</v>
      </c>
      <c r="L982" s="41">
        <v>1922</v>
      </c>
      <c r="N982" s="27" t="str">
        <f t="shared" si="69"/>
        <v>https://ia601500.us.archive.org/33/items/tx192224/1922-24%2c%20selected%20pages%20%28pp.%20192-93%20clipped%29.pdf</v>
      </c>
      <c r="O982" s="27" t="s">
        <v>1973</v>
      </c>
      <c r="P982" s="27" t="s">
        <v>559</v>
      </c>
      <c r="Q982" s="27" t="s">
        <v>2570</v>
      </c>
      <c r="R982" s="27" t="s">
        <v>562</v>
      </c>
      <c r="S982" s="27" t="str">
        <f t="shared" si="70"/>
        <v>https://ia601505.us.archive.org/29/items/tx192426/1924-26.pdf</v>
      </c>
      <c r="T982" s="27" t="str">
        <f t="shared" si="71"/>
        <v>https://babel.hathitrust.org/cgi/pt?id=uiug.30112058522902;view=1up;seq=175</v>
      </c>
      <c r="U982" s="27" t="s">
        <v>2570</v>
      </c>
    </row>
    <row r="983" spans="1:21" x14ac:dyDescent="0.25">
      <c r="A983" s="27" t="s">
        <v>1516</v>
      </c>
      <c r="B983" s="27" t="str">
        <f t="shared" si="67"/>
        <v>Texas</v>
      </c>
      <c r="C983" s="27" t="str">
        <f t="shared" si="68"/>
        <v>Lynn</v>
      </c>
      <c r="D983" s="7">
        <f>'TX post'!D153</f>
        <v>1608</v>
      </c>
      <c r="E983" s="2">
        <f>'TX post'!E153</f>
        <v>50</v>
      </c>
      <c r="F983" s="26">
        <v>127</v>
      </c>
      <c r="G983" s="2">
        <f>'TX post'!I153</f>
        <v>840</v>
      </c>
      <c r="H983" s="88">
        <f>'TX post'!M153</f>
        <v>130.42834645669294</v>
      </c>
      <c r="I983" s="29">
        <f>'TX post'!P153</f>
        <v>126353.78</v>
      </c>
      <c r="J983" s="27">
        <v>20</v>
      </c>
      <c r="K983" s="29">
        <f>'TX post'!R153</f>
        <v>62900</v>
      </c>
      <c r="L983" s="41">
        <v>1922</v>
      </c>
      <c r="N983" s="27" t="str">
        <f t="shared" si="69"/>
        <v>https://ia601500.us.archive.org/33/items/tx192224/1922-24%2c%20selected%20pages%20%28pp.%20192-93%20clipped%29.pdf</v>
      </c>
      <c r="O983" s="27" t="s">
        <v>1973</v>
      </c>
      <c r="P983" s="27" t="s">
        <v>559</v>
      </c>
      <c r="Q983" s="27" t="s">
        <v>2570</v>
      </c>
      <c r="R983" s="27" t="s">
        <v>562</v>
      </c>
      <c r="S983" s="27" t="str">
        <f t="shared" si="70"/>
        <v>https://ia601505.us.archive.org/29/items/tx192426/1924-26.pdf</v>
      </c>
      <c r="T983" s="27" t="str">
        <f t="shared" si="71"/>
        <v>https://babel.hathitrust.org/cgi/pt?id=uiug.30112058522902;view=1up;seq=175</v>
      </c>
      <c r="U983" s="27" t="s">
        <v>2570</v>
      </c>
    </row>
    <row r="984" spans="1:21" x14ac:dyDescent="0.25">
      <c r="A984" s="27" t="s">
        <v>1520</v>
      </c>
      <c r="B984" s="27" t="str">
        <f t="shared" si="67"/>
        <v>Texas</v>
      </c>
      <c r="C984" s="27" t="str">
        <f t="shared" si="68"/>
        <v>Madison</v>
      </c>
      <c r="D984" s="7">
        <f>'TX post'!D154</f>
        <v>2330</v>
      </c>
      <c r="E984" s="2">
        <f>'TX post'!E154</f>
        <v>95</v>
      </c>
      <c r="F984" s="26">
        <v>163.41999999999999</v>
      </c>
      <c r="G984" s="2">
        <f>'TX post'!I154</f>
        <v>3544</v>
      </c>
      <c r="H984" s="88">
        <f>'TX post'!M154</f>
        <v>82.565644171779127</v>
      </c>
      <c r="I984" s="29">
        <f>'TX post'!P154</f>
        <v>88945.25</v>
      </c>
      <c r="J984" s="27">
        <v>21</v>
      </c>
      <c r="K984" s="29">
        <f>'TX post'!R154</f>
        <v>102363</v>
      </c>
      <c r="L984" s="41">
        <v>1922</v>
      </c>
      <c r="N984" s="27" t="str">
        <f t="shared" si="69"/>
        <v>https://ia601500.us.archive.org/33/items/tx192224/1922-24%2c%20selected%20pages%20%28pp.%20192-93%20clipped%29.pdf</v>
      </c>
      <c r="O984" s="27" t="s">
        <v>1973</v>
      </c>
      <c r="P984" s="27" t="s">
        <v>559</v>
      </c>
      <c r="Q984" s="27" t="s">
        <v>2570</v>
      </c>
      <c r="R984" s="27" t="s">
        <v>562</v>
      </c>
      <c r="S984" s="27" t="str">
        <f t="shared" si="70"/>
        <v>https://ia601505.us.archive.org/29/items/tx192426/1924-26.pdf</v>
      </c>
      <c r="T984" s="27" t="str">
        <f t="shared" si="71"/>
        <v>https://babel.hathitrust.org/cgi/pt?id=uiug.30112058522902;view=1up;seq=175</v>
      </c>
      <c r="U984" s="27" t="s">
        <v>2570</v>
      </c>
    </row>
    <row r="985" spans="1:21" x14ac:dyDescent="0.25">
      <c r="A985" s="27" t="s">
        <v>1521</v>
      </c>
      <c r="B985" s="27" t="str">
        <f t="shared" si="67"/>
        <v>Texas</v>
      </c>
      <c r="C985" s="27" t="str">
        <f t="shared" si="68"/>
        <v>Marion</v>
      </c>
      <c r="D985" s="7">
        <f>'TX post'!D155</f>
        <v>2580</v>
      </c>
      <c r="E985" s="2">
        <f>'TX post'!E155</f>
        <v>83</v>
      </c>
      <c r="F985" s="26">
        <v>133.57</v>
      </c>
      <c r="G985" s="2">
        <f>'TX post'!I155</f>
        <v>3548</v>
      </c>
      <c r="H985" s="88">
        <f>'TX post'!M155</f>
        <v>97.704477611940291</v>
      </c>
      <c r="I985" s="29">
        <f>'TX post'!P155</f>
        <v>74675.350000000006</v>
      </c>
      <c r="J985" s="27">
        <v>45</v>
      </c>
      <c r="K985" s="29">
        <f>'TX post'!R155</f>
        <v>41187</v>
      </c>
      <c r="L985" s="41">
        <v>1922</v>
      </c>
      <c r="N985" s="27" t="str">
        <f t="shared" si="69"/>
        <v>https://ia601500.us.archive.org/33/items/tx192224/1922-24%2c%20selected%20pages%20%28pp.%20192-93%20clipped%29.pdf</v>
      </c>
      <c r="O985" s="27" t="s">
        <v>1973</v>
      </c>
      <c r="P985" s="27" t="s">
        <v>559</v>
      </c>
      <c r="Q985" s="27" t="s">
        <v>2570</v>
      </c>
      <c r="R985" s="27" t="s">
        <v>562</v>
      </c>
      <c r="S985" s="27" t="str">
        <f t="shared" si="70"/>
        <v>https://ia601505.us.archive.org/29/items/tx192426/1924-26.pdf</v>
      </c>
      <c r="T985" s="27" t="str">
        <f t="shared" si="71"/>
        <v>https://babel.hathitrust.org/cgi/pt?id=uiug.30112058522902;view=1up;seq=175</v>
      </c>
      <c r="U985" s="27" t="s">
        <v>2570</v>
      </c>
    </row>
    <row r="986" spans="1:21" x14ac:dyDescent="0.25">
      <c r="A986" s="27" t="s">
        <v>1522</v>
      </c>
      <c r="B986" s="27" t="str">
        <f t="shared" si="67"/>
        <v>Texas</v>
      </c>
      <c r="C986" s="27" t="str">
        <f t="shared" si="68"/>
        <v>Martin</v>
      </c>
      <c r="D986" s="7">
        <f>'TX post'!D156</f>
        <v>424</v>
      </c>
      <c r="E986" s="2">
        <f>'TX post'!E156</f>
        <v>15</v>
      </c>
      <c r="F986" s="26">
        <v>113.33</v>
      </c>
      <c r="G986" s="2">
        <f>'TX post'!I156</f>
        <v>376</v>
      </c>
      <c r="H986" s="88">
        <f>'TX post'!M156</f>
        <v>133.45132743362831</v>
      </c>
      <c r="I986" s="29">
        <f>'TX post'!P156</f>
        <v>23434.05</v>
      </c>
      <c r="J986" s="27">
        <v>6</v>
      </c>
      <c r="K986" s="29">
        <f>'TX post'!R156</f>
        <v>7900</v>
      </c>
      <c r="L986" s="41">
        <v>1922</v>
      </c>
      <c r="N986" s="27" t="str">
        <f t="shared" si="69"/>
        <v>https://ia601500.us.archive.org/33/items/tx192224/1922-24%2c%20selected%20pages%20%28pp.%20192-93%20clipped%29.pdf</v>
      </c>
      <c r="O986" s="27" t="s">
        <v>1973</v>
      </c>
      <c r="P986" s="27" t="s">
        <v>559</v>
      </c>
      <c r="Q986" s="27" t="s">
        <v>2570</v>
      </c>
      <c r="R986" s="27" t="s">
        <v>562</v>
      </c>
      <c r="S986" s="27" t="str">
        <f t="shared" si="70"/>
        <v>https://ia601505.us.archive.org/29/items/tx192426/1924-26.pdf</v>
      </c>
      <c r="T986" s="27" t="str">
        <f t="shared" si="71"/>
        <v>https://babel.hathitrust.org/cgi/pt?id=uiug.30112058522902;view=1up;seq=175</v>
      </c>
      <c r="U986" s="27" t="s">
        <v>2570</v>
      </c>
    </row>
    <row r="987" spans="1:21" x14ac:dyDescent="0.25">
      <c r="A987" s="27" t="s">
        <v>1523</v>
      </c>
      <c r="B987" s="27" t="str">
        <f t="shared" si="67"/>
        <v>Texas</v>
      </c>
      <c r="C987" s="27" t="str">
        <f t="shared" si="68"/>
        <v>Mason</v>
      </c>
      <c r="D987" s="7">
        <f>'TX post'!D157</f>
        <v>941</v>
      </c>
      <c r="E987" s="2">
        <f>'TX post'!E157</f>
        <v>56</v>
      </c>
      <c r="F987" s="26">
        <v>140</v>
      </c>
      <c r="G987" s="2">
        <f>'TX post'!I157</f>
        <v>1357</v>
      </c>
      <c r="H987" s="88">
        <f>'TX post'!M157</f>
        <v>98.317142857142855</v>
      </c>
      <c r="I987" s="29">
        <f>'TX post'!P157</f>
        <v>42728.51</v>
      </c>
      <c r="J987" s="27">
        <v>20</v>
      </c>
      <c r="K987" s="29">
        <f>'TX post'!R157</f>
        <v>40850</v>
      </c>
      <c r="L987" s="41">
        <v>1922</v>
      </c>
      <c r="N987" s="27" t="str">
        <f t="shared" si="69"/>
        <v>https://ia601500.us.archive.org/33/items/tx192224/1922-24%2c%20selected%20pages%20%28pp.%20192-93%20clipped%29.pdf</v>
      </c>
      <c r="O987" s="27" t="s">
        <v>1973</v>
      </c>
      <c r="P987" s="27" t="s">
        <v>559</v>
      </c>
      <c r="Q987" s="27" t="s">
        <v>2570</v>
      </c>
      <c r="R987" s="27" t="s">
        <v>562</v>
      </c>
      <c r="S987" s="27" t="str">
        <f t="shared" si="70"/>
        <v>https://ia601505.us.archive.org/29/items/tx192426/1924-26.pdf</v>
      </c>
      <c r="T987" s="27" t="str">
        <f t="shared" si="71"/>
        <v>https://babel.hathitrust.org/cgi/pt?id=uiug.30112058522902;view=1up;seq=175</v>
      </c>
      <c r="U987" s="27" t="s">
        <v>2570</v>
      </c>
    </row>
    <row r="988" spans="1:21" x14ac:dyDescent="0.25">
      <c r="A988" s="27" t="s">
        <v>1524</v>
      </c>
      <c r="B988" s="27" t="str">
        <f t="shared" si="67"/>
        <v>Texas</v>
      </c>
      <c r="C988" s="27" t="str">
        <f t="shared" si="68"/>
        <v>Matagorda</v>
      </c>
      <c r="D988" s="7">
        <f>'TX post'!D158</f>
        <v>2496</v>
      </c>
      <c r="E988" s="2">
        <f>'TX post'!E158</f>
        <v>168</v>
      </c>
      <c r="F988" s="26">
        <v>152.5</v>
      </c>
      <c r="G988" s="2">
        <f>'TX post'!I158</f>
        <v>3807</v>
      </c>
      <c r="H988" s="88">
        <f>'TX post'!M158</f>
        <v>100.82222222222221</v>
      </c>
      <c r="I988" s="29">
        <f>'TX post'!P158</f>
        <v>170028.53</v>
      </c>
      <c r="J988" s="27">
        <v>46</v>
      </c>
      <c r="K988" s="29">
        <f>'TX post'!R158</f>
        <v>94343</v>
      </c>
      <c r="L988" s="41">
        <v>1922</v>
      </c>
      <c r="N988" s="27" t="str">
        <f t="shared" si="69"/>
        <v>https://ia601500.us.archive.org/33/items/tx192224/1922-24%2c%20selected%20pages%20%28pp.%20192-93%20clipped%29.pdf</v>
      </c>
      <c r="O988" s="27" t="s">
        <v>1973</v>
      </c>
      <c r="P988" s="27" t="s">
        <v>559</v>
      </c>
      <c r="Q988" s="27" t="s">
        <v>2570</v>
      </c>
      <c r="R988" s="27" t="s">
        <v>562</v>
      </c>
      <c r="S988" s="27" t="str">
        <f t="shared" si="70"/>
        <v>https://ia601505.us.archive.org/29/items/tx192426/1924-26.pdf</v>
      </c>
      <c r="T988" s="27" t="str">
        <f t="shared" si="71"/>
        <v>https://babel.hathitrust.org/cgi/pt?id=uiug.30112058522902;view=1up;seq=175</v>
      </c>
      <c r="U988" s="27" t="s">
        <v>2570</v>
      </c>
    </row>
    <row r="989" spans="1:21" x14ac:dyDescent="0.25">
      <c r="A989" s="27" t="s">
        <v>1525</v>
      </c>
      <c r="B989" s="27" t="str">
        <f t="shared" si="67"/>
        <v>Texas</v>
      </c>
      <c r="C989" s="27" t="str">
        <f t="shared" si="68"/>
        <v>Maverick</v>
      </c>
      <c r="D989" s="7">
        <f>'TX post'!D159</f>
        <v>926</v>
      </c>
      <c r="E989" s="2">
        <f>'TX post'!E159</f>
        <v>29</v>
      </c>
      <c r="F989" s="26">
        <v>131.66</v>
      </c>
      <c r="G989" s="2">
        <f>'TX post'!I159</f>
        <v>1395</v>
      </c>
      <c r="H989" s="88">
        <f>'TX post'!M159</f>
        <v>170.44848484848487</v>
      </c>
      <c r="I989" s="29">
        <f>'TX post'!P159</f>
        <v>40283.46</v>
      </c>
      <c r="J989" s="27">
        <v>3</v>
      </c>
      <c r="K989" s="29"/>
      <c r="L989" s="41">
        <v>1922</v>
      </c>
      <c r="N989" s="27" t="str">
        <f t="shared" si="69"/>
        <v>https://ia601500.us.archive.org/33/items/tx192224/1922-24%2c%20selected%20pages%20%28pp.%20192-93%20clipped%29.pdf</v>
      </c>
      <c r="O989" s="27" t="s">
        <v>1973</v>
      </c>
      <c r="P989" s="27" t="s">
        <v>559</v>
      </c>
      <c r="Q989" s="27" t="s">
        <v>2570</v>
      </c>
      <c r="R989" s="27" t="s">
        <v>562</v>
      </c>
      <c r="S989" s="27" t="str">
        <f t="shared" si="70"/>
        <v>https://ia601505.us.archive.org/29/items/tx192426/1924-26.pdf</v>
      </c>
      <c r="T989" s="27" t="str">
        <f t="shared" si="71"/>
        <v>https://babel.hathitrust.org/cgi/pt?id=uiug.30112058522902;view=1up;seq=175</v>
      </c>
      <c r="U989" s="27" t="s">
        <v>2570</v>
      </c>
    </row>
    <row r="990" spans="1:21" x14ac:dyDescent="0.25">
      <c r="A990" s="27" t="s">
        <v>1517</v>
      </c>
      <c r="B990" s="27" t="str">
        <f t="shared" si="67"/>
        <v>Texas</v>
      </c>
      <c r="C990" s="27" t="str">
        <f t="shared" si="68"/>
        <v>McCulloch</v>
      </c>
      <c r="D990" s="7">
        <f>'TX post'!D160</f>
        <v>2498</v>
      </c>
      <c r="E990" s="2">
        <f>'TX post'!E160</f>
        <v>105</v>
      </c>
      <c r="F990" s="26">
        <v>134.16</v>
      </c>
      <c r="G990" s="2">
        <f>'TX post'!I160</f>
        <v>3218</v>
      </c>
      <c r="H990" s="88">
        <f>'TX post'!M160</f>
        <v>115.98059701492538</v>
      </c>
      <c r="I990" s="29">
        <f>'TX post'!P160</f>
        <v>138993.95000000001</v>
      </c>
      <c r="J990" s="27">
        <v>36</v>
      </c>
      <c r="K990" s="29">
        <f>'TX post'!R160</f>
        <v>395870</v>
      </c>
      <c r="L990" s="41">
        <v>1922</v>
      </c>
      <c r="N990" s="27" t="str">
        <f t="shared" si="69"/>
        <v>https://ia601500.us.archive.org/33/items/tx192224/1922-24%2c%20selected%20pages%20%28pp.%20192-93%20clipped%29.pdf</v>
      </c>
      <c r="O990" s="27" t="s">
        <v>1973</v>
      </c>
      <c r="P990" s="27" t="s">
        <v>559</v>
      </c>
      <c r="Q990" s="27" t="s">
        <v>2570</v>
      </c>
      <c r="R990" s="27" t="s">
        <v>562</v>
      </c>
      <c r="S990" s="27" t="str">
        <f t="shared" si="70"/>
        <v>https://ia601505.us.archive.org/29/items/tx192426/1924-26.pdf</v>
      </c>
      <c r="T990" s="27" t="str">
        <f t="shared" si="71"/>
        <v>https://babel.hathitrust.org/cgi/pt?id=uiug.30112058522902;view=1up;seq=175</v>
      </c>
      <c r="U990" s="27" t="s">
        <v>2570</v>
      </c>
    </row>
    <row r="991" spans="1:21" x14ac:dyDescent="0.25">
      <c r="A991" s="27" t="s">
        <v>1518</v>
      </c>
      <c r="B991" s="27" t="str">
        <f t="shared" si="67"/>
        <v>Texas</v>
      </c>
      <c r="C991" s="27" t="str">
        <f t="shared" si="68"/>
        <v>McLennan</v>
      </c>
      <c r="D991" s="7">
        <f>'TX post'!D161</f>
        <v>15484</v>
      </c>
      <c r="E991" s="2">
        <f>'TX post'!E161</f>
        <v>613</v>
      </c>
      <c r="F991" s="26">
        <v>144</v>
      </c>
      <c r="G991" s="2">
        <f>'TX post'!I161</f>
        <v>22237</v>
      </c>
      <c r="H991" s="88">
        <f>'TX post'!M161</f>
        <v>138.4388888888889</v>
      </c>
      <c r="I991" s="29">
        <f>'TX post'!P161</f>
        <v>838173.63</v>
      </c>
      <c r="J991" s="27">
        <v>93</v>
      </c>
      <c r="K991" s="29">
        <f>'TX post'!R161</f>
        <v>299704</v>
      </c>
      <c r="L991" s="41">
        <v>1922</v>
      </c>
      <c r="N991" s="27" t="str">
        <f t="shared" si="69"/>
        <v>https://ia601500.us.archive.org/33/items/tx192224/1922-24%2c%20selected%20pages%20%28pp.%20192-93%20clipped%29.pdf</v>
      </c>
      <c r="O991" s="27" t="s">
        <v>1973</v>
      </c>
      <c r="P991" s="27" t="s">
        <v>559</v>
      </c>
      <c r="Q991" s="27" t="s">
        <v>2570</v>
      </c>
      <c r="R991" s="27" t="s">
        <v>562</v>
      </c>
      <c r="S991" s="27" t="str">
        <f t="shared" si="70"/>
        <v>https://ia601505.us.archive.org/29/items/tx192426/1924-26.pdf</v>
      </c>
      <c r="T991" s="27" t="str">
        <f t="shared" si="71"/>
        <v>https://babel.hathitrust.org/cgi/pt?id=uiug.30112058522902;view=1up;seq=175</v>
      </c>
      <c r="U991" s="27" t="s">
        <v>2570</v>
      </c>
    </row>
    <row r="992" spans="1:21" x14ac:dyDescent="0.25">
      <c r="A992" s="27" t="s">
        <v>1519</v>
      </c>
      <c r="B992" s="27" t="str">
        <f t="shared" si="67"/>
        <v>Texas</v>
      </c>
      <c r="C992" s="27" t="str">
        <f t="shared" si="68"/>
        <v>McMullen</v>
      </c>
      <c r="D992" s="7">
        <f>'TX post'!D162</f>
        <v>98</v>
      </c>
      <c r="E992" s="2">
        <f>'TX post'!E162</f>
        <v>8</v>
      </c>
      <c r="F992" s="26">
        <v>160</v>
      </c>
      <c r="G992" s="2">
        <f>'TX post'!I162</f>
        <v>125</v>
      </c>
      <c r="H992" s="88">
        <f>'TX post'!M162</f>
        <v>84.84375</v>
      </c>
      <c r="I992" s="29">
        <f>'TX post'!P162</f>
        <v>17150.66</v>
      </c>
      <c r="J992" s="27">
        <v>3</v>
      </c>
      <c r="K992" s="29">
        <f>'TX post'!R162</f>
        <v>8292</v>
      </c>
      <c r="L992" s="41">
        <v>1922</v>
      </c>
      <c r="N992" s="27" t="str">
        <f t="shared" si="69"/>
        <v>https://ia601500.us.archive.org/33/items/tx192224/1922-24%2c%20selected%20pages%20%28pp.%20192-93%20clipped%29.pdf</v>
      </c>
      <c r="O992" s="27" t="s">
        <v>1973</v>
      </c>
      <c r="P992" s="27" t="s">
        <v>559</v>
      </c>
      <c r="Q992" s="27" t="s">
        <v>2570</v>
      </c>
      <c r="R992" s="27" t="s">
        <v>562</v>
      </c>
      <c r="S992" s="27" t="str">
        <f t="shared" si="70"/>
        <v>https://ia601505.us.archive.org/29/items/tx192426/1924-26.pdf</v>
      </c>
      <c r="T992" s="27" t="str">
        <f t="shared" si="71"/>
        <v>https://babel.hathitrust.org/cgi/pt?id=uiug.30112058522902;view=1up;seq=175</v>
      </c>
      <c r="U992" s="27" t="s">
        <v>2570</v>
      </c>
    </row>
    <row r="993" spans="1:21" x14ac:dyDescent="0.25">
      <c r="A993" s="27" t="s">
        <v>1526</v>
      </c>
      <c r="B993" s="27" t="str">
        <f t="shared" si="67"/>
        <v>Texas</v>
      </c>
      <c r="C993" s="27" t="str">
        <f t="shared" si="68"/>
        <v>Medina</v>
      </c>
      <c r="D993" s="7">
        <f>'TX post'!D163</f>
        <v>1540</v>
      </c>
      <c r="E993" s="2">
        <f>'TX post'!E163</f>
        <v>90</v>
      </c>
      <c r="F993" s="26" t="s">
        <v>381</v>
      </c>
      <c r="G993" s="2">
        <f>'TX post'!I163</f>
        <v>2059</v>
      </c>
      <c r="H993" s="88">
        <f>'TX post'!M163</f>
        <v>49.8</v>
      </c>
      <c r="I993" s="29">
        <f>'TX post'!P163</f>
        <v>94852.86</v>
      </c>
      <c r="J993" s="27">
        <v>33</v>
      </c>
      <c r="K993" s="29">
        <f>'TX post'!R163</f>
        <v>140500</v>
      </c>
      <c r="L993" s="41">
        <v>1922</v>
      </c>
      <c r="N993" s="27" t="str">
        <f t="shared" si="69"/>
        <v>https://ia601500.us.archive.org/33/items/tx192224/1922-24%2c%20selected%20pages%20%28pp.%20192-93%20clipped%29.pdf</v>
      </c>
      <c r="O993" s="27" t="s">
        <v>1970</v>
      </c>
      <c r="P993" s="27" t="s">
        <v>563</v>
      </c>
      <c r="Q993" s="27" t="s">
        <v>2570</v>
      </c>
      <c r="R993" s="27" t="s">
        <v>562</v>
      </c>
      <c r="S993" s="27" t="str">
        <f t="shared" si="70"/>
        <v>https://ia601505.us.archive.org/29/items/tx192426/1924-26.pdf</v>
      </c>
      <c r="T993" s="27" t="str">
        <f t="shared" si="71"/>
        <v>https://babel.hathitrust.org/cgi/pt?id=uiug.30112058522902;view=1up;seq=175</v>
      </c>
      <c r="U993" s="27" t="s">
        <v>2570</v>
      </c>
    </row>
    <row r="994" spans="1:21" x14ac:dyDescent="0.25">
      <c r="A994" s="27" t="s">
        <v>1527</v>
      </c>
      <c r="B994" s="27" t="str">
        <f t="shared" si="67"/>
        <v>Texas</v>
      </c>
      <c r="C994" s="27" t="str">
        <f t="shared" si="68"/>
        <v>Menard</v>
      </c>
      <c r="D994" s="7">
        <f>'TX post'!D164</f>
        <v>292</v>
      </c>
      <c r="E994" s="2">
        <f>'TX post'!E164</f>
        <v>28</v>
      </c>
      <c r="F994" s="26">
        <v>135</v>
      </c>
      <c r="G994" s="2">
        <f>'TX post'!I164</f>
        <v>747</v>
      </c>
      <c r="H994" s="88">
        <f>'TX post'!M164</f>
        <v>103.34370370370371</v>
      </c>
      <c r="I994" s="29">
        <f>'TX post'!P164</f>
        <v>30325.78</v>
      </c>
      <c r="J994" s="27">
        <v>12</v>
      </c>
      <c r="K994" s="29">
        <f>'TX post'!R164</f>
        <v>44885</v>
      </c>
      <c r="L994" s="41">
        <v>1922</v>
      </c>
      <c r="N994" s="27" t="str">
        <f t="shared" si="69"/>
        <v>https://ia601500.us.archive.org/33/items/tx192224/1922-24%2c%20selected%20pages%20%28pp.%20192-93%20clipped%29.pdf</v>
      </c>
      <c r="O994" s="27" t="s">
        <v>1970</v>
      </c>
      <c r="P994" s="27" t="s">
        <v>563</v>
      </c>
      <c r="Q994" s="27" t="s">
        <v>2570</v>
      </c>
      <c r="R994" s="27" t="s">
        <v>562</v>
      </c>
      <c r="S994" s="27" t="str">
        <f t="shared" si="70"/>
        <v>https://ia601505.us.archive.org/29/items/tx192426/1924-26.pdf</v>
      </c>
      <c r="T994" s="27" t="str">
        <f t="shared" si="71"/>
        <v>https://babel.hathitrust.org/cgi/pt?id=uiug.30112058522902;view=1up;seq=175</v>
      </c>
      <c r="U994" s="27" t="s">
        <v>2570</v>
      </c>
    </row>
    <row r="995" spans="1:21" x14ac:dyDescent="0.25">
      <c r="A995" s="27" t="s">
        <v>1528</v>
      </c>
      <c r="B995" s="27" t="str">
        <f t="shared" si="67"/>
        <v>Texas</v>
      </c>
      <c r="C995" s="27" t="str">
        <f t="shared" si="68"/>
        <v>Midland</v>
      </c>
      <c r="D995" s="7">
        <f>'TX post'!D165</f>
        <v>577</v>
      </c>
      <c r="E995" s="2">
        <f>'TX post'!E165</f>
        <v>22</v>
      </c>
      <c r="F995" s="26">
        <v>143</v>
      </c>
      <c r="G995" s="2">
        <f>'TX post'!I165</f>
        <v>726</v>
      </c>
      <c r="H995" s="88">
        <f>'TX post'!M165</f>
        <v>139.99300699300699</v>
      </c>
      <c r="I995" s="29">
        <f>'TX post'!P165</f>
        <v>34903.410000000003</v>
      </c>
      <c r="J995" s="27">
        <v>5</v>
      </c>
      <c r="K995" s="29">
        <f>'TX post'!R165</f>
        <v>6500</v>
      </c>
      <c r="L995" s="41">
        <v>1922</v>
      </c>
      <c r="N995" s="27" t="str">
        <f t="shared" si="69"/>
        <v>https://ia601500.us.archive.org/33/items/tx192224/1922-24%2c%20selected%20pages%20%28pp.%20192-93%20clipped%29.pdf</v>
      </c>
      <c r="O995" s="27" t="s">
        <v>1970</v>
      </c>
      <c r="P995" s="27" t="s">
        <v>563</v>
      </c>
      <c r="Q995" s="27" t="s">
        <v>2570</v>
      </c>
      <c r="R995" s="27" t="s">
        <v>562</v>
      </c>
      <c r="S995" s="27" t="str">
        <f t="shared" si="70"/>
        <v>https://ia601505.us.archive.org/29/items/tx192426/1924-26.pdf</v>
      </c>
      <c r="T995" s="27" t="str">
        <f t="shared" si="71"/>
        <v>https://babel.hathitrust.org/cgi/pt?id=uiug.30112058522902;view=1up;seq=175</v>
      </c>
      <c r="U995" s="27" t="s">
        <v>2570</v>
      </c>
    </row>
    <row r="996" spans="1:21" x14ac:dyDescent="0.25">
      <c r="A996" s="27" t="s">
        <v>1529</v>
      </c>
      <c r="B996" s="27" t="str">
        <f t="shared" si="67"/>
        <v>Texas</v>
      </c>
      <c r="C996" s="27" t="str">
        <f t="shared" si="68"/>
        <v>Milam</v>
      </c>
      <c r="D996" s="7">
        <f>'TX post'!D166</f>
        <v>6681</v>
      </c>
      <c r="E996" s="2">
        <f>'TX post'!E166</f>
        <v>285</v>
      </c>
      <c r="F996" s="26">
        <v>132</v>
      </c>
      <c r="G996" s="2">
        <f>'TX post'!I166</f>
        <v>10185</v>
      </c>
      <c r="H996" s="88">
        <f>'TX post'!M166</f>
        <v>116.69242424242424</v>
      </c>
      <c r="I996" s="29">
        <f>'TX post'!P166</f>
        <v>272531.06</v>
      </c>
      <c r="J996" s="27">
        <v>100</v>
      </c>
      <c r="K996" s="29">
        <f>'TX post'!R166</f>
        <v>298249</v>
      </c>
      <c r="L996" s="41">
        <v>1922</v>
      </c>
      <c r="N996" s="27" t="str">
        <f t="shared" si="69"/>
        <v>https://ia601500.us.archive.org/33/items/tx192224/1922-24%2c%20selected%20pages%20%28pp.%20192-93%20clipped%29.pdf</v>
      </c>
      <c r="O996" s="27" t="s">
        <v>1970</v>
      </c>
      <c r="P996" s="27" t="s">
        <v>563</v>
      </c>
      <c r="Q996" s="27" t="s">
        <v>2570</v>
      </c>
      <c r="R996" s="27" t="s">
        <v>562</v>
      </c>
      <c r="S996" s="27" t="str">
        <f t="shared" si="70"/>
        <v>https://ia601505.us.archive.org/29/items/tx192426/1924-26.pdf</v>
      </c>
      <c r="T996" s="27" t="str">
        <f t="shared" si="71"/>
        <v>https://babel.hathitrust.org/cgi/pt?id=uiug.30112058522902;view=1up;seq=175</v>
      </c>
      <c r="U996" s="27" t="s">
        <v>2570</v>
      </c>
    </row>
    <row r="997" spans="1:21" x14ac:dyDescent="0.25">
      <c r="A997" s="27" t="s">
        <v>1530</v>
      </c>
      <c r="B997" s="27" t="str">
        <f t="shared" si="67"/>
        <v>Texas</v>
      </c>
      <c r="C997" s="27" t="str">
        <f t="shared" si="68"/>
        <v>Mills</v>
      </c>
      <c r="D997" s="7">
        <f>'TX post'!D167</f>
        <v>699</v>
      </c>
      <c r="E997" s="2">
        <f>'TX post'!E167</f>
        <v>74</v>
      </c>
      <c r="F997" s="26">
        <v>116</v>
      </c>
      <c r="G997" s="2">
        <f>'TX post'!I167</f>
        <v>2104</v>
      </c>
      <c r="H997" s="88">
        <f>'TX post'!M167</f>
        <v>122.7344827586207</v>
      </c>
      <c r="I997" s="29">
        <f>'TX post'!P167</f>
        <v>76765.05</v>
      </c>
      <c r="J997" s="27">
        <v>36</v>
      </c>
      <c r="K997" s="29">
        <f>'TX post'!R167</f>
        <v>77560</v>
      </c>
      <c r="L997" s="41">
        <v>1922</v>
      </c>
      <c r="N997" s="27" t="str">
        <f t="shared" si="69"/>
        <v>https://ia601500.us.archive.org/33/items/tx192224/1922-24%2c%20selected%20pages%20%28pp.%20192-93%20clipped%29.pdf</v>
      </c>
      <c r="O997" s="27" t="s">
        <v>1970</v>
      </c>
      <c r="P997" s="27" t="s">
        <v>563</v>
      </c>
      <c r="Q997" s="27" t="s">
        <v>2570</v>
      </c>
      <c r="R997" s="27" t="s">
        <v>562</v>
      </c>
      <c r="S997" s="27" t="str">
        <f t="shared" si="70"/>
        <v>https://ia601505.us.archive.org/29/items/tx192426/1924-26.pdf</v>
      </c>
      <c r="T997" s="27" t="str">
        <f t="shared" si="71"/>
        <v>https://babel.hathitrust.org/cgi/pt?id=uiug.30112058522902;view=1up;seq=175</v>
      </c>
      <c r="U997" s="27" t="s">
        <v>2570</v>
      </c>
    </row>
    <row r="998" spans="1:21" x14ac:dyDescent="0.25">
      <c r="A998" s="27" t="s">
        <v>1531</v>
      </c>
      <c r="B998" s="27" t="str">
        <f t="shared" si="67"/>
        <v>Texas</v>
      </c>
      <c r="C998" s="27" t="str">
        <f t="shared" si="68"/>
        <v>Mitchell</v>
      </c>
      <c r="D998" s="7">
        <f>'TX post'!D168</f>
        <v>2039</v>
      </c>
      <c r="E998" s="2">
        <f>'TX post'!E168</f>
        <v>74</v>
      </c>
      <c r="F998" s="26">
        <v>124</v>
      </c>
      <c r="G998" s="2">
        <f>'TX post'!I168</f>
        <v>2823</v>
      </c>
      <c r="H998" s="88">
        <f>'TX post'!M168</f>
        <v>134.18709677419355</v>
      </c>
      <c r="I998" s="29">
        <f>'TX post'!P168</f>
        <v>120384.25</v>
      </c>
      <c r="J998" s="27">
        <v>24</v>
      </c>
      <c r="K998" s="29">
        <f>'TX post'!R168</f>
        <v>60592.5</v>
      </c>
      <c r="L998" s="41">
        <v>1922</v>
      </c>
      <c r="N998" s="27" t="str">
        <f t="shared" si="69"/>
        <v>https://ia601500.us.archive.org/33/items/tx192224/1922-24%2c%20selected%20pages%20%28pp.%20192-93%20clipped%29.pdf</v>
      </c>
      <c r="O998" s="27" t="s">
        <v>1970</v>
      </c>
      <c r="P998" s="27" t="s">
        <v>563</v>
      </c>
      <c r="Q998" s="27" t="s">
        <v>2570</v>
      </c>
      <c r="R998" s="27" t="s">
        <v>562</v>
      </c>
      <c r="S998" s="27" t="str">
        <f t="shared" si="70"/>
        <v>https://ia601505.us.archive.org/29/items/tx192426/1924-26.pdf</v>
      </c>
      <c r="T998" s="27" t="str">
        <f t="shared" si="71"/>
        <v>https://babel.hathitrust.org/cgi/pt?id=uiug.30112058522902;view=1up;seq=175</v>
      </c>
      <c r="U998" s="27" t="s">
        <v>2570</v>
      </c>
    </row>
    <row r="999" spans="1:21" x14ac:dyDescent="0.25">
      <c r="A999" s="27" t="s">
        <v>1532</v>
      </c>
      <c r="B999" s="27" t="str">
        <f t="shared" si="67"/>
        <v>Texas</v>
      </c>
      <c r="C999" s="27" t="str">
        <f t="shared" si="68"/>
        <v>Montague</v>
      </c>
      <c r="D999" s="7">
        <f>'TX post'!D169</f>
        <v>4158</v>
      </c>
      <c r="E999" s="2">
        <f>'TX post'!E169</f>
        <v>247</v>
      </c>
      <c r="F999" s="26">
        <v>110</v>
      </c>
      <c r="G999" s="2">
        <f>'TX post'!I169</f>
        <v>6606</v>
      </c>
      <c r="H999" s="88">
        <f>'TX post'!M169</f>
        <v>109.80727272727273</v>
      </c>
      <c r="I999" s="29">
        <f>'TX post'!P169</f>
        <v>200000.84</v>
      </c>
      <c r="J999" s="27">
        <v>57</v>
      </c>
      <c r="K999" s="29">
        <f>'TX post'!R169</f>
        <v>197500</v>
      </c>
      <c r="L999" s="41">
        <v>1922</v>
      </c>
      <c r="N999" s="27" t="str">
        <f t="shared" si="69"/>
        <v>https://ia601500.us.archive.org/33/items/tx192224/1922-24%2c%20selected%20pages%20%28pp.%20192-93%20clipped%29.pdf</v>
      </c>
      <c r="O999" s="27" t="s">
        <v>1970</v>
      </c>
      <c r="P999" s="27" t="s">
        <v>563</v>
      </c>
      <c r="Q999" s="27" t="s">
        <v>2570</v>
      </c>
      <c r="R999" s="27" t="s">
        <v>562</v>
      </c>
      <c r="S999" s="27" t="str">
        <f t="shared" si="70"/>
        <v>https://ia601505.us.archive.org/29/items/tx192426/1924-26.pdf</v>
      </c>
      <c r="T999" s="27" t="str">
        <f t="shared" si="71"/>
        <v>https://babel.hathitrust.org/cgi/pt?id=uiug.30112058522902;view=1up;seq=175</v>
      </c>
      <c r="U999" s="27" t="s">
        <v>2570</v>
      </c>
    </row>
    <row r="1000" spans="1:21" x14ac:dyDescent="0.25">
      <c r="A1000" s="27" t="s">
        <v>1533</v>
      </c>
      <c r="B1000" s="27" t="str">
        <f t="shared" si="67"/>
        <v>Texas</v>
      </c>
      <c r="C1000" s="27" t="str">
        <f t="shared" si="68"/>
        <v>Montgomery</v>
      </c>
      <c r="D1000" s="7">
        <f>'TX post'!D170</f>
        <v>4918</v>
      </c>
      <c r="E1000" s="2">
        <f>'TX post'!E170</f>
        <v>151</v>
      </c>
      <c r="F1000" s="26">
        <v>140.75</v>
      </c>
      <c r="G1000" s="2">
        <f>'TX post'!I170</f>
        <v>5836</v>
      </c>
      <c r="H1000" s="88">
        <f>'TX post'!M170</f>
        <v>102.83120567375887</v>
      </c>
      <c r="I1000" s="29">
        <f>'TX post'!P170</f>
        <v>119352.34</v>
      </c>
      <c r="J1000" s="27">
        <v>53</v>
      </c>
      <c r="K1000" s="29">
        <f>'TX post'!R170</f>
        <v>73741</v>
      </c>
      <c r="L1000" s="41">
        <v>1922</v>
      </c>
      <c r="N1000" s="27" t="str">
        <f t="shared" si="69"/>
        <v>https://ia601500.us.archive.org/33/items/tx192224/1922-24%2c%20selected%20pages%20%28pp.%20192-93%20clipped%29.pdf</v>
      </c>
      <c r="O1000" s="27" t="s">
        <v>1970</v>
      </c>
      <c r="P1000" s="27" t="s">
        <v>563</v>
      </c>
      <c r="Q1000" s="27" t="s">
        <v>2570</v>
      </c>
      <c r="R1000" s="27" t="s">
        <v>562</v>
      </c>
      <c r="S1000" s="27" t="str">
        <f t="shared" si="70"/>
        <v>https://ia601505.us.archive.org/29/items/tx192426/1924-26.pdf</v>
      </c>
      <c r="T1000" s="27" t="str">
        <f t="shared" si="71"/>
        <v>https://babel.hathitrust.org/cgi/pt?id=uiug.30112058522902;view=1up;seq=175</v>
      </c>
      <c r="U1000" s="27" t="s">
        <v>2570</v>
      </c>
    </row>
    <row r="1001" spans="1:21" x14ac:dyDescent="0.25">
      <c r="A1001" s="27" t="s">
        <v>1534</v>
      </c>
      <c r="B1001" s="27" t="str">
        <f t="shared" si="67"/>
        <v>Texas</v>
      </c>
      <c r="C1001" s="27" t="str">
        <f t="shared" si="68"/>
        <v>Moore</v>
      </c>
      <c r="D1001" s="7">
        <f>'TX post'!D171</f>
        <v>48</v>
      </c>
      <c r="E1001" s="2">
        <f>'TX post'!E171</f>
        <v>11</v>
      </c>
      <c r="F1001" s="26">
        <v>149</v>
      </c>
      <c r="G1001" s="2">
        <f>'TX post'!I171</f>
        <v>122</v>
      </c>
      <c r="H1001" s="88">
        <f>'TX post'!M171</f>
        <v>95.911409395973152</v>
      </c>
      <c r="I1001" s="29">
        <f>'TX post'!P171</f>
        <v>18584.87</v>
      </c>
      <c r="J1001" s="27">
        <v>7</v>
      </c>
      <c r="K1001" s="29">
        <f>'TX post'!R171</f>
        <v>22500</v>
      </c>
      <c r="L1001" s="41">
        <v>1922</v>
      </c>
      <c r="N1001" s="27" t="str">
        <f t="shared" si="69"/>
        <v>https://ia601500.us.archive.org/33/items/tx192224/1922-24%2c%20selected%20pages%20%28pp.%20192-93%20clipped%29.pdf</v>
      </c>
      <c r="O1001" s="27" t="s">
        <v>1970</v>
      </c>
      <c r="P1001" s="27" t="s">
        <v>563</v>
      </c>
      <c r="Q1001" s="27" t="s">
        <v>2570</v>
      </c>
      <c r="R1001" s="27" t="s">
        <v>562</v>
      </c>
      <c r="S1001" s="27" t="str">
        <f t="shared" si="70"/>
        <v>https://ia601505.us.archive.org/29/items/tx192426/1924-26.pdf</v>
      </c>
      <c r="T1001" s="27" t="str">
        <f t="shared" si="71"/>
        <v>https://babel.hathitrust.org/cgi/pt?id=uiug.30112058522902;view=1up;seq=175</v>
      </c>
      <c r="U1001" s="27" t="s">
        <v>2570</v>
      </c>
    </row>
    <row r="1002" spans="1:21" x14ac:dyDescent="0.25">
      <c r="A1002" s="27" t="s">
        <v>1535</v>
      </c>
      <c r="B1002" s="27" t="str">
        <f t="shared" si="67"/>
        <v>Texas</v>
      </c>
      <c r="C1002" s="27" t="str">
        <f t="shared" si="68"/>
        <v>Morris</v>
      </c>
      <c r="D1002" s="7">
        <f>'TX post'!D172</f>
        <v>2530</v>
      </c>
      <c r="E1002" s="2">
        <f>'TX post'!E172</f>
        <v>80</v>
      </c>
      <c r="F1002" s="26">
        <v>119.03</v>
      </c>
      <c r="G1002" s="2">
        <f>'TX post'!I172</f>
        <v>3504</v>
      </c>
      <c r="H1002" s="88">
        <f>'TX post'!M172</f>
        <v>105.06890756302521</v>
      </c>
      <c r="I1002" s="29">
        <f>'TX post'!P172</f>
        <v>700222.31</v>
      </c>
      <c r="J1002" s="27">
        <v>26</v>
      </c>
      <c r="K1002" s="29">
        <f>'TX post'!R172</f>
        <v>54600</v>
      </c>
      <c r="L1002" s="41">
        <v>1922</v>
      </c>
      <c r="N1002" s="27" t="str">
        <f t="shared" si="69"/>
        <v>https://ia601500.us.archive.org/33/items/tx192224/1922-24%2c%20selected%20pages%20%28pp.%20192-93%20clipped%29.pdf</v>
      </c>
      <c r="O1002" s="27" t="s">
        <v>1970</v>
      </c>
      <c r="P1002" s="27" t="s">
        <v>563</v>
      </c>
      <c r="Q1002" s="27" t="s">
        <v>2570</v>
      </c>
      <c r="R1002" s="27" t="s">
        <v>562</v>
      </c>
      <c r="S1002" s="27" t="str">
        <f t="shared" si="70"/>
        <v>https://ia601505.us.archive.org/29/items/tx192426/1924-26.pdf</v>
      </c>
      <c r="T1002" s="27" t="str">
        <f t="shared" si="71"/>
        <v>https://babel.hathitrust.org/cgi/pt?id=uiug.30112058522902;view=1up;seq=175</v>
      </c>
      <c r="U1002" s="27" t="s">
        <v>2570</v>
      </c>
    </row>
    <row r="1003" spans="1:21" x14ac:dyDescent="0.25">
      <c r="A1003" s="27" t="s">
        <v>1536</v>
      </c>
      <c r="B1003" s="27" t="str">
        <f t="shared" si="67"/>
        <v>Texas</v>
      </c>
      <c r="C1003" s="27" t="str">
        <f t="shared" si="68"/>
        <v>Motley</v>
      </c>
      <c r="D1003" s="7">
        <f>'TX post'!D173</f>
        <v>867</v>
      </c>
      <c r="E1003" s="2">
        <f>'TX post'!E173</f>
        <v>52</v>
      </c>
      <c r="F1003" s="26">
        <v>147.91</v>
      </c>
      <c r="G1003" s="2">
        <f>'TX post'!I173</f>
        <v>1333</v>
      </c>
      <c r="H1003" s="88">
        <f>'TX post'!M173</f>
        <v>109.06216216216215</v>
      </c>
      <c r="I1003" s="29">
        <f>'TX post'!P173</f>
        <v>43251.07</v>
      </c>
      <c r="J1003" s="27">
        <v>12</v>
      </c>
      <c r="K1003" s="29">
        <f>'TX post'!R173</f>
        <v>100795</v>
      </c>
      <c r="L1003" s="41">
        <v>1922</v>
      </c>
      <c r="N1003" s="27" t="str">
        <f t="shared" si="69"/>
        <v>https://ia601500.us.archive.org/33/items/tx192224/1922-24%2c%20selected%20pages%20%28pp.%20192-93%20clipped%29.pdf</v>
      </c>
      <c r="O1003" s="27" t="s">
        <v>1970</v>
      </c>
      <c r="P1003" s="27" t="s">
        <v>563</v>
      </c>
      <c r="Q1003" s="27" t="s">
        <v>2570</v>
      </c>
      <c r="R1003" s="27" t="s">
        <v>562</v>
      </c>
      <c r="S1003" s="27" t="str">
        <f t="shared" si="70"/>
        <v>https://ia601505.us.archive.org/29/items/tx192426/1924-26.pdf</v>
      </c>
      <c r="T1003" s="27" t="str">
        <f t="shared" si="71"/>
        <v>https://babel.hathitrust.org/cgi/pt?id=uiug.30112058522902;view=1up;seq=175</v>
      </c>
      <c r="U1003" s="27" t="s">
        <v>2570</v>
      </c>
    </row>
    <row r="1004" spans="1:21" x14ac:dyDescent="0.25">
      <c r="A1004" s="27" t="s">
        <v>1537</v>
      </c>
      <c r="B1004" s="27" t="str">
        <f t="shared" si="67"/>
        <v>Texas</v>
      </c>
      <c r="C1004" s="27" t="str">
        <f t="shared" si="68"/>
        <v>Nacogdoches</v>
      </c>
      <c r="D1004" s="7">
        <f>'TX post'!D174</f>
        <v>7991</v>
      </c>
      <c r="E1004" s="2">
        <f>'TX post'!E174</f>
        <v>245</v>
      </c>
      <c r="F1004" s="26">
        <v>125.1</v>
      </c>
      <c r="G1004" s="2">
        <f>'TX post'!I174</f>
        <v>9215</v>
      </c>
      <c r="H1004" s="88">
        <f>'TX post'!M174</f>
        <v>108.7456</v>
      </c>
      <c r="I1004" s="29">
        <f>'TX post'!P174</f>
        <v>233772.67</v>
      </c>
      <c r="J1004" s="27">
        <v>94</v>
      </c>
      <c r="K1004" s="29"/>
      <c r="L1004" s="41">
        <v>1922</v>
      </c>
      <c r="N1004" s="27" t="str">
        <f t="shared" si="69"/>
        <v>https://ia601500.us.archive.org/33/items/tx192224/1922-24%2c%20selected%20pages%20%28pp.%20192-93%20clipped%29.pdf</v>
      </c>
      <c r="O1004" s="27" t="s">
        <v>1970</v>
      </c>
      <c r="P1004" s="27" t="s">
        <v>563</v>
      </c>
      <c r="Q1004" s="27" t="s">
        <v>2570</v>
      </c>
      <c r="R1004" s="27" t="s">
        <v>562</v>
      </c>
      <c r="S1004" s="27" t="str">
        <f t="shared" si="70"/>
        <v>https://ia601505.us.archive.org/29/items/tx192426/1924-26.pdf</v>
      </c>
      <c r="T1004" s="27" t="str">
        <f t="shared" si="71"/>
        <v>https://babel.hathitrust.org/cgi/pt?id=uiug.30112058522902;view=1up;seq=175</v>
      </c>
      <c r="U1004" s="27" t="s">
        <v>2570</v>
      </c>
    </row>
    <row r="1005" spans="1:21" x14ac:dyDescent="0.25">
      <c r="A1005" s="27" t="s">
        <v>1538</v>
      </c>
      <c r="B1005" s="27" t="str">
        <f t="shared" si="67"/>
        <v>Texas</v>
      </c>
      <c r="C1005" s="27" t="str">
        <f t="shared" si="68"/>
        <v>Navarro</v>
      </c>
      <c r="D1005" s="7">
        <f>'TX post'!D175</f>
        <v>12484</v>
      </c>
      <c r="E1005" s="2">
        <f>'TX post'!E175</f>
        <v>401</v>
      </c>
      <c r="F1005" s="26">
        <v>126.99</v>
      </c>
      <c r="G1005" s="2">
        <f>'TX post'!I175</f>
        <v>15835</v>
      </c>
      <c r="H1005" s="88">
        <f>'TX post'!M175</f>
        <v>129.91023622047243</v>
      </c>
      <c r="I1005" s="29">
        <f>'TX post'!P175</f>
        <v>421534.55</v>
      </c>
      <c r="J1005" s="27">
        <v>109</v>
      </c>
      <c r="K1005" s="29">
        <f>'TX post'!R175</f>
        <v>322316</v>
      </c>
      <c r="L1005" s="41">
        <v>1922</v>
      </c>
      <c r="N1005" s="27" t="str">
        <f t="shared" si="69"/>
        <v>https://ia601500.us.archive.org/33/items/tx192224/1922-24%2c%20selected%20pages%20%28pp.%20192-93%20clipped%29.pdf</v>
      </c>
      <c r="O1005" s="27" t="s">
        <v>1970</v>
      </c>
      <c r="P1005" s="27" t="s">
        <v>563</v>
      </c>
      <c r="Q1005" s="27" t="s">
        <v>2570</v>
      </c>
      <c r="R1005" s="27" t="s">
        <v>562</v>
      </c>
      <c r="S1005" s="27" t="str">
        <f t="shared" si="70"/>
        <v>https://ia601505.us.archive.org/29/items/tx192426/1924-26.pdf</v>
      </c>
      <c r="T1005" s="27" t="str">
        <f t="shared" si="71"/>
        <v>https://babel.hathitrust.org/cgi/pt?id=uiug.30112058522902;view=1up;seq=175</v>
      </c>
      <c r="U1005" s="27" t="s">
        <v>2570</v>
      </c>
    </row>
    <row r="1006" spans="1:21" x14ac:dyDescent="0.25">
      <c r="A1006" s="27" t="s">
        <v>1539</v>
      </c>
      <c r="B1006" s="27" t="str">
        <f t="shared" si="67"/>
        <v>Texas</v>
      </c>
      <c r="C1006" s="27" t="str">
        <f t="shared" si="68"/>
        <v>Newton</v>
      </c>
      <c r="D1006" s="7">
        <f>'TX post'!D176</f>
        <v>1881</v>
      </c>
      <c r="E1006" s="2">
        <f>'TX post'!E176</f>
        <v>91</v>
      </c>
      <c r="F1006" s="26">
        <v>132.55000000000001</v>
      </c>
      <c r="G1006" s="2">
        <f>'TX post'!I176</f>
        <v>3069</v>
      </c>
      <c r="H1006" s="88">
        <f>'TX post'!M176</f>
        <v>108.70827067669173</v>
      </c>
      <c r="I1006" s="29">
        <f>'TX post'!P176</f>
        <v>94369.26</v>
      </c>
      <c r="J1006" s="27">
        <v>45</v>
      </c>
      <c r="K1006" s="29">
        <f>'TX post'!R176</f>
        <v>58500</v>
      </c>
      <c r="L1006" s="41">
        <v>1922</v>
      </c>
      <c r="N1006" s="27" t="str">
        <f t="shared" si="69"/>
        <v>https://ia601500.us.archive.org/33/items/tx192224/1922-24%2c%20selected%20pages%20%28pp.%20192-93%20clipped%29.pdf</v>
      </c>
      <c r="O1006" s="27" t="s">
        <v>1970</v>
      </c>
      <c r="P1006" s="27" t="s">
        <v>563</v>
      </c>
      <c r="Q1006" s="27" t="s">
        <v>2570</v>
      </c>
      <c r="R1006" s="27" t="s">
        <v>562</v>
      </c>
      <c r="S1006" s="27" t="str">
        <f t="shared" si="70"/>
        <v>https://ia601505.us.archive.org/29/items/tx192426/1924-26.pdf</v>
      </c>
      <c r="T1006" s="27" t="str">
        <f t="shared" si="71"/>
        <v>https://babel.hathitrust.org/cgi/pt?id=uiug.30112058522902;view=1up;seq=175</v>
      </c>
      <c r="U1006" s="27" t="s">
        <v>2570</v>
      </c>
    </row>
    <row r="1007" spans="1:21" x14ac:dyDescent="0.25">
      <c r="A1007" s="27" t="s">
        <v>1540</v>
      </c>
      <c r="B1007" s="27" t="str">
        <f t="shared" si="67"/>
        <v>Texas</v>
      </c>
      <c r="C1007" s="27" t="str">
        <f t="shared" si="68"/>
        <v>Nolan</v>
      </c>
      <c r="D1007" s="7">
        <f>'TX post'!D177</f>
        <v>2683</v>
      </c>
      <c r="E1007" s="2">
        <f>'TX post'!E177</f>
        <v>95</v>
      </c>
      <c r="F1007" s="26">
        <v>124.41</v>
      </c>
      <c r="G1007" s="2">
        <f>'TX post'!I177</f>
        <v>3636</v>
      </c>
      <c r="H1007" s="88">
        <f>'TX post'!M177</f>
        <v>131.80483870967743</v>
      </c>
      <c r="I1007" s="29">
        <f>'TX post'!P177</f>
        <v>145452.76999999999</v>
      </c>
      <c r="J1007" s="27">
        <v>49</v>
      </c>
      <c r="K1007" s="29">
        <f>'TX post'!R177</f>
        <v>84431</v>
      </c>
      <c r="L1007" s="41">
        <v>1922</v>
      </c>
      <c r="N1007" s="27" t="str">
        <f t="shared" si="69"/>
        <v>https://ia601500.us.archive.org/33/items/tx192224/1922-24%2c%20selected%20pages%20%28pp.%20192-93%20clipped%29.pdf</v>
      </c>
      <c r="O1007" s="27" t="s">
        <v>1970</v>
      </c>
      <c r="P1007" s="27" t="s">
        <v>563</v>
      </c>
      <c r="Q1007" s="27" t="s">
        <v>2570</v>
      </c>
      <c r="R1007" s="27" t="s">
        <v>562</v>
      </c>
      <c r="S1007" s="27" t="str">
        <f t="shared" si="70"/>
        <v>https://ia601505.us.archive.org/29/items/tx192426/1924-26.pdf</v>
      </c>
      <c r="T1007" s="27" t="str">
        <f t="shared" si="71"/>
        <v>https://babel.hathitrust.org/cgi/pt?id=uiug.30112058522902;view=1up;seq=175</v>
      </c>
      <c r="U1007" s="27" t="s">
        <v>2570</v>
      </c>
    </row>
    <row r="1008" spans="1:21" x14ac:dyDescent="0.25">
      <c r="A1008" s="27" t="s">
        <v>1541</v>
      </c>
      <c r="B1008" s="27" t="str">
        <f t="shared" si="67"/>
        <v>Texas</v>
      </c>
      <c r="C1008" s="27" t="str">
        <f t="shared" si="68"/>
        <v>Nueces</v>
      </c>
      <c r="D1008" s="7">
        <f>'TX post'!D178</f>
        <v>3691</v>
      </c>
      <c r="E1008" s="2">
        <f>'TX post'!E178</f>
        <v>158</v>
      </c>
      <c r="F1008" s="26">
        <v>152.5</v>
      </c>
      <c r="G1008" s="2">
        <f>'TX post'!I178</f>
        <v>5430</v>
      </c>
      <c r="H1008" s="88">
        <f>'TX post'!M178</f>
        <v>136.7202614379085</v>
      </c>
      <c r="I1008" s="29">
        <f>'TX post'!P178</f>
        <v>272162.17</v>
      </c>
      <c r="J1008" s="27">
        <v>22</v>
      </c>
      <c r="K1008" s="29">
        <f>'TX post'!R178</f>
        <v>74797</v>
      </c>
      <c r="L1008" s="41">
        <v>1922</v>
      </c>
      <c r="N1008" s="27" t="str">
        <f t="shared" si="69"/>
        <v>https://ia601500.us.archive.org/33/items/tx192224/1922-24%2c%20selected%20pages%20%28pp.%20192-93%20clipped%29.pdf</v>
      </c>
      <c r="O1008" s="27" t="s">
        <v>1970</v>
      </c>
      <c r="P1008" s="27" t="s">
        <v>563</v>
      </c>
      <c r="Q1008" s="27" t="s">
        <v>2570</v>
      </c>
      <c r="R1008" s="27" t="s">
        <v>562</v>
      </c>
      <c r="S1008" s="27" t="str">
        <f t="shared" si="70"/>
        <v>https://ia601505.us.archive.org/29/items/tx192426/1924-26.pdf</v>
      </c>
      <c r="T1008" s="27" t="str">
        <f t="shared" si="71"/>
        <v>https://babel.hathitrust.org/cgi/pt?id=uiug.30112058522902;view=1up;seq=175</v>
      </c>
      <c r="U1008" s="27" t="s">
        <v>2570</v>
      </c>
    </row>
    <row r="1009" spans="1:21" x14ac:dyDescent="0.25">
      <c r="A1009" s="27" t="s">
        <v>1542</v>
      </c>
      <c r="B1009" s="27" t="str">
        <f t="shared" si="67"/>
        <v>Texas</v>
      </c>
      <c r="C1009" s="27" t="str">
        <f t="shared" si="68"/>
        <v>Ochiltree</v>
      </c>
      <c r="D1009" s="7">
        <f>'TX post'!D179</f>
        <v>762</v>
      </c>
      <c r="E1009" s="2">
        <f>'TX post'!E179</f>
        <v>34</v>
      </c>
      <c r="F1009" s="26">
        <v>154.87</v>
      </c>
      <c r="G1009" s="2">
        <f>'TX post'!I179</f>
        <v>879</v>
      </c>
      <c r="H1009" s="88">
        <f>'TX post'!M179</f>
        <v>149.73548387096776</v>
      </c>
      <c r="I1009" s="29">
        <f>'TX post'!P179</f>
        <v>74121.710000000006</v>
      </c>
      <c r="J1009" s="27">
        <v>8</v>
      </c>
      <c r="K1009" s="29">
        <f>'TX post'!R179</f>
        <v>14695</v>
      </c>
      <c r="L1009" s="41">
        <v>1922</v>
      </c>
      <c r="N1009" s="27" t="str">
        <f t="shared" si="69"/>
        <v>https://ia601500.us.archive.org/33/items/tx192224/1922-24%2c%20selected%20pages%20%28pp.%20192-93%20clipped%29.pdf</v>
      </c>
      <c r="O1009" s="27" t="s">
        <v>1970</v>
      </c>
      <c r="P1009" s="27" t="s">
        <v>563</v>
      </c>
      <c r="Q1009" s="27" t="s">
        <v>2570</v>
      </c>
      <c r="R1009" s="27" t="s">
        <v>562</v>
      </c>
      <c r="S1009" s="27" t="str">
        <f t="shared" si="70"/>
        <v>https://ia601505.us.archive.org/29/items/tx192426/1924-26.pdf</v>
      </c>
      <c r="T1009" s="27" t="str">
        <f t="shared" si="71"/>
        <v>https://babel.hathitrust.org/cgi/pt?id=uiug.30112058522902;view=1up;seq=175</v>
      </c>
      <c r="U1009" s="27" t="s">
        <v>2570</v>
      </c>
    </row>
    <row r="1010" spans="1:21" x14ac:dyDescent="0.25">
      <c r="A1010" s="27" t="s">
        <v>1543</v>
      </c>
      <c r="B1010" s="27" t="str">
        <f t="shared" si="67"/>
        <v>Texas</v>
      </c>
      <c r="C1010" s="27" t="str">
        <f t="shared" si="68"/>
        <v>Oldham</v>
      </c>
      <c r="D1010" s="7">
        <f>'TX post'!D180</f>
        <v>188</v>
      </c>
      <c r="E1010" s="2">
        <f>'TX post'!E180</f>
        <v>15</v>
      </c>
      <c r="F1010" s="26">
        <v>180</v>
      </c>
      <c r="G1010" s="2">
        <f>'TX post'!I180</f>
        <v>256</v>
      </c>
      <c r="H1010" s="88">
        <f>'TX post'!M180</f>
        <v>94.162222222222226</v>
      </c>
      <c r="I1010" s="29">
        <f>'TX post'!P180</f>
        <v>25540.240000000002</v>
      </c>
      <c r="J1010" s="27">
        <v>5</v>
      </c>
      <c r="K1010" s="29">
        <f>'TX post'!R180</f>
        <v>27525</v>
      </c>
      <c r="L1010" s="41">
        <v>1922</v>
      </c>
      <c r="N1010" s="27" t="str">
        <f t="shared" si="69"/>
        <v>https://ia601500.us.archive.org/33/items/tx192224/1922-24%2c%20selected%20pages%20%28pp.%20192-93%20clipped%29.pdf</v>
      </c>
      <c r="O1010" s="27" t="s">
        <v>1970</v>
      </c>
      <c r="P1010" s="27" t="s">
        <v>563</v>
      </c>
      <c r="Q1010" s="27" t="s">
        <v>2570</v>
      </c>
      <c r="R1010" s="27" t="s">
        <v>562</v>
      </c>
      <c r="S1010" s="27" t="str">
        <f t="shared" si="70"/>
        <v>https://ia601505.us.archive.org/29/items/tx192426/1924-26.pdf</v>
      </c>
      <c r="T1010" s="27" t="str">
        <f t="shared" si="71"/>
        <v>https://babel.hathitrust.org/cgi/pt?id=uiug.30112058522902;view=1up;seq=175</v>
      </c>
      <c r="U1010" s="27" t="s">
        <v>2570</v>
      </c>
    </row>
    <row r="1011" spans="1:21" x14ac:dyDescent="0.25">
      <c r="A1011" s="27" t="s">
        <v>1544</v>
      </c>
      <c r="B1011" s="27" t="str">
        <f t="shared" si="67"/>
        <v>Texas</v>
      </c>
      <c r="C1011" s="27" t="str">
        <f t="shared" si="68"/>
        <v>Orange</v>
      </c>
      <c r="D1011" s="7">
        <f>'TX post'!D181</f>
        <v>3082</v>
      </c>
      <c r="E1011" s="2">
        <f>'TX post'!E181</f>
        <v>107</v>
      </c>
      <c r="F1011" s="26">
        <v>167.14</v>
      </c>
      <c r="G1011" s="2">
        <f>'TX post'!I181</f>
        <v>3816</v>
      </c>
      <c r="H1011" s="88">
        <f>'TX post'!M181</f>
        <v>122.62035928143713</v>
      </c>
      <c r="I1011" s="29">
        <f>'TX post'!P181</f>
        <v>162476.56</v>
      </c>
      <c r="J1011" s="27">
        <v>14</v>
      </c>
      <c r="K1011" s="29">
        <f>'TX post'!R181</f>
        <v>51650</v>
      </c>
      <c r="L1011" s="41">
        <v>1922</v>
      </c>
      <c r="N1011" s="27" t="str">
        <f t="shared" si="69"/>
        <v>https://ia601500.us.archive.org/33/items/tx192224/1922-24%2c%20selected%20pages%20%28pp.%20192-93%20clipped%29.pdf</v>
      </c>
      <c r="O1011" s="27" t="s">
        <v>1970</v>
      </c>
      <c r="P1011" s="27" t="s">
        <v>563</v>
      </c>
      <c r="Q1011" s="27" t="s">
        <v>2570</v>
      </c>
      <c r="R1011" s="27" t="s">
        <v>562</v>
      </c>
      <c r="S1011" s="27" t="str">
        <f t="shared" si="70"/>
        <v>https://ia601505.us.archive.org/29/items/tx192426/1924-26.pdf</v>
      </c>
      <c r="T1011" s="27" t="str">
        <f t="shared" si="71"/>
        <v>https://babel.hathitrust.org/cgi/pt?id=uiug.30112058522902;view=1up;seq=175</v>
      </c>
      <c r="U1011" s="27" t="s">
        <v>2570</v>
      </c>
    </row>
    <row r="1012" spans="1:21" x14ac:dyDescent="0.25">
      <c r="A1012" s="27" t="s">
        <v>1545</v>
      </c>
      <c r="B1012" s="27" t="str">
        <f t="shared" si="67"/>
        <v>Texas</v>
      </c>
      <c r="C1012" s="27" t="str">
        <f t="shared" si="68"/>
        <v>Palo Pinto</v>
      </c>
      <c r="D1012" s="7">
        <f>'TX post'!D182</f>
        <v>3772</v>
      </c>
      <c r="E1012" s="2">
        <f>'TX post'!E182</f>
        <v>97</v>
      </c>
      <c r="F1012" s="26">
        <v>133.66999999999999</v>
      </c>
      <c r="G1012" s="2">
        <f>'TX post'!I182</f>
        <v>5596</v>
      </c>
      <c r="H1012" s="88">
        <f>'TX post'!M182</f>
        <v>169.95820895522388</v>
      </c>
      <c r="I1012" s="29">
        <f>'TX post'!P182</f>
        <v>205360.53</v>
      </c>
      <c r="J1012" s="27">
        <v>37</v>
      </c>
      <c r="K1012" s="29">
        <f>'TX post'!R182</f>
        <v>147400</v>
      </c>
      <c r="L1012" s="41">
        <v>1922</v>
      </c>
      <c r="N1012" s="27" t="str">
        <f t="shared" si="69"/>
        <v>https://ia601500.us.archive.org/33/items/tx192224/1922-24%2c%20selected%20pages%20%28pp.%20192-93%20clipped%29.pdf</v>
      </c>
      <c r="O1012" s="27" t="s">
        <v>1970</v>
      </c>
      <c r="P1012" s="27" t="s">
        <v>563</v>
      </c>
      <c r="Q1012" s="27" t="s">
        <v>2570</v>
      </c>
      <c r="R1012" s="27" t="s">
        <v>562</v>
      </c>
      <c r="S1012" s="27" t="str">
        <f t="shared" si="70"/>
        <v>https://ia601505.us.archive.org/29/items/tx192426/1924-26.pdf</v>
      </c>
      <c r="T1012" s="27" t="str">
        <f t="shared" si="71"/>
        <v>https://babel.hathitrust.org/cgi/pt?id=uiug.30112058522902;view=1up;seq=175</v>
      </c>
      <c r="U1012" s="27" t="s">
        <v>2570</v>
      </c>
    </row>
    <row r="1013" spans="1:21" x14ac:dyDescent="0.25">
      <c r="A1013" s="27" t="s">
        <v>1546</v>
      </c>
      <c r="B1013" s="27" t="str">
        <f t="shared" si="67"/>
        <v>Texas</v>
      </c>
      <c r="C1013" s="27" t="str">
        <f t="shared" si="68"/>
        <v>Panola</v>
      </c>
      <c r="D1013" s="7">
        <f>'TX post'!D183</f>
        <v>4117</v>
      </c>
      <c r="E1013" s="2">
        <f>'TX post'!E183</f>
        <v>175</v>
      </c>
      <c r="F1013" s="26">
        <v>144</v>
      </c>
      <c r="G1013" s="2">
        <f>'TX post'!I183</f>
        <v>7598</v>
      </c>
      <c r="H1013" s="88">
        <f>'TX post'!M183</f>
        <v>85.24166666666666</v>
      </c>
      <c r="I1013" s="29">
        <f>'TX post'!P183</f>
        <v>150106.76999999999</v>
      </c>
      <c r="J1013" s="27">
        <v>90</v>
      </c>
      <c r="K1013" s="29">
        <f>'TX post'!R183</f>
        <v>72985</v>
      </c>
      <c r="L1013" s="41">
        <v>1922</v>
      </c>
      <c r="N1013" s="27" t="str">
        <f t="shared" si="69"/>
        <v>https://ia601500.us.archive.org/33/items/tx192224/1922-24%2c%20selected%20pages%20%28pp.%20192-93%20clipped%29.pdf</v>
      </c>
      <c r="O1013" s="27" t="s">
        <v>1970</v>
      </c>
      <c r="P1013" s="27" t="s">
        <v>563</v>
      </c>
      <c r="Q1013" s="27" t="s">
        <v>2570</v>
      </c>
      <c r="R1013" s="27" t="s">
        <v>562</v>
      </c>
      <c r="S1013" s="27" t="str">
        <f t="shared" si="70"/>
        <v>https://ia601505.us.archive.org/29/items/tx192426/1924-26.pdf</v>
      </c>
      <c r="T1013" s="27" t="str">
        <f t="shared" si="71"/>
        <v>https://babel.hathitrust.org/cgi/pt?id=uiug.30112058522902;view=1up;seq=175</v>
      </c>
      <c r="U1013" s="27" t="s">
        <v>2570</v>
      </c>
    </row>
    <row r="1014" spans="1:21" x14ac:dyDescent="0.25">
      <c r="A1014" s="27" t="s">
        <v>1547</v>
      </c>
      <c r="B1014" s="27" t="str">
        <f t="shared" si="67"/>
        <v>Texas</v>
      </c>
      <c r="C1014" s="27" t="str">
        <f t="shared" si="68"/>
        <v>Parker</v>
      </c>
      <c r="D1014" s="7">
        <f>'TX post'!D184</f>
        <v>4830</v>
      </c>
      <c r="E1014" s="2">
        <f>'TX post'!E184</f>
        <v>186</v>
      </c>
      <c r="F1014" s="26">
        <v>140.57</v>
      </c>
      <c r="G1014" s="2">
        <f>'TX post'!I184</f>
        <v>6546</v>
      </c>
      <c r="H1014" s="88">
        <f>'TX post'!M184</f>
        <v>120.27375886524823</v>
      </c>
      <c r="I1014" s="29">
        <f>'TX post'!P184</f>
        <v>187149.62</v>
      </c>
      <c r="J1014" s="27">
        <v>70</v>
      </c>
      <c r="K1014" s="29">
        <f>'TX post'!R184</f>
        <v>416600</v>
      </c>
      <c r="L1014" s="41">
        <v>1922</v>
      </c>
      <c r="N1014" s="27" t="str">
        <f t="shared" si="69"/>
        <v>https://ia601500.us.archive.org/33/items/tx192224/1922-24%2c%20selected%20pages%20%28pp.%20192-93%20clipped%29.pdf</v>
      </c>
      <c r="O1014" s="27" t="s">
        <v>1970</v>
      </c>
      <c r="P1014" s="27" t="s">
        <v>563</v>
      </c>
      <c r="Q1014" s="27" t="s">
        <v>2570</v>
      </c>
      <c r="R1014" s="27" t="s">
        <v>562</v>
      </c>
      <c r="S1014" s="27" t="str">
        <f t="shared" si="70"/>
        <v>https://ia601505.us.archive.org/29/items/tx192426/1924-26.pdf</v>
      </c>
      <c r="T1014" s="27" t="str">
        <f t="shared" si="71"/>
        <v>https://babel.hathitrust.org/cgi/pt?id=uiug.30112058522902;view=1up;seq=175</v>
      </c>
      <c r="U1014" s="27" t="s">
        <v>2570</v>
      </c>
    </row>
    <row r="1015" spans="1:21" x14ac:dyDescent="0.25">
      <c r="A1015" s="27" t="s">
        <v>1548</v>
      </c>
      <c r="B1015" s="27" t="str">
        <f t="shared" si="67"/>
        <v>Texas</v>
      </c>
      <c r="C1015" s="27" t="str">
        <f t="shared" si="68"/>
        <v>Parmer</v>
      </c>
      <c r="D1015" s="7">
        <f>'TX post'!D185</f>
        <v>479</v>
      </c>
      <c r="E1015" s="2">
        <f>'TX post'!E185</f>
        <v>27</v>
      </c>
      <c r="F1015" s="26">
        <v>163.44999999999999</v>
      </c>
      <c r="G1015" s="2">
        <f>'TX post'!I185</f>
        <v>623</v>
      </c>
      <c r="H1015" s="88">
        <f>'TX post'!M185</f>
        <v>127.33374233128833</v>
      </c>
      <c r="I1015" s="29">
        <f>'TX post'!P185</f>
        <v>55874.84</v>
      </c>
      <c r="J1015" s="27">
        <v>11</v>
      </c>
      <c r="K1015" s="29">
        <f>'TX post'!R185</f>
        <v>28000</v>
      </c>
      <c r="L1015" s="41">
        <v>1922</v>
      </c>
      <c r="N1015" s="27" t="str">
        <f t="shared" si="69"/>
        <v>https://ia601500.us.archive.org/33/items/tx192224/1922-24%2c%20selected%20pages%20%28pp.%20192-93%20clipped%29.pdf</v>
      </c>
      <c r="O1015" s="27" t="s">
        <v>1970</v>
      </c>
      <c r="P1015" s="27" t="s">
        <v>563</v>
      </c>
      <c r="Q1015" s="27" t="s">
        <v>2570</v>
      </c>
      <c r="R1015" s="27" t="s">
        <v>562</v>
      </c>
      <c r="S1015" s="27" t="str">
        <f t="shared" si="70"/>
        <v>https://ia601505.us.archive.org/29/items/tx192426/1924-26.pdf</v>
      </c>
      <c r="T1015" s="27" t="str">
        <f t="shared" si="71"/>
        <v>https://babel.hathitrust.org/cgi/pt?id=uiug.30112058522902;view=1up;seq=175</v>
      </c>
      <c r="U1015" s="27" t="s">
        <v>2570</v>
      </c>
    </row>
    <row r="1016" spans="1:21" x14ac:dyDescent="0.25">
      <c r="A1016" s="27" t="s">
        <v>1549</v>
      </c>
      <c r="B1016" s="27" t="str">
        <f t="shared" si="67"/>
        <v>Texas</v>
      </c>
      <c r="C1016" s="27" t="str">
        <f t="shared" si="68"/>
        <v>Pecos</v>
      </c>
      <c r="D1016" s="7">
        <f>'TX post'!D186</f>
        <v>648</v>
      </c>
      <c r="E1016" s="2">
        <f>'TX post'!E186</f>
        <v>21</v>
      </c>
      <c r="F1016" s="26">
        <v>153</v>
      </c>
      <c r="G1016" s="2">
        <f>'TX post'!I186</f>
        <v>627</v>
      </c>
      <c r="H1016" s="88">
        <f>'TX post'!M186</f>
        <v>189.35555555555553</v>
      </c>
      <c r="I1016" s="29">
        <f>'TX post'!P186</f>
        <v>48058.23</v>
      </c>
      <c r="J1016" s="27">
        <v>4</v>
      </c>
      <c r="K1016" s="29"/>
      <c r="L1016" s="41">
        <v>1922</v>
      </c>
      <c r="N1016" s="27" t="str">
        <f t="shared" si="69"/>
        <v>https://ia601500.us.archive.org/33/items/tx192224/1922-24%2c%20selected%20pages%20%28pp.%20192-93%20clipped%29.pdf</v>
      </c>
      <c r="O1016" s="27" t="s">
        <v>1970</v>
      </c>
      <c r="P1016" s="27" t="s">
        <v>563</v>
      </c>
      <c r="Q1016" s="27" t="s">
        <v>2570</v>
      </c>
      <c r="R1016" s="27" t="s">
        <v>562</v>
      </c>
      <c r="S1016" s="27" t="str">
        <f t="shared" si="70"/>
        <v>https://ia601505.us.archive.org/29/items/tx192426/1924-26.pdf</v>
      </c>
      <c r="T1016" s="27" t="str">
        <f t="shared" si="71"/>
        <v>https://babel.hathitrust.org/cgi/pt?id=uiug.30112058522902;view=1up;seq=175</v>
      </c>
      <c r="U1016" s="27" t="s">
        <v>2570</v>
      </c>
    </row>
    <row r="1017" spans="1:21" x14ac:dyDescent="0.25">
      <c r="A1017" s="27" t="s">
        <v>1550</v>
      </c>
      <c r="B1017" s="27" t="str">
        <f t="shared" si="67"/>
        <v>Texas</v>
      </c>
      <c r="C1017" s="27" t="str">
        <f t="shared" si="68"/>
        <v>Polk</v>
      </c>
      <c r="D1017" s="7">
        <f>'TX post'!D187</f>
        <v>3967</v>
      </c>
      <c r="E1017" s="2">
        <f>'TX post'!E187</f>
        <v>146</v>
      </c>
      <c r="F1017" s="26">
        <v>136.36000000000001</v>
      </c>
      <c r="G1017" s="2">
        <f>'TX post'!I187</f>
        <v>4896</v>
      </c>
      <c r="H1017" s="88">
        <f>'TX post'!M187</f>
        <v>98.326470588235296</v>
      </c>
      <c r="I1017" s="29">
        <f>'TX post'!P187</f>
        <v>156528.69</v>
      </c>
      <c r="J1017" s="27">
        <v>77</v>
      </c>
      <c r="K1017" s="29">
        <f>'TX post'!R187</f>
        <v>128650</v>
      </c>
      <c r="L1017" s="41">
        <v>1922</v>
      </c>
      <c r="N1017" s="27" t="str">
        <f t="shared" si="69"/>
        <v>https://ia601500.us.archive.org/33/items/tx192224/1922-24%2c%20selected%20pages%20%28pp.%20192-93%20clipped%29.pdf</v>
      </c>
      <c r="O1017" s="27" t="s">
        <v>1970</v>
      </c>
      <c r="P1017" s="27" t="s">
        <v>563</v>
      </c>
      <c r="Q1017" s="27" t="s">
        <v>2570</v>
      </c>
      <c r="R1017" s="27" t="s">
        <v>562</v>
      </c>
      <c r="S1017" s="27" t="str">
        <f t="shared" si="70"/>
        <v>https://ia601505.us.archive.org/29/items/tx192426/1924-26.pdf</v>
      </c>
      <c r="T1017" s="27" t="str">
        <f t="shared" si="71"/>
        <v>https://babel.hathitrust.org/cgi/pt?id=uiug.30112058522902;view=1up;seq=175</v>
      </c>
      <c r="U1017" s="27" t="s">
        <v>2570</v>
      </c>
    </row>
    <row r="1018" spans="1:21" x14ac:dyDescent="0.25">
      <c r="A1018" s="27" t="s">
        <v>1551</v>
      </c>
      <c r="B1018" s="27" t="str">
        <f t="shared" si="67"/>
        <v>Texas</v>
      </c>
      <c r="C1018" s="27" t="str">
        <f t="shared" si="68"/>
        <v>Potter</v>
      </c>
      <c r="D1018" s="7">
        <f>'TX post'!D188</f>
        <v>877</v>
      </c>
      <c r="E1018" s="2">
        <f>'TX post'!E188</f>
        <v>113</v>
      </c>
      <c r="F1018" s="26">
        <v>164</v>
      </c>
      <c r="G1018" s="2">
        <f>'TX post'!I188</f>
        <v>4044</v>
      </c>
      <c r="H1018" s="88">
        <f>'TX post'!M188</f>
        <v>168.00609756097563</v>
      </c>
      <c r="I1018" s="29">
        <f>'TX post'!P188</f>
        <v>32478.43</v>
      </c>
      <c r="J1018" s="27">
        <v>10</v>
      </c>
      <c r="K1018" s="29">
        <f>'TX post'!R188</f>
        <v>10650</v>
      </c>
      <c r="L1018" s="41">
        <v>1922</v>
      </c>
      <c r="N1018" s="27" t="str">
        <f t="shared" si="69"/>
        <v>https://ia601500.us.archive.org/33/items/tx192224/1922-24%2c%20selected%20pages%20%28pp.%20192-93%20clipped%29.pdf</v>
      </c>
      <c r="O1018" s="27" t="s">
        <v>1970</v>
      </c>
      <c r="P1018" s="27" t="s">
        <v>563</v>
      </c>
      <c r="Q1018" s="27" t="s">
        <v>2570</v>
      </c>
      <c r="R1018" s="27" t="s">
        <v>562</v>
      </c>
      <c r="S1018" s="27" t="str">
        <f t="shared" si="70"/>
        <v>https://ia601505.us.archive.org/29/items/tx192426/1924-26.pdf</v>
      </c>
      <c r="T1018" s="27" t="str">
        <f t="shared" si="71"/>
        <v>https://babel.hathitrust.org/cgi/pt?id=uiug.30112058522902;view=1up;seq=175</v>
      </c>
      <c r="U1018" s="27" t="s">
        <v>2570</v>
      </c>
    </row>
    <row r="1019" spans="1:21" x14ac:dyDescent="0.25">
      <c r="A1019" s="27" t="s">
        <v>1552</v>
      </c>
      <c r="B1019" s="27" t="str">
        <f t="shared" si="67"/>
        <v>Texas</v>
      </c>
      <c r="C1019" s="27" t="str">
        <f t="shared" si="68"/>
        <v>Presidio</v>
      </c>
      <c r="D1019" s="7">
        <f>'TX post'!D189</f>
        <v>723</v>
      </c>
      <c r="E1019" s="2">
        <f>'TX post'!E189</f>
        <v>71</v>
      </c>
      <c r="F1019" s="26">
        <v>171.66</v>
      </c>
      <c r="G1019" s="2">
        <f>'TX post'!I189</f>
        <v>937</v>
      </c>
      <c r="H1019" s="88">
        <f>'TX post'!M189</f>
        <v>63.276744186046507</v>
      </c>
      <c r="I1019" s="29">
        <f>'TX post'!P189</f>
        <v>47350.37</v>
      </c>
      <c r="J1019" s="27">
        <v>12</v>
      </c>
      <c r="K1019" s="29">
        <f>'TX post'!R189</f>
        <v>76182.5</v>
      </c>
      <c r="L1019" s="41">
        <v>1922</v>
      </c>
      <c r="N1019" s="27" t="str">
        <f t="shared" si="69"/>
        <v>https://ia601500.us.archive.org/33/items/tx192224/1922-24%2c%20selected%20pages%20%28pp.%20192-93%20clipped%29.pdf</v>
      </c>
      <c r="O1019" s="27" t="s">
        <v>1970</v>
      </c>
      <c r="P1019" s="27" t="s">
        <v>563</v>
      </c>
      <c r="Q1019" s="27" t="s">
        <v>2570</v>
      </c>
      <c r="R1019" s="27" t="s">
        <v>562</v>
      </c>
      <c r="S1019" s="27" t="str">
        <f t="shared" si="70"/>
        <v>https://ia601505.us.archive.org/29/items/tx192426/1924-26.pdf</v>
      </c>
      <c r="T1019" s="27" t="str">
        <f t="shared" si="71"/>
        <v>https://babel.hathitrust.org/cgi/pt?id=uiug.30112058522902;view=1up;seq=175</v>
      </c>
      <c r="U1019" s="27" t="s">
        <v>2570</v>
      </c>
    </row>
    <row r="1020" spans="1:21" x14ac:dyDescent="0.25">
      <c r="A1020" s="27" t="s">
        <v>1553</v>
      </c>
      <c r="B1020" s="27" t="str">
        <f t="shared" si="67"/>
        <v>Texas</v>
      </c>
      <c r="C1020" s="27" t="str">
        <f t="shared" si="68"/>
        <v>Rains</v>
      </c>
      <c r="D1020" s="7">
        <f>'TX post'!D190</f>
        <v>1925</v>
      </c>
      <c r="E1020" s="2">
        <f>'TX post'!E190</f>
        <v>61</v>
      </c>
      <c r="F1020" s="26">
        <v>116.32</v>
      </c>
      <c r="G1020" s="2">
        <f>'TX post'!I190</f>
        <v>2989</v>
      </c>
      <c r="H1020" s="88">
        <f>'TX post'!M190</f>
        <v>105.38620689655173</v>
      </c>
      <c r="I1020" s="29">
        <f>'TX post'!P190</f>
        <v>62884.43</v>
      </c>
      <c r="J1020" s="27">
        <v>28</v>
      </c>
      <c r="K1020" s="29">
        <f>'TX post'!R190</f>
        <v>91000</v>
      </c>
      <c r="L1020" s="41">
        <v>1922</v>
      </c>
      <c r="N1020" s="27" t="str">
        <f t="shared" si="69"/>
        <v>https://ia601500.us.archive.org/33/items/tx192224/1922-24%2c%20selected%20pages%20%28pp.%20192-93%20clipped%29.pdf</v>
      </c>
      <c r="O1020" s="27" t="s">
        <v>1970</v>
      </c>
      <c r="P1020" s="27" t="s">
        <v>563</v>
      </c>
      <c r="Q1020" s="27" t="s">
        <v>2570</v>
      </c>
      <c r="R1020" s="27" t="s">
        <v>562</v>
      </c>
      <c r="S1020" s="27" t="str">
        <f t="shared" si="70"/>
        <v>https://ia601505.us.archive.org/29/items/tx192426/1924-26.pdf</v>
      </c>
      <c r="T1020" s="27" t="str">
        <f t="shared" si="71"/>
        <v>https://babel.hathitrust.org/cgi/pt?id=uiug.30112058522902;view=1up;seq=175</v>
      </c>
      <c r="U1020" s="27" t="s">
        <v>2570</v>
      </c>
    </row>
    <row r="1021" spans="1:21" x14ac:dyDescent="0.25">
      <c r="A1021" s="27" t="s">
        <v>1554</v>
      </c>
      <c r="B1021" s="27" t="str">
        <f t="shared" si="67"/>
        <v>Texas</v>
      </c>
      <c r="C1021" s="27" t="str">
        <f t="shared" si="68"/>
        <v>Randall</v>
      </c>
      <c r="D1021" s="7">
        <f>'TX post'!D191</f>
        <v>905</v>
      </c>
      <c r="E1021" s="2">
        <f>'TX post'!E191</f>
        <v>33</v>
      </c>
      <c r="F1021" s="26">
        <v>162.85</v>
      </c>
      <c r="G1021" s="2">
        <f>'TX post'!I191</f>
        <v>828</v>
      </c>
      <c r="H1021" s="88">
        <f>'TX post'!M191</f>
        <v>118.64662576687117</v>
      </c>
      <c r="I1021" s="29">
        <f>'TX post'!P191</f>
        <v>63634.41</v>
      </c>
      <c r="J1021" s="27">
        <v>21</v>
      </c>
      <c r="K1021" s="29">
        <f>'TX post'!R191</f>
        <v>31500</v>
      </c>
      <c r="L1021" s="41">
        <v>1922</v>
      </c>
      <c r="N1021" s="27" t="str">
        <f t="shared" si="69"/>
        <v>https://ia601500.us.archive.org/33/items/tx192224/1922-24%2c%20selected%20pages%20%28pp.%20192-93%20clipped%29.pdf</v>
      </c>
      <c r="O1021" s="27" t="s">
        <v>1970</v>
      </c>
      <c r="P1021" s="27" t="s">
        <v>563</v>
      </c>
      <c r="Q1021" s="27" t="s">
        <v>2570</v>
      </c>
      <c r="R1021" s="27" t="s">
        <v>562</v>
      </c>
      <c r="S1021" s="27" t="str">
        <f t="shared" si="70"/>
        <v>https://ia601505.us.archive.org/29/items/tx192426/1924-26.pdf</v>
      </c>
      <c r="T1021" s="27" t="str">
        <f t="shared" si="71"/>
        <v>https://babel.hathitrust.org/cgi/pt?id=uiug.30112058522902;view=1up;seq=175</v>
      </c>
      <c r="U1021" s="27" t="s">
        <v>2570</v>
      </c>
    </row>
    <row r="1022" spans="1:21" x14ac:dyDescent="0.25">
      <c r="A1022" s="27" t="s">
        <v>1555</v>
      </c>
      <c r="B1022" s="27" t="str">
        <f t="shared" si="67"/>
        <v>Texas</v>
      </c>
      <c r="C1022" s="27" t="str">
        <f t="shared" si="68"/>
        <v>Reagan</v>
      </c>
      <c r="D1022" s="7">
        <f>'TX post'!D192</f>
        <v>61</v>
      </c>
      <c r="E1022" s="2">
        <f>'TX post'!E192</f>
        <v>7</v>
      </c>
      <c r="F1022" s="26">
        <v>180</v>
      </c>
      <c r="G1022" s="2">
        <f>'TX post'!I192</f>
        <v>89</v>
      </c>
      <c r="H1022" s="88">
        <f>'TX post'!M192</f>
        <v>93.904444444444437</v>
      </c>
      <c r="I1022" s="29">
        <f>'TX post'!P192</f>
        <v>14252.65</v>
      </c>
      <c r="J1022" s="27">
        <v>3</v>
      </c>
      <c r="K1022" s="29">
        <f>'TX post'!R192</f>
        <v>14850</v>
      </c>
      <c r="L1022" s="41">
        <v>1922</v>
      </c>
      <c r="N1022" s="27" t="str">
        <f t="shared" si="69"/>
        <v>https://ia601500.us.archive.org/33/items/tx192224/1922-24%2c%20selected%20pages%20%28pp.%20192-93%20clipped%29.pdf</v>
      </c>
      <c r="O1022" s="27" t="s">
        <v>1970</v>
      </c>
      <c r="P1022" s="27" t="s">
        <v>563</v>
      </c>
      <c r="Q1022" s="27" t="s">
        <v>2570</v>
      </c>
      <c r="R1022" s="27" t="s">
        <v>562</v>
      </c>
      <c r="S1022" s="27" t="str">
        <f t="shared" si="70"/>
        <v>https://ia601505.us.archive.org/29/items/tx192426/1924-26.pdf</v>
      </c>
      <c r="T1022" s="27" t="str">
        <f t="shared" si="71"/>
        <v>https://babel.hathitrust.org/cgi/pt?id=uiug.30112058522902;view=1up;seq=175</v>
      </c>
      <c r="U1022" s="27" t="s">
        <v>2570</v>
      </c>
    </row>
    <row r="1023" spans="1:21" x14ac:dyDescent="0.25">
      <c r="A1023" s="27" t="s">
        <v>1556</v>
      </c>
      <c r="B1023" s="27" t="str">
        <f t="shared" si="67"/>
        <v>Texas</v>
      </c>
      <c r="C1023" s="27" t="str">
        <f t="shared" si="68"/>
        <v>Real</v>
      </c>
      <c r="D1023" s="7">
        <f>'TX post'!D193</f>
        <v>350</v>
      </c>
      <c r="E1023" s="2">
        <f>'TX post'!E193</f>
        <v>10</v>
      </c>
      <c r="F1023" s="26">
        <v>155</v>
      </c>
      <c r="G1023" s="2">
        <f>'TX post'!I193</f>
        <v>317</v>
      </c>
      <c r="H1023" s="88">
        <f>'TX post'!M193</f>
        <v>113.83225806451614</v>
      </c>
      <c r="I1023" s="29">
        <f>'TX post'!P193</f>
        <v>13800.4</v>
      </c>
      <c r="J1023" s="27">
        <v>8</v>
      </c>
      <c r="K1023" s="29">
        <f>'TX post'!R193</f>
        <v>40000</v>
      </c>
      <c r="L1023" s="41">
        <v>1922</v>
      </c>
      <c r="N1023" s="27" t="str">
        <f t="shared" si="69"/>
        <v>https://ia601500.us.archive.org/33/items/tx192224/1922-24%2c%20selected%20pages%20%28pp.%20192-93%20clipped%29.pdf</v>
      </c>
      <c r="O1023" s="27" t="s">
        <v>1970</v>
      </c>
      <c r="P1023" s="27" t="s">
        <v>563</v>
      </c>
      <c r="Q1023" s="27" t="s">
        <v>2570</v>
      </c>
      <c r="R1023" s="27" t="s">
        <v>562</v>
      </c>
      <c r="S1023" s="27" t="str">
        <f t="shared" si="70"/>
        <v>https://ia601505.us.archive.org/29/items/tx192426/1924-26.pdf</v>
      </c>
      <c r="T1023" s="27" t="str">
        <f t="shared" si="71"/>
        <v>https://babel.hathitrust.org/cgi/pt?id=uiug.30112058522902;view=1up;seq=175</v>
      </c>
      <c r="U1023" s="27" t="s">
        <v>2570</v>
      </c>
    </row>
    <row r="1024" spans="1:21" x14ac:dyDescent="0.25">
      <c r="A1024" s="27" t="s">
        <v>1557</v>
      </c>
      <c r="B1024" s="27" t="str">
        <f t="shared" ref="B1024:B1087" si="72">LEFT(A1024,FIND(";",A1024)-1)</f>
        <v>Texas</v>
      </c>
      <c r="C1024" s="27" t="str">
        <f t="shared" ref="C1024:C1087" si="73">MID(A1024,FIND(";",A1024)+1,100)</f>
        <v>Red River</v>
      </c>
      <c r="D1024" s="7">
        <f>'TX post'!D194</f>
        <v>6342</v>
      </c>
      <c r="E1024" s="2">
        <f>'TX post'!E194</f>
        <v>254</v>
      </c>
      <c r="F1024" s="26">
        <v>125</v>
      </c>
      <c r="G1024" s="2">
        <f>'TX post'!I194</f>
        <v>9681</v>
      </c>
      <c r="H1024" s="88">
        <f>'TX post'!M194</f>
        <v>114.18559999999999</v>
      </c>
      <c r="I1024" s="29">
        <f>'TX post'!P194</f>
        <v>236423.09</v>
      </c>
      <c r="J1024" s="27">
        <v>110</v>
      </c>
      <c r="K1024" s="29">
        <f>'TX post'!R194</f>
        <v>130860</v>
      </c>
      <c r="L1024" s="41">
        <v>1922</v>
      </c>
      <c r="N1024" s="27" t="str">
        <f t="shared" si="69"/>
        <v>https://ia601500.us.archive.org/33/items/tx192224/1922-24%2c%20selected%20pages%20%28pp.%20192-93%20clipped%29.pdf</v>
      </c>
      <c r="O1024" s="27" t="s">
        <v>1970</v>
      </c>
      <c r="P1024" s="27" t="s">
        <v>563</v>
      </c>
      <c r="Q1024" s="27" t="s">
        <v>2570</v>
      </c>
      <c r="R1024" s="27" t="s">
        <v>562</v>
      </c>
      <c r="S1024" s="27" t="str">
        <f t="shared" si="70"/>
        <v>https://ia601505.us.archive.org/29/items/tx192426/1924-26.pdf</v>
      </c>
      <c r="T1024" s="27" t="str">
        <f t="shared" si="71"/>
        <v>https://babel.hathitrust.org/cgi/pt?id=uiug.30112058522902;view=1up;seq=175</v>
      </c>
      <c r="U1024" s="27" t="s">
        <v>2570</v>
      </c>
    </row>
    <row r="1025" spans="1:21" x14ac:dyDescent="0.25">
      <c r="A1025" s="27" t="s">
        <v>1558</v>
      </c>
      <c r="B1025" s="27" t="str">
        <f t="shared" si="72"/>
        <v>Texas</v>
      </c>
      <c r="C1025" s="27" t="str">
        <f t="shared" si="73"/>
        <v>Reeves</v>
      </c>
      <c r="D1025" s="7">
        <f>'TX post'!D195</f>
        <v>594</v>
      </c>
      <c r="E1025" s="2">
        <f>'TX post'!E195</f>
        <v>36</v>
      </c>
      <c r="F1025" s="26">
        <v>163</v>
      </c>
      <c r="G1025" s="2">
        <f>'TX post'!I195</f>
        <v>879</v>
      </c>
      <c r="H1025" s="88">
        <f>'TX post'!M195</f>
        <v>130.43558282208588</v>
      </c>
      <c r="I1025" s="29">
        <f>'TX post'!P195</f>
        <v>37306.620000000003</v>
      </c>
      <c r="J1025" s="27">
        <v>6</v>
      </c>
      <c r="K1025" s="29"/>
      <c r="L1025" s="41">
        <v>1922</v>
      </c>
      <c r="N1025" s="27" t="str">
        <f t="shared" si="69"/>
        <v>https://ia601500.us.archive.org/33/items/tx192224/1922-24%2c%20selected%20pages%20%28pp.%20192-93%20clipped%29.pdf</v>
      </c>
      <c r="O1025" s="27" t="s">
        <v>1970</v>
      </c>
      <c r="P1025" s="27" t="s">
        <v>563</v>
      </c>
      <c r="Q1025" s="27" t="s">
        <v>2570</v>
      </c>
      <c r="R1025" s="27" t="s">
        <v>562</v>
      </c>
      <c r="S1025" s="27" t="str">
        <f t="shared" si="70"/>
        <v>https://ia601505.us.archive.org/29/items/tx192426/1924-26.pdf</v>
      </c>
      <c r="T1025" s="27" t="str">
        <f t="shared" si="71"/>
        <v>https://babel.hathitrust.org/cgi/pt?id=uiug.30112058522902;view=1up;seq=175</v>
      </c>
      <c r="U1025" s="27" t="s">
        <v>2570</v>
      </c>
    </row>
    <row r="1026" spans="1:21" x14ac:dyDescent="0.25">
      <c r="A1026" s="27" t="s">
        <v>1559</v>
      </c>
      <c r="B1026" s="27" t="str">
        <f t="shared" si="72"/>
        <v>Texas</v>
      </c>
      <c r="C1026" s="27" t="str">
        <f t="shared" si="73"/>
        <v>Refugio</v>
      </c>
      <c r="D1026" s="7">
        <f>'TX post'!D196</f>
        <v>628</v>
      </c>
      <c r="E1026" s="2">
        <f>'TX post'!E196</f>
        <v>37</v>
      </c>
      <c r="F1026" s="26">
        <v>139.28</v>
      </c>
      <c r="G1026" s="2">
        <f>'TX post'!I196</f>
        <v>1117</v>
      </c>
      <c r="H1026" s="88">
        <f>'TX post'!M196</f>
        <v>120.76978417266187</v>
      </c>
      <c r="I1026" s="29">
        <f>'TX post'!P196</f>
        <v>49037.85</v>
      </c>
      <c r="J1026" s="27">
        <v>14</v>
      </c>
      <c r="K1026" s="29">
        <f>'TX post'!R196</f>
        <v>42085</v>
      </c>
      <c r="L1026" s="41">
        <v>1922</v>
      </c>
      <c r="N1026" s="27" t="str">
        <f t="shared" ref="N1026:N1084" si="74">N1025</f>
        <v>https://ia601500.us.archive.org/33/items/tx192224/1922-24%2c%20selected%20pages%20%28pp.%20192-93%20clipped%29.pdf</v>
      </c>
      <c r="O1026" s="27" t="s">
        <v>1970</v>
      </c>
      <c r="P1026" s="27" t="s">
        <v>563</v>
      </c>
      <c r="Q1026" s="27" t="s">
        <v>2570</v>
      </c>
      <c r="R1026" s="27" t="s">
        <v>562</v>
      </c>
      <c r="S1026" s="27" t="str">
        <f t="shared" ref="S1026:S1084" si="75">S1025</f>
        <v>https://ia601505.us.archive.org/29/items/tx192426/1924-26.pdf</v>
      </c>
      <c r="T1026" s="27" t="str">
        <f t="shared" ref="T1026:T1084" si="76">T1025</f>
        <v>https://babel.hathitrust.org/cgi/pt?id=uiug.30112058522902;view=1up;seq=175</v>
      </c>
      <c r="U1026" s="27" t="s">
        <v>2570</v>
      </c>
    </row>
    <row r="1027" spans="1:21" x14ac:dyDescent="0.25">
      <c r="A1027" s="27" t="s">
        <v>1560</v>
      </c>
      <c r="B1027" s="27" t="str">
        <f t="shared" si="72"/>
        <v>Texas</v>
      </c>
      <c r="C1027" s="27" t="str">
        <f t="shared" si="73"/>
        <v>Roberts</v>
      </c>
      <c r="D1027" s="7">
        <f>'TX post'!D197</f>
        <v>623</v>
      </c>
      <c r="E1027" s="2">
        <f>'TX post'!E197</f>
        <v>32</v>
      </c>
      <c r="F1027" s="26">
        <v>164</v>
      </c>
      <c r="G1027" s="2">
        <f>'TX post'!I197</f>
        <v>722</v>
      </c>
      <c r="H1027" s="88">
        <f>'TX post'!M197</f>
        <v>78.181707317073176</v>
      </c>
      <c r="I1027" s="29">
        <f>'TX post'!P197</f>
        <v>27457.41</v>
      </c>
      <c r="J1027" s="27">
        <v>8</v>
      </c>
      <c r="K1027" s="29">
        <f>'TX post'!R197</f>
        <v>56950</v>
      </c>
      <c r="L1027" s="41">
        <v>1922</v>
      </c>
      <c r="N1027" s="27" t="str">
        <f t="shared" si="74"/>
        <v>https://ia601500.us.archive.org/33/items/tx192224/1922-24%2c%20selected%20pages%20%28pp.%20192-93%20clipped%29.pdf</v>
      </c>
      <c r="O1027" s="27" t="s">
        <v>1970</v>
      </c>
      <c r="P1027" s="27" t="s">
        <v>563</v>
      </c>
      <c r="Q1027" s="27" t="s">
        <v>2570</v>
      </c>
      <c r="R1027" s="27" t="s">
        <v>562</v>
      </c>
      <c r="S1027" s="27" t="str">
        <f t="shared" si="75"/>
        <v>https://ia601505.us.archive.org/29/items/tx192426/1924-26.pdf</v>
      </c>
      <c r="T1027" s="27" t="str">
        <f t="shared" si="76"/>
        <v>https://babel.hathitrust.org/cgi/pt?id=uiug.30112058522902;view=1up;seq=175</v>
      </c>
      <c r="U1027" s="27" t="s">
        <v>2570</v>
      </c>
    </row>
    <row r="1028" spans="1:21" x14ac:dyDescent="0.25">
      <c r="A1028" s="27" t="s">
        <v>1561</v>
      </c>
      <c r="B1028" s="27" t="str">
        <f t="shared" si="72"/>
        <v>Texas</v>
      </c>
      <c r="C1028" s="27" t="str">
        <f t="shared" si="73"/>
        <v>Robertson</v>
      </c>
      <c r="D1028" s="7">
        <f>'TX post'!D198</f>
        <v>5163</v>
      </c>
      <c r="E1028" s="2">
        <f>'TX post'!E198</f>
        <v>179</v>
      </c>
      <c r="F1028" s="26">
        <v>118.96</v>
      </c>
      <c r="G1028" s="2">
        <f>'TX post'!I198</f>
        <v>7139</v>
      </c>
      <c r="H1028" s="88">
        <f>'TX post'!M198</f>
        <v>113.71596638655463</v>
      </c>
      <c r="I1028" s="29">
        <f>'TX post'!P198</f>
        <v>182354.02</v>
      </c>
      <c r="J1028" s="27">
        <v>52</v>
      </c>
      <c r="K1028" s="29">
        <f>'TX post'!R198</f>
        <v>96362</v>
      </c>
      <c r="L1028" s="41">
        <v>1922</v>
      </c>
      <c r="N1028" s="27" t="str">
        <f t="shared" si="74"/>
        <v>https://ia601500.us.archive.org/33/items/tx192224/1922-24%2c%20selected%20pages%20%28pp.%20192-93%20clipped%29.pdf</v>
      </c>
      <c r="O1028" s="27" t="s">
        <v>1970</v>
      </c>
      <c r="P1028" s="27" t="s">
        <v>563</v>
      </c>
      <c r="Q1028" s="27" t="s">
        <v>2570</v>
      </c>
      <c r="R1028" s="27" t="s">
        <v>562</v>
      </c>
      <c r="S1028" s="27" t="str">
        <f t="shared" si="75"/>
        <v>https://ia601505.us.archive.org/29/items/tx192426/1924-26.pdf</v>
      </c>
      <c r="T1028" s="27" t="str">
        <f t="shared" si="76"/>
        <v>https://babel.hathitrust.org/cgi/pt?id=uiug.30112058522902;view=1up;seq=175</v>
      </c>
      <c r="U1028" s="27" t="s">
        <v>2570</v>
      </c>
    </row>
    <row r="1029" spans="1:21" x14ac:dyDescent="0.25">
      <c r="A1029" s="27" t="s">
        <v>1562</v>
      </c>
      <c r="B1029" s="27" t="str">
        <f t="shared" si="72"/>
        <v>Texas</v>
      </c>
      <c r="C1029" s="27" t="str">
        <f t="shared" si="73"/>
        <v>Rockwall</v>
      </c>
      <c r="D1029" s="7">
        <f>'TX post'!D199</f>
        <v>1971</v>
      </c>
      <c r="E1029" s="2">
        <f>'TX post'!E199</f>
        <v>63</v>
      </c>
      <c r="F1029" s="26">
        <v>128.22999999999999</v>
      </c>
      <c r="G1029" s="2">
        <f>'TX post'!I199</f>
        <v>2389</v>
      </c>
      <c r="H1029" s="88">
        <f>'TX post'!M199</f>
        <v>116.36874999999999</v>
      </c>
      <c r="I1029" s="29">
        <f>'TX post'!P199</f>
        <v>66941.39</v>
      </c>
      <c r="J1029" s="27">
        <v>17</v>
      </c>
      <c r="K1029" s="29">
        <f>'TX post'!R199</f>
        <v>28300</v>
      </c>
      <c r="L1029" s="41">
        <v>1922</v>
      </c>
      <c r="N1029" s="27" t="str">
        <f t="shared" si="74"/>
        <v>https://ia601500.us.archive.org/33/items/tx192224/1922-24%2c%20selected%20pages%20%28pp.%20192-93%20clipped%29.pdf</v>
      </c>
      <c r="O1029" s="27" t="s">
        <v>1970</v>
      </c>
      <c r="P1029" s="27" t="s">
        <v>563</v>
      </c>
      <c r="Q1029" s="27" t="s">
        <v>2570</v>
      </c>
      <c r="R1029" s="27" t="s">
        <v>565</v>
      </c>
      <c r="S1029" s="27" t="str">
        <f t="shared" si="75"/>
        <v>https://ia601505.us.archive.org/29/items/tx192426/1924-26.pdf</v>
      </c>
      <c r="T1029" s="27" t="str">
        <f t="shared" si="76"/>
        <v>https://babel.hathitrust.org/cgi/pt?id=uiug.30112058522902;view=1up;seq=175</v>
      </c>
      <c r="U1029" s="27" t="s">
        <v>2570</v>
      </c>
    </row>
    <row r="1030" spans="1:21" x14ac:dyDescent="0.25">
      <c r="A1030" s="27" t="s">
        <v>1563</v>
      </c>
      <c r="B1030" s="27" t="str">
        <f t="shared" si="72"/>
        <v>Texas</v>
      </c>
      <c r="C1030" s="27" t="str">
        <f t="shared" si="73"/>
        <v>Runnels</v>
      </c>
      <c r="D1030" s="7">
        <f>'TX post'!D200</f>
        <v>4050</v>
      </c>
      <c r="E1030" s="2">
        <f>'TX post'!E200</f>
        <v>139</v>
      </c>
      <c r="F1030" s="26">
        <v>130.11000000000001</v>
      </c>
      <c r="G1030" s="2">
        <f>'TX post'!I200</f>
        <v>5166</v>
      </c>
      <c r="H1030" s="88">
        <f>'TX post'!M200</f>
        <v>122.97692307692309</v>
      </c>
      <c r="I1030" s="29">
        <f>'TX post'!P200</f>
        <v>167460.47</v>
      </c>
      <c r="J1030" s="27">
        <v>45</v>
      </c>
      <c r="K1030" s="29">
        <f>'TX post'!R200</f>
        <v>188660</v>
      </c>
      <c r="L1030" s="41">
        <v>1922</v>
      </c>
      <c r="N1030" s="27" t="str">
        <f t="shared" si="74"/>
        <v>https://ia601500.us.archive.org/33/items/tx192224/1922-24%2c%20selected%20pages%20%28pp.%20192-93%20clipped%29.pdf</v>
      </c>
      <c r="O1030" s="27" t="s">
        <v>1970</v>
      </c>
      <c r="P1030" s="27" t="s">
        <v>563</v>
      </c>
      <c r="Q1030" s="27" t="s">
        <v>2570</v>
      </c>
      <c r="R1030" s="27" t="s">
        <v>565</v>
      </c>
      <c r="S1030" s="27" t="str">
        <f t="shared" si="75"/>
        <v>https://ia601505.us.archive.org/29/items/tx192426/1924-26.pdf</v>
      </c>
      <c r="T1030" s="27" t="str">
        <f t="shared" si="76"/>
        <v>https://babel.hathitrust.org/cgi/pt?id=uiug.30112058522902;view=1up;seq=175</v>
      </c>
      <c r="U1030" s="27" t="s">
        <v>2570</v>
      </c>
    </row>
    <row r="1031" spans="1:21" x14ac:dyDescent="0.25">
      <c r="A1031" s="27" t="s">
        <v>1564</v>
      </c>
      <c r="B1031" s="27" t="str">
        <f t="shared" si="72"/>
        <v>Texas</v>
      </c>
      <c r="C1031" s="27" t="str">
        <f t="shared" si="73"/>
        <v>Rusk</v>
      </c>
      <c r="D1031" s="7">
        <f>'TX post'!D201</f>
        <v>6669</v>
      </c>
      <c r="E1031" s="2">
        <f>'TX post'!E201</f>
        <v>241</v>
      </c>
      <c r="F1031" s="26">
        <v>117.6</v>
      </c>
      <c r="G1031" s="2">
        <f>'TX post'!I201</f>
        <v>9317</v>
      </c>
      <c r="H1031" s="88">
        <f>'TX post'!M201</f>
        <v>102.6</v>
      </c>
      <c r="I1031" s="29">
        <f>'TX post'!P201</f>
        <v>207523.72</v>
      </c>
      <c r="J1031" s="27">
        <v>92</v>
      </c>
      <c r="K1031" s="29">
        <f>'TX post'!R201</f>
        <v>171150</v>
      </c>
      <c r="L1031" s="41">
        <v>1922</v>
      </c>
      <c r="N1031" s="27" t="str">
        <f t="shared" si="74"/>
        <v>https://ia601500.us.archive.org/33/items/tx192224/1922-24%2c%20selected%20pages%20%28pp.%20192-93%20clipped%29.pdf</v>
      </c>
      <c r="O1031" s="27" t="s">
        <v>1970</v>
      </c>
      <c r="P1031" s="27" t="s">
        <v>563</v>
      </c>
      <c r="Q1031" s="27" t="s">
        <v>2570</v>
      </c>
      <c r="R1031" s="27" t="s">
        <v>565</v>
      </c>
      <c r="S1031" s="27" t="str">
        <f t="shared" si="75"/>
        <v>https://ia601505.us.archive.org/29/items/tx192426/1924-26.pdf</v>
      </c>
      <c r="T1031" s="27" t="str">
        <f t="shared" si="76"/>
        <v>https://babel.hathitrust.org/cgi/pt?id=uiug.30112058522902;view=1up;seq=175</v>
      </c>
      <c r="U1031" s="27" t="s">
        <v>2570</v>
      </c>
    </row>
    <row r="1032" spans="1:21" x14ac:dyDescent="0.25">
      <c r="A1032" s="27" t="s">
        <v>1565</v>
      </c>
      <c r="B1032" s="27" t="str">
        <f t="shared" si="72"/>
        <v>Texas</v>
      </c>
      <c r="C1032" s="27" t="str">
        <f t="shared" si="73"/>
        <v>Sabine</v>
      </c>
      <c r="D1032" s="7">
        <f>'TX post'!D202</f>
        <v>1346</v>
      </c>
      <c r="E1032" s="2">
        <f>'TX post'!E202</f>
        <v>74</v>
      </c>
      <c r="F1032" s="26">
        <v>130</v>
      </c>
      <c r="G1032" s="2">
        <f>'TX post'!I202</f>
        <v>3511</v>
      </c>
      <c r="H1032" s="88">
        <f>'TX post'!M202</f>
        <v>132.41538461538462</v>
      </c>
      <c r="I1032" s="29">
        <f>'TX post'!P202</f>
        <v>101273.57</v>
      </c>
      <c r="J1032" s="27">
        <v>37</v>
      </c>
      <c r="K1032" s="29"/>
      <c r="L1032" s="41">
        <v>1922</v>
      </c>
      <c r="N1032" s="27" t="str">
        <f t="shared" si="74"/>
        <v>https://ia601500.us.archive.org/33/items/tx192224/1922-24%2c%20selected%20pages%20%28pp.%20192-93%20clipped%29.pdf</v>
      </c>
      <c r="O1032" s="27" t="s">
        <v>1970</v>
      </c>
      <c r="P1032" s="27" t="s">
        <v>563</v>
      </c>
      <c r="Q1032" s="27" t="s">
        <v>2570</v>
      </c>
      <c r="R1032" s="27" t="s">
        <v>565</v>
      </c>
      <c r="S1032" s="27" t="str">
        <f t="shared" si="75"/>
        <v>https://ia601505.us.archive.org/29/items/tx192426/1924-26.pdf</v>
      </c>
      <c r="T1032" s="27" t="str">
        <f t="shared" si="76"/>
        <v>https://babel.hathitrust.org/cgi/pt?id=uiug.30112058522902;view=1up;seq=175</v>
      </c>
      <c r="U1032" s="27" t="s">
        <v>2570</v>
      </c>
    </row>
    <row r="1033" spans="1:21" x14ac:dyDescent="0.25">
      <c r="A1033" s="27" t="s">
        <v>1566</v>
      </c>
      <c r="B1033" s="27" t="str">
        <f t="shared" si="72"/>
        <v>Texas</v>
      </c>
      <c r="C1033" s="27" t="str">
        <f t="shared" si="73"/>
        <v>San Augustine</v>
      </c>
      <c r="D1033" s="7">
        <f>'TX post'!D203</f>
        <v>2592</v>
      </c>
      <c r="E1033" s="2">
        <f>'TX post'!E203</f>
        <v>102</v>
      </c>
      <c r="F1033" s="26">
        <v>110</v>
      </c>
      <c r="G1033" s="2">
        <f>'TX post'!I203</f>
        <v>3670</v>
      </c>
      <c r="H1033" s="88">
        <f>'TX post'!M203</f>
        <v>130.08727272727273</v>
      </c>
      <c r="I1033" s="29">
        <f>'TX post'!P203</f>
        <v>100502.24</v>
      </c>
      <c r="J1033" s="27">
        <v>64</v>
      </c>
      <c r="K1033" s="29">
        <f>'TX post'!R203</f>
        <v>76800</v>
      </c>
      <c r="L1033" s="41">
        <v>1922</v>
      </c>
      <c r="N1033" s="27" t="str">
        <f t="shared" si="74"/>
        <v>https://ia601500.us.archive.org/33/items/tx192224/1922-24%2c%20selected%20pages%20%28pp.%20192-93%20clipped%29.pdf</v>
      </c>
      <c r="O1033" s="27" t="s">
        <v>1970</v>
      </c>
      <c r="P1033" s="27" t="s">
        <v>563</v>
      </c>
      <c r="Q1033" s="27" t="s">
        <v>2570</v>
      </c>
      <c r="R1033" s="27" t="s">
        <v>565</v>
      </c>
      <c r="S1033" s="27" t="str">
        <f t="shared" si="75"/>
        <v>https://ia601505.us.archive.org/29/items/tx192426/1924-26.pdf</v>
      </c>
      <c r="T1033" s="27" t="str">
        <f t="shared" si="76"/>
        <v>https://babel.hathitrust.org/cgi/pt?id=uiug.30112058522902;view=1up;seq=175</v>
      </c>
      <c r="U1033" s="27" t="s">
        <v>2570</v>
      </c>
    </row>
    <row r="1034" spans="1:21" x14ac:dyDescent="0.25">
      <c r="A1034" s="27" t="s">
        <v>1567</v>
      </c>
      <c r="B1034" s="27" t="str">
        <f t="shared" si="72"/>
        <v>Texas</v>
      </c>
      <c r="C1034" s="27" t="str">
        <f t="shared" si="73"/>
        <v>San Jacinto</v>
      </c>
      <c r="D1034" s="7">
        <f>'TX post'!D204</f>
        <v>1644</v>
      </c>
      <c r="E1034" s="2">
        <f>'TX post'!E204</f>
        <v>69</v>
      </c>
      <c r="F1034" s="26">
        <v>98</v>
      </c>
      <c r="G1034" s="2">
        <f>'TX post'!I204</f>
        <v>2656</v>
      </c>
      <c r="H1034" s="88">
        <f>'TX post'!M204</f>
        <v>143.27551020408163</v>
      </c>
      <c r="I1034" s="29">
        <f>'TX post'!P204</f>
        <v>65654.710000000006</v>
      </c>
      <c r="J1034" s="27">
        <v>42</v>
      </c>
      <c r="K1034" s="29">
        <f>'TX post'!R204</f>
        <v>23980</v>
      </c>
      <c r="L1034" s="41">
        <v>1922</v>
      </c>
      <c r="N1034" s="27" t="str">
        <f t="shared" si="74"/>
        <v>https://ia601500.us.archive.org/33/items/tx192224/1922-24%2c%20selected%20pages%20%28pp.%20192-93%20clipped%29.pdf</v>
      </c>
      <c r="O1034" s="27" t="s">
        <v>1970</v>
      </c>
      <c r="P1034" s="27" t="s">
        <v>563</v>
      </c>
      <c r="Q1034" s="27" t="s">
        <v>2570</v>
      </c>
      <c r="R1034" s="27" t="s">
        <v>565</v>
      </c>
      <c r="S1034" s="27" t="str">
        <f t="shared" si="75"/>
        <v>https://ia601505.us.archive.org/29/items/tx192426/1924-26.pdf</v>
      </c>
      <c r="T1034" s="27" t="str">
        <f t="shared" si="76"/>
        <v>https://babel.hathitrust.org/cgi/pt?id=uiug.30112058522902;view=1up;seq=175</v>
      </c>
      <c r="U1034" s="27" t="s">
        <v>2570</v>
      </c>
    </row>
    <row r="1035" spans="1:21" x14ac:dyDescent="0.25">
      <c r="A1035" s="27" t="s">
        <v>1568</v>
      </c>
      <c r="B1035" s="27" t="str">
        <f t="shared" si="72"/>
        <v>Texas</v>
      </c>
      <c r="C1035" s="27" t="str">
        <f t="shared" si="73"/>
        <v>San Patricio</v>
      </c>
      <c r="D1035" s="7">
        <f>'TX post'!D205</f>
        <v>1815</v>
      </c>
      <c r="E1035" s="2">
        <f>'TX post'!E205</f>
        <v>64</v>
      </c>
      <c r="F1035" s="26">
        <v>163</v>
      </c>
      <c r="G1035" s="2">
        <f>'TX post'!I205</f>
        <v>1963</v>
      </c>
      <c r="H1035" s="88">
        <f>'TX post'!M205</f>
        <v>107.29202453987729</v>
      </c>
      <c r="I1035" s="29">
        <f>'TX post'!P205</f>
        <v>143671.38</v>
      </c>
      <c r="J1035" s="27">
        <v>5</v>
      </c>
      <c r="K1035" s="29">
        <f>'TX post'!R205</f>
        <v>28080</v>
      </c>
      <c r="L1035" s="41">
        <v>1922</v>
      </c>
      <c r="N1035" s="27" t="str">
        <f t="shared" si="74"/>
        <v>https://ia601500.us.archive.org/33/items/tx192224/1922-24%2c%20selected%20pages%20%28pp.%20192-93%20clipped%29.pdf</v>
      </c>
      <c r="O1035" s="27" t="s">
        <v>1970</v>
      </c>
      <c r="P1035" s="27" t="s">
        <v>563</v>
      </c>
      <c r="Q1035" s="27" t="s">
        <v>2570</v>
      </c>
      <c r="R1035" s="27" t="s">
        <v>565</v>
      </c>
      <c r="S1035" s="27" t="str">
        <f t="shared" si="75"/>
        <v>https://ia601505.us.archive.org/29/items/tx192426/1924-26.pdf</v>
      </c>
      <c r="T1035" s="27" t="str">
        <f t="shared" si="76"/>
        <v>https://babel.hathitrust.org/cgi/pt?id=uiug.30112058522902;view=1up;seq=175</v>
      </c>
      <c r="U1035" s="27" t="s">
        <v>2570</v>
      </c>
    </row>
    <row r="1036" spans="1:21" x14ac:dyDescent="0.25">
      <c r="A1036" s="27" t="s">
        <v>1569</v>
      </c>
      <c r="B1036" s="27" t="str">
        <f t="shared" si="72"/>
        <v>Texas</v>
      </c>
      <c r="C1036" s="27" t="str">
        <f t="shared" si="73"/>
        <v>San Saba</v>
      </c>
      <c r="D1036" s="7">
        <f>'TX post'!D206</f>
        <v>2183</v>
      </c>
      <c r="E1036" s="2">
        <f>'TX post'!E206</f>
        <v>97</v>
      </c>
      <c r="F1036" s="26">
        <v>130</v>
      </c>
      <c r="G1036" s="2">
        <f>'TX post'!I206</f>
        <v>3191</v>
      </c>
      <c r="H1036" s="88">
        <f>'TX post'!M206</f>
        <v>113.23384615384614</v>
      </c>
      <c r="I1036" s="29">
        <f>'TX post'!P206</f>
        <v>103389.63</v>
      </c>
      <c r="J1036" s="27">
        <v>30</v>
      </c>
      <c r="K1036" s="29">
        <f>'TX post'!R206</f>
        <v>158467</v>
      </c>
      <c r="L1036" s="41">
        <v>1922</v>
      </c>
      <c r="N1036" s="27" t="str">
        <f t="shared" si="74"/>
        <v>https://ia601500.us.archive.org/33/items/tx192224/1922-24%2c%20selected%20pages%20%28pp.%20192-93%20clipped%29.pdf</v>
      </c>
      <c r="O1036" s="27" t="s">
        <v>1970</v>
      </c>
      <c r="P1036" s="27" t="s">
        <v>563</v>
      </c>
      <c r="Q1036" s="27" t="s">
        <v>2570</v>
      </c>
      <c r="R1036" s="27" t="s">
        <v>565</v>
      </c>
      <c r="S1036" s="27" t="str">
        <f t="shared" si="75"/>
        <v>https://ia601505.us.archive.org/29/items/tx192426/1924-26.pdf</v>
      </c>
      <c r="T1036" s="27" t="str">
        <f t="shared" si="76"/>
        <v>https://babel.hathitrust.org/cgi/pt?id=uiug.30112058522902;view=1up;seq=175</v>
      </c>
      <c r="U1036" s="27" t="s">
        <v>2570</v>
      </c>
    </row>
    <row r="1037" spans="1:21" x14ac:dyDescent="0.25">
      <c r="A1037" s="27" t="s">
        <v>1570</v>
      </c>
      <c r="B1037" s="27" t="str">
        <f t="shared" si="72"/>
        <v>Texas</v>
      </c>
      <c r="C1037" s="27" t="str">
        <f t="shared" si="73"/>
        <v>Schleicher</v>
      </c>
      <c r="D1037" s="7">
        <f>'TX post'!D207</f>
        <v>167</v>
      </c>
      <c r="E1037" s="2">
        <f>'TX post'!E207</f>
        <v>20</v>
      </c>
      <c r="F1037" s="26">
        <v>150</v>
      </c>
      <c r="G1037" s="2">
        <f>'TX post'!I207</f>
        <v>473</v>
      </c>
      <c r="H1037" s="88">
        <f>'TX post'!M207</f>
        <v>125.59333333333333</v>
      </c>
      <c r="I1037" s="29">
        <f>'TX post'!P207</f>
        <v>26109.49</v>
      </c>
      <c r="J1037" s="27">
        <v>4</v>
      </c>
      <c r="K1037" s="29">
        <f>'TX post'!R207</f>
        <v>12375</v>
      </c>
      <c r="L1037" s="41">
        <v>1922</v>
      </c>
      <c r="N1037" s="27" t="str">
        <f t="shared" si="74"/>
        <v>https://ia601500.us.archive.org/33/items/tx192224/1922-24%2c%20selected%20pages%20%28pp.%20192-93%20clipped%29.pdf</v>
      </c>
      <c r="O1037" s="27" t="s">
        <v>1970</v>
      </c>
      <c r="P1037" s="27" t="s">
        <v>563</v>
      </c>
      <c r="Q1037" s="27" t="s">
        <v>2570</v>
      </c>
      <c r="R1037" s="27" t="s">
        <v>565</v>
      </c>
      <c r="S1037" s="27" t="str">
        <f t="shared" si="75"/>
        <v>https://ia601505.us.archive.org/29/items/tx192426/1924-26.pdf</v>
      </c>
      <c r="T1037" s="27" t="str">
        <f t="shared" si="76"/>
        <v>https://babel.hathitrust.org/cgi/pt?id=uiug.30112058522902;view=1up;seq=175</v>
      </c>
      <c r="U1037" s="27" t="s">
        <v>2570</v>
      </c>
    </row>
    <row r="1038" spans="1:21" x14ac:dyDescent="0.25">
      <c r="A1038" s="27" t="s">
        <v>1571</v>
      </c>
      <c r="B1038" s="27" t="str">
        <f t="shared" si="72"/>
        <v>Texas</v>
      </c>
      <c r="C1038" s="27" t="str">
        <f t="shared" si="73"/>
        <v>Scurry</v>
      </c>
      <c r="D1038" s="7">
        <f>'TX post'!D208</f>
        <v>2297</v>
      </c>
      <c r="E1038" s="2">
        <f>'TX post'!E208</f>
        <v>55</v>
      </c>
      <c r="F1038" s="26">
        <v>123</v>
      </c>
      <c r="G1038" s="2">
        <f>'TX post'!I208</f>
        <v>5064</v>
      </c>
      <c r="H1038" s="88">
        <f>'TX post'!M208</f>
        <v>111.47642276422765</v>
      </c>
      <c r="I1038" s="29">
        <f>'TX post'!P208</f>
        <v>130235.38</v>
      </c>
      <c r="J1038" s="27">
        <v>35</v>
      </c>
      <c r="K1038" s="29">
        <f>'TX post'!R208</f>
        <v>102059</v>
      </c>
      <c r="L1038" s="41">
        <v>1922</v>
      </c>
      <c r="N1038" s="27" t="str">
        <f t="shared" si="74"/>
        <v>https://ia601500.us.archive.org/33/items/tx192224/1922-24%2c%20selected%20pages%20%28pp.%20192-93%20clipped%29.pdf</v>
      </c>
      <c r="O1038" s="27" t="s">
        <v>1970</v>
      </c>
      <c r="P1038" s="27" t="s">
        <v>563</v>
      </c>
      <c r="Q1038" s="27" t="s">
        <v>2570</v>
      </c>
      <c r="R1038" s="27" t="s">
        <v>565</v>
      </c>
      <c r="S1038" s="27" t="str">
        <f t="shared" si="75"/>
        <v>https://ia601505.us.archive.org/29/items/tx192426/1924-26.pdf</v>
      </c>
      <c r="T1038" s="27" t="str">
        <f t="shared" si="76"/>
        <v>https://babel.hathitrust.org/cgi/pt?id=uiug.30112058522902;view=1up;seq=175</v>
      </c>
      <c r="U1038" s="27" t="s">
        <v>2570</v>
      </c>
    </row>
    <row r="1039" spans="1:21" x14ac:dyDescent="0.25">
      <c r="A1039" s="27" t="s">
        <v>1572</v>
      </c>
      <c r="B1039" s="27" t="str">
        <f t="shared" si="72"/>
        <v>Texas</v>
      </c>
      <c r="C1039" s="27" t="str">
        <f t="shared" si="73"/>
        <v>Shackelford</v>
      </c>
      <c r="D1039" s="7">
        <f>'TX post'!D209</f>
        <v>1045</v>
      </c>
      <c r="E1039" s="2">
        <f>'TX post'!E209</f>
        <v>49</v>
      </c>
      <c r="F1039" s="26">
        <v>129</v>
      </c>
      <c r="G1039" s="2">
        <f>'TX post'!I209</f>
        <v>1526</v>
      </c>
      <c r="H1039" s="88">
        <f>'TX post'!M209</f>
        <v>81.875968992248062</v>
      </c>
      <c r="I1039" s="29">
        <f>'TX post'!P209</f>
        <v>63501.93</v>
      </c>
      <c r="J1039" s="27">
        <v>13</v>
      </c>
      <c r="K1039" s="29">
        <f>'TX post'!R209</f>
        <v>35900</v>
      </c>
      <c r="L1039" s="41">
        <v>1922</v>
      </c>
      <c r="N1039" s="27" t="str">
        <f t="shared" si="74"/>
        <v>https://ia601500.us.archive.org/33/items/tx192224/1922-24%2c%20selected%20pages%20%28pp.%20192-93%20clipped%29.pdf</v>
      </c>
      <c r="O1039" s="27" t="s">
        <v>1970</v>
      </c>
      <c r="P1039" s="27" t="s">
        <v>563</v>
      </c>
      <c r="Q1039" s="27" t="s">
        <v>2570</v>
      </c>
      <c r="R1039" s="27" t="s">
        <v>565</v>
      </c>
      <c r="S1039" s="27" t="str">
        <f t="shared" si="75"/>
        <v>https://ia601505.us.archive.org/29/items/tx192426/1924-26.pdf</v>
      </c>
      <c r="T1039" s="27" t="str">
        <f t="shared" si="76"/>
        <v>https://babel.hathitrust.org/cgi/pt?id=uiug.30112058522902;view=1up;seq=175</v>
      </c>
      <c r="U1039" s="27" t="s">
        <v>2570</v>
      </c>
    </row>
    <row r="1040" spans="1:21" x14ac:dyDescent="0.25">
      <c r="A1040" s="27" t="s">
        <v>1573</v>
      </c>
      <c r="B1040" s="27" t="str">
        <f t="shared" si="72"/>
        <v>Texas</v>
      </c>
      <c r="C1040" s="27" t="str">
        <f t="shared" si="73"/>
        <v>Shelby</v>
      </c>
      <c r="D1040" s="7">
        <f>'TX post'!D210</f>
        <v>5889</v>
      </c>
      <c r="E1040" s="2">
        <f>'TX post'!E210</f>
        <v>228</v>
      </c>
      <c r="F1040" s="26">
        <v>118</v>
      </c>
      <c r="G1040" s="2">
        <f>'TX post'!I210</f>
        <v>9400</v>
      </c>
      <c r="H1040" s="88">
        <f>'TX post'!M210</f>
        <v>68.911864406779657</v>
      </c>
      <c r="I1040" s="29">
        <f>'TX post'!P210</f>
        <v>229846.02</v>
      </c>
      <c r="J1040" s="27">
        <v>87</v>
      </c>
      <c r="K1040" s="29">
        <f>'TX post'!R210</f>
        <v>262900</v>
      </c>
      <c r="L1040" s="41">
        <v>1922</v>
      </c>
      <c r="N1040" s="27" t="str">
        <f t="shared" si="74"/>
        <v>https://ia601500.us.archive.org/33/items/tx192224/1922-24%2c%20selected%20pages%20%28pp.%20192-93%20clipped%29.pdf</v>
      </c>
      <c r="O1040" s="27" t="s">
        <v>1970</v>
      </c>
      <c r="P1040" s="27" t="s">
        <v>563</v>
      </c>
      <c r="Q1040" s="27" t="s">
        <v>2570</v>
      </c>
      <c r="R1040" s="27" t="s">
        <v>565</v>
      </c>
      <c r="S1040" s="27" t="str">
        <f t="shared" si="75"/>
        <v>https://ia601505.us.archive.org/29/items/tx192426/1924-26.pdf</v>
      </c>
      <c r="T1040" s="27" t="str">
        <f t="shared" si="76"/>
        <v>https://babel.hathitrust.org/cgi/pt?id=uiug.30112058522902;view=1up;seq=175</v>
      </c>
      <c r="U1040" s="27" t="s">
        <v>2570</v>
      </c>
    </row>
    <row r="1041" spans="1:21" x14ac:dyDescent="0.25">
      <c r="A1041" s="27" t="s">
        <v>1574</v>
      </c>
      <c r="B1041" s="27" t="str">
        <f t="shared" si="72"/>
        <v>Texas</v>
      </c>
      <c r="C1041" s="27" t="str">
        <f t="shared" si="73"/>
        <v>Sherman</v>
      </c>
      <c r="D1041" s="7">
        <f>'TX post'!D211</f>
        <v>163</v>
      </c>
      <c r="E1041" s="2">
        <f>'TX post'!E211</f>
        <v>16</v>
      </c>
      <c r="F1041" s="26">
        <v>156</v>
      </c>
      <c r="G1041" s="2">
        <f>'TX post'!I211</f>
        <v>333</v>
      </c>
      <c r="H1041" s="88">
        <f>'TX post'!M211</f>
        <v>123.87820512820512</v>
      </c>
      <c r="I1041" s="29">
        <f>'TX post'!P211</f>
        <v>36298.129999999997</v>
      </c>
      <c r="J1041" s="27">
        <v>5</v>
      </c>
      <c r="K1041" s="29"/>
      <c r="L1041" s="41">
        <v>1922</v>
      </c>
      <c r="N1041" s="27" t="str">
        <f t="shared" si="74"/>
        <v>https://ia601500.us.archive.org/33/items/tx192224/1922-24%2c%20selected%20pages%20%28pp.%20192-93%20clipped%29.pdf</v>
      </c>
      <c r="O1041" s="27" t="s">
        <v>1970</v>
      </c>
      <c r="P1041" s="27" t="s">
        <v>563</v>
      </c>
      <c r="Q1041" s="27" t="s">
        <v>2570</v>
      </c>
      <c r="R1041" s="27" t="s">
        <v>565</v>
      </c>
      <c r="S1041" s="27" t="str">
        <f t="shared" si="75"/>
        <v>https://ia601505.us.archive.org/29/items/tx192426/1924-26.pdf</v>
      </c>
      <c r="T1041" s="27" t="str">
        <f t="shared" si="76"/>
        <v>https://babel.hathitrust.org/cgi/pt?id=uiug.30112058522902;view=1up;seq=175</v>
      </c>
      <c r="U1041" s="27" t="s">
        <v>2570</v>
      </c>
    </row>
    <row r="1042" spans="1:21" x14ac:dyDescent="0.25">
      <c r="A1042" s="27" t="s">
        <v>1575</v>
      </c>
      <c r="B1042" s="27" t="str">
        <f t="shared" si="72"/>
        <v>Texas</v>
      </c>
      <c r="C1042" s="27" t="str">
        <f t="shared" si="73"/>
        <v>Smith</v>
      </c>
      <c r="D1042" s="7">
        <f>'TX post'!D212</f>
        <v>9389</v>
      </c>
      <c r="E1042" s="2">
        <f>'TX post'!E212</f>
        <v>351</v>
      </c>
      <c r="F1042" s="26">
        <v>120</v>
      </c>
      <c r="G1042" s="2">
        <f>'TX post'!I212</f>
        <v>13654</v>
      </c>
      <c r="H1042" s="88">
        <f>'TX post'!M212</f>
        <v>140.39666666666668</v>
      </c>
      <c r="I1042" s="29">
        <f>'TX post'!P212</f>
        <v>374419.4</v>
      </c>
      <c r="J1042" s="27">
        <v>119</v>
      </c>
      <c r="K1042" s="29">
        <f>'TX post'!R212</f>
        <v>155475</v>
      </c>
      <c r="L1042" s="41">
        <v>1922</v>
      </c>
      <c r="N1042" s="27" t="str">
        <f t="shared" si="74"/>
        <v>https://ia601500.us.archive.org/33/items/tx192224/1922-24%2c%20selected%20pages%20%28pp.%20192-93%20clipped%29.pdf</v>
      </c>
      <c r="O1042" s="27" t="s">
        <v>1970</v>
      </c>
      <c r="P1042" s="27" t="s">
        <v>563</v>
      </c>
      <c r="Q1042" s="27" t="s">
        <v>2570</v>
      </c>
      <c r="R1042" s="27" t="s">
        <v>565</v>
      </c>
      <c r="S1042" s="27" t="str">
        <f t="shared" si="75"/>
        <v>https://ia601505.us.archive.org/29/items/tx192426/1924-26.pdf</v>
      </c>
      <c r="T1042" s="27" t="str">
        <f t="shared" si="76"/>
        <v>https://babel.hathitrust.org/cgi/pt?id=uiug.30112058522902;view=1up;seq=175</v>
      </c>
      <c r="U1042" s="27" t="s">
        <v>2570</v>
      </c>
    </row>
    <row r="1043" spans="1:21" x14ac:dyDescent="0.25">
      <c r="A1043" s="27" t="s">
        <v>1576</v>
      </c>
      <c r="B1043" s="27" t="str">
        <f t="shared" si="72"/>
        <v>Texas</v>
      </c>
      <c r="C1043" s="27" t="str">
        <f t="shared" si="73"/>
        <v>Somervell</v>
      </c>
      <c r="D1043" s="7">
        <f>'TX post'!D213</f>
        <v>562</v>
      </c>
      <c r="E1043" s="2">
        <f>'TX post'!E213</f>
        <v>25</v>
      </c>
      <c r="F1043" s="26">
        <v>113</v>
      </c>
      <c r="G1043" s="2">
        <f>'TX post'!I213</f>
        <v>845</v>
      </c>
      <c r="H1043" s="88">
        <f>'TX post'!M213</f>
        <v>111.72389380530973</v>
      </c>
      <c r="I1043" s="29">
        <f>'TX post'!P213</f>
        <v>21342.7</v>
      </c>
      <c r="J1043" s="27">
        <v>15</v>
      </c>
      <c r="K1043" s="29">
        <f>'TX post'!R213</f>
        <v>18400</v>
      </c>
      <c r="L1043" s="41">
        <v>1922</v>
      </c>
      <c r="N1043" s="27" t="str">
        <f t="shared" si="74"/>
        <v>https://ia601500.us.archive.org/33/items/tx192224/1922-24%2c%20selected%20pages%20%28pp.%20192-93%20clipped%29.pdf</v>
      </c>
      <c r="O1043" s="27" t="s">
        <v>1970</v>
      </c>
      <c r="P1043" s="27" t="s">
        <v>563</v>
      </c>
      <c r="Q1043" s="27" t="s">
        <v>2570</v>
      </c>
      <c r="R1043" s="27" t="s">
        <v>565</v>
      </c>
      <c r="S1043" s="27" t="str">
        <f t="shared" si="75"/>
        <v>https://ia601505.us.archive.org/29/items/tx192426/1924-26.pdf</v>
      </c>
      <c r="T1043" s="27" t="str">
        <f t="shared" si="76"/>
        <v>https://babel.hathitrust.org/cgi/pt?id=uiug.30112058522902;view=1up;seq=175</v>
      </c>
      <c r="U1043" s="27" t="s">
        <v>2570</v>
      </c>
    </row>
    <row r="1044" spans="1:21" x14ac:dyDescent="0.25">
      <c r="A1044" s="27" t="s">
        <v>1577</v>
      </c>
      <c r="B1044" s="27" t="str">
        <f t="shared" si="72"/>
        <v>Texas</v>
      </c>
      <c r="C1044" s="27" t="str">
        <f t="shared" si="73"/>
        <v>Starr</v>
      </c>
      <c r="D1044" s="7">
        <f>'TX post'!D214</f>
        <v>1242</v>
      </c>
      <c r="E1044" s="2">
        <f>'TX post'!E214</f>
        <v>49</v>
      </c>
      <c r="F1044" s="26">
        <v>170</v>
      </c>
      <c r="G1044" s="2">
        <f>'TX post'!I214</f>
        <v>1929</v>
      </c>
      <c r="H1044" s="88">
        <f>'TX post'!M214</f>
        <v>103.37529411764706</v>
      </c>
      <c r="I1044" s="29">
        <f>'TX post'!P214</f>
        <v>47242.9</v>
      </c>
      <c r="J1044" s="27">
        <v>25</v>
      </c>
      <c r="K1044" s="29">
        <f>'TX post'!R214</f>
        <v>90000</v>
      </c>
      <c r="L1044" s="41">
        <v>1922</v>
      </c>
      <c r="N1044" s="27" t="str">
        <f t="shared" si="74"/>
        <v>https://ia601500.us.archive.org/33/items/tx192224/1922-24%2c%20selected%20pages%20%28pp.%20192-93%20clipped%29.pdf</v>
      </c>
      <c r="O1044" s="27" t="s">
        <v>1970</v>
      </c>
      <c r="P1044" s="27" t="s">
        <v>563</v>
      </c>
      <c r="Q1044" s="27" t="s">
        <v>2570</v>
      </c>
      <c r="R1044" s="27" t="s">
        <v>565</v>
      </c>
      <c r="S1044" s="27" t="str">
        <f t="shared" si="75"/>
        <v>https://ia601505.us.archive.org/29/items/tx192426/1924-26.pdf</v>
      </c>
      <c r="T1044" s="27" t="str">
        <f t="shared" si="76"/>
        <v>https://babel.hathitrust.org/cgi/pt?id=uiug.30112058522902;view=1up;seq=175</v>
      </c>
      <c r="U1044" s="27" t="s">
        <v>2570</v>
      </c>
    </row>
    <row r="1045" spans="1:21" x14ac:dyDescent="0.25">
      <c r="A1045" s="27" t="s">
        <v>1792</v>
      </c>
      <c r="B1045" s="27" t="str">
        <f t="shared" si="72"/>
        <v>Texas</v>
      </c>
      <c r="C1045" s="27" t="str">
        <f t="shared" si="73"/>
        <v>Stephens/Buchanan</v>
      </c>
      <c r="D1045" s="7">
        <f>'TX post'!D215</f>
        <v>3966</v>
      </c>
      <c r="E1045" s="2">
        <f>'TX post'!E215</f>
        <v>130</v>
      </c>
      <c r="F1045" s="26">
        <v>144</v>
      </c>
      <c r="G1045" s="2">
        <f>'TX post'!I215</f>
        <v>5346</v>
      </c>
      <c r="H1045" s="88">
        <f>'TX post'!M215</f>
        <v>140.42083333333332</v>
      </c>
      <c r="I1045" s="29">
        <f>'TX post'!P215</f>
        <v>196990.89</v>
      </c>
      <c r="J1045" s="27">
        <v>45</v>
      </c>
      <c r="K1045" s="29">
        <f>'TX post'!R215</f>
        <v>114966</v>
      </c>
      <c r="L1045" s="41">
        <v>1922</v>
      </c>
      <c r="N1045" s="27" t="str">
        <f t="shared" si="74"/>
        <v>https://ia601500.us.archive.org/33/items/tx192224/1922-24%2c%20selected%20pages%20%28pp.%20192-93%20clipped%29.pdf</v>
      </c>
      <c r="O1045" s="27" t="s">
        <v>1970</v>
      </c>
      <c r="P1045" s="27" t="s">
        <v>563</v>
      </c>
      <c r="Q1045" s="27" t="s">
        <v>2570</v>
      </c>
      <c r="R1045" s="27" t="s">
        <v>565</v>
      </c>
      <c r="S1045" s="27" t="str">
        <f t="shared" si="75"/>
        <v>https://ia601505.us.archive.org/29/items/tx192426/1924-26.pdf</v>
      </c>
      <c r="T1045" s="27" t="str">
        <f t="shared" si="76"/>
        <v>https://babel.hathitrust.org/cgi/pt?id=uiug.30112058522902;view=1up;seq=175</v>
      </c>
      <c r="U1045" s="27" t="s">
        <v>2570</v>
      </c>
    </row>
    <row r="1046" spans="1:21" x14ac:dyDescent="0.25">
      <c r="A1046" s="27" t="s">
        <v>1578</v>
      </c>
      <c r="B1046" s="27" t="str">
        <f t="shared" si="72"/>
        <v>Texas</v>
      </c>
      <c r="C1046" s="27" t="str">
        <f t="shared" si="73"/>
        <v>Sterling</v>
      </c>
      <c r="D1046" s="7">
        <f>'TX post'!D216</f>
        <v>234</v>
      </c>
      <c r="E1046" s="2">
        <f>'TX post'!E216</f>
        <v>16</v>
      </c>
      <c r="F1046" s="26">
        <v>169.88</v>
      </c>
      <c r="G1046" s="2">
        <f>'TX post'!I216</f>
        <v>288</v>
      </c>
      <c r="H1046" s="88">
        <f>'TX post'!M216</f>
        <v>122.09411764705882</v>
      </c>
      <c r="I1046" s="29">
        <f>'TX post'!P216</f>
        <v>23223.17</v>
      </c>
      <c r="J1046" s="27">
        <v>9</v>
      </c>
      <c r="K1046" s="29"/>
      <c r="L1046" s="41">
        <v>1922</v>
      </c>
      <c r="N1046" s="27" t="str">
        <f t="shared" si="74"/>
        <v>https://ia601500.us.archive.org/33/items/tx192224/1922-24%2c%20selected%20pages%20%28pp.%20192-93%20clipped%29.pdf</v>
      </c>
      <c r="O1046" s="27" t="s">
        <v>1970</v>
      </c>
      <c r="P1046" s="27" t="s">
        <v>563</v>
      </c>
      <c r="Q1046" s="27" t="s">
        <v>2570</v>
      </c>
      <c r="R1046" s="27" t="s">
        <v>565</v>
      </c>
      <c r="S1046" s="27" t="str">
        <f t="shared" si="75"/>
        <v>https://ia601505.us.archive.org/29/items/tx192426/1924-26.pdf</v>
      </c>
      <c r="T1046" s="27" t="str">
        <f t="shared" si="76"/>
        <v>https://babel.hathitrust.org/cgi/pt?id=uiug.30112058522902;view=1up;seq=175</v>
      </c>
      <c r="U1046" s="27" t="s">
        <v>2570</v>
      </c>
    </row>
    <row r="1047" spans="1:21" x14ac:dyDescent="0.25">
      <c r="A1047" s="27" t="s">
        <v>1579</v>
      </c>
      <c r="B1047" s="27" t="str">
        <f t="shared" si="72"/>
        <v>Texas</v>
      </c>
      <c r="C1047" s="27" t="str">
        <f t="shared" si="73"/>
        <v>Stonewall</v>
      </c>
      <c r="D1047" s="7">
        <f>'TX post'!D217</f>
        <v>1325</v>
      </c>
      <c r="E1047" s="2">
        <f>'TX post'!E217</f>
        <v>63</v>
      </c>
      <c r="F1047" s="26">
        <v>134</v>
      </c>
      <c r="G1047" s="2">
        <f>'TX post'!I217</f>
        <v>1872</v>
      </c>
      <c r="H1047" s="88">
        <f>'TX post'!M217</f>
        <v>110.15970149253732</v>
      </c>
      <c r="I1047" s="29">
        <f>'TX post'!P217</f>
        <v>78009.75</v>
      </c>
      <c r="J1047" s="27">
        <v>30</v>
      </c>
      <c r="K1047" s="29">
        <f>'TX post'!R217</f>
        <v>41225</v>
      </c>
      <c r="L1047" s="41">
        <v>1922</v>
      </c>
      <c r="N1047" s="27" t="str">
        <f t="shared" si="74"/>
        <v>https://ia601500.us.archive.org/33/items/tx192224/1922-24%2c%20selected%20pages%20%28pp.%20192-93%20clipped%29.pdf</v>
      </c>
      <c r="O1047" s="27" t="s">
        <v>1970</v>
      </c>
      <c r="P1047" s="27" t="s">
        <v>563</v>
      </c>
      <c r="Q1047" s="27" t="s">
        <v>2570</v>
      </c>
      <c r="R1047" s="27" t="s">
        <v>565</v>
      </c>
      <c r="S1047" s="27" t="str">
        <f t="shared" si="75"/>
        <v>https://ia601505.us.archive.org/29/items/tx192426/1924-26.pdf</v>
      </c>
      <c r="T1047" s="27" t="str">
        <f t="shared" si="76"/>
        <v>https://babel.hathitrust.org/cgi/pt?id=uiug.30112058522902;view=1up;seq=175</v>
      </c>
      <c r="U1047" s="27" t="s">
        <v>2570</v>
      </c>
    </row>
    <row r="1048" spans="1:21" x14ac:dyDescent="0.25">
      <c r="A1048" s="27" t="s">
        <v>1580</v>
      </c>
      <c r="B1048" s="27" t="str">
        <f t="shared" si="72"/>
        <v>Texas</v>
      </c>
      <c r="C1048" s="27" t="str">
        <f t="shared" si="73"/>
        <v>Sutton</v>
      </c>
      <c r="D1048" s="7"/>
      <c r="E1048" s="2">
        <f>'TX post'!E218</f>
        <v>17</v>
      </c>
      <c r="F1048" s="26">
        <v>180</v>
      </c>
      <c r="G1048" s="2">
        <f>'TX post'!I218</f>
        <v>360</v>
      </c>
      <c r="H1048" s="88">
        <f>'TX post'!M218</f>
        <v>114.57444444444445</v>
      </c>
      <c r="I1048" s="29">
        <f>'TX post'!P218</f>
        <v>25287.919999999998</v>
      </c>
      <c r="J1048" s="27">
        <v>1</v>
      </c>
      <c r="K1048" s="29">
        <f>'TX post'!R218</f>
        <v>3700</v>
      </c>
      <c r="L1048" s="41">
        <v>1922</v>
      </c>
      <c r="N1048" s="27" t="str">
        <f t="shared" si="74"/>
        <v>https://ia601500.us.archive.org/33/items/tx192224/1922-24%2c%20selected%20pages%20%28pp.%20192-93%20clipped%29.pdf</v>
      </c>
      <c r="O1048" s="27" t="s">
        <v>1970</v>
      </c>
      <c r="P1048" s="27" t="s">
        <v>563</v>
      </c>
      <c r="Q1048" s="27" t="s">
        <v>2570</v>
      </c>
      <c r="R1048" s="27" t="s">
        <v>565</v>
      </c>
      <c r="S1048" s="27" t="str">
        <f t="shared" si="75"/>
        <v>https://ia601505.us.archive.org/29/items/tx192426/1924-26.pdf</v>
      </c>
      <c r="T1048" s="27" t="str">
        <f t="shared" si="76"/>
        <v>https://babel.hathitrust.org/cgi/pt?id=uiug.30112058522902;view=1up;seq=175</v>
      </c>
      <c r="U1048" s="27" t="s">
        <v>2570</v>
      </c>
    </row>
    <row r="1049" spans="1:21" x14ac:dyDescent="0.25">
      <c r="A1049" s="27" t="s">
        <v>1581</v>
      </c>
      <c r="B1049" s="27" t="str">
        <f t="shared" si="72"/>
        <v>Texas</v>
      </c>
      <c r="C1049" s="27" t="str">
        <f t="shared" si="73"/>
        <v>Swisher</v>
      </c>
      <c r="D1049" s="7">
        <f>'TX post'!D219</f>
        <v>945</v>
      </c>
      <c r="E1049" s="2">
        <f>'TX post'!E219</f>
        <v>51</v>
      </c>
      <c r="F1049" s="26">
        <v>170</v>
      </c>
      <c r="G1049" s="2">
        <f>'TX post'!I219</f>
        <v>1434</v>
      </c>
      <c r="H1049" s="88">
        <f>'TX post'!M219</f>
        <v>113.65529411764706</v>
      </c>
      <c r="I1049" s="29">
        <f>'TX post'!P219</f>
        <v>103596.72</v>
      </c>
      <c r="J1049" s="27">
        <v>23</v>
      </c>
      <c r="K1049" s="29">
        <f>'TX post'!R219</f>
        <v>114430</v>
      </c>
      <c r="L1049" s="41">
        <v>1922</v>
      </c>
      <c r="N1049" s="27" t="str">
        <f t="shared" si="74"/>
        <v>https://ia601500.us.archive.org/33/items/tx192224/1922-24%2c%20selected%20pages%20%28pp.%20192-93%20clipped%29.pdf</v>
      </c>
      <c r="O1049" s="27" t="s">
        <v>1970</v>
      </c>
      <c r="P1049" s="27" t="s">
        <v>563</v>
      </c>
      <c r="Q1049" s="27" t="s">
        <v>2570</v>
      </c>
      <c r="R1049" s="27" t="s">
        <v>565</v>
      </c>
      <c r="S1049" s="27" t="str">
        <f t="shared" si="75"/>
        <v>https://ia601505.us.archive.org/29/items/tx192426/1924-26.pdf</v>
      </c>
      <c r="T1049" s="27" t="str">
        <f t="shared" si="76"/>
        <v>https://babel.hathitrust.org/cgi/pt?id=uiug.30112058522902;view=1up;seq=175</v>
      </c>
      <c r="U1049" s="27" t="s">
        <v>2570</v>
      </c>
    </row>
    <row r="1050" spans="1:21" x14ac:dyDescent="0.25">
      <c r="A1050" s="27" t="s">
        <v>1582</v>
      </c>
      <c r="B1050" s="27" t="str">
        <f t="shared" si="72"/>
        <v>Texas</v>
      </c>
      <c r="C1050" s="27" t="str">
        <f t="shared" si="73"/>
        <v>Tarrant</v>
      </c>
      <c r="D1050" s="7">
        <f>'TX post'!D220</f>
        <v>26619</v>
      </c>
      <c r="E1050" s="2">
        <f>'TX post'!E220</f>
        <v>941</v>
      </c>
      <c r="F1050" s="26">
        <v>148</v>
      </c>
      <c r="G1050" s="2">
        <f>'TX post'!I220</f>
        <v>33881</v>
      </c>
      <c r="H1050" s="88">
        <f>'TX post'!M220</f>
        <v>172.20270270270268</v>
      </c>
      <c r="I1050" s="29">
        <f>'TX post'!P220</f>
        <v>1845536.19</v>
      </c>
      <c r="J1050" s="27">
        <v>54</v>
      </c>
      <c r="K1050" s="29">
        <f>'TX post'!R220</f>
        <v>361450</v>
      </c>
      <c r="L1050" s="41">
        <v>1922</v>
      </c>
      <c r="N1050" s="27" t="str">
        <f t="shared" si="74"/>
        <v>https://ia601500.us.archive.org/33/items/tx192224/1922-24%2c%20selected%20pages%20%28pp.%20192-93%20clipped%29.pdf</v>
      </c>
      <c r="O1050" s="27" t="s">
        <v>1970</v>
      </c>
      <c r="P1050" s="27" t="s">
        <v>563</v>
      </c>
      <c r="Q1050" s="27" t="s">
        <v>2570</v>
      </c>
      <c r="R1050" s="27" t="s">
        <v>565</v>
      </c>
      <c r="S1050" s="27" t="str">
        <f t="shared" si="75"/>
        <v>https://ia601505.us.archive.org/29/items/tx192426/1924-26.pdf</v>
      </c>
      <c r="T1050" s="27" t="str">
        <f t="shared" si="76"/>
        <v>https://babel.hathitrust.org/cgi/pt?id=uiug.30112058522902;view=1up;seq=175</v>
      </c>
      <c r="U1050" s="27" t="s">
        <v>2570</v>
      </c>
    </row>
    <row r="1051" spans="1:21" x14ac:dyDescent="0.25">
      <c r="A1051" s="27" t="s">
        <v>1583</v>
      </c>
      <c r="B1051" s="27" t="str">
        <f t="shared" si="72"/>
        <v>Texas</v>
      </c>
      <c r="C1051" s="27" t="str">
        <f t="shared" si="73"/>
        <v>Taylor</v>
      </c>
      <c r="D1051" s="7">
        <f>'TX post'!D221</f>
        <v>6194</v>
      </c>
      <c r="E1051" s="2">
        <f>'TX post'!E221</f>
        <v>203</v>
      </c>
      <c r="F1051" s="26">
        <v>125.65</v>
      </c>
      <c r="G1051" s="2">
        <f>'TX post'!I221</f>
        <v>7630</v>
      </c>
      <c r="H1051" s="88">
        <f>'TX post'!M221</f>
        <v>144.0952380952381</v>
      </c>
      <c r="I1051" s="29">
        <f>'TX post'!P221</f>
        <v>310603.09000000003</v>
      </c>
      <c r="J1051" s="27">
        <v>41</v>
      </c>
      <c r="K1051" s="29">
        <f>'TX post'!R221</f>
        <v>45350</v>
      </c>
      <c r="L1051" s="41">
        <v>1922</v>
      </c>
      <c r="N1051" s="27" t="str">
        <f t="shared" si="74"/>
        <v>https://ia601500.us.archive.org/33/items/tx192224/1922-24%2c%20selected%20pages%20%28pp.%20192-93%20clipped%29.pdf</v>
      </c>
      <c r="O1051" s="27" t="s">
        <v>1970</v>
      </c>
      <c r="P1051" s="27" t="s">
        <v>563</v>
      </c>
      <c r="Q1051" s="27" t="s">
        <v>2570</v>
      </c>
      <c r="R1051" s="27" t="s">
        <v>565</v>
      </c>
      <c r="S1051" s="27" t="str">
        <f t="shared" si="75"/>
        <v>https://ia601505.us.archive.org/29/items/tx192426/1924-26.pdf</v>
      </c>
      <c r="T1051" s="27" t="str">
        <f t="shared" si="76"/>
        <v>https://babel.hathitrust.org/cgi/pt?id=uiug.30112058522902;view=1up;seq=175</v>
      </c>
      <c r="U1051" s="27" t="s">
        <v>2570</v>
      </c>
    </row>
    <row r="1052" spans="1:21" x14ac:dyDescent="0.25">
      <c r="A1052" s="27" t="s">
        <v>1584</v>
      </c>
      <c r="B1052" s="27" t="str">
        <f t="shared" si="72"/>
        <v>Texas</v>
      </c>
      <c r="C1052" s="27" t="str">
        <f t="shared" si="73"/>
        <v>Terrell</v>
      </c>
      <c r="D1052" s="7">
        <f>'TX post'!D222</f>
        <v>182</v>
      </c>
      <c r="E1052" s="2">
        <f>'TX post'!E222</f>
        <v>10</v>
      </c>
      <c r="F1052" s="26">
        <v>180</v>
      </c>
      <c r="G1052" s="2">
        <f>'TX post'!I222</f>
        <v>259</v>
      </c>
      <c r="H1052" s="88">
        <f>'TX post'!M222</f>
        <v>99</v>
      </c>
      <c r="I1052" s="29">
        <f>'TX post'!P222</f>
        <v>22067.91</v>
      </c>
      <c r="J1052" s="27">
        <v>3</v>
      </c>
      <c r="K1052" s="29">
        <f>'TX post'!R222</f>
        <v>35000</v>
      </c>
      <c r="L1052" s="41">
        <v>1922</v>
      </c>
      <c r="N1052" s="27" t="str">
        <f t="shared" si="74"/>
        <v>https://ia601500.us.archive.org/33/items/tx192224/1922-24%2c%20selected%20pages%20%28pp.%20192-93%20clipped%29.pdf</v>
      </c>
      <c r="O1052" s="27" t="s">
        <v>1970</v>
      </c>
      <c r="P1052" s="27" t="s">
        <v>563</v>
      </c>
      <c r="Q1052" s="27" t="s">
        <v>2570</v>
      </c>
      <c r="R1052" s="27" t="s">
        <v>565</v>
      </c>
      <c r="S1052" s="27" t="str">
        <f t="shared" si="75"/>
        <v>https://ia601505.us.archive.org/29/items/tx192426/1924-26.pdf</v>
      </c>
      <c r="T1052" s="27" t="str">
        <f t="shared" si="76"/>
        <v>https://babel.hathitrust.org/cgi/pt?id=uiug.30112058522902;view=1up;seq=175</v>
      </c>
      <c r="U1052" s="27" t="s">
        <v>2570</v>
      </c>
    </row>
    <row r="1053" spans="1:21" x14ac:dyDescent="0.25">
      <c r="A1053" s="27" t="s">
        <v>1585</v>
      </c>
      <c r="B1053" s="27" t="str">
        <f t="shared" si="72"/>
        <v>Texas</v>
      </c>
      <c r="C1053" s="27" t="str">
        <f t="shared" si="73"/>
        <v>Terry</v>
      </c>
      <c r="D1053" s="7">
        <f>'TX post'!D223</f>
        <v>921</v>
      </c>
      <c r="E1053" s="2">
        <f>'TX post'!E223</f>
        <v>34</v>
      </c>
      <c r="F1053" s="26">
        <v>140</v>
      </c>
      <c r="G1053" s="2">
        <f>'TX post'!I223</f>
        <v>1119</v>
      </c>
      <c r="H1053" s="88">
        <f>'TX post'!M223</f>
        <v>112.24571428571429</v>
      </c>
      <c r="I1053" s="29">
        <f>'TX post'!P223</f>
        <v>100318.93</v>
      </c>
      <c r="J1053" s="27">
        <v>15</v>
      </c>
      <c r="K1053" s="29">
        <f>'TX post'!R223</f>
        <v>36360</v>
      </c>
      <c r="L1053" s="41">
        <v>1922</v>
      </c>
      <c r="N1053" s="27" t="str">
        <f t="shared" si="74"/>
        <v>https://ia601500.us.archive.org/33/items/tx192224/1922-24%2c%20selected%20pages%20%28pp.%20192-93%20clipped%29.pdf</v>
      </c>
      <c r="O1053" s="27" t="s">
        <v>1970</v>
      </c>
      <c r="P1053" s="27" t="s">
        <v>563</v>
      </c>
      <c r="Q1053" s="27" t="s">
        <v>2570</v>
      </c>
      <c r="R1053" s="27" t="s">
        <v>565</v>
      </c>
      <c r="S1053" s="27" t="str">
        <f t="shared" si="75"/>
        <v>https://ia601505.us.archive.org/29/items/tx192426/1924-26.pdf</v>
      </c>
      <c r="T1053" s="27" t="str">
        <f t="shared" si="76"/>
        <v>https://babel.hathitrust.org/cgi/pt?id=uiug.30112058522902;view=1up;seq=175</v>
      </c>
      <c r="U1053" s="27" t="s">
        <v>2570</v>
      </c>
    </row>
    <row r="1054" spans="1:21" x14ac:dyDescent="0.25">
      <c r="A1054" s="27" t="s">
        <v>1586</v>
      </c>
      <c r="B1054" s="27" t="str">
        <f t="shared" si="72"/>
        <v>Texas</v>
      </c>
      <c r="C1054" s="27" t="str">
        <f t="shared" si="73"/>
        <v>Throckmorton</v>
      </c>
      <c r="D1054" s="7">
        <f>'TX post'!D224</f>
        <v>1276</v>
      </c>
      <c r="E1054" s="2">
        <f>'TX post'!E224</f>
        <v>44</v>
      </c>
      <c r="F1054" s="26">
        <v>115</v>
      </c>
      <c r="G1054" s="2">
        <f>'TX post'!I224</f>
        <v>1221</v>
      </c>
      <c r="H1054" s="88">
        <f>'TX post'!M224</f>
        <v>156.05391304347825</v>
      </c>
      <c r="I1054" s="29">
        <f>'TX post'!P224</f>
        <v>65229.41</v>
      </c>
      <c r="J1054" s="27">
        <v>24</v>
      </c>
      <c r="K1054" s="29">
        <f>'TX post'!R224</f>
        <v>42700</v>
      </c>
      <c r="L1054" s="41">
        <v>1922</v>
      </c>
      <c r="N1054" s="27" t="str">
        <f t="shared" si="74"/>
        <v>https://ia601500.us.archive.org/33/items/tx192224/1922-24%2c%20selected%20pages%20%28pp.%20192-93%20clipped%29.pdf</v>
      </c>
      <c r="O1054" s="27" t="s">
        <v>1970</v>
      </c>
      <c r="P1054" s="27" t="s">
        <v>563</v>
      </c>
      <c r="Q1054" s="27" t="s">
        <v>2570</v>
      </c>
      <c r="R1054" s="27" t="s">
        <v>565</v>
      </c>
      <c r="S1054" s="27" t="str">
        <f t="shared" si="75"/>
        <v>https://ia601505.us.archive.org/29/items/tx192426/1924-26.pdf</v>
      </c>
      <c r="T1054" s="27" t="str">
        <f t="shared" si="76"/>
        <v>https://babel.hathitrust.org/cgi/pt?id=uiug.30112058522902;view=1up;seq=175</v>
      </c>
      <c r="U1054" s="27" t="s">
        <v>2570</v>
      </c>
    </row>
    <row r="1055" spans="1:21" x14ac:dyDescent="0.25">
      <c r="A1055" s="27" t="s">
        <v>1587</v>
      </c>
      <c r="B1055" s="27" t="str">
        <f t="shared" si="72"/>
        <v>Texas</v>
      </c>
      <c r="C1055" s="27" t="str">
        <f t="shared" si="73"/>
        <v>Titus</v>
      </c>
      <c r="D1055" s="7">
        <f>'TX post'!D225</f>
        <v>3242</v>
      </c>
      <c r="E1055" s="2">
        <f>'TX post'!E225</f>
        <v>132</v>
      </c>
      <c r="F1055" s="26">
        <v>150</v>
      </c>
      <c r="G1055" s="2">
        <f>'TX post'!I225</f>
        <v>5313</v>
      </c>
      <c r="H1055" s="88">
        <f>'TX post'!M225</f>
        <v>91.549333333333337</v>
      </c>
      <c r="I1055" s="29">
        <f>'TX post'!P225</f>
        <v>132404.51999999999</v>
      </c>
      <c r="J1055" s="27">
        <v>30</v>
      </c>
      <c r="K1055" s="29">
        <f>'TX post'!R225</f>
        <v>86970</v>
      </c>
      <c r="L1055" s="41">
        <v>1922</v>
      </c>
      <c r="N1055" s="27" t="str">
        <f t="shared" si="74"/>
        <v>https://ia601500.us.archive.org/33/items/tx192224/1922-24%2c%20selected%20pages%20%28pp.%20192-93%20clipped%29.pdf</v>
      </c>
      <c r="O1055" s="27" t="s">
        <v>1970</v>
      </c>
      <c r="P1055" s="27" t="s">
        <v>563</v>
      </c>
      <c r="Q1055" s="27" t="s">
        <v>2570</v>
      </c>
      <c r="R1055" s="27" t="s">
        <v>565</v>
      </c>
      <c r="S1055" s="27" t="str">
        <f t="shared" si="75"/>
        <v>https://ia601505.us.archive.org/29/items/tx192426/1924-26.pdf</v>
      </c>
      <c r="T1055" s="27" t="str">
        <f t="shared" si="76"/>
        <v>https://babel.hathitrust.org/cgi/pt?id=uiug.30112058522902;view=1up;seq=175</v>
      </c>
      <c r="U1055" s="27" t="s">
        <v>2570</v>
      </c>
    </row>
    <row r="1056" spans="1:21" x14ac:dyDescent="0.25">
      <c r="A1056" s="27" t="s">
        <v>1588</v>
      </c>
      <c r="B1056" s="27" t="str">
        <f t="shared" si="72"/>
        <v>Texas</v>
      </c>
      <c r="C1056" s="27" t="str">
        <f t="shared" si="73"/>
        <v>Tom Green</v>
      </c>
      <c r="D1056" s="7">
        <f>'TX post'!D226</f>
        <v>2811</v>
      </c>
      <c r="E1056" s="2">
        <f>'TX post'!E226</f>
        <v>129</v>
      </c>
      <c r="F1056" s="26">
        <v>144</v>
      </c>
      <c r="G1056" s="2">
        <f>'TX post'!I226</f>
        <v>3657</v>
      </c>
      <c r="H1056" s="88">
        <f>'TX post'!M226</f>
        <v>130.19027777777777</v>
      </c>
      <c r="I1056" s="29">
        <f>'TX post'!P226</f>
        <v>118527.67999999999</v>
      </c>
      <c r="J1056" s="27">
        <v>33</v>
      </c>
      <c r="K1056" s="29">
        <f>'TX post'!R226</f>
        <v>85500</v>
      </c>
      <c r="L1056" s="41">
        <v>1922</v>
      </c>
      <c r="N1056" s="27" t="str">
        <f t="shared" si="74"/>
        <v>https://ia601500.us.archive.org/33/items/tx192224/1922-24%2c%20selected%20pages%20%28pp.%20192-93%20clipped%29.pdf</v>
      </c>
      <c r="O1056" s="27" t="s">
        <v>1970</v>
      </c>
      <c r="P1056" s="27" t="s">
        <v>563</v>
      </c>
      <c r="Q1056" s="27" t="s">
        <v>2570</v>
      </c>
      <c r="R1056" s="27" t="s">
        <v>565</v>
      </c>
      <c r="S1056" s="27" t="str">
        <f t="shared" si="75"/>
        <v>https://ia601505.us.archive.org/29/items/tx192426/1924-26.pdf</v>
      </c>
      <c r="T1056" s="27" t="str">
        <f t="shared" si="76"/>
        <v>https://babel.hathitrust.org/cgi/pt?id=uiug.30112058522902;view=1up;seq=175</v>
      </c>
      <c r="U1056" s="27" t="s">
        <v>2570</v>
      </c>
    </row>
    <row r="1057" spans="1:21" x14ac:dyDescent="0.25">
      <c r="A1057" s="27" t="s">
        <v>1589</v>
      </c>
      <c r="B1057" s="27" t="str">
        <f t="shared" si="72"/>
        <v>Texas</v>
      </c>
      <c r="C1057" s="27" t="str">
        <f t="shared" si="73"/>
        <v>Travis</v>
      </c>
      <c r="D1057" s="7">
        <f>'TX post'!D227</f>
        <v>11297</v>
      </c>
      <c r="E1057" s="2">
        <f>'TX post'!E227</f>
        <v>396</v>
      </c>
      <c r="F1057" s="26">
        <v>147</v>
      </c>
      <c r="G1057" s="2">
        <f>'TX post'!I227</f>
        <v>14922</v>
      </c>
      <c r="H1057" s="88">
        <f>'TX post'!M227</f>
        <v>135.53197278911566</v>
      </c>
      <c r="I1057" s="29">
        <f>'TX post'!P227</f>
        <v>554431.12</v>
      </c>
      <c r="J1057" s="27">
        <v>83</v>
      </c>
      <c r="K1057" s="29">
        <f>'TX post'!R227</f>
        <v>660270</v>
      </c>
      <c r="L1057" s="41">
        <v>1922</v>
      </c>
      <c r="N1057" s="27" t="str">
        <f t="shared" si="74"/>
        <v>https://ia601500.us.archive.org/33/items/tx192224/1922-24%2c%20selected%20pages%20%28pp.%20192-93%20clipped%29.pdf</v>
      </c>
      <c r="O1057" s="27" t="s">
        <v>1970</v>
      </c>
      <c r="P1057" s="27" t="s">
        <v>563</v>
      </c>
      <c r="Q1057" s="27" t="s">
        <v>2570</v>
      </c>
      <c r="R1057" s="27" t="s">
        <v>565</v>
      </c>
      <c r="S1057" s="27" t="str">
        <f t="shared" si="75"/>
        <v>https://ia601505.us.archive.org/29/items/tx192426/1924-26.pdf</v>
      </c>
      <c r="T1057" s="27" t="str">
        <f t="shared" si="76"/>
        <v>https://babel.hathitrust.org/cgi/pt?id=uiug.30112058522902;view=1up;seq=175</v>
      </c>
      <c r="U1057" s="27" t="s">
        <v>2570</v>
      </c>
    </row>
    <row r="1058" spans="1:21" x14ac:dyDescent="0.25">
      <c r="A1058" s="27" t="s">
        <v>1590</v>
      </c>
      <c r="B1058" s="27" t="str">
        <f t="shared" si="72"/>
        <v>Texas</v>
      </c>
      <c r="C1058" s="27" t="str">
        <f t="shared" si="73"/>
        <v>Trinity</v>
      </c>
      <c r="D1058" s="7">
        <f>'TX post'!D228</f>
        <v>2762</v>
      </c>
      <c r="E1058" s="2">
        <f>'TX post'!E228</f>
        <v>119</v>
      </c>
      <c r="F1058" s="26">
        <v>95.3</v>
      </c>
      <c r="G1058" s="2">
        <f>'TX post'!I228</f>
        <v>3897</v>
      </c>
      <c r="H1058" s="88">
        <f>'TX post'!M228</f>
        <v>148.03157894736842</v>
      </c>
      <c r="I1058" s="29">
        <f>'TX post'!P228</f>
        <v>109679.88</v>
      </c>
      <c r="J1058" s="27">
        <v>43</v>
      </c>
      <c r="K1058" s="29">
        <f>'TX post'!R228</f>
        <v>64385</v>
      </c>
      <c r="L1058" s="41">
        <v>1922</v>
      </c>
      <c r="N1058" s="27" t="str">
        <f t="shared" si="74"/>
        <v>https://ia601500.us.archive.org/33/items/tx192224/1922-24%2c%20selected%20pages%20%28pp.%20192-93%20clipped%29.pdf</v>
      </c>
      <c r="O1058" s="27" t="s">
        <v>1970</v>
      </c>
      <c r="P1058" s="27" t="s">
        <v>563</v>
      </c>
      <c r="Q1058" s="27" t="s">
        <v>2570</v>
      </c>
      <c r="R1058" s="27" t="s">
        <v>565</v>
      </c>
      <c r="S1058" s="27" t="str">
        <f t="shared" si="75"/>
        <v>https://ia601505.us.archive.org/29/items/tx192426/1924-26.pdf</v>
      </c>
      <c r="T1058" s="27" t="str">
        <f t="shared" si="76"/>
        <v>https://babel.hathitrust.org/cgi/pt?id=uiug.30112058522902;view=1up;seq=175</v>
      </c>
      <c r="U1058" s="27" t="s">
        <v>2570</v>
      </c>
    </row>
    <row r="1059" spans="1:21" x14ac:dyDescent="0.25">
      <c r="A1059" s="27" t="s">
        <v>1591</v>
      </c>
      <c r="B1059" s="27" t="str">
        <f t="shared" si="72"/>
        <v>Texas</v>
      </c>
      <c r="C1059" s="27" t="str">
        <f t="shared" si="73"/>
        <v>Tyler</v>
      </c>
      <c r="D1059" s="7">
        <f>'TX post'!D229</f>
        <v>690</v>
      </c>
      <c r="E1059" s="2">
        <f>'TX post'!E229</f>
        <v>101</v>
      </c>
      <c r="F1059" s="26">
        <v>130</v>
      </c>
      <c r="G1059" s="2">
        <f>'TX post'!I229</f>
        <v>3185</v>
      </c>
      <c r="H1059" s="88">
        <f>'TX post'!M229</f>
        <v>96.498461538461541</v>
      </c>
      <c r="I1059" s="29">
        <f>'TX post'!P229</f>
        <v>96994.98</v>
      </c>
      <c r="J1059" s="27">
        <v>53</v>
      </c>
      <c r="K1059" s="29">
        <f>'TX post'!R229</f>
        <v>83900</v>
      </c>
      <c r="L1059" s="41">
        <v>1922</v>
      </c>
      <c r="N1059" s="27" t="str">
        <f t="shared" si="74"/>
        <v>https://ia601500.us.archive.org/33/items/tx192224/1922-24%2c%20selected%20pages%20%28pp.%20192-93%20clipped%29.pdf</v>
      </c>
      <c r="O1059" s="27" t="s">
        <v>1970</v>
      </c>
      <c r="P1059" s="27" t="s">
        <v>563</v>
      </c>
      <c r="Q1059" s="27" t="s">
        <v>2570</v>
      </c>
      <c r="R1059" s="27" t="s">
        <v>565</v>
      </c>
      <c r="S1059" s="27" t="str">
        <f t="shared" si="75"/>
        <v>https://ia601505.us.archive.org/29/items/tx192426/1924-26.pdf</v>
      </c>
      <c r="T1059" s="27" t="str">
        <f t="shared" si="76"/>
        <v>https://babel.hathitrust.org/cgi/pt?id=uiug.30112058522902;view=1up;seq=175</v>
      </c>
      <c r="U1059" s="27" t="s">
        <v>2570</v>
      </c>
    </row>
    <row r="1060" spans="1:21" x14ac:dyDescent="0.25">
      <c r="A1060" s="27" t="s">
        <v>1592</v>
      </c>
      <c r="B1060" s="27" t="str">
        <f t="shared" si="72"/>
        <v>Texas</v>
      </c>
      <c r="C1060" s="27" t="str">
        <f t="shared" si="73"/>
        <v>Upshur</v>
      </c>
      <c r="D1060" s="7">
        <f>'TX post'!D230</f>
        <v>1162</v>
      </c>
      <c r="E1060" s="2">
        <f>'TX post'!E230</f>
        <v>195</v>
      </c>
      <c r="F1060" s="26">
        <v>135.05000000000001</v>
      </c>
      <c r="G1060" s="2">
        <f>'TX post'!I230</f>
        <v>7949</v>
      </c>
      <c r="H1060" s="88">
        <f>'TX post'!M230</f>
        <v>93.357037037037031</v>
      </c>
      <c r="I1060" s="29">
        <f>'TX post'!P230</f>
        <v>157497.71</v>
      </c>
      <c r="J1060" s="27">
        <v>76</v>
      </c>
      <c r="K1060" s="29">
        <f>'TX post'!R230</f>
        <v>150716</v>
      </c>
      <c r="L1060" s="41">
        <v>1922</v>
      </c>
      <c r="N1060" s="27" t="str">
        <f t="shared" si="74"/>
        <v>https://ia601500.us.archive.org/33/items/tx192224/1922-24%2c%20selected%20pages%20%28pp.%20192-93%20clipped%29.pdf</v>
      </c>
      <c r="O1060" s="27" t="s">
        <v>1970</v>
      </c>
      <c r="P1060" s="27" t="s">
        <v>563</v>
      </c>
      <c r="Q1060" s="27" t="s">
        <v>2570</v>
      </c>
      <c r="R1060" s="27" t="s">
        <v>565</v>
      </c>
      <c r="S1060" s="27" t="str">
        <f t="shared" si="75"/>
        <v>https://ia601505.us.archive.org/29/items/tx192426/1924-26.pdf</v>
      </c>
      <c r="T1060" s="27" t="str">
        <f t="shared" si="76"/>
        <v>https://babel.hathitrust.org/cgi/pt?id=uiug.30112058522902;view=1up;seq=175</v>
      </c>
      <c r="U1060" s="27" t="s">
        <v>2570</v>
      </c>
    </row>
    <row r="1061" spans="1:21" x14ac:dyDescent="0.25">
      <c r="A1061" s="27" t="s">
        <v>1593</v>
      </c>
      <c r="B1061" s="27" t="str">
        <f t="shared" si="72"/>
        <v>Texas</v>
      </c>
      <c r="C1061" s="27" t="str">
        <f t="shared" si="73"/>
        <v>Upton</v>
      </c>
      <c r="D1061" s="7">
        <f>'TX post'!D231</f>
        <v>45</v>
      </c>
      <c r="E1061" s="2">
        <f>'TX post'!E231</f>
        <v>3</v>
      </c>
      <c r="F1061" s="26">
        <v>180</v>
      </c>
      <c r="G1061" s="2">
        <f>'TX post'!I231</f>
        <v>46</v>
      </c>
      <c r="H1061" s="88">
        <f>'TX post'!M231</f>
        <v>138.33333333333334</v>
      </c>
      <c r="I1061" s="29">
        <f>'TX post'!P231</f>
        <v>4716.97</v>
      </c>
      <c r="J1061" s="27">
        <v>1</v>
      </c>
      <c r="K1061" s="29">
        <f>'TX post'!R231</f>
        <v>18000</v>
      </c>
      <c r="L1061" s="41">
        <v>1922</v>
      </c>
      <c r="N1061" s="27" t="str">
        <f t="shared" si="74"/>
        <v>https://ia601500.us.archive.org/33/items/tx192224/1922-24%2c%20selected%20pages%20%28pp.%20192-93%20clipped%29.pdf</v>
      </c>
      <c r="O1061" s="27" t="s">
        <v>1970</v>
      </c>
      <c r="P1061" s="27" t="s">
        <v>563</v>
      </c>
      <c r="Q1061" s="27" t="s">
        <v>2570</v>
      </c>
      <c r="R1061" s="27" t="s">
        <v>565</v>
      </c>
      <c r="S1061" s="27" t="str">
        <f t="shared" si="75"/>
        <v>https://ia601505.us.archive.org/29/items/tx192426/1924-26.pdf</v>
      </c>
      <c r="T1061" s="27" t="str">
        <f t="shared" si="76"/>
        <v>https://babel.hathitrust.org/cgi/pt?id=uiug.30112058522902;view=1up;seq=175</v>
      </c>
      <c r="U1061" s="27" t="s">
        <v>2570</v>
      </c>
    </row>
    <row r="1062" spans="1:21" x14ac:dyDescent="0.25">
      <c r="A1062" s="27" t="s">
        <v>1594</v>
      </c>
      <c r="B1062" s="27" t="str">
        <f t="shared" si="72"/>
        <v>Texas</v>
      </c>
      <c r="C1062" s="27" t="str">
        <f t="shared" si="73"/>
        <v>Uvalde</v>
      </c>
      <c r="D1062" s="7">
        <f>'TX post'!D232</f>
        <v>1385</v>
      </c>
      <c r="E1062" s="2">
        <f>'TX post'!E232</f>
        <v>71</v>
      </c>
      <c r="F1062" s="26">
        <v>170</v>
      </c>
      <c r="G1062" s="2">
        <f>'TX post'!I232</f>
        <v>2183</v>
      </c>
      <c r="H1062" s="88">
        <f>'TX post'!M232</f>
        <v>121.72470588235295</v>
      </c>
      <c r="I1062" s="29">
        <f>'TX post'!P232</f>
        <v>93594.87</v>
      </c>
      <c r="J1062" s="27">
        <v>10</v>
      </c>
      <c r="K1062" s="29">
        <f>'TX post'!R232</f>
        <v>11470</v>
      </c>
      <c r="L1062" s="41">
        <v>1922</v>
      </c>
      <c r="N1062" s="27" t="str">
        <f t="shared" si="74"/>
        <v>https://ia601500.us.archive.org/33/items/tx192224/1922-24%2c%20selected%20pages%20%28pp.%20192-93%20clipped%29.pdf</v>
      </c>
      <c r="O1062" s="27" t="s">
        <v>1970</v>
      </c>
      <c r="P1062" s="27" t="s">
        <v>563</v>
      </c>
      <c r="Q1062" s="27" t="s">
        <v>2570</v>
      </c>
      <c r="R1062" s="27" t="s">
        <v>565</v>
      </c>
      <c r="S1062" s="27" t="str">
        <f t="shared" si="75"/>
        <v>https://ia601505.us.archive.org/29/items/tx192426/1924-26.pdf</v>
      </c>
      <c r="T1062" s="27" t="str">
        <f t="shared" si="76"/>
        <v>https://babel.hathitrust.org/cgi/pt?id=uiug.30112058522902;view=1up;seq=175</v>
      </c>
      <c r="U1062" s="27" t="s">
        <v>2570</v>
      </c>
    </row>
    <row r="1063" spans="1:21" x14ac:dyDescent="0.25">
      <c r="A1063" s="27" t="s">
        <v>1765</v>
      </c>
      <c r="B1063" s="27" t="str">
        <f t="shared" si="72"/>
        <v>Texas</v>
      </c>
      <c r="C1063" s="27" t="str">
        <f t="shared" si="73"/>
        <v>Val Verde</v>
      </c>
      <c r="D1063" s="7">
        <f>'TX post'!D233</f>
        <v>573</v>
      </c>
      <c r="E1063" s="2">
        <f>'TX post'!E233</f>
        <v>46</v>
      </c>
      <c r="F1063" s="26">
        <v>175</v>
      </c>
      <c r="G1063" s="2">
        <f>'TX post'!I233</f>
        <v>1657</v>
      </c>
      <c r="H1063" s="88">
        <f>'TX post'!M233</f>
        <v>130.66971428571426</v>
      </c>
      <c r="I1063" s="29">
        <f>'TX post'!P233</f>
        <v>81647.789999999994</v>
      </c>
      <c r="J1063" s="27">
        <v>6</v>
      </c>
      <c r="K1063" s="29">
        <f>'TX post'!R233</f>
        <v>65000</v>
      </c>
      <c r="L1063" s="41">
        <v>1922</v>
      </c>
      <c r="N1063" s="27" t="str">
        <f t="shared" si="74"/>
        <v>https://ia601500.us.archive.org/33/items/tx192224/1922-24%2c%20selected%20pages%20%28pp.%20192-93%20clipped%29.pdf</v>
      </c>
      <c r="O1063" s="27" t="s">
        <v>1970</v>
      </c>
      <c r="P1063" s="27" t="s">
        <v>563</v>
      </c>
      <c r="Q1063" s="27" t="s">
        <v>2570</v>
      </c>
      <c r="R1063" s="27" t="s">
        <v>565</v>
      </c>
      <c r="S1063" s="27" t="str">
        <f t="shared" si="75"/>
        <v>https://ia601505.us.archive.org/29/items/tx192426/1924-26.pdf</v>
      </c>
      <c r="T1063" s="27" t="str">
        <f t="shared" si="76"/>
        <v>https://babel.hathitrust.org/cgi/pt?id=uiug.30112058522902;view=1up;seq=175</v>
      </c>
      <c r="U1063" s="27" t="s">
        <v>2570</v>
      </c>
    </row>
    <row r="1064" spans="1:21" x14ac:dyDescent="0.25">
      <c r="A1064" s="27" t="s">
        <v>1595</v>
      </c>
      <c r="B1064" s="27" t="str">
        <f t="shared" si="72"/>
        <v>Texas</v>
      </c>
      <c r="C1064" s="27" t="str">
        <f t="shared" si="73"/>
        <v>Van Zandt</v>
      </c>
      <c r="D1064" s="7">
        <f>'TX post'!D234</f>
        <v>6062</v>
      </c>
      <c r="E1064" s="2">
        <f>'TX post'!E234</f>
        <v>247</v>
      </c>
      <c r="F1064" s="26">
        <v>118.67</v>
      </c>
      <c r="G1064" s="2">
        <f>'TX post'!I234</f>
        <v>9072</v>
      </c>
      <c r="H1064" s="88">
        <f>'TX post'!M234</f>
        <v>0</v>
      </c>
      <c r="I1064" s="29">
        <f>'TX post'!P234</f>
        <v>259414.31</v>
      </c>
      <c r="J1064" s="27">
        <v>78</v>
      </c>
      <c r="K1064" s="29">
        <f>'TX post'!R234</f>
        <v>278065</v>
      </c>
      <c r="L1064" s="41">
        <v>1922</v>
      </c>
      <c r="N1064" s="27" t="str">
        <f t="shared" si="74"/>
        <v>https://ia601500.us.archive.org/33/items/tx192224/1922-24%2c%20selected%20pages%20%28pp.%20192-93%20clipped%29.pdf</v>
      </c>
      <c r="O1064" s="27" t="s">
        <v>1970</v>
      </c>
      <c r="P1064" s="27" t="s">
        <v>563</v>
      </c>
      <c r="Q1064" s="27" t="s">
        <v>2570</v>
      </c>
      <c r="R1064" s="27" t="s">
        <v>565</v>
      </c>
      <c r="S1064" s="27" t="str">
        <f t="shared" si="75"/>
        <v>https://ia601505.us.archive.org/29/items/tx192426/1924-26.pdf</v>
      </c>
      <c r="T1064" s="27" t="str">
        <f t="shared" si="76"/>
        <v>https://babel.hathitrust.org/cgi/pt?id=uiug.30112058522902;view=1up;seq=175</v>
      </c>
      <c r="U1064" s="27" t="s">
        <v>2570</v>
      </c>
    </row>
    <row r="1065" spans="1:21" x14ac:dyDescent="0.25">
      <c r="A1065" s="27" t="s">
        <v>1596</v>
      </c>
      <c r="B1065" s="27" t="str">
        <f t="shared" si="72"/>
        <v>Texas</v>
      </c>
      <c r="C1065" s="27" t="str">
        <f t="shared" si="73"/>
        <v>Victoria</v>
      </c>
      <c r="D1065" s="7">
        <f>'TX post'!D235</f>
        <v>2396</v>
      </c>
      <c r="E1065" s="2">
        <f>'TX post'!E235</f>
        <v>133</v>
      </c>
      <c r="F1065" s="26">
        <v>137</v>
      </c>
      <c r="G1065" s="2">
        <f>'TX post'!I235</f>
        <v>3662</v>
      </c>
      <c r="H1065" s="88">
        <f>'TX post'!M235</f>
        <v>105.03357664233577</v>
      </c>
      <c r="I1065" s="29">
        <f>'TX post'!P235</f>
        <v>137975.41</v>
      </c>
      <c r="J1065" s="27">
        <v>55</v>
      </c>
      <c r="K1065" s="29">
        <f>'TX post'!R235</f>
        <v>111521</v>
      </c>
      <c r="L1065" s="41">
        <v>1922</v>
      </c>
      <c r="N1065" s="27" t="str">
        <f t="shared" si="74"/>
        <v>https://ia601500.us.archive.org/33/items/tx192224/1922-24%2c%20selected%20pages%20%28pp.%20192-93%20clipped%29.pdf</v>
      </c>
      <c r="O1065" s="27" t="s">
        <v>1970</v>
      </c>
      <c r="P1065" s="27" t="s">
        <v>563</v>
      </c>
      <c r="Q1065" s="27" t="s">
        <v>2570</v>
      </c>
      <c r="R1065" s="27" t="s">
        <v>565</v>
      </c>
      <c r="S1065" s="27" t="str">
        <f t="shared" si="75"/>
        <v>https://ia601505.us.archive.org/29/items/tx192426/1924-26.pdf</v>
      </c>
      <c r="T1065" s="27" t="str">
        <f t="shared" si="76"/>
        <v>https://babel.hathitrust.org/cgi/pt?id=uiug.30112058522902;view=1up;seq=175</v>
      </c>
      <c r="U1065" s="27" t="s">
        <v>2570</v>
      </c>
    </row>
    <row r="1066" spans="1:21" x14ac:dyDescent="0.25">
      <c r="A1066" s="27" t="s">
        <v>1597</v>
      </c>
      <c r="B1066" s="27" t="str">
        <f t="shared" si="72"/>
        <v>Texas</v>
      </c>
      <c r="C1066" s="27" t="str">
        <f t="shared" si="73"/>
        <v>Walker</v>
      </c>
      <c r="D1066" s="7">
        <f>'TX post'!D236</f>
        <v>2808</v>
      </c>
      <c r="E1066" s="2">
        <f>'TX post'!E236</f>
        <v>142</v>
      </c>
      <c r="F1066" s="26">
        <v>112</v>
      </c>
      <c r="G1066" s="2">
        <f>'TX post'!I236</f>
        <v>4340</v>
      </c>
      <c r="H1066" s="88">
        <f>'TX post'!M236</f>
        <v>108.67142857142856</v>
      </c>
      <c r="I1066" s="29">
        <f>'TX post'!P236</f>
        <v>132840.91</v>
      </c>
      <c r="J1066" s="27">
        <v>54</v>
      </c>
      <c r="K1066" s="29">
        <f>'TX post'!R236</f>
        <v>114500</v>
      </c>
      <c r="L1066" s="41">
        <v>1922</v>
      </c>
      <c r="N1066" s="27" t="str">
        <f t="shared" si="74"/>
        <v>https://ia601500.us.archive.org/33/items/tx192224/1922-24%2c%20selected%20pages%20%28pp.%20192-93%20clipped%29.pdf</v>
      </c>
      <c r="O1066" s="27" t="s">
        <v>1970</v>
      </c>
      <c r="P1066" s="27" t="s">
        <v>563</v>
      </c>
      <c r="Q1066" s="27" t="s">
        <v>2570</v>
      </c>
      <c r="R1066" s="27" t="s">
        <v>565</v>
      </c>
      <c r="S1066" s="27" t="str">
        <f t="shared" si="75"/>
        <v>https://ia601505.us.archive.org/29/items/tx192426/1924-26.pdf</v>
      </c>
      <c r="T1066" s="27" t="str">
        <f t="shared" si="76"/>
        <v>https://babel.hathitrust.org/cgi/pt?id=uiug.30112058522902;view=1up;seq=175</v>
      </c>
      <c r="U1066" s="27" t="s">
        <v>2570</v>
      </c>
    </row>
    <row r="1067" spans="1:21" x14ac:dyDescent="0.25">
      <c r="A1067" s="27" t="s">
        <v>1598</v>
      </c>
      <c r="B1067" s="27" t="str">
        <f t="shared" si="72"/>
        <v>Texas</v>
      </c>
      <c r="C1067" s="27" t="str">
        <f t="shared" si="73"/>
        <v>Waller</v>
      </c>
      <c r="D1067" s="7">
        <f>'TX post'!D237</f>
        <v>1297</v>
      </c>
      <c r="E1067" s="2">
        <f>'TX post'!E237</f>
        <v>131</v>
      </c>
      <c r="F1067" s="26">
        <v>138</v>
      </c>
      <c r="G1067" s="2">
        <f>'TX post'!I237</f>
        <v>2991</v>
      </c>
      <c r="H1067" s="88">
        <f>'TX post'!M237</f>
        <v>64.23333333333332</v>
      </c>
      <c r="I1067" s="29">
        <f>'TX post'!P237</f>
        <v>60364.19</v>
      </c>
      <c r="J1067" s="27">
        <v>41</v>
      </c>
      <c r="K1067" s="29">
        <f>'TX post'!R237</f>
        <v>34451</v>
      </c>
      <c r="L1067" s="41">
        <v>1922</v>
      </c>
      <c r="N1067" s="27" t="str">
        <f t="shared" si="74"/>
        <v>https://ia601500.us.archive.org/33/items/tx192224/1922-24%2c%20selected%20pages%20%28pp.%20192-93%20clipped%29.pdf</v>
      </c>
      <c r="O1067" s="27" t="s">
        <v>1970</v>
      </c>
      <c r="P1067" s="27" t="s">
        <v>563</v>
      </c>
      <c r="Q1067" s="27" t="s">
        <v>2570</v>
      </c>
      <c r="R1067" s="27" t="s">
        <v>565</v>
      </c>
      <c r="S1067" s="27" t="str">
        <f t="shared" si="75"/>
        <v>https://ia601505.us.archive.org/29/items/tx192426/1924-26.pdf</v>
      </c>
      <c r="T1067" s="27" t="str">
        <f t="shared" si="76"/>
        <v>https://babel.hathitrust.org/cgi/pt?id=uiug.30112058522902;view=1up;seq=175</v>
      </c>
      <c r="U1067" s="27" t="s">
        <v>2570</v>
      </c>
    </row>
    <row r="1068" spans="1:21" x14ac:dyDescent="0.25">
      <c r="A1068" s="27" t="s">
        <v>1599</v>
      </c>
      <c r="B1068" s="27" t="str">
        <f t="shared" si="72"/>
        <v>Texas</v>
      </c>
      <c r="C1068" s="27" t="str">
        <f t="shared" si="73"/>
        <v>Ward</v>
      </c>
      <c r="D1068" s="7"/>
      <c r="E1068" s="2">
        <f>'TX post'!E238</f>
        <v>15</v>
      </c>
      <c r="F1068" s="26">
        <v>150</v>
      </c>
      <c r="G1068" s="2">
        <f>'TX post'!I238</f>
        <v>426</v>
      </c>
      <c r="H1068" s="88">
        <f>'TX post'!M238</f>
        <v>212.66666666666666</v>
      </c>
      <c r="I1068" s="29">
        <f>'TX post'!P238</f>
        <v>30188.85</v>
      </c>
      <c r="J1068" s="27">
        <v>5</v>
      </c>
      <c r="K1068" s="29"/>
      <c r="L1068" s="41">
        <v>1922</v>
      </c>
      <c r="N1068" s="27" t="str">
        <f t="shared" si="74"/>
        <v>https://ia601500.us.archive.org/33/items/tx192224/1922-24%2c%20selected%20pages%20%28pp.%20192-93%20clipped%29.pdf</v>
      </c>
      <c r="O1068" s="27" t="s">
        <v>1970</v>
      </c>
      <c r="P1068" s="27" t="s">
        <v>563</v>
      </c>
      <c r="Q1068" s="27" t="s">
        <v>2570</v>
      </c>
      <c r="R1068" s="27" t="s">
        <v>565</v>
      </c>
      <c r="S1068" s="27" t="str">
        <f t="shared" si="75"/>
        <v>https://ia601505.us.archive.org/29/items/tx192426/1924-26.pdf</v>
      </c>
      <c r="T1068" s="27" t="str">
        <f t="shared" si="76"/>
        <v>https://babel.hathitrust.org/cgi/pt?id=uiug.30112058522902;view=1up;seq=175</v>
      </c>
      <c r="U1068" s="27" t="s">
        <v>2570</v>
      </c>
    </row>
    <row r="1069" spans="1:21" x14ac:dyDescent="0.25">
      <c r="A1069" s="27" t="s">
        <v>1600</v>
      </c>
      <c r="B1069" s="27" t="str">
        <f t="shared" si="72"/>
        <v>Texas</v>
      </c>
      <c r="C1069" s="27" t="str">
        <f t="shared" si="73"/>
        <v>Washington</v>
      </c>
      <c r="D1069" s="7">
        <f>'TX post'!D239</f>
        <v>4458</v>
      </c>
      <c r="E1069" s="2">
        <f>'TX post'!E239</f>
        <v>150</v>
      </c>
      <c r="F1069" s="26">
        <v>143</v>
      </c>
      <c r="G1069" s="2">
        <f>'TX post'!I239</f>
        <v>6307</v>
      </c>
      <c r="H1069" s="88">
        <f>'TX post'!M239</f>
        <v>106.26853146853146</v>
      </c>
      <c r="I1069" s="29">
        <f>'TX post'!P239</f>
        <v>160036.78</v>
      </c>
      <c r="J1069" s="27">
        <v>75</v>
      </c>
      <c r="K1069" s="29">
        <f>'TX post'!R239</f>
        <v>100710.2</v>
      </c>
      <c r="L1069" s="41">
        <v>1922</v>
      </c>
      <c r="N1069" s="27" t="str">
        <f t="shared" si="74"/>
        <v>https://ia601500.us.archive.org/33/items/tx192224/1922-24%2c%20selected%20pages%20%28pp.%20192-93%20clipped%29.pdf</v>
      </c>
      <c r="O1069" s="27" t="s">
        <v>1970</v>
      </c>
      <c r="P1069" s="27" t="s">
        <v>563</v>
      </c>
      <c r="Q1069" s="27" t="s">
        <v>2570</v>
      </c>
      <c r="R1069" s="27" t="s">
        <v>565</v>
      </c>
      <c r="S1069" s="27" t="str">
        <f t="shared" si="75"/>
        <v>https://ia601505.us.archive.org/29/items/tx192426/1924-26.pdf</v>
      </c>
      <c r="T1069" s="27" t="str">
        <f t="shared" si="76"/>
        <v>https://babel.hathitrust.org/cgi/pt?id=uiug.30112058522902;view=1up;seq=175</v>
      </c>
      <c r="U1069" s="27" t="s">
        <v>2570</v>
      </c>
    </row>
    <row r="1070" spans="1:21" x14ac:dyDescent="0.25">
      <c r="A1070" s="27" t="s">
        <v>1601</v>
      </c>
      <c r="B1070" s="27" t="str">
        <f t="shared" si="72"/>
        <v>Texas</v>
      </c>
      <c r="C1070" s="27" t="str">
        <f t="shared" si="73"/>
        <v>Webb</v>
      </c>
      <c r="D1070" s="7">
        <f>'TX post'!D240</f>
        <v>1454</v>
      </c>
      <c r="E1070" s="2">
        <f>'TX post'!E240</f>
        <v>85</v>
      </c>
      <c r="F1070" s="26">
        <v>169</v>
      </c>
      <c r="G1070" s="2">
        <f>'TX post'!I240</f>
        <v>4445</v>
      </c>
      <c r="H1070" s="88">
        <f>'TX post'!M240</f>
        <v>131.32426035502959</v>
      </c>
      <c r="I1070" s="29">
        <f>'TX post'!P240</f>
        <v>177691.78</v>
      </c>
      <c r="J1070" s="27">
        <v>20</v>
      </c>
      <c r="K1070" s="29">
        <f>'TX post'!R240</f>
        <v>6500</v>
      </c>
      <c r="L1070" s="41">
        <v>1922</v>
      </c>
      <c r="N1070" s="27" t="str">
        <f t="shared" si="74"/>
        <v>https://ia601500.us.archive.org/33/items/tx192224/1922-24%2c%20selected%20pages%20%28pp.%20192-93%20clipped%29.pdf</v>
      </c>
      <c r="O1070" s="27" t="s">
        <v>1970</v>
      </c>
      <c r="P1070" s="27" t="s">
        <v>563</v>
      </c>
      <c r="Q1070" s="27" t="s">
        <v>2570</v>
      </c>
      <c r="R1070" s="27" t="s">
        <v>565</v>
      </c>
      <c r="S1070" s="27" t="str">
        <f t="shared" si="75"/>
        <v>https://ia601505.us.archive.org/29/items/tx192426/1924-26.pdf</v>
      </c>
      <c r="T1070" s="27" t="str">
        <f t="shared" si="76"/>
        <v>https://babel.hathitrust.org/cgi/pt?id=uiug.30112058522902;view=1up;seq=175</v>
      </c>
      <c r="U1070" s="27" t="s">
        <v>2570</v>
      </c>
    </row>
    <row r="1071" spans="1:21" x14ac:dyDescent="0.25">
      <c r="A1071" s="27" t="s">
        <v>1602</v>
      </c>
      <c r="B1071" s="27" t="str">
        <f t="shared" si="72"/>
        <v>Texas</v>
      </c>
      <c r="C1071" s="27" t="str">
        <f t="shared" si="73"/>
        <v>Wharton</v>
      </c>
      <c r="D1071" s="7">
        <f>'TX post'!D241</f>
        <v>4013</v>
      </c>
      <c r="E1071" s="2">
        <f>'TX post'!E241</f>
        <v>157</v>
      </c>
      <c r="F1071" s="26">
        <v>148</v>
      </c>
      <c r="G1071" s="2">
        <f>'TX post'!I241</f>
        <v>5917</v>
      </c>
      <c r="H1071" s="88">
        <f>'TX post'!M241</f>
        <v>126.41351351351351</v>
      </c>
      <c r="I1071" s="29">
        <f>'TX post'!P241</f>
        <v>205689.97</v>
      </c>
      <c r="J1071" s="27">
        <v>62</v>
      </c>
      <c r="K1071" s="29">
        <f>'TX post'!R241</f>
        <v>190088</v>
      </c>
      <c r="L1071" s="41">
        <v>1922</v>
      </c>
      <c r="N1071" s="27" t="str">
        <f t="shared" si="74"/>
        <v>https://ia601500.us.archive.org/33/items/tx192224/1922-24%2c%20selected%20pages%20%28pp.%20192-93%20clipped%29.pdf</v>
      </c>
      <c r="O1071" s="27" t="s">
        <v>1970</v>
      </c>
      <c r="P1071" s="27" t="s">
        <v>563</v>
      </c>
      <c r="Q1071" s="27" t="s">
        <v>2570</v>
      </c>
      <c r="R1071" s="27" t="s">
        <v>565</v>
      </c>
      <c r="S1071" s="27" t="str">
        <f t="shared" si="75"/>
        <v>https://ia601505.us.archive.org/29/items/tx192426/1924-26.pdf</v>
      </c>
      <c r="T1071" s="27" t="str">
        <f t="shared" si="76"/>
        <v>https://babel.hathitrust.org/cgi/pt?id=uiug.30112058522902;view=1up;seq=175</v>
      </c>
      <c r="U1071" s="27" t="s">
        <v>2570</v>
      </c>
    </row>
    <row r="1072" spans="1:21" x14ac:dyDescent="0.25">
      <c r="A1072" s="27" t="s">
        <v>1603</v>
      </c>
      <c r="B1072" s="27" t="str">
        <f t="shared" si="72"/>
        <v>Texas</v>
      </c>
      <c r="C1072" s="27" t="str">
        <f t="shared" si="73"/>
        <v>Wheeler</v>
      </c>
      <c r="D1072" s="7">
        <f>'TX post'!D242</f>
        <v>1419</v>
      </c>
      <c r="E1072" s="2">
        <f>'TX post'!E242</f>
        <v>47</v>
      </c>
      <c r="F1072" s="26">
        <v>127</v>
      </c>
      <c r="G1072" s="2">
        <f>'TX post'!I242</f>
        <v>2596</v>
      </c>
      <c r="H1072" s="88">
        <f>'TX post'!M242</f>
        <v>165.696062992126</v>
      </c>
      <c r="I1072" s="29">
        <f>'TX post'!P242</f>
        <v>106534.53</v>
      </c>
      <c r="J1072" s="27">
        <v>32</v>
      </c>
      <c r="K1072" s="29">
        <f>'TX post'!R242</f>
        <v>93700</v>
      </c>
      <c r="L1072" s="41">
        <v>1922</v>
      </c>
      <c r="N1072" s="27" t="str">
        <f t="shared" si="74"/>
        <v>https://ia601500.us.archive.org/33/items/tx192224/1922-24%2c%20selected%20pages%20%28pp.%20192-93%20clipped%29.pdf</v>
      </c>
      <c r="O1072" s="27" t="s">
        <v>1970</v>
      </c>
      <c r="P1072" s="27" t="s">
        <v>563</v>
      </c>
      <c r="Q1072" s="27" t="s">
        <v>2570</v>
      </c>
      <c r="R1072" s="27" t="s">
        <v>565</v>
      </c>
      <c r="S1072" s="27" t="str">
        <f t="shared" si="75"/>
        <v>https://ia601505.us.archive.org/29/items/tx192426/1924-26.pdf</v>
      </c>
      <c r="T1072" s="27" t="str">
        <f t="shared" si="76"/>
        <v>https://babel.hathitrust.org/cgi/pt?id=uiug.30112058522902;view=1up;seq=175</v>
      </c>
      <c r="U1072" s="27" t="s">
        <v>2570</v>
      </c>
    </row>
    <row r="1073" spans="1:21" x14ac:dyDescent="0.25">
      <c r="A1073" s="27" t="s">
        <v>1604</v>
      </c>
      <c r="B1073" s="27" t="str">
        <f t="shared" si="72"/>
        <v>Texas</v>
      </c>
      <c r="C1073" s="27" t="str">
        <f t="shared" si="73"/>
        <v>Wichita</v>
      </c>
      <c r="D1073" s="7">
        <f>'TX post'!D243</f>
        <v>10233</v>
      </c>
      <c r="E1073" s="2">
        <f>'TX post'!E243</f>
        <v>283</v>
      </c>
      <c r="F1073" s="26">
        <v>164</v>
      </c>
      <c r="G1073" s="2">
        <f>'TX post'!I243</f>
        <v>13204</v>
      </c>
      <c r="H1073" s="88">
        <f>'TX post'!M243</f>
        <v>190.23414634146343</v>
      </c>
      <c r="I1073" s="29">
        <f>'TX post'!P243</f>
        <v>781997.63</v>
      </c>
      <c r="J1073" s="27">
        <v>33</v>
      </c>
      <c r="K1073" s="29">
        <f>'TX post'!R243</f>
        <v>106000</v>
      </c>
      <c r="L1073" s="41">
        <v>1922</v>
      </c>
      <c r="N1073" s="27" t="str">
        <f t="shared" si="74"/>
        <v>https://ia601500.us.archive.org/33/items/tx192224/1922-24%2c%20selected%20pages%20%28pp.%20192-93%20clipped%29.pdf</v>
      </c>
      <c r="O1073" s="27" t="s">
        <v>1971</v>
      </c>
      <c r="P1073" s="27" t="s">
        <v>566</v>
      </c>
      <c r="Q1073" s="27" t="s">
        <v>2570</v>
      </c>
      <c r="R1073" s="27" t="s">
        <v>565</v>
      </c>
      <c r="S1073" s="27" t="str">
        <f t="shared" si="75"/>
        <v>https://ia601505.us.archive.org/29/items/tx192426/1924-26.pdf</v>
      </c>
      <c r="T1073" s="27" t="str">
        <f t="shared" si="76"/>
        <v>https://babel.hathitrust.org/cgi/pt?id=uiug.30112058522902;view=1up;seq=175</v>
      </c>
      <c r="U1073" s="27" t="s">
        <v>2570</v>
      </c>
    </row>
    <row r="1074" spans="1:21" x14ac:dyDescent="0.25">
      <c r="A1074" s="27" t="s">
        <v>1605</v>
      </c>
      <c r="B1074" s="27" t="str">
        <f t="shared" si="72"/>
        <v>Texas</v>
      </c>
      <c r="C1074" s="27" t="str">
        <f t="shared" si="73"/>
        <v>Wilbarger</v>
      </c>
      <c r="D1074" s="7">
        <f>'TX post'!D244</f>
        <v>3797</v>
      </c>
      <c r="E1074" s="2">
        <f>'TX post'!E244</f>
        <v>139</v>
      </c>
      <c r="F1074" s="26">
        <v>167.57</v>
      </c>
      <c r="G1074" s="2">
        <f>'TX post'!I244</f>
        <v>5156</v>
      </c>
      <c r="H1074" s="88">
        <f>'TX post'!M244</f>
        <v>111.36190476190477</v>
      </c>
      <c r="I1074" s="29">
        <f>'TX post'!P244</f>
        <v>173597.11</v>
      </c>
      <c r="J1074" s="27">
        <v>35</v>
      </c>
      <c r="K1074" s="29">
        <f>'TX post'!R244</f>
        <v>143400</v>
      </c>
      <c r="L1074" s="41">
        <v>1922</v>
      </c>
      <c r="N1074" s="27" t="str">
        <f t="shared" si="74"/>
        <v>https://ia601500.us.archive.org/33/items/tx192224/1922-24%2c%20selected%20pages%20%28pp.%20192-93%20clipped%29.pdf</v>
      </c>
      <c r="O1074" s="27" t="s">
        <v>1971</v>
      </c>
      <c r="P1074" s="27" t="s">
        <v>566</v>
      </c>
      <c r="Q1074" s="27" t="s">
        <v>2570</v>
      </c>
      <c r="R1074" s="27" t="s">
        <v>565</v>
      </c>
      <c r="S1074" s="27" t="str">
        <f t="shared" si="75"/>
        <v>https://ia601505.us.archive.org/29/items/tx192426/1924-26.pdf</v>
      </c>
      <c r="T1074" s="27" t="str">
        <f t="shared" si="76"/>
        <v>https://babel.hathitrust.org/cgi/pt?id=uiug.30112058522902;view=1up;seq=175</v>
      </c>
      <c r="U1074" s="27" t="s">
        <v>2570</v>
      </c>
    </row>
    <row r="1075" spans="1:21" x14ac:dyDescent="0.25">
      <c r="A1075" s="27" t="s">
        <v>1606</v>
      </c>
      <c r="B1075" s="27" t="str">
        <f t="shared" si="72"/>
        <v>Texas</v>
      </c>
      <c r="C1075" s="27" t="str">
        <f t="shared" si="73"/>
        <v>Willacy</v>
      </c>
      <c r="D1075" s="7">
        <f>'TX post'!D245</f>
        <v>847</v>
      </c>
      <c r="E1075" s="2">
        <f>'TX post'!E245</f>
        <v>23</v>
      </c>
      <c r="F1075" s="26">
        <v>150</v>
      </c>
      <c r="G1075" s="2">
        <f>'TX post'!I245</f>
        <v>586</v>
      </c>
      <c r="H1075" s="88">
        <f>'TX post'!M245</f>
        <v>85.85466666666666</v>
      </c>
      <c r="I1075" s="29">
        <f>'TX post'!P245</f>
        <v>44891.8</v>
      </c>
      <c r="J1075" s="27">
        <v>8</v>
      </c>
      <c r="K1075" s="29">
        <f>'TX post'!R245</f>
        <v>85320</v>
      </c>
      <c r="L1075" s="41">
        <v>1922</v>
      </c>
      <c r="N1075" s="27" t="str">
        <f t="shared" si="74"/>
        <v>https://ia601500.us.archive.org/33/items/tx192224/1922-24%2c%20selected%20pages%20%28pp.%20192-93%20clipped%29.pdf</v>
      </c>
      <c r="O1075" s="27" t="s">
        <v>1971</v>
      </c>
      <c r="P1075" s="27" t="s">
        <v>566</v>
      </c>
      <c r="Q1075" s="27" t="s">
        <v>2570</v>
      </c>
      <c r="R1075" s="27" t="s">
        <v>565</v>
      </c>
      <c r="S1075" s="27" t="str">
        <f t="shared" si="75"/>
        <v>https://ia601505.us.archive.org/29/items/tx192426/1924-26.pdf</v>
      </c>
      <c r="T1075" s="27" t="str">
        <f t="shared" si="76"/>
        <v>https://babel.hathitrust.org/cgi/pt?id=uiug.30112058522902;view=1up;seq=175</v>
      </c>
      <c r="U1075" s="27" t="s">
        <v>2570</v>
      </c>
    </row>
    <row r="1076" spans="1:21" x14ac:dyDescent="0.25">
      <c r="A1076" s="27" t="s">
        <v>1607</v>
      </c>
      <c r="B1076" s="27" t="str">
        <f t="shared" si="72"/>
        <v>Texas</v>
      </c>
      <c r="C1076" s="27" t="str">
        <f t="shared" si="73"/>
        <v>Williamson</v>
      </c>
      <c r="D1076" s="7">
        <f>'TX post'!D246</f>
        <v>6931</v>
      </c>
      <c r="E1076" s="2">
        <f>'TX post'!E246</f>
        <v>301</v>
      </c>
      <c r="F1076" s="26">
        <v>112.44</v>
      </c>
      <c r="G1076" s="2">
        <f>'TX post'!I246</f>
        <v>10581</v>
      </c>
      <c r="H1076" s="88">
        <f>'TX post'!M246</f>
        <v>148.87142857142857</v>
      </c>
      <c r="I1076" s="29">
        <f>'TX post'!P246</f>
        <v>363950.1</v>
      </c>
      <c r="J1076" s="27">
        <v>92</v>
      </c>
      <c r="K1076" s="29">
        <f>'TX post'!R246</f>
        <v>183948.31</v>
      </c>
      <c r="L1076" s="41">
        <v>1922</v>
      </c>
      <c r="N1076" s="27" t="str">
        <f t="shared" si="74"/>
        <v>https://ia601500.us.archive.org/33/items/tx192224/1922-24%2c%20selected%20pages%20%28pp.%20192-93%20clipped%29.pdf</v>
      </c>
      <c r="O1076" s="27" t="s">
        <v>1971</v>
      </c>
      <c r="P1076" s="27" t="s">
        <v>566</v>
      </c>
      <c r="Q1076" s="27" t="s">
        <v>2570</v>
      </c>
      <c r="R1076" s="27" t="s">
        <v>565</v>
      </c>
      <c r="S1076" s="27" t="str">
        <f t="shared" si="75"/>
        <v>https://ia601505.us.archive.org/29/items/tx192426/1924-26.pdf</v>
      </c>
      <c r="T1076" s="27" t="str">
        <f t="shared" si="76"/>
        <v>https://babel.hathitrust.org/cgi/pt?id=uiug.30112058522902;view=1up;seq=175</v>
      </c>
      <c r="U1076" s="27" t="s">
        <v>2570</v>
      </c>
    </row>
    <row r="1077" spans="1:21" x14ac:dyDescent="0.25">
      <c r="A1077" s="27" t="s">
        <v>1608</v>
      </c>
      <c r="B1077" s="27" t="str">
        <f t="shared" si="72"/>
        <v>Texas</v>
      </c>
      <c r="C1077" s="27" t="str">
        <f t="shared" si="73"/>
        <v>Wilson</v>
      </c>
      <c r="D1077" s="7">
        <f>'TX post'!D247</f>
        <v>1024</v>
      </c>
      <c r="E1077" s="2">
        <f>'TX post'!E247</f>
        <v>122</v>
      </c>
      <c r="F1077" s="26">
        <v>148</v>
      </c>
      <c r="G1077" s="2">
        <f>'TX post'!I247</f>
        <v>4173</v>
      </c>
      <c r="H1077" s="88">
        <f>'TX post'!M247</f>
        <v>102.28108108108107</v>
      </c>
      <c r="I1077" s="29">
        <f>'TX post'!P247</f>
        <v>129067.84</v>
      </c>
      <c r="J1077" s="27">
        <v>50</v>
      </c>
      <c r="K1077" s="29">
        <f>'TX post'!R247</f>
        <v>101300</v>
      </c>
      <c r="L1077" s="41">
        <v>1922</v>
      </c>
      <c r="N1077" s="27" t="str">
        <f t="shared" si="74"/>
        <v>https://ia601500.us.archive.org/33/items/tx192224/1922-24%2c%20selected%20pages%20%28pp.%20192-93%20clipped%29.pdf</v>
      </c>
      <c r="O1077" s="27" t="s">
        <v>1971</v>
      </c>
      <c r="P1077" s="27" t="s">
        <v>566</v>
      </c>
      <c r="Q1077" s="27" t="s">
        <v>2570</v>
      </c>
      <c r="R1077" s="27" t="s">
        <v>565</v>
      </c>
      <c r="S1077" s="27" t="str">
        <f t="shared" si="75"/>
        <v>https://ia601505.us.archive.org/29/items/tx192426/1924-26.pdf</v>
      </c>
      <c r="T1077" s="27" t="str">
        <f t="shared" si="76"/>
        <v>https://babel.hathitrust.org/cgi/pt?id=uiug.30112058522902;view=1up;seq=175</v>
      </c>
      <c r="U1077" s="27" t="s">
        <v>2570</v>
      </c>
    </row>
    <row r="1078" spans="1:21" x14ac:dyDescent="0.25">
      <c r="A1078" s="27" t="s">
        <v>1609</v>
      </c>
      <c r="B1078" s="27" t="str">
        <f t="shared" si="72"/>
        <v>Texas</v>
      </c>
      <c r="C1078" s="27" t="str">
        <f t="shared" si="73"/>
        <v>Winkler</v>
      </c>
      <c r="D1078" s="7">
        <f>'TX post'!D248</f>
        <v>6</v>
      </c>
      <c r="E1078" s="2">
        <f>'TX post'!E248</f>
        <v>1</v>
      </c>
      <c r="F1078" s="26">
        <v>155</v>
      </c>
      <c r="G1078" s="2">
        <f>'TX post'!I248</f>
        <v>4</v>
      </c>
      <c r="H1078" s="88">
        <f>'TX post'!M248</f>
        <v>103.2258064516129</v>
      </c>
      <c r="I1078" s="29">
        <f>'TX post'!P248</f>
        <v>950.66</v>
      </c>
      <c r="J1078" s="27">
        <v>1</v>
      </c>
      <c r="K1078" s="29">
        <f>'TX post'!R248</f>
        <v>1250</v>
      </c>
      <c r="L1078" s="41">
        <v>1922</v>
      </c>
      <c r="N1078" s="27" t="str">
        <f t="shared" si="74"/>
        <v>https://ia601500.us.archive.org/33/items/tx192224/1922-24%2c%20selected%20pages%20%28pp.%20192-93%20clipped%29.pdf</v>
      </c>
      <c r="O1078" s="27" t="s">
        <v>1971</v>
      </c>
      <c r="P1078" s="27" t="s">
        <v>566</v>
      </c>
      <c r="Q1078" s="27" t="s">
        <v>2570</v>
      </c>
      <c r="R1078" s="27" t="s">
        <v>565</v>
      </c>
      <c r="S1078" s="27" t="str">
        <f t="shared" si="75"/>
        <v>https://ia601505.us.archive.org/29/items/tx192426/1924-26.pdf</v>
      </c>
      <c r="T1078" s="27" t="str">
        <f t="shared" si="76"/>
        <v>https://babel.hathitrust.org/cgi/pt?id=uiug.30112058522902;view=1up;seq=175</v>
      </c>
      <c r="U1078" s="27" t="s">
        <v>2570</v>
      </c>
    </row>
    <row r="1079" spans="1:21" x14ac:dyDescent="0.25">
      <c r="A1079" s="27" t="s">
        <v>1610</v>
      </c>
      <c r="B1079" s="27" t="str">
        <f t="shared" si="72"/>
        <v>Texas</v>
      </c>
      <c r="C1079" s="27" t="str">
        <f t="shared" si="73"/>
        <v>Wise</v>
      </c>
      <c r="D1079" s="7">
        <f>'TX post'!D249</f>
        <v>4549</v>
      </c>
      <c r="E1079" s="2">
        <f>'TX post'!E249</f>
        <v>190</v>
      </c>
      <c r="F1079" s="26">
        <v>120</v>
      </c>
      <c r="G1079" s="2">
        <f>'TX post'!I249</f>
        <v>6751</v>
      </c>
      <c r="H1079" s="88">
        <f>'TX post'!M249</f>
        <v>113.22666666666667</v>
      </c>
      <c r="I1079" s="29">
        <f>'TX post'!P249</f>
        <v>184161.3</v>
      </c>
      <c r="J1079" s="27">
        <v>83</v>
      </c>
      <c r="K1079" s="29">
        <f>'TX post'!R249</f>
        <v>151300</v>
      </c>
      <c r="L1079" s="41">
        <v>1922</v>
      </c>
      <c r="N1079" s="27" t="str">
        <f t="shared" si="74"/>
        <v>https://ia601500.us.archive.org/33/items/tx192224/1922-24%2c%20selected%20pages%20%28pp.%20192-93%20clipped%29.pdf</v>
      </c>
      <c r="O1079" s="27" t="s">
        <v>1971</v>
      </c>
      <c r="P1079" s="27" t="s">
        <v>566</v>
      </c>
      <c r="Q1079" s="27" t="s">
        <v>2570</v>
      </c>
      <c r="R1079" s="27" t="s">
        <v>565</v>
      </c>
      <c r="S1079" s="27" t="str">
        <f t="shared" si="75"/>
        <v>https://ia601505.us.archive.org/29/items/tx192426/1924-26.pdf</v>
      </c>
      <c r="T1079" s="27" t="str">
        <f t="shared" si="76"/>
        <v>https://babel.hathitrust.org/cgi/pt?id=uiug.30112058522902;view=1up;seq=175</v>
      </c>
      <c r="U1079" s="27" t="s">
        <v>2570</v>
      </c>
    </row>
    <row r="1080" spans="1:21" x14ac:dyDescent="0.25">
      <c r="A1080" s="27" t="s">
        <v>1611</v>
      </c>
      <c r="B1080" s="27" t="str">
        <f t="shared" si="72"/>
        <v>Texas</v>
      </c>
      <c r="C1080" s="27" t="str">
        <f t="shared" si="73"/>
        <v>Wood</v>
      </c>
      <c r="D1080" s="7">
        <f>'TX post'!D250</f>
        <v>5363</v>
      </c>
      <c r="E1080" s="2">
        <f>'TX post'!E250</f>
        <v>213</v>
      </c>
      <c r="F1080" s="26">
        <v>111</v>
      </c>
      <c r="G1080" s="2">
        <f>'TX post'!I250</f>
        <v>8495</v>
      </c>
      <c r="H1080" s="88">
        <f>'TX post'!M250</f>
        <v>112.58378378378379</v>
      </c>
      <c r="I1080" s="29">
        <f>'TX post'!P250</f>
        <v>178345.76</v>
      </c>
      <c r="J1080" s="27">
        <v>74</v>
      </c>
      <c r="K1080" s="29">
        <f>'TX post'!R250</f>
        <v>238785</v>
      </c>
      <c r="L1080" s="41">
        <v>1922</v>
      </c>
      <c r="N1080" s="27" t="str">
        <f t="shared" si="74"/>
        <v>https://ia601500.us.archive.org/33/items/tx192224/1922-24%2c%20selected%20pages%20%28pp.%20192-93%20clipped%29.pdf</v>
      </c>
      <c r="O1080" s="27" t="s">
        <v>1971</v>
      </c>
      <c r="P1080" s="27" t="s">
        <v>566</v>
      </c>
      <c r="Q1080" s="27" t="s">
        <v>2570</v>
      </c>
      <c r="R1080" s="27" t="s">
        <v>565</v>
      </c>
      <c r="S1080" s="27" t="str">
        <f t="shared" si="75"/>
        <v>https://ia601505.us.archive.org/29/items/tx192426/1924-26.pdf</v>
      </c>
      <c r="T1080" s="27" t="str">
        <f t="shared" si="76"/>
        <v>https://babel.hathitrust.org/cgi/pt?id=uiug.30112058522902;view=1up;seq=175</v>
      </c>
      <c r="U1080" s="27" t="s">
        <v>2570</v>
      </c>
    </row>
    <row r="1081" spans="1:21" x14ac:dyDescent="0.25">
      <c r="A1081" s="27" t="s">
        <v>1612</v>
      </c>
      <c r="B1081" s="27" t="str">
        <f t="shared" si="72"/>
        <v>Texas</v>
      </c>
      <c r="C1081" s="27" t="str">
        <f t="shared" si="73"/>
        <v>Yoakum</v>
      </c>
      <c r="D1081" s="7"/>
      <c r="E1081" s="2">
        <f>'TX post'!E251</f>
        <v>9</v>
      </c>
      <c r="F1081" s="26">
        <v>152</v>
      </c>
      <c r="G1081" s="2">
        <f>'TX post'!I251</f>
        <v>139</v>
      </c>
      <c r="H1081" s="88">
        <f>'TX post'!M251</f>
        <v>110.96447368421053</v>
      </c>
      <c r="I1081" s="29">
        <f>'TX post'!P251</f>
        <v>4809.12</v>
      </c>
      <c r="J1081" s="27">
        <v>6</v>
      </c>
      <c r="K1081" s="29"/>
      <c r="L1081" s="41">
        <v>1922</v>
      </c>
      <c r="N1081" s="27" t="str">
        <f t="shared" si="74"/>
        <v>https://ia601500.us.archive.org/33/items/tx192224/1922-24%2c%20selected%20pages%20%28pp.%20192-93%20clipped%29.pdf</v>
      </c>
      <c r="O1081" s="27" t="s">
        <v>1971</v>
      </c>
      <c r="P1081" s="27" t="s">
        <v>566</v>
      </c>
      <c r="Q1081" s="27" t="s">
        <v>2570</v>
      </c>
      <c r="R1081" s="27" t="s">
        <v>565</v>
      </c>
      <c r="S1081" s="27" t="str">
        <f t="shared" si="75"/>
        <v>https://ia601505.us.archive.org/29/items/tx192426/1924-26.pdf</v>
      </c>
      <c r="T1081" s="27" t="str">
        <f t="shared" si="76"/>
        <v>https://babel.hathitrust.org/cgi/pt?id=uiug.30112058522902;view=1up;seq=175</v>
      </c>
      <c r="U1081" s="27" t="s">
        <v>2570</v>
      </c>
    </row>
    <row r="1082" spans="1:21" ht="15" customHeight="1" x14ac:dyDescent="0.25">
      <c r="A1082" s="27" t="s">
        <v>1613</v>
      </c>
      <c r="B1082" s="27" t="str">
        <f t="shared" si="72"/>
        <v>Texas</v>
      </c>
      <c r="C1082" s="27" t="str">
        <f t="shared" si="73"/>
        <v>Young</v>
      </c>
      <c r="D1082" s="7">
        <f>'TX post'!D252</f>
        <v>3419</v>
      </c>
      <c r="E1082" s="2">
        <f>'TX post'!E252</f>
        <v>132</v>
      </c>
      <c r="F1082" s="26">
        <v>135.41</v>
      </c>
      <c r="G1082" s="2">
        <f>'TX post'!I252</f>
        <v>4856</v>
      </c>
      <c r="H1082" s="88">
        <f>'TX post'!M252</f>
        <v>115.19111111111111</v>
      </c>
      <c r="I1082" s="29">
        <f>'TX post'!P252</f>
        <v>195156.04</v>
      </c>
      <c r="J1082" s="27">
        <v>48</v>
      </c>
      <c r="K1082" s="29">
        <f>'TX post'!R252</f>
        <v>100700</v>
      </c>
      <c r="L1082" s="41">
        <v>1922</v>
      </c>
      <c r="N1082" s="27" t="str">
        <f t="shared" si="74"/>
        <v>https://ia601500.us.archive.org/33/items/tx192224/1922-24%2c%20selected%20pages%20%28pp.%20192-93%20clipped%29.pdf</v>
      </c>
      <c r="O1082" s="27" t="s">
        <v>1971</v>
      </c>
      <c r="P1082" s="27" t="s">
        <v>566</v>
      </c>
      <c r="Q1082" s="27" t="s">
        <v>2570</v>
      </c>
      <c r="R1082" s="27" t="s">
        <v>565</v>
      </c>
      <c r="S1082" s="27" t="str">
        <f t="shared" si="75"/>
        <v>https://ia601505.us.archive.org/29/items/tx192426/1924-26.pdf</v>
      </c>
      <c r="T1082" s="27" t="str">
        <f t="shared" si="76"/>
        <v>https://babel.hathitrust.org/cgi/pt?id=uiug.30112058522902;view=1up;seq=175</v>
      </c>
      <c r="U1082" s="27" t="s">
        <v>2570</v>
      </c>
    </row>
    <row r="1083" spans="1:21" ht="15" customHeight="1" x14ac:dyDescent="0.25">
      <c r="A1083" s="27" t="s">
        <v>1614</v>
      </c>
      <c r="B1083" s="27" t="str">
        <f t="shared" si="72"/>
        <v>Texas</v>
      </c>
      <c r="C1083" s="27" t="str">
        <f t="shared" si="73"/>
        <v>Zapata</v>
      </c>
      <c r="D1083" s="7">
        <f>'TX post'!D253</f>
        <v>514</v>
      </c>
      <c r="E1083" s="2">
        <f>'TX post'!E253</f>
        <v>13</v>
      </c>
      <c r="F1083" s="26">
        <v>160</v>
      </c>
      <c r="G1083" s="2">
        <f>'TX post'!I253</f>
        <v>534</v>
      </c>
      <c r="H1083" s="88">
        <f>'TX post'!M253</f>
        <v>89.711250000000007</v>
      </c>
      <c r="I1083" s="29">
        <f>'TX post'!P253</f>
        <v>16373.44</v>
      </c>
      <c r="J1083" s="27">
        <v>8</v>
      </c>
      <c r="K1083" s="29">
        <f>'TX post'!R253</f>
        <v>2100</v>
      </c>
      <c r="L1083" s="41">
        <v>1922</v>
      </c>
      <c r="N1083" s="27" t="str">
        <f t="shared" si="74"/>
        <v>https://ia601500.us.archive.org/33/items/tx192224/1922-24%2c%20selected%20pages%20%28pp.%20192-93%20clipped%29.pdf</v>
      </c>
      <c r="O1083" s="27" t="s">
        <v>1971</v>
      </c>
      <c r="P1083" s="27" t="s">
        <v>566</v>
      </c>
      <c r="Q1083" s="27" t="s">
        <v>2570</v>
      </c>
      <c r="R1083" s="27" t="s">
        <v>565</v>
      </c>
      <c r="S1083" s="27" t="str">
        <f t="shared" si="75"/>
        <v>https://ia601505.us.archive.org/29/items/tx192426/1924-26.pdf</v>
      </c>
      <c r="T1083" s="27" t="str">
        <f t="shared" si="76"/>
        <v>https://babel.hathitrust.org/cgi/pt?id=uiug.30112058522902;view=1up;seq=175</v>
      </c>
      <c r="U1083" s="27" t="s">
        <v>2570</v>
      </c>
    </row>
    <row r="1084" spans="1:21" ht="15" customHeight="1" x14ac:dyDescent="0.25">
      <c r="A1084" s="27" t="s">
        <v>1615</v>
      </c>
      <c r="B1084" s="27" t="str">
        <f t="shared" si="72"/>
        <v>Texas</v>
      </c>
      <c r="C1084" s="27" t="str">
        <f t="shared" si="73"/>
        <v>Zavalla</v>
      </c>
      <c r="D1084" s="7">
        <f>'TX post'!D254</f>
        <v>387</v>
      </c>
      <c r="E1084" s="2">
        <f>'TX post'!E254</f>
        <v>23</v>
      </c>
      <c r="F1084" s="26">
        <v>145.63999999999999</v>
      </c>
      <c r="G1084" s="2">
        <f>'TX post'!I254</f>
        <v>553</v>
      </c>
      <c r="H1084" s="88">
        <f>'TX post'!M254</f>
        <v>112.68493150684932</v>
      </c>
      <c r="I1084" s="29">
        <f>'TX post'!P254</f>
        <v>33317.75</v>
      </c>
      <c r="J1084" s="7">
        <v>9</v>
      </c>
      <c r="K1084" s="29">
        <f>'TX post'!R254</f>
        <v>55600</v>
      </c>
      <c r="L1084" s="41">
        <v>1922</v>
      </c>
      <c r="N1084" s="27" t="str">
        <f t="shared" si="74"/>
        <v>https://ia601500.us.archive.org/33/items/tx192224/1922-24%2c%20selected%20pages%20%28pp.%20192-93%20clipped%29.pdf</v>
      </c>
      <c r="O1084" s="27" t="s">
        <v>1971</v>
      </c>
      <c r="P1084" s="27" t="s">
        <v>566</v>
      </c>
      <c r="Q1084" s="27" t="s">
        <v>2570</v>
      </c>
      <c r="R1084" s="27" t="s">
        <v>565</v>
      </c>
      <c r="S1084" s="27" t="str">
        <f t="shared" si="75"/>
        <v>https://ia601505.us.archive.org/29/items/tx192426/1924-26.pdf</v>
      </c>
      <c r="T1084" s="27" t="str">
        <f t="shared" si="76"/>
        <v>https://babel.hathitrust.org/cgi/pt?id=uiug.30112058522902;view=1up;seq=175</v>
      </c>
      <c r="U1084" s="27" t="s">
        <v>2570</v>
      </c>
    </row>
    <row r="1085" spans="1:21" ht="15" customHeight="1" x14ac:dyDescent="0.25">
      <c r="A1085" s="27" t="s">
        <v>1367</v>
      </c>
      <c r="B1085" s="27" t="str">
        <f t="shared" si="72"/>
        <v/>
      </c>
      <c r="C1085" s="27" t="str">
        <f t="shared" si="73"/>
        <v/>
      </c>
      <c r="H1085" s="7"/>
      <c r="I1085" s="7"/>
      <c r="J1085" s="7"/>
      <c r="K1085" s="29"/>
      <c r="T1085" s="1"/>
      <c r="U1085" s="1"/>
    </row>
    <row r="1086" spans="1:21" ht="15" customHeight="1" x14ac:dyDescent="0.25">
      <c r="A1086" s="27" t="s">
        <v>1367</v>
      </c>
      <c r="B1086" s="27" t="str">
        <f t="shared" si="72"/>
        <v/>
      </c>
      <c r="C1086" s="27" t="str">
        <f t="shared" si="73"/>
        <v/>
      </c>
      <c r="H1086" s="7"/>
      <c r="I1086" s="7"/>
      <c r="J1086" s="7"/>
      <c r="K1086" s="29"/>
      <c r="T1086" s="1"/>
      <c r="U1086" s="1"/>
    </row>
    <row r="1087" spans="1:21" x14ac:dyDescent="0.25">
      <c r="A1087" s="27" t="s">
        <v>1766</v>
      </c>
      <c r="B1087" s="27" t="str">
        <f t="shared" si="72"/>
        <v>Virginia</v>
      </c>
      <c r="C1087" s="27" t="str">
        <f t="shared" si="73"/>
        <v>Accomack</v>
      </c>
      <c r="D1087" s="2">
        <v>8717</v>
      </c>
      <c r="E1087" s="2">
        <v>257</v>
      </c>
      <c r="F1087" s="2">
        <v>150</v>
      </c>
      <c r="G1087" s="2">
        <v>9960</v>
      </c>
      <c r="H1087" s="89">
        <f>'VA post'!K2</f>
        <v>76.400000000000006</v>
      </c>
      <c r="I1087" s="12">
        <v>288813.99</v>
      </c>
      <c r="J1087" s="7">
        <v>69</v>
      </c>
      <c r="K1087" s="29">
        <v>672859</v>
      </c>
      <c r="L1087" s="41">
        <v>1925</v>
      </c>
      <c r="N1087" s="27" t="s">
        <v>464</v>
      </c>
      <c r="O1087" s="27" t="s">
        <v>465</v>
      </c>
      <c r="P1087" s="27" t="s">
        <v>466</v>
      </c>
      <c r="Q1087" s="27" t="s">
        <v>464</v>
      </c>
      <c r="R1087" s="27" t="s">
        <v>466</v>
      </c>
      <c r="S1087" s="10" t="s">
        <v>467</v>
      </c>
      <c r="T1087" s="10" t="s">
        <v>2585</v>
      </c>
      <c r="U1087" s="10" t="s">
        <v>2585</v>
      </c>
    </row>
    <row r="1088" spans="1:21" x14ac:dyDescent="0.25">
      <c r="A1088" s="27" t="s">
        <v>1616</v>
      </c>
      <c r="B1088" s="27" t="str">
        <f t="shared" ref="B1088:B1150" si="77">LEFT(A1088,FIND(";",A1088)-1)</f>
        <v>Virginia</v>
      </c>
      <c r="C1088" s="27" t="str">
        <f t="shared" ref="C1088:C1150" si="78">MID(A1088,FIND(";",A1088)+1,100)</f>
        <v>Albemarle</v>
      </c>
      <c r="D1088" s="2">
        <v>5404</v>
      </c>
      <c r="E1088" s="27">
        <v>500</v>
      </c>
      <c r="F1088" s="2">
        <v>156</v>
      </c>
      <c r="G1088" s="27">
        <v>6381</v>
      </c>
      <c r="H1088" s="89">
        <f>'VA post'!K3</f>
        <v>75.641025641025649</v>
      </c>
      <c r="I1088" s="12">
        <v>277418.55</v>
      </c>
      <c r="J1088" s="7">
        <v>89</v>
      </c>
      <c r="K1088" s="29">
        <v>561100</v>
      </c>
      <c r="L1088" s="41">
        <v>1925</v>
      </c>
      <c r="N1088" s="27" t="s">
        <v>464</v>
      </c>
      <c r="O1088" s="27" t="s">
        <v>465</v>
      </c>
      <c r="P1088" s="27" t="s">
        <v>466</v>
      </c>
      <c r="Q1088" s="27" t="s">
        <v>464</v>
      </c>
      <c r="R1088" s="27" t="s">
        <v>466</v>
      </c>
      <c r="S1088" s="10" t="s">
        <v>467</v>
      </c>
      <c r="T1088" s="10" t="str">
        <f>T1087</f>
        <v>https://babel.hathitrust.org/cgi/pt?id=uc1.b2981990;view=1up;seq=136</v>
      </c>
      <c r="U1088" s="10" t="str">
        <f>U1087</f>
        <v>https://babel.hathitrust.org/cgi/pt?id=uc1.b2981990;view=1up;seq=136</v>
      </c>
    </row>
    <row r="1089" spans="1:21" s="98" customFormat="1" x14ac:dyDescent="0.25">
      <c r="A1089" s="98" t="s">
        <v>1767</v>
      </c>
      <c r="B1089" s="98" t="str">
        <f t="shared" si="77"/>
        <v>Virginia</v>
      </c>
      <c r="C1089" s="98" t="str">
        <f t="shared" si="78"/>
        <v>Alexandria City</v>
      </c>
      <c r="D1089" s="99">
        <v>2683</v>
      </c>
      <c r="E1089" s="98">
        <v>85</v>
      </c>
      <c r="F1089" s="99">
        <v>183</v>
      </c>
      <c r="G1089" s="99">
        <v>3196</v>
      </c>
      <c r="H1089" s="89">
        <f>'VA post'!K4</f>
        <v>126.88524590163934</v>
      </c>
      <c r="I1089" s="105">
        <v>134402.82999999999</v>
      </c>
      <c r="J1089" s="98">
        <v>6</v>
      </c>
      <c r="K1089" s="99">
        <v>463683</v>
      </c>
      <c r="L1089" s="101">
        <v>1925</v>
      </c>
      <c r="N1089" s="98" t="s">
        <v>464</v>
      </c>
      <c r="O1089" s="98" t="s">
        <v>465</v>
      </c>
      <c r="P1089" s="98" t="s">
        <v>466</v>
      </c>
      <c r="Q1089" s="98" t="s">
        <v>464</v>
      </c>
      <c r="R1089" s="98" t="s">
        <v>466</v>
      </c>
      <c r="S1089" s="104" t="s">
        <v>467</v>
      </c>
      <c r="T1089" s="10" t="str">
        <f t="shared" ref="T1089:T1152" si="79">T1088</f>
        <v>https://babel.hathitrust.org/cgi/pt?id=uc1.b2981990;view=1up;seq=136</v>
      </c>
      <c r="U1089" s="10" t="str">
        <f t="shared" ref="U1089:U1152" si="80">U1088</f>
        <v>https://babel.hathitrust.org/cgi/pt?id=uc1.b2981990;view=1up;seq=136</v>
      </c>
    </row>
    <row r="1090" spans="1:21" x14ac:dyDescent="0.25">
      <c r="A1090" s="27" t="s">
        <v>1617</v>
      </c>
      <c r="B1090" s="27" t="str">
        <f t="shared" si="77"/>
        <v>Virginia</v>
      </c>
      <c r="C1090" s="27" t="str">
        <f t="shared" si="78"/>
        <v>Alleghany</v>
      </c>
      <c r="D1090" s="2">
        <v>2932</v>
      </c>
      <c r="E1090" s="27">
        <v>126</v>
      </c>
      <c r="F1090" s="2">
        <v>147</v>
      </c>
      <c r="G1090" s="2">
        <v>4000</v>
      </c>
      <c r="H1090" s="89">
        <f>'VA post'!K5</f>
        <v>90.884353741496597</v>
      </c>
      <c r="I1090" s="12">
        <v>163478.07</v>
      </c>
      <c r="J1090" s="7">
        <v>53</v>
      </c>
      <c r="K1090" s="29">
        <v>382300</v>
      </c>
      <c r="L1090" s="41">
        <v>1925</v>
      </c>
      <c r="N1090" s="27" t="s">
        <v>464</v>
      </c>
      <c r="O1090" s="27" t="s">
        <v>465</v>
      </c>
      <c r="P1090" s="27" t="s">
        <v>466</v>
      </c>
      <c r="Q1090" s="27" t="s">
        <v>464</v>
      </c>
      <c r="R1090" s="27" t="s">
        <v>466</v>
      </c>
      <c r="S1090" s="10" t="s">
        <v>467</v>
      </c>
      <c r="T1090" s="10" t="str">
        <f t="shared" si="79"/>
        <v>https://babel.hathitrust.org/cgi/pt?id=uc1.b2981990;view=1up;seq=136</v>
      </c>
      <c r="U1090" s="10" t="str">
        <f t="shared" si="80"/>
        <v>https://babel.hathitrust.org/cgi/pt?id=uc1.b2981990;view=1up;seq=136</v>
      </c>
    </row>
    <row r="1091" spans="1:21" x14ac:dyDescent="0.25">
      <c r="A1091" s="27" t="s">
        <v>1618</v>
      </c>
      <c r="B1091" s="27" t="str">
        <f t="shared" si="77"/>
        <v>Virginia</v>
      </c>
      <c r="C1091" s="27" t="str">
        <f t="shared" si="78"/>
        <v>Amelia</v>
      </c>
      <c r="D1091" s="2">
        <v>1583</v>
      </c>
      <c r="E1091" s="27">
        <v>83</v>
      </c>
      <c r="F1091" s="2">
        <v>150</v>
      </c>
      <c r="G1091" s="2">
        <v>2446</v>
      </c>
      <c r="H1091" s="89">
        <f>'VA post'!K6</f>
        <v>70</v>
      </c>
      <c r="I1091" s="12">
        <v>75580.17</v>
      </c>
      <c r="J1091" s="7">
        <v>47</v>
      </c>
      <c r="K1091" s="29">
        <v>115000</v>
      </c>
      <c r="L1091" s="41">
        <v>1925</v>
      </c>
      <c r="N1091" s="27" t="s">
        <v>464</v>
      </c>
      <c r="O1091" s="27" t="s">
        <v>465</v>
      </c>
      <c r="P1091" s="27" t="s">
        <v>466</v>
      </c>
      <c r="Q1091" s="27" t="s">
        <v>464</v>
      </c>
      <c r="R1091" s="27" t="s">
        <v>466</v>
      </c>
      <c r="S1091" s="10" t="s">
        <v>467</v>
      </c>
      <c r="T1091" s="10" t="str">
        <f t="shared" si="79"/>
        <v>https://babel.hathitrust.org/cgi/pt?id=uc1.b2981990;view=1up;seq=136</v>
      </c>
      <c r="U1091" s="10" t="str">
        <f t="shared" si="80"/>
        <v>https://babel.hathitrust.org/cgi/pt?id=uc1.b2981990;view=1up;seq=136</v>
      </c>
    </row>
    <row r="1092" spans="1:21" x14ac:dyDescent="0.25">
      <c r="A1092" s="27" t="s">
        <v>1619</v>
      </c>
      <c r="B1092" s="27" t="str">
        <f t="shared" si="77"/>
        <v>Virginia</v>
      </c>
      <c r="C1092" s="27" t="str">
        <f t="shared" si="78"/>
        <v>Amherst</v>
      </c>
      <c r="D1092" s="2">
        <v>3259</v>
      </c>
      <c r="E1092" s="27">
        <v>148</v>
      </c>
      <c r="F1092" s="2">
        <v>157</v>
      </c>
      <c r="G1092" s="2">
        <v>4761</v>
      </c>
      <c r="H1092" s="89">
        <f>'VA post'!K7</f>
        <v>65.98726114649682</v>
      </c>
      <c r="I1092" s="12">
        <v>161479.87</v>
      </c>
      <c r="J1092" s="7">
        <v>99</v>
      </c>
      <c r="K1092" s="29">
        <v>203500</v>
      </c>
      <c r="L1092" s="41">
        <v>1925</v>
      </c>
      <c r="N1092" s="27" t="s">
        <v>464</v>
      </c>
      <c r="O1092" s="27" t="s">
        <v>465</v>
      </c>
      <c r="P1092" s="27" t="s">
        <v>466</v>
      </c>
      <c r="Q1092" s="27" t="s">
        <v>464</v>
      </c>
      <c r="R1092" s="27" t="s">
        <v>466</v>
      </c>
      <c r="S1092" s="10" t="s">
        <v>467</v>
      </c>
      <c r="T1092" s="10" t="str">
        <f t="shared" si="79"/>
        <v>https://babel.hathitrust.org/cgi/pt?id=uc1.b2981990;view=1up;seq=136</v>
      </c>
      <c r="U1092" s="10" t="str">
        <f t="shared" si="80"/>
        <v>https://babel.hathitrust.org/cgi/pt?id=uc1.b2981990;view=1up;seq=136</v>
      </c>
    </row>
    <row r="1093" spans="1:21" x14ac:dyDescent="0.25">
      <c r="A1093" s="27" t="s">
        <v>1620</v>
      </c>
      <c r="B1093" s="27" t="str">
        <f t="shared" si="77"/>
        <v>Virginia</v>
      </c>
      <c r="C1093" s="27" t="str">
        <f t="shared" si="78"/>
        <v>Appomattox</v>
      </c>
      <c r="D1093" s="2">
        <v>1684</v>
      </c>
      <c r="E1093" s="27">
        <v>78</v>
      </c>
      <c r="F1093" s="2">
        <v>151</v>
      </c>
      <c r="G1093" s="2">
        <v>2453</v>
      </c>
      <c r="H1093" s="89">
        <f>'VA post'!K8</f>
        <v>75.761589403973517</v>
      </c>
      <c r="I1093" s="12">
        <v>6297036</v>
      </c>
      <c r="J1093" s="7">
        <f>30+15</f>
        <v>45</v>
      </c>
      <c r="K1093" s="29">
        <v>95200</v>
      </c>
      <c r="L1093" s="41">
        <v>1925</v>
      </c>
      <c r="N1093" s="27" t="s">
        <v>464</v>
      </c>
      <c r="O1093" s="27" t="s">
        <v>465</v>
      </c>
      <c r="P1093" s="27" t="s">
        <v>466</v>
      </c>
      <c r="Q1093" s="27" t="s">
        <v>464</v>
      </c>
      <c r="R1093" s="27" t="s">
        <v>466</v>
      </c>
      <c r="S1093" s="10" t="s">
        <v>467</v>
      </c>
      <c r="T1093" s="10" t="str">
        <f t="shared" si="79"/>
        <v>https://babel.hathitrust.org/cgi/pt?id=uc1.b2981990;view=1up;seq=136</v>
      </c>
      <c r="U1093" s="10" t="str">
        <f t="shared" si="80"/>
        <v>https://babel.hathitrust.org/cgi/pt?id=uc1.b2981990;view=1up;seq=136</v>
      </c>
    </row>
    <row r="1094" spans="1:21" x14ac:dyDescent="0.25">
      <c r="A1094" s="27" t="s">
        <v>1793</v>
      </c>
      <c r="B1094" s="27" t="str">
        <f t="shared" si="77"/>
        <v>Virginia</v>
      </c>
      <c r="C1094" s="27" t="str">
        <f t="shared" si="78"/>
        <v>Arlington/Alexandria</v>
      </c>
      <c r="D1094" s="2">
        <v>2929</v>
      </c>
      <c r="E1094" s="27">
        <v>103</v>
      </c>
      <c r="F1094" s="2">
        <v>200</v>
      </c>
      <c r="G1094" s="2">
        <v>3856</v>
      </c>
      <c r="H1094" s="89">
        <f>'VA post'!K9</f>
        <v>11.7</v>
      </c>
      <c r="I1094" s="12">
        <v>962095.99</v>
      </c>
      <c r="J1094" s="27">
        <v>17</v>
      </c>
      <c r="K1094" s="2">
        <v>553125</v>
      </c>
      <c r="L1094" s="41">
        <v>1925</v>
      </c>
      <c r="N1094" s="27" t="s">
        <v>464</v>
      </c>
      <c r="O1094" s="27" t="s">
        <v>465</v>
      </c>
      <c r="P1094" s="27" t="s">
        <v>466</v>
      </c>
      <c r="Q1094" s="27" t="s">
        <v>464</v>
      </c>
      <c r="R1094" s="27" t="s">
        <v>466</v>
      </c>
      <c r="S1094" s="10" t="s">
        <v>467</v>
      </c>
      <c r="T1094" s="10" t="str">
        <f t="shared" si="79"/>
        <v>https://babel.hathitrust.org/cgi/pt?id=uc1.b2981990;view=1up;seq=136</v>
      </c>
      <c r="U1094" s="10" t="str">
        <f t="shared" si="80"/>
        <v>https://babel.hathitrust.org/cgi/pt?id=uc1.b2981990;view=1up;seq=136</v>
      </c>
    </row>
    <row r="1095" spans="1:21" x14ac:dyDescent="0.25">
      <c r="A1095" s="27" t="s">
        <v>1621</v>
      </c>
      <c r="B1095" s="27" t="str">
        <f t="shared" si="77"/>
        <v>Virginia</v>
      </c>
      <c r="C1095" s="27" t="str">
        <f t="shared" si="78"/>
        <v>Augusta</v>
      </c>
      <c r="D1095" s="2">
        <v>6209</v>
      </c>
      <c r="E1095" s="27">
        <v>307</v>
      </c>
      <c r="F1095" s="2">
        <v>159</v>
      </c>
      <c r="G1095" s="2">
        <v>8309</v>
      </c>
      <c r="H1095" s="89">
        <f>'VA post'!K10</f>
        <v>74.213836477987414</v>
      </c>
      <c r="I1095" s="12">
        <v>351385.89</v>
      </c>
      <c r="J1095" s="27">
        <v>103</v>
      </c>
      <c r="K1095" s="2">
        <v>565000</v>
      </c>
      <c r="L1095" s="41">
        <v>1925</v>
      </c>
      <c r="N1095" s="27" t="s">
        <v>464</v>
      </c>
      <c r="O1095" s="27" t="s">
        <v>465</v>
      </c>
      <c r="P1095" s="27" t="s">
        <v>466</v>
      </c>
      <c r="Q1095" s="27" t="s">
        <v>464</v>
      </c>
      <c r="R1095" s="27" t="s">
        <v>466</v>
      </c>
      <c r="S1095" s="10" t="s">
        <v>467</v>
      </c>
      <c r="T1095" s="10" t="str">
        <f t="shared" si="79"/>
        <v>https://babel.hathitrust.org/cgi/pt?id=uc1.b2981990;view=1up;seq=136</v>
      </c>
      <c r="U1095" s="10" t="str">
        <f t="shared" si="80"/>
        <v>https://babel.hathitrust.org/cgi/pt?id=uc1.b2981990;view=1up;seq=136</v>
      </c>
    </row>
    <row r="1096" spans="1:21" x14ac:dyDescent="0.25">
      <c r="A1096" s="27" t="s">
        <v>1622</v>
      </c>
      <c r="B1096" s="27" t="str">
        <f t="shared" si="77"/>
        <v>Virginia</v>
      </c>
      <c r="C1096" s="27" t="str">
        <f t="shared" si="78"/>
        <v>Bath</v>
      </c>
      <c r="D1096" s="2">
        <v>1173</v>
      </c>
      <c r="E1096" s="27">
        <v>64</v>
      </c>
      <c r="F1096" s="2">
        <v>163</v>
      </c>
      <c r="G1096" s="2">
        <v>1635</v>
      </c>
      <c r="H1096" s="89">
        <f>'VA post'!K11</f>
        <v>85.030674846625757</v>
      </c>
      <c r="I1096" s="12">
        <v>80482.149999999994</v>
      </c>
      <c r="J1096" s="27">
        <v>36</v>
      </c>
      <c r="K1096" s="2">
        <v>126000</v>
      </c>
      <c r="L1096" s="41">
        <v>1925</v>
      </c>
      <c r="N1096" s="27" t="s">
        <v>464</v>
      </c>
      <c r="O1096" s="27" t="s">
        <v>465</v>
      </c>
      <c r="P1096" s="27" t="s">
        <v>466</v>
      </c>
      <c r="Q1096" s="27" t="s">
        <v>464</v>
      </c>
      <c r="R1096" s="27" t="s">
        <v>466</v>
      </c>
      <c r="S1096" s="10" t="s">
        <v>467</v>
      </c>
      <c r="T1096" s="10" t="str">
        <f t="shared" si="79"/>
        <v>https://babel.hathitrust.org/cgi/pt?id=uc1.b2981990;view=1up;seq=136</v>
      </c>
      <c r="U1096" s="10" t="str">
        <f t="shared" si="80"/>
        <v>https://babel.hathitrust.org/cgi/pt?id=uc1.b2981990;view=1up;seq=136</v>
      </c>
    </row>
    <row r="1097" spans="1:21" x14ac:dyDescent="0.25">
      <c r="A1097" s="27" t="s">
        <v>1623</v>
      </c>
      <c r="B1097" s="27" t="str">
        <f t="shared" si="77"/>
        <v>Virginia</v>
      </c>
      <c r="C1097" s="27" t="str">
        <f t="shared" si="78"/>
        <v>Bedford</v>
      </c>
      <c r="D1097" s="2">
        <v>5386</v>
      </c>
      <c r="E1097" s="27">
        <v>262</v>
      </c>
      <c r="F1097" s="2">
        <v>146</v>
      </c>
      <c r="G1097" s="2">
        <v>7549</v>
      </c>
      <c r="H1097" s="89">
        <f>'VA post'!K12</f>
        <v>67.808219178082197</v>
      </c>
      <c r="I1097" s="12">
        <v>220923.72</v>
      </c>
      <c r="J1097" s="27">
        <v>166</v>
      </c>
      <c r="K1097" s="2">
        <v>279500</v>
      </c>
      <c r="L1097" s="41">
        <v>1925</v>
      </c>
      <c r="N1097" s="27" t="s">
        <v>464</v>
      </c>
      <c r="O1097" s="27" t="s">
        <v>465</v>
      </c>
      <c r="P1097" s="27" t="s">
        <v>466</v>
      </c>
      <c r="Q1097" s="27" t="s">
        <v>464</v>
      </c>
      <c r="R1097" s="27" t="s">
        <v>466</v>
      </c>
      <c r="S1097" s="10" t="s">
        <v>467</v>
      </c>
      <c r="T1097" s="10" t="str">
        <f t="shared" si="79"/>
        <v>https://babel.hathitrust.org/cgi/pt?id=uc1.b2981990;view=1up;seq=136</v>
      </c>
      <c r="U1097" s="10" t="str">
        <f t="shared" si="80"/>
        <v>https://babel.hathitrust.org/cgi/pt?id=uc1.b2981990;view=1up;seq=136</v>
      </c>
    </row>
    <row r="1098" spans="1:21" x14ac:dyDescent="0.25">
      <c r="A1098" s="27" t="s">
        <v>1624</v>
      </c>
      <c r="B1098" s="27" t="str">
        <f t="shared" si="77"/>
        <v>Virginia</v>
      </c>
      <c r="C1098" s="27" t="str">
        <f t="shared" si="78"/>
        <v>Bland</v>
      </c>
      <c r="D1098" s="2">
        <v>1208</v>
      </c>
      <c r="E1098" s="27">
        <v>50</v>
      </c>
      <c r="F1098" s="2">
        <v>140</v>
      </c>
      <c r="G1098" s="2">
        <v>1371</v>
      </c>
      <c r="H1098" s="89">
        <f>'VA post'!K13</f>
        <v>82.857142857142861</v>
      </c>
      <c r="I1098" s="12">
        <v>45699.61</v>
      </c>
      <c r="J1098" s="27">
        <v>37</v>
      </c>
      <c r="K1098" s="2">
        <v>55710</v>
      </c>
      <c r="L1098" s="41">
        <v>1925</v>
      </c>
      <c r="N1098" s="27" t="s">
        <v>464</v>
      </c>
      <c r="O1098" s="27" t="s">
        <v>465</v>
      </c>
      <c r="P1098" s="27" t="s">
        <v>466</v>
      </c>
      <c r="Q1098" s="27" t="s">
        <v>464</v>
      </c>
      <c r="R1098" s="27" t="s">
        <v>466</v>
      </c>
      <c r="S1098" s="10" t="s">
        <v>467</v>
      </c>
      <c r="T1098" s="10" t="str">
        <f t="shared" si="79"/>
        <v>https://babel.hathitrust.org/cgi/pt?id=uc1.b2981990;view=1up;seq=136</v>
      </c>
      <c r="U1098" s="10" t="str">
        <f t="shared" si="80"/>
        <v>https://babel.hathitrust.org/cgi/pt?id=uc1.b2981990;view=1up;seq=136</v>
      </c>
    </row>
    <row r="1099" spans="1:21" x14ac:dyDescent="0.25">
      <c r="A1099" s="27" t="s">
        <v>1625</v>
      </c>
      <c r="B1099" s="27" t="str">
        <f t="shared" si="77"/>
        <v>Virginia</v>
      </c>
      <c r="C1099" s="27" t="str">
        <f t="shared" si="78"/>
        <v>Botetourt</v>
      </c>
      <c r="D1099" s="2">
        <v>3020</v>
      </c>
      <c r="E1099" s="27">
        <v>150</v>
      </c>
      <c r="F1099" s="2">
        <v>152</v>
      </c>
      <c r="G1099" s="2">
        <v>3992</v>
      </c>
      <c r="H1099" s="89">
        <f>'VA post'!K14</f>
        <v>74.342105263157904</v>
      </c>
      <c r="I1099" s="12">
        <v>141036.48000000001</v>
      </c>
      <c r="J1099" s="27">
        <v>70</v>
      </c>
      <c r="K1099" s="2">
        <v>159000</v>
      </c>
      <c r="L1099" s="41">
        <v>1925</v>
      </c>
      <c r="N1099" s="27" t="s">
        <v>464</v>
      </c>
      <c r="O1099" s="27" t="s">
        <v>465</v>
      </c>
      <c r="P1099" s="27" t="s">
        <v>466</v>
      </c>
      <c r="Q1099" s="27" t="s">
        <v>464</v>
      </c>
      <c r="R1099" s="27" t="s">
        <v>466</v>
      </c>
      <c r="S1099" s="10" t="s">
        <v>467</v>
      </c>
      <c r="T1099" s="10" t="str">
        <f t="shared" si="79"/>
        <v>https://babel.hathitrust.org/cgi/pt?id=uc1.b2981990;view=1up;seq=136</v>
      </c>
      <c r="U1099" s="10" t="str">
        <f t="shared" si="80"/>
        <v>https://babel.hathitrust.org/cgi/pt?id=uc1.b2981990;view=1up;seq=136</v>
      </c>
    </row>
    <row r="1100" spans="1:21" s="98" customFormat="1" x14ac:dyDescent="0.25">
      <c r="A1100" s="98" t="s">
        <v>1723</v>
      </c>
      <c r="B1100" s="98" t="str">
        <f t="shared" si="77"/>
        <v>Virginia</v>
      </c>
      <c r="C1100" s="98" t="str">
        <f t="shared" si="78"/>
        <v>Bristol</v>
      </c>
      <c r="D1100" s="99">
        <v>1361</v>
      </c>
      <c r="E1100" s="98">
        <v>56</v>
      </c>
      <c r="F1100" s="99">
        <v>180</v>
      </c>
      <c r="G1100" s="99">
        <v>1765</v>
      </c>
      <c r="H1100" s="89">
        <f>'VA post'!K15</f>
        <v>109.33333333333333</v>
      </c>
      <c r="I1100" s="105">
        <v>82383.34</v>
      </c>
      <c r="J1100" s="98">
        <v>5</v>
      </c>
      <c r="K1100" s="99">
        <v>525000</v>
      </c>
      <c r="L1100" s="101">
        <v>1925</v>
      </c>
      <c r="N1100" s="98" t="s">
        <v>464</v>
      </c>
      <c r="O1100" s="98" t="s">
        <v>465</v>
      </c>
      <c r="P1100" s="98" t="s">
        <v>466</v>
      </c>
      <c r="Q1100" s="98" t="s">
        <v>464</v>
      </c>
      <c r="R1100" s="98" t="s">
        <v>466</v>
      </c>
      <c r="S1100" s="104" t="s">
        <v>467</v>
      </c>
      <c r="T1100" s="10" t="str">
        <f t="shared" si="79"/>
        <v>https://babel.hathitrust.org/cgi/pt?id=uc1.b2981990;view=1up;seq=136</v>
      </c>
      <c r="U1100" s="10" t="str">
        <f t="shared" si="80"/>
        <v>https://babel.hathitrust.org/cgi/pt?id=uc1.b2981990;view=1up;seq=136</v>
      </c>
    </row>
    <row r="1101" spans="1:21" x14ac:dyDescent="0.25">
      <c r="A1101" s="27" t="s">
        <v>1626</v>
      </c>
      <c r="B1101" s="27" t="str">
        <f t="shared" si="77"/>
        <v>Virginia</v>
      </c>
      <c r="C1101" s="27" t="str">
        <f t="shared" si="78"/>
        <v>Brunswick</v>
      </c>
      <c r="D1101" s="2">
        <v>3546</v>
      </c>
      <c r="E1101" s="27">
        <v>159</v>
      </c>
      <c r="F1101" s="2">
        <v>151</v>
      </c>
      <c r="G1101" s="2">
        <v>5605</v>
      </c>
      <c r="H1101" s="89">
        <f>'VA post'!K16</f>
        <v>80.397350993377486</v>
      </c>
      <c r="I1101" s="12">
        <v>204243.32</v>
      </c>
      <c r="J1101" s="27">
        <v>76</v>
      </c>
      <c r="K1101" s="2">
        <v>219575</v>
      </c>
      <c r="L1101" s="41">
        <v>1925</v>
      </c>
      <c r="N1101" s="27" t="s">
        <v>464</v>
      </c>
      <c r="O1101" s="27" t="s">
        <v>465</v>
      </c>
      <c r="P1101" s="27" t="s">
        <v>466</v>
      </c>
      <c r="Q1101" s="27" t="s">
        <v>464</v>
      </c>
      <c r="R1101" s="27" t="s">
        <v>466</v>
      </c>
      <c r="S1101" s="10" t="s">
        <v>467</v>
      </c>
      <c r="T1101" s="10" t="str">
        <f t="shared" si="79"/>
        <v>https://babel.hathitrust.org/cgi/pt?id=uc1.b2981990;view=1up;seq=136</v>
      </c>
      <c r="U1101" s="10" t="str">
        <f t="shared" si="80"/>
        <v>https://babel.hathitrust.org/cgi/pt?id=uc1.b2981990;view=1up;seq=136</v>
      </c>
    </row>
    <row r="1102" spans="1:21" x14ac:dyDescent="0.25">
      <c r="A1102" s="27" t="s">
        <v>1627</v>
      </c>
      <c r="B1102" s="27" t="str">
        <f t="shared" si="77"/>
        <v>Virginia</v>
      </c>
      <c r="C1102" s="27" t="str">
        <f t="shared" si="78"/>
        <v>Buchanan</v>
      </c>
      <c r="D1102" s="2">
        <v>3716</v>
      </c>
      <c r="E1102" s="27">
        <v>95</v>
      </c>
      <c r="F1102" s="2">
        <v>145</v>
      </c>
      <c r="G1102" s="2">
        <v>4572</v>
      </c>
      <c r="H1102" s="89">
        <f>'VA post'!K17</f>
        <v>78.482758620689651</v>
      </c>
      <c r="I1102" s="12">
        <v>88695.71</v>
      </c>
      <c r="J1102" s="27">
        <v>79</v>
      </c>
      <c r="K1102" s="2">
        <v>294900</v>
      </c>
      <c r="L1102" s="41">
        <v>1925</v>
      </c>
      <c r="N1102" s="27" t="s">
        <v>464</v>
      </c>
      <c r="O1102" s="27" t="s">
        <v>465</v>
      </c>
      <c r="P1102" s="27" t="s">
        <v>466</v>
      </c>
      <c r="Q1102" s="27" t="s">
        <v>464</v>
      </c>
      <c r="R1102" s="27" t="s">
        <v>466</v>
      </c>
      <c r="S1102" s="10" t="s">
        <v>467</v>
      </c>
      <c r="T1102" s="10" t="str">
        <f t="shared" si="79"/>
        <v>https://babel.hathitrust.org/cgi/pt?id=uc1.b2981990;view=1up;seq=136</v>
      </c>
      <c r="U1102" s="10" t="str">
        <f t="shared" si="80"/>
        <v>https://babel.hathitrust.org/cgi/pt?id=uc1.b2981990;view=1up;seq=136</v>
      </c>
    </row>
    <row r="1103" spans="1:21" x14ac:dyDescent="0.25">
      <c r="A1103" s="27" t="s">
        <v>1628</v>
      </c>
      <c r="B1103" s="27" t="str">
        <f t="shared" si="77"/>
        <v>Virginia</v>
      </c>
      <c r="C1103" s="27" t="str">
        <f t="shared" si="78"/>
        <v>Buckingham</v>
      </c>
      <c r="D1103" s="2">
        <v>2601</v>
      </c>
      <c r="E1103" s="27">
        <v>126</v>
      </c>
      <c r="F1103" s="2">
        <v>140</v>
      </c>
      <c r="G1103" s="2">
        <v>3748</v>
      </c>
      <c r="H1103" s="89">
        <f>'VA post'!K18</f>
        <v>72.142857142857139</v>
      </c>
      <c r="I1103" s="12">
        <v>90800.54</v>
      </c>
      <c r="J1103" s="27">
        <v>78</v>
      </c>
      <c r="K1103" s="2">
        <v>161000</v>
      </c>
      <c r="L1103" s="41">
        <v>1925</v>
      </c>
      <c r="N1103" s="27" t="s">
        <v>464</v>
      </c>
      <c r="O1103" s="27" t="s">
        <v>465</v>
      </c>
      <c r="P1103" s="27" t="s">
        <v>466</v>
      </c>
      <c r="Q1103" s="27" t="s">
        <v>464</v>
      </c>
      <c r="R1103" s="27" t="s">
        <v>466</v>
      </c>
      <c r="S1103" s="10" t="s">
        <v>467</v>
      </c>
      <c r="T1103" s="10" t="str">
        <f t="shared" si="79"/>
        <v>https://babel.hathitrust.org/cgi/pt?id=uc1.b2981990;view=1up;seq=136</v>
      </c>
      <c r="U1103" s="10" t="str">
        <f t="shared" si="80"/>
        <v>https://babel.hathitrust.org/cgi/pt?id=uc1.b2981990;view=1up;seq=136</v>
      </c>
    </row>
    <row r="1104" spans="1:21" s="98" customFormat="1" x14ac:dyDescent="0.25">
      <c r="A1104" s="98" t="s">
        <v>1794</v>
      </c>
      <c r="B1104" s="98" t="str">
        <f t="shared" si="77"/>
        <v>Virginia</v>
      </c>
      <c r="C1104" s="98" t="str">
        <f t="shared" si="78"/>
        <v>Buena Vista</v>
      </c>
      <c r="D1104" s="99">
        <v>690</v>
      </c>
      <c r="E1104" s="98">
        <v>23</v>
      </c>
      <c r="F1104" s="99">
        <v>180</v>
      </c>
      <c r="G1104" s="99">
        <v>931</v>
      </c>
      <c r="H1104" s="89">
        <f>'VA post'!K19</f>
        <v>90.888888888888886</v>
      </c>
      <c r="I1104" s="105">
        <v>24331.02</v>
      </c>
      <c r="J1104" s="98">
        <v>3</v>
      </c>
      <c r="K1104" s="99">
        <v>133350</v>
      </c>
      <c r="L1104" s="101">
        <v>1925</v>
      </c>
      <c r="N1104" s="98" t="s">
        <v>464</v>
      </c>
      <c r="O1104" s="98" t="s">
        <v>465</v>
      </c>
      <c r="P1104" s="98" t="s">
        <v>466</v>
      </c>
      <c r="Q1104" s="98" t="s">
        <v>464</v>
      </c>
      <c r="R1104" s="98" t="s">
        <v>466</v>
      </c>
      <c r="S1104" s="104" t="s">
        <v>467</v>
      </c>
      <c r="T1104" s="10" t="str">
        <f t="shared" si="79"/>
        <v>https://babel.hathitrust.org/cgi/pt?id=uc1.b2981990;view=1up;seq=136</v>
      </c>
      <c r="U1104" s="10" t="str">
        <f t="shared" si="80"/>
        <v>https://babel.hathitrust.org/cgi/pt?id=uc1.b2981990;view=1up;seq=136</v>
      </c>
    </row>
    <row r="1105" spans="1:21" x14ac:dyDescent="0.25">
      <c r="A1105" s="27" t="s">
        <v>1629</v>
      </c>
      <c r="B1105" s="27" t="str">
        <f t="shared" si="77"/>
        <v>Virginia</v>
      </c>
      <c r="C1105" s="27" t="str">
        <f t="shared" si="78"/>
        <v>Campbell</v>
      </c>
      <c r="D1105" s="2">
        <v>5026</v>
      </c>
      <c r="E1105" s="27">
        <v>224</v>
      </c>
      <c r="F1105" s="2">
        <v>157.76</v>
      </c>
      <c r="G1105" s="2">
        <v>7258</v>
      </c>
      <c r="H1105" s="89">
        <f>'VA post'!K20</f>
        <v>70.233265720081135</v>
      </c>
      <c r="I1105" s="12">
        <v>246879.26</v>
      </c>
      <c r="J1105" s="27">
        <v>111</v>
      </c>
      <c r="K1105" s="2">
        <v>540000</v>
      </c>
      <c r="L1105" s="41">
        <v>1925</v>
      </c>
      <c r="N1105" s="27" t="s">
        <v>464</v>
      </c>
      <c r="O1105" s="27" t="s">
        <v>465</v>
      </c>
      <c r="P1105" s="27" t="s">
        <v>466</v>
      </c>
      <c r="Q1105" s="27" t="s">
        <v>464</v>
      </c>
      <c r="R1105" s="27" t="s">
        <v>466</v>
      </c>
      <c r="S1105" s="10" t="s">
        <v>467</v>
      </c>
      <c r="T1105" s="10" t="str">
        <f t="shared" si="79"/>
        <v>https://babel.hathitrust.org/cgi/pt?id=uc1.b2981990;view=1up;seq=136</v>
      </c>
      <c r="U1105" s="10" t="str">
        <f t="shared" si="80"/>
        <v>https://babel.hathitrust.org/cgi/pt?id=uc1.b2981990;view=1up;seq=136</v>
      </c>
    </row>
    <row r="1106" spans="1:21" x14ac:dyDescent="0.25">
      <c r="A1106" s="27" t="s">
        <v>1630</v>
      </c>
      <c r="B1106" s="27" t="str">
        <f t="shared" si="77"/>
        <v>Virginia</v>
      </c>
      <c r="C1106" s="27" t="str">
        <f t="shared" si="78"/>
        <v>Caroline</v>
      </c>
      <c r="D1106" s="2">
        <v>2949</v>
      </c>
      <c r="E1106" s="27">
        <v>134</v>
      </c>
      <c r="F1106" s="2">
        <v>146</v>
      </c>
      <c r="G1106" s="2">
        <v>4059</v>
      </c>
      <c r="H1106" s="89">
        <f>'VA post'!K21</f>
        <v>67.260273972602747</v>
      </c>
      <c r="I1106" s="12">
        <v>109767.75</v>
      </c>
      <c r="J1106" s="27">
        <v>74</v>
      </c>
      <c r="K1106" s="2">
        <v>169000</v>
      </c>
      <c r="L1106" s="41">
        <v>1925</v>
      </c>
      <c r="N1106" s="27" t="s">
        <v>464</v>
      </c>
      <c r="O1106" s="27" t="s">
        <v>465</v>
      </c>
      <c r="P1106" s="27" t="s">
        <v>466</v>
      </c>
      <c r="Q1106" s="27" t="s">
        <v>464</v>
      </c>
      <c r="R1106" s="27" t="s">
        <v>466</v>
      </c>
      <c r="S1106" s="10" t="s">
        <v>467</v>
      </c>
      <c r="T1106" s="10" t="str">
        <f t="shared" si="79"/>
        <v>https://babel.hathitrust.org/cgi/pt?id=uc1.b2981990;view=1up;seq=136</v>
      </c>
      <c r="U1106" s="10" t="str">
        <f t="shared" si="80"/>
        <v>https://babel.hathitrust.org/cgi/pt?id=uc1.b2981990;view=1up;seq=136</v>
      </c>
    </row>
    <row r="1107" spans="1:21" x14ac:dyDescent="0.25">
      <c r="A1107" s="27" t="s">
        <v>1631</v>
      </c>
      <c r="B1107" s="27" t="str">
        <f t="shared" si="77"/>
        <v>Virginia</v>
      </c>
      <c r="C1107" s="27" t="str">
        <f t="shared" si="78"/>
        <v>Carroll</v>
      </c>
      <c r="D1107" s="2">
        <v>4472</v>
      </c>
      <c r="E1107" s="27">
        <v>156</v>
      </c>
      <c r="F1107" s="2">
        <v>153</v>
      </c>
      <c r="G1107" s="2">
        <v>5607</v>
      </c>
      <c r="H1107" s="89">
        <f>'VA post'!K22</f>
        <v>62.091503267973856</v>
      </c>
      <c r="I1107" s="12">
        <v>96208.63</v>
      </c>
      <c r="J1107" s="27">
        <v>113</v>
      </c>
      <c r="K1107" s="2">
        <v>120513</v>
      </c>
      <c r="L1107" s="41">
        <v>1925</v>
      </c>
      <c r="N1107" s="27" t="s">
        <v>464</v>
      </c>
      <c r="O1107" s="27" t="s">
        <v>465</v>
      </c>
      <c r="P1107" s="27" t="s">
        <v>466</v>
      </c>
      <c r="Q1107" s="27" t="s">
        <v>464</v>
      </c>
      <c r="R1107" s="27" t="s">
        <v>466</v>
      </c>
      <c r="S1107" s="10" t="s">
        <v>467</v>
      </c>
      <c r="T1107" s="10" t="str">
        <f t="shared" si="79"/>
        <v>https://babel.hathitrust.org/cgi/pt?id=uc1.b2981990;view=1up;seq=136</v>
      </c>
      <c r="U1107" s="10" t="str">
        <f t="shared" si="80"/>
        <v>https://babel.hathitrust.org/cgi/pt?id=uc1.b2981990;view=1up;seq=136</v>
      </c>
    </row>
    <row r="1108" spans="1:21" x14ac:dyDescent="0.25">
      <c r="A1108" s="27" t="s">
        <v>1632</v>
      </c>
      <c r="B1108" s="27" t="str">
        <f t="shared" si="77"/>
        <v>Virginia</v>
      </c>
      <c r="C1108" s="27" t="str">
        <f t="shared" si="78"/>
        <v>Charles City</v>
      </c>
      <c r="D1108" s="27">
        <v>976</v>
      </c>
      <c r="E1108" s="27">
        <v>40</v>
      </c>
      <c r="F1108" s="2">
        <v>170</v>
      </c>
      <c r="G1108" s="2">
        <v>1318</v>
      </c>
      <c r="H1108" s="89">
        <f>'VA post'!K23</f>
        <v>64.705882352941174</v>
      </c>
      <c r="I1108" s="12">
        <v>42023.54</v>
      </c>
      <c r="J1108" s="27">
        <v>17</v>
      </c>
      <c r="K1108" s="2">
        <v>50000</v>
      </c>
      <c r="L1108" s="41">
        <v>1925</v>
      </c>
      <c r="N1108" s="27" t="s">
        <v>464</v>
      </c>
      <c r="O1108" s="27" t="s">
        <v>465</v>
      </c>
      <c r="P1108" s="27" t="s">
        <v>466</v>
      </c>
      <c r="Q1108" s="27" t="s">
        <v>464</v>
      </c>
      <c r="R1108" s="27" t="s">
        <v>466</v>
      </c>
      <c r="S1108" s="10" t="s">
        <v>467</v>
      </c>
      <c r="T1108" s="10" t="str">
        <f t="shared" si="79"/>
        <v>https://babel.hathitrust.org/cgi/pt?id=uc1.b2981990;view=1up;seq=136</v>
      </c>
      <c r="U1108" s="10" t="str">
        <f t="shared" si="80"/>
        <v>https://babel.hathitrust.org/cgi/pt?id=uc1.b2981990;view=1up;seq=136</v>
      </c>
    </row>
    <row r="1109" spans="1:21" x14ac:dyDescent="0.25">
      <c r="A1109" s="27" t="s">
        <v>1633</v>
      </c>
      <c r="B1109" s="27" t="str">
        <f t="shared" si="77"/>
        <v>Virginia</v>
      </c>
      <c r="C1109" s="27" t="str">
        <f t="shared" si="78"/>
        <v>Charlotte</v>
      </c>
      <c r="D1109" s="2">
        <v>3540</v>
      </c>
      <c r="E1109" s="27">
        <v>141</v>
      </c>
      <c r="F1109" s="2">
        <v>140</v>
      </c>
      <c r="G1109" s="2">
        <v>4920</v>
      </c>
      <c r="H1109" s="89">
        <f>'VA post'!K24</f>
        <v>88.285714285714292</v>
      </c>
      <c r="I1109" s="12">
        <v>124433.45</v>
      </c>
      <c r="J1109" s="27">
        <v>63</v>
      </c>
      <c r="K1109" s="2">
        <v>244750</v>
      </c>
      <c r="L1109" s="41">
        <v>1925</v>
      </c>
      <c r="N1109" s="27" t="s">
        <v>464</v>
      </c>
      <c r="O1109" s="27" t="s">
        <v>465</v>
      </c>
      <c r="P1109" s="27" t="s">
        <v>466</v>
      </c>
      <c r="Q1109" s="27" t="s">
        <v>464</v>
      </c>
      <c r="R1109" s="27" t="s">
        <v>466</v>
      </c>
      <c r="S1109" s="10" t="s">
        <v>467</v>
      </c>
      <c r="T1109" s="10" t="str">
        <f t="shared" si="79"/>
        <v>https://babel.hathitrust.org/cgi/pt?id=uc1.b2981990;view=1up;seq=136</v>
      </c>
      <c r="U1109" s="10" t="str">
        <f t="shared" si="80"/>
        <v>https://babel.hathitrust.org/cgi/pt?id=uc1.b2981990;view=1up;seq=136</v>
      </c>
    </row>
    <row r="1110" spans="1:21" s="98" customFormat="1" x14ac:dyDescent="0.25">
      <c r="A1110" s="98" t="s">
        <v>1724</v>
      </c>
      <c r="B1110" s="98" t="str">
        <f t="shared" si="77"/>
        <v>Virginia</v>
      </c>
      <c r="C1110" s="98" t="str">
        <f t="shared" si="78"/>
        <v>Charlottesville</v>
      </c>
      <c r="D1110" s="99">
        <v>2489</v>
      </c>
      <c r="E1110" s="98">
        <v>73</v>
      </c>
      <c r="F1110" s="99">
        <v>180</v>
      </c>
      <c r="G1110" s="99">
        <v>3131</v>
      </c>
      <c r="H1110" s="89">
        <f>'VA post'!K25</f>
        <v>123.55555555555556</v>
      </c>
      <c r="I1110" s="105">
        <v>390096.68</v>
      </c>
      <c r="J1110" s="98">
        <v>4</v>
      </c>
      <c r="K1110" s="99">
        <v>354000</v>
      </c>
      <c r="L1110" s="101">
        <v>1925</v>
      </c>
      <c r="N1110" s="98" t="s">
        <v>464</v>
      </c>
      <c r="O1110" s="98" t="s">
        <v>465</v>
      </c>
      <c r="P1110" s="98" t="s">
        <v>466</v>
      </c>
      <c r="Q1110" s="98" t="s">
        <v>464</v>
      </c>
      <c r="R1110" s="98" t="s">
        <v>466</v>
      </c>
      <c r="S1110" s="104" t="s">
        <v>467</v>
      </c>
      <c r="T1110" s="10" t="str">
        <f t="shared" si="79"/>
        <v>https://babel.hathitrust.org/cgi/pt?id=uc1.b2981990;view=1up;seq=136</v>
      </c>
      <c r="U1110" s="10" t="str">
        <f t="shared" si="80"/>
        <v>https://babel.hathitrust.org/cgi/pt?id=uc1.b2981990;view=1up;seq=136</v>
      </c>
    </row>
    <row r="1111" spans="1:21" x14ac:dyDescent="0.25">
      <c r="A1111" s="27" t="s">
        <v>1634</v>
      </c>
      <c r="B1111" s="27" t="str">
        <f t="shared" si="77"/>
        <v>Virginia</v>
      </c>
      <c r="C1111" s="27" t="str">
        <f t="shared" si="78"/>
        <v>Chesterfield</v>
      </c>
      <c r="D1111" s="2">
        <v>3672</v>
      </c>
      <c r="E1111" s="27">
        <v>159</v>
      </c>
      <c r="F1111" s="2">
        <v>154</v>
      </c>
      <c r="G1111" s="2">
        <v>5061</v>
      </c>
      <c r="H1111" s="89">
        <f>'VA post'!K26</f>
        <v>89.480519480519476</v>
      </c>
      <c r="I1111" s="12">
        <v>271448.42</v>
      </c>
      <c r="J1111" s="27">
        <v>45</v>
      </c>
      <c r="K1111" s="2">
        <v>338006</v>
      </c>
      <c r="L1111" s="41">
        <v>1925</v>
      </c>
      <c r="N1111" s="27" t="s">
        <v>464</v>
      </c>
      <c r="O1111" s="27" t="s">
        <v>465</v>
      </c>
      <c r="P1111" s="27" t="s">
        <v>466</v>
      </c>
      <c r="Q1111" s="27" t="s">
        <v>464</v>
      </c>
      <c r="R1111" s="27" t="s">
        <v>466</v>
      </c>
      <c r="S1111" s="10" t="s">
        <v>467</v>
      </c>
      <c r="T1111" s="10" t="str">
        <f t="shared" si="79"/>
        <v>https://babel.hathitrust.org/cgi/pt?id=uc1.b2981990;view=1up;seq=136</v>
      </c>
      <c r="U1111" s="10" t="str">
        <f t="shared" si="80"/>
        <v>https://babel.hathitrust.org/cgi/pt?id=uc1.b2981990;view=1up;seq=136</v>
      </c>
    </row>
    <row r="1112" spans="1:21" x14ac:dyDescent="0.25">
      <c r="A1112" s="27" t="s">
        <v>1635</v>
      </c>
      <c r="B1112" s="27" t="str">
        <f t="shared" si="77"/>
        <v>Virginia</v>
      </c>
      <c r="C1112" s="27" t="str">
        <f t="shared" si="78"/>
        <v>Clarke</v>
      </c>
      <c r="D1112" s="2">
        <v>1123</v>
      </c>
      <c r="E1112" s="27">
        <v>56</v>
      </c>
      <c r="F1112" s="2">
        <v>157</v>
      </c>
      <c r="G1112" s="2">
        <v>1659</v>
      </c>
      <c r="H1112" s="89">
        <f>'VA post'!K27</f>
        <v>67.00636942675159</v>
      </c>
      <c r="I1112" s="12">
        <v>83807.83</v>
      </c>
      <c r="J1112" s="27">
        <v>27</v>
      </c>
      <c r="K1112" s="2">
        <v>157000</v>
      </c>
      <c r="L1112" s="41">
        <v>1925</v>
      </c>
      <c r="N1112" s="27" t="s">
        <v>464</v>
      </c>
      <c r="O1112" s="27" t="s">
        <v>465</v>
      </c>
      <c r="P1112" s="27" t="s">
        <v>466</v>
      </c>
      <c r="Q1112" s="27" t="s">
        <v>464</v>
      </c>
      <c r="R1112" s="27" t="s">
        <v>466</v>
      </c>
      <c r="S1112" s="10" t="s">
        <v>467</v>
      </c>
      <c r="T1112" s="10" t="str">
        <f t="shared" si="79"/>
        <v>https://babel.hathitrust.org/cgi/pt?id=uc1.b2981990;view=1up;seq=136</v>
      </c>
      <c r="U1112" s="10" t="str">
        <f t="shared" si="80"/>
        <v>https://babel.hathitrust.org/cgi/pt?id=uc1.b2981990;view=1up;seq=136</v>
      </c>
    </row>
    <row r="1113" spans="1:21" x14ac:dyDescent="0.25">
      <c r="A1113" s="27" t="s">
        <v>1636</v>
      </c>
      <c r="B1113" s="27" t="str">
        <f t="shared" si="77"/>
        <v>Virginia</v>
      </c>
      <c r="C1113" s="27" t="str">
        <f t="shared" si="78"/>
        <v>Craig</v>
      </c>
      <c r="D1113" s="27">
        <v>717</v>
      </c>
      <c r="E1113" s="27">
        <v>39</v>
      </c>
      <c r="F1113" s="2">
        <v>145</v>
      </c>
      <c r="G1113" s="2">
        <v>900</v>
      </c>
      <c r="H1113" s="89">
        <f>'VA post'!K28</f>
        <v>70.620689655172413</v>
      </c>
      <c r="I1113" s="12">
        <v>30242.38</v>
      </c>
      <c r="J1113" s="27">
        <v>27</v>
      </c>
      <c r="K1113" s="2">
        <v>59000</v>
      </c>
      <c r="L1113" s="41">
        <v>1925</v>
      </c>
      <c r="N1113" s="27" t="s">
        <v>464</v>
      </c>
      <c r="O1113" s="27" t="s">
        <v>465</v>
      </c>
      <c r="P1113" s="27" t="s">
        <v>466</v>
      </c>
      <c r="Q1113" s="27" t="s">
        <v>464</v>
      </c>
      <c r="R1113" s="27" t="s">
        <v>466</v>
      </c>
      <c r="S1113" s="10" t="s">
        <v>467</v>
      </c>
      <c r="T1113" s="10" t="str">
        <f t="shared" si="79"/>
        <v>https://babel.hathitrust.org/cgi/pt?id=uc1.b2981990;view=1up;seq=136</v>
      </c>
      <c r="U1113" s="10" t="str">
        <f t="shared" si="80"/>
        <v>https://babel.hathitrust.org/cgi/pt?id=uc1.b2981990;view=1up;seq=136</v>
      </c>
    </row>
    <row r="1114" spans="1:21" x14ac:dyDescent="0.25">
      <c r="A1114" s="27" t="s">
        <v>1637</v>
      </c>
      <c r="B1114" s="27" t="str">
        <f t="shared" si="77"/>
        <v>Virginia</v>
      </c>
      <c r="C1114" s="27" t="str">
        <f t="shared" si="78"/>
        <v>Culpeper</v>
      </c>
      <c r="D1114" s="2">
        <v>2149</v>
      </c>
      <c r="E1114" s="27">
        <v>104</v>
      </c>
      <c r="F1114" s="2">
        <v>157</v>
      </c>
      <c r="G1114" s="2">
        <v>3054</v>
      </c>
      <c r="H1114" s="89">
        <f>'VA post'!K29</f>
        <v>81.401273885350321</v>
      </c>
      <c r="I1114" s="12">
        <v>123197.62</v>
      </c>
      <c r="J1114" s="27">
        <v>61</v>
      </c>
      <c r="K1114" s="2">
        <v>96800</v>
      </c>
      <c r="L1114" s="41">
        <v>1925</v>
      </c>
      <c r="N1114" s="27" t="s">
        <v>464</v>
      </c>
      <c r="O1114" s="27" t="s">
        <v>465</v>
      </c>
      <c r="P1114" s="27" t="s">
        <v>466</v>
      </c>
      <c r="Q1114" s="27" t="s">
        <v>464</v>
      </c>
      <c r="R1114" s="27" t="s">
        <v>466</v>
      </c>
      <c r="S1114" s="10" t="s">
        <v>467</v>
      </c>
      <c r="T1114" s="10" t="str">
        <f t="shared" si="79"/>
        <v>https://babel.hathitrust.org/cgi/pt?id=uc1.b2981990;view=1up;seq=136</v>
      </c>
      <c r="U1114" s="10" t="str">
        <f t="shared" si="80"/>
        <v>https://babel.hathitrust.org/cgi/pt?id=uc1.b2981990;view=1up;seq=136</v>
      </c>
    </row>
    <row r="1115" spans="1:21" x14ac:dyDescent="0.25">
      <c r="A1115" s="27" t="s">
        <v>1638</v>
      </c>
      <c r="B1115" s="27" t="str">
        <f t="shared" si="77"/>
        <v>Virginia</v>
      </c>
      <c r="C1115" s="27" t="str">
        <f t="shared" si="78"/>
        <v>Cumberland</v>
      </c>
      <c r="D1115" s="2">
        <v>1392</v>
      </c>
      <c r="E1115" s="27">
        <v>69</v>
      </c>
      <c r="F1115" s="2">
        <v>154</v>
      </c>
      <c r="G1115" s="2">
        <v>2127</v>
      </c>
      <c r="H1115" s="89">
        <f>'VA post'!K30</f>
        <v>69.610389610389603</v>
      </c>
      <c r="I1115" s="12">
        <v>57022.09</v>
      </c>
      <c r="J1115" s="27">
        <v>36</v>
      </c>
      <c r="K1115" s="2">
        <v>87000</v>
      </c>
      <c r="L1115" s="41">
        <v>1925</v>
      </c>
      <c r="N1115" s="27" t="s">
        <v>464</v>
      </c>
      <c r="O1115" s="27" t="s">
        <v>465</v>
      </c>
      <c r="P1115" s="27" t="s">
        <v>466</v>
      </c>
      <c r="Q1115" s="27" t="s">
        <v>464</v>
      </c>
      <c r="R1115" s="27" t="s">
        <v>466</v>
      </c>
      <c r="S1115" s="10" t="s">
        <v>467</v>
      </c>
      <c r="T1115" s="10" t="str">
        <f t="shared" si="79"/>
        <v>https://babel.hathitrust.org/cgi/pt?id=uc1.b2981990;view=1up;seq=136</v>
      </c>
      <c r="U1115" s="10" t="str">
        <f t="shared" si="80"/>
        <v>https://babel.hathitrust.org/cgi/pt?id=uc1.b2981990;view=1up;seq=136</v>
      </c>
    </row>
    <row r="1116" spans="1:21" s="98" customFormat="1" x14ac:dyDescent="0.25">
      <c r="A1116" s="98" t="s">
        <v>1726</v>
      </c>
      <c r="B1116" s="98" t="str">
        <f t="shared" si="77"/>
        <v>Virginia</v>
      </c>
      <c r="C1116" s="98" t="str">
        <f t="shared" si="78"/>
        <v>Danville</v>
      </c>
      <c r="D1116" s="99">
        <v>3599</v>
      </c>
      <c r="E1116" s="98">
        <v>130</v>
      </c>
      <c r="F1116" s="99">
        <v>178</v>
      </c>
      <c r="G1116" s="99">
        <v>4493</v>
      </c>
      <c r="H1116" s="89">
        <f>'VA post'!K31</f>
        <v>118.76404494382022</v>
      </c>
      <c r="I1116" s="105">
        <v>183130.65</v>
      </c>
      <c r="J1116" s="98">
        <v>9</v>
      </c>
      <c r="K1116" s="99">
        <v>484250</v>
      </c>
      <c r="L1116" s="101">
        <v>1925</v>
      </c>
      <c r="N1116" s="98" t="s">
        <v>464</v>
      </c>
      <c r="O1116" s="98" t="s">
        <v>465</v>
      </c>
      <c r="P1116" s="98" t="s">
        <v>466</v>
      </c>
      <c r="Q1116" s="98" t="s">
        <v>464</v>
      </c>
      <c r="R1116" s="98" t="s">
        <v>466</v>
      </c>
      <c r="S1116" s="104" t="s">
        <v>467</v>
      </c>
      <c r="T1116" s="10" t="str">
        <f t="shared" si="79"/>
        <v>https://babel.hathitrust.org/cgi/pt?id=uc1.b2981990;view=1up;seq=136</v>
      </c>
      <c r="U1116" s="10" t="str">
        <f t="shared" si="80"/>
        <v>https://babel.hathitrust.org/cgi/pt?id=uc1.b2981990;view=1up;seq=136</v>
      </c>
    </row>
    <row r="1117" spans="1:21" x14ac:dyDescent="0.25">
      <c r="A1117" s="27" t="s">
        <v>1639</v>
      </c>
      <c r="B1117" s="27" t="str">
        <f t="shared" si="77"/>
        <v>Virginia</v>
      </c>
      <c r="C1117" s="27" t="str">
        <f t="shared" si="78"/>
        <v>Dickenson</v>
      </c>
      <c r="D1117" s="2">
        <v>2972</v>
      </c>
      <c r="E1117" s="27">
        <v>125</v>
      </c>
      <c r="F1117" s="2">
        <v>145</v>
      </c>
      <c r="G1117" s="2">
        <v>4516</v>
      </c>
      <c r="H1117" s="89">
        <f>'VA post'!K32</f>
        <v>82.482758620689651</v>
      </c>
      <c r="I1117" s="12">
        <v>120066.8</v>
      </c>
      <c r="J1117" s="27">
        <v>77</v>
      </c>
      <c r="K1117" s="2">
        <v>340774</v>
      </c>
      <c r="L1117" s="41">
        <v>1925</v>
      </c>
      <c r="N1117" s="27" t="s">
        <v>464</v>
      </c>
      <c r="O1117" s="27" t="s">
        <v>465</v>
      </c>
      <c r="P1117" s="27" t="s">
        <v>466</v>
      </c>
      <c r="Q1117" s="27" t="s">
        <v>464</v>
      </c>
      <c r="R1117" s="27" t="s">
        <v>466</v>
      </c>
      <c r="S1117" s="10" t="s">
        <v>467</v>
      </c>
      <c r="T1117" s="10" t="str">
        <f t="shared" si="79"/>
        <v>https://babel.hathitrust.org/cgi/pt?id=uc1.b2981990;view=1up;seq=136</v>
      </c>
      <c r="U1117" s="10" t="str">
        <f t="shared" si="80"/>
        <v>https://babel.hathitrust.org/cgi/pt?id=uc1.b2981990;view=1up;seq=136</v>
      </c>
    </row>
    <row r="1118" spans="1:21" x14ac:dyDescent="0.25">
      <c r="A1118" s="27" t="s">
        <v>1640</v>
      </c>
      <c r="B1118" s="27" t="str">
        <f t="shared" si="77"/>
        <v>Virginia</v>
      </c>
      <c r="C1118" s="27" t="str">
        <f t="shared" si="78"/>
        <v>Dinwiddie</v>
      </c>
      <c r="D1118" s="2">
        <v>3038</v>
      </c>
      <c r="E1118" s="27">
        <v>125</v>
      </c>
      <c r="F1118" s="2">
        <v>165</v>
      </c>
      <c r="G1118" s="2">
        <v>4237</v>
      </c>
      <c r="H1118" s="89">
        <f>'VA post'!K33</f>
        <v>76.727272727272734</v>
      </c>
      <c r="I1118" s="12">
        <v>183617.28</v>
      </c>
      <c r="J1118" s="27">
        <v>59</v>
      </c>
      <c r="K1118" s="2">
        <v>207725</v>
      </c>
      <c r="L1118" s="41">
        <v>1925</v>
      </c>
      <c r="N1118" s="27" t="s">
        <v>464</v>
      </c>
      <c r="O1118" s="27" t="s">
        <v>465</v>
      </c>
      <c r="P1118" s="27" t="s">
        <v>466</v>
      </c>
      <c r="Q1118" s="27" t="s">
        <v>464</v>
      </c>
      <c r="R1118" s="27" t="s">
        <v>466</v>
      </c>
      <c r="S1118" s="10" t="s">
        <v>467</v>
      </c>
      <c r="T1118" s="10" t="str">
        <f t="shared" si="79"/>
        <v>https://babel.hathitrust.org/cgi/pt?id=uc1.b2981990;view=1up;seq=136</v>
      </c>
      <c r="U1118" s="10" t="str">
        <f t="shared" si="80"/>
        <v>https://babel.hathitrust.org/cgi/pt?id=uc1.b2981990;view=1up;seq=136</v>
      </c>
    </row>
    <row r="1119" spans="1:21" x14ac:dyDescent="0.25">
      <c r="A1119" s="27" t="s">
        <v>1641</v>
      </c>
      <c r="B1119" s="27" t="str">
        <f t="shared" si="77"/>
        <v>Virginia</v>
      </c>
      <c r="C1119" s="27" t="str">
        <f t="shared" si="78"/>
        <v>Elizabeth City</v>
      </c>
      <c r="D1119" s="2">
        <v>3901</v>
      </c>
      <c r="E1119" s="27">
        <v>78</v>
      </c>
      <c r="F1119" s="2">
        <v>178</v>
      </c>
      <c r="G1119" s="2">
        <v>4713</v>
      </c>
      <c r="H1119" s="89">
        <f>'VA post'!K34</f>
        <v>83.370786516853926</v>
      </c>
      <c r="I1119" s="12">
        <v>153410.57999999999</v>
      </c>
      <c r="J1119" s="27">
        <v>14</v>
      </c>
      <c r="K1119" s="2">
        <v>478000</v>
      </c>
      <c r="L1119" s="41">
        <v>1925</v>
      </c>
      <c r="N1119" s="27" t="s">
        <v>464</v>
      </c>
      <c r="O1119" s="27" t="s">
        <v>465</v>
      </c>
      <c r="P1119" s="27" t="s">
        <v>466</v>
      </c>
      <c r="Q1119" s="27" t="s">
        <v>464</v>
      </c>
      <c r="R1119" s="27" t="s">
        <v>466</v>
      </c>
      <c r="S1119" s="10" t="s">
        <v>467</v>
      </c>
      <c r="T1119" s="10" t="str">
        <f t="shared" si="79"/>
        <v>https://babel.hathitrust.org/cgi/pt?id=uc1.b2981990;view=1up;seq=136</v>
      </c>
      <c r="U1119" s="10" t="str">
        <f t="shared" si="80"/>
        <v>https://babel.hathitrust.org/cgi/pt?id=uc1.b2981990;view=1up;seq=136</v>
      </c>
    </row>
    <row r="1120" spans="1:21" x14ac:dyDescent="0.25">
      <c r="A1120" s="27" t="s">
        <v>1642</v>
      </c>
      <c r="B1120" s="27" t="str">
        <f t="shared" si="77"/>
        <v>Virginia</v>
      </c>
      <c r="C1120" s="27" t="str">
        <f t="shared" si="78"/>
        <v>Essex</v>
      </c>
      <c r="D1120" s="2">
        <v>1401</v>
      </c>
      <c r="E1120" s="27">
        <v>66</v>
      </c>
      <c r="F1120" s="2">
        <v>151</v>
      </c>
      <c r="G1120" s="2">
        <v>1982</v>
      </c>
      <c r="H1120" s="89">
        <f>'VA post'!K35</f>
        <v>63.576158940397356</v>
      </c>
      <c r="I1120" s="12">
        <v>55071.81</v>
      </c>
      <c r="J1120" s="27">
        <v>29</v>
      </c>
      <c r="K1120" s="2">
        <v>85000</v>
      </c>
      <c r="L1120" s="41">
        <v>1925</v>
      </c>
      <c r="N1120" s="27" t="s">
        <v>464</v>
      </c>
      <c r="O1120" s="27" t="s">
        <v>465</v>
      </c>
      <c r="P1120" s="27" t="s">
        <v>466</v>
      </c>
      <c r="Q1120" s="27" t="s">
        <v>464</v>
      </c>
      <c r="R1120" s="27" t="s">
        <v>466</v>
      </c>
      <c r="S1120" s="10" t="s">
        <v>467</v>
      </c>
      <c r="T1120" s="10" t="str">
        <f t="shared" si="79"/>
        <v>https://babel.hathitrust.org/cgi/pt?id=uc1.b2981990;view=1up;seq=136</v>
      </c>
      <c r="U1120" s="10" t="str">
        <f t="shared" si="80"/>
        <v>https://babel.hathitrust.org/cgi/pt?id=uc1.b2981990;view=1up;seq=136</v>
      </c>
    </row>
    <row r="1121" spans="1:21" x14ac:dyDescent="0.25">
      <c r="A1121" s="27" t="s">
        <v>1643</v>
      </c>
      <c r="B1121" s="27" t="str">
        <f t="shared" si="77"/>
        <v>Virginia</v>
      </c>
      <c r="C1121" s="27" t="str">
        <f t="shared" si="78"/>
        <v>Fairfax</v>
      </c>
      <c r="D1121" s="2">
        <v>3515</v>
      </c>
      <c r="E1121" s="27">
        <v>167</v>
      </c>
      <c r="F1121" s="2">
        <v>176</v>
      </c>
      <c r="G1121" s="2">
        <v>4803</v>
      </c>
      <c r="H1121" s="89">
        <f>'VA post'!K36</f>
        <v>83.86363636363636</v>
      </c>
      <c r="I1121" s="12">
        <v>244521.45</v>
      </c>
      <c r="J1121" s="27">
        <v>81</v>
      </c>
      <c r="K1121" s="2">
        <v>442150</v>
      </c>
      <c r="L1121" s="41">
        <v>1925</v>
      </c>
      <c r="N1121" s="27" t="s">
        <v>464</v>
      </c>
      <c r="O1121" s="27" t="s">
        <v>465</v>
      </c>
      <c r="P1121" s="27" t="s">
        <v>466</v>
      </c>
      <c r="Q1121" s="27" t="s">
        <v>464</v>
      </c>
      <c r="R1121" s="27" t="s">
        <v>466</v>
      </c>
      <c r="S1121" s="10" t="s">
        <v>467</v>
      </c>
      <c r="T1121" s="10" t="str">
        <f t="shared" si="79"/>
        <v>https://babel.hathitrust.org/cgi/pt?id=uc1.b2981990;view=1up;seq=136</v>
      </c>
      <c r="U1121" s="10" t="str">
        <f t="shared" si="80"/>
        <v>https://babel.hathitrust.org/cgi/pt?id=uc1.b2981990;view=1up;seq=136</v>
      </c>
    </row>
    <row r="1122" spans="1:21" x14ac:dyDescent="0.25">
      <c r="A1122" s="27" t="s">
        <v>1644</v>
      </c>
      <c r="B1122" s="27" t="str">
        <f t="shared" si="77"/>
        <v>Virginia</v>
      </c>
      <c r="C1122" s="27" t="str">
        <f t="shared" si="78"/>
        <v>Fauquier</v>
      </c>
      <c r="D1122" s="2">
        <v>3580</v>
      </c>
      <c r="E1122" s="27">
        <v>172</v>
      </c>
      <c r="F1122" s="2">
        <v>161.5</v>
      </c>
      <c r="G1122" s="2">
        <v>4668</v>
      </c>
      <c r="H1122" s="89">
        <f>'VA post'!K37</f>
        <v>86.934984520123848</v>
      </c>
      <c r="I1122" s="12">
        <v>242632.84</v>
      </c>
      <c r="J1122" s="27">
        <v>83</v>
      </c>
      <c r="K1122" s="2">
        <v>436100</v>
      </c>
      <c r="L1122" s="41">
        <v>1925</v>
      </c>
      <c r="N1122" s="27" t="s">
        <v>464</v>
      </c>
      <c r="O1122" s="27" t="s">
        <v>465</v>
      </c>
      <c r="P1122" s="27" t="s">
        <v>466</v>
      </c>
      <c r="Q1122" s="27" t="s">
        <v>464</v>
      </c>
      <c r="R1122" s="27" t="s">
        <v>466</v>
      </c>
      <c r="S1122" s="10" t="s">
        <v>467</v>
      </c>
      <c r="T1122" s="10" t="str">
        <f t="shared" si="79"/>
        <v>https://babel.hathitrust.org/cgi/pt?id=uc1.b2981990;view=1up;seq=136</v>
      </c>
      <c r="U1122" s="10" t="str">
        <f t="shared" si="80"/>
        <v>https://babel.hathitrust.org/cgi/pt?id=uc1.b2981990;view=1up;seq=136</v>
      </c>
    </row>
    <row r="1123" spans="1:21" x14ac:dyDescent="0.25">
      <c r="A1123" s="27" t="s">
        <v>1645</v>
      </c>
      <c r="B1123" s="27" t="str">
        <f t="shared" si="77"/>
        <v>Virginia</v>
      </c>
      <c r="C1123" s="27" t="str">
        <f t="shared" si="78"/>
        <v>Floyd</v>
      </c>
      <c r="D1123" s="2">
        <v>3636</v>
      </c>
      <c r="E1123" s="27">
        <v>133</v>
      </c>
      <c r="F1123" s="2">
        <v>140</v>
      </c>
      <c r="G1123" s="2">
        <v>4489</v>
      </c>
      <c r="H1123" s="89">
        <f>'VA post'!K38</f>
        <v>60.142857142857146</v>
      </c>
      <c r="I1123" s="12">
        <v>76920.25</v>
      </c>
      <c r="J1123" s="27">
        <v>106</v>
      </c>
      <c r="K1123" s="2">
        <v>168020</v>
      </c>
      <c r="L1123" s="41">
        <v>1925</v>
      </c>
      <c r="N1123" s="27" t="s">
        <v>464</v>
      </c>
      <c r="O1123" s="27" t="s">
        <v>465</v>
      </c>
      <c r="P1123" s="27" t="s">
        <v>466</v>
      </c>
      <c r="Q1123" s="27" t="s">
        <v>464</v>
      </c>
      <c r="R1123" s="27" t="s">
        <v>466</v>
      </c>
      <c r="S1123" s="10" t="s">
        <v>467</v>
      </c>
      <c r="T1123" s="10" t="str">
        <f t="shared" si="79"/>
        <v>https://babel.hathitrust.org/cgi/pt?id=uc1.b2981990;view=1up;seq=136</v>
      </c>
      <c r="U1123" s="10" t="str">
        <f t="shared" si="80"/>
        <v>https://babel.hathitrust.org/cgi/pt?id=uc1.b2981990;view=1up;seq=136</v>
      </c>
    </row>
    <row r="1124" spans="1:21" x14ac:dyDescent="0.25">
      <c r="A1124" s="27" t="s">
        <v>1646</v>
      </c>
      <c r="B1124" s="27" t="str">
        <f t="shared" si="77"/>
        <v>Virginia</v>
      </c>
      <c r="C1124" s="27" t="str">
        <f t="shared" si="78"/>
        <v>Fluvanna</v>
      </c>
      <c r="D1124" s="2">
        <v>1251</v>
      </c>
      <c r="E1124" s="27">
        <v>73</v>
      </c>
      <c r="F1124" s="2">
        <v>152</v>
      </c>
      <c r="G1124" s="2">
        <v>1825</v>
      </c>
      <c r="H1124" s="89">
        <f>'VA post'!K39</f>
        <v>63.947368421052637</v>
      </c>
      <c r="I1124" s="12">
        <v>48472.53</v>
      </c>
      <c r="J1124" s="27">
        <v>46</v>
      </c>
      <c r="K1124" s="2">
        <v>71000</v>
      </c>
      <c r="L1124" s="41">
        <v>1925</v>
      </c>
      <c r="N1124" s="27" t="s">
        <v>464</v>
      </c>
      <c r="O1124" s="27" t="s">
        <v>465</v>
      </c>
      <c r="P1124" s="27" t="s">
        <v>466</v>
      </c>
      <c r="Q1124" s="27" t="s">
        <v>464</v>
      </c>
      <c r="R1124" s="27" t="s">
        <v>466</v>
      </c>
      <c r="S1124" s="10" t="s">
        <v>467</v>
      </c>
      <c r="T1124" s="10" t="str">
        <f t="shared" si="79"/>
        <v>https://babel.hathitrust.org/cgi/pt?id=uc1.b2981990;view=1up;seq=136</v>
      </c>
      <c r="U1124" s="10" t="str">
        <f t="shared" si="80"/>
        <v>https://babel.hathitrust.org/cgi/pt?id=uc1.b2981990;view=1up;seq=136</v>
      </c>
    </row>
    <row r="1125" spans="1:21" x14ac:dyDescent="0.25">
      <c r="A1125" s="27" t="s">
        <v>1647</v>
      </c>
      <c r="B1125" s="27" t="str">
        <f t="shared" si="77"/>
        <v>Virginia</v>
      </c>
      <c r="C1125" s="27" t="str">
        <f t="shared" si="78"/>
        <v>Franklin</v>
      </c>
      <c r="D1125" s="2">
        <v>4893</v>
      </c>
      <c r="E1125" s="27">
        <v>230</v>
      </c>
      <c r="F1125" s="2">
        <v>142</v>
      </c>
      <c r="G1125" s="2">
        <v>7069</v>
      </c>
      <c r="H1125" s="89">
        <f>'VA post'!K40</f>
        <v>60.845070422535215</v>
      </c>
      <c r="I1125" s="12">
        <v>160048.87</v>
      </c>
      <c r="J1125" s="27">
        <v>178</v>
      </c>
      <c r="K1125" s="2">
        <v>219630</v>
      </c>
      <c r="L1125" s="41">
        <v>1925</v>
      </c>
      <c r="N1125" s="27" t="s">
        <v>464</v>
      </c>
      <c r="O1125" s="27" t="s">
        <v>465</v>
      </c>
      <c r="P1125" s="27" t="s">
        <v>466</v>
      </c>
      <c r="Q1125" s="27" t="s">
        <v>464</v>
      </c>
      <c r="R1125" s="27" t="s">
        <v>466</v>
      </c>
      <c r="S1125" s="10" t="s">
        <v>467</v>
      </c>
      <c r="T1125" s="10" t="str">
        <f t="shared" si="79"/>
        <v>https://babel.hathitrust.org/cgi/pt?id=uc1.b2981990;view=1up;seq=136</v>
      </c>
      <c r="U1125" s="10" t="str">
        <f t="shared" si="80"/>
        <v>https://babel.hathitrust.org/cgi/pt?id=uc1.b2981990;view=1up;seq=136</v>
      </c>
    </row>
    <row r="1126" spans="1:21" x14ac:dyDescent="0.25">
      <c r="A1126" s="27" t="s">
        <v>1648</v>
      </c>
      <c r="B1126" s="27" t="str">
        <f t="shared" si="77"/>
        <v>Virginia</v>
      </c>
      <c r="C1126" s="27" t="str">
        <f t="shared" si="78"/>
        <v>Frederick</v>
      </c>
      <c r="D1126" s="2">
        <v>1744</v>
      </c>
      <c r="E1126" s="27">
        <v>95</v>
      </c>
      <c r="F1126" s="2">
        <v>140</v>
      </c>
      <c r="G1126" s="2">
        <v>2574</v>
      </c>
      <c r="H1126" s="89">
        <f>'VA post'!K41</f>
        <v>62.714285714285715</v>
      </c>
      <c r="I1126" s="12">
        <v>88363.46</v>
      </c>
      <c r="J1126" s="27">
        <v>50</v>
      </c>
      <c r="K1126" s="2">
        <v>212400</v>
      </c>
      <c r="L1126" s="41">
        <v>1925</v>
      </c>
      <c r="N1126" s="27" t="s">
        <v>464</v>
      </c>
      <c r="O1126" s="27" t="s">
        <v>465</v>
      </c>
      <c r="P1126" s="27" t="s">
        <v>466</v>
      </c>
      <c r="Q1126" s="27" t="s">
        <v>464</v>
      </c>
      <c r="R1126" s="27" t="s">
        <v>466</v>
      </c>
      <c r="S1126" s="10" t="s">
        <v>467</v>
      </c>
      <c r="T1126" s="10" t="str">
        <f t="shared" si="79"/>
        <v>https://babel.hathitrust.org/cgi/pt?id=uc1.b2981990;view=1up;seq=136</v>
      </c>
      <c r="U1126" s="10" t="str">
        <f t="shared" si="80"/>
        <v>https://babel.hathitrust.org/cgi/pt?id=uc1.b2981990;view=1up;seq=136</v>
      </c>
    </row>
    <row r="1127" spans="1:21" s="98" customFormat="1" x14ac:dyDescent="0.25">
      <c r="A1127" s="98" t="s">
        <v>1727</v>
      </c>
      <c r="B1127" s="98" t="str">
        <f t="shared" si="77"/>
        <v>Virginia</v>
      </c>
      <c r="C1127" s="98" t="str">
        <f t="shared" si="78"/>
        <v>Fredericksburg</v>
      </c>
      <c r="D1127" s="99">
        <v>1061</v>
      </c>
      <c r="E1127" s="98">
        <v>35</v>
      </c>
      <c r="F1127" s="99">
        <v>180</v>
      </c>
      <c r="G1127" s="99">
        <v>1273</v>
      </c>
      <c r="H1127" s="89">
        <f>'VA post'!K42</f>
        <v>103.77777777777777</v>
      </c>
      <c r="I1127" s="105">
        <v>53155.34</v>
      </c>
      <c r="J1127" s="98">
        <v>3</v>
      </c>
      <c r="K1127" s="99">
        <v>215000</v>
      </c>
      <c r="L1127" s="101">
        <v>1925</v>
      </c>
      <c r="N1127" s="98" t="s">
        <v>464</v>
      </c>
      <c r="O1127" s="98" t="s">
        <v>465</v>
      </c>
      <c r="P1127" s="98" t="s">
        <v>466</v>
      </c>
      <c r="Q1127" s="98" t="s">
        <v>464</v>
      </c>
      <c r="R1127" s="98" t="s">
        <v>466</v>
      </c>
      <c r="S1127" s="104" t="s">
        <v>467</v>
      </c>
      <c r="T1127" s="10" t="str">
        <f t="shared" si="79"/>
        <v>https://babel.hathitrust.org/cgi/pt?id=uc1.b2981990;view=1up;seq=136</v>
      </c>
      <c r="U1127" s="10" t="str">
        <f t="shared" si="80"/>
        <v>https://babel.hathitrust.org/cgi/pt?id=uc1.b2981990;view=1up;seq=136</v>
      </c>
    </row>
    <row r="1128" spans="1:21" x14ac:dyDescent="0.25">
      <c r="A1128" s="27" t="s">
        <v>1649</v>
      </c>
      <c r="B1128" s="27" t="str">
        <f t="shared" si="77"/>
        <v>Virginia</v>
      </c>
      <c r="C1128" s="27" t="str">
        <f t="shared" si="78"/>
        <v>Giles</v>
      </c>
      <c r="D1128" s="2">
        <v>2601</v>
      </c>
      <c r="E1128" s="27">
        <v>117</v>
      </c>
      <c r="F1128" s="2">
        <v>158</v>
      </c>
      <c r="G1128" s="2">
        <v>3353</v>
      </c>
      <c r="H1128" s="89">
        <f>'VA post'!K43</f>
        <v>84.556962025316452</v>
      </c>
      <c r="I1128" s="12">
        <v>171036.9</v>
      </c>
      <c r="J1128" s="27">
        <v>59</v>
      </c>
      <c r="K1128" s="2">
        <v>183500</v>
      </c>
      <c r="L1128" s="41">
        <v>1925</v>
      </c>
      <c r="N1128" s="27" t="s">
        <v>464</v>
      </c>
      <c r="O1128" s="27" t="s">
        <v>465</v>
      </c>
      <c r="P1128" s="27" t="s">
        <v>466</v>
      </c>
      <c r="Q1128" s="27" t="s">
        <v>464</v>
      </c>
      <c r="R1128" s="27" t="s">
        <v>466</v>
      </c>
      <c r="S1128" s="10" t="s">
        <v>467</v>
      </c>
      <c r="T1128" s="10" t="str">
        <f t="shared" si="79"/>
        <v>https://babel.hathitrust.org/cgi/pt?id=uc1.b2981990;view=1up;seq=136</v>
      </c>
      <c r="U1128" s="10" t="str">
        <f t="shared" si="80"/>
        <v>https://babel.hathitrust.org/cgi/pt?id=uc1.b2981990;view=1up;seq=136</v>
      </c>
    </row>
    <row r="1129" spans="1:21" x14ac:dyDescent="0.25">
      <c r="A1129" s="27" t="s">
        <v>1650</v>
      </c>
      <c r="B1129" s="27" t="str">
        <f t="shared" si="77"/>
        <v>Virginia</v>
      </c>
      <c r="C1129" s="27" t="str">
        <f t="shared" si="78"/>
        <v>Gloucester</v>
      </c>
      <c r="D1129" s="2">
        <v>2121</v>
      </c>
      <c r="E1129" s="27">
        <v>93</v>
      </c>
      <c r="F1129" s="2">
        <v>156</v>
      </c>
      <c r="G1129" s="2">
        <v>2930</v>
      </c>
      <c r="H1129" s="89">
        <f>'VA post'!K44</f>
        <v>66.92307692307692</v>
      </c>
      <c r="I1129" s="12">
        <v>96175.51</v>
      </c>
      <c r="J1129" s="27">
        <v>28</v>
      </c>
      <c r="K1129" s="2">
        <v>183850</v>
      </c>
      <c r="L1129" s="41">
        <v>1925</v>
      </c>
      <c r="N1129" s="27" t="s">
        <v>464</v>
      </c>
      <c r="O1129" s="27" t="s">
        <v>465</v>
      </c>
      <c r="P1129" s="27" t="s">
        <v>466</v>
      </c>
      <c r="Q1129" s="27" t="s">
        <v>464</v>
      </c>
      <c r="R1129" s="27" t="s">
        <v>466</v>
      </c>
      <c r="S1129" s="10" t="s">
        <v>467</v>
      </c>
      <c r="T1129" s="10" t="str">
        <f t="shared" si="79"/>
        <v>https://babel.hathitrust.org/cgi/pt?id=uc1.b2981990;view=1up;seq=136</v>
      </c>
      <c r="U1129" s="10" t="str">
        <f t="shared" si="80"/>
        <v>https://babel.hathitrust.org/cgi/pt?id=uc1.b2981990;view=1up;seq=136</v>
      </c>
    </row>
    <row r="1130" spans="1:21" x14ac:dyDescent="0.25">
      <c r="A1130" s="27" t="s">
        <v>1651</v>
      </c>
      <c r="B1130" s="27" t="str">
        <f t="shared" si="77"/>
        <v>Virginia</v>
      </c>
      <c r="C1130" s="27" t="str">
        <f t="shared" si="78"/>
        <v>Goochland</v>
      </c>
      <c r="D1130" s="2">
        <v>1411</v>
      </c>
      <c r="E1130" s="27">
        <v>66</v>
      </c>
      <c r="F1130" s="2">
        <v>159</v>
      </c>
      <c r="G1130" s="2">
        <v>2115</v>
      </c>
      <c r="H1130" s="89">
        <f>'VA post'!K45</f>
        <v>73.459119496855351</v>
      </c>
      <c r="I1130" s="12">
        <v>70112.649999999994</v>
      </c>
      <c r="J1130" s="27">
        <v>38</v>
      </c>
      <c r="K1130" s="2">
        <v>88234</v>
      </c>
      <c r="L1130" s="41">
        <v>1925</v>
      </c>
      <c r="N1130" s="27" t="s">
        <v>464</v>
      </c>
      <c r="O1130" s="27" t="s">
        <v>465</v>
      </c>
      <c r="P1130" s="27" t="s">
        <v>466</v>
      </c>
      <c r="Q1130" s="27" t="s">
        <v>464</v>
      </c>
      <c r="R1130" s="27" t="s">
        <v>466</v>
      </c>
      <c r="S1130" s="10" t="s">
        <v>467</v>
      </c>
      <c r="T1130" s="10" t="str">
        <f t="shared" si="79"/>
        <v>https://babel.hathitrust.org/cgi/pt?id=uc1.b2981990;view=1up;seq=136</v>
      </c>
      <c r="U1130" s="10" t="str">
        <f t="shared" si="80"/>
        <v>https://babel.hathitrust.org/cgi/pt?id=uc1.b2981990;view=1up;seq=136</v>
      </c>
    </row>
    <row r="1131" spans="1:21" x14ac:dyDescent="0.25">
      <c r="A1131" s="27" t="s">
        <v>1652</v>
      </c>
      <c r="B1131" s="27" t="str">
        <f t="shared" si="77"/>
        <v>Virginia</v>
      </c>
      <c r="C1131" s="27" t="str">
        <f t="shared" si="78"/>
        <v>Grayson</v>
      </c>
      <c r="D1131" s="3">
        <v>3804</v>
      </c>
      <c r="E1131" s="27">
        <v>171</v>
      </c>
      <c r="F1131" s="2">
        <v>137</v>
      </c>
      <c r="G1131" s="2">
        <v>5476</v>
      </c>
      <c r="H1131" s="89">
        <f>'VA post'!K46</f>
        <v>75.912408759124091</v>
      </c>
      <c r="I1131" s="12">
        <v>168911.21</v>
      </c>
      <c r="J1131" s="27">
        <v>92</v>
      </c>
      <c r="K1131" s="2">
        <v>350000</v>
      </c>
      <c r="L1131" s="41">
        <v>1925</v>
      </c>
      <c r="N1131" s="27" t="s">
        <v>464</v>
      </c>
      <c r="O1131" s="27" t="s">
        <v>465</v>
      </c>
      <c r="P1131" s="27" t="s">
        <v>466</v>
      </c>
      <c r="Q1131" s="27" t="s">
        <v>464</v>
      </c>
      <c r="R1131" s="27" t="s">
        <v>466</v>
      </c>
      <c r="S1131" s="10" t="s">
        <v>467</v>
      </c>
      <c r="T1131" s="10" t="str">
        <f t="shared" si="79"/>
        <v>https://babel.hathitrust.org/cgi/pt?id=uc1.b2981990;view=1up;seq=136</v>
      </c>
      <c r="U1131" s="10" t="str">
        <f t="shared" si="80"/>
        <v>https://babel.hathitrust.org/cgi/pt?id=uc1.b2981990;view=1up;seq=136</v>
      </c>
    </row>
    <row r="1132" spans="1:21" x14ac:dyDescent="0.25">
      <c r="A1132" s="27" t="s">
        <v>1653</v>
      </c>
      <c r="B1132" s="27" t="str">
        <f t="shared" si="77"/>
        <v>Virginia</v>
      </c>
      <c r="C1132" s="27" t="str">
        <f t="shared" si="78"/>
        <v>Greene</v>
      </c>
      <c r="D1132" s="3">
        <v>891</v>
      </c>
      <c r="E1132" s="27">
        <v>45</v>
      </c>
      <c r="F1132" s="2">
        <v>129</v>
      </c>
      <c r="G1132" s="2">
        <v>1317</v>
      </c>
      <c r="H1132" s="89">
        <f>'VA post'!K47</f>
        <v>60.775193798449614</v>
      </c>
      <c r="I1132" s="12">
        <v>32087.72</v>
      </c>
      <c r="J1132" s="27">
        <v>32</v>
      </c>
      <c r="K1132" s="2">
        <v>52800</v>
      </c>
      <c r="L1132" s="41">
        <v>1925</v>
      </c>
      <c r="N1132" s="27" t="s">
        <v>464</v>
      </c>
      <c r="O1132" s="27" t="s">
        <v>465</v>
      </c>
      <c r="P1132" s="27" t="s">
        <v>466</v>
      </c>
      <c r="Q1132" s="27" t="s">
        <v>464</v>
      </c>
      <c r="R1132" s="27" t="s">
        <v>466</v>
      </c>
      <c r="S1132" s="10" t="s">
        <v>467</v>
      </c>
      <c r="T1132" s="10" t="str">
        <f t="shared" si="79"/>
        <v>https://babel.hathitrust.org/cgi/pt?id=uc1.b2981990;view=1up;seq=136</v>
      </c>
      <c r="U1132" s="10" t="str">
        <f t="shared" si="80"/>
        <v>https://babel.hathitrust.org/cgi/pt?id=uc1.b2981990;view=1up;seq=136</v>
      </c>
    </row>
    <row r="1133" spans="1:21" x14ac:dyDescent="0.25">
      <c r="A1133" s="27" t="s">
        <v>1654</v>
      </c>
      <c r="B1133" s="27" t="str">
        <f t="shared" si="77"/>
        <v>Virginia</v>
      </c>
      <c r="C1133" s="27" t="str">
        <f t="shared" si="78"/>
        <v>Greensville</v>
      </c>
      <c r="D1133" s="3">
        <v>1981</v>
      </c>
      <c r="E1133" s="10">
        <v>82</v>
      </c>
      <c r="F1133" s="2">
        <v>162</v>
      </c>
      <c r="G1133" s="2">
        <v>3284</v>
      </c>
      <c r="H1133" s="89">
        <f>'VA post'!K48</f>
        <v>81.851851851851862</v>
      </c>
      <c r="I1133" s="12">
        <v>101120.99</v>
      </c>
      <c r="J1133" s="27">
        <v>36</v>
      </c>
      <c r="K1133" s="2">
        <v>210848</v>
      </c>
      <c r="L1133" s="41">
        <v>1925</v>
      </c>
      <c r="N1133" s="27" t="s">
        <v>464</v>
      </c>
      <c r="O1133" s="27" t="s">
        <v>465</v>
      </c>
      <c r="P1133" s="27" t="s">
        <v>466</v>
      </c>
      <c r="Q1133" s="27" t="s">
        <v>464</v>
      </c>
      <c r="R1133" s="27" t="s">
        <v>466</v>
      </c>
      <c r="S1133" s="10" t="s">
        <v>467</v>
      </c>
      <c r="T1133" s="10" t="str">
        <f t="shared" si="79"/>
        <v>https://babel.hathitrust.org/cgi/pt?id=uc1.b2981990;view=1up;seq=136</v>
      </c>
      <c r="U1133" s="10" t="str">
        <f t="shared" si="80"/>
        <v>https://babel.hathitrust.org/cgi/pt?id=uc1.b2981990;view=1up;seq=136</v>
      </c>
    </row>
    <row r="1134" spans="1:21" x14ac:dyDescent="0.25">
      <c r="A1134" s="27" t="s">
        <v>1655</v>
      </c>
      <c r="B1134" s="27" t="str">
        <f t="shared" si="77"/>
        <v>Virginia</v>
      </c>
      <c r="C1134" s="27" t="str">
        <f t="shared" si="78"/>
        <v>Halifax</v>
      </c>
      <c r="D1134" s="10">
        <v>8290</v>
      </c>
      <c r="E1134" s="10">
        <v>335</v>
      </c>
      <c r="F1134" s="2">
        <v>149</v>
      </c>
      <c r="G1134" s="2">
        <v>11472</v>
      </c>
      <c r="H1134" s="89">
        <f>'VA post'!K49</f>
        <v>70.201342281879192</v>
      </c>
      <c r="I1134" s="12">
        <v>260239.87</v>
      </c>
      <c r="J1134" s="27">
        <v>152</v>
      </c>
      <c r="K1134" s="2">
        <v>451000</v>
      </c>
      <c r="L1134" s="41">
        <v>1925</v>
      </c>
      <c r="N1134" s="27" t="s">
        <v>464</v>
      </c>
      <c r="O1134" s="27" t="s">
        <v>465</v>
      </c>
      <c r="P1134" s="27" t="s">
        <v>466</v>
      </c>
      <c r="Q1134" s="27" t="s">
        <v>464</v>
      </c>
      <c r="R1134" s="27" t="s">
        <v>466</v>
      </c>
      <c r="S1134" s="10" t="s">
        <v>467</v>
      </c>
      <c r="T1134" s="10" t="str">
        <f t="shared" si="79"/>
        <v>https://babel.hathitrust.org/cgi/pt?id=uc1.b2981990;view=1up;seq=136</v>
      </c>
      <c r="U1134" s="10" t="str">
        <f t="shared" si="80"/>
        <v>https://babel.hathitrust.org/cgi/pt?id=uc1.b2981990;view=1up;seq=136</v>
      </c>
    </row>
    <row r="1135" spans="1:21" x14ac:dyDescent="0.25">
      <c r="A1135" s="27" t="s">
        <v>1656</v>
      </c>
      <c r="B1135" s="27" t="str">
        <f t="shared" si="77"/>
        <v>Virginia</v>
      </c>
      <c r="C1135" s="27" t="str">
        <f t="shared" si="78"/>
        <v>Hanover</v>
      </c>
      <c r="D1135" s="3">
        <v>3194</v>
      </c>
      <c r="E1135" s="10">
        <v>124</v>
      </c>
      <c r="F1135" s="2">
        <v>145</v>
      </c>
      <c r="G1135" s="2">
        <v>4322</v>
      </c>
      <c r="H1135" s="89">
        <f>'VA post'!K50</f>
        <v>75.862068965517238</v>
      </c>
      <c r="I1135" s="12">
        <v>164986.32999999999</v>
      </c>
      <c r="J1135" s="27">
        <v>65</v>
      </c>
      <c r="K1135" s="2">
        <v>259925</v>
      </c>
      <c r="L1135" s="41">
        <v>1925</v>
      </c>
      <c r="N1135" s="27" t="s">
        <v>464</v>
      </c>
      <c r="O1135" s="27" t="s">
        <v>465</v>
      </c>
      <c r="P1135" s="27" t="s">
        <v>466</v>
      </c>
      <c r="Q1135" s="27" t="s">
        <v>464</v>
      </c>
      <c r="R1135" s="27" t="s">
        <v>466</v>
      </c>
      <c r="S1135" s="10" t="s">
        <v>467</v>
      </c>
      <c r="T1135" s="10" t="str">
        <f t="shared" si="79"/>
        <v>https://babel.hathitrust.org/cgi/pt?id=uc1.b2981990;view=1up;seq=136</v>
      </c>
      <c r="U1135" s="10" t="str">
        <f t="shared" si="80"/>
        <v>https://babel.hathitrust.org/cgi/pt?id=uc1.b2981990;view=1up;seq=136</v>
      </c>
    </row>
    <row r="1136" spans="1:21" x14ac:dyDescent="0.25">
      <c r="A1136" s="27" t="s">
        <v>1657</v>
      </c>
      <c r="B1136" s="27" t="str">
        <f t="shared" si="77"/>
        <v>Virginia</v>
      </c>
      <c r="C1136" s="27" t="str">
        <f t="shared" si="78"/>
        <v>Henrico</v>
      </c>
      <c r="D1136" s="3">
        <v>3728</v>
      </c>
      <c r="E1136" s="10">
        <v>152</v>
      </c>
      <c r="F1136" s="2">
        <v>183</v>
      </c>
      <c r="G1136" s="2">
        <v>4666</v>
      </c>
      <c r="H1136" s="89">
        <f>'VA post'!K51</f>
        <v>84.480874316939889</v>
      </c>
      <c r="I1136" s="12">
        <v>606431.09</v>
      </c>
      <c r="J1136" s="27">
        <v>38</v>
      </c>
      <c r="K1136" s="2">
        <v>357200</v>
      </c>
      <c r="L1136" s="41">
        <v>1925</v>
      </c>
      <c r="N1136" s="27" t="s">
        <v>464</v>
      </c>
      <c r="O1136" s="27" t="s">
        <v>465</v>
      </c>
      <c r="P1136" s="27" t="s">
        <v>466</v>
      </c>
      <c r="Q1136" s="27" t="s">
        <v>464</v>
      </c>
      <c r="R1136" s="27" t="s">
        <v>466</v>
      </c>
      <c r="S1136" s="10" t="s">
        <v>467</v>
      </c>
      <c r="T1136" s="10" t="str">
        <f t="shared" si="79"/>
        <v>https://babel.hathitrust.org/cgi/pt?id=uc1.b2981990;view=1up;seq=136</v>
      </c>
      <c r="U1136" s="10" t="str">
        <f t="shared" si="80"/>
        <v>https://babel.hathitrust.org/cgi/pt?id=uc1.b2981990;view=1up;seq=136</v>
      </c>
    </row>
    <row r="1137" spans="1:21" x14ac:dyDescent="0.25">
      <c r="A1137" s="27" t="s">
        <v>1658</v>
      </c>
      <c r="B1137" s="27" t="str">
        <f t="shared" si="77"/>
        <v>Virginia</v>
      </c>
      <c r="C1137" s="27" t="str">
        <f t="shared" si="78"/>
        <v>Henry</v>
      </c>
      <c r="D1137" s="3">
        <v>3664</v>
      </c>
      <c r="E1137" s="10">
        <v>169</v>
      </c>
      <c r="F1137" s="2">
        <v>136</v>
      </c>
      <c r="G1137" s="2">
        <v>6001</v>
      </c>
      <c r="H1137" s="89">
        <f>'VA post'!K52</f>
        <v>74.264705882352942</v>
      </c>
      <c r="I1137" s="12">
        <v>142936.98000000001</v>
      </c>
      <c r="J1137" s="27">
        <v>92</v>
      </c>
      <c r="K1137" s="2">
        <v>324000</v>
      </c>
      <c r="L1137" s="41">
        <v>1925</v>
      </c>
      <c r="N1137" s="27" t="s">
        <v>464</v>
      </c>
      <c r="O1137" s="27" t="s">
        <v>465</v>
      </c>
      <c r="P1137" s="27" t="s">
        <v>466</v>
      </c>
      <c r="Q1137" s="27" t="s">
        <v>464</v>
      </c>
      <c r="R1137" s="27" t="s">
        <v>466</v>
      </c>
      <c r="S1137" s="10" t="s">
        <v>467</v>
      </c>
      <c r="T1137" s="10" t="str">
        <f t="shared" si="79"/>
        <v>https://babel.hathitrust.org/cgi/pt?id=uc1.b2981990;view=1up;seq=136</v>
      </c>
      <c r="U1137" s="10" t="str">
        <f t="shared" si="80"/>
        <v>https://babel.hathitrust.org/cgi/pt?id=uc1.b2981990;view=1up;seq=136</v>
      </c>
    </row>
    <row r="1138" spans="1:21" x14ac:dyDescent="0.25">
      <c r="A1138" s="27" t="s">
        <v>1659</v>
      </c>
      <c r="B1138" s="27" t="str">
        <f t="shared" si="77"/>
        <v>Virginia</v>
      </c>
      <c r="C1138" s="27" t="str">
        <f t="shared" si="78"/>
        <v>Highland</v>
      </c>
      <c r="D1138" s="3">
        <v>899</v>
      </c>
      <c r="E1138" s="10">
        <v>55</v>
      </c>
      <c r="F1138" s="2">
        <v>158</v>
      </c>
      <c r="G1138" s="2">
        <v>1163</v>
      </c>
      <c r="H1138" s="89">
        <f>'VA post'!K53</f>
        <v>70.886075949367083</v>
      </c>
      <c r="I1138" s="12">
        <v>52936.85</v>
      </c>
      <c r="J1138" s="27">
        <v>41</v>
      </c>
      <c r="K1138" s="2">
        <v>100200</v>
      </c>
      <c r="L1138" s="41">
        <v>1925</v>
      </c>
      <c r="N1138" s="27" t="s">
        <v>464</v>
      </c>
      <c r="O1138" s="27" t="s">
        <v>465</v>
      </c>
      <c r="P1138" s="27" t="s">
        <v>466</v>
      </c>
      <c r="Q1138" s="27" t="s">
        <v>464</v>
      </c>
      <c r="R1138" s="27" t="s">
        <v>466</v>
      </c>
      <c r="S1138" s="10" t="s">
        <v>467</v>
      </c>
      <c r="T1138" s="10" t="str">
        <f t="shared" si="79"/>
        <v>https://babel.hathitrust.org/cgi/pt?id=uc1.b2981990;view=1up;seq=136</v>
      </c>
      <c r="U1138" s="10" t="str">
        <f t="shared" si="80"/>
        <v>https://babel.hathitrust.org/cgi/pt?id=uc1.b2981990;view=1up;seq=136</v>
      </c>
    </row>
    <row r="1139" spans="1:21" x14ac:dyDescent="0.25">
      <c r="A1139" s="27" t="s">
        <v>1768</v>
      </c>
      <c r="B1139" s="27" t="str">
        <f t="shared" si="77"/>
        <v>Virginia</v>
      </c>
      <c r="C1139" s="27" t="str">
        <f t="shared" si="78"/>
        <v>Isle Of Wight</v>
      </c>
      <c r="D1139" s="3">
        <v>2428</v>
      </c>
      <c r="E1139" s="10">
        <v>98</v>
      </c>
      <c r="F1139" s="2">
        <v>168</v>
      </c>
      <c r="G1139" s="2">
        <v>3682</v>
      </c>
      <c r="H1139" s="89">
        <f>'VA post'!K54</f>
        <v>84.047619047619051</v>
      </c>
      <c r="I1139" s="12">
        <v>171136.54</v>
      </c>
      <c r="J1139" s="27">
        <v>34</v>
      </c>
      <c r="K1139" s="2">
        <v>330000</v>
      </c>
      <c r="L1139" s="41">
        <v>1925</v>
      </c>
      <c r="N1139" s="27" t="s">
        <v>464</v>
      </c>
      <c r="O1139" s="27" t="s">
        <v>465</v>
      </c>
      <c r="P1139" s="27" t="s">
        <v>466</v>
      </c>
      <c r="Q1139" s="27" t="s">
        <v>464</v>
      </c>
      <c r="R1139" s="27" t="s">
        <v>466</v>
      </c>
      <c r="S1139" s="10" t="s">
        <v>467</v>
      </c>
      <c r="T1139" s="10" t="str">
        <f t="shared" si="79"/>
        <v>https://babel.hathitrust.org/cgi/pt?id=uc1.b2981990;view=1up;seq=136</v>
      </c>
      <c r="U1139" s="10" t="str">
        <f t="shared" si="80"/>
        <v>https://babel.hathitrust.org/cgi/pt?id=uc1.b2981990;view=1up;seq=136</v>
      </c>
    </row>
    <row r="1140" spans="1:21" x14ac:dyDescent="0.25">
      <c r="A1140" s="27" t="s">
        <v>1661</v>
      </c>
      <c r="B1140" s="27" t="str">
        <f t="shared" si="77"/>
        <v>Virginia</v>
      </c>
      <c r="C1140" s="27" t="str">
        <f t="shared" si="78"/>
        <v>James City</v>
      </c>
      <c r="D1140" s="3">
        <v>641</v>
      </c>
      <c r="E1140" s="10">
        <v>29</v>
      </c>
      <c r="F1140" s="2">
        <v>156</v>
      </c>
      <c r="G1140" s="2">
        <v>844</v>
      </c>
      <c r="H1140" s="89">
        <f>'VA post'!K55</f>
        <v>102.17948717948718</v>
      </c>
      <c r="I1140" s="12">
        <v>45215.64</v>
      </c>
      <c r="J1140" s="27">
        <v>9</v>
      </c>
      <c r="K1140" s="2">
        <v>58000</v>
      </c>
      <c r="L1140" s="41">
        <v>1925</v>
      </c>
      <c r="N1140" s="27" t="s">
        <v>464</v>
      </c>
      <c r="O1140" s="27" t="s">
        <v>465</v>
      </c>
      <c r="P1140" s="27" t="s">
        <v>466</v>
      </c>
      <c r="Q1140" s="27" t="s">
        <v>464</v>
      </c>
      <c r="R1140" s="27" t="s">
        <v>466</v>
      </c>
      <c r="S1140" s="10" t="s">
        <v>467</v>
      </c>
      <c r="T1140" s="10" t="str">
        <f t="shared" si="79"/>
        <v>https://babel.hathitrust.org/cgi/pt?id=uc1.b2981990;view=1up;seq=136</v>
      </c>
      <c r="U1140" s="10" t="str">
        <f t="shared" si="80"/>
        <v>https://babel.hathitrust.org/cgi/pt?id=uc1.b2981990;view=1up;seq=136</v>
      </c>
    </row>
    <row r="1141" spans="1:21" x14ac:dyDescent="0.25">
      <c r="A1141" s="27" t="s">
        <v>1663</v>
      </c>
      <c r="B1141" s="27" t="str">
        <f t="shared" si="77"/>
        <v>Virginia</v>
      </c>
      <c r="C1141" s="27" t="str">
        <f t="shared" si="78"/>
        <v>King George</v>
      </c>
      <c r="D1141" s="3">
        <v>1601</v>
      </c>
      <c r="E1141" s="10">
        <v>41</v>
      </c>
      <c r="F1141" s="2">
        <v>157</v>
      </c>
      <c r="G1141" s="2">
        <v>2193</v>
      </c>
      <c r="H1141" s="89">
        <f>'VA post'!K56</f>
        <v>61.656050955414017</v>
      </c>
      <c r="I1141" s="12">
        <v>30371.55</v>
      </c>
      <c r="J1141" s="27">
        <v>24</v>
      </c>
      <c r="K1141" s="2">
        <v>42457</v>
      </c>
      <c r="L1141" s="41">
        <v>1925</v>
      </c>
      <c r="N1141" s="27" t="s">
        <v>464</v>
      </c>
      <c r="O1141" s="27" t="s">
        <v>465</v>
      </c>
      <c r="P1141" s="27" t="s">
        <v>466</v>
      </c>
      <c r="Q1141" s="27" t="s">
        <v>464</v>
      </c>
      <c r="R1141" s="27" t="s">
        <v>466</v>
      </c>
      <c r="S1141" s="10" t="s">
        <v>467</v>
      </c>
      <c r="T1141" s="10" t="str">
        <f t="shared" si="79"/>
        <v>https://babel.hathitrust.org/cgi/pt?id=uc1.b2981990;view=1up;seq=136</v>
      </c>
      <c r="U1141" s="10" t="str">
        <f t="shared" si="80"/>
        <v>https://babel.hathitrust.org/cgi/pt?id=uc1.b2981990;view=1up;seq=136</v>
      </c>
    </row>
    <row r="1142" spans="1:21" x14ac:dyDescent="0.25">
      <c r="A1142" s="27" t="s">
        <v>1769</v>
      </c>
      <c r="B1142" s="27" t="str">
        <f t="shared" si="77"/>
        <v>Virginia</v>
      </c>
      <c r="C1142" s="27" t="str">
        <f t="shared" si="78"/>
        <v>King And Queen</v>
      </c>
      <c r="D1142" s="3">
        <v>616</v>
      </c>
      <c r="E1142" s="10">
        <v>79</v>
      </c>
      <c r="F1142" s="2">
        <v>149</v>
      </c>
      <c r="G1142" s="2">
        <v>935</v>
      </c>
      <c r="H1142" s="89">
        <f>'VA post'!K57</f>
        <v>65.503355704697981</v>
      </c>
      <c r="I1142" s="12">
        <v>52636.160000000003</v>
      </c>
      <c r="J1142" s="27">
        <v>39</v>
      </c>
      <c r="K1142" s="2">
        <v>85000</v>
      </c>
      <c r="L1142" s="41">
        <v>1925</v>
      </c>
      <c r="N1142" s="27" t="s">
        <v>464</v>
      </c>
      <c r="O1142" s="27" t="s">
        <v>465</v>
      </c>
      <c r="P1142" s="27" t="s">
        <v>466</v>
      </c>
      <c r="Q1142" s="27" t="s">
        <v>464</v>
      </c>
      <c r="R1142" s="27" t="s">
        <v>466</v>
      </c>
      <c r="S1142" s="10" t="s">
        <v>467</v>
      </c>
      <c r="T1142" s="10" t="str">
        <f t="shared" si="79"/>
        <v>https://babel.hathitrust.org/cgi/pt?id=uc1.b2981990;view=1up;seq=136</v>
      </c>
      <c r="U1142" s="10" t="str">
        <f t="shared" si="80"/>
        <v>https://babel.hathitrust.org/cgi/pt?id=uc1.b2981990;view=1up;seq=136</v>
      </c>
    </row>
    <row r="1143" spans="1:21" x14ac:dyDescent="0.25">
      <c r="A1143" s="27" t="s">
        <v>1664</v>
      </c>
      <c r="B1143" s="27" t="str">
        <f t="shared" si="77"/>
        <v>Virginia</v>
      </c>
      <c r="C1143" s="27" t="str">
        <f t="shared" si="78"/>
        <v>King William</v>
      </c>
      <c r="D1143" s="3">
        <v>1671</v>
      </c>
      <c r="E1143" s="10">
        <v>70</v>
      </c>
      <c r="F1143" s="2">
        <v>160</v>
      </c>
      <c r="G1143" s="2">
        <v>2002</v>
      </c>
      <c r="H1143" s="89">
        <f>'VA post'!K58</f>
        <v>73</v>
      </c>
      <c r="I1143" s="12">
        <v>128070.77</v>
      </c>
      <c r="J1143" s="27">
        <v>34</v>
      </c>
      <c r="K1143" s="2">
        <v>150000</v>
      </c>
      <c r="L1143" s="41">
        <v>1925</v>
      </c>
      <c r="N1143" s="27" t="s">
        <v>464</v>
      </c>
      <c r="O1143" s="27" t="s">
        <v>465</v>
      </c>
      <c r="P1143" s="27" t="s">
        <v>466</v>
      </c>
      <c r="Q1143" s="27" t="s">
        <v>464</v>
      </c>
      <c r="R1143" s="27" t="s">
        <v>466</v>
      </c>
      <c r="S1143" s="10" t="s">
        <v>467</v>
      </c>
      <c r="T1143" s="10" t="str">
        <f t="shared" si="79"/>
        <v>https://babel.hathitrust.org/cgi/pt?id=uc1.b2981990;view=1up;seq=136</v>
      </c>
      <c r="U1143" s="10" t="str">
        <f t="shared" si="80"/>
        <v>https://babel.hathitrust.org/cgi/pt?id=uc1.b2981990;view=1up;seq=136</v>
      </c>
    </row>
    <row r="1144" spans="1:21" x14ac:dyDescent="0.25">
      <c r="A1144" s="27" t="s">
        <v>1665</v>
      </c>
      <c r="B1144" s="27" t="str">
        <f t="shared" si="77"/>
        <v>Virginia</v>
      </c>
      <c r="C1144" s="27" t="str">
        <f t="shared" si="78"/>
        <v>Lancaster</v>
      </c>
      <c r="D1144" s="3">
        <v>1567</v>
      </c>
      <c r="E1144" s="10">
        <v>71</v>
      </c>
      <c r="F1144" s="2">
        <v>149</v>
      </c>
      <c r="G1144" s="2">
        <v>2164</v>
      </c>
      <c r="H1144" s="89">
        <f>'VA post'!K59</f>
        <v>74.899328859060404</v>
      </c>
      <c r="I1144" s="12">
        <v>60723.63</v>
      </c>
      <c r="J1144" s="27">
        <v>22</v>
      </c>
      <c r="K1144" s="2">
        <v>90000</v>
      </c>
      <c r="L1144" s="41">
        <v>1925</v>
      </c>
      <c r="N1144" s="27" t="s">
        <v>464</v>
      </c>
      <c r="O1144" s="27" t="s">
        <v>465</v>
      </c>
      <c r="P1144" s="27" t="s">
        <v>466</v>
      </c>
      <c r="Q1144" s="27" t="s">
        <v>464</v>
      </c>
      <c r="R1144" s="27" t="s">
        <v>466</v>
      </c>
      <c r="S1144" s="10" t="s">
        <v>467</v>
      </c>
      <c r="T1144" s="10" t="str">
        <f t="shared" si="79"/>
        <v>https://babel.hathitrust.org/cgi/pt?id=uc1.b2981990;view=1up;seq=136</v>
      </c>
      <c r="U1144" s="10" t="str">
        <f t="shared" si="80"/>
        <v>https://babel.hathitrust.org/cgi/pt?id=uc1.b2981990;view=1up;seq=136</v>
      </c>
    </row>
    <row r="1145" spans="1:21" x14ac:dyDescent="0.25">
      <c r="A1145" s="27" t="s">
        <v>1666</v>
      </c>
      <c r="B1145" s="27" t="str">
        <f t="shared" si="77"/>
        <v>Virginia</v>
      </c>
      <c r="C1145" s="27" t="str">
        <f t="shared" si="78"/>
        <v>Lee</v>
      </c>
      <c r="D1145" s="3">
        <v>4183</v>
      </c>
      <c r="E1145" s="10">
        <v>165</v>
      </c>
      <c r="F1145" s="2">
        <v>144.19999999999999</v>
      </c>
      <c r="G1145" s="2">
        <v>6911</v>
      </c>
      <c r="H1145" s="89">
        <f>'VA post'!K60</f>
        <v>77.531206657420256</v>
      </c>
      <c r="I1145" s="12">
        <v>165927.82</v>
      </c>
      <c r="J1145" s="27">
        <v>84</v>
      </c>
      <c r="K1145" s="2">
        <v>305600</v>
      </c>
      <c r="L1145" s="41">
        <v>1925</v>
      </c>
      <c r="N1145" s="27" t="s">
        <v>464</v>
      </c>
      <c r="O1145" s="27" t="s">
        <v>465</v>
      </c>
      <c r="P1145" s="27" t="s">
        <v>466</v>
      </c>
      <c r="Q1145" s="27" t="s">
        <v>464</v>
      </c>
      <c r="R1145" s="27" t="s">
        <v>466</v>
      </c>
      <c r="S1145" s="10" t="s">
        <v>467</v>
      </c>
      <c r="T1145" s="10" t="str">
        <f t="shared" si="79"/>
        <v>https://babel.hathitrust.org/cgi/pt?id=uc1.b2981990;view=1up;seq=136</v>
      </c>
      <c r="U1145" s="10" t="str">
        <f t="shared" si="80"/>
        <v>https://babel.hathitrust.org/cgi/pt?id=uc1.b2981990;view=1up;seq=136</v>
      </c>
    </row>
    <row r="1146" spans="1:21" x14ac:dyDescent="0.25">
      <c r="A1146" s="27" t="s">
        <v>1667</v>
      </c>
      <c r="B1146" s="27" t="str">
        <f t="shared" si="77"/>
        <v>Virginia</v>
      </c>
      <c r="C1146" s="27" t="str">
        <f t="shared" si="78"/>
        <v>Loudoun</v>
      </c>
      <c r="D1146" s="3">
        <v>3271</v>
      </c>
      <c r="E1146" s="10">
        <v>161</v>
      </c>
      <c r="F1146" s="2">
        <v>168</v>
      </c>
      <c r="G1146" s="2">
        <v>4781</v>
      </c>
      <c r="H1146" s="89">
        <f>'VA post'!K61</f>
        <v>88.69047619047619</v>
      </c>
      <c r="I1146" s="12">
        <v>280184.52</v>
      </c>
      <c r="J1146" s="27">
        <v>83</v>
      </c>
      <c r="K1146" s="2">
        <v>436500</v>
      </c>
      <c r="L1146" s="41">
        <v>1925</v>
      </c>
      <c r="N1146" s="27" t="s">
        <v>464</v>
      </c>
      <c r="O1146" s="27" t="s">
        <v>465</v>
      </c>
      <c r="P1146" s="27" t="s">
        <v>466</v>
      </c>
      <c r="Q1146" s="27" t="s">
        <v>464</v>
      </c>
      <c r="R1146" s="27" t="s">
        <v>466</v>
      </c>
      <c r="S1146" s="10" t="s">
        <v>467</v>
      </c>
      <c r="T1146" s="10" t="str">
        <f t="shared" si="79"/>
        <v>https://babel.hathitrust.org/cgi/pt?id=uc1.b2981990;view=1up;seq=136</v>
      </c>
      <c r="U1146" s="10" t="str">
        <f t="shared" si="80"/>
        <v>https://babel.hathitrust.org/cgi/pt?id=uc1.b2981990;view=1up;seq=136</v>
      </c>
    </row>
    <row r="1147" spans="1:21" x14ac:dyDescent="0.25">
      <c r="A1147" s="27" t="s">
        <v>1668</v>
      </c>
      <c r="B1147" s="27" t="str">
        <f t="shared" si="77"/>
        <v>Virginia</v>
      </c>
      <c r="C1147" s="27" t="str">
        <f t="shared" si="78"/>
        <v>Louisa</v>
      </c>
      <c r="D1147" s="3">
        <v>3056</v>
      </c>
      <c r="E1147" s="10">
        <v>145</v>
      </c>
      <c r="F1147" s="2">
        <v>146</v>
      </c>
      <c r="G1147" s="2">
        <v>4598</v>
      </c>
      <c r="H1147" s="89">
        <f>'VA post'!K62</f>
        <v>53.561643835616437</v>
      </c>
      <c r="I1147" s="12">
        <v>114193.54</v>
      </c>
      <c r="J1147" s="27">
        <v>108</v>
      </c>
      <c r="K1147" s="2">
        <v>100000</v>
      </c>
      <c r="L1147" s="41">
        <v>1925</v>
      </c>
      <c r="N1147" s="27" t="s">
        <v>464</v>
      </c>
      <c r="O1147" s="27" t="s">
        <v>465</v>
      </c>
      <c r="P1147" s="27" t="s">
        <v>466</v>
      </c>
      <c r="Q1147" s="27" t="s">
        <v>464</v>
      </c>
      <c r="R1147" s="27" t="s">
        <v>466</v>
      </c>
      <c r="S1147" s="10" t="s">
        <v>467</v>
      </c>
      <c r="T1147" s="10" t="str">
        <f t="shared" si="79"/>
        <v>https://babel.hathitrust.org/cgi/pt?id=uc1.b2981990;view=1up;seq=136</v>
      </c>
      <c r="U1147" s="10" t="str">
        <f t="shared" si="80"/>
        <v>https://babel.hathitrust.org/cgi/pt?id=uc1.b2981990;view=1up;seq=136</v>
      </c>
    </row>
    <row r="1148" spans="1:21" x14ac:dyDescent="0.25">
      <c r="A1148" s="27" t="s">
        <v>1669</v>
      </c>
      <c r="B1148" s="27" t="str">
        <f t="shared" si="77"/>
        <v>Virginia</v>
      </c>
      <c r="C1148" s="27" t="str">
        <f t="shared" si="78"/>
        <v>Lunenburg</v>
      </c>
      <c r="D1148" s="3">
        <v>2545</v>
      </c>
      <c r="E1148" s="10">
        <v>122</v>
      </c>
      <c r="F1148" s="2">
        <v>156.22</v>
      </c>
      <c r="G1148" s="2">
        <v>3908</v>
      </c>
      <c r="H1148" s="89">
        <f>'VA post'!K63</f>
        <v>79.631289207527843</v>
      </c>
      <c r="I1148" s="12">
        <v>131467.54</v>
      </c>
      <c r="J1148" s="27">
        <v>54</v>
      </c>
      <c r="K1148" s="2">
        <v>190000</v>
      </c>
      <c r="L1148" s="41">
        <v>1925</v>
      </c>
      <c r="N1148" s="27" t="s">
        <v>464</v>
      </c>
      <c r="O1148" s="27" t="s">
        <v>465</v>
      </c>
      <c r="P1148" s="27" t="s">
        <v>466</v>
      </c>
      <c r="Q1148" s="27" t="s">
        <v>464</v>
      </c>
      <c r="R1148" s="27" t="s">
        <v>466</v>
      </c>
      <c r="S1148" s="10" t="s">
        <v>467</v>
      </c>
      <c r="T1148" s="10" t="str">
        <f t="shared" si="79"/>
        <v>https://babel.hathitrust.org/cgi/pt?id=uc1.b2981990;view=1up;seq=136</v>
      </c>
      <c r="U1148" s="10" t="str">
        <f t="shared" si="80"/>
        <v>https://babel.hathitrust.org/cgi/pt?id=uc1.b2981990;view=1up;seq=136</v>
      </c>
    </row>
    <row r="1149" spans="1:21" s="98" customFormat="1" x14ac:dyDescent="0.25">
      <c r="A1149" s="98" t="s">
        <v>1731</v>
      </c>
      <c r="B1149" s="98" t="str">
        <f t="shared" si="77"/>
        <v>Virginia</v>
      </c>
      <c r="C1149" s="98" t="str">
        <f t="shared" si="78"/>
        <v>Lynchburg</v>
      </c>
      <c r="D1149" s="103">
        <v>5501</v>
      </c>
      <c r="E1149" s="104">
        <v>188</v>
      </c>
      <c r="F1149" s="99">
        <v>185</v>
      </c>
      <c r="G1149" s="99">
        <v>6813</v>
      </c>
      <c r="H1149" s="89">
        <f>'VA post'!K64</f>
        <v>147.35135135135135</v>
      </c>
      <c r="I1149" s="105">
        <v>326387.34000000003</v>
      </c>
      <c r="J1149" s="98">
        <v>18</v>
      </c>
      <c r="K1149" s="99">
        <v>867100</v>
      </c>
      <c r="L1149" s="101">
        <v>1925</v>
      </c>
      <c r="N1149" s="98" t="s">
        <v>464</v>
      </c>
      <c r="O1149" s="98" t="s">
        <v>465</v>
      </c>
      <c r="P1149" s="98" t="s">
        <v>466</v>
      </c>
      <c r="Q1149" s="98" t="s">
        <v>464</v>
      </c>
      <c r="R1149" s="98" t="s">
        <v>466</v>
      </c>
      <c r="S1149" s="104" t="s">
        <v>467</v>
      </c>
      <c r="T1149" s="10" t="str">
        <f t="shared" si="79"/>
        <v>https://babel.hathitrust.org/cgi/pt?id=uc1.b2981990;view=1up;seq=136</v>
      </c>
      <c r="U1149" s="10" t="str">
        <f t="shared" si="80"/>
        <v>https://babel.hathitrust.org/cgi/pt?id=uc1.b2981990;view=1up;seq=136</v>
      </c>
    </row>
    <row r="1150" spans="1:21" x14ac:dyDescent="0.25">
      <c r="A1150" s="27" t="s">
        <v>1670</v>
      </c>
      <c r="B1150" s="27" t="str">
        <f t="shared" si="77"/>
        <v>Virginia</v>
      </c>
      <c r="C1150" s="27" t="str">
        <f t="shared" si="78"/>
        <v>Madison</v>
      </c>
      <c r="D1150" s="3">
        <v>1614</v>
      </c>
      <c r="E1150" s="10">
        <v>75</v>
      </c>
      <c r="F1150" s="2">
        <v>148.22</v>
      </c>
      <c r="G1150" s="2">
        <v>2259</v>
      </c>
      <c r="H1150" s="89">
        <f>'VA post'!K65</f>
        <v>69.896100391310213</v>
      </c>
      <c r="I1150" s="12">
        <v>64038.87</v>
      </c>
      <c r="J1150" s="27">
        <v>40</v>
      </c>
      <c r="K1150" s="2">
        <v>101000</v>
      </c>
      <c r="L1150" s="41">
        <v>1925</v>
      </c>
      <c r="N1150" s="27" t="s">
        <v>464</v>
      </c>
      <c r="O1150" s="27" t="s">
        <v>465</v>
      </c>
      <c r="P1150" s="27" t="s">
        <v>466</v>
      </c>
      <c r="Q1150" s="27" t="s">
        <v>464</v>
      </c>
      <c r="R1150" s="27" t="s">
        <v>466</v>
      </c>
      <c r="S1150" s="10" t="s">
        <v>467</v>
      </c>
      <c r="T1150" s="10" t="str">
        <f t="shared" si="79"/>
        <v>https://babel.hathitrust.org/cgi/pt?id=uc1.b2981990;view=1up;seq=136</v>
      </c>
      <c r="U1150" s="10" t="str">
        <f t="shared" si="80"/>
        <v>https://babel.hathitrust.org/cgi/pt?id=uc1.b2981990;view=1up;seq=136</v>
      </c>
    </row>
    <row r="1151" spans="1:21" x14ac:dyDescent="0.25">
      <c r="A1151" s="27" t="s">
        <v>1770</v>
      </c>
      <c r="B1151" s="27" t="str">
        <f t="shared" ref="B1151:B1214" si="81">LEFT(A1151,FIND(";",A1151)-1)</f>
        <v>Virginia</v>
      </c>
      <c r="C1151" s="27" t="str">
        <f t="shared" ref="C1151:C1214" si="82">MID(A1151,FIND(";",A1151)+1,100)</f>
        <v>Manchester</v>
      </c>
      <c r="D1151" s="3"/>
      <c r="E1151" s="10"/>
      <c r="F1151" s="2"/>
      <c r="G1151" s="2"/>
      <c r="H1151" s="89"/>
      <c r="I1151" s="12"/>
      <c r="L1151" s="41">
        <v>1925</v>
      </c>
      <c r="N1151" s="27" t="s">
        <v>464</v>
      </c>
      <c r="O1151" s="27" t="s">
        <v>465</v>
      </c>
      <c r="P1151" s="27" t="s">
        <v>466</v>
      </c>
      <c r="Q1151" s="27" t="s">
        <v>464</v>
      </c>
      <c r="R1151" s="27" t="s">
        <v>466</v>
      </c>
      <c r="S1151" s="10" t="s">
        <v>467</v>
      </c>
      <c r="T1151" s="10" t="str">
        <f t="shared" si="79"/>
        <v>https://babel.hathitrust.org/cgi/pt?id=uc1.b2981990;view=1up;seq=136</v>
      </c>
      <c r="U1151" s="10" t="str">
        <f t="shared" si="80"/>
        <v>https://babel.hathitrust.org/cgi/pt?id=uc1.b2981990;view=1up;seq=136</v>
      </c>
    </row>
    <row r="1152" spans="1:21" x14ac:dyDescent="0.25">
      <c r="A1152" s="27" t="s">
        <v>1671</v>
      </c>
      <c r="B1152" s="27" t="str">
        <f t="shared" si="81"/>
        <v>Virginia</v>
      </c>
      <c r="C1152" s="27" t="str">
        <f t="shared" si="82"/>
        <v>Mathews</v>
      </c>
      <c r="D1152" s="3">
        <v>1397</v>
      </c>
      <c r="E1152" s="10">
        <v>66</v>
      </c>
      <c r="F1152" s="2">
        <v>166.9</v>
      </c>
      <c r="G1152" s="2">
        <v>1769</v>
      </c>
      <c r="H1152" s="89">
        <f>'VA post'!K67</f>
        <v>69.74236069502696</v>
      </c>
      <c r="I1152" s="12">
        <v>60508.18</v>
      </c>
      <c r="J1152" s="27">
        <v>21</v>
      </c>
      <c r="K1152" s="2">
        <v>130000</v>
      </c>
      <c r="L1152" s="41">
        <v>1925</v>
      </c>
      <c r="N1152" s="27" t="s">
        <v>464</v>
      </c>
      <c r="O1152" s="27" t="s">
        <v>465</v>
      </c>
      <c r="P1152" s="27" t="s">
        <v>466</v>
      </c>
      <c r="Q1152" s="27" t="s">
        <v>464</v>
      </c>
      <c r="R1152" s="27" t="s">
        <v>466</v>
      </c>
      <c r="S1152" s="10" t="s">
        <v>467</v>
      </c>
      <c r="T1152" s="10" t="str">
        <f t="shared" si="79"/>
        <v>https://babel.hathitrust.org/cgi/pt?id=uc1.b2981990;view=1up;seq=136</v>
      </c>
      <c r="U1152" s="10" t="str">
        <f t="shared" si="80"/>
        <v>https://babel.hathitrust.org/cgi/pt?id=uc1.b2981990;view=1up;seq=136</v>
      </c>
    </row>
    <row r="1153" spans="1:21" x14ac:dyDescent="0.25">
      <c r="A1153" s="27" t="s">
        <v>1771</v>
      </c>
      <c r="B1153" s="27" t="str">
        <f t="shared" si="81"/>
        <v>Virginia</v>
      </c>
      <c r="C1153" s="27" t="str">
        <f t="shared" si="82"/>
        <v>Mecklenburg</v>
      </c>
      <c r="D1153" s="3">
        <v>5314</v>
      </c>
      <c r="E1153" s="10">
        <v>237</v>
      </c>
      <c r="F1153" s="2">
        <v>140</v>
      </c>
      <c r="G1153" s="2">
        <v>8233</v>
      </c>
      <c r="H1153" s="89">
        <f>'VA post'!K68</f>
        <v>7.8571428571428568</v>
      </c>
      <c r="I1153" s="12">
        <v>242809.98</v>
      </c>
      <c r="J1153" s="27">
        <v>94</v>
      </c>
      <c r="K1153" s="2">
        <v>500000</v>
      </c>
      <c r="L1153" s="41">
        <v>1925</v>
      </c>
      <c r="N1153" s="27" t="s">
        <v>464</v>
      </c>
      <c r="O1153" s="27" t="s">
        <v>465</v>
      </c>
      <c r="P1153" s="27" t="s">
        <v>466</v>
      </c>
      <c r="Q1153" s="27" t="s">
        <v>464</v>
      </c>
      <c r="R1153" s="27" t="s">
        <v>466</v>
      </c>
      <c r="S1153" s="10" t="s">
        <v>467</v>
      </c>
      <c r="T1153" s="10" t="str">
        <f t="shared" ref="T1153:T1204" si="83">T1152</f>
        <v>https://babel.hathitrust.org/cgi/pt?id=uc1.b2981990;view=1up;seq=136</v>
      </c>
      <c r="U1153" s="10" t="str">
        <f t="shared" ref="U1153:U1204" si="84">U1152</f>
        <v>https://babel.hathitrust.org/cgi/pt?id=uc1.b2981990;view=1up;seq=136</v>
      </c>
    </row>
    <row r="1154" spans="1:21" x14ac:dyDescent="0.25">
      <c r="A1154" s="27" t="s">
        <v>1672</v>
      </c>
      <c r="B1154" s="27" t="str">
        <f t="shared" si="81"/>
        <v>Virginia</v>
      </c>
      <c r="C1154" s="27" t="str">
        <f t="shared" si="82"/>
        <v>Middlesex</v>
      </c>
      <c r="D1154" s="3">
        <v>1429</v>
      </c>
      <c r="E1154" s="10">
        <v>66</v>
      </c>
      <c r="F1154" s="2">
        <v>167</v>
      </c>
      <c r="G1154" s="2">
        <v>1961</v>
      </c>
      <c r="H1154" s="89">
        <f>'VA post'!K69</f>
        <v>65.389221556886227</v>
      </c>
      <c r="I1154" s="12">
        <v>57538.57</v>
      </c>
      <c r="J1154" s="27">
        <v>20</v>
      </c>
      <c r="K1154" s="2">
        <v>150000</v>
      </c>
      <c r="L1154" s="41">
        <v>1925</v>
      </c>
      <c r="N1154" s="27" t="s">
        <v>464</v>
      </c>
      <c r="O1154" s="27" t="s">
        <v>465</v>
      </c>
      <c r="P1154" s="27" t="s">
        <v>466</v>
      </c>
      <c r="Q1154" s="27" t="s">
        <v>464</v>
      </c>
      <c r="R1154" s="27" t="s">
        <v>466</v>
      </c>
      <c r="S1154" s="10" t="s">
        <v>467</v>
      </c>
      <c r="T1154" s="10" t="str">
        <f t="shared" si="83"/>
        <v>https://babel.hathitrust.org/cgi/pt?id=uc1.b2981990;view=1up;seq=136</v>
      </c>
      <c r="U1154" s="10" t="str">
        <f t="shared" si="84"/>
        <v>https://babel.hathitrust.org/cgi/pt?id=uc1.b2981990;view=1up;seq=136</v>
      </c>
    </row>
    <row r="1155" spans="1:21" x14ac:dyDescent="0.25">
      <c r="A1155" s="27" t="s">
        <v>1673</v>
      </c>
      <c r="B1155" s="27" t="str">
        <f t="shared" si="81"/>
        <v>Virginia</v>
      </c>
      <c r="C1155" s="27" t="str">
        <f t="shared" si="82"/>
        <v>Montgomery</v>
      </c>
      <c r="D1155" s="3">
        <v>3122</v>
      </c>
      <c r="E1155" s="10">
        <v>159</v>
      </c>
      <c r="F1155" s="2">
        <v>147</v>
      </c>
      <c r="G1155" s="2">
        <v>4356</v>
      </c>
      <c r="H1155" s="89">
        <f>'VA post'!K70</f>
        <v>82.721088435374156</v>
      </c>
      <c r="I1155" s="12">
        <v>210721.26</v>
      </c>
      <c r="J1155" s="27">
        <v>76</v>
      </c>
      <c r="K1155" s="2">
        <v>208000</v>
      </c>
      <c r="L1155" s="41">
        <v>1925</v>
      </c>
      <c r="N1155" s="27" t="s">
        <v>464</v>
      </c>
      <c r="O1155" s="27" t="s">
        <v>465</v>
      </c>
      <c r="P1155" s="27" t="s">
        <v>466</v>
      </c>
      <c r="Q1155" s="27" t="s">
        <v>464</v>
      </c>
      <c r="R1155" s="27" t="s">
        <v>466</v>
      </c>
      <c r="S1155" s="10" t="s">
        <v>467</v>
      </c>
      <c r="T1155" s="10" t="str">
        <f t="shared" si="83"/>
        <v>https://babel.hathitrust.org/cgi/pt?id=uc1.b2981990;view=1up;seq=136</v>
      </c>
      <c r="U1155" s="10" t="str">
        <f t="shared" si="84"/>
        <v>https://babel.hathitrust.org/cgi/pt?id=uc1.b2981990;view=1up;seq=136</v>
      </c>
    </row>
    <row r="1156" spans="1:21" x14ac:dyDescent="0.25">
      <c r="A1156" s="27" t="s">
        <v>1674</v>
      </c>
      <c r="B1156" s="27" t="str">
        <f t="shared" si="81"/>
        <v>Virginia</v>
      </c>
      <c r="C1156" s="27" t="str">
        <f t="shared" si="82"/>
        <v>Nansemond</v>
      </c>
      <c r="D1156" s="3">
        <v>4110</v>
      </c>
      <c r="E1156" s="10">
        <v>142</v>
      </c>
      <c r="F1156" s="2">
        <v>163</v>
      </c>
      <c r="G1156" s="2">
        <v>5123</v>
      </c>
      <c r="H1156" s="89">
        <f>'VA post'!K71</f>
        <v>86.50306748466258</v>
      </c>
      <c r="I1156" s="12">
        <v>256738.77</v>
      </c>
      <c r="J1156" s="27">
        <v>47</v>
      </c>
      <c r="K1156" s="2">
        <v>730000</v>
      </c>
      <c r="L1156" s="41">
        <v>1925</v>
      </c>
      <c r="N1156" s="27" t="s">
        <v>464</v>
      </c>
      <c r="O1156" s="27" t="s">
        <v>465</v>
      </c>
      <c r="P1156" s="27" t="s">
        <v>466</v>
      </c>
      <c r="Q1156" s="27" t="s">
        <v>464</v>
      </c>
      <c r="R1156" s="27" t="s">
        <v>466</v>
      </c>
      <c r="S1156" s="10" t="s">
        <v>467</v>
      </c>
      <c r="T1156" s="10" t="str">
        <f t="shared" si="83"/>
        <v>https://babel.hathitrust.org/cgi/pt?id=uc1.b2981990;view=1up;seq=136</v>
      </c>
      <c r="U1156" s="10" t="str">
        <f t="shared" si="84"/>
        <v>https://babel.hathitrust.org/cgi/pt?id=uc1.b2981990;view=1up;seq=136</v>
      </c>
    </row>
    <row r="1157" spans="1:21" x14ac:dyDescent="0.25">
      <c r="A1157" s="27" t="s">
        <v>1675</v>
      </c>
      <c r="B1157" s="27" t="str">
        <f t="shared" si="81"/>
        <v>Virginia</v>
      </c>
      <c r="C1157" s="27" t="str">
        <f t="shared" si="82"/>
        <v>Nelson</v>
      </c>
      <c r="D1157" s="3">
        <v>2741</v>
      </c>
      <c r="E1157" s="10">
        <v>143</v>
      </c>
      <c r="F1157" s="2">
        <v>156.80000000000001</v>
      </c>
      <c r="G1157" s="2">
        <v>4246</v>
      </c>
      <c r="H1157" s="89">
        <f>'VA post'!K72</f>
        <v>64.158163265306115</v>
      </c>
      <c r="I1157" s="12">
        <v>138924.13</v>
      </c>
      <c r="J1157" s="27">
        <v>80</v>
      </c>
      <c r="K1157" s="2">
        <v>118000</v>
      </c>
      <c r="L1157" s="41">
        <v>1925</v>
      </c>
      <c r="N1157" s="27" t="s">
        <v>464</v>
      </c>
      <c r="O1157" s="27" t="s">
        <v>465</v>
      </c>
      <c r="P1157" s="27" t="s">
        <v>466</v>
      </c>
      <c r="Q1157" s="27" t="s">
        <v>464</v>
      </c>
      <c r="R1157" s="27" t="s">
        <v>466</v>
      </c>
      <c r="S1157" s="10" t="s">
        <v>467</v>
      </c>
      <c r="T1157" s="10" t="str">
        <f t="shared" si="83"/>
        <v>https://babel.hathitrust.org/cgi/pt?id=uc1.b2981990;view=1up;seq=136</v>
      </c>
      <c r="U1157" s="10" t="str">
        <f t="shared" si="84"/>
        <v>https://babel.hathitrust.org/cgi/pt?id=uc1.b2981990;view=1up;seq=136</v>
      </c>
    </row>
    <row r="1158" spans="1:21" x14ac:dyDescent="0.25">
      <c r="A1158" s="27" t="s">
        <v>1676</v>
      </c>
      <c r="B1158" s="27" t="str">
        <f t="shared" si="81"/>
        <v>Virginia</v>
      </c>
      <c r="C1158" s="27" t="str">
        <f t="shared" si="82"/>
        <v>New Kent</v>
      </c>
      <c r="D1158" s="3">
        <v>931</v>
      </c>
      <c r="E1158" s="10">
        <v>40</v>
      </c>
      <c r="F1158" s="2">
        <v>160</v>
      </c>
      <c r="G1158" s="2">
        <v>1028</v>
      </c>
      <c r="H1158" s="89">
        <f>'VA post'!K73</f>
        <v>73.625</v>
      </c>
      <c r="I1158" s="12">
        <v>41922.57</v>
      </c>
      <c r="J1158" s="27">
        <v>29</v>
      </c>
      <c r="K1158" s="2">
        <v>56000</v>
      </c>
      <c r="L1158" s="41">
        <v>1925</v>
      </c>
      <c r="N1158" s="27" t="s">
        <v>464</v>
      </c>
      <c r="O1158" s="27" t="s">
        <v>465</v>
      </c>
      <c r="P1158" s="27" t="s">
        <v>466</v>
      </c>
      <c r="Q1158" s="27" t="s">
        <v>464</v>
      </c>
      <c r="R1158" s="27" t="s">
        <v>466</v>
      </c>
      <c r="S1158" s="10" t="s">
        <v>467</v>
      </c>
      <c r="T1158" s="10" t="str">
        <f t="shared" si="83"/>
        <v>https://babel.hathitrust.org/cgi/pt?id=uc1.b2981990;view=1up;seq=136</v>
      </c>
      <c r="U1158" s="10" t="str">
        <f t="shared" si="84"/>
        <v>https://babel.hathitrust.org/cgi/pt?id=uc1.b2981990;view=1up;seq=136</v>
      </c>
    </row>
    <row r="1159" spans="1:21" s="98" customFormat="1" x14ac:dyDescent="0.25">
      <c r="A1159" s="98" t="s">
        <v>1733</v>
      </c>
      <c r="B1159" s="98" t="str">
        <f t="shared" si="81"/>
        <v>Virginia</v>
      </c>
      <c r="C1159" s="98" t="str">
        <f t="shared" si="82"/>
        <v>Newport News</v>
      </c>
      <c r="D1159" s="103">
        <v>5056</v>
      </c>
      <c r="E1159" s="104">
        <v>174</v>
      </c>
      <c r="F1159" s="99">
        <v>184</v>
      </c>
      <c r="G1159" s="99">
        <v>5977</v>
      </c>
      <c r="H1159" s="89">
        <f>'VA post'!K74</f>
        <v>143.91304347826087</v>
      </c>
      <c r="I1159" s="105">
        <v>422273.59</v>
      </c>
      <c r="J1159" s="98">
        <v>11</v>
      </c>
      <c r="K1159" s="98">
        <v>1075811</v>
      </c>
      <c r="L1159" s="101">
        <v>1925</v>
      </c>
      <c r="N1159" s="98" t="s">
        <v>464</v>
      </c>
      <c r="O1159" s="98" t="s">
        <v>465</v>
      </c>
      <c r="P1159" s="98" t="s">
        <v>466</v>
      </c>
      <c r="Q1159" s="98" t="s">
        <v>464</v>
      </c>
      <c r="R1159" s="98" t="s">
        <v>466</v>
      </c>
      <c r="S1159" s="104" t="s">
        <v>467</v>
      </c>
      <c r="T1159" s="10" t="str">
        <f t="shared" si="83"/>
        <v>https://babel.hathitrust.org/cgi/pt?id=uc1.b2981990;view=1up;seq=136</v>
      </c>
      <c r="U1159" s="10" t="str">
        <f t="shared" si="84"/>
        <v>https://babel.hathitrust.org/cgi/pt?id=uc1.b2981990;view=1up;seq=136</v>
      </c>
    </row>
    <row r="1160" spans="1:21" s="98" customFormat="1" x14ac:dyDescent="0.25">
      <c r="A1160" s="98" t="s">
        <v>1734</v>
      </c>
      <c r="B1160" s="98" t="str">
        <f t="shared" si="81"/>
        <v>Virginia</v>
      </c>
      <c r="C1160" s="98" t="str">
        <f t="shared" si="82"/>
        <v>Norfolk City</v>
      </c>
      <c r="D1160" s="103">
        <v>19575</v>
      </c>
      <c r="E1160" s="104">
        <v>793</v>
      </c>
      <c r="F1160" s="99">
        <v>176</v>
      </c>
      <c r="G1160" s="99">
        <v>22722</v>
      </c>
      <c r="H1160" s="89">
        <f>'VA post'!K75</f>
        <v>147.95454545454544</v>
      </c>
      <c r="I1160" s="105">
        <v>1489957.51</v>
      </c>
      <c r="J1160" s="99">
        <v>39</v>
      </c>
      <c r="K1160" s="98">
        <v>5223000</v>
      </c>
      <c r="L1160" s="101">
        <v>1925</v>
      </c>
      <c r="N1160" s="98" t="s">
        <v>464</v>
      </c>
      <c r="O1160" s="98" t="s">
        <v>465</v>
      </c>
      <c r="P1160" s="98" t="s">
        <v>466</v>
      </c>
      <c r="Q1160" s="98" t="s">
        <v>464</v>
      </c>
      <c r="R1160" s="98" t="s">
        <v>466</v>
      </c>
      <c r="S1160" s="104" t="s">
        <v>467</v>
      </c>
      <c r="T1160" s="10" t="str">
        <f t="shared" si="83"/>
        <v>https://babel.hathitrust.org/cgi/pt?id=uc1.b2981990;view=1up;seq=136</v>
      </c>
      <c r="U1160" s="10" t="str">
        <f t="shared" si="84"/>
        <v>https://babel.hathitrust.org/cgi/pt?id=uc1.b2981990;view=1up;seq=136</v>
      </c>
    </row>
    <row r="1161" spans="1:21" x14ac:dyDescent="0.25">
      <c r="A1161" s="27" t="s">
        <v>1677</v>
      </c>
      <c r="B1161" s="27" t="str">
        <f t="shared" si="81"/>
        <v>Virginia</v>
      </c>
      <c r="C1161" s="27" t="str">
        <f t="shared" si="82"/>
        <v>Norfolk</v>
      </c>
      <c r="D1161" s="3">
        <v>5872</v>
      </c>
      <c r="E1161" s="10">
        <v>185</v>
      </c>
      <c r="F1161" s="2">
        <v>170</v>
      </c>
      <c r="G1161" s="2">
        <v>7680</v>
      </c>
      <c r="H1161" s="89">
        <f>'VA post'!K76</f>
        <v>98</v>
      </c>
      <c r="I1161" s="12">
        <v>480810.88</v>
      </c>
      <c r="J1161" s="2">
        <v>44</v>
      </c>
      <c r="K1161" s="2">
        <v>1178725</v>
      </c>
      <c r="L1161" s="41">
        <v>1925</v>
      </c>
      <c r="N1161" s="27" t="s">
        <v>464</v>
      </c>
      <c r="O1161" s="27" t="s">
        <v>465</v>
      </c>
      <c r="P1161" s="27" t="s">
        <v>466</v>
      </c>
      <c r="Q1161" s="27" t="s">
        <v>464</v>
      </c>
      <c r="R1161" s="27" t="s">
        <v>466</v>
      </c>
      <c r="S1161" s="10" t="s">
        <v>467</v>
      </c>
      <c r="T1161" s="10" t="str">
        <f t="shared" si="83"/>
        <v>https://babel.hathitrust.org/cgi/pt?id=uc1.b2981990;view=1up;seq=136</v>
      </c>
      <c r="U1161" s="10" t="str">
        <f t="shared" si="84"/>
        <v>https://babel.hathitrust.org/cgi/pt?id=uc1.b2981990;view=1up;seq=136</v>
      </c>
    </row>
    <row r="1162" spans="1:21" x14ac:dyDescent="0.25">
      <c r="A1162" s="27" t="s">
        <v>1678</v>
      </c>
      <c r="B1162" s="27" t="str">
        <f t="shared" si="81"/>
        <v>Virginia</v>
      </c>
      <c r="C1162" s="27" t="str">
        <f t="shared" si="82"/>
        <v>Northampton</v>
      </c>
      <c r="D1162" s="3">
        <v>2717</v>
      </c>
      <c r="E1162" s="10">
        <v>126</v>
      </c>
      <c r="F1162" s="2">
        <v>168</v>
      </c>
      <c r="G1162" s="2">
        <v>3760</v>
      </c>
      <c r="H1162" s="89">
        <f>'VA post'!K77</f>
        <v>97.976190476190467</v>
      </c>
      <c r="I1162" s="12">
        <v>206314.84</v>
      </c>
      <c r="J1162" s="27">
        <v>29</v>
      </c>
      <c r="K1162" s="2">
        <v>481000</v>
      </c>
      <c r="L1162" s="41">
        <v>1925</v>
      </c>
      <c r="N1162" s="27" t="s">
        <v>464</v>
      </c>
      <c r="O1162" s="27" t="s">
        <v>465</v>
      </c>
      <c r="P1162" s="27" t="s">
        <v>466</v>
      </c>
      <c r="Q1162" s="27" t="s">
        <v>464</v>
      </c>
      <c r="R1162" s="27" t="s">
        <v>466</v>
      </c>
      <c r="S1162" s="10" t="s">
        <v>467</v>
      </c>
      <c r="T1162" s="10" t="str">
        <f t="shared" si="83"/>
        <v>https://babel.hathitrust.org/cgi/pt?id=uc1.b2981990;view=1up;seq=136</v>
      </c>
      <c r="U1162" s="10" t="str">
        <f t="shared" si="84"/>
        <v>https://babel.hathitrust.org/cgi/pt?id=uc1.b2981990;view=1up;seq=136</v>
      </c>
    </row>
    <row r="1163" spans="1:21" x14ac:dyDescent="0.25">
      <c r="A1163" s="27" t="s">
        <v>1679</v>
      </c>
      <c r="B1163" s="27" t="str">
        <f t="shared" si="81"/>
        <v>Virginia</v>
      </c>
      <c r="C1163" s="27" t="str">
        <f t="shared" si="82"/>
        <v>Northumberland</v>
      </c>
      <c r="D1163" s="3">
        <v>2970</v>
      </c>
      <c r="E1163" s="10">
        <v>85</v>
      </c>
      <c r="F1163" s="2">
        <v>146</v>
      </c>
      <c r="G1163" s="2">
        <v>4113</v>
      </c>
      <c r="H1163" s="89">
        <f>'VA post'!K78</f>
        <v>75.61643835616438</v>
      </c>
      <c r="I1163" s="12">
        <v>88866.13</v>
      </c>
      <c r="J1163" s="27">
        <v>35</v>
      </c>
      <c r="K1163" s="2">
        <v>87000</v>
      </c>
      <c r="L1163" s="41">
        <v>1925</v>
      </c>
      <c r="N1163" s="27" t="s">
        <v>464</v>
      </c>
      <c r="O1163" s="27" t="s">
        <v>465</v>
      </c>
      <c r="P1163" s="27" t="s">
        <v>466</v>
      </c>
      <c r="Q1163" s="27" t="s">
        <v>464</v>
      </c>
      <c r="R1163" s="27" t="s">
        <v>466</v>
      </c>
      <c r="S1163" s="10" t="s">
        <v>467</v>
      </c>
      <c r="T1163" s="10" t="str">
        <f t="shared" si="83"/>
        <v>https://babel.hathitrust.org/cgi/pt?id=uc1.b2981990;view=1up;seq=136</v>
      </c>
      <c r="U1163" s="10" t="str">
        <f t="shared" si="84"/>
        <v>https://babel.hathitrust.org/cgi/pt?id=uc1.b2981990;view=1up;seq=136</v>
      </c>
    </row>
    <row r="1164" spans="1:21" x14ac:dyDescent="0.25">
      <c r="A1164" s="27" t="s">
        <v>1680</v>
      </c>
      <c r="B1164" s="27" t="str">
        <f t="shared" si="81"/>
        <v>Virginia</v>
      </c>
      <c r="C1164" s="27" t="str">
        <f t="shared" si="82"/>
        <v>Nottoway</v>
      </c>
      <c r="D1164" s="3">
        <v>2028</v>
      </c>
      <c r="E1164" s="10">
        <v>116</v>
      </c>
      <c r="F1164" s="2">
        <v>168.86</v>
      </c>
      <c r="G1164" s="2">
        <v>2681</v>
      </c>
      <c r="H1164" s="89">
        <f>'VA post'!K79</f>
        <v>89.541632121283882</v>
      </c>
      <c r="I1164" s="12">
        <v>201542.27</v>
      </c>
      <c r="J1164" s="27">
        <v>38</v>
      </c>
      <c r="K1164" s="2">
        <v>475000</v>
      </c>
      <c r="L1164" s="41">
        <v>1925</v>
      </c>
      <c r="N1164" s="27" t="s">
        <v>464</v>
      </c>
      <c r="O1164" s="27" t="s">
        <v>465</v>
      </c>
      <c r="P1164" s="27" t="s">
        <v>466</v>
      </c>
      <c r="Q1164" s="27" t="s">
        <v>464</v>
      </c>
      <c r="R1164" s="27" t="s">
        <v>466</v>
      </c>
      <c r="S1164" s="10" t="s">
        <v>467</v>
      </c>
      <c r="T1164" s="10" t="str">
        <f t="shared" si="83"/>
        <v>https://babel.hathitrust.org/cgi/pt?id=uc1.b2981990;view=1up;seq=136</v>
      </c>
      <c r="U1164" s="10" t="str">
        <f t="shared" si="84"/>
        <v>https://babel.hathitrust.org/cgi/pt?id=uc1.b2981990;view=1up;seq=136</v>
      </c>
    </row>
    <row r="1165" spans="1:21" x14ac:dyDescent="0.25">
      <c r="A1165" s="27" t="s">
        <v>1681</v>
      </c>
      <c r="B1165" s="27" t="str">
        <f t="shared" si="81"/>
        <v>Virginia</v>
      </c>
      <c r="C1165" s="27" t="str">
        <f t="shared" si="82"/>
        <v>Orange</v>
      </c>
      <c r="D1165" s="3">
        <v>2530</v>
      </c>
      <c r="E1165" s="10">
        <v>119</v>
      </c>
      <c r="F1165" s="2">
        <v>151</v>
      </c>
      <c r="G1165" s="2">
        <v>3245</v>
      </c>
      <c r="H1165" s="89">
        <f>'VA post'!K80</f>
        <v>69.536423841059602</v>
      </c>
      <c r="I1165" s="12">
        <v>127351.79</v>
      </c>
      <c r="J1165" s="27">
        <v>47</v>
      </c>
      <c r="K1165" s="2">
        <v>129000</v>
      </c>
      <c r="L1165" s="41">
        <v>1925</v>
      </c>
      <c r="N1165" s="27" t="s">
        <v>464</v>
      </c>
      <c r="O1165" s="27" t="s">
        <v>465</v>
      </c>
      <c r="P1165" s="27" t="s">
        <v>466</v>
      </c>
      <c r="Q1165" s="27" t="s">
        <v>464</v>
      </c>
      <c r="R1165" s="27" t="s">
        <v>466</v>
      </c>
      <c r="S1165" s="10" t="s">
        <v>467</v>
      </c>
      <c r="T1165" s="10" t="str">
        <f t="shared" si="83"/>
        <v>https://babel.hathitrust.org/cgi/pt?id=uc1.b2981990;view=1up;seq=136</v>
      </c>
      <c r="U1165" s="10" t="str">
        <f t="shared" si="84"/>
        <v>https://babel.hathitrust.org/cgi/pt?id=uc1.b2981990;view=1up;seq=136</v>
      </c>
    </row>
    <row r="1166" spans="1:21" x14ac:dyDescent="0.25">
      <c r="A1166" s="27" t="s">
        <v>1682</v>
      </c>
      <c r="B1166" s="27" t="str">
        <f t="shared" si="81"/>
        <v>Virginia</v>
      </c>
      <c r="C1166" s="27" t="str">
        <f t="shared" si="82"/>
        <v>Page</v>
      </c>
      <c r="D1166" s="3">
        <v>2414</v>
      </c>
      <c r="E1166" s="10">
        <v>117</v>
      </c>
      <c r="F1166" s="2">
        <v>151</v>
      </c>
      <c r="G1166" s="2">
        <v>3455</v>
      </c>
      <c r="H1166" s="89">
        <f>'VA post'!K81</f>
        <v>71.390728476821195</v>
      </c>
      <c r="I1166" s="12">
        <v>113847.82</v>
      </c>
      <c r="J1166" s="27">
        <v>56</v>
      </c>
      <c r="K1166" s="2">
        <v>175963</v>
      </c>
      <c r="L1166" s="41">
        <v>1925</v>
      </c>
      <c r="N1166" s="27" t="s">
        <v>464</v>
      </c>
      <c r="O1166" s="27" t="s">
        <v>465</v>
      </c>
      <c r="P1166" s="27" t="s">
        <v>466</v>
      </c>
      <c r="Q1166" s="27" t="s">
        <v>464</v>
      </c>
      <c r="R1166" s="27" t="s">
        <v>466</v>
      </c>
      <c r="S1166" s="10" t="s">
        <v>467</v>
      </c>
      <c r="T1166" s="10" t="str">
        <f t="shared" si="83"/>
        <v>https://babel.hathitrust.org/cgi/pt?id=uc1.b2981990;view=1up;seq=136</v>
      </c>
      <c r="U1166" s="10" t="str">
        <f t="shared" si="84"/>
        <v>https://babel.hathitrust.org/cgi/pt?id=uc1.b2981990;view=1up;seq=136</v>
      </c>
    </row>
    <row r="1167" spans="1:21" x14ac:dyDescent="0.25">
      <c r="A1167" s="27" t="s">
        <v>1683</v>
      </c>
      <c r="B1167" s="27" t="str">
        <f t="shared" si="81"/>
        <v>Virginia</v>
      </c>
      <c r="C1167" s="27" t="str">
        <f t="shared" si="82"/>
        <v>Patrick</v>
      </c>
      <c r="D1167" s="3">
        <v>5680</v>
      </c>
      <c r="E1167" s="10">
        <v>149</v>
      </c>
      <c r="F1167" s="2">
        <v>148</v>
      </c>
      <c r="G1167" s="2">
        <v>6414</v>
      </c>
      <c r="H1167" s="89">
        <f>'VA post'!K82</f>
        <v>57.432432432432428</v>
      </c>
      <c r="I1167" s="12">
        <v>83531.039999999994</v>
      </c>
      <c r="J1167" s="27">
        <v>83</v>
      </c>
      <c r="K1167" s="2">
        <v>120000</v>
      </c>
      <c r="L1167" s="41">
        <v>1925</v>
      </c>
      <c r="N1167" s="27" t="s">
        <v>464</v>
      </c>
      <c r="O1167" s="27" t="s">
        <v>465</v>
      </c>
      <c r="P1167" s="27" t="s">
        <v>466</v>
      </c>
      <c r="Q1167" s="27" t="s">
        <v>464</v>
      </c>
      <c r="R1167" s="27" t="s">
        <v>466</v>
      </c>
      <c r="S1167" s="10" t="s">
        <v>467</v>
      </c>
      <c r="T1167" s="10" t="str">
        <f t="shared" si="83"/>
        <v>https://babel.hathitrust.org/cgi/pt?id=uc1.b2981990;view=1up;seq=136</v>
      </c>
      <c r="U1167" s="10" t="str">
        <f t="shared" si="84"/>
        <v>https://babel.hathitrust.org/cgi/pt?id=uc1.b2981990;view=1up;seq=136</v>
      </c>
    </row>
    <row r="1168" spans="1:21" s="98" customFormat="1" x14ac:dyDescent="0.25">
      <c r="A1168" s="98" t="s">
        <v>1735</v>
      </c>
      <c r="B1168" s="98" t="str">
        <f t="shared" si="81"/>
        <v>Virginia</v>
      </c>
      <c r="C1168" s="98" t="str">
        <f t="shared" si="82"/>
        <v>Petersburg</v>
      </c>
      <c r="D1168" s="103">
        <v>5000</v>
      </c>
      <c r="E1168" s="104">
        <v>161</v>
      </c>
      <c r="F1168" s="99">
        <v>181</v>
      </c>
      <c r="G1168" s="99">
        <v>5863</v>
      </c>
      <c r="H1168" s="89">
        <f>'VA post'!K83</f>
        <v>141.6574585635359</v>
      </c>
      <c r="I1168" s="105">
        <v>274899.40000000002</v>
      </c>
      <c r="J1168" s="98">
        <v>10</v>
      </c>
      <c r="K1168" s="99">
        <v>957640</v>
      </c>
      <c r="L1168" s="101">
        <v>1925</v>
      </c>
      <c r="N1168" s="98" t="s">
        <v>464</v>
      </c>
      <c r="O1168" s="98" t="s">
        <v>465</v>
      </c>
      <c r="P1168" s="98" t="s">
        <v>466</v>
      </c>
      <c r="Q1168" s="98" t="s">
        <v>464</v>
      </c>
      <c r="R1168" s="98" t="s">
        <v>466</v>
      </c>
      <c r="S1168" s="104" t="s">
        <v>467</v>
      </c>
      <c r="T1168" s="10" t="str">
        <f t="shared" si="83"/>
        <v>https://babel.hathitrust.org/cgi/pt?id=uc1.b2981990;view=1up;seq=136</v>
      </c>
      <c r="U1168" s="10" t="str">
        <f t="shared" si="84"/>
        <v>https://babel.hathitrust.org/cgi/pt?id=uc1.b2981990;view=1up;seq=136</v>
      </c>
    </row>
    <row r="1169" spans="1:21" x14ac:dyDescent="0.25">
      <c r="A1169" s="27" t="s">
        <v>1684</v>
      </c>
      <c r="B1169" s="27" t="str">
        <f t="shared" si="81"/>
        <v>Virginia</v>
      </c>
      <c r="C1169" s="27" t="str">
        <f t="shared" si="82"/>
        <v>Pittsylvania</v>
      </c>
      <c r="D1169" s="3">
        <v>12263</v>
      </c>
      <c r="E1169" s="10">
        <v>468</v>
      </c>
      <c r="F1169" s="2">
        <v>150</v>
      </c>
      <c r="G1169" s="2">
        <v>17024</v>
      </c>
      <c r="H1169" s="89">
        <f>'VA post'!K84</f>
        <v>77.333333333333329</v>
      </c>
      <c r="I1169" s="12">
        <v>501961.06</v>
      </c>
      <c r="J1169" s="27">
        <v>197</v>
      </c>
      <c r="K1169" s="2">
        <v>887500</v>
      </c>
      <c r="L1169" s="41">
        <v>1925</v>
      </c>
      <c r="N1169" s="27" t="s">
        <v>464</v>
      </c>
      <c r="O1169" s="27" t="s">
        <v>465</v>
      </c>
      <c r="P1169" s="27" t="s">
        <v>466</v>
      </c>
      <c r="Q1169" s="27" t="s">
        <v>464</v>
      </c>
      <c r="R1169" s="27" t="s">
        <v>466</v>
      </c>
      <c r="S1169" s="10" t="s">
        <v>467</v>
      </c>
      <c r="T1169" s="10" t="str">
        <f t="shared" si="83"/>
        <v>https://babel.hathitrust.org/cgi/pt?id=uc1.b2981990;view=1up;seq=136</v>
      </c>
      <c r="U1169" s="10" t="str">
        <f t="shared" si="84"/>
        <v>https://babel.hathitrust.org/cgi/pt?id=uc1.b2981990;view=1up;seq=136</v>
      </c>
    </row>
    <row r="1170" spans="1:21" s="98" customFormat="1" x14ac:dyDescent="0.25">
      <c r="A1170" s="98" t="s">
        <v>1736</v>
      </c>
      <c r="B1170" s="98" t="str">
        <f t="shared" si="81"/>
        <v>Virginia</v>
      </c>
      <c r="C1170" s="98" t="str">
        <f t="shared" si="82"/>
        <v>Portsmouth</v>
      </c>
      <c r="D1170" s="103">
        <v>8031</v>
      </c>
      <c r="E1170" s="104">
        <v>254</v>
      </c>
      <c r="F1170" s="99">
        <v>182</v>
      </c>
      <c r="G1170" s="99">
        <v>9468</v>
      </c>
      <c r="H1170" s="89">
        <f>'VA post'!K85</f>
        <v>138.90109890109892</v>
      </c>
      <c r="I1170" s="105">
        <v>505210.08</v>
      </c>
      <c r="J1170" s="98">
        <v>21</v>
      </c>
      <c r="K1170" s="99">
        <v>1376700</v>
      </c>
      <c r="L1170" s="101">
        <v>1925</v>
      </c>
      <c r="N1170" s="98" t="s">
        <v>464</v>
      </c>
      <c r="O1170" s="98" t="s">
        <v>465</v>
      </c>
      <c r="P1170" s="98" t="s">
        <v>466</v>
      </c>
      <c r="Q1170" s="98" t="s">
        <v>464</v>
      </c>
      <c r="R1170" s="98" t="s">
        <v>466</v>
      </c>
      <c r="S1170" s="104" t="s">
        <v>467</v>
      </c>
      <c r="T1170" s="10" t="str">
        <f t="shared" si="83"/>
        <v>https://babel.hathitrust.org/cgi/pt?id=uc1.b2981990;view=1up;seq=136</v>
      </c>
      <c r="U1170" s="10" t="str">
        <f t="shared" si="84"/>
        <v>https://babel.hathitrust.org/cgi/pt?id=uc1.b2981990;view=1up;seq=136</v>
      </c>
    </row>
    <row r="1171" spans="1:21" x14ac:dyDescent="0.25">
      <c r="A1171" s="27" t="s">
        <v>1685</v>
      </c>
      <c r="B1171" s="27" t="str">
        <f t="shared" si="81"/>
        <v>Virginia</v>
      </c>
      <c r="C1171" s="27" t="str">
        <f t="shared" si="82"/>
        <v>Powhatan</v>
      </c>
      <c r="D1171" s="3">
        <v>1029</v>
      </c>
      <c r="E1171" s="10">
        <v>45</v>
      </c>
      <c r="F1171" s="2">
        <v>132</v>
      </c>
      <c r="G1171" s="2">
        <v>1499</v>
      </c>
      <c r="H1171" s="89">
        <f>'VA post'!K86</f>
        <v>69.848484848484858</v>
      </c>
      <c r="I1171" s="12">
        <v>45133.16</v>
      </c>
      <c r="J1171" s="7">
        <v>27</v>
      </c>
      <c r="K1171" s="2">
        <v>96000</v>
      </c>
      <c r="L1171" s="41">
        <v>1925</v>
      </c>
      <c r="N1171" s="27" t="s">
        <v>464</v>
      </c>
      <c r="O1171" s="27" t="s">
        <v>465</v>
      </c>
      <c r="P1171" s="27" t="s">
        <v>466</v>
      </c>
      <c r="Q1171" s="27" t="s">
        <v>464</v>
      </c>
      <c r="R1171" s="27" t="s">
        <v>466</v>
      </c>
      <c r="S1171" s="10" t="s">
        <v>467</v>
      </c>
      <c r="T1171" s="10" t="str">
        <f t="shared" si="83"/>
        <v>https://babel.hathitrust.org/cgi/pt?id=uc1.b2981990;view=1up;seq=136</v>
      </c>
      <c r="U1171" s="10" t="str">
        <f t="shared" si="84"/>
        <v>https://babel.hathitrust.org/cgi/pt?id=uc1.b2981990;view=1up;seq=136</v>
      </c>
    </row>
    <row r="1172" spans="1:21" x14ac:dyDescent="0.25">
      <c r="A1172" s="27" t="s">
        <v>1686</v>
      </c>
      <c r="B1172" s="27" t="str">
        <f t="shared" si="81"/>
        <v>Virginia</v>
      </c>
      <c r="C1172" s="27" t="str">
        <f t="shared" si="82"/>
        <v>Prince Edward</v>
      </c>
      <c r="D1172" s="3">
        <v>2512</v>
      </c>
      <c r="E1172" s="10">
        <v>98</v>
      </c>
      <c r="F1172" s="2">
        <v>159</v>
      </c>
      <c r="G1172" s="2">
        <v>3606</v>
      </c>
      <c r="H1172" s="89">
        <f>'VA post'!K87</f>
        <v>82.389937106918239</v>
      </c>
      <c r="I1172" s="12">
        <v>174561.4</v>
      </c>
      <c r="J1172" s="7">
        <v>50</v>
      </c>
      <c r="K1172" s="2">
        <v>180000</v>
      </c>
      <c r="L1172" s="41">
        <v>1925</v>
      </c>
      <c r="N1172" s="27" t="s">
        <v>464</v>
      </c>
      <c r="O1172" s="27" t="s">
        <v>465</v>
      </c>
      <c r="P1172" s="27" t="s">
        <v>466</v>
      </c>
      <c r="Q1172" s="27" t="s">
        <v>464</v>
      </c>
      <c r="R1172" s="27" t="s">
        <v>466</v>
      </c>
      <c r="S1172" s="10" t="s">
        <v>467</v>
      </c>
      <c r="T1172" s="10" t="str">
        <f t="shared" si="83"/>
        <v>https://babel.hathitrust.org/cgi/pt?id=uc1.b2981990;view=1up;seq=136</v>
      </c>
      <c r="U1172" s="10" t="str">
        <f t="shared" si="84"/>
        <v>https://babel.hathitrust.org/cgi/pt?id=uc1.b2981990;view=1up;seq=136</v>
      </c>
    </row>
    <row r="1173" spans="1:21" x14ac:dyDescent="0.25">
      <c r="A1173" s="27" t="s">
        <v>1687</v>
      </c>
      <c r="B1173" s="27" t="str">
        <f t="shared" si="81"/>
        <v>Virginia</v>
      </c>
      <c r="C1173" s="27" t="str">
        <f t="shared" si="82"/>
        <v>Prince George</v>
      </c>
      <c r="D1173" s="3">
        <v>1494</v>
      </c>
      <c r="E1173" s="10">
        <v>70</v>
      </c>
      <c r="F1173" s="2">
        <v>165</v>
      </c>
      <c r="G1173" s="2">
        <v>2167</v>
      </c>
      <c r="H1173" s="89">
        <f>'VA post'!K88</f>
        <v>93.454545454545453</v>
      </c>
      <c r="I1173" s="12">
        <v>145278.74</v>
      </c>
      <c r="J1173" s="7">
        <v>27</v>
      </c>
      <c r="K1173" s="2">
        <v>142500</v>
      </c>
      <c r="L1173" s="41">
        <v>1925</v>
      </c>
      <c r="N1173" s="27" t="s">
        <v>464</v>
      </c>
      <c r="O1173" s="27" t="s">
        <v>465</v>
      </c>
      <c r="P1173" s="27" t="s">
        <v>466</v>
      </c>
      <c r="Q1173" s="27" t="s">
        <v>464</v>
      </c>
      <c r="R1173" s="27" t="s">
        <v>466</v>
      </c>
      <c r="S1173" s="10" t="s">
        <v>467</v>
      </c>
      <c r="T1173" s="10" t="str">
        <f t="shared" si="83"/>
        <v>https://babel.hathitrust.org/cgi/pt?id=uc1.b2981990;view=1up;seq=136</v>
      </c>
      <c r="U1173" s="10" t="str">
        <f t="shared" si="84"/>
        <v>https://babel.hathitrust.org/cgi/pt?id=uc1.b2981990;view=1up;seq=136</v>
      </c>
    </row>
    <row r="1174" spans="1:21" x14ac:dyDescent="0.25">
      <c r="A1174" s="27" t="s">
        <v>1688</v>
      </c>
      <c r="B1174" s="27" t="str">
        <f t="shared" si="81"/>
        <v>Virginia</v>
      </c>
      <c r="C1174" s="27" t="str">
        <f t="shared" si="82"/>
        <v>Princess Anne</v>
      </c>
      <c r="D1174" s="3">
        <v>2373</v>
      </c>
      <c r="E1174" s="37">
        <v>89</v>
      </c>
      <c r="F1174" s="2">
        <v>180</v>
      </c>
      <c r="G1174" s="2">
        <v>3045</v>
      </c>
      <c r="H1174" s="89">
        <f>'VA post'!K89</f>
        <v>77.888888888888886</v>
      </c>
      <c r="I1174" s="12">
        <v>187641.61</v>
      </c>
      <c r="J1174" s="7">
        <v>31</v>
      </c>
      <c r="K1174" s="2">
        <v>141000</v>
      </c>
      <c r="L1174" s="41">
        <v>1925</v>
      </c>
      <c r="N1174" s="27" t="s">
        <v>464</v>
      </c>
      <c r="O1174" s="27" t="s">
        <v>465</v>
      </c>
      <c r="P1174" s="27" t="s">
        <v>466</v>
      </c>
      <c r="Q1174" s="27" t="s">
        <v>464</v>
      </c>
      <c r="R1174" s="27" t="s">
        <v>466</v>
      </c>
      <c r="S1174" s="10" t="s">
        <v>467</v>
      </c>
      <c r="T1174" s="10" t="str">
        <f t="shared" si="83"/>
        <v>https://babel.hathitrust.org/cgi/pt?id=uc1.b2981990;view=1up;seq=136</v>
      </c>
      <c r="U1174" s="10" t="str">
        <f t="shared" si="84"/>
        <v>https://babel.hathitrust.org/cgi/pt?id=uc1.b2981990;view=1up;seq=136</v>
      </c>
    </row>
    <row r="1175" spans="1:21" x14ac:dyDescent="0.25">
      <c r="A1175" s="27" t="s">
        <v>1689</v>
      </c>
      <c r="B1175" s="27" t="str">
        <f t="shared" si="81"/>
        <v>Virginia</v>
      </c>
      <c r="C1175" s="27" t="str">
        <f t="shared" si="82"/>
        <v>Prince William</v>
      </c>
      <c r="D1175" s="3">
        <v>1983</v>
      </c>
      <c r="E1175" s="37">
        <v>94</v>
      </c>
      <c r="F1175" s="2">
        <v>168</v>
      </c>
      <c r="G1175" s="2">
        <v>2713</v>
      </c>
      <c r="H1175" s="89">
        <f>'VA post'!K90</f>
        <v>87.023809523809518</v>
      </c>
      <c r="I1175" s="12">
        <v>111028.84</v>
      </c>
      <c r="J1175" s="7">
        <v>49</v>
      </c>
      <c r="K1175" s="2">
        <v>121500</v>
      </c>
      <c r="L1175" s="41">
        <v>1925</v>
      </c>
      <c r="N1175" s="27" t="s">
        <v>464</v>
      </c>
      <c r="O1175" s="27" t="s">
        <v>465</v>
      </c>
      <c r="P1175" s="27" t="s">
        <v>466</v>
      </c>
      <c r="Q1175" s="27" t="s">
        <v>464</v>
      </c>
      <c r="R1175" s="27" t="s">
        <v>466</v>
      </c>
      <c r="S1175" s="10" t="s">
        <v>467</v>
      </c>
      <c r="T1175" s="10" t="str">
        <f t="shared" si="83"/>
        <v>https://babel.hathitrust.org/cgi/pt?id=uc1.b2981990;view=1up;seq=136</v>
      </c>
      <c r="U1175" s="10" t="str">
        <f t="shared" si="84"/>
        <v>https://babel.hathitrust.org/cgi/pt?id=uc1.b2981990;view=1up;seq=136</v>
      </c>
    </row>
    <row r="1176" spans="1:21" x14ac:dyDescent="0.25">
      <c r="A1176" s="27" t="s">
        <v>1690</v>
      </c>
      <c r="B1176" s="27" t="str">
        <f t="shared" si="81"/>
        <v>Virginia</v>
      </c>
      <c r="C1176" s="27" t="str">
        <f t="shared" si="82"/>
        <v>Pulaski</v>
      </c>
      <c r="D1176" s="3">
        <v>2950</v>
      </c>
      <c r="E1176" s="37">
        <v>119</v>
      </c>
      <c r="F1176" s="2">
        <v>164</v>
      </c>
      <c r="G1176" s="29">
        <v>4079</v>
      </c>
      <c r="H1176" s="89">
        <f>'VA post'!K91</f>
        <v>83.658536585365866</v>
      </c>
      <c r="I1176" s="12">
        <v>164848.31</v>
      </c>
      <c r="J1176" s="7">
        <v>46</v>
      </c>
      <c r="K1176" s="2">
        <v>390200</v>
      </c>
      <c r="L1176" s="41">
        <v>1925</v>
      </c>
      <c r="N1176" s="27" t="s">
        <v>464</v>
      </c>
      <c r="O1176" s="27" t="s">
        <v>465</v>
      </c>
      <c r="P1176" s="27" t="s">
        <v>466</v>
      </c>
      <c r="Q1176" s="27" t="s">
        <v>464</v>
      </c>
      <c r="R1176" s="27" t="s">
        <v>466</v>
      </c>
      <c r="S1176" s="10" t="s">
        <v>467</v>
      </c>
      <c r="T1176" s="10" t="str">
        <f t="shared" si="83"/>
        <v>https://babel.hathitrust.org/cgi/pt?id=uc1.b2981990;view=1up;seq=136</v>
      </c>
      <c r="U1176" s="10" t="str">
        <f t="shared" si="84"/>
        <v>https://babel.hathitrust.org/cgi/pt?id=uc1.b2981990;view=1up;seq=136</v>
      </c>
    </row>
    <row r="1177" spans="1:21" s="98" customFormat="1" x14ac:dyDescent="0.25">
      <c r="A1177" s="98" t="s">
        <v>1737</v>
      </c>
      <c r="B1177" s="98" t="str">
        <f t="shared" si="81"/>
        <v>Virginia</v>
      </c>
      <c r="C1177" s="98" t="str">
        <f t="shared" si="82"/>
        <v>Radford</v>
      </c>
      <c r="D1177" s="103">
        <v>1196</v>
      </c>
      <c r="E1177" s="104">
        <v>38</v>
      </c>
      <c r="F1177" s="99">
        <v>179</v>
      </c>
      <c r="G1177" s="99">
        <v>1486</v>
      </c>
      <c r="H1177" s="89">
        <f>'VA post'!K92</f>
        <v>97.206703910614536</v>
      </c>
      <c r="I1177" s="105">
        <v>74726.100000000006</v>
      </c>
      <c r="J1177" s="98">
        <v>7</v>
      </c>
      <c r="K1177" s="99">
        <v>143000</v>
      </c>
      <c r="L1177" s="101">
        <v>1925</v>
      </c>
      <c r="N1177" s="98" t="s">
        <v>464</v>
      </c>
      <c r="O1177" s="98" t="s">
        <v>465</v>
      </c>
      <c r="P1177" s="98" t="s">
        <v>466</v>
      </c>
      <c r="Q1177" s="98" t="s">
        <v>464</v>
      </c>
      <c r="R1177" s="98" t="s">
        <v>466</v>
      </c>
      <c r="S1177" s="104" t="s">
        <v>467</v>
      </c>
      <c r="T1177" s="10" t="str">
        <f t="shared" si="83"/>
        <v>https://babel.hathitrust.org/cgi/pt?id=uc1.b2981990;view=1up;seq=136</v>
      </c>
      <c r="U1177" s="10" t="str">
        <f t="shared" si="84"/>
        <v>https://babel.hathitrust.org/cgi/pt?id=uc1.b2981990;view=1up;seq=136</v>
      </c>
    </row>
    <row r="1178" spans="1:21" x14ac:dyDescent="0.25">
      <c r="A1178" s="27" t="s">
        <v>1691</v>
      </c>
      <c r="B1178" s="27" t="str">
        <f t="shared" si="81"/>
        <v>Virginia</v>
      </c>
      <c r="C1178" s="27" t="str">
        <f t="shared" si="82"/>
        <v>Rappahannock</v>
      </c>
      <c r="D1178" s="3">
        <v>1194</v>
      </c>
      <c r="E1178" s="37">
        <v>62</v>
      </c>
      <c r="F1178" s="2">
        <v>161</v>
      </c>
      <c r="G1178" s="29">
        <v>1844</v>
      </c>
      <c r="H1178" s="89">
        <f>'VA post'!K93</f>
        <v>84.596273291925456</v>
      </c>
      <c r="I1178" s="12">
        <v>55623.01</v>
      </c>
      <c r="J1178" s="7">
        <v>36</v>
      </c>
      <c r="K1178" s="2">
        <v>138200</v>
      </c>
      <c r="L1178" s="41">
        <v>1925</v>
      </c>
      <c r="N1178" s="27" t="s">
        <v>464</v>
      </c>
      <c r="O1178" s="27" t="s">
        <v>465</v>
      </c>
      <c r="P1178" s="27" t="s">
        <v>466</v>
      </c>
      <c r="Q1178" s="27" t="s">
        <v>464</v>
      </c>
      <c r="R1178" s="27" t="s">
        <v>466</v>
      </c>
      <c r="S1178" s="10" t="s">
        <v>467</v>
      </c>
      <c r="T1178" s="10" t="str">
        <f t="shared" si="83"/>
        <v>https://babel.hathitrust.org/cgi/pt?id=uc1.b2981990;view=1up;seq=136</v>
      </c>
      <c r="U1178" s="10" t="str">
        <f t="shared" si="84"/>
        <v>https://babel.hathitrust.org/cgi/pt?id=uc1.b2981990;view=1up;seq=136</v>
      </c>
    </row>
    <row r="1179" spans="1:21" s="98" customFormat="1" x14ac:dyDescent="0.25">
      <c r="A1179" s="98" t="s">
        <v>1738</v>
      </c>
      <c r="B1179" s="98" t="str">
        <f t="shared" si="81"/>
        <v>Virginia</v>
      </c>
      <c r="C1179" s="98" t="str">
        <f t="shared" si="82"/>
        <v>Richmond City</v>
      </c>
      <c r="D1179" s="103">
        <v>27249</v>
      </c>
      <c r="E1179" s="104">
        <v>915</v>
      </c>
      <c r="F1179" s="99">
        <v>180</v>
      </c>
      <c r="G1179" s="99">
        <v>34084</v>
      </c>
      <c r="H1179" s="89">
        <f>'VA post'!K94</f>
        <v>159.33333333333334</v>
      </c>
      <c r="I1179" s="105">
        <v>2385784.5099999998</v>
      </c>
      <c r="J1179" s="98">
        <v>44</v>
      </c>
      <c r="K1179" s="99">
        <v>6386889</v>
      </c>
      <c r="L1179" s="101">
        <v>1925</v>
      </c>
      <c r="N1179" s="98" t="s">
        <v>464</v>
      </c>
      <c r="O1179" s="98" t="s">
        <v>465</v>
      </c>
      <c r="P1179" s="98" t="s">
        <v>466</v>
      </c>
      <c r="Q1179" s="98" t="s">
        <v>464</v>
      </c>
      <c r="R1179" s="98" t="s">
        <v>466</v>
      </c>
      <c r="S1179" s="104" t="s">
        <v>467</v>
      </c>
      <c r="T1179" s="10" t="str">
        <f t="shared" si="83"/>
        <v>https://babel.hathitrust.org/cgi/pt?id=uc1.b2981990;view=1up;seq=136</v>
      </c>
      <c r="U1179" s="10" t="str">
        <f t="shared" si="84"/>
        <v>https://babel.hathitrust.org/cgi/pt?id=uc1.b2981990;view=1up;seq=136</v>
      </c>
    </row>
    <row r="1180" spans="1:21" s="7" customFormat="1" x14ac:dyDescent="0.25">
      <c r="A1180" s="7" t="s">
        <v>1692</v>
      </c>
      <c r="B1180" s="7" t="str">
        <f t="shared" si="81"/>
        <v>Virginia</v>
      </c>
      <c r="C1180" s="7" t="str">
        <f t="shared" si="82"/>
        <v>Richmond</v>
      </c>
      <c r="D1180" s="38">
        <v>1693</v>
      </c>
      <c r="E1180" s="37">
        <v>55</v>
      </c>
      <c r="F1180" s="29">
        <v>145</v>
      </c>
      <c r="G1180" s="29">
        <v>2006</v>
      </c>
      <c r="H1180" s="89">
        <f>'VA post'!K95</f>
        <v>77.241379310344826</v>
      </c>
      <c r="I1180" s="106">
        <v>39936.07</v>
      </c>
      <c r="J1180" s="7">
        <v>32</v>
      </c>
      <c r="K1180" s="29">
        <v>108000</v>
      </c>
      <c r="L1180" s="82">
        <v>1925</v>
      </c>
      <c r="N1180" s="7" t="s">
        <v>464</v>
      </c>
      <c r="O1180" s="7" t="s">
        <v>465</v>
      </c>
      <c r="P1180" s="7" t="s">
        <v>466</v>
      </c>
      <c r="Q1180" s="7" t="s">
        <v>464</v>
      </c>
      <c r="R1180" s="7" t="s">
        <v>466</v>
      </c>
      <c r="S1180" s="37" t="s">
        <v>467</v>
      </c>
      <c r="T1180" s="10" t="str">
        <f t="shared" si="83"/>
        <v>https://babel.hathitrust.org/cgi/pt?id=uc1.b2981990;view=1up;seq=136</v>
      </c>
      <c r="U1180" s="10" t="str">
        <f t="shared" si="84"/>
        <v>https://babel.hathitrust.org/cgi/pt?id=uc1.b2981990;view=1up;seq=136</v>
      </c>
    </row>
    <row r="1181" spans="1:21" s="98" customFormat="1" x14ac:dyDescent="0.25">
      <c r="A1181" s="98" t="s">
        <v>1739</v>
      </c>
      <c r="B1181" s="98" t="str">
        <f t="shared" si="81"/>
        <v>Virginia</v>
      </c>
      <c r="C1181" s="98" t="str">
        <f t="shared" si="82"/>
        <v>Roanoke City</v>
      </c>
      <c r="D1181" s="103">
        <v>10952</v>
      </c>
      <c r="E1181" s="104">
        <v>383</v>
      </c>
      <c r="F1181" s="99">
        <v>180</v>
      </c>
      <c r="G1181" s="99">
        <v>13209</v>
      </c>
      <c r="H1181" s="89">
        <f>'VA post'!K96</f>
        <v>133.66666666666666</v>
      </c>
      <c r="I1181" s="105">
        <v>824561.79</v>
      </c>
      <c r="J1181" s="98">
        <v>18</v>
      </c>
      <c r="K1181" s="99">
        <v>2150000</v>
      </c>
      <c r="L1181" s="101">
        <v>1925</v>
      </c>
      <c r="N1181" s="98" t="s">
        <v>464</v>
      </c>
      <c r="O1181" s="98" t="s">
        <v>465</v>
      </c>
      <c r="P1181" s="98" t="s">
        <v>466</v>
      </c>
      <c r="Q1181" s="98" t="s">
        <v>464</v>
      </c>
      <c r="R1181" s="98" t="s">
        <v>466</v>
      </c>
      <c r="S1181" s="104" t="s">
        <v>467</v>
      </c>
      <c r="T1181" s="10" t="str">
        <f t="shared" si="83"/>
        <v>https://babel.hathitrust.org/cgi/pt?id=uc1.b2981990;view=1up;seq=136</v>
      </c>
      <c r="U1181" s="10" t="str">
        <f t="shared" si="84"/>
        <v>https://babel.hathitrust.org/cgi/pt?id=uc1.b2981990;view=1up;seq=136</v>
      </c>
    </row>
    <row r="1182" spans="1:21" x14ac:dyDescent="0.25">
      <c r="A1182" s="27" t="s">
        <v>1693</v>
      </c>
      <c r="B1182" s="27" t="str">
        <f t="shared" si="81"/>
        <v>Virginia</v>
      </c>
      <c r="C1182" s="27" t="str">
        <f t="shared" si="82"/>
        <v>Roanoke</v>
      </c>
      <c r="D1182" s="38">
        <v>4718</v>
      </c>
      <c r="E1182" s="37">
        <v>169</v>
      </c>
      <c r="F1182" s="2">
        <v>174</v>
      </c>
      <c r="G1182" s="29">
        <v>6129</v>
      </c>
      <c r="H1182" s="89">
        <f>'VA post'!K97</f>
        <v>86.781609195402311</v>
      </c>
      <c r="I1182" s="12">
        <v>280805.42</v>
      </c>
      <c r="J1182" s="7">
        <v>55</v>
      </c>
      <c r="K1182" s="2">
        <v>630000</v>
      </c>
      <c r="L1182" s="41">
        <v>1925</v>
      </c>
      <c r="N1182" s="27" t="s">
        <v>464</v>
      </c>
      <c r="O1182" s="27" t="s">
        <v>465</v>
      </c>
      <c r="P1182" s="27" t="s">
        <v>466</v>
      </c>
      <c r="Q1182" s="27" t="s">
        <v>464</v>
      </c>
      <c r="R1182" s="27" t="s">
        <v>466</v>
      </c>
      <c r="S1182" s="10" t="s">
        <v>467</v>
      </c>
      <c r="T1182" s="10" t="str">
        <f t="shared" si="83"/>
        <v>https://babel.hathitrust.org/cgi/pt?id=uc1.b2981990;view=1up;seq=136</v>
      </c>
      <c r="U1182" s="10" t="str">
        <f t="shared" si="84"/>
        <v>https://babel.hathitrust.org/cgi/pt?id=uc1.b2981990;view=1up;seq=136</v>
      </c>
    </row>
    <row r="1183" spans="1:21" x14ac:dyDescent="0.25">
      <c r="A1183" s="27" t="s">
        <v>1694</v>
      </c>
      <c r="B1183" s="27" t="str">
        <f t="shared" si="81"/>
        <v>Virginia</v>
      </c>
      <c r="C1183" s="27" t="str">
        <f t="shared" si="82"/>
        <v>Rockbridge</v>
      </c>
      <c r="D1183" s="38">
        <v>3352</v>
      </c>
      <c r="E1183" s="37">
        <v>172</v>
      </c>
      <c r="F1183" s="2">
        <v>162</v>
      </c>
      <c r="G1183" s="29">
        <v>4736</v>
      </c>
      <c r="H1183" s="89">
        <f>'VA post'!K98</f>
        <v>77.901234567901241</v>
      </c>
      <c r="I1183" s="12">
        <v>186532.41</v>
      </c>
      <c r="J1183" s="7">
        <v>85</v>
      </c>
      <c r="K1183" s="2">
        <v>192078</v>
      </c>
      <c r="L1183" s="41">
        <v>1925</v>
      </c>
      <c r="N1183" s="27" t="s">
        <v>464</v>
      </c>
      <c r="O1183" s="27" t="s">
        <v>465</v>
      </c>
      <c r="P1183" s="27" t="s">
        <v>466</v>
      </c>
      <c r="Q1183" s="27" t="s">
        <v>464</v>
      </c>
      <c r="R1183" s="27" t="s">
        <v>466</v>
      </c>
      <c r="S1183" s="10" t="s">
        <v>467</v>
      </c>
      <c r="T1183" s="10" t="str">
        <f t="shared" si="83"/>
        <v>https://babel.hathitrust.org/cgi/pt?id=uc1.b2981990;view=1up;seq=136</v>
      </c>
      <c r="U1183" s="10" t="str">
        <f t="shared" si="84"/>
        <v>https://babel.hathitrust.org/cgi/pt?id=uc1.b2981990;view=1up;seq=136</v>
      </c>
    </row>
    <row r="1184" spans="1:21" x14ac:dyDescent="0.25">
      <c r="A1184" s="27" t="s">
        <v>1695</v>
      </c>
      <c r="B1184" s="27" t="str">
        <f t="shared" si="81"/>
        <v>Virginia</v>
      </c>
      <c r="C1184" s="27" t="str">
        <f t="shared" si="82"/>
        <v>Rockingham</v>
      </c>
      <c r="D1184" s="38">
        <v>5733</v>
      </c>
      <c r="E1184" s="37">
        <v>275</v>
      </c>
      <c r="F1184" s="2">
        <v>159</v>
      </c>
      <c r="G1184" s="29">
        <v>7680</v>
      </c>
      <c r="H1184" s="89">
        <f>'VA post'!K99</f>
        <v>73.836477987421375</v>
      </c>
      <c r="I1184" s="12">
        <v>256993.65</v>
      </c>
      <c r="J1184" s="7">
        <v>121</v>
      </c>
      <c r="K1184" s="2">
        <v>530000</v>
      </c>
      <c r="L1184" s="41">
        <v>1925</v>
      </c>
      <c r="N1184" s="27" t="s">
        <v>464</v>
      </c>
      <c r="O1184" s="27" t="s">
        <v>465</v>
      </c>
      <c r="P1184" s="27" t="s">
        <v>466</v>
      </c>
      <c r="Q1184" s="27" t="s">
        <v>464</v>
      </c>
      <c r="R1184" s="27" t="s">
        <v>466</v>
      </c>
      <c r="S1184" s="10" t="s">
        <v>467</v>
      </c>
      <c r="T1184" s="10" t="str">
        <f t="shared" si="83"/>
        <v>https://babel.hathitrust.org/cgi/pt?id=uc1.b2981990;view=1up;seq=136</v>
      </c>
      <c r="U1184" s="10" t="str">
        <f t="shared" si="84"/>
        <v>https://babel.hathitrust.org/cgi/pt?id=uc1.b2981990;view=1up;seq=136</v>
      </c>
    </row>
    <row r="1185" spans="1:21" x14ac:dyDescent="0.25">
      <c r="A1185" s="27" t="s">
        <v>1696</v>
      </c>
      <c r="B1185" s="27" t="str">
        <f t="shared" si="81"/>
        <v>Virginia</v>
      </c>
      <c r="C1185" s="27" t="str">
        <f t="shared" si="82"/>
        <v>Russell</v>
      </c>
      <c r="D1185" s="38">
        <v>5335</v>
      </c>
      <c r="E1185" s="37">
        <v>186</v>
      </c>
      <c r="F1185" s="2">
        <v>156.4</v>
      </c>
      <c r="G1185" s="29">
        <v>7939</v>
      </c>
      <c r="H1185" s="89">
        <f>'VA post'!K100</f>
        <v>88.235294117647058</v>
      </c>
      <c r="I1185" s="12">
        <v>389163</v>
      </c>
      <c r="J1185" s="7">
        <v>93</v>
      </c>
      <c r="K1185" s="2">
        <v>349500</v>
      </c>
      <c r="L1185" s="41">
        <v>1925</v>
      </c>
      <c r="N1185" s="27" t="s">
        <v>464</v>
      </c>
      <c r="O1185" s="27" t="s">
        <v>465</v>
      </c>
      <c r="P1185" s="27" t="s">
        <v>466</v>
      </c>
      <c r="Q1185" s="27" t="s">
        <v>464</v>
      </c>
      <c r="R1185" s="27" t="s">
        <v>466</v>
      </c>
      <c r="S1185" s="10" t="s">
        <v>467</v>
      </c>
      <c r="T1185" s="10" t="str">
        <f t="shared" si="83"/>
        <v>https://babel.hathitrust.org/cgi/pt?id=uc1.b2981990;view=1up;seq=136</v>
      </c>
      <c r="U1185" s="10" t="str">
        <f t="shared" si="84"/>
        <v>https://babel.hathitrust.org/cgi/pt?id=uc1.b2981990;view=1up;seq=136</v>
      </c>
    </row>
    <row r="1186" spans="1:21" x14ac:dyDescent="0.25">
      <c r="A1186" s="27" t="s">
        <v>1697</v>
      </c>
      <c r="B1186" s="27" t="str">
        <f t="shared" si="81"/>
        <v>Virginia</v>
      </c>
      <c r="C1186" s="27" t="str">
        <f t="shared" si="82"/>
        <v>Scott</v>
      </c>
      <c r="D1186" s="38">
        <v>8550</v>
      </c>
      <c r="E1186" s="37">
        <v>160</v>
      </c>
      <c r="F1186" s="2">
        <v>135</v>
      </c>
      <c r="G1186" s="29">
        <v>9045</v>
      </c>
      <c r="H1186" s="89">
        <f>'VA post'!K101</f>
        <v>109.62962962962963</v>
      </c>
      <c r="I1186" s="12">
        <v>183446.32</v>
      </c>
      <c r="J1186" s="7">
        <v>66</v>
      </c>
      <c r="K1186" s="2">
        <v>534000</v>
      </c>
      <c r="L1186" s="41">
        <v>1925</v>
      </c>
      <c r="N1186" s="27" t="s">
        <v>464</v>
      </c>
      <c r="O1186" s="27" t="s">
        <v>465</v>
      </c>
      <c r="P1186" s="27" t="s">
        <v>466</v>
      </c>
      <c r="Q1186" s="27" t="s">
        <v>464</v>
      </c>
      <c r="R1186" s="27" t="s">
        <v>466</v>
      </c>
      <c r="S1186" s="10" t="s">
        <v>467</v>
      </c>
      <c r="T1186" s="10" t="str">
        <f t="shared" si="83"/>
        <v>https://babel.hathitrust.org/cgi/pt?id=uc1.b2981990;view=1up;seq=136</v>
      </c>
      <c r="U1186" s="10" t="str">
        <f t="shared" si="84"/>
        <v>https://babel.hathitrust.org/cgi/pt?id=uc1.b2981990;view=1up;seq=136</v>
      </c>
    </row>
    <row r="1187" spans="1:21" x14ac:dyDescent="0.25">
      <c r="A1187" s="27" t="s">
        <v>1698</v>
      </c>
      <c r="B1187" s="27" t="str">
        <f t="shared" si="81"/>
        <v>Virginia</v>
      </c>
      <c r="C1187" s="27" t="str">
        <f t="shared" si="82"/>
        <v>Shenandoah</v>
      </c>
      <c r="D1187" s="38">
        <v>3688</v>
      </c>
      <c r="E1187" s="37">
        <v>160</v>
      </c>
      <c r="F1187" s="2">
        <v>154</v>
      </c>
      <c r="G1187" s="29">
        <v>4801</v>
      </c>
      <c r="H1187" s="89">
        <f>'VA post'!K102</f>
        <v>74.805194805194802</v>
      </c>
      <c r="I1187" s="12">
        <v>161307.04999999999</v>
      </c>
      <c r="J1187" s="7">
        <v>80</v>
      </c>
      <c r="K1187" s="2">
        <v>349000</v>
      </c>
      <c r="L1187" s="41">
        <v>1925</v>
      </c>
      <c r="N1187" s="27" t="s">
        <v>464</v>
      </c>
      <c r="O1187" s="27" t="s">
        <v>465</v>
      </c>
      <c r="P1187" s="27" t="s">
        <v>466</v>
      </c>
      <c r="Q1187" s="27" t="s">
        <v>464</v>
      </c>
      <c r="R1187" s="27" t="s">
        <v>466</v>
      </c>
      <c r="S1187" s="10" t="s">
        <v>467</v>
      </c>
      <c r="T1187" s="10" t="str">
        <f t="shared" si="83"/>
        <v>https://babel.hathitrust.org/cgi/pt?id=uc1.b2981990;view=1up;seq=136</v>
      </c>
      <c r="U1187" s="10" t="str">
        <f t="shared" si="84"/>
        <v>https://babel.hathitrust.org/cgi/pt?id=uc1.b2981990;view=1up;seq=136</v>
      </c>
    </row>
    <row r="1188" spans="1:21" x14ac:dyDescent="0.25">
      <c r="A1188" s="27" t="s">
        <v>1699</v>
      </c>
      <c r="B1188" s="27" t="str">
        <f t="shared" si="81"/>
        <v>Virginia</v>
      </c>
      <c r="C1188" s="27" t="str">
        <f t="shared" si="82"/>
        <v>Smyth</v>
      </c>
      <c r="D1188" s="38">
        <v>4406</v>
      </c>
      <c r="E1188" s="37">
        <v>172</v>
      </c>
      <c r="F1188" s="2">
        <v>161</v>
      </c>
      <c r="G1188" s="29">
        <v>6324</v>
      </c>
      <c r="H1188" s="89">
        <f>'VA post'!K103</f>
        <v>84.596273291925456</v>
      </c>
      <c r="I1188" s="12">
        <v>145139.28</v>
      </c>
      <c r="J1188" s="7">
        <v>69</v>
      </c>
      <c r="K1188" s="2">
        <v>183000</v>
      </c>
      <c r="L1188" s="41">
        <v>1925</v>
      </c>
      <c r="N1188" s="27" t="s">
        <v>464</v>
      </c>
      <c r="O1188" s="27" t="s">
        <v>465</v>
      </c>
      <c r="P1188" s="27" t="s">
        <v>466</v>
      </c>
      <c r="Q1188" s="27" t="s">
        <v>464</v>
      </c>
      <c r="R1188" s="27" t="s">
        <v>466</v>
      </c>
      <c r="S1188" s="10" t="s">
        <v>467</v>
      </c>
      <c r="T1188" s="10" t="str">
        <f t="shared" si="83"/>
        <v>https://babel.hathitrust.org/cgi/pt?id=uc1.b2981990;view=1up;seq=136</v>
      </c>
      <c r="U1188" s="10" t="str">
        <f t="shared" si="84"/>
        <v>https://babel.hathitrust.org/cgi/pt?id=uc1.b2981990;view=1up;seq=136</v>
      </c>
    </row>
    <row r="1189" spans="1:21" x14ac:dyDescent="0.25">
      <c r="A1189" s="27" t="s">
        <v>1700</v>
      </c>
      <c r="B1189" s="27" t="str">
        <f t="shared" si="81"/>
        <v>Virginia</v>
      </c>
      <c r="C1189" s="27" t="str">
        <f t="shared" si="82"/>
        <v>Southampton</v>
      </c>
      <c r="D1189" s="38">
        <v>4027</v>
      </c>
      <c r="E1189" s="37">
        <v>195</v>
      </c>
      <c r="F1189" s="2">
        <v>157</v>
      </c>
      <c r="G1189" s="29">
        <v>7093</v>
      </c>
      <c r="H1189" s="89">
        <f>'VA post'!K104</f>
        <v>75.28662420382166</v>
      </c>
      <c r="I1189" s="12">
        <v>279013.08</v>
      </c>
      <c r="J1189" s="7">
        <v>92</v>
      </c>
      <c r="K1189" s="2">
        <v>414775</v>
      </c>
      <c r="L1189" s="41">
        <v>1925</v>
      </c>
      <c r="N1189" s="27" t="s">
        <v>464</v>
      </c>
      <c r="O1189" s="27" t="s">
        <v>465</v>
      </c>
      <c r="P1189" s="27" t="s">
        <v>466</v>
      </c>
      <c r="Q1189" s="27" t="s">
        <v>464</v>
      </c>
      <c r="R1189" s="27" t="s">
        <v>466</v>
      </c>
      <c r="S1189" s="10" t="s">
        <v>467</v>
      </c>
      <c r="T1189" s="10" t="str">
        <f t="shared" si="83"/>
        <v>https://babel.hathitrust.org/cgi/pt?id=uc1.b2981990;view=1up;seq=136</v>
      </c>
      <c r="U1189" s="10" t="str">
        <f t="shared" si="84"/>
        <v>https://babel.hathitrust.org/cgi/pt?id=uc1.b2981990;view=1up;seq=136</v>
      </c>
    </row>
    <row r="1190" spans="1:21" x14ac:dyDescent="0.25">
      <c r="A1190" s="27" t="s">
        <v>1701</v>
      </c>
      <c r="B1190" s="27" t="str">
        <f t="shared" si="81"/>
        <v>Virginia</v>
      </c>
      <c r="C1190" s="27" t="str">
        <f t="shared" si="82"/>
        <v>Spotsylvania</v>
      </c>
      <c r="D1190" s="38">
        <v>1897</v>
      </c>
      <c r="E1190" s="37">
        <v>80</v>
      </c>
      <c r="F1190" s="2">
        <v>159.19999999999999</v>
      </c>
      <c r="G1190" s="29">
        <v>2598</v>
      </c>
      <c r="H1190" s="89">
        <f>'VA post'!K105</f>
        <v>65.829145728643226</v>
      </c>
      <c r="I1190" s="12">
        <v>58097.11</v>
      </c>
      <c r="J1190" s="7">
        <v>42</v>
      </c>
      <c r="K1190" s="2">
        <v>102000</v>
      </c>
      <c r="L1190" s="41">
        <v>1925</v>
      </c>
      <c r="N1190" s="27" t="s">
        <v>464</v>
      </c>
      <c r="O1190" s="27" t="s">
        <v>465</v>
      </c>
      <c r="P1190" s="27" t="s">
        <v>466</v>
      </c>
      <c r="Q1190" s="27" t="s">
        <v>464</v>
      </c>
      <c r="R1190" s="27" t="s">
        <v>466</v>
      </c>
      <c r="S1190" s="10" t="s">
        <v>467</v>
      </c>
      <c r="T1190" s="10" t="str">
        <f t="shared" si="83"/>
        <v>https://babel.hathitrust.org/cgi/pt?id=uc1.b2981990;view=1up;seq=136</v>
      </c>
      <c r="U1190" s="10" t="str">
        <f t="shared" si="84"/>
        <v>https://babel.hathitrust.org/cgi/pt?id=uc1.b2981990;view=1up;seq=136</v>
      </c>
    </row>
    <row r="1191" spans="1:21" x14ac:dyDescent="0.25">
      <c r="A1191" s="27" t="s">
        <v>1702</v>
      </c>
      <c r="B1191" s="27" t="str">
        <f t="shared" si="81"/>
        <v>Virginia</v>
      </c>
      <c r="C1191" s="27" t="str">
        <f t="shared" si="82"/>
        <v>Stafford</v>
      </c>
      <c r="D1191" s="38">
        <v>1099</v>
      </c>
      <c r="E1191" s="37">
        <v>58</v>
      </c>
      <c r="F1191" s="2">
        <v>143</v>
      </c>
      <c r="G1191" s="29">
        <v>1526</v>
      </c>
      <c r="H1191" s="89">
        <f>'VA post'!K106</f>
        <v>74.4055944055944</v>
      </c>
      <c r="I1191" s="12">
        <v>49502.1</v>
      </c>
      <c r="J1191" s="7">
        <v>39</v>
      </c>
      <c r="K1191" s="2">
        <v>69200</v>
      </c>
      <c r="L1191" s="41">
        <v>1925</v>
      </c>
      <c r="N1191" s="27" t="s">
        <v>464</v>
      </c>
      <c r="O1191" s="27" t="s">
        <v>465</v>
      </c>
      <c r="P1191" s="27" t="s">
        <v>466</v>
      </c>
      <c r="Q1191" s="27" t="s">
        <v>464</v>
      </c>
      <c r="R1191" s="27" t="s">
        <v>466</v>
      </c>
      <c r="S1191" s="10" t="s">
        <v>467</v>
      </c>
      <c r="T1191" s="10" t="str">
        <f t="shared" si="83"/>
        <v>https://babel.hathitrust.org/cgi/pt?id=uc1.b2981990;view=1up;seq=136</v>
      </c>
      <c r="U1191" s="10" t="str">
        <f t="shared" si="84"/>
        <v>https://babel.hathitrust.org/cgi/pt?id=uc1.b2981990;view=1up;seq=136</v>
      </c>
    </row>
    <row r="1192" spans="1:21" s="98" customFormat="1" x14ac:dyDescent="0.25">
      <c r="A1192" s="98" t="s">
        <v>1741</v>
      </c>
      <c r="B1192" s="98" t="str">
        <f t="shared" si="81"/>
        <v>Virginia</v>
      </c>
      <c r="C1192" s="98" t="str">
        <f t="shared" si="82"/>
        <v>Staunton</v>
      </c>
      <c r="D1192" s="103">
        <v>1421</v>
      </c>
      <c r="E1192" s="104">
        <v>51</v>
      </c>
      <c r="F1192" s="99">
        <v>186</v>
      </c>
      <c r="G1192" s="99">
        <v>1668</v>
      </c>
      <c r="H1192" s="89">
        <f>'VA post'!K107</f>
        <v>117.2043010752688</v>
      </c>
      <c r="I1192" s="105">
        <v>78721.73</v>
      </c>
      <c r="J1192" s="98">
        <v>5</v>
      </c>
      <c r="K1192" s="99">
        <v>180500</v>
      </c>
      <c r="L1192" s="101">
        <v>1925</v>
      </c>
      <c r="N1192" s="98" t="s">
        <v>464</v>
      </c>
      <c r="O1192" s="98" t="s">
        <v>465</v>
      </c>
      <c r="P1192" s="98" t="s">
        <v>466</v>
      </c>
      <c r="Q1192" s="98" t="s">
        <v>464</v>
      </c>
      <c r="R1192" s="98" t="s">
        <v>466</v>
      </c>
      <c r="S1192" s="104" t="s">
        <v>467</v>
      </c>
      <c r="T1192" s="10" t="str">
        <f t="shared" si="83"/>
        <v>https://babel.hathitrust.org/cgi/pt?id=uc1.b2981990;view=1up;seq=136</v>
      </c>
      <c r="U1192" s="10" t="str">
        <f t="shared" si="84"/>
        <v>https://babel.hathitrust.org/cgi/pt?id=uc1.b2981990;view=1up;seq=136</v>
      </c>
    </row>
    <row r="1193" spans="1:21" x14ac:dyDescent="0.25">
      <c r="A1193" s="27" t="s">
        <v>1703</v>
      </c>
      <c r="B1193" s="27" t="str">
        <f t="shared" si="81"/>
        <v>Virginia</v>
      </c>
      <c r="C1193" s="27" t="str">
        <f t="shared" si="82"/>
        <v>Surry</v>
      </c>
      <c r="D1193" s="38">
        <v>1710</v>
      </c>
      <c r="E1193" s="37">
        <v>73</v>
      </c>
      <c r="F1193" s="2">
        <v>150</v>
      </c>
      <c r="G1193" s="29">
        <v>2552</v>
      </c>
      <c r="H1193" s="89">
        <f>'VA post'!K108</f>
        <v>75.466666666666669</v>
      </c>
      <c r="I1193" s="12">
        <v>77172.58</v>
      </c>
      <c r="J1193" s="7">
        <v>36</v>
      </c>
      <c r="K1193" s="2">
        <v>115000</v>
      </c>
      <c r="L1193" s="41">
        <v>1925</v>
      </c>
      <c r="N1193" s="27" t="s">
        <v>464</v>
      </c>
      <c r="O1193" s="27" t="s">
        <v>465</v>
      </c>
      <c r="P1193" s="27" t="s">
        <v>466</v>
      </c>
      <c r="Q1193" s="27" t="s">
        <v>464</v>
      </c>
      <c r="R1193" s="27" t="s">
        <v>466</v>
      </c>
      <c r="S1193" s="10" t="s">
        <v>467</v>
      </c>
      <c r="T1193" s="10" t="str">
        <f t="shared" si="83"/>
        <v>https://babel.hathitrust.org/cgi/pt?id=uc1.b2981990;view=1up;seq=136</v>
      </c>
      <c r="U1193" s="10" t="str">
        <f t="shared" si="84"/>
        <v>https://babel.hathitrust.org/cgi/pt?id=uc1.b2981990;view=1up;seq=136</v>
      </c>
    </row>
    <row r="1194" spans="1:21" x14ac:dyDescent="0.25">
      <c r="A1194" s="27" t="s">
        <v>1704</v>
      </c>
      <c r="B1194" s="27" t="str">
        <f t="shared" si="81"/>
        <v>Virginia</v>
      </c>
      <c r="C1194" s="27" t="str">
        <f t="shared" si="82"/>
        <v>Sussex</v>
      </c>
      <c r="D1194" s="38">
        <v>2114</v>
      </c>
      <c r="E1194" s="37">
        <v>89</v>
      </c>
      <c r="F1194" s="2">
        <v>167</v>
      </c>
      <c r="G1194" s="29">
        <v>3395</v>
      </c>
      <c r="H1194" s="89">
        <f>'VA post'!K109</f>
        <v>89.70059880239522</v>
      </c>
      <c r="I1194" s="12">
        <v>119629.67</v>
      </c>
      <c r="J1194" s="7">
        <v>31</v>
      </c>
      <c r="K1194" s="2">
        <v>235248</v>
      </c>
      <c r="L1194" s="41">
        <v>1925</v>
      </c>
      <c r="N1194" s="27" t="s">
        <v>464</v>
      </c>
      <c r="O1194" s="27" t="s">
        <v>465</v>
      </c>
      <c r="P1194" s="27" t="s">
        <v>466</v>
      </c>
      <c r="Q1194" s="27" t="s">
        <v>464</v>
      </c>
      <c r="R1194" s="27" t="s">
        <v>466</v>
      </c>
      <c r="S1194" s="10" t="s">
        <v>467</v>
      </c>
      <c r="T1194" s="10" t="str">
        <f t="shared" si="83"/>
        <v>https://babel.hathitrust.org/cgi/pt?id=uc1.b2981990;view=1up;seq=136</v>
      </c>
      <c r="U1194" s="10" t="str">
        <f t="shared" si="84"/>
        <v>https://babel.hathitrust.org/cgi/pt?id=uc1.b2981990;view=1up;seq=136</v>
      </c>
    </row>
    <row r="1195" spans="1:21" x14ac:dyDescent="0.25">
      <c r="A1195" s="27" t="s">
        <v>1705</v>
      </c>
      <c r="B1195" s="27" t="str">
        <f t="shared" si="81"/>
        <v>Virginia</v>
      </c>
      <c r="C1195" s="27" t="str">
        <f t="shared" si="82"/>
        <v>Tazewell</v>
      </c>
      <c r="D1195" s="38">
        <v>5537</v>
      </c>
      <c r="E1195" s="37">
        <v>223</v>
      </c>
      <c r="F1195" s="2">
        <v>156</v>
      </c>
      <c r="G1195" s="29">
        <v>8018</v>
      </c>
      <c r="H1195" s="89">
        <f>'VA post'!K110</f>
        <v>95.769230769230774</v>
      </c>
      <c r="I1195" s="12">
        <v>251809.99</v>
      </c>
      <c r="J1195" s="7">
        <v>81</v>
      </c>
      <c r="K1195" s="2">
        <v>500000</v>
      </c>
      <c r="L1195" s="41">
        <v>1925</v>
      </c>
      <c r="N1195" s="27" t="s">
        <v>464</v>
      </c>
      <c r="O1195" s="27" t="s">
        <v>465</v>
      </c>
      <c r="P1195" s="27" t="s">
        <v>466</v>
      </c>
      <c r="Q1195" s="27" t="s">
        <v>464</v>
      </c>
      <c r="R1195" s="27" t="s">
        <v>466</v>
      </c>
      <c r="S1195" s="10" t="s">
        <v>467</v>
      </c>
      <c r="T1195" s="10" t="str">
        <f t="shared" si="83"/>
        <v>https://babel.hathitrust.org/cgi/pt?id=uc1.b2981990;view=1up;seq=136</v>
      </c>
      <c r="U1195" s="10" t="str">
        <f t="shared" si="84"/>
        <v>https://babel.hathitrust.org/cgi/pt?id=uc1.b2981990;view=1up;seq=136</v>
      </c>
    </row>
    <row r="1196" spans="1:21" x14ac:dyDescent="0.25">
      <c r="A1196" s="27" t="s">
        <v>1706</v>
      </c>
      <c r="B1196" s="27" t="str">
        <f t="shared" si="81"/>
        <v>Virginia</v>
      </c>
      <c r="C1196" s="27" t="str">
        <f t="shared" si="82"/>
        <v>Warren</v>
      </c>
      <c r="D1196" s="38">
        <v>1490</v>
      </c>
      <c r="E1196" s="37">
        <v>65</v>
      </c>
      <c r="F1196" s="2">
        <v>168</v>
      </c>
      <c r="G1196" s="29">
        <v>2028</v>
      </c>
      <c r="H1196" s="89">
        <f>'VA post'!K111</f>
        <v>69.047619047619051</v>
      </c>
      <c r="I1196" s="12">
        <v>70213.179999999993</v>
      </c>
      <c r="J1196" s="7">
        <v>39</v>
      </c>
      <c r="K1196" s="2">
        <v>166800</v>
      </c>
      <c r="L1196" s="41">
        <v>1925</v>
      </c>
      <c r="N1196" s="27" t="s">
        <v>464</v>
      </c>
      <c r="O1196" s="27" t="s">
        <v>465</v>
      </c>
      <c r="P1196" s="27" t="s">
        <v>466</v>
      </c>
      <c r="Q1196" s="27" t="s">
        <v>464</v>
      </c>
      <c r="R1196" s="27" t="s">
        <v>466</v>
      </c>
      <c r="S1196" s="10" t="s">
        <v>467</v>
      </c>
      <c r="T1196" s="10" t="str">
        <f t="shared" si="83"/>
        <v>https://babel.hathitrust.org/cgi/pt?id=uc1.b2981990;view=1up;seq=136</v>
      </c>
      <c r="U1196" s="10" t="str">
        <f t="shared" si="84"/>
        <v>https://babel.hathitrust.org/cgi/pt?id=uc1.b2981990;view=1up;seq=136</v>
      </c>
    </row>
    <row r="1197" spans="1:21" x14ac:dyDescent="0.25">
      <c r="A1197" s="27" t="s">
        <v>1707</v>
      </c>
      <c r="B1197" s="27" t="str">
        <f t="shared" si="81"/>
        <v>Virginia</v>
      </c>
      <c r="C1197" s="27" t="str">
        <f t="shared" si="82"/>
        <v>Warwick</v>
      </c>
      <c r="D1197" s="38">
        <v>1065</v>
      </c>
      <c r="E1197" s="37">
        <v>41</v>
      </c>
      <c r="F1197" s="2">
        <v>169</v>
      </c>
      <c r="G1197" s="29">
        <v>1385</v>
      </c>
      <c r="H1197" s="89">
        <f>'VA post'!K112</f>
        <v>98.816568047337284</v>
      </c>
      <c r="I1197" s="12">
        <v>89157.74</v>
      </c>
      <c r="J1197" s="7">
        <v>10</v>
      </c>
      <c r="K1197" s="2">
        <v>133946</v>
      </c>
      <c r="L1197" s="41">
        <v>1925</v>
      </c>
      <c r="N1197" s="27" t="s">
        <v>464</v>
      </c>
      <c r="O1197" s="27" t="s">
        <v>465</v>
      </c>
      <c r="P1197" s="27" t="s">
        <v>466</v>
      </c>
      <c r="Q1197" s="27" t="s">
        <v>464</v>
      </c>
      <c r="R1197" s="27" t="s">
        <v>466</v>
      </c>
      <c r="S1197" s="10" t="s">
        <v>467</v>
      </c>
      <c r="T1197" s="10" t="str">
        <f t="shared" si="83"/>
        <v>https://babel.hathitrust.org/cgi/pt?id=uc1.b2981990;view=1up;seq=136</v>
      </c>
      <c r="U1197" s="10" t="str">
        <f t="shared" si="84"/>
        <v>https://babel.hathitrust.org/cgi/pt?id=uc1.b2981990;view=1up;seq=136</v>
      </c>
    </row>
    <row r="1198" spans="1:21" x14ac:dyDescent="0.25">
      <c r="A1198" s="27" t="s">
        <v>1708</v>
      </c>
      <c r="B1198" s="27" t="str">
        <f t="shared" si="81"/>
        <v>Virginia</v>
      </c>
      <c r="C1198" s="27" t="str">
        <f t="shared" si="82"/>
        <v>Washington</v>
      </c>
      <c r="D1198" s="38">
        <v>5928</v>
      </c>
      <c r="E1198" s="37">
        <v>266</v>
      </c>
      <c r="F1198" s="2">
        <v>160</v>
      </c>
      <c r="G1198" s="29">
        <v>7484</v>
      </c>
      <c r="H1198" s="89">
        <f>'VA post'!K113</f>
        <v>74.875</v>
      </c>
      <c r="I1198" s="12">
        <v>320007.26</v>
      </c>
      <c r="J1198" s="7">
        <v>116</v>
      </c>
      <c r="K1198" s="2">
        <v>514500</v>
      </c>
      <c r="L1198" s="41">
        <v>1925</v>
      </c>
      <c r="N1198" s="27" t="s">
        <v>464</v>
      </c>
      <c r="O1198" s="27" t="s">
        <v>465</v>
      </c>
      <c r="P1198" s="27" t="s">
        <v>466</v>
      </c>
      <c r="Q1198" s="27" t="s">
        <v>464</v>
      </c>
      <c r="R1198" s="27" t="s">
        <v>466</v>
      </c>
      <c r="S1198" s="10" t="s">
        <v>467</v>
      </c>
      <c r="T1198" s="10" t="str">
        <f t="shared" si="83"/>
        <v>https://babel.hathitrust.org/cgi/pt?id=uc1.b2981990;view=1up;seq=136</v>
      </c>
      <c r="U1198" s="10" t="str">
        <f t="shared" si="84"/>
        <v>https://babel.hathitrust.org/cgi/pt?id=uc1.b2981990;view=1up;seq=136</v>
      </c>
    </row>
    <row r="1199" spans="1:21" x14ac:dyDescent="0.25">
      <c r="A1199" s="27" t="s">
        <v>1709</v>
      </c>
      <c r="B1199" s="27" t="str">
        <f t="shared" si="81"/>
        <v>Virginia</v>
      </c>
      <c r="C1199" s="27" t="str">
        <f t="shared" si="82"/>
        <v>Westmoreland</v>
      </c>
      <c r="D1199" s="38">
        <v>2451</v>
      </c>
      <c r="E1199" s="37">
        <v>78</v>
      </c>
      <c r="F1199" s="2">
        <v>148</v>
      </c>
      <c r="G1199" s="29">
        <v>2926</v>
      </c>
      <c r="H1199" s="89">
        <f>'VA post'!K114</f>
        <v>73.648648648648646</v>
      </c>
      <c r="I1199" s="12">
        <v>64979.02</v>
      </c>
      <c r="J1199" s="27">
        <v>48</v>
      </c>
      <c r="K1199" s="2">
        <v>172000</v>
      </c>
      <c r="L1199" s="41">
        <v>1925</v>
      </c>
      <c r="N1199" s="27" t="s">
        <v>464</v>
      </c>
      <c r="O1199" s="27" t="s">
        <v>465</v>
      </c>
      <c r="P1199" s="27" t="s">
        <v>466</v>
      </c>
      <c r="Q1199" s="27" t="s">
        <v>464</v>
      </c>
      <c r="R1199" s="27" t="s">
        <v>466</v>
      </c>
      <c r="S1199" s="10" t="s">
        <v>467</v>
      </c>
      <c r="T1199" s="10" t="str">
        <f t="shared" si="83"/>
        <v>https://babel.hathitrust.org/cgi/pt?id=uc1.b2981990;view=1up;seq=136</v>
      </c>
      <c r="U1199" s="10" t="str">
        <f t="shared" si="84"/>
        <v>https://babel.hathitrust.org/cgi/pt?id=uc1.b2981990;view=1up;seq=136</v>
      </c>
    </row>
    <row r="1200" spans="1:21" s="98" customFormat="1" x14ac:dyDescent="0.25">
      <c r="A1200" s="98" t="s">
        <v>1743</v>
      </c>
      <c r="B1200" s="98" t="str">
        <f t="shared" si="81"/>
        <v>Virginia</v>
      </c>
      <c r="C1200" s="98" t="str">
        <f t="shared" si="82"/>
        <v>Williamsburg City</v>
      </c>
      <c r="D1200" s="103">
        <v>455</v>
      </c>
      <c r="E1200" s="104">
        <v>19</v>
      </c>
      <c r="F1200" s="99">
        <v>180</v>
      </c>
      <c r="G1200" s="99">
        <v>563</v>
      </c>
      <c r="H1200" s="89">
        <f>'VA post'!K115</f>
        <v>102.33333333333333</v>
      </c>
      <c r="I1200" s="105">
        <v>32857.53</v>
      </c>
      <c r="J1200" s="98">
        <v>2</v>
      </c>
      <c r="K1200" s="98">
        <v>105000</v>
      </c>
      <c r="L1200" s="101">
        <v>1925</v>
      </c>
      <c r="N1200" s="98" t="s">
        <v>464</v>
      </c>
      <c r="O1200" s="98" t="s">
        <v>465</v>
      </c>
      <c r="P1200" s="98" t="s">
        <v>466</v>
      </c>
      <c r="Q1200" s="98" t="s">
        <v>464</v>
      </c>
      <c r="R1200" s="98" t="s">
        <v>466</v>
      </c>
      <c r="S1200" s="104" t="s">
        <v>467</v>
      </c>
      <c r="T1200" s="10" t="str">
        <f t="shared" si="83"/>
        <v>https://babel.hathitrust.org/cgi/pt?id=uc1.b2981990;view=1up;seq=136</v>
      </c>
      <c r="U1200" s="10" t="str">
        <f t="shared" si="84"/>
        <v>https://babel.hathitrust.org/cgi/pt?id=uc1.b2981990;view=1up;seq=136</v>
      </c>
    </row>
    <row r="1201" spans="1:21" s="98" customFormat="1" x14ac:dyDescent="0.25">
      <c r="A1201" s="98" t="s">
        <v>1744</v>
      </c>
      <c r="B1201" s="98" t="str">
        <f t="shared" si="81"/>
        <v>Virginia</v>
      </c>
      <c r="C1201" s="98" t="str">
        <f t="shared" si="82"/>
        <v>Winchester</v>
      </c>
      <c r="D1201" s="103">
        <v>1399</v>
      </c>
      <c r="E1201" s="104">
        <v>55</v>
      </c>
      <c r="F1201" s="99">
        <v>200</v>
      </c>
      <c r="G1201" s="99">
        <v>1830</v>
      </c>
      <c r="H1201" s="89">
        <f>'VA post'!K116</f>
        <v>130.9</v>
      </c>
      <c r="I1201" s="105">
        <v>125136.01</v>
      </c>
      <c r="J1201" s="99">
        <v>3</v>
      </c>
      <c r="K1201" s="98">
        <v>871390</v>
      </c>
      <c r="L1201" s="101">
        <v>1925</v>
      </c>
      <c r="N1201" s="98" t="s">
        <v>464</v>
      </c>
      <c r="O1201" s="98" t="s">
        <v>465</v>
      </c>
      <c r="P1201" s="98" t="s">
        <v>466</v>
      </c>
      <c r="Q1201" s="98" t="s">
        <v>464</v>
      </c>
      <c r="R1201" s="98" t="s">
        <v>466</v>
      </c>
      <c r="S1201" s="104" t="s">
        <v>467</v>
      </c>
      <c r="T1201" s="10" t="str">
        <f t="shared" si="83"/>
        <v>https://babel.hathitrust.org/cgi/pt?id=uc1.b2981990;view=1up;seq=136</v>
      </c>
      <c r="U1201" s="10" t="str">
        <f t="shared" si="84"/>
        <v>https://babel.hathitrust.org/cgi/pt?id=uc1.b2981990;view=1up;seq=136</v>
      </c>
    </row>
    <row r="1202" spans="1:21" x14ac:dyDescent="0.25">
      <c r="A1202" s="27" t="s">
        <v>1710</v>
      </c>
      <c r="B1202" s="27" t="str">
        <f t="shared" si="81"/>
        <v>Virginia</v>
      </c>
      <c r="C1202" s="27" t="str">
        <f t="shared" si="82"/>
        <v>Wise</v>
      </c>
      <c r="D1202" s="38">
        <v>10034</v>
      </c>
      <c r="E1202" s="37">
        <v>288</v>
      </c>
      <c r="F1202" s="2">
        <v>174</v>
      </c>
      <c r="G1202" s="29">
        <v>13404</v>
      </c>
      <c r="H1202" s="89">
        <f>'VA post'!K117</f>
        <v>106.09195402298852</v>
      </c>
      <c r="I1202" s="12">
        <v>892429.53</v>
      </c>
      <c r="J1202" s="2">
        <v>102</v>
      </c>
      <c r="K1202" s="2">
        <v>1587000</v>
      </c>
      <c r="L1202" s="41">
        <v>1925</v>
      </c>
      <c r="N1202" s="27" t="s">
        <v>464</v>
      </c>
      <c r="O1202" s="27" t="s">
        <v>465</v>
      </c>
      <c r="P1202" s="27" t="s">
        <v>466</v>
      </c>
      <c r="Q1202" s="27" t="s">
        <v>464</v>
      </c>
      <c r="R1202" s="27" t="s">
        <v>466</v>
      </c>
      <c r="S1202" s="10" t="s">
        <v>467</v>
      </c>
      <c r="T1202" s="10" t="str">
        <f t="shared" si="83"/>
        <v>https://babel.hathitrust.org/cgi/pt?id=uc1.b2981990;view=1up;seq=136</v>
      </c>
      <c r="U1202" s="10" t="str">
        <f t="shared" si="84"/>
        <v>https://babel.hathitrust.org/cgi/pt?id=uc1.b2981990;view=1up;seq=136</v>
      </c>
    </row>
    <row r="1203" spans="1:21" x14ac:dyDescent="0.25">
      <c r="A1203" s="27" t="s">
        <v>1711</v>
      </c>
      <c r="B1203" s="27" t="str">
        <f t="shared" si="81"/>
        <v>Virginia</v>
      </c>
      <c r="C1203" s="27" t="str">
        <f t="shared" si="82"/>
        <v>Wythe</v>
      </c>
      <c r="D1203" s="38">
        <v>3608</v>
      </c>
      <c r="E1203" s="37">
        <v>168</v>
      </c>
      <c r="F1203" s="2">
        <v>151.80000000000001</v>
      </c>
      <c r="G1203" s="29">
        <v>5159</v>
      </c>
      <c r="H1203" s="89">
        <f>'VA post'!K118</f>
        <v>77.206851119894594</v>
      </c>
      <c r="I1203" s="12">
        <v>160792.82999999999</v>
      </c>
      <c r="J1203" s="27">
        <v>75</v>
      </c>
      <c r="K1203" s="2">
        <v>217170</v>
      </c>
      <c r="L1203" s="41">
        <v>1925</v>
      </c>
      <c r="N1203" s="27" t="s">
        <v>464</v>
      </c>
      <c r="O1203" s="27" t="s">
        <v>465</v>
      </c>
      <c r="P1203" s="27" t="s">
        <v>466</v>
      </c>
      <c r="Q1203" s="27" t="s">
        <v>464</v>
      </c>
      <c r="R1203" s="27" t="s">
        <v>466</v>
      </c>
      <c r="S1203" s="10" t="s">
        <v>467</v>
      </c>
      <c r="T1203" s="10" t="str">
        <f t="shared" si="83"/>
        <v>https://babel.hathitrust.org/cgi/pt?id=uc1.b2981990;view=1up;seq=136</v>
      </c>
      <c r="U1203" s="10" t="str">
        <f t="shared" si="84"/>
        <v>https://babel.hathitrust.org/cgi/pt?id=uc1.b2981990;view=1up;seq=136</v>
      </c>
    </row>
    <row r="1204" spans="1:21" x14ac:dyDescent="0.25">
      <c r="A1204" s="27" t="s">
        <v>1712</v>
      </c>
      <c r="B1204" s="27" t="str">
        <f t="shared" si="81"/>
        <v>Virginia</v>
      </c>
      <c r="C1204" s="27" t="str">
        <f t="shared" si="82"/>
        <v>York</v>
      </c>
      <c r="D1204" s="38">
        <v>1445</v>
      </c>
      <c r="E1204" s="37">
        <v>54</v>
      </c>
      <c r="F1204" s="2">
        <v>167</v>
      </c>
      <c r="G1204" s="29">
        <v>1769</v>
      </c>
      <c r="H1204" s="89">
        <f>'VA post'!K119</f>
        <v>79.161676646706596</v>
      </c>
      <c r="I1204" s="12">
        <v>62575.22</v>
      </c>
      <c r="J1204" s="27">
        <v>16</v>
      </c>
      <c r="K1204" s="2">
        <v>51472</v>
      </c>
      <c r="L1204" s="41">
        <v>1925</v>
      </c>
      <c r="N1204" s="27" t="s">
        <v>464</v>
      </c>
      <c r="O1204" s="27" t="s">
        <v>465</v>
      </c>
      <c r="P1204" s="27" t="s">
        <v>466</v>
      </c>
      <c r="Q1204" s="27" t="s">
        <v>464</v>
      </c>
      <c r="R1204" s="27" t="s">
        <v>466</v>
      </c>
      <c r="S1204" s="10" t="s">
        <v>467</v>
      </c>
      <c r="T1204" s="10" t="str">
        <f t="shared" si="83"/>
        <v>https://babel.hathitrust.org/cgi/pt?id=uc1.b2981990;view=1up;seq=136</v>
      </c>
      <c r="U1204" s="10" t="str">
        <f t="shared" si="84"/>
        <v>https://babel.hathitrust.org/cgi/pt?id=uc1.b2981990;view=1up;seq=136</v>
      </c>
    </row>
    <row r="1205" spans="1:21" x14ac:dyDescent="0.25">
      <c r="A1205" s="27" t="s">
        <v>1367</v>
      </c>
      <c r="B1205" s="27" t="str">
        <f t="shared" si="81"/>
        <v/>
      </c>
      <c r="C1205" s="27" t="str">
        <f t="shared" si="82"/>
        <v/>
      </c>
      <c r="D1205" s="3">
        <f>SUM(D1087:D1204)</f>
        <v>411742</v>
      </c>
      <c r="E1205" s="37">
        <f>SUM(E1089:E1204)</f>
        <v>15857</v>
      </c>
      <c r="G1205" s="29">
        <f>SUM(G1087:G1204)</f>
        <v>548363</v>
      </c>
    </row>
    <row r="1206" spans="1:21" x14ac:dyDescent="0.25">
      <c r="A1206" s="27" t="s">
        <v>1367</v>
      </c>
      <c r="B1206" s="27" t="str">
        <f t="shared" si="81"/>
        <v/>
      </c>
      <c r="C1206" s="27" t="str">
        <f t="shared" si="82"/>
        <v/>
      </c>
      <c r="D1206" s="38">
        <v>314024</v>
      </c>
      <c r="E1206" s="37">
        <v>12900</v>
      </c>
      <c r="G1206" s="29">
        <v>429891</v>
      </c>
    </row>
    <row r="1207" spans="1:21" x14ac:dyDescent="0.25">
      <c r="A1207" s="27" t="s">
        <v>1367</v>
      </c>
      <c r="B1207" s="27" t="str">
        <f t="shared" si="81"/>
        <v/>
      </c>
      <c r="C1207" s="27" t="str">
        <f t="shared" si="82"/>
        <v/>
      </c>
      <c r="D1207" s="29"/>
      <c r="F1207" s="7"/>
    </row>
    <row r="1208" spans="1:21" x14ac:dyDescent="0.25">
      <c r="A1208" s="27" t="s">
        <v>1367</v>
      </c>
      <c r="B1208" s="27" t="str">
        <f t="shared" si="81"/>
        <v/>
      </c>
      <c r="C1208" s="27" t="str">
        <f t="shared" si="82"/>
        <v/>
      </c>
      <c r="D1208" s="29"/>
      <c r="F1208" s="7"/>
    </row>
    <row r="1209" spans="1:21" x14ac:dyDescent="0.25">
      <c r="A1209" s="27" t="s">
        <v>1367</v>
      </c>
      <c r="B1209" s="27" t="str">
        <f t="shared" si="81"/>
        <v/>
      </c>
      <c r="C1209" s="27" t="str">
        <f t="shared" si="82"/>
        <v/>
      </c>
      <c r="D1209" s="29"/>
      <c r="E1209" s="7"/>
      <c r="F1209" s="7"/>
    </row>
    <row r="1210" spans="1:21" x14ac:dyDescent="0.25">
      <c r="A1210" s="27" t="s">
        <v>1367</v>
      </c>
      <c r="B1210" s="27" t="str">
        <f t="shared" si="81"/>
        <v/>
      </c>
      <c r="C1210" s="27" t="str">
        <f t="shared" si="82"/>
        <v/>
      </c>
      <c r="D1210" s="29"/>
      <c r="E1210" s="7"/>
      <c r="F1210" s="7"/>
    </row>
    <row r="1211" spans="1:21" x14ac:dyDescent="0.25">
      <c r="A1211" s="27" t="s">
        <v>1367</v>
      </c>
      <c r="B1211" s="27" t="str">
        <f t="shared" si="81"/>
        <v/>
      </c>
      <c r="C1211" s="27" t="str">
        <f t="shared" si="82"/>
        <v/>
      </c>
      <c r="D1211" s="29"/>
      <c r="E1211" s="7"/>
      <c r="F1211" s="7"/>
    </row>
    <row r="1212" spans="1:21" x14ac:dyDescent="0.25">
      <c r="A1212" s="27" t="s">
        <v>1367</v>
      </c>
      <c r="B1212" s="27" t="str">
        <f t="shared" si="81"/>
        <v/>
      </c>
      <c r="C1212" s="27" t="str">
        <f t="shared" si="82"/>
        <v/>
      </c>
      <c r="D1212" s="29"/>
      <c r="E1212" s="7"/>
      <c r="F1212" s="7"/>
    </row>
    <row r="1213" spans="1:21" x14ac:dyDescent="0.25">
      <c r="A1213" s="27" t="s">
        <v>1367</v>
      </c>
      <c r="B1213" s="27" t="str">
        <f t="shared" si="81"/>
        <v/>
      </c>
      <c r="C1213" s="27" t="str">
        <f t="shared" si="82"/>
        <v/>
      </c>
      <c r="D1213" s="29"/>
      <c r="E1213" s="7"/>
      <c r="F1213" s="7"/>
    </row>
    <row r="1214" spans="1:21" x14ac:dyDescent="0.25">
      <c r="A1214" s="27" t="s">
        <v>1367</v>
      </c>
      <c r="B1214" s="27" t="str">
        <f t="shared" si="81"/>
        <v/>
      </c>
      <c r="C1214" s="27" t="str">
        <f t="shared" si="82"/>
        <v/>
      </c>
      <c r="D1214" s="29"/>
      <c r="E1214" s="7"/>
      <c r="F1214" s="7"/>
    </row>
    <row r="1215" spans="1:21" x14ac:dyDescent="0.25">
      <c r="A1215" s="27" t="s">
        <v>1367</v>
      </c>
      <c r="B1215" s="27" t="str">
        <f t="shared" ref="B1215:B1278" si="85">LEFT(A1215,FIND(";",A1215)-1)</f>
        <v/>
      </c>
      <c r="C1215" s="27" t="str">
        <f t="shared" ref="C1215:C1278" si="86">MID(A1215,FIND(";",A1215)+1,100)</f>
        <v/>
      </c>
      <c r="D1215" s="29"/>
      <c r="E1215" s="7"/>
      <c r="F1215" s="30"/>
    </row>
    <row r="1216" spans="1:21" x14ac:dyDescent="0.25">
      <c r="A1216" s="27" t="s">
        <v>1367</v>
      </c>
      <c r="B1216" s="27" t="str">
        <f t="shared" si="85"/>
        <v/>
      </c>
      <c r="C1216" s="27" t="str">
        <f t="shared" si="86"/>
        <v/>
      </c>
      <c r="D1216" s="29"/>
      <c r="E1216" s="7"/>
      <c r="F1216" s="30"/>
    </row>
    <row r="1217" spans="1:7" x14ac:dyDescent="0.25">
      <c r="A1217" s="27" t="s">
        <v>1367</v>
      </c>
      <c r="B1217" s="27" t="str">
        <f t="shared" si="85"/>
        <v/>
      </c>
      <c r="C1217" s="27" t="str">
        <f t="shared" si="86"/>
        <v/>
      </c>
      <c r="D1217" s="29"/>
      <c r="E1217" s="7"/>
      <c r="F1217" s="30"/>
    </row>
    <row r="1218" spans="1:7" x14ac:dyDescent="0.25">
      <c r="A1218" s="27" t="s">
        <v>1367</v>
      </c>
      <c r="B1218" s="27" t="str">
        <f t="shared" si="85"/>
        <v/>
      </c>
      <c r="C1218" s="27" t="str">
        <f t="shared" si="86"/>
        <v/>
      </c>
      <c r="D1218" s="29"/>
      <c r="F1218" s="30"/>
      <c r="G1218" s="29"/>
    </row>
    <row r="1219" spans="1:7" x14ac:dyDescent="0.25">
      <c r="A1219" s="27" t="s">
        <v>1367</v>
      </c>
      <c r="B1219" s="27" t="str">
        <f t="shared" si="85"/>
        <v/>
      </c>
      <c r="C1219" s="27" t="str">
        <f t="shared" si="86"/>
        <v/>
      </c>
      <c r="D1219" s="29"/>
      <c r="F1219" s="30"/>
      <c r="G1219" s="29"/>
    </row>
    <row r="1220" spans="1:7" x14ac:dyDescent="0.25">
      <c r="A1220" s="27" t="s">
        <v>1367</v>
      </c>
      <c r="B1220" s="27" t="str">
        <f t="shared" si="85"/>
        <v/>
      </c>
      <c r="C1220" s="27" t="str">
        <f t="shared" si="86"/>
        <v/>
      </c>
      <c r="D1220" s="29"/>
      <c r="F1220" s="30"/>
      <c r="G1220" s="29"/>
    </row>
    <row r="1221" spans="1:7" x14ac:dyDescent="0.25">
      <c r="A1221" s="27" t="s">
        <v>1367</v>
      </c>
      <c r="B1221" s="27" t="str">
        <f t="shared" si="85"/>
        <v/>
      </c>
      <c r="C1221" s="27" t="str">
        <f t="shared" si="86"/>
        <v/>
      </c>
      <c r="D1221" s="29"/>
      <c r="F1221" s="7"/>
      <c r="G1221" s="29"/>
    </row>
    <row r="1222" spans="1:7" x14ac:dyDescent="0.25">
      <c r="A1222" s="27" t="s">
        <v>1367</v>
      </c>
      <c r="B1222" s="27" t="str">
        <f t="shared" si="85"/>
        <v/>
      </c>
      <c r="C1222" s="27" t="str">
        <f t="shared" si="86"/>
        <v/>
      </c>
      <c r="G1222" s="29"/>
    </row>
    <row r="1223" spans="1:7" x14ac:dyDescent="0.25">
      <c r="A1223" s="27" t="s">
        <v>1367</v>
      </c>
      <c r="B1223" s="27" t="str">
        <f t="shared" si="85"/>
        <v/>
      </c>
      <c r="C1223" s="27" t="str">
        <f t="shared" si="86"/>
        <v/>
      </c>
      <c r="G1223" s="29"/>
    </row>
    <row r="1224" spans="1:7" x14ac:dyDescent="0.25">
      <c r="A1224" s="27" t="s">
        <v>1367</v>
      </c>
      <c r="B1224" s="27" t="str">
        <f t="shared" si="85"/>
        <v/>
      </c>
      <c r="C1224" s="27" t="str">
        <f t="shared" si="86"/>
        <v/>
      </c>
      <c r="G1224" s="29"/>
    </row>
    <row r="1225" spans="1:7" x14ac:dyDescent="0.25">
      <c r="A1225" s="27" t="s">
        <v>1367</v>
      </c>
      <c r="B1225" s="27" t="str">
        <f t="shared" si="85"/>
        <v/>
      </c>
      <c r="C1225" s="27" t="str">
        <f t="shared" si="86"/>
        <v/>
      </c>
    </row>
    <row r="1226" spans="1:7" x14ac:dyDescent="0.25">
      <c r="A1226" s="27" t="s">
        <v>1367</v>
      </c>
      <c r="B1226" s="27" t="str">
        <f t="shared" si="85"/>
        <v/>
      </c>
      <c r="C1226" s="27" t="str">
        <f t="shared" si="86"/>
        <v/>
      </c>
    </row>
    <row r="1227" spans="1:7" x14ac:dyDescent="0.25">
      <c r="A1227" s="27" t="s">
        <v>1367</v>
      </c>
      <c r="B1227" s="27" t="str">
        <f t="shared" si="85"/>
        <v/>
      </c>
      <c r="C1227" s="27" t="str">
        <f t="shared" si="86"/>
        <v/>
      </c>
      <c r="G1227" s="29"/>
    </row>
    <row r="1228" spans="1:7" x14ac:dyDescent="0.25">
      <c r="A1228" s="27" t="s">
        <v>1367</v>
      </c>
      <c r="B1228" s="27" t="str">
        <f t="shared" si="85"/>
        <v/>
      </c>
      <c r="C1228" s="27" t="str">
        <f t="shared" si="86"/>
        <v/>
      </c>
      <c r="G1228" s="29"/>
    </row>
    <row r="1229" spans="1:7" x14ac:dyDescent="0.25">
      <c r="A1229" s="27" t="s">
        <v>1367</v>
      </c>
      <c r="B1229" s="27" t="str">
        <f t="shared" si="85"/>
        <v/>
      </c>
      <c r="C1229" s="27" t="str">
        <f t="shared" si="86"/>
        <v/>
      </c>
      <c r="G1229" s="29"/>
    </row>
    <row r="1230" spans="1:7" x14ac:dyDescent="0.25">
      <c r="A1230" s="27" t="s">
        <v>1367</v>
      </c>
      <c r="B1230" s="27" t="str">
        <f t="shared" si="85"/>
        <v/>
      </c>
      <c r="C1230" s="27" t="str">
        <f t="shared" si="86"/>
        <v/>
      </c>
      <c r="G1230" s="29"/>
    </row>
    <row r="1231" spans="1:7" x14ac:dyDescent="0.25">
      <c r="A1231" s="27" t="s">
        <v>1367</v>
      </c>
      <c r="B1231" s="27" t="str">
        <f t="shared" si="85"/>
        <v/>
      </c>
      <c r="C1231" s="27" t="str">
        <f t="shared" si="86"/>
        <v/>
      </c>
    </row>
    <row r="1232" spans="1:7" x14ac:dyDescent="0.25">
      <c r="A1232" s="27" t="s">
        <v>1367</v>
      </c>
      <c r="B1232" s="27" t="str">
        <f t="shared" si="85"/>
        <v/>
      </c>
      <c r="C1232" s="27" t="str">
        <f t="shared" si="86"/>
        <v/>
      </c>
    </row>
    <row r="1233" spans="1:3" x14ac:dyDescent="0.25">
      <c r="A1233" s="27" t="s">
        <v>1367</v>
      </c>
      <c r="B1233" s="27" t="str">
        <f t="shared" si="85"/>
        <v/>
      </c>
      <c r="C1233" s="27" t="str">
        <f t="shared" si="86"/>
        <v/>
      </c>
    </row>
    <row r="1234" spans="1:3" x14ac:dyDescent="0.25">
      <c r="A1234" s="27" t="s">
        <v>1367</v>
      </c>
      <c r="B1234" s="27" t="str">
        <f t="shared" si="85"/>
        <v/>
      </c>
      <c r="C1234" s="27" t="str">
        <f t="shared" si="86"/>
        <v/>
      </c>
    </row>
    <row r="1235" spans="1:3" x14ac:dyDescent="0.25">
      <c r="A1235" s="27" t="s">
        <v>1367</v>
      </c>
      <c r="B1235" s="27" t="str">
        <f t="shared" si="85"/>
        <v/>
      </c>
      <c r="C1235" s="27" t="str">
        <f t="shared" si="86"/>
        <v/>
      </c>
    </row>
    <row r="1236" spans="1:3" x14ac:dyDescent="0.25">
      <c r="A1236" s="27" t="s">
        <v>1367</v>
      </c>
      <c r="B1236" s="27" t="str">
        <f t="shared" si="85"/>
        <v/>
      </c>
      <c r="C1236" s="27" t="str">
        <f t="shared" si="86"/>
        <v/>
      </c>
    </row>
    <row r="1237" spans="1:3" x14ac:dyDescent="0.25">
      <c r="A1237" s="27" t="s">
        <v>1367</v>
      </c>
      <c r="B1237" s="27" t="str">
        <f t="shared" si="85"/>
        <v/>
      </c>
      <c r="C1237" s="27" t="str">
        <f t="shared" si="86"/>
        <v/>
      </c>
    </row>
    <row r="1238" spans="1:3" x14ac:dyDescent="0.25">
      <c r="A1238" s="27" t="s">
        <v>1367</v>
      </c>
      <c r="B1238" s="27" t="str">
        <f t="shared" si="85"/>
        <v/>
      </c>
      <c r="C1238" s="27" t="str">
        <f t="shared" si="86"/>
        <v/>
      </c>
    </row>
    <row r="1239" spans="1:3" x14ac:dyDescent="0.25">
      <c r="A1239" s="27" t="s">
        <v>1367</v>
      </c>
      <c r="B1239" s="27" t="str">
        <f t="shared" si="85"/>
        <v/>
      </c>
      <c r="C1239" s="27" t="str">
        <f t="shared" si="86"/>
        <v/>
      </c>
    </row>
    <row r="1240" spans="1:3" x14ac:dyDescent="0.25">
      <c r="A1240" s="27" t="s">
        <v>1367</v>
      </c>
      <c r="B1240" s="27" t="str">
        <f t="shared" si="85"/>
        <v/>
      </c>
      <c r="C1240" s="27" t="str">
        <f t="shared" si="86"/>
        <v/>
      </c>
    </row>
    <row r="1241" spans="1:3" x14ac:dyDescent="0.25">
      <c r="A1241" s="27" t="s">
        <v>1367</v>
      </c>
      <c r="B1241" s="27" t="str">
        <f t="shared" si="85"/>
        <v/>
      </c>
      <c r="C1241" s="27" t="str">
        <f t="shared" si="86"/>
        <v/>
      </c>
    </row>
    <row r="1242" spans="1:3" x14ac:dyDescent="0.25">
      <c r="A1242" s="27" t="s">
        <v>1367</v>
      </c>
      <c r="B1242" s="27" t="str">
        <f t="shared" si="85"/>
        <v/>
      </c>
      <c r="C1242" s="27" t="str">
        <f t="shared" si="86"/>
        <v/>
      </c>
    </row>
    <row r="1243" spans="1:3" x14ac:dyDescent="0.25">
      <c r="A1243" s="27" t="s">
        <v>1367</v>
      </c>
      <c r="B1243" s="27" t="str">
        <f t="shared" si="85"/>
        <v/>
      </c>
      <c r="C1243" s="27" t="str">
        <f t="shared" si="86"/>
        <v/>
      </c>
    </row>
    <row r="1244" spans="1:3" x14ac:dyDescent="0.25">
      <c r="A1244" s="27" t="s">
        <v>1367</v>
      </c>
      <c r="B1244" s="27" t="str">
        <f t="shared" si="85"/>
        <v/>
      </c>
      <c r="C1244" s="27" t="str">
        <f t="shared" si="86"/>
        <v/>
      </c>
    </row>
    <row r="1245" spans="1:3" x14ac:dyDescent="0.25">
      <c r="A1245" s="27" t="s">
        <v>1367</v>
      </c>
      <c r="B1245" s="27" t="str">
        <f t="shared" si="85"/>
        <v/>
      </c>
      <c r="C1245" s="27" t="str">
        <f t="shared" si="86"/>
        <v/>
      </c>
    </row>
    <row r="1246" spans="1:3" x14ac:dyDescent="0.25">
      <c r="A1246" s="27" t="s">
        <v>1367</v>
      </c>
      <c r="B1246" s="27" t="str">
        <f t="shared" si="85"/>
        <v/>
      </c>
      <c r="C1246" s="27" t="str">
        <f t="shared" si="86"/>
        <v/>
      </c>
    </row>
    <row r="1247" spans="1:3" x14ac:dyDescent="0.25">
      <c r="A1247" s="27" t="s">
        <v>1367</v>
      </c>
      <c r="B1247" s="27" t="str">
        <f t="shared" si="85"/>
        <v/>
      </c>
      <c r="C1247" s="27" t="str">
        <f t="shared" si="86"/>
        <v/>
      </c>
    </row>
    <row r="1248" spans="1:3" x14ac:dyDescent="0.25">
      <c r="A1248" s="27" t="s">
        <v>1367</v>
      </c>
      <c r="B1248" s="27" t="str">
        <f t="shared" si="85"/>
        <v/>
      </c>
      <c r="C1248" s="27" t="str">
        <f t="shared" si="86"/>
        <v/>
      </c>
    </row>
    <row r="1249" spans="1:3" x14ac:dyDescent="0.25">
      <c r="A1249" s="27" t="s">
        <v>1367</v>
      </c>
      <c r="B1249" s="27" t="str">
        <f t="shared" si="85"/>
        <v/>
      </c>
      <c r="C1249" s="27" t="str">
        <f t="shared" si="86"/>
        <v/>
      </c>
    </row>
    <row r="1250" spans="1:3" x14ac:dyDescent="0.25">
      <c r="A1250" s="27" t="s">
        <v>1367</v>
      </c>
      <c r="B1250" s="27" t="str">
        <f t="shared" si="85"/>
        <v/>
      </c>
      <c r="C1250" s="27" t="str">
        <f t="shared" si="86"/>
        <v/>
      </c>
    </row>
    <row r="1251" spans="1:3" x14ac:dyDescent="0.25">
      <c r="A1251" s="27" t="s">
        <v>1367</v>
      </c>
      <c r="B1251" s="27" t="str">
        <f t="shared" si="85"/>
        <v/>
      </c>
      <c r="C1251" s="27" t="str">
        <f t="shared" si="86"/>
        <v/>
      </c>
    </row>
    <row r="1252" spans="1:3" x14ac:dyDescent="0.25">
      <c r="A1252" s="27" t="s">
        <v>1367</v>
      </c>
      <c r="B1252" s="27" t="str">
        <f t="shared" si="85"/>
        <v/>
      </c>
      <c r="C1252" s="27" t="str">
        <f t="shared" si="86"/>
        <v/>
      </c>
    </row>
    <row r="1253" spans="1:3" x14ac:dyDescent="0.25">
      <c r="A1253" s="27" t="s">
        <v>1367</v>
      </c>
      <c r="B1253" s="27" t="str">
        <f t="shared" si="85"/>
        <v/>
      </c>
      <c r="C1253" s="27" t="str">
        <f t="shared" si="86"/>
        <v/>
      </c>
    </row>
    <row r="1254" spans="1:3" x14ac:dyDescent="0.25">
      <c r="A1254" s="27" t="s">
        <v>1367</v>
      </c>
      <c r="B1254" s="27" t="str">
        <f t="shared" si="85"/>
        <v/>
      </c>
      <c r="C1254" s="27" t="str">
        <f t="shared" si="86"/>
        <v/>
      </c>
    </row>
    <row r="1255" spans="1:3" x14ac:dyDescent="0.25">
      <c r="A1255" s="27" t="s">
        <v>1367</v>
      </c>
      <c r="B1255" s="27" t="str">
        <f t="shared" si="85"/>
        <v/>
      </c>
      <c r="C1255" s="27" t="str">
        <f t="shared" si="86"/>
        <v/>
      </c>
    </row>
    <row r="1256" spans="1:3" x14ac:dyDescent="0.25">
      <c r="A1256" s="27" t="s">
        <v>1367</v>
      </c>
      <c r="B1256" s="27" t="str">
        <f t="shared" si="85"/>
        <v/>
      </c>
      <c r="C1256" s="27" t="str">
        <f t="shared" si="86"/>
        <v/>
      </c>
    </row>
    <row r="1257" spans="1:3" x14ac:dyDescent="0.25">
      <c r="A1257" s="27" t="s">
        <v>1367</v>
      </c>
      <c r="B1257" s="27" t="str">
        <f t="shared" si="85"/>
        <v/>
      </c>
      <c r="C1257" s="27" t="str">
        <f t="shared" si="86"/>
        <v/>
      </c>
    </row>
    <row r="1258" spans="1:3" x14ac:dyDescent="0.25">
      <c r="A1258" s="27" t="s">
        <v>1367</v>
      </c>
      <c r="B1258" s="27" t="str">
        <f t="shared" si="85"/>
        <v/>
      </c>
      <c r="C1258" s="27" t="str">
        <f t="shared" si="86"/>
        <v/>
      </c>
    </row>
    <row r="1259" spans="1:3" x14ac:dyDescent="0.25">
      <c r="A1259" s="27" t="s">
        <v>1367</v>
      </c>
      <c r="B1259" s="27" t="str">
        <f t="shared" si="85"/>
        <v/>
      </c>
      <c r="C1259" s="27" t="str">
        <f t="shared" si="86"/>
        <v/>
      </c>
    </row>
    <row r="1260" spans="1:3" x14ac:dyDescent="0.25">
      <c r="A1260" s="27" t="s">
        <v>1367</v>
      </c>
      <c r="B1260" s="27" t="str">
        <f t="shared" si="85"/>
        <v/>
      </c>
      <c r="C1260" s="27" t="str">
        <f t="shared" si="86"/>
        <v/>
      </c>
    </row>
    <row r="1261" spans="1:3" x14ac:dyDescent="0.25">
      <c r="A1261" s="27" t="s">
        <v>1367</v>
      </c>
      <c r="B1261" s="27" t="str">
        <f t="shared" si="85"/>
        <v/>
      </c>
      <c r="C1261" s="27" t="str">
        <f t="shared" si="86"/>
        <v/>
      </c>
    </row>
    <row r="1262" spans="1:3" x14ac:dyDescent="0.25">
      <c r="A1262" s="27" t="s">
        <v>1367</v>
      </c>
      <c r="B1262" s="27" t="str">
        <f t="shared" si="85"/>
        <v/>
      </c>
      <c r="C1262" s="27" t="str">
        <f t="shared" si="86"/>
        <v/>
      </c>
    </row>
    <row r="1263" spans="1:3" x14ac:dyDescent="0.25">
      <c r="A1263" s="27" t="s">
        <v>1367</v>
      </c>
      <c r="B1263" s="27" t="str">
        <f t="shared" si="85"/>
        <v/>
      </c>
      <c r="C1263" s="27" t="str">
        <f t="shared" si="86"/>
        <v/>
      </c>
    </row>
    <row r="1264" spans="1:3" x14ac:dyDescent="0.25">
      <c r="A1264" s="27" t="s">
        <v>1367</v>
      </c>
      <c r="B1264" s="27" t="str">
        <f t="shared" si="85"/>
        <v/>
      </c>
      <c r="C1264" s="27" t="str">
        <f t="shared" si="86"/>
        <v/>
      </c>
    </row>
    <row r="1265" spans="1:3" x14ac:dyDescent="0.25">
      <c r="A1265" s="27" t="s">
        <v>1367</v>
      </c>
      <c r="B1265" s="27" t="str">
        <f t="shared" si="85"/>
        <v/>
      </c>
      <c r="C1265" s="27" t="str">
        <f t="shared" si="86"/>
        <v/>
      </c>
    </row>
    <row r="1266" spans="1:3" x14ac:dyDescent="0.25">
      <c r="A1266" s="27" t="s">
        <v>1367</v>
      </c>
      <c r="B1266" s="27" t="str">
        <f t="shared" si="85"/>
        <v/>
      </c>
      <c r="C1266" s="27" t="str">
        <f t="shared" si="86"/>
        <v/>
      </c>
    </row>
    <row r="1267" spans="1:3" x14ac:dyDescent="0.25">
      <c r="A1267" s="27" t="s">
        <v>1367</v>
      </c>
      <c r="B1267" s="27" t="str">
        <f t="shared" si="85"/>
        <v/>
      </c>
      <c r="C1267" s="27" t="str">
        <f t="shared" si="86"/>
        <v/>
      </c>
    </row>
    <row r="1268" spans="1:3" x14ac:dyDescent="0.25">
      <c r="A1268" s="27" t="s">
        <v>1367</v>
      </c>
      <c r="B1268" s="27" t="str">
        <f t="shared" si="85"/>
        <v/>
      </c>
      <c r="C1268" s="27" t="str">
        <f t="shared" si="86"/>
        <v/>
      </c>
    </row>
    <row r="1269" spans="1:3" x14ac:dyDescent="0.25">
      <c r="A1269" s="27" t="s">
        <v>1367</v>
      </c>
      <c r="B1269" s="27" t="str">
        <f t="shared" si="85"/>
        <v/>
      </c>
      <c r="C1269" s="27" t="str">
        <f t="shared" si="86"/>
        <v/>
      </c>
    </row>
    <row r="1270" spans="1:3" x14ac:dyDescent="0.25">
      <c r="A1270" s="27" t="s">
        <v>1367</v>
      </c>
      <c r="B1270" s="27" t="str">
        <f t="shared" si="85"/>
        <v/>
      </c>
      <c r="C1270" s="27" t="str">
        <f t="shared" si="86"/>
        <v/>
      </c>
    </row>
    <row r="1271" spans="1:3" x14ac:dyDescent="0.25">
      <c r="A1271" s="27" t="s">
        <v>1367</v>
      </c>
      <c r="B1271" s="27" t="str">
        <f t="shared" si="85"/>
        <v/>
      </c>
      <c r="C1271" s="27" t="str">
        <f t="shared" si="86"/>
        <v/>
      </c>
    </row>
    <row r="1272" spans="1:3" x14ac:dyDescent="0.25">
      <c r="A1272" s="27" t="s">
        <v>1367</v>
      </c>
      <c r="B1272" s="27" t="str">
        <f t="shared" si="85"/>
        <v/>
      </c>
      <c r="C1272" s="27" t="str">
        <f t="shared" si="86"/>
        <v/>
      </c>
    </row>
    <row r="1273" spans="1:3" x14ac:dyDescent="0.25">
      <c r="A1273" s="27" t="s">
        <v>1367</v>
      </c>
      <c r="B1273" s="27" t="str">
        <f t="shared" si="85"/>
        <v/>
      </c>
      <c r="C1273" s="27" t="str">
        <f t="shared" si="86"/>
        <v/>
      </c>
    </row>
    <row r="1274" spans="1:3" x14ac:dyDescent="0.25">
      <c r="A1274" s="27" t="s">
        <v>1367</v>
      </c>
      <c r="B1274" s="27" t="str">
        <f t="shared" si="85"/>
        <v/>
      </c>
      <c r="C1274" s="27" t="str">
        <f t="shared" si="86"/>
        <v/>
      </c>
    </row>
    <row r="1275" spans="1:3" x14ac:dyDescent="0.25">
      <c r="A1275" s="27" t="s">
        <v>1367</v>
      </c>
      <c r="B1275" s="27" t="str">
        <f t="shared" si="85"/>
        <v/>
      </c>
      <c r="C1275" s="27" t="str">
        <f t="shared" si="86"/>
        <v/>
      </c>
    </row>
    <row r="1276" spans="1:3" x14ac:dyDescent="0.25">
      <c r="A1276" s="27" t="s">
        <v>1367</v>
      </c>
      <c r="B1276" s="27" t="str">
        <f t="shared" si="85"/>
        <v/>
      </c>
      <c r="C1276" s="27" t="str">
        <f t="shared" si="86"/>
        <v/>
      </c>
    </row>
    <row r="1277" spans="1:3" x14ac:dyDescent="0.25">
      <c r="A1277" s="27" t="s">
        <v>1367</v>
      </c>
      <c r="B1277" s="27" t="str">
        <f t="shared" si="85"/>
        <v/>
      </c>
      <c r="C1277" s="27" t="str">
        <f t="shared" si="86"/>
        <v/>
      </c>
    </row>
    <row r="1278" spans="1:3" x14ac:dyDescent="0.25">
      <c r="A1278" s="27" t="s">
        <v>1367</v>
      </c>
      <c r="B1278" s="27" t="str">
        <f t="shared" si="85"/>
        <v/>
      </c>
      <c r="C1278" s="27" t="str">
        <f t="shared" si="86"/>
        <v/>
      </c>
    </row>
    <row r="1279" spans="1:3" x14ac:dyDescent="0.25">
      <c r="A1279" s="27" t="s">
        <v>1367</v>
      </c>
      <c r="B1279" s="27" t="str">
        <f t="shared" ref="B1279:B1342" si="87">LEFT(A1279,FIND(";",A1279)-1)</f>
        <v/>
      </c>
      <c r="C1279" s="27" t="str">
        <f t="shared" ref="C1279:C1342" si="88">MID(A1279,FIND(";",A1279)+1,100)</f>
        <v/>
      </c>
    </row>
    <row r="1280" spans="1:3" x14ac:dyDescent="0.25">
      <c r="A1280" s="27" t="s">
        <v>1367</v>
      </c>
      <c r="B1280" s="27" t="str">
        <f t="shared" si="87"/>
        <v/>
      </c>
      <c r="C1280" s="27" t="str">
        <f t="shared" si="88"/>
        <v/>
      </c>
    </row>
    <row r="1281" spans="1:3" x14ac:dyDescent="0.25">
      <c r="A1281" s="27" t="s">
        <v>1367</v>
      </c>
      <c r="B1281" s="27" t="str">
        <f t="shared" si="87"/>
        <v/>
      </c>
      <c r="C1281" s="27" t="str">
        <f t="shared" si="88"/>
        <v/>
      </c>
    </row>
    <row r="1282" spans="1:3" x14ac:dyDescent="0.25">
      <c r="A1282" s="27" t="s">
        <v>1367</v>
      </c>
      <c r="B1282" s="27" t="str">
        <f t="shared" si="87"/>
        <v/>
      </c>
      <c r="C1282" s="27" t="str">
        <f t="shared" si="88"/>
        <v/>
      </c>
    </row>
    <row r="1283" spans="1:3" x14ac:dyDescent="0.25">
      <c r="A1283" s="27" t="s">
        <v>1367</v>
      </c>
      <c r="B1283" s="27" t="str">
        <f t="shared" si="87"/>
        <v/>
      </c>
      <c r="C1283" s="27" t="str">
        <f t="shared" si="88"/>
        <v/>
      </c>
    </row>
    <row r="1284" spans="1:3" x14ac:dyDescent="0.25">
      <c r="A1284" s="27" t="s">
        <v>1367</v>
      </c>
      <c r="B1284" s="27" t="str">
        <f t="shared" si="87"/>
        <v/>
      </c>
      <c r="C1284" s="27" t="str">
        <f t="shared" si="88"/>
        <v/>
      </c>
    </row>
    <row r="1285" spans="1:3" x14ac:dyDescent="0.25">
      <c r="A1285" s="27" t="s">
        <v>1367</v>
      </c>
      <c r="B1285" s="27" t="str">
        <f t="shared" si="87"/>
        <v/>
      </c>
      <c r="C1285" s="27" t="str">
        <f t="shared" si="88"/>
        <v/>
      </c>
    </row>
    <row r="1286" spans="1:3" x14ac:dyDescent="0.25">
      <c r="A1286" s="27" t="s">
        <v>1367</v>
      </c>
      <c r="B1286" s="27" t="str">
        <f t="shared" si="87"/>
        <v/>
      </c>
      <c r="C1286" s="27" t="str">
        <f t="shared" si="88"/>
        <v/>
      </c>
    </row>
    <row r="1287" spans="1:3" x14ac:dyDescent="0.25">
      <c r="A1287" s="27" t="s">
        <v>1367</v>
      </c>
      <c r="B1287" s="27" t="str">
        <f t="shared" si="87"/>
        <v/>
      </c>
      <c r="C1287" s="27" t="str">
        <f t="shared" si="88"/>
        <v/>
      </c>
    </row>
    <row r="1288" spans="1:3" x14ac:dyDescent="0.25">
      <c r="A1288" s="27" t="s">
        <v>1367</v>
      </c>
      <c r="B1288" s="27" t="str">
        <f t="shared" si="87"/>
        <v/>
      </c>
      <c r="C1288" s="27" t="str">
        <f t="shared" si="88"/>
        <v/>
      </c>
    </row>
    <row r="1289" spans="1:3" x14ac:dyDescent="0.25">
      <c r="A1289" s="27" t="s">
        <v>1367</v>
      </c>
      <c r="B1289" s="27" t="str">
        <f t="shared" si="87"/>
        <v/>
      </c>
      <c r="C1289" s="27" t="str">
        <f t="shared" si="88"/>
        <v/>
      </c>
    </row>
    <row r="1290" spans="1:3" x14ac:dyDescent="0.25">
      <c r="A1290" s="27" t="s">
        <v>1367</v>
      </c>
      <c r="B1290" s="27" t="str">
        <f t="shared" si="87"/>
        <v/>
      </c>
      <c r="C1290" s="27" t="str">
        <f t="shared" si="88"/>
        <v/>
      </c>
    </row>
    <row r="1291" spans="1:3" x14ac:dyDescent="0.25">
      <c r="A1291" s="27" t="s">
        <v>1367</v>
      </c>
      <c r="B1291" s="27" t="str">
        <f t="shared" si="87"/>
        <v/>
      </c>
      <c r="C1291" s="27" t="str">
        <f t="shared" si="88"/>
        <v/>
      </c>
    </row>
    <row r="1292" spans="1:3" x14ac:dyDescent="0.25">
      <c r="A1292" s="27" t="s">
        <v>1367</v>
      </c>
      <c r="B1292" s="27" t="str">
        <f t="shared" si="87"/>
        <v/>
      </c>
      <c r="C1292" s="27" t="str">
        <f t="shared" si="88"/>
        <v/>
      </c>
    </row>
    <row r="1293" spans="1:3" x14ac:dyDescent="0.25">
      <c r="A1293" s="27" t="s">
        <v>1367</v>
      </c>
      <c r="B1293" s="27" t="str">
        <f t="shared" si="87"/>
        <v/>
      </c>
      <c r="C1293" s="27" t="str">
        <f t="shared" si="88"/>
        <v/>
      </c>
    </row>
    <row r="1294" spans="1:3" x14ac:dyDescent="0.25">
      <c r="A1294" s="27" t="s">
        <v>1367</v>
      </c>
      <c r="B1294" s="27" t="str">
        <f t="shared" si="87"/>
        <v/>
      </c>
      <c r="C1294" s="27" t="str">
        <f t="shared" si="88"/>
        <v/>
      </c>
    </row>
    <row r="1295" spans="1:3" x14ac:dyDescent="0.25">
      <c r="A1295" s="27" t="s">
        <v>1367</v>
      </c>
      <c r="B1295" s="27" t="str">
        <f t="shared" si="87"/>
        <v/>
      </c>
      <c r="C1295" s="27" t="str">
        <f t="shared" si="88"/>
        <v/>
      </c>
    </row>
    <row r="1296" spans="1:3" x14ac:dyDescent="0.25">
      <c r="A1296" s="27" t="s">
        <v>1367</v>
      </c>
      <c r="B1296" s="27" t="str">
        <f t="shared" si="87"/>
        <v/>
      </c>
      <c r="C1296" s="27" t="str">
        <f t="shared" si="88"/>
        <v/>
      </c>
    </row>
    <row r="1297" spans="1:3" x14ac:dyDescent="0.25">
      <c r="A1297" s="27" t="s">
        <v>1367</v>
      </c>
      <c r="B1297" s="27" t="str">
        <f t="shared" si="87"/>
        <v/>
      </c>
      <c r="C1297" s="27" t="str">
        <f t="shared" si="88"/>
        <v/>
      </c>
    </row>
    <row r="1298" spans="1:3" x14ac:dyDescent="0.25">
      <c r="A1298" s="27" t="s">
        <v>1367</v>
      </c>
      <c r="B1298" s="27" t="str">
        <f t="shared" si="87"/>
        <v/>
      </c>
      <c r="C1298" s="27" t="str">
        <f t="shared" si="88"/>
        <v/>
      </c>
    </row>
    <row r="1299" spans="1:3" x14ac:dyDescent="0.25">
      <c r="A1299" s="27" t="s">
        <v>1367</v>
      </c>
      <c r="B1299" s="27" t="str">
        <f t="shared" si="87"/>
        <v/>
      </c>
      <c r="C1299" s="27" t="str">
        <f t="shared" si="88"/>
        <v/>
      </c>
    </row>
    <row r="1300" spans="1:3" x14ac:dyDescent="0.25">
      <c r="A1300" s="27" t="s">
        <v>1367</v>
      </c>
      <c r="B1300" s="27" t="str">
        <f t="shared" si="87"/>
        <v/>
      </c>
      <c r="C1300" s="27" t="str">
        <f t="shared" si="88"/>
        <v/>
      </c>
    </row>
    <row r="1301" spans="1:3" x14ac:dyDescent="0.25">
      <c r="A1301" s="27" t="s">
        <v>1367</v>
      </c>
      <c r="B1301" s="27" t="str">
        <f t="shared" si="87"/>
        <v/>
      </c>
      <c r="C1301" s="27" t="str">
        <f t="shared" si="88"/>
        <v/>
      </c>
    </row>
    <row r="1302" spans="1:3" x14ac:dyDescent="0.25">
      <c r="A1302" s="27" t="s">
        <v>1367</v>
      </c>
      <c r="B1302" s="27" t="str">
        <f t="shared" si="87"/>
        <v/>
      </c>
      <c r="C1302" s="27" t="str">
        <f t="shared" si="88"/>
        <v/>
      </c>
    </row>
    <row r="1303" spans="1:3" x14ac:dyDescent="0.25">
      <c r="A1303" s="27" t="s">
        <v>1367</v>
      </c>
      <c r="B1303" s="27" t="str">
        <f t="shared" si="87"/>
        <v/>
      </c>
      <c r="C1303" s="27" t="str">
        <f t="shared" si="88"/>
        <v/>
      </c>
    </row>
    <row r="1304" spans="1:3" x14ac:dyDescent="0.25">
      <c r="A1304" s="27" t="s">
        <v>1367</v>
      </c>
      <c r="B1304" s="27" t="str">
        <f t="shared" si="87"/>
        <v/>
      </c>
      <c r="C1304" s="27" t="str">
        <f t="shared" si="88"/>
        <v/>
      </c>
    </row>
    <row r="1305" spans="1:3" x14ac:dyDescent="0.25">
      <c r="A1305" s="27" t="s">
        <v>1367</v>
      </c>
      <c r="B1305" s="27" t="str">
        <f t="shared" si="87"/>
        <v/>
      </c>
      <c r="C1305" s="27" t="str">
        <f t="shared" si="88"/>
        <v/>
      </c>
    </row>
    <row r="1306" spans="1:3" x14ac:dyDescent="0.25">
      <c r="A1306" s="27" t="s">
        <v>1367</v>
      </c>
      <c r="B1306" s="27" t="str">
        <f t="shared" si="87"/>
        <v/>
      </c>
      <c r="C1306" s="27" t="str">
        <f t="shared" si="88"/>
        <v/>
      </c>
    </row>
    <row r="1307" spans="1:3" x14ac:dyDescent="0.25">
      <c r="A1307" s="27" t="s">
        <v>1367</v>
      </c>
      <c r="B1307" s="27" t="str">
        <f t="shared" si="87"/>
        <v/>
      </c>
      <c r="C1307" s="27" t="str">
        <f t="shared" si="88"/>
        <v/>
      </c>
    </row>
    <row r="1308" spans="1:3" x14ac:dyDescent="0.25">
      <c r="A1308" s="27" t="s">
        <v>1367</v>
      </c>
      <c r="B1308" s="27" t="str">
        <f t="shared" si="87"/>
        <v/>
      </c>
      <c r="C1308" s="27" t="str">
        <f t="shared" si="88"/>
        <v/>
      </c>
    </row>
    <row r="1309" spans="1:3" x14ac:dyDescent="0.25">
      <c r="A1309" s="27" t="s">
        <v>1367</v>
      </c>
      <c r="B1309" s="27" t="str">
        <f t="shared" si="87"/>
        <v/>
      </c>
      <c r="C1309" s="27" t="str">
        <f t="shared" si="88"/>
        <v/>
      </c>
    </row>
    <row r="1310" spans="1:3" x14ac:dyDescent="0.25">
      <c r="A1310" s="27" t="s">
        <v>1367</v>
      </c>
      <c r="B1310" s="27" t="str">
        <f t="shared" si="87"/>
        <v/>
      </c>
      <c r="C1310" s="27" t="str">
        <f t="shared" si="88"/>
        <v/>
      </c>
    </row>
    <row r="1311" spans="1:3" x14ac:dyDescent="0.25">
      <c r="A1311" s="27" t="s">
        <v>1367</v>
      </c>
      <c r="B1311" s="27" t="str">
        <f t="shared" si="87"/>
        <v/>
      </c>
      <c r="C1311" s="27" t="str">
        <f t="shared" si="88"/>
        <v/>
      </c>
    </row>
    <row r="1312" spans="1:3" x14ac:dyDescent="0.25">
      <c r="A1312" s="27" t="s">
        <v>1367</v>
      </c>
      <c r="B1312" s="27" t="str">
        <f t="shared" si="87"/>
        <v/>
      </c>
      <c r="C1312" s="27" t="str">
        <f t="shared" si="88"/>
        <v/>
      </c>
    </row>
    <row r="1313" spans="1:3" x14ac:dyDescent="0.25">
      <c r="A1313" s="27" t="s">
        <v>1367</v>
      </c>
      <c r="B1313" s="27" t="str">
        <f t="shared" si="87"/>
        <v/>
      </c>
      <c r="C1313" s="27" t="str">
        <f t="shared" si="88"/>
        <v/>
      </c>
    </row>
    <row r="1314" spans="1:3" x14ac:dyDescent="0.25">
      <c r="A1314" s="27" t="s">
        <v>1367</v>
      </c>
      <c r="B1314" s="27" t="str">
        <f t="shared" si="87"/>
        <v/>
      </c>
      <c r="C1314" s="27" t="str">
        <f t="shared" si="88"/>
        <v/>
      </c>
    </row>
    <row r="1315" spans="1:3" x14ac:dyDescent="0.25">
      <c r="A1315" s="27" t="s">
        <v>1367</v>
      </c>
      <c r="B1315" s="27" t="str">
        <f t="shared" si="87"/>
        <v/>
      </c>
      <c r="C1315" s="27" t="str">
        <f t="shared" si="88"/>
        <v/>
      </c>
    </row>
    <row r="1316" spans="1:3" x14ac:dyDescent="0.25">
      <c r="A1316" s="27" t="s">
        <v>1367</v>
      </c>
      <c r="B1316" s="27" t="str">
        <f t="shared" si="87"/>
        <v/>
      </c>
      <c r="C1316" s="27" t="str">
        <f t="shared" si="88"/>
        <v/>
      </c>
    </row>
    <row r="1317" spans="1:3" x14ac:dyDescent="0.25">
      <c r="A1317" s="27" t="s">
        <v>1367</v>
      </c>
      <c r="B1317" s="27" t="str">
        <f t="shared" si="87"/>
        <v/>
      </c>
      <c r="C1317" s="27" t="str">
        <f t="shared" si="88"/>
        <v/>
      </c>
    </row>
    <row r="1318" spans="1:3" x14ac:dyDescent="0.25">
      <c r="A1318" s="27" t="s">
        <v>1367</v>
      </c>
      <c r="B1318" s="27" t="str">
        <f t="shared" si="87"/>
        <v/>
      </c>
      <c r="C1318" s="27" t="str">
        <f t="shared" si="88"/>
        <v/>
      </c>
    </row>
    <row r="1319" spans="1:3" x14ac:dyDescent="0.25">
      <c r="A1319" s="27" t="s">
        <v>1367</v>
      </c>
      <c r="B1319" s="27" t="str">
        <f t="shared" si="87"/>
        <v/>
      </c>
      <c r="C1319" s="27" t="str">
        <f t="shared" si="88"/>
        <v/>
      </c>
    </row>
    <row r="1320" spans="1:3" x14ac:dyDescent="0.25">
      <c r="A1320" s="27" t="s">
        <v>1367</v>
      </c>
      <c r="B1320" s="27" t="str">
        <f t="shared" si="87"/>
        <v/>
      </c>
      <c r="C1320" s="27" t="str">
        <f t="shared" si="88"/>
        <v/>
      </c>
    </row>
    <row r="1321" spans="1:3" x14ac:dyDescent="0.25">
      <c r="A1321" s="27" t="s">
        <v>1367</v>
      </c>
      <c r="B1321" s="27" t="str">
        <f t="shared" si="87"/>
        <v/>
      </c>
      <c r="C1321" s="27" t="str">
        <f t="shared" si="88"/>
        <v/>
      </c>
    </row>
    <row r="1322" spans="1:3" x14ac:dyDescent="0.25">
      <c r="A1322" s="27" t="s">
        <v>1367</v>
      </c>
      <c r="B1322" s="27" t="str">
        <f t="shared" si="87"/>
        <v/>
      </c>
      <c r="C1322" s="27" t="str">
        <f t="shared" si="88"/>
        <v/>
      </c>
    </row>
    <row r="1323" spans="1:3" x14ac:dyDescent="0.25">
      <c r="A1323" s="27" t="s">
        <v>1367</v>
      </c>
      <c r="B1323" s="27" t="str">
        <f t="shared" si="87"/>
        <v/>
      </c>
      <c r="C1323" s="27" t="str">
        <f t="shared" si="88"/>
        <v/>
      </c>
    </row>
    <row r="1324" spans="1:3" x14ac:dyDescent="0.25">
      <c r="A1324" s="27" t="s">
        <v>1367</v>
      </c>
      <c r="B1324" s="27" t="str">
        <f t="shared" si="87"/>
        <v/>
      </c>
      <c r="C1324" s="27" t="str">
        <f t="shared" si="88"/>
        <v/>
      </c>
    </row>
    <row r="1325" spans="1:3" x14ac:dyDescent="0.25">
      <c r="A1325" s="27" t="s">
        <v>1367</v>
      </c>
      <c r="B1325" s="27" t="str">
        <f t="shared" si="87"/>
        <v/>
      </c>
      <c r="C1325" s="27" t="str">
        <f t="shared" si="88"/>
        <v/>
      </c>
    </row>
    <row r="1326" spans="1:3" x14ac:dyDescent="0.25">
      <c r="A1326" s="27" t="s">
        <v>1367</v>
      </c>
      <c r="B1326" s="27" t="str">
        <f t="shared" si="87"/>
        <v/>
      </c>
      <c r="C1326" s="27" t="str">
        <f t="shared" si="88"/>
        <v/>
      </c>
    </row>
    <row r="1327" spans="1:3" x14ac:dyDescent="0.25">
      <c r="A1327" s="27" t="s">
        <v>1367</v>
      </c>
      <c r="B1327" s="27" t="str">
        <f t="shared" si="87"/>
        <v/>
      </c>
      <c r="C1327" s="27" t="str">
        <f t="shared" si="88"/>
        <v/>
      </c>
    </row>
    <row r="1328" spans="1:3" x14ac:dyDescent="0.25">
      <c r="A1328" s="27" t="s">
        <v>1367</v>
      </c>
      <c r="B1328" s="27" t="str">
        <f t="shared" si="87"/>
        <v/>
      </c>
      <c r="C1328" s="27" t="str">
        <f t="shared" si="88"/>
        <v/>
      </c>
    </row>
    <row r="1329" spans="1:3" x14ac:dyDescent="0.25">
      <c r="A1329" s="27" t="s">
        <v>1367</v>
      </c>
      <c r="B1329" s="27" t="str">
        <f t="shared" si="87"/>
        <v/>
      </c>
      <c r="C1329" s="27" t="str">
        <f t="shared" si="88"/>
        <v/>
      </c>
    </row>
    <row r="1330" spans="1:3" x14ac:dyDescent="0.25">
      <c r="A1330" s="27" t="s">
        <v>1367</v>
      </c>
      <c r="B1330" s="27" t="str">
        <f t="shared" si="87"/>
        <v/>
      </c>
      <c r="C1330" s="27" t="str">
        <f t="shared" si="88"/>
        <v/>
      </c>
    </row>
    <row r="1331" spans="1:3" x14ac:dyDescent="0.25">
      <c r="A1331" s="27" t="s">
        <v>1367</v>
      </c>
      <c r="B1331" s="27" t="str">
        <f t="shared" si="87"/>
        <v/>
      </c>
      <c r="C1331" s="27" t="str">
        <f t="shared" si="88"/>
        <v/>
      </c>
    </row>
    <row r="1332" spans="1:3" x14ac:dyDescent="0.25">
      <c r="A1332" s="27" t="s">
        <v>1367</v>
      </c>
      <c r="B1332" s="27" t="str">
        <f t="shared" si="87"/>
        <v/>
      </c>
      <c r="C1332" s="27" t="str">
        <f t="shared" si="88"/>
        <v/>
      </c>
    </row>
    <row r="1333" spans="1:3" x14ac:dyDescent="0.25">
      <c r="A1333" s="27" t="s">
        <v>1367</v>
      </c>
      <c r="B1333" s="27" t="str">
        <f t="shared" si="87"/>
        <v/>
      </c>
      <c r="C1333" s="27" t="str">
        <f t="shared" si="88"/>
        <v/>
      </c>
    </row>
    <row r="1334" spans="1:3" x14ac:dyDescent="0.25">
      <c r="A1334" s="27" t="s">
        <v>1367</v>
      </c>
      <c r="B1334" s="27" t="str">
        <f t="shared" si="87"/>
        <v/>
      </c>
      <c r="C1334" s="27" t="str">
        <f t="shared" si="88"/>
        <v/>
      </c>
    </row>
    <row r="1335" spans="1:3" x14ac:dyDescent="0.25">
      <c r="A1335" s="27" t="s">
        <v>1367</v>
      </c>
      <c r="B1335" s="27" t="str">
        <f t="shared" si="87"/>
        <v/>
      </c>
      <c r="C1335" s="27" t="str">
        <f t="shared" si="88"/>
        <v/>
      </c>
    </row>
    <row r="1336" spans="1:3" x14ac:dyDescent="0.25">
      <c r="A1336" s="27" t="s">
        <v>1367</v>
      </c>
      <c r="B1336" s="27" t="str">
        <f t="shared" si="87"/>
        <v/>
      </c>
      <c r="C1336" s="27" t="str">
        <f t="shared" si="88"/>
        <v/>
      </c>
    </row>
    <row r="1337" spans="1:3" x14ac:dyDescent="0.25">
      <c r="A1337" s="27" t="s">
        <v>1367</v>
      </c>
      <c r="B1337" s="27" t="str">
        <f t="shared" si="87"/>
        <v/>
      </c>
      <c r="C1337" s="27" t="str">
        <f t="shared" si="88"/>
        <v/>
      </c>
    </row>
    <row r="1338" spans="1:3" x14ac:dyDescent="0.25">
      <c r="A1338" s="27" t="s">
        <v>1367</v>
      </c>
      <c r="B1338" s="27" t="str">
        <f t="shared" si="87"/>
        <v/>
      </c>
      <c r="C1338" s="27" t="str">
        <f t="shared" si="88"/>
        <v/>
      </c>
    </row>
    <row r="1339" spans="1:3" x14ac:dyDescent="0.25">
      <c r="A1339" s="27" t="s">
        <v>1367</v>
      </c>
      <c r="B1339" s="27" t="str">
        <f t="shared" si="87"/>
        <v/>
      </c>
      <c r="C1339" s="27" t="str">
        <f t="shared" si="88"/>
        <v/>
      </c>
    </row>
    <row r="1340" spans="1:3" x14ac:dyDescent="0.25">
      <c r="A1340" s="27" t="s">
        <v>1367</v>
      </c>
      <c r="B1340" s="27" t="str">
        <f t="shared" si="87"/>
        <v/>
      </c>
      <c r="C1340" s="27" t="str">
        <f t="shared" si="88"/>
        <v/>
      </c>
    </row>
    <row r="1341" spans="1:3" x14ac:dyDescent="0.25">
      <c r="A1341" s="27" t="s">
        <v>1367</v>
      </c>
      <c r="B1341" s="27" t="str">
        <f t="shared" si="87"/>
        <v/>
      </c>
      <c r="C1341" s="27" t="str">
        <f t="shared" si="88"/>
        <v/>
      </c>
    </row>
    <row r="1342" spans="1:3" x14ac:dyDescent="0.25">
      <c r="A1342" s="27" t="s">
        <v>1367</v>
      </c>
      <c r="B1342" s="27" t="str">
        <f t="shared" si="87"/>
        <v/>
      </c>
      <c r="C1342" s="27" t="str">
        <f t="shared" si="88"/>
        <v/>
      </c>
    </row>
    <row r="1343" spans="1:3" x14ac:dyDescent="0.25">
      <c r="A1343" s="27" t="s">
        <v>1367</v>
      </c>
      <c r="B1343" s="27" t="str">
        <f t="shared" ref="B1343:B1406" si="89">LEFT(A1343,FIND(";",A1343)-1)</f>
        <v/>
      </c>
      <c r="C1343" s="27" t="str">
        <f t="shared" ref="C1343:C1406" si="90">MID(A1343,FIND(";",A1343)+1,100)</f>
        <v/>
      </c>
    </row>
    <row r="1344" spans="1:3" x14ac:dyDescent="0.25">
      <c r="A1344" s="27" t="s">
        <v>1367</v>
      </c>
      <c r="B1344" s="27" t="str">
        <f t="shared" si="89"/>
        <v/>
      </c>
      <c r="C1344" s="27" t="str">
        <f t="shared" si="90"/>
        <v/>
      </c>
    </row>
    <row r="1345" spans="1:3" x14ac:dyDescent="0.25">
      <c r="A1345" s="27" t="s">
        <v>1367</v>
      </c>
      <c r="B1345" s="27" t="str">
        <f t="shared" si="89"/>
        <v/>
      </c>
      <c r="C1345" s="27" t="str">
        <f t="shared" si="90"/>
        <v/>
      </c>
    </row>
    <row r="1346" spans="1:3" x14ac:dyDescent="0.25">
      <c r="A1346" s="27" t="s">
        <v>1367</v>
      </c>
      <c r="B1346" s="27" t="str">
        <f t="shared" si="89"/>
        <v/>
      </c>
      <c r="C1346" s="27" t="str">
        <f t="shared" si="90"/>
        <v/>
      </c>
    </row>
    <row r="1347" spans="1:3" x14ac:dyDescent="0.25">
      <c r="A1347" s="27" t="s">
        <v>1367</v>
      </c>
      <c r="B1347" s="27" t="str">
        <f t="shared" si="89"/>
        <v/>
      </c>
      <c r="C1347" s="27" t="str">
        <f t="shared" si="90"/>
        <v/>
      </c>
    </row>
    <row r="1348" spans="1:3" x14ac:dyDescent="0.25">
      <c r="A1348" s="27" t="s">
        <v>1367</v>
      </c>
      <c r="B1348" s="27" t="str">
        <f t="shared" si="89"/>
        <v/>
      </c>
      <c r="C1348" s="27" t="str">
        <f t="shared" si="90"/>
        <v/>
      </c>
    </row>
    <row r="1349" spans="1:3" x14ac:dyDescent="0.25">
      <c r="A1349" s="27" t="s">
        <v>1367</v>
      </c>
      <c r="B1349" s="27" t="str">
        <f t="shared" si="89"/>
        <v/>
      </c>
      <c r="C1349" s="27" t="str">
        <f t="shared" si="90"/>
        <v/>
      </c>
    </row>
    <row r="1350" spans="1:3" x14ac:dyDescent="0.25">
      <c r="A1350" s="27" t="s">
        <v>1367</v>
      </c>
      <c r="B1350" s="27" t="str">
        <f t="shared" si="89"/>
        <v/>
      </c>
      <c r="C1350" s="27" t="str">
        <f t="shared" si="90"/>
        <v/>
      </c>
    </row>
    <row r="1351" spans="1:3" x14ac:dyDescent="0.25">
      <c r="A1351" s="27" t="s">
        <v>1367</v>
      </c>
      <c r="B1351" s="27" t="str">
        <f t="shared" si="89"/>
        <v/>
      </c>
      <c r="C1351" s="27" t="str">
        <f t="shared" si="90"/>
        <v/>
      </c>
    </row>
    <row r="1352" spans="1:3" x14ac:dyDescent="0.25">
      <c r="A1352" s="27" t="s">
        <v>1367</v>
      </c>
      <c r="B1352" s="27" t="str">
        <f t="shared" si="89"/>
        <v/>
      </c>
      <c r="C1352" s="27" t="str">
        <f t="shared" si="90"/>
        <v/>
      </c>
    </row>
    <row r="1353" spans="1:3" x14ac:dyDescent="0.25">
      <c r="A1353" s="27" t="s">
        <v>1367</v>
      </c>
      <c r="B1353" s="27" t="str">
        <f t="shared" si="89"/>
        <v/>
      </c>
      <c r="C1353" s="27" t="str">
        <f t="shared" si="90"/>
        <v/>
      </c>
    </row>
    <row r="1354" spans="1:3" x14ac:dyDescent="0.25">
      <c r="A1354" s="27" t="s">
        <v>1367</v>
      </c>
      <c r="B1354" s="27" t="str">
        <f t="shared" si="89"/>
        <v/>
      </c>
      <c r="C1354" s="27" t="str">
        <f t="shared" si="90"/>
        <v/>
      </c>
    </row>
    <row r="1355" spans="1:3" x14ac:dyDescent="0.25">
      <c r="A1355" s="27" t="s">
        <v>1367</v>
      </c>
      <c r="B1355" s="27" t="str">
        <f t="shared" si="89"/>
        <v/>
      </c>
      <c r="C1355" s="27" t="str">
        <f t="shared" si="90"/>
        <v/>
      </c>
    </row>
    <row r="1356" spans="1:3" x14ac:dyDescent="0.25">
      <c r="A1356" s="27" t="s">
        <v>1367</v>
      </c>
      <c r="B1356" s="27" t="str">
        <f t="shared" si="89"/>
        <v/>
      </c>
      <c r="C1356" s="27" t="str">
        <f t="shared" si="90"/>
        <v/>
      </c>
    </row>
    <row r="1357" spans="1:3" x14ac:dyDescent="0.25">
      <c r="A1357" s="27" t="s">
        <v>1367</v>
      </c>
      <c r="B1357" s="27" t="str">
        <f t="shared" si="89"/>
        <v/>
      </c>
      <c r="C1357" s="27" t="str">
        <f t="shared" si="90"/>
        <v/>
      </c>
    </row>
    <row r="1358" spans="1:3" x14ac:dyDescent="0.25">
      <c r="A1358" s="27" t="s">
        <v>1367</v>
      </c>
      <c r="B1358" s="27" t="str">
        <f t="shared" si="89"/>
        <v/>
      </c>
      <c r="C1358" s="27" t="str">
        <f t="shared" si="90"/>
        <v/>
      </c>
    </row>
    <row r="1359" spans="1:3" x14ac:dyDescent="0.25">
      <c r="A1359" s="27" t="s">
        <v>1367</v>
      </c>
      <c r="B1359" s="27" t="str">
        <f t="shared" si="89"/>
        <v/>
      </c>
      <c r="C1359" s="27" t="str">
        <f t="shared" si="90"/>
        <v/>
      </c>
    </row>
    <row r="1360" spans="1:3" x14ac:dyDescent="0.25">
      <c r="A1360" s="27" t="s">
        <v>1367</v>
      </c>
      <c r="B1360" s="27" t="str">
        <f t="shared" si="89"/>
        <v/>
      </c>
      <c r="C1360" s="27" t="str">
        <f t="shared" si="90"/>
        <v/>
      </c>
    </row>
    <row r="1361" spans="1:3" x14ac:dyDescent="0.25">
      <c r="A1361" s="27" t="s">
        <v>1367</v>
      </c>
      <c r="B1361" s="27" t="str">
        <f t="shared" si="89"/>
        <v/>
      </c>
      <c r="C1361" s="27" t="str">
        <f t="shared" si="90"/>
        <v/>
      </c>
    </row>
    <row r="1362" spans="1:3" x14ac:dyDescent="0.25">
      <c r="A1362" s="27" t="s">
        <v>1367</v>
      </c>
      <c r="B1362" s="27" t="str">
        <f t="shared" si="89"/>
        <v/>
      </c>
      <c r="C1362" s="27" t="str">
        <f t="shared" si="90"/>
        <v/>
      </c>
    </row>
    <row r="1363" spans="1:3" x14ac:dyDescent="0.25">
      <c r="A1363" s="27" t="s">
        <v>1367</v>
      </c>
      <c r="B1363" s="27" t="str">
        <f t="shared" si="89"/>
        <v/>
      </c>
      <c r="C1363" s="27" t="str">
        <f t="shared" si="90"/>
        <v/>
      </c>
    </row>
    <row r="1364" spans="1:3" x14ac:dyDescent="0.25">
      <c r="A1364" s="27" t="s">
        <v>1367</v>
      </c>
      <c r="B1364" s="27" t="str">
        <f t="shared" si="89"/>
        <v/>
      </c>
      <c r="C1364" s="27" t="str">
        <f t="shared" si="90"/>
        <v/>
      </c>
    </row>
    <row r="1365" spans="1:3" x14ac:dyDescent="0.25">
      <c r="A1365" s="27" t="s">
        <v>1367</v>
      </c>
      <c r="B1365" s="27" t="str">
        <f t="shared" si="89"/>
        <v/>
      </c>
      <c r="C1365" s="27" t="str">
        <f t="shared" si="90"/>
        <v/>
      </c>
    </row>
    <row r="1366" spans="1:3" x14ac:dyDescent="0.25">
      <c r="A1366" s="27" t="s">
        <v>1367</v>
      </c>
      <c r="B1366" s="27" t="str">
        <f t="shared" si="89"/>
        <v/>
      </c>
      <c r="C1366" s="27" t="str">
        <f t="shared" si="90"/>
        <v/>
      </c>
    </row>
    <row r="1367" spans="1:3" x14ac:dyDescent="0.25">
      <c r="A1367" s="27" t="s">
        <v>1367</v>
      </c>
      <c r="B1367" s="27" t="str">
        <f t="shared" si="89"/>
        <v/>
      </c>
      <c r="C1367" s="27" t="str">
        <f t="shared" si="90"/>
        <v/>
      </c>
    </row>
    <row r="1368" spans="1:3" x14ac:dyDescent="0.25">
      <c r="A1368" s="27" t="s">
        <v>1367</v>
      </c>
      <c r="B1368" s="27" t="str">
        <f t="shared" si="89"/>
        <v/>
      </c>
      <c r="C1368" s="27" t="str">
        <f t="shared" si="90"/>
        <v/>
      </c>
    </row>
    <row r="1369" spans="1:3" x14ac:dyDescent="0.25">
      <c r="A1369" s="27" t="s">
        <v>1367</v>
      </c>
      <c r="B1369" s="27" t="str">
        <f t="shared" si="89"/>
        <v/>
      </c>
      <c r="C1369" s="27" t="str">
        <f t="shared" si="90"/>
        <v/>
      </c>
    </row>
    <row r="1370" spans="1:3" x14ac:dyDescent="0.25">
      <c r="A1370" s="27" t="s">
        <v>1367</v>
      </c>
      <c r="B1370" s="27" t="str">
        <f t="shared" si="89"/>
        <v/>
      </c>
      <c r="C1370" s="27" t="str">
        <f t="shared" si="90"/>
        <v/>
      </c>
    </row>
    <row r="1371" spans="1:3" x14ac:dyDescent="0.25">
      <c r="A1371" s="27" t="s">
        <v>1367</v>
      </c>
      <c r="B1371" s="27" t="str">
        <f t="shared" si="89"/>
        <v/>
      </c>
      <c r="C1371" s="27" t="str">
        <f t="shared" si="90"/>
        <v/>
      </c>
    </row>
    <row r="1372" spans="1:3" x14ac:dyDescent="0.25">
      <c r="A1372" s="27" t="s">
        <v>1367</v>
      </c>
      <c r="B1372" s="27" t="str">
        <f t="shared" si="89"/>
        <v/>
      </c>
      <c r="C1372" s="27" t="str">
        <f t="shared" si="90"/>
        <v/>
      </c>
    </row>
    <row r="1373" spans="1:3" x14ac:dyDescent="0.25">
      <c r="A1373" s="27" t="s">
        <v>1367</v>
      </c>
      <c r="B1373" s="27" t="str">
        <f t="shared" si="89"/>
        <v/>
      </c>
      <c r="C1373" s="27" t="str">
        <f t="shared" si="90"/>
        <v/>
      </c>
    </row>
    <row r="1374" spans="1:3" x14ac:dyDescent="0.25">
      <c r="A1374" s="27" t="s">
        <v>1367</v>
      </c>
      <c r="B1374" s="27" t="str">
        <f t="shared" si="89"/>
        <v/>
      </c>
      <c r="C1374" s="27" t="str">
        <f t="shared" si="90"/>
        <v/>
      </c>
    </row>
    <row r="1375" spans="1:3" x14ac:dyDescent="0.25">
      <c r="A1375" s="27" t="s">
        <v>1367</v>
      </c>
      <c r="B1375" s="27" t="str">
        <f t="shared" si="89"/>
        <v/>
      </c>
      <c r="C1375" s="27" t="str">
        <f t="shared" si="90"/>
        <v/>
      </c>
    </row>
    <row r="1376" spans="1:3" x14ac:dyDescent="0.25">
      <c r="A1376" s="27" t="s">
        <v>1367</v>
      </c>
      <c r="B1376" s="27" t="str">
        <f t="shared" si="89"/>
        <v/>
      </c>
      <c r="C1376" s="27" t="str">
        <f t="shared" si="90"/>
        <v/>
      </c>
    </row>
    <row r="1377" spans="1:3" x14ac:dyDescent="0.25">
      <c r="A1377" s="27" t="s">
        <v>1367</v>
      </c>
      <c r="B1377" s="27" t="str">
        <f t="shared" si="89"/>
        <v/>
      </c>
      <c r="C1377" s="27" t="str">
        <f t="shared" si="90"/>
        <v/>
      </c>
    </row>
    <row r="1378" spans="1:3" x14ac:dyDescent="0.25">
      <c r="A1378" s="27" t="s">
        <v>1367</v>
      </c>
      <c r="B1378" s="27" t="str">
        <f t="shared" si="89"/>
        <v/>
      </c>
      <c r="C1378" s="27" t="str">
        <f t="shared" si="90"/>
        <v/>
      </c>
    </row>
    <row r="1379" spans="1:3" x14ac:dyDescent="0.25">
      <c r="A1379" s="27" t="s">
        <v>1367</v>
      </c>
      <c r="B1379" s="27" t="str">
        <f t="shared" si="89"/>
        <v/>
      </c>
      <c r="C1379" s="27" t="str">
        <f t="shared" si="90"/>
        <v/>
      </c>
    </row>
    <row r="1380" spans="1:3" x14ac:dyDescent="0.25">
      <c r="A1380" s="27" t="s">
        <v>1367</v>
      </c>
      <c r="B1380" s="27" t="str">
        <f t="shared" si="89"/>
        <v/>
      </c>
      <c r="C1380" s="27" t="str">
        <f t="shared" si="90"/>
        <v/>
      </c>
    </row>
    <row r="1381" spans="1:3" x14ac:dyDescent="0.25">
      <c r="A1381" s="27" t="s">
        <v>1367</v>
      </c>
      <c r="B1381" s="27" t="str">
        <f t="shared" si="89"/>
        <v/>
      </c>
      <c r="C1381" s="27" t="str">
        <f t="shared" si="90"/>
        <v/>
      </c>
    </row>
    <row r="1382" spans="1:3" x14ac:dyDescent="0.25">
      <c r="A1382" s="27" t="s">
        <v>1367</v>
      </c>
      <c r="B1382" s="27" t="str">
        <f t="shared" si="89"/>
        <v/>
      </c>
      <c r="C1382" s="27" t="str">
        <f t="shared" si="90"/>
        <v/>
      </c>
    </row>
    <row r="1383" spans="1:3" x14ac:dyDescent="0.25">
      <c r="A1383" s="27" t="s">
        <v>1367</v>
      </c>
      <c r="B1383" s="27" t="str">
        <f t="shared" si="89"/>
        <v/>
      </c>
      <c r="C1383" s="27" t="str">
        <f t="shared" si="90"/>
        <v/>
      </c>
    </row>
    <row r="1384" spans="1:3" x14ac:dyDescent="0.25">
      <c r="A1384" s="27" t="s">
        <v>1367</v>
      </c>
      <c r="B1384" s="27" t="str">
        <f t="shared" si="89"/>
        <v/>
      </c>
      <c r="C1384" s="27" t="str">
        <f t="shared" si="90"/>
        <v/>
      </c>
    </row>
    <row r="1385" spans="1:3" x14ac:dyDescent="0.25">
      <c r="A1385" s="27" t="s">
        <v>1367</v>
      </c>
      <c r="B1385" s="27" t="str">
        <f t="shared" si="89"/>
        <v/>
      </c>
      <c r="C1385" s="27" t="str">
        <f t="shared" si="90"/>
        <v/>
      </c>
    </row>
    <row r="1386" spans="1:3" x14ac:dyDescent="0.25">
      <c r="A1386" s="27" t="s">
        <v>1367</v>
      </c>
      <c r="B1386" s="27" t="str">
        <f t="shared" si="89"/>
        <v/>
      </c>
      <c r="C1386" s="27" t="str">
        <f t="shared" si="90"/>
        <v/>
      </c>
    </row>
    <row r="1387" spans="1:3" x14ac:dyDescent="0.25">
      <c r="A1387" s="27" t="s">
        <v>1367</v>
      </c>
      <c r="B1387" s="27" t="str">
        <f t="shared" si="89"/>
        <v/>
      </c>
      <c r="C1387" s="27" t="str">
        <f t="shared" si="90"/>
        <v/>
      </c>
    </row>
    <row r="1388" spans="1:3" x14ac:dyDescent="0.25">
      <c r="A1388" s="27" t="s">
        <v>1367</v>
      </c>
      <c r="B1388" s="27" t="str">
        <f t="shared" si="89"/>
        <v/>
      </c>
      <c r="C1388" s="27" t="str">
        <f t="shared" si="90"/>
        <v/>
      </c>
    </row>
    <row r="1389" spans="1:3" x14ac:dyDescent="0.25">
      <c r="A1389" s="27" t="s">
        <v>1367</v>
      </c>
      <c r="B1389" s="27" t="str">
        <f t="shared" si="89"/>
        <v/>
      </c>
      <c r="C1389" s="27" t="str">
        <f t="shared" si="90"/>
        <v/>
      </c>
    </row>
    <row r="1390" spans="1:3" x14ac:dyDescent="0.25">
      <c r="A1390" s="27" t="s">
        <v>1367</v>
      </c>
      <c r="B1390" s="27" t="str">
        <f t="shared" si="89"/>
        <v/>
      </c>
      <c r="C1390" s="27" t="str">
        <f t="shared" si="90"/>
        <v/>
      </c>
    </row>
    <row r="1391" spans="1:3" x14ac:dyDescent="0.25">
      <c r="A1391" s="27" t="s">
        <v>1367</v>
      </c>
      <c r="B1391" s="27" t="str">
        <f t="shared" si="89"/>
        <v/>
      </c>
      <c r="C1391" s="27" t="str">
        <f t="shared" si="90"/>
        <v/>
      </c>
    </row>
    <row r="1392" spans="1:3" x14ac:dyDescent="0.25">
      <c r="A1392" s="27" t="s">
        <v>1367</v>
      </c>
      <c r="B1392" s="27" t="str">
        <f t="shared" si="89"/>
        <v/>
      </c>
      <c r="C1392" s="27" t="str">
        <f t="shared" si="90"/>
        <v/>
      </c>
    </row>
    <row r="1393" spans="1:3" x14ac:dyDescent="0.25">
      <c r="A1393" s="27" t="s">
        <v>1367</v>
      </c>
      <c r="B1393" s="27" t="str">
        <f t="shared" si="89"/>
        <v/>
      </c>
      <c r="C1393" s="27" t="str">
        <f t="shared" si="90"/>
        <v/>
      </c>
    </row>
    <row r="1394" spans="1:3" x14ac:dyDescent="0.25">
      <c r="A1394" s="27" t="s">
        <v>1367</v>
      </c>
      <c r="B1394" s="27" t="str">
        <f t="shared" si="89"/>
        <v/>
      </c>
      <c r="C1394" s="27" t="str">
        <f t="shared" si="90"/>
        <v/>
      </c>
    </row>
    <row r="1395" spans="1:3" x14ac:dyDescent="0.25">
      <c r="A1395" s="27" t="s">
        <v>1367</v>
      </c>
      <c r="B1395" s="27" t="str">
        <f t="shared" si="89"/>
        <v/>
      </c>
      <c r="C1395" s="27" t="str">
        <f t="shared" si="90"/>
        <v/>
      </c>
    </row>
    <row r="1396" spans="1:3" x14ac:dyDescent="0.25">
      <c r="A1396" s="27" t="s">
        <v>1367</v>
      </c>
      <c r="B1396" s="27" t="str">
        <f t="shared" si="89"/>
        <v/>
      </c>
      <c r="C1396" s="27" t="str">
        <f t="shared" si="90"/>
        <v/>
      </c>
    </row>
    <row r="1397" spans="1:3" x14ac:dyDescent="0.25">
      <c r="A1397" s="27" t="s">
        <v>1367</v>
      </c>
      <c r="B1397" s="27" t="str">
        <f t="shared" si="89"/>
        <v/>
      </c>
      <c r="C1397" s="27" t="str">
        <f t="shared" si="90"/>
        <v/>
      </c>
    </row>
    <row r="1398" spans="1:3" x14ac:dyDescent="0.25">
      <c r="A1398" s="27" t="s">
        <v>1367</v>
      </c>
      <c r="B1398" s="27" t="str">
        <f t="shared" si="89"/>
        <v/>
      </c>
      <c r="C1398" s="27" t="str">
        <f t="shared" si="90"/>
        <v/>
      </c>
    </row>
    <row r="1399" spans="1:3" x14ac:dyDescent="0.25">
      <c r="A1399" s="27" t="s">
        <v>1367</v>
      </c>
      <c r="B1399" s="27" t="str">
        <f t="shared" si="89"/>
        <v/>
      </c>
      <c r="C1399" s="27" t="str">
        <f t="shared" si="90"/>
        <v/>
      </c>
    </row>
    <row r="1400" spans="1:3" x14ac:dyDescent="0.25">
      <c r="A1400" s="27" t="s">
        <v>1367</v>
      </c>
      <c r="B1400" s="27" t="str">
        <f t="shared" si="89"/>
        <v/>
      </c>
      <c r="C1400" s="27" t="str">
        <f t="shared" si="90"/>
        <v/>
      </c>
    </row>
    <row r="1401" spans="1:3" x14ac:dyDescent="0.25">
      <c r="A1401" s="27" t="s">
        <v>1367</v>
      </c>
      <c r="B1401" s="27" t="str">
        <f t="shared" si="89"/>
        <v/>
      </c>
      <c r="C1401" s="27" t="str">
        <f t="shared" si="90"/>
        <v/>
      </c>
    </row>
    <row r="1402" spans="1:3" x14ac:dyDescent="0.25">
      <c r="A1402" s="27" t="s">
        <v>1367</v>
      </c>
      <c r="B1402" s="27" t="str">
        <f t="shared" si="89"/>
        <v/>
      </c>
      <c r="C1402" s="27" t="str">
        <f t="shared" si="90"/>
        <v/>
      </c>
    </row>
    <row r="1403" spans="1:3" x14ac:dyDescent="0.25">
      <c r="A1403" s="27" t="s">
        <v>1367</v>
      </c>
      <c r="B1403" s="27" t="str">
        <f t="shared" si="89"/>
        <v/>
      </c>
      <c r="C1403" s="27" t="str">
        <f t="shared" si="90"/>
        <v/>
      </c>
    </row>
    <row r="1404" spans="1:3" x14ac:dyDescent="0.25">
      <c r="A1404" s="27" t="s">
        <v>1367</v>
      </c>
      <c r="B1404" s="27" t="str">
        <f t="shared" si="89"/>
        <v/>
      </c>
      <c r="C1404" s="27" t="str">
        <f t="shared" si="90"/>
        <v/>
      </c>
    </row>
    <row r="1405" spans="1:3" x14ac:dyDescent="0.25">
      <c r="A1405" s="27" t="s">
        <v>1367</v>
      </c>
      <c r="B1405" s="27" t="str">
        <f t="shared" si="89"/>
        <v/>
      </c>
      <c r="C1405" s="27" t="str">
        <f t="shared" si="90"/>
        <v/>
      </c>
    </row>
    <row r="1406" spans="1:3" x14ac:dyDescent="0.25">
      <c r="A1406" s="27" t="s">
        <v>1367</v>
      </c>
      <c r="B1406" s="27" t="str">
        <f t="shared" si="89"/>
        <v/>
      </c>
      <c r="C1406" s="27" t="str">
        <f t="shared" si="90"/>
        <v/>
      </c>
    </row>
    <row r="1407" spans="1:3" x14ac:dyDescent="0.25">
      <c r="A1407" s="27" t="s">
        <v>1367</v>
      </c>
      <c r="B1407" s="27" t="str">
        <f t="shared" ref="B1407:B1470" si="91">LEFT(A1407,FIND(";",A1407)-1)</f>
        <v/>
      </c>
      <c r="C1407" s="27" t="str">
        <f t="shared" ref="C1407:C1470" si="92">MID(A1407,FIND(";",A1407)+1,100)</f>
        <v/>
      </c>
    </row>
    <row r="1408" spans="1:3" x14ac:dyDescent="0.25">
      <c r="A1408" s="27" t="s">
        <v>1367</v>
      </c>
      <c r="B1408" s="27" t="str">
        <f t="shared" si="91"/>
        <v/>
      </c>
      <c r="C1408" s="27" t="str">
        <f t="shared" si="92"/>
        <v/>
      </c>
    </row>
    <row r="1409" spans="1:3" x14ac:dyDescent="0.25">
      <c r="A1409" s="27" t="s">
        <v>1367</v>
      </c>
      <c r="B1409" s="27" t="str">
        <f t="shared" si="91"/>
        <v/>
      </c>
      <c r="C1409" s="27" t="str">
        <f t="shared" si="92"/>
        <v/>
      </c>
    </row>
    <row r="1410" spans="1:3" x14ac:dyDescent="0.25">
      <c r="A1410" s="27" t="s">
        <v>1367</v>
      </c>
      <c r="B1410" s="27" t="str">
        <f t="shared" si="91"/>
        <v/>
      </c>
      <c r="C1410" s="27" t="str">
        <f t="shared" si="92"/>
        <v/>
      </c>
    </row>
    <row r="1411" spans="1:3" x14ac:dyDescent="0.25">
      <c r="A1411" s="27" t="s">
        <v>1367</v>
      </c>
      <c r="B1411" s="27" t="str">
        <f t="shared" si="91"/>
        <v/>
      </c>
      <c r="C1411" s="27" t="str">
        <f t="shared" si="92"/>
        <v/>
      </c>
    </row>
    <row r="1412" spans="1:3" x14ac:dyDescent="0.25">
      <c r="A1412" s="27" t="s">
        <v>1367</v>
      </c>
      <c r="B1412" s="27" t="str">
        <f t="shared" si="91"/>
        <v/>
      </c>
      <c r="C1412" s="27" t="str">
        <f t="shared" si="92"/>
        <v/>
      </c>
    </row>
    <row r="1413" spans="1:3" x14ac:dyDescent="0.25">
      <c r="A1413" s="27" t="s">
        <v>1367</v>
      </c>
      <c r="B1413" s="27" t="str">
        <f t="shared" si="91"/>
        <v/>
      </c>
      <c r="C1413" s="27" t="str">
        <f t="shared" si="92"/>
        <v/>
      </c>
    </row>
    <row r="1414" spans="1:3" x14ac:dyDescent="0.25">
      <c r="A1414" s="27" t="s">
        <v>1367</v>
      </c>
      <c r="B1414" s="27" t="str">
        <f t="shared" si="91"/>
        <v/>
      </c>
      <c r="C1414" s="27" t="str">
        <f t="shared" si="92"/>
        <v/>
      </c>
    </row>
    <row r="1415" spans="1:3" x14ac:dyDescent="0.25">
      <c r="A1415" s="27" t="s">
        <v>1367</v>
      </c>
      <c r="B1415" s="27" t="str">
        <f t="shared" si="91"/>
        <v/>
      </c>
      <c r="C1415" s="27" t="str">
        <f t="shared" si="92"/>
        <v/>
      </c>
    </row>
    <row r="1416" spans="1:3" x14ac:dyDescent="0.25">
      <c r="A1416" s="27" t="s">
        <v>1367</v>
      </c>
      <c r="B1416" s="27" t="str">
        <f t="shared" si="91"/>
        <v/>
      </c>
      <c r="C1416" s="27" t="str">
        <f t="shared" si="92"/>
        <v/>
      </c>
    </row>
    <row r="1417" spans="1:3" x14ac:dyDescent="0.25">
      <c r="A1417" s="27" t="s">
        <v>1367</v>
      </c>
      <c r="B1417" s="27" t="str">
        <f t="shared" si="91"/>
        <v/>
      </c>
      <c r="C1417" s="27" t="str">
        <f t="shared" si="92"/>
        <v/>
      </c>
    </row>
    <row r="1418" spans="1:3" x14ac:dyDescent="0.25">
      <c r="A1418" s="27" t="s">
        <v>1367</v>
      </c>
      <c r="B1418" s="27" t="str">
        <f t="shared" si="91"/>
        <v/>
      </c>
      <c r="C1418" s="27" t="str">
        <f t="shared" si="92"/>
        <v/>
      </c>
    </row>
    <row r="1419" spans="1:3" x14ac:dyDescent="0.25">
      <c r="A1419" s="27" t="s">
        <v>1367</v>
      </c>
      <c r="B1419" s="27" t="str">
        <f t="shared" si="91"/>
        <v/>
      </c>
      <c r="C1419" s="27" t="str">
        <f t="shared" si="92"/>
        <v/>
      </c>
    </row>
    <row r="1420" spans="1:3" x14ac:dyDescent="0.25">
      <c r="A1420" s="27" t="s">
        <v>1367</v>
      </c>
      <c r="B1420" s="27" t="str">
        <f t="shared" si="91"/>
        <v/>
      </c>
      <c r="C1420" s="27" t="str">
        <f t="shared" si="92"/>
        <v/>
      </c>
    </row>
    <row r="1421" spans="1:3" x14ac:dyDescent="0.25">
      <c r="A1421" s="27" t="s">
        <v>1367</v>
      </c>
      <c r="B1421" s="27" t="str">
        <f t="shared" si="91"/>
        <v/>
      </c>
      <c r="C1421" s="27" t="str">
        <f t="shared" si="92"/>
        <v/>
      </c>
    </row>
    <row r="1422" spans="1:3" x14ac:dyDescent="0.25">
      <c r="A1422" s="27" t="s">
        <v>1367</v>
      </c>
      <c r="B1422" s="27" t="str">
        <f t="shared" si="91"/>
        <v/>
      </c>
      <c r="C1422" s="27" t="str">
        <f t="shared" si="92"/>
        <v/>
      </c>
    </row>
    <row r="1423" spans="1:3" x14ac:dyDescent="0.25">
      <c r="A1423" s="27" t="s">
        <v>1367</v>
      </c>
      <c r="B1423" s="27" t="str">
        <f t="shared" si="91"/>
        <v/>
      </c>
      <c r="C1423" s="27" t="str">
        <f t="shared" si="92"/>
        <v/>
      </c>
    </row>
    <row r="1424" spans="1:3" x14ac:dyDescent="0.25">
      <c r="A1424" s="27" t="s">
        <v>1367</v>
      </c>
      <c r="B1424" s="27" t="str">
        <f t="shared" si="91"/>
        <v/>
      </c>
      <c r="C1424" s="27" t="str">
        <f t="shared" si="92"/>
        <v/>
      </c>
    </row>
    <row r="1425" spans="1:3" x14ac:dyDescent="0.25">
      <c r="A1425" s="27" t="s">
        <v>1367</v>
      </c>
      <c r="B1425" s="27" t="str">
        <f t="shared" si="91"/>
        <v/>
      </c>
      <c r="C1425" s="27" t="str">
        <f t="shared" si="92"/>
        <v/>
      </c>
    </row>
    <row r="1426" spans="1:3" x14ac:dyDescent="0.25">
      <c r="A1426" s="27" t="s">
        <v>1367</v>
      </c>
      <c r="B1426" s="27" t="str">
        <f t="shared" si="91"/>
        <v/>
      </c>
      <c r="C1426" s="27" t="str">
        <f t="shared" si="92"/>
        <v/>
      </c>
    </row>
    <row r="1427" spans="1:3" x14ac:dyDescent="0.25">
      <c r="A1427" s="27" t="s">
        <v>1367</v>
      </c>
      <c r="B1427" s="27" t="str">
        <f t="shared" si="91"/>
        <v/>
      </c>
      <c r="C1427" s="27" t="str">
        <f t="shared" si="92"/>
        <v/>
      </c>
    </row>
    <row r="1428" spans="1:3" x14ac:dyDescent="0.25">
      <c r="A1428" s="27" t="s">
        <v>1367</v>
      </c>
      <c r="B1428" s="27" t="str">
        <f t="shared" si="91"/>
        <v/>
      </c>
      <c r="C1428" s="27" t="str">
        <f t="shared" si="92"/>
        <v/>
      </c>
    </row>
    <row r="1429" spans="1:3" x14ac:dyDescent="0.25">
      <c r="A1429" s="27" t="s">
        <v>1367</v>
      </c>
      <c r="B1429" s="27" t="str">
        <f t="shared" si="91"/>
        <v/>
      </c>
      <c r="C1429" s="27" t="str">
        <f t="shared" si="92"/>
        <v/>
      </c>
    </row>
    <row r="1430" spans="1:3" x14ac:dyDescent="0.25">
      <c r="A1430" s="27" t="s">
        <v>1367</v>
      </c>
      <c r="B1430" s="27" t="str">
        <f t="shared" si="91"/>
        <v/>
      </c>
      <c r="C1430" s="27" t="str">
        <f t="shared" si="92"/>
        <v/>
      </c>
    </row>
    <row r="1431" spans="1:3" x14ac:dyDescent="0.25">
      <c r="A1431" s="27" t="s">
        <v>1367</v>
      </c>
      <c r="B1431" s="27" t="str">
        <f t="shared" si="91"/>
        <v/>
      </c>
      <c r="C1431" s="27" t="str">
        <f t="shared" si="92"/>
        <v/>
      </c>
    </row>
    <row r="1432" spans="1:3" x14ac:dyDescent="0.25">
      <c r="A1432" s="27" t="s">
        <v>1367</v>
      </c>
      <c r="B1432" s="27" t="str">
        <f t="shared" si="91"/>
        <v/>
      </c>
      <c r="C1432" s="27" t="str">
        <f t="shared" si="92"/>
        <v/>
      </c>
    </row>
    <row r="1433" spans="1:3" x14ac:dyDescent="0.25">
      <c r="A1433" s="27" t="s">
        <v>1367</v>
      </c>
      <c r="B1433" s="27" t="str">
        <f t="shared" si="91"/>
        <v/>
      </c>
      <c r="C1433" s="27" t="str">
        <f t="shared" si="92"/>
        <v/>
      </c>
    </row>
    <row r="1434" spans="1:3" x14ac:dyDescent="0.25">
      <c r="A1434" s="27" t="s">
        <v>1367</v>
      </c>
      <c r="B1434" s="27" t="str">
        <f t="shared" si="91"/>
        <v/>
      </c>
      <c r="C1434" s="27" t="str">
        <f t="shared" si="92"/>
        <v/>
      </c>
    </row>
    <row r="1435" spans="1:3" x14ac:dyDescent="0.25">
      <c r="A1435" s="27" t="s">
        <v>1367</v>
      </c>
      <c r="B1435" s="27" t="str">
        <f t="shared" si="91"/>
        <v/>
      </c>
      <c r="C1435" s="27" t="str">
        <f t="shared" si="92"/>
        <v/>
      </c>
    </row>
    <row r="1436" spans="1:3" x14ac:dyDescent="0.25">
      <c r="A1436" s="27" t="s">
        <v>1367</v>
      </c>
      <c r="B1436" s="27" t="str">
        <f t="shared" si="91"/>
        <v/>
      </c>
      <c r="C1436" s="27" t="str">
        <f t="shared" si="92"/>
        <v/>
      </c>
    </row>
    <row r="1437" spans="1:3" x14ac:dyDescent="0.25">
      <c r="A1437" s="27" t="s">
        <v>1367</v>
      </c>
      <c r="B1437" s="27" t="str">
        <f t="shared" si="91"/>
        <v/>
      </c>
      <c r="C1437" s="27" t="str">
        <f t="shared" si="92"/>
        <v/>
      </c>
    </row>
    <row r="1438" spans="1:3" x14ac:dyDescent="0.25">
      <c r="A1438" s="27" t="s">
        <v>1367</v>
      </c>
      <c r="B1438" s="27" t="str">
        <f t="shared" si="91"/>
        <v/>
      </c>
      <c r="C1438" s="27" t="str">
        <f t="shared" si="92"/>
        <v/>
      </c>
    </row>
    <row r="1439" spans="1:3" x14ac:dyDescent="0.25">
      <c r="A1439" s="27" t="s">
        <v>1367</v>
      </c>
      <c r="B1439" s="27" t="str">
        <f t="shared" si="91"/>
        <v/>
      </c>
      <c r="C1439" s="27" t="str">
        <f t="shared" si="92"/>
        <v/>
      </c>
    </row>
    <row r="1440" spans="1:3" x14ac:dyDescent="0.25">
      <c r="A1440" s="27" t="s">
        <v>1367</v>
      </c>
      <c r="B1440" s="27" t="str">
        <f t="shared" si="91"/>
        <v/>
      </c>
      <c r="C1440" s="27" t="str">
        <f t="shared" si="92"/>
        <v/>
      </c>
    </row>
    <row r="1441" spans="1:3" x14ac:dyDescent="0.25">
      <c r="A1441" s="27" t="s">
        <v>1367</v>
      </c>
      <c r="B1441" s="27" t="str">
        <f t="shared" si="91"/>
        <v/>
      </c>
      <c r="C1441" s="27" t="str">
        <f t="shared" si="92"/>
        <v/>
      </c>
    </row>
    <row r="1442" spans="1:3" x14ac:dyDescent="0.25">
      <c r="A1442" s="27" t="s">
        <v>1367</v>
      </c>
      <c r="B1442" s="27" t="str">
        <f t="shared" si="91"/>
        <v/>
      </c>
      <c r="C1442" s="27" t="str">
        <f t="shared" si="92"/>
        <v/>
      </c>
    </row>
    <row r="1443" spans="1:3" x14ac:dyDescent="0.25">
      <c r="A1443" s="27" t="s">
        <v>1367</v>
      </c>
      <c r="B1443" s="27" t="str">
        <f t="shared" si="91"/>
        <v/>
      </c>
      <c r="C1443" s="27" t="str">
        <f t="shared" si="92"/>
        <v/>
      </c>
    </row>
    <row r="1444" spans="1:3" x14ac:dyDescent="0.25">
      <c r="A1444" s="27" t="s">
        <v>1367</v>
      </c>
      <c r="B1444" s="27" t="str">
        <f t="shared" si="91"/>
        <v/>
      </c>
      <c r="C1444" s="27" t="str">
        <f t="shared" si="92"/>
        <v/>
      </c>
    </row>
    <row r="1445" spans="1:3" x14ac:dyDescent="0.25">
      <c r="A1445" s="27" t="s">
        <v>1367</v>
      </c>
      <c r="B1445" s="27" t="str">
        <f t="shared" si="91"/>
        <v/>
      </c>
      <c r="C1445" s="27" t="str">
        <f t="shared" si="92"/>
        <v/>
      </c>
    </row>
    <row r="1446" spans="1:3" x14ac:dyDescent="0.25">
      <c r="A1446" s="27" t="s">
        <v>1367</v>
      </c>
      <c r="B1446" s="27" t="str">
        <f t="shared" si="91"/>
        <v/>
      </c>
      <c r="C1446" s="27" t="str">
        <f t="shared" si="92"/>
        <v/>
      </c>
    </row>
    <row r="1447" spans="1:3" x14ac:dyDescent="0.25">
      <c r="A1447" s="27" t="s">
        <v>1367</v>
      </c>
      <c r="B1447" s="27" t="str">
        <f t="shared" si="91"/>
        <v/>
      </c>
      <c r="C1447" s="27" t="str">
        <f t="shared" si="92"/>
        <v/>
      </c>
    </row>
    <row r="1448" spans="1:3" x14ac:dyDescent="0.25">
      <c r="A1448" s="27" t="s">
        <v>1367</v>
      </c>
      <c r="B1448" s="27" t="str">
        <f t="shared" si="91"/>
        <v/>
      </c>
      <c r="C1448" s="27" t="str">
        <f t="shared" si="92"/>
        <v/>
      </c>
    </row>
    <row r="1449" spans="1:3" x14ac:dyDescent="0.25">
      <c r="A1449" s="27" t="s">
        <v>1367</v>
      </c>
      <c r="B1449" s="27" t="str">
        <f t="shared" si="91"/>
        <v/>
      </c>
      <c r="C1449" s="27" t="str">
        <f t="shared" si="92"/>
        <v/>
      </c>
    </row>
    <row r="1450" spans="1:3" x14ac:dyDescent="0.25">
      <c r="A1450" s="27" t="s">
        <v>1367</v>
      </c>
      <c r="B1450" s="27" t="str">
        <f t="shared" si="91"/>
        <v/>
      </c>
      <c r="C1450" s="27" t="str">
        <f t="shared" si="92"/>
        <v/>
      </c>
    </row>
    <row r="1451" spans="1:3" x14ac:dyDescent="0.25">
      <c r="A1451" s="27" t="s">
        <v>1367</v>
      </c>
      <c r="B1451" s="27" t="str">
        <f t="shared" si="91"/>
        <v/>
      </c>
      <c r="C1451" s="27" t="str">
        <f t="shared" si="92"/>
        <v/>
      </c>
    </row>
    <row r="1452" spans="1:3" x14ac:dyDescent="0.25">
      <c r="A1452" s="27" t="s">
        <v>1367</v>
      </c>
      <c r="B1452" s="27" t="str">
        <f t="shared" si="91"/>
        <v/>
      </c>
      <c r="C1452" s="27" t="str">
        <f t="shared" si="92"/>
        <v/>
      </c>
    </row>
    <row r="1453" spans="1:3" x14ac:dyDescent="0.25">
      <c r="A1453" s="27" t="s">
        <v>1367</v>
      </c>
      <c r="B1453" s="27" t="str">
        <f t="shared" si="91"/>
        <v/>
      </c>
      <c r="C1453" s="27" t="str">
        <f t="shared" si="92"/>
        <v/>
      </c>
    </row>
    <row r="1454" spans="1:3" x14ac:dyDescent="0.25">
      <c r="A1454" s="27" t="s">
        <v>1367</v>
      </c>
      <c r="B1454" s="27" t="str">
        <f t="shared" si="91"/>
        <v/>
      </c>
      <c r="C1454" s="27" t="str">
        <f t="shared" si="92"/>
        <v/>
      </c>
    </row>
    <row r="1455" spans="1:3" x14ac:dyDescent="0.25">
      <c r="A1455" s="27" t="s">
        <v>1367</v>
      </c>
      <c r="B1455" s="27" t="str">
        <f t="shared" si="91"/>
        <v/>
      </c>
      <c r="C1455" s="27" t="str">
        <f t="shared" si="92"/>
        <v/>
      </c>
    </row>
    <row r="1456" spans="1:3" x14ac:dyDescent="0.25">
      <c r="A1456" s="27" t="s">
        <v>1367</v>
      </c>
      <c r="B1456" s="27" t="str">
        <f t="shared" si="91"/>
        <v/>
      </c>
      <c r="C1456" s="27" t="str">
        <f t="shared" si="92"/>
        <v/>
      </c>
    </row>
    <row r="1457" spans="1:3" x14ac:dyDescent="0.25">
      <c r="A1457" s="27" t="s">
        <v>1367</v>
      </c>
      <c r="B1457" s="27" t="str">
        <f t="shared" si="91"/>
        <v/>
      </c>
      <c r="C1457" s="27" t="str">
        <f t="shared" si="92"/>
        <v/>
      </c>
    </row>
    <row r="1458" spans="1:3" x14ac:dyDescent="0.25">
      <c r="A1458" s="27" t="s">
        <v>1367</v>
      </c>
      <c r="B1458" s="27" t="str">
        <f t="shared" si="91"/>
        <v/>
      </c>
      <c r="C1458" s="27" t="str">
        <f t="shared" si="92"/>
        <v/>
      </c>
    </row>
    <row r="1459" spans="1:3" x14ac:dyDescent="0.25">
      <c r="A1459" s="27" t="s">
        <v>1367</v>
      </c>
      <c r="B1459" s="27" t="str">
        <f t="shared" si="91"/>
        <v/>
      </c>
      <c r="C1459" s="27" t="str">
        <f t="shared" si="92"/>
        <v/>
      </c>
    </row>
    <row r="1460" spans="1:3" x14ac:dyDescent="0.25">
      <c r="A1460" s="27" t="s">
        <v>1367</v>
      </c>
      <c r="B1460" s="27" t="str">
        <f t="shared" si="91"/>
        <v/>
      </c>
      <c r="C1460" s="27" t="str">
        <f t="shared" si="92"/>
        <v/>
      </c>
    </row>
    <row r="1461" spans="1:3" x14ac:dyDescent="0.25">
      <c r="A1461" s="27" t="s">
        <v>1367</v>
      </c>
      <c r="B1461" s="27" t="str">
        <f t="shared" si="91"/>
        <v/>
      </c>
      <c r="C1461" s="27" t="str">
        <f t="shared" si="92"/>
        <v/>
      </c>
    </row>
    <row r="1462" spans="1:3" x14ac:dyDescent="0.25">
      <c r="A1462" s="27" t="s">
        <v>1367</v>
      </c>
      <c r="B1462" s="27" t="str">
        <f t="shared" si="91"/>
        <v/>
      </c>
      <c r="C1462" s="27" t="str">
        <f t="shared" si="92"/>
        <v/>
      </c>
    </row>
    <row r="1463" spans="1:3" x14ac:dyDescent="0.25">
      <c r="A1463" s="27" t="s">
        <v>1367</v>
      </c>
      <c r="B1463" s="27" t="str">
        <f t="shared" si="91"/>
        <v/>
      </c>
      <c r="C1463" s="27" t="str">
        <f t="shared" si="92"/>
        <v/>
      </c>
    </row>
    <row r="1464" spans="1:3" x14ac:dyDescent="0.25">
      <c r="A1464" s="27" t="s">
        <v>1367</v>
      </c>
      <c r="B1464" s="27" t="str">
        <f t="shared" si="91"/>
        <v/>
      </c>
      <c r="C1464" s="27" t="str">
        <f t="shared" si="92"/>
        <v/>
      </c>
    </row>
    <row r="1465" spans="1:3" x14ac:dyDescent="0.25">
      <c r="A1465" s="27" t="s">
        <v>1367</v>
      </c>
      <c r="B1465" s="27" t="str">
        <f t="shared" si="91"/>
        <v/>
      </c>
      <c r="C1465" s="27" t="str">
        <f t="shared" si="92"/>
        <v/>
      </c>
    </row>
    <row r="1466" spans="1:3" x14ac:dyDescent="0.25">
      <c r="A1466" s="27" t="s">
        <v>1367</v>
      </c>
      <c r="B1466" s="27" t="str">
        <f t="shared" si="91"/>
        <v/>
      </c>
      <c r="C1466" s="27" t="str">
        <f t="shared" si="92"/>
        <v/>
      </c>
    </row>
    <row r="1467" spans="1:3" x14ac:dyDescent="0.25">
      <c r="A1467" s="27" t="s">
        <v>1367</v>
      </c>
      <c r="B1467" s="27" t="str">
        <f t="shared" si="91"/>
        <v/>
      </c>
      <c r="C1467" s="27" t="str">
        <f t="shared" si="92"/>
        <v/>
      </c>
    </row>
    <row r="1468" spans="1:3" x14ac:dyDescent="0.25">
      <c r="A1468" s="27" t="s">
        <v>1367</v>
      </c>
      <c r="B1468" s="27" t="str">
        <f t="shared" si="91"/>
        <v/>
      </c>
      <c r="C1468" s="27" t="str">
        <f t="shared" si="92"/>
        <v/>
      </c>
    </row>
    <row r="1469" spans="1:3" x14ac:dyDescent="0.25">
      <c r="A1469" s="27" t="s">
        <v>1367</v>
      </c>
      <c r="B1469" s="27" t="str">
        <f t="shared" si="91"/>
        <v/>
      </c>
      <c r="C1469" s="27" t="str">
        <f t="shared" si="92"/>
        <v/>
      </c>
    </row>
    <row r="1470" spans="1:3" x14ac:dyDescent="0.25">
      <c r="A1470" s="27" t="s">
        <v>1367</v>
      </c>
      <c r="B1470" s="27" t="str">
        <f t="shared" si="91"/>
        <v/>
      </c>
      <c r="C1470" s="27" t="str">
        <f t="shared" si="92"/>
        <v/>
      </c>
    </row>
    <row r="1471" spans="1:3" x14ac:dyDescent="0.25">
      <c r="A1471" s="27" t="s">
        <v>1367</v>
      </c>
      <c r="B1471" s="27" t="str">
        <f t="shared" ref="B1471:B1534" si="93">LEFT(A1471,FIND(";",A1471)-1)</f>
        <v/>
      </c>
      <c r="C1471" s="27" t="str">
        <f t="shared" ref="C1471:C1534" si="94">MID(A1471,FIND(";",A1471)+1,100)</f>
        <v/>
      </c>
    </row>
    <row r="1472" spans="1:3" x14ac:dyDescent="0.25">
      <c r="A1472" s="27" t="s">
        <v>1367</v>
      </c>
      <c r="B1472" s="27" t="str">
        <f t="shared" si="93"/>
        <v/>
      </c>
      <c r="C1472" s="27" t="str">
        <f t="shared" si="94"/>
        <v/>
      </c>
    </row>
    <row r="1473" spans="1:3" x14ac:dyDescent="0.25">
      <c r="A1473" s="27" t="s">
        <v>1367</v>
      </c>
      <c r="B1473" s="27" t="str">
        <f t="shared" si="93"/>
        <v/>
      </c>
      <c r="C1473" s="27" t="str">
        <f t="shared" si="94"/>
        <v/>
      </c>
    </row>
    <row r="1474" spans="1:3" x14ac:dyDescent="0.25">
      <c r="A1474" s="27" t="s">
        <v>1367</v>
      </c>
      <c r="B1474" s="27" t="str">
        <f t="shared" si="93"/>
        <v/>
      </c>
      <c r="C1474" s="27" t="str">
        <f t="shared" si="94"/>
        <v/>
      </c>
    </row>
    <row r="1475" spans="1:3" x14ac:dyDescent="0.25">
      <c r="A1475" s="27" t="s">
        <v>1367</v>
      </c>
      <c r="B1475" s="27" t="str">
        <f t="shared" si="93"/>
        <v/>
      </c>
      <c r="C1475" s="27" t="str">
        <f t="shared" si="94"/>
        <v/>
      </c>
    </row>
    <row r="1476" spans="1:3" x14ac:dyDescent="0.25">
      <c r="A1476" s="27" t="s">
        <v>1367</v>
      </c>
      <c r="B1476" s="27" t="str">
        <f t="shared" si="93"/>
        <v/>
      </c>
      <c r="C1476" s="27" t="str">
        <f t="shared" si="94"/>
        <v/>
      </c>
    </row>
    <row r="1477" spans="1:3" x14ac:dyDescent="0.25">
      <c r="A1477" s="27" t="s">
        <v>1367</v>
      </c>
      <c r="B1477" s="27" t="str">
        <f t="shared" si="93"/>
        <v/>
      </c>
      <c r="C1477" s="27" t="str">
        <f t="shared" si="94"/>
        <v/>
      </c>
    </row>
    <row r="1478" spans="1:3" x14ac:dyDescent="0.25">
      <c r="A1478" s="27" t="s">
        <v>1367</v>
      </c>
      <c r="B1478" s="27" t="str">
        <f t="shared" si="93"/>
        <v/>
      </c>
      <c r="C1478" s="27" t="str">
        <f t="shared" si="94"/>
        <v/>
      </c>
    </row>
    <row r="1479" spans="1:3" x14ac:dyDescent="0.25">
      <c r="A1479" s="27" t="s">
        <v>1367</v>
      </c>
      <c r="B1479" s="27" t="str">
        <f t="shared" si="93"/>
        <v/>
      </c>
      <c r="C1479" s="27" t="str">
        <f t="shared" si="94"/>
        <v/>
      </c>
    </row>
    <row r="1480" spans="1:3" x14ac:dyDescent="0.25">
      <c r="A1480" s="27" t="s">
        <v>1367</v>
      </c>
      <c r="B1480" s="27" t="str">
        <f t="shared" si="93"/>
        <v/>
      </c>
      <c r="C1480" s="27" t="str">
        <f t="shared" si="94"/>
        <v/>
      </c>
    </row>
    <row r="1481" spans="1:3" x14ac:dyDescent="0.25">
      <c r="A1481" s="27" t="s">
        <v>1367</v>
      </c>
      <c r="B1481" s="27" t="str">
        <f t="shared" si="93"/>
        <v/>
      </c>
      <c r="C1481" s="27" t="str">
        <f t="shared" si="94"/>
        <v/>
      </c>
    </row>
    <row r="1482" spans="1:3" x14ac:dyDescent="0.25">
      <c r="A1482" s="27" t="s">
        <v>1367</v>
      </c>
      <c r="B1482" s="27" t="str">
        <f t="shared" si="93"/>
        <v/>
      </c>
      <c r="C1482" s="27" t="str">
        <f t="shared" si="94"/>
        <v/>
      </c>
    </row>
    <row r="1483" spans="1:3" x14ac:dyDescent="0.25">
      <c r="A1483" s="27" t="s">
        <v>1367</v>
      </c>
      <c r="B1483" s="27" t="str">
        <f t="shared" si="93"/>
        <v/>
      </c>
      <c r="C1483" s="27" t="str">
        <f t="shared" si="94"/>
        <v/>
      </c>
    </row>
    <row r="1484" spans="1:3" x14ac:dyDescent="0.25">
      <c r="A1484" s="27" t="s">
        <v>1367</v>
      </c>
      <c r="B1484" s="27" t="str">
        <f t="shared" si="93"/>
        <v/>
      </c>
      <c r="C1484" s="27" t="str">
        <f t="shared" si="94"/>
        <v/>
      </c>
    </row>
    <row r="1485" spans="1:3" x14ac:dyDescent="0.25">
      <c r="A1485" s="27" t="s">
        <v>1367</v>
      </c>
      <c r="B1485" s="27" t="str">
        <f t="shared" si="93"/>
        <v/>
      </c>
      <c r="C1485" s="27" t="str">
        <f t="shared" si="94"/>
        <v/>
      </c>
    </row>
    <row r="1486" spans="1:3" x14ac:dyDescent="0.25">
      <c r="A1486" s="27" t="s">
        <v>1367</v>
      </c>
      <c r="B1486" s="27" t="str">
        <f t="shared" si="93"/>
        <v/>
      </c>
      <c r="C1486" s="27" t="str">
        <f t="shared" si="94"/>
        <v/>
      </c>
    </row>
    <row r="1487" spans="1:3" x14ac:dyDescent="0.25">
      <c r="A1487" s="27" t="s">
        <v>1367</v>
      </c>
      <c r="B1487" s="27" t="str">
        <f t="shared" si="93"/>
        <v/>
      </c>
      <c r="C1487" s="27" t="str">
        <f t="shared" si="94"/>
        <v/>
      </c>
    </row>
    <row r="1488" spans="1:3" x14ac:dyDescent="0.25">
      <c r="A1488" s="27" t="s">
        <v>1367</v>
      </c>
      <c r="B1488" s="27" t="str">
        <f t="shared" si="93"/>
        <v/>
      </c>
      <c r="C1488" s="27" t="str">
        <f t="shared" si="94"/>
        <v/>
      </c>
    </row>
    <row r="1489" spans="1:3" x14ac:dyDescent="0.25">
      <c r="A1489" s="27" t="s">
        <v>1367</v>
      </c>
      <c r="B1489" s="27" t="str">
        <f t="shared" si="93"/>
        <v/>
      </c>
      <c r="C1489" s="27" t="str">
        <f t="shared" si="94"/>
        <v/>
      </c>
    </row>
    <row r="1490" spans="1:3" x14ac:dyDescent="0.25">
      <c r="A1490" s="27" t="s">
        <v>1367</v>
      </c>
      <c r="B1490" s="27" t="str">
        <f t="shared" si="93"/>
        <v/>
      </c>
      <c r="C1490" s="27" t="str">
        <f t="shared" si="94"/>
        <v/>
      </c>
    </row>
    <row r="1491" spans="1:3" x14ac:dyDescent="0.25">
      <c r="A1491" s="27" t="s">
        <v>1367</v>
      </c>
      <c r="B1491" s="27" t="str">
        <f t="shared" si="93"/>
        <v/>
      </c>
      <c r="C1491" s="27" t="str">
        <f t="shared" si="94"/>
        <v/>
      </c>
    </row>
    <row r="1492" spans="1:3" x14ac:dyDescent="0.25">
      <c r="A1492" s="27" t="s">
        <v>1367</v>
      </c>
      <c r="B1492" s="27" t="str">
        <f t="shared" si="93"/>
        <v/>
      </c>
      <c r="C1492" s="27" t="str">
        <f t="shared" si="94"/>
        <v/>
      </c>
    </row>
    <row r="1493" spans="1:3" x14ac:dyDescent="0.25">
      <c r="A1493" s="27" t="s">
        <v>1367</v>
      </c>
      <c r="B1493" s="27" t="str">
        <f t="shared" si="93"/>
        <v/>
      </c>
      <c r="C1493" s="27" t="str">
        <f t="shared" si="94"/>
        <v/>
      </c>
    </row>
    <row r="1494" spans="1:3" x14ac:dyDescent="0.25">
      <c r="A1494" s="27" t="s">
        <v>1367</v>
      </c>
      <c r="B1494" s="27" t="str">
        <f t="shared" si="93"/>
        <v/>
      </c>
      <c r="C1494" s="27" t="str">
        <f t="shared" si="94"/>
        <v/>
      </c>
    </row>
    <row r="1495" spans="1:3" x14ac:dyDescent="0.25">
      <c r="A1495" s="27" t="s">
        <v>1367</v>
      </c>
      <c r="B1495" s="27" t="str">
        <f t="shared" si="93"/>
        <v/>
      </c>
      <c r="C1495" s="27" t="str">
        <f t="shared" si="94"/>
        <v/>
      </c>
    </row>
    <row r="1496" spans="1:3" x14ac:dyDescent="0.25">
      <c r="A1496" s="27" t="s">
        <v>1367</v>
      </c>
      <c r="B1496" s="27" t="str">
        <f t="shared" si="93"/>
        <v/>
      </c>
      <c r="C1496" s="27" t="str">
        <f t="shared" si="94"/>
        <v/>
      </c>
    </row>
    <row r="1497" spans="1:3" x14ac:dyDescent="0.25">
      <c r="A1497" s="27" t="s">
        <v>1367</v>
      </c>
      <c r="B1497" s="27" t="str">
        <f t="shared" si="93"/>
        <v/>
      </c>
      <c r="C1497" s="27" t="str">
        <f t="shared" si="94"/>
        <v/>
      </c>
    </row>
    <row r="1498" spans="1:3" x14ac:dyDescent="0.25">
      <c r="A1498" s="27" t="s">
        <v>1367</v>
      </c>
      <c r="B1498" s="27" t="str">
        <f t="shared" si="93"/>
        <v/>
      </c>
      <c r="C1498" s="27" t="str">
        <f t="shared" si="94"/>
        <v/>
      </c>
    </row>
    <row r="1499" spans="1:3" x14ac:dyDescent="0.25">
      <c r="A1499" s="27" t="s">
        <v>1367</v>
      </c>
      <c r="B1499" s="27" t="str">
        <f t="shared" si="93"/>
        <v/>
      </c>
      <c r="C1499" s="27" t="str">
        <f t="shared" si="94"/>
        <v/>
      </c>
    </row>
    <row r="1500" spans="1:3" x14ac:dyDescent="0.25">
      <c r="A1500" s="27" t="s">
        <v>1367</v>
      </c>
      <c r="B1500" s="27" t="str">
        <f t="shared" si="93"/>
        <v/>
      </c>
      <c r="C1500" s="27" t="str">
        <f t="shared" si="94"/>
        <v/>
      </c>
    </row>
    <row r="1501" spans="1:3" x14ac:dyDescent="0.25">
      <c r="A1501" s="27" t="s">
        <v>1367</v>
      </c>
      <c r="B1501" s="27" t="str">
        <f t="shared" si="93"/>
        <v/>
      </c>
      <c r="C1501" s="27" t="str">
        <f t="shared" si="94"/>
        <v/>
      </c>
    </row>
    <row r="1502" spans="1:3" x14ac:dyDescent="0.25">
      <c r="A1502" s="27" t="s">
        <v>1367</v>
      </c>
      <c r="B1502" s="27" t="str">
        <f t="shared" si="93"/>
        <v/>
      </c>
      <c r="C1502" s="27" t="str">
        <f t="shared" si="94"/>
        <v/>
      </c>
    </row>
    <row r="1503" spans="1:3" x14ac:dyDescent="0.25">
      <c r="A1503" s="27" t="s">
        <v>1367</v>
      </c>
      <c r="B1503" s="27" t="str">
        <f t="shared" si="93"/>
        <v/>
      </c>
      <c r="C1503" s="27" t="str">
        <f t="shared" si="94"/>
        <v/>
      </c>
    </row>
    <row r="1504" spans="1:3" x14ac:dyDescent="0.25">
      <c r="A1504" s="27" t="s">
        <v>1367</v>
      </c>
      <c r="B1504" s="27" t="str">
        <f t="shared" si="93"/>
        <v/>
      </c>
      <c r="C1504" s="27" t="str">
        <f t="shared" si="94"/>
        <v/>
      </c>
    </row>
    <row r="1505" spans="1:3" x14ac:dyDescent="0.25">
      <c r="A1505" s="27" t="s">
        <v>1367</v>
      </c>
      <c r="B1505" s="27" t="str">
        <f t="shared" si="93"/>
        <v/>
      </c>
      <c r="C1505" s="27" t="str">
        <f t="shared" si="94"/>
        <v/>
      </c>
    </row>
    <row r="1506" spans="1:3" x14ac:dyDescent="0.25">
      <c r="A1506" s="27" t="s">
        <v>1367</v>
      </c>
      <c r="B1506" s="27" t="str">
        <f t="shared" si="93"/>
        <v/>
      </c>
      <c r="C1506" s="27" t="str">
        <f t="shared" si="94"/>
        <v/>
      </c>
    </row>
    <row r="1507" spans="1:3" x14ac:dyDescent="0.25">
      <c r="A1507" s="27" t="s">
        <v>1367</v>
      </c>
      <c r="B1507" s="27" t="str">
        <f t="shared" si="93"/>
        <v/>
      </c>
      <c r="C1507" s="27" t="str">
        <f t="shared" si="94"/>
        <v/>
      </c>
    </row>
    <row r="1508" spans="1:3" x14ac:dyDescent="0.25">
      <c r="A1508" s="27" t="s">
        <v>1367</v>
      </c>
      <c r="B1508" s="27" t="str">
        <f t="shared" si="93"/>
        <v/>
      </c>
      <c r="C1508" s="27" t="str">
        <f t="shared" si="94"/>
        <v/>
      </c>
    </row>
    <row r="1509" spans="1:3" x14ac:dyDescent="0.25">
      <c r="A1509" s="27" t="s">
        <v>1367</v>
      </c>
      <c r="B1509" s="27" t="str">
        <f t="shared" si="93"/>
        <v/>
      </c>
      <c r="C1509" s="27" t="str">
        <f t="shared" si="94"/>
        <v/>
      </c>
    </row>
    <row r="1510" spans="1:3" x14ac:dyDescent="0.25">
      <c r="A1510" s="27" t="s">
        <v>1367</v>
      </c>
      <c r="B1510" s="27" t="str">
        <f t="shared" si="93"/>
        <v/>
      </c>
      <c r="C1510" s="27" t="str">
        <f t="shared" si="94"/>
        <v/>
      </c>
    </row>
    <row r="1511" spans="1:3" x14ac:dyDescent="0.25">
      <c r="A1511" s="27" t="s">
        <v>1367</v>
      </c>
      <c r="B1511" s="27" t="str">
        <f t="shared" si="93"/>
        <v/>
      </c>
      <c r="C1511" s="27" t="str">
        <f t="shared" si="94"/>
        <v/>
      </c>
    </row>
    <row r="1512" spans="1:3" x14ac:dyDescent="0.25">
      <c r="A1512" s="27" t="s">
        <v>1367</v>
      </c>
      <c r="B1512" s="27" t="str">
        <f t="shared" si="93"/>
        <v/>
      </c>
      <c r="C1512" s="27" t="str">
        <f t="shared" si="94"/>
        <v/>
      </c>
    </row>
    <row r="1513" spans="1:3" x14ac:dyDescent="0.25">
      <c r="A1513" s="27" t="s">
        <v>1367</v>
      </c>
      <c r="B1513" s="27" t="str">
        <f t="shared" si="93"/>
        <v/>
      </c>
      <c r="C1513" s="27" t="str">
        <f t="shared" si="94"/>
        <v/>
      </c>
    </row>
    <row r="1514" spans="1:3" x14ac:dyDescent="0.25">
      <c r="A1514" s="27" t="s">
        <v>1367</v>
      </c>
      <c r="B1514" s="27" t="str">
        <f t="shared" si="93"/>
        <v/>
      </c>
      <c r="C1514" s="27" t="str">
        <f t="shared" si="94"/>
        <v/>
      </c>
    </row>
    <row r="1515" spans="1:3" x14ac:dyDescent="0.25">
      <c r="A1515" s="27" t="s">
        <v>1367</v>
      </c>
      <c r="B1515" s="27" t="str">
        <f t="shared" si="93"/>
        <v/>
      </c>
      <c r="C1515" s="27" t="str">
        <f t="shared" si="94"/>
        <v/>
      </c>
    </row>
    <row r="1516" spans="1:3" x14ac:dyDescent="0.25">
      <c r="A1516" s="27" t="s">
        <v>1367</v>
      </c>
      <c r="B1516" s="27" t="str">
        <f t="shared" si="93"/>
        <v/>
      </c>
      <c r="C1516" s="27" t="str">
        <f t="shared" si="94"/>
        <v/>
      </c>
    </row>
    <row r="1517" spans="1:3" x14ac:dyDescent="0.25">
      <c r="A1517" s="27" t="s">
        <v>1367</v>
      </c>
      <c r="B1517" s="27" t="str">
        <f t="shared" si="93"/>
        <v/>
      </c>
      <c r="C1517" s="27" t="str">
        <f t="shared" si="94"/>
        <v/>
      </c>
    </row>
    <row r="1518" spans="1:3" x14ac:dyDescent="0.25">
      <c r="A1518" s="27" t="s">
        <v>1367</v>
      </c>
      <c r="B1518" s="27" t="str">
        <f t="shared" si="93"/>
        <v/>
      </c>
      <c r="C1518" s="27" t="str">
        <f t="shared" si="94"/>
        <v/>
      </c>
    </row>
    <row r="1519" spans="1:3" x14ac:dyDescent="0.25">
      <c r="A1519" s="27" t="s">
        <v>1367</v>
      </c>
      <c r="B1519" s="27" t="str">
        <f t="shared" si="93"/>
        <v/>
      </c>
      <c r="C1519" s="27" t="str">
        <f t="shared" si="94"/>
        <v/>
      </c>
    </row>
    <row r="1520" spans="1:3" x14ac:dyDescent="0.25">
      <c r="A1520" s="27" t="s">
        <v>1367</v>
      </c>
      <c r="B1520" s="27" t="str">
        <f t="shared" si="93"/>
        <v/>
      </c>
      <c r="C1520" s="27" t="str">
        <f t="shared" si="94"/>
        <v/>
      </c>
    </row>
    <row r="1521" spans="1:3" x14ac:dyDescent="0.25">
      <c r="A1521" s="27" t="s">
        <v>1367</v>
      </c>
      <c r="B1521" s="27" t="str">
        <f t="shared" si="93"/>
        <v/>
      </c>
      <c r="C1521" s="27" t="str">
        <f t="shared" si="94"/>
        <v/>
      </c>
    </row>
    <row r="1522" spans="1:3" x14ac:dyDescent="0.25">
      <c r="A1522" s="27" t="s">
        <v>1367</v>
      </c>
      <c r="B1522" s="27" t="str">
        <f t="shared" si="93"/>
        <v/>
      </c>
      <c r="C1522" s="27" t="str">
        <f t="shared" si="94"/>
        <v/>
      </c>
    </row>
    <row r="1523" spans="1:3" x14ac:dyDescent="0.25">
      <c r="A1523" s="27" t="s">
        <v>1367</v>
      </c>
      <c r="B1523" s="27" t="str">
        <f t="shared" si="93"/>
        <v/>
      </c>
      <c r="C1523" s="27" t="str">
        <f t="shared" si="94"/>
        <v/>
      </c>
    </row>
    <row r="1524" spans="1:3" x14ac:dyDescent="0.25">
      <c r="A1524" s="27" t="s">
        <v>1367</v>
      </c>
      <c r="B1524" s="27" t="str">
        <f t="shared" si="93"/>
        <v/>
      </c>
      <c r="C1524" s="27" t="str">
        <f t="shared" si="94"/>
        <v/>
      </c>
    </row>
    <row r="1525" spans="1:3" x14ac:dyDescent="0.25">
      <c r="A1525" s="27" t="s">
        <v>1367</v>
      </c>
      <c r="B1525" s="27" t="str">
        <f t="shared" si="93"/>
        <v/>
      </c>
      <c r="C1525" s="27" t="str">
        <f t="shared" si="94"/>
        <v/>
      </c>
    </row>
    <row r="1526" spans="1:3" x14ac:dyDescent="0.25">
      <c r="A1526" s="27" t="s">
        <v>1367</v>
      </c>
      <c r="B1526" s="27" t="str">
        <f t="shared" si="93"/>
        <v/>
      </c>
      <c r="C1526" s="27" t="str">
        <f t="shared" si="94"/>
        <v/>
      </c>
    </row>
    <row r="1527" spans="1:3" x14ac:dyDescent="0.25">
      <c r="A1527" s="27" t="s">
        <v>1367</v>
      </c>
      <c r="B1527" s="27" t="str">
        <f t="shared" si="93"/>
        <v/>
      </c>
      <c r="C1527" s="27" t="str">
        <f t="shared" si="94"/>
        <v/>
      </c>
    </row>
    <row r="1528" spans="1:3" x14ac:dyDescent="0.25">
      <c r="A1528" s="27" t="s">
        <v>1367</v>
      </c>
      <c r="B1528" s="27" t="str">
        <f t="shared" si="93"/>
        <v/>
      </c>
      <c r="C1528" s="27" t="str">
        <f t="shared" si="94"/>
        <v/>
      </c>
    </row>
    <row r="1529" spans="1:3" x14ac:dyDescent="0.25">
      <c r="A1529" s="27" t="s">
        <v>1367</v>
      </c>
      <c r="B1529" s="27" t="str">
        <f t="shared" si="93"/>
        <v/>
      </c>
      <c r="C1529" s="27" t="str">
        <f t="shared" si="94"/>
        <v/>
      </c>
    </row>
    <row r="1530" spans="1:3" x14ac:dyDescent="0.25">
      <c r="A1530" s="27" t="s">
        <v>1367</v>
      </c>
      <c r="B1530" s="27" t="str">
        <f t="shared" si="93"/>
        <v/>
      </c>
      <c r="C1530" s="27" t="str">
        <f t="shared" si="94"/>
        <v/>
      </c>
    </row>
    <row r="1531" spans="1:3" x14ac:dyDescent="0.25">
      <c r="A1531" s="27" t="s">
        <v>1367</v>
      </c>
      <c r="B1531" s="27" t="str">
        <f t="shared" si="93"/>
        <v/>
      </c>
      <c r="C1531" s="27" t="str">
        <f t="shared" si="94"/>
        <v/>
      </c>
    </row>
    <row r="1532" spans="1:3" x14ac:dyDescent="0.25">
      <c r="A1532" s="27" t="s">
        <v>1367</v>
      </c>
      <c r="B1532" s="27" t="str">
        <f t="shared" si="93"/>
        <v/>
      </c>
      <c r="C1532" s="27" t="str">
        <f t="shared" si="94"/>
        <v/>
      </c>
    </row>
    <row r="1533" spans="1:3" x14ac:dyDescent="0.25">
      <c r="A1533" s="27" t="s">
        <v>1367</v>
      </c>
      <c r="B1533" s="27" t="str">
        <f t="shared" si="93"/>
        <v/>
      </c>
      <c r="C1533" s="27" t="str">
        <f t="shared" si="94"/>
        <v/>
      </c>
    </row>
    <row r="1534" spans="1:3" x14ac:dyDescent="0.25">
      <c r="A1534" s="27" t="s">
        <v>1367</v>
      </c>
      <c r="B1534" s="27" t="str">
        <f t="shared" si="93"/>
        <v/>
      </c>
      <c r="C1534" s="27" t="str">
        <f t="shared" si="94"/>
        <v/>
      </c>
    </row>
    <row r="1535" spans="1:3" x14ac:dyDescent="0.25">
      <c r="A1535" s="27" t="s">
        <v>1367</v>
      </c>
      <c r="B1535" s="27" t="str">
        <f t="shared" ref="B1535:B1598" si="95">LEFT(A1535,FIND(";",A1535)-1)</f>
        <v/>
      </c>
      <c r="C1535" s="27" t="str">
        <f t="shared" ref="C1535:C1598" si="96">MID(A1535,FIND(";",A1535)+1,100)</f>
        <v/>
      </c>
    </row>
    <row r="1536" spans="1:3" x14ac:dyDescent="0.25">
      <c r="A1536" s="27" t="s">
        <v>1367</v>
      </c>
      <c r="B1536" s="27" t="str">
        <f t="shared" si="95"/>
        <v/>
      </c>
      <c r="C1536" s="27" t="str">
        <f t="shared" si="96"/>
        <v/>
      </c>
    </row>
    <row r="1537" spans="1:3" x14ac:dyDescent="0.25">
      <c r="A1537" s="27" t="s">
        <v>1367</v>
      </c>
      <c r="B1537" s="27" t="str">
        <f t="shared" si="95"/>
        <v/>
      </c>
      <c r="C1537" s="27" t="str">
        <f t="shared" si="96"/>
        <v/>
      </c>
    </row>
    <row r="1538" spans="1:3" x14ac:dyDescent="0.25">
      <c r="A1538" s="27" t="s">
        <v>1367</v>
      </c>
      <c r="B1538" s="27" t="str">
        <f t="shared" si="95"/>
        <v/>
      </c>
      <c r="C1538" s="27" t="str">
        <f t="shared" si="96"/>
        <v/>
      </c>
    </row>
    <row r="1539" spans="1:3" x14ac:dyDescent="0.25">
      <c r="A1539" s="27" t="s">
        <v>1367</v>
      </c>
      <c r="B1539" s="27" t="str">
        <f t="shared" si="95"/>
        <v/>
      </c>
      <c r="C1539" s="27" t="str">
        <f t="shared" si="96"/>
        <v/>
      </c>
    </row>
    <row r="1540" spans="1:3" x14ac:dyDescent="0.25">
      <c r="A1540" s="27" t="s">
        <v>1367</v>
      </c>
      <c r="B1540" s="27" t="str">
        <f t="shared" si="95"/>
        <v/>
      </c>
      <c r="C1540" s="27" t="str">
        <f t="shared" si="96"/>
        <v/>
      </c>
    </row>
    <row r="1541" spans="1:3" x14ac:dyDescent="0.25">
      <c r="A1541" s="27" t="s">
        <v>1367</v>
      </c>
      <c r="B1541" s="27" t="str">
        <f t="shared" si="95"/>
        <v/>
      </c>
      <c r="C1541" s="27" t="str">
        <f t="shared" si="96"/>
        <v/>
      </c>
    </row>
    <row r="1542" spans="1:3" x14ac:dyDescent="0.25">
      <c r="A1542" s="27" t="s">
        <v>1367</v>
      </c>
      <c r="B1542" s="27" t="str">
        <f t="shared" si="95"/>
        <v/>
      </c>
      <c r="C1542" s="27" t="str">
        <f t="shared" si="96"/>
        <v/>
      </c>
    </row>
    <row r="1543" spans="1:3" x14ac:dyDescent="0.25">
      <c r="A1543" s="27" t="s">
        <v>1367</v>
      </c>
      <c r="B1543" s="27" t="str">
        <f t="shared" si="95"/>
        <v/>
      </c>
      <c r="C1543" s="27" t="str">
        <f t="shared" si="96"/>
        <v/>
      </c>
    </row>
    <row r="1544" spans="1:3" x14ac:dyDescent="0.25">
      <c r="A1544" s="27" t="s">
        <v>1367</v>
      </c>
      <c r="B1544" s="27" t="str">
        <f t="shared" si="95"/>
        <v/>
      </c>
      <c r="C1544" s="27" t="str">
        <f t="shared" si="96"/>
        <v/>
      </c>
    </row>
    <row r="1545" spans="1:3" x14ac:dyDescent="0.25">
      <c r="A1545" s="27" t="s">
        <v>1367</v>
      </c>
      <c r="B1545" s="27" t="str">
        <f t="shared" si="95"/>
        <v/>
      </c>
      <c r="C1545" s="27" t="str">
        <f t="shared" si="96"/>
        <v/>
      </c>
    </row>
    <row r="1546" spans="1:3" x14ac:dyDescent="0.25">
      <c r="A1546" s="27" t="s">
        <v>1367</v>
      </c>
      <c r="B1546" s="27" t="str">
        <f t="shared" si="95"/>
        <v/>
      </c>
      <c r="C1546" s="27" t="str">
        <f t="shared" si="96"/>
        <v/>
      </c>
    </row>
    <row r="1547" spans="1:3" x14ac:dyDescent="0.25">
      <c r="A1547" s="27" t="s">
        <v>1367</v>
      </c>
      <c r="B1547" s="27" t="str">
        <f t="shared" si="95"/>
        <v/>
      </c>
      <c r="C1547" s="27" t="str">
        <f t="shared" si="96"/>
        <v/>
      </c>
    </row>
    <row r="1548" spans="1:3" x14ac:dyDescent="0.25">
      <c r="A1548" s="27" t="s">
        <v>1367</v>
      </c>
      <c r="B1548" s="27" t="str">
        <f t="shared" si="95"/>
        <v/>
      </c>
      <c r="C1548" s="27" t="str">
        <f t="shared" si="96"/>
        <v/>
      </c>
    </row>
    <row r="1549" spans="1:3" x14ac:dyDescent="0.25">
      <c r="A1549" s="27" t="s">
        <v>1367</v>
      </c>
      <c r="B1549" s="27" t="str">
        <f t="shared" si="95"/>
        <v/>
      </c>
      <c r="C1549" s="27" t="str">
        <f t="shared" si="96"/>
        <v/>
      </c>
    </row>
    <row r="1550" spans="1:3" x14ac:dyDescent="0.25">
      <c r="A1550" s="27" t="s">
        <v>1367</v>
      </c>
      <c r="B1550" s="27" t="str">
        <f t="shared" si="95"/>
        <v/>
      </c>
      <c r="C1550" s="27" t="str">
        <f t="shared" si="96"/>
        <v/>
      </c>
    </row>
    <row r="1551" spans="1:3" x14ac:dyDescent="0.25">
      <c r="A1551" s="27" t="s">
        <v>1367</v>
      </c>
      <c r="B1551" s="27" t="str">
        <f t="shared" si="95"/>
        <v/>
      </c>
      <c r="C1551" s="27" t="str">
        <f t="shared" si="96"/>
        <v/>
      </c>
    </row>
    <row r="1552" spans="1:3" x14ac:dyDescent="0.25">
      <c r="A1552" s="27" t="s">
        <v>1367</v>
      </c>
      <c r="B1552" s="27" t="str">
        <f t="shared" si="95"/>
        <v/>
      </c>
      <c r="C1552" s="27" t="str">
        <f t="shared" si="96"/>
        <v/>
      </c>
    </row>
    <row r="1553" spans="1:3" x14ac:dyDescent="0.25">
      <c r="A1553" s="27" t="s">
        <v>1367</v>
      </c>
      <c r="B1553" s="27" t="str">
        <f t="shared" si="95"/>
        <v/>
      </c>
      <c r="C1553" s="27" t="str">
        <f t="shared" si="96"/>
        <v/>
      </c>
    </row>
    <row r="1554" spans="1:3" x14ac:dyDescent="0.25">
      <c r="A1554" s="27" t="s">
        <v>1367</v>
      </c>
      <c r="B1554" s="27" t="str">
        <f t="shared" si="95"/>
        <v/>
      </c>
      <c r="C1554" s="27" t="str">
        <f t="shared" si="96"/>
        <v/>
      </c>
    </row>
    <row r="1555" spans="1:3" x14ac:dyDescent="0.25">
      <c r="A1555" s="27" t="s">
        <v>1367</v>
      </c>
      <c r="B1555" s="27" t="str">
        <f t="shared" si="95"/>
        <v/>
      </c>
      <c r="C1555" s="27" t="str">
        <f t="shared" si="96"/>
        <v/>
      </c>
    </row>
    <row r="1556" spans="1:3" x14ac:dyDescent="0.25">
      <c r="A1556" s="27" t="s">
        <v>1367</v>
      </c>
      <c r="B1556" s="27" t="str">
        <f t="shared" si="95"/>
        <v/>
      </c>
      <c r="C1556" s="27" t="str">
        <f t="shared" si="96"/>
        <v/>
      </c>
    </row>
    <row r="1557" spans="1:3" x14ac:dyDescent="0.25">
      <c r="A1557" s="27" t="s">
        <v>1367</v>
      </c>
      <c r="B1557" s="27" t="str">
        <f t="shared" si="95"/>
        <v/>
      </c>
      <c r="C1557" s="27" t="str">
        <f t="shared" si="96"/>
        <v/>
      </c>
    </row>
    <row r="1558" spans="1:3" x14ac:dyDescent="0.25">
      <c r="A1558" s="27" t="s">
        <v>1367</v>
      </c>
      <c r="B1558" s="27" t="str">
        <f t="shared" si="95"/>
        <v/>
      </c>
      <c r="C1558" s="27" t="str">
        <f t="shared" si="96"/>
        <v/>
      </c>
    </row>
    <row r="1559" spans="1:3" x14ac:dyDescent="0.25">
      <c r="A1559" s="27" t="s">
        <v>1367</v>
      </c>
      <c r="B1559" s="27" t="str">
        <f t="shared" si="95"/>
        <v/>
      </c>
      <c r="C1559" s="27" t="str">
        <f t="shared" si="96"/>
        <v/>
      </c>
    </row>
    <row r="1560" spans="1:3" x14ac:dyDescent="0.25">
      <c r="A1560" s="27" t="s">
        <v>1367</v>
      </c>
      <c r="B1560" s="27" t="str">
        <f t="shared" si="95"/>
        <v/>
      </c>
      <c r="C1560" s="27" t="str">
        <f t="shared" si="96"/>
        <v/>
      </c>
    </row>
    <row r="1561" spans="1:3" x14ac:dyDescent="0.25">
      <c r="A1561" s="27" t="s">
        <v>1367</v>
      </c>
      <c r="B1561" s="27" t="str">
        <f t="shared" si="95"/>
        <v/>
      </c>
      <c r="C1561" s="27" t="str">
        <f t="shared" si="96"/>
        <v/>
      </c>
    </row>
    <row r="1562" spans="1:3" x14ac:dyDescent="0.25">
      <c r="A1562" s="27" t="s">
        <v>1367</v>
      </c>
      <c r="B1562" s="27" t="str">
        <f t="shared" si="95"/>
        <v/>
      </c>
      <c r="C1562" s="27" t="str">
        <f t="shared" si="96"/>
        <v/>
      </c>
    </row>
    <row r="1563" spans="1:3" x14ac:dyDescent="0.25">
      <c r="A1563" s="27" t="s">
        <v>1367</v>
      </c>
      <c r="B1563" s="27" t="str">
        <f t="shared" si="95"/>
        <v/>
      </c>
      <c r="C1563" s="27" t="str">
        <f t="shared" si="96"/>
        <v/>
      </c>
    </row>
    <row r="1564" spans="1:3" x14ac:dyDescent="0.25">
      <c r="A1564" s="27" t="s">
        <v>1367</v>
      </c>
      <c r="B1564" s="27" t="str">
        <f t="shared" si="95"/>
        <v/>
      </c>
      <c r="C1564" s="27" t="str">
        <f t="shared" si="96"/>
        <v/>
      </c>
    </row>
    <row r="1565" spans="1:3" x14ac:dyDescent="0.25">
      <c r="A1565" s="27" t="s">
        <v>1367</v>
      </c>
      <c r="B1565" s="27" t="str">
        <f t="shared" si="95"/>
        <v/>
      </c>
      <c r="C1565" s="27" t="str">
        <f t="shared" si="96"/>
        <v/>
      </c>
    </row>
    <row r="1566" spans="1:3" x14ac:dyDescent="0.25">
      <c r="A1566" s="27" t="s">
        <v>1367</v>
      </c>
      <c r="B1566" s="27" t="str">
        <f t="shared" si="95"/>
        <v/>
      </c>
      <c r="C1566" s="27" t="str">
        <f t="shared" si="96"/>
        <v/>
      </c>
    </row>
    <row r="1567" spans="1:3" x14ac:dyDescent="0.25">
      <c r="A1567" s="27" t="s">
        <v>1367</v>
      </c>
      <c r="B1567" s="27" t="str">
        <f t="shared" si="95"/>
        <v/>
      </c>
      <c r="C1567" s="27" t="str">
        <f t="shared" si="96"/>
        <v/>
      </c>
    </row>
    <row r="1568" spans="1:3" x14ac:dyDescent="0.25">
      <c r="A1568" s="27" t="s">
        <v>1367</v>
      </c>
      <c r="B1568" s="27" t="str">
        <f t="shared" si="95"/>
        <v/>
      </c>
      <c r="C1568" s="27" t="str">
        <f t="shared" si="96"/>
        <v/>
      </c>
    </row>
    <row r="1569" spans="1:3" x14ac:dyDescent="0.25">
      <c r="A1569" s="27" t="s">
        <v>1367</v>
      </c>
      <c r="B1569" s="27" t="str">
        <f t="shared" si="95"/>
        <v/>
      </c>
      <c r="C1569" s="27" t="str">
        <f t="shared" si="96"/>
        <v/>
      </c>
    </row>
    <row r="1570" spans="1:3" x14ac:dyDescent="0.25">
      <c r="A1570" s="27" t="s">
        <v>1367</v>
      </c>
      <c r="B1570" s="27" t="str">
        <f t="shared" si="95"/>
        <v/>
      </c>
      <c r="C1570" s="27" t="str">
        <f t="shared" si="96"/>
        <v/>
      </c>
    </row>
    <row r="1571" spans="1:3" x14ac:dyDescent="0.25">
      <c r="A1571" s="27" t="s">
        <v>1367</v>
      </c>
      <c r="B1571" s="27" t="str">
        <f t="shared" si="95"/>
        <v/>
      </c>
      <c r="C1571" s="27" t="str">
        <f t="shared" si="96"/>
        <v/>
      </c>
    </row>
    <row r="1572" spans="1:3" x14ac:dyDescent="0.25">
      <c r="A1572" s="27" t="s">
        <v>1367</v>
      </c>
      <c r="B1572" s="27" t="str">
        <f t="shared" si="95"/>
        <v/>
      </c>
      <c r="C1572" s="27" t="str">
        <f t="shared" si="96"/>
        <v/>
      </c>
    </row>
    <row r="1573" spans="1:3" x14ac:dyDescent="0.25">
      <c r="A1573" s="27" t="s">
        <v>1367</v>
      </c>
      <c r="B1573" s="27" t="str">
        <f t="shared" si="95"/>
        <v/>
      </c>
      <c r="C1573" s="27" t="str">
        <f t="shared" si="96"/>
        <v/>
      </c>
    </row>
    <row r="1574" spans="1:3" x14ac:dyDescent="0.25">
      <c r="A1574" s="27" t="s">
        <v>1367</v>
      </c>
      <c r="B1574" s="27" t="str">
        <f t="shared" si="95"/>
        <v/>
      </c>
      <c r="C1574" s="27" t="str">
        <f t="shared" si="96"/>
        <v/>
      </c>
    </row>
    <row r="1575" spans="1:3" x14ac:dyDescent="0.25">
      <c r="A1575" s="27" t="s">
        <v>1367</v>
      </c>
      <c r="B1575" s="27" t="str">
        <f t="shared" si="95"/>
        <v/>
      </c>
      <c r="C1575" s="27" t="str">
        <f t="shared" si="96"/>
        <v/>
      </c>
    </row>
    <row r="1576" spans="1:3" x14ac:dyDescent="0.25">
      <c r="A1576" s="27" t="s">
        <v>1367</v>
      </c>
      <c r="B1576" s="27" t="str">
        <f t="shared" si="95"/>
        <v/>
      </c>
      <c r="C1576" s="27" t="str">
        <f t="shared" si="96"/>
        <v/>
      </c>
    </row>
    <row r="1577" spans="1:3" x14ac:dyDescent="0.25">
      <c r="A1577" s="27" t="s">
        <v>1367</v>
      </c>
      <c r="B1577" s="27" t="str">
        <f t="shared" si="95"/>
        <v/>
      </c>
      <c r="C1577" s="27" t="str">
        <f t="shared" si="96"/>
        <v/>
      </c>
    </row>
    <row r="1578" spans="1:3" x14ac:dyDescent="0.25">
      <c r="A1578" s="27" t="s">
        <v>1367</v>
      </c>
      <c r="B1578" s="27" t="str">
        <f t="shared" si="95"/>
        <v/>
      </c>
      <c r="C1578" s="27" t="str">
        <f t="shared" si="96"/>
        <v/>
      </c>
    </row>
    <row r="1579" spans="1:3" x14ac:dyDescent="0.25">
      <c r="A1579" s="27" t="s">
        <v>1367</v>
      </c>
      <c r="B1579" s="27" t="str">
        <f t="shared" si="95"/>
        <v/>
      </c>
      <c r="C1579" s="27" t="str">
        <f t="shared" si="96"/>
        <v/>
      </c>
    </row>
    <row r="1580" spans="1:3" x14ac:dyDescent="0.25">
      <c r="A1580" s="27" t="s">
        <v>1367</v>
      </c>
      <c r="B1580" s="27" t="str">
        <f t="shared" si="95"/>
        <v/>
      </c>
      <c r="C1580" s="27" t="str">
        <f t="shared" si="96"/>
        <v/>
      </c>
    </row>
    <row r="1581" spans="1:3" x14ac:dyDescent="0.25">
      <c r="A1581" s="27" t="s">
        <v>1367</v>
      </c>
      <c r="B1581" s="27" t="str">
        <f t="shared" si="95"/>
        <v/>
      </c>
      <c r="C1581" s="27" t="str">
        <f t="shared" si="96"/>
        <v/>
      </c>
    </row>
    <row r="1582" spans="1:3" x14ac:dyDescent="0.25">
      <c r="A1582" s="27" t="s">
        <v>1367</v>
      </c>
      <c r="B1582" s="27" t="str">
        <f t="shared" si="95"/>
        <v/>
      </c>
      <c r="C1582" s="27" t="str">
        <f t="shared" si="96"/>
        <v/>
      </c>
    </row>
    <row r="1583" spans="1:3" x14ac:dyDescent="0.25">
      <c r="A1583" s="27" t="s">
        <v>1367</v>
      </c>
      <c r="B1583" s="27" t="str">
        <f t="shared" si="95"/>
        <v/>
      </c>
      <c r="C1583" s="27" t="str">
        <f t="shared" si="96"/>
        <v/>
      </c>
    </row>
    <row r="1584" spans="1:3" x14ac:dyDescent="0.25">
      <c r="A1584" s="27" t="s">
        <v>1367</v>
      </c>
      <c r="B1584" s="27" t="str">
        <f t="shared" si="95"/>
        <v/>
      </c>
      <c r="C1584" s="27" t="str">
        <f t="shared" si="96"/>
        <v/>
      </c>
    </row>
    <row r="1585" spans="1:3" x14ac:dyDescent="0.25">
      <c r="A1585" s="27" t="s">
        <v>1367</v>
      </c>
      <c r="B1585" s="27" t="str">
        <f t="shared" si="95"/>
        <v/>
      </c>
      <c r="C1585" s="27" t="str">
        <f t="shared" si="96"/>
        <v/>
      </c>
    </row>
    <row r="1586" spans="1:3" x14ac:dyDescent="0.25">
      <c r="A1586" s="27" t="s">
        <v>1367</v>
      </c>
      <c r="B1586" s="27" t="str">
        <f t="shared" si="95"/>
        <v/>
      </c>
      <c r="C1586" s="27" t="str">
        <f t="shared" si="96"/>
        <v/>
      </c>
    </row>
    <row r="1587" spans="1:3" x14ac:dyDescent="0.25">
      <c r="A1587" s="27" t="s">
        <v>1367</v>
      </c>
      <c r="B1587" s="27" t="str">
        <f t="shared" si="95"/>
        <v/>
      </c>
      <c r="C1587" s="27" t="str">
        <f t="shared" si="96"/>
        <v/>
      </c>
    </row>
    <row r="1588" spans="1:3" x14ac:dyDescent="0.25">
      <c r="A1588" s="27" t="s">
        <v>1367</v>
      </c>
      <c r="B1588" s="27" t="str">
        <f t="shared" si="95"/>
        <v/>
      </c>
      <c r="C1588" s="27" t="str">
        <f t="shared" si="96"/>
        <v/>
      </c>
    </row>
    <row r="1589" spans="1:3" x14ac:dyDescent="0.25">
      <c r="A1589" s="27" t="s">
        <v>1367</v>
      </c>
      <c r="B1589" s="27" t="str">
        <f t="shared" si="95"/>
        <v/>
      </c>
      <c r="C1589" s="27" t="str">
        <f t="shared" si="96"/>
        <v/>
      </c>
    </row>
    <row r="1590" spans="1:3" x14ac:dyDescent="0.25">
      <c r="A1590" s="27" t="s">
        <v>1367</v>
      </c>
      <c r="B1590" s="27" t="str">
        <f t="shared" si="95"/>
        <v/>
      </c>
      <c r="C1590" s="27" t="str">
        <f t="shared" si="96"/>
        <v/>
      </c>
    </row>
    <row r="1591" spans="1:3" x14ac:dyDescent="0.25">
      <c r="A1591" s="27" t="s">
        <v>1367</v>
      </c>
      <c r="B1591" s="27" t="str">
        <f t="shared" si="95"/>
        <v/>
      </c>
      <c r="C1591" s="27" t="str">
        <f t="shared" si="96"/>
        <v/>
      </c>
    </row>
    <row r="1592" spans="1:3" x14ac:dyDescent="0.25">
      <c r="A1592" s="27" t="s">
        <v>1367</v>
      </c>
      <c r="B1592" s="27" t="str">
        <f t="shared" si="95"/>
        <v/>
      </c>
      <c r="C1592" s="27" t="str">
        <f t="shared" si="96"/>
        <v/>
      </c>
    </row>
    <row r="1593" spans="1:3" x14ac:dyDescent="0.25">
      <c r="A1593" s="27" t="s">
        <v>1367</v>
      </c>
      <c r="B1593" s="27" t="str">
        <f t="shared" si="95"/>
        <v/>
      </c>
      <c r="C1593" s="27" t="str">
        <f t="shared" si="96"/>
        <v/>
      </c>
    </row>
    <row r="1594" spans="1:3" x14ac:dyDescent="0.25">
      <c r="A1594" s="27" t="s">
        <v>1367</v>
      </c>
      <c r="B1594" s="27" t="str">
        <f t="shared" si="95"/>
        <v/>
      </c>
      <c r="C1594" s="27" t="str">
        <f t="shared" si="96"/>
        <v/>
      </c>
    </row>
    <row r="1595" spans="1:3" x14ac:dyDescent="0.25">
      <c r="A1595" s="27" t="s">
        <v>1367</v>
      </c>
      <c r="B1595" s="27" t="str">
        <f t="shared" si="95"/>
        <v/>
      </c>
      <c r="C1595" s="27" t="str">
        <f t="shared" si="96"/>
        <v/>
      </c>
    </row>
    <row r="1596" spans="1:3" x14ac:dyDescent="0.25">
      <c r="A1596" s="27" t="s">
        <v>1367</v>
      </c>
      <c r="B1596" s="27" t="str">
        <f t="shared" si="95"/>
        <v/>
      </c>
      <c r="C1596" s="27" t="str">
        <f t="shared" si="96"/>
        <v/>
      </c>
    </row>
    <row r="1597" spans="1:3" x14ac:dyDescent="0.25">
      <c r="A1597" s="27" t="s">
        <v>1367</v>
      </c>
      <c r="B1597" s="27" t="str">
        <f t="shared" si="95"/>
        <v/>
      </c>
      <c r="C1597" s="27" t="str">
        <f t="shared" si="96"/>
        <v/>
      </c>
    </row>
    <row r="1598" spans="1:3" x14ac:dyDescent="0.25">
      <c r="A1598" s="27" t="s">
        <v>1367</v>
      </c>
      <c r="B1598" s="27" t="str">
        <f t="shared" si="95"/>
        <v/>
      </c>
      <c r="C1598" s="27" t="str">
        <f t="shared" si="96"/>
        <v/>
      </c>
    </row>
    <row r="1599" spans="1:3" x14ac:dyDescent="0.25">
      <c r="A1599" s="27" t="s">
        <v>1367</v>
      </c>
      <c r="B1599" s="27" t="str">
        <f t="shared" ref="B1599:B1605" si="97">LEFT(A1599,FIND(";",A1599)-1)</f>
        <v/>
      </c>
      <c r="C1599" s="27" t="str">
        <f t="shared" ref="C1599:C1605" si="98">MID(A1599,FIND(";",A1599)+1,100)</f>
        <v/>
      </c>
    </row>
    <row r="1600" spans="1:3" x14ac:dyDescent="0.25">
      <c r="A1600" s="27" t="s">
        <v>1367</v>
      </c>
      <c r="B1600" s="27" t="str">
        <f t="shared" si="97"/>
        <v/>
      </c>
      <c r="C1600" s="27" t="str">
        <f t="shared" si="98"/>
        <v/>
      </c>
    </row>
    <row r="1601" spans="1:3" x14ac:dyDescent="0.25">
      <c r="A1601" s="27" t="s">
        <v>1367</v>
      </c>
      <c r="B1601" s="27" t="str">
        <f t="shared" si="97"/>
        <v/>
      </c>
      <c r="C1601" s="27" t="str">
        <f t="shared" si="98"/>
        <v/>
      </c>
    </row>
    <row r="1602" spans="1:3" x14ac:dyDescent="0.25">
      <c r="A1602" s="27" t="s">
        <v>1367</v>
      </c>
      <c r="B1602" s="27" t="str">
        <f t="shared" si="97"/>
        <v/>
      </c>
      <c r="C1602" s="27" t="str">
        <f t="shared" si="98"/>
        <v/>
      </c>
    </row>
    <row r="1603" spans="1:3" x14ac:dyDescent="0.25">
      <c r="A1603" s="27" t="s">
        <v>1367</v>
      </c>
      <c r="B1603" s="27" t="str">
        <f t="shared" si="97"/>
        <v/>
      </c>
      <c r="C1603" s="27" t="str">
        <f t="shared" si="98"/>
        <v/>
      </c>
    </row>
    <row r="1604" spans="1:3" x14ac:dyDescent="0.25">
      <c r="A1604" s="27" t="s">
        <v>1367</v>
      </c>
      <c r="B1604" s="27" t="str">
        <f t="shared" si="97"/>
        <v/>
      </c>
      <c r="C1604" s="27" t="str">
        <f t="shared" si="98"/>
        <v/>
      </c>
    </row>
    <row r="1605" spans="1:3" x14ac:dyDescent="0.25">
      <c r="A1605" s="27" t="s">
        <v>1367</v>
      </c>
      <c r="B1605" s="27" t="str">
        <f t="shared" si="97"/>
        <v/>
      </c>
      <c r="C1605" s="27" t="str">
        <f t="shared" si="98"/>
        <v/>
      </c>
    </row>
  </sheetData>
  <hyperlinks>
    <hyperlink ref="N735" r:id="rId1" display="https://hdl.handle.net/2027/coo.31924000857650?urlappend=%3Bseq="/>
    <hyperlink ref="O735:U735" r:id="rId2" display="https://hdl.handle.net/2027/coo.31924000857650?urlappend=%3Bseq="/>
    <hyperlink ref="N736" r:id="rId3" display="https://hdl.handle.net/2027/coo.31924000857650?urlappend=%3Bseq="/>
    <hyperlink ref="N737" r:id="rId4" display="https://hdl.handle.net/2027/coo.31924000857650?urlappend=%3Bseq="/>
    <hyperlink ref="N738" r:id="rId5" display="https://hdl.handle.net/2027/coo.31924000857650?urlappend=%3Bseq="/>
    <hyperlink ref="N739" r:id="rId6" display="https://hdl.handle.net/2027/coo.31924000857650?urlappend=%3Bseq="/>
    <hyperlink ref="N740" r:id="rId7" display="https://hdl.handle.net/2027/coo.31924000857650?urlappend=%3Bseq="/>
    <hyperlink ref="N741" r:id="rId8" display="https://hdl.handle.net/2027/coo.31924000857650?urlappend=%3Bseq="/>
    <hyperlink ref="N742" r:id="rId9" display="https://hdl.handle.net/2027/coo.31924000857650?urlappend=%3Bseq="/>
    <hyperlink ref="N743" r:id="rId10" display="https://hdl.handle.net/2027/coo.31924000857650?urlappend=%3Bseq="/>
    <hyperlink ref="N744" r:id="rId11" display="https://hdl.handle.net/2027/coo.31924000857650?urlappend=%3Bseq="/>
    <hyperlink ref="N745" r:id="rId12" display="https://hdl.handle.net/2027/coo.31924000857650?urlappend=%3Bseq="/>
    <hyperlink ref="N746" r:id="rId13" display="https://hdl.handle.net/2027/coo.31924000857650?urlappend=%3Bseq="/>
    <hyperlink ref="N747" r:id="rId14" display="https://hdl.handle.net/2027/coo.31924000857650?urlappend=%3Bseq="/>
    <hyperlink ref="N748" r:id="rId15" display="https://hdl.handle.net/2027/coo.31924000857650?urlappend=%3Bseq="/>
    <hyperlink ref="N749" r:id="rId16" display="https://hdl.handle.net/2027/coo.31924000857650?urlappend=%3Bseq="/>
    <hyperlink ref="N750" r:id="rId17" display="https://hdl.handle.net/2027/coo.31924000857650?urlappend=%3Bseq="/>
    <hyperlink ref="N751" r:id="rId18" display="https://hdl.handle.net/2027/coo.31924000857650?urlappend=%3Bseq="/>
    <hyperlink ref="N752" r:id="rId19" display="https://hdl.handle.net/2027/coo.31924000857650?urlappend=%3Bseq="/>
    <hyperlink ref="N753" r:id="rId20" display="https://hdl.handle.net/2027/coo.31924000857650?urlappend=%3Bseq="/>
    <hyperlink ref="N754" r:id="rId21" display="https://hdl.handle.net/2027/coo.31924000857650?urlappend=%3Bseq="/>
    <hyperlink ref="N755" r:id="rId22" display="https://hdl.handle.net/2027/coo.31924000857650?urlappend=%3Bseq="/>
    <hyperlink ref="N756" r:id="rId23" display="https://hdl.handle.net/2027/coo.31924000857650?urlappend=%3Bseq="/>
    <hyperlink ref="N757" r:id="rId24" display="https://hdl.handle.net/2027/coo.31924000857650?urlappend=%3Bseq="/>
    <hyperlink ref="N758" r:id="rId25" display="https://hdl.handle.net/2027/coo.31924000857650?urlappend=%3Bseq="/>
    <hyperlink ref="N759" r:id="rId26" display="https://hdl.handle.net/2027/coo.31924000857650?urlappend=%3Bseq="/>
    <hyperlink ref="N760" r:id="rId27" display="https://hdl.handle.net/2027/coo.31924000857650?urlappend=%3Bseq="/>
    <hyperlink ref="N761" r:id="rId28" display="https://hdl.handle.net/2027/coo.31924000857650?urlappend=%3Bseq="/>
    <hyperlink ref="N762" r:id="rId29" display="https://hdl.handle.net/2027/coo.31924000857650?urlappend=%3Bseq="/>
    <hyperlink ref="N763" r:id="rId30" display="https://hdl.handle.net/2027/coo.31924000857650?urlappend=%3Bseq="/>
    <hyperlink ref="N764" r:id="rId31" display="https://hdl.handle.net/2027/coo.31924000857650?urlappend=%3Bseq="/>
    <hyperlink ref="N765" r:id="rId32" display="https://hdl.handle.net/2027/coo.31924000857650?urlappend=%3Bseq="/>
    <hyperlink ref="N766" r:id="rId33" display="https://hdl.handle.net/2027/coo.31924000857650?urlappend=%3Bseq="/>
    <hyperlink ref="N767" r:id="rId34" display="https://hdl.handle.net/2027/coo.31924000857650?urlappend=%3Bseq="/>
    <hyperlink ref="N768" r:id="rId35" display="https://hdl.handle.net/2027/coo.31924000857650?urlappend=%3Bseq="/>
    <hyperlink ref="N769" r:id="rId36" display="https://hdl.handle.net/2027/coo.31924000857650?urlappend=%3Bseq="/>
    <hyperlink ref="N770" r:id="rId37" display="https://hdl.handle.net/2027/coo.31924000857650?urlappend=%3Bseq="/>
    <hyperlink ref="N771" r:id="rId38" display="https://hdl.handle.net/2027/coo.31924000857650?urlappend=%3Bseq="/>
    <hyperlink ref="N772" r:id="rId39" display="https://hdl.handle.net/2027/coo.31924000857650?urlappend=%3Bseq="/>
    <hyperlink ref="N773" r:id="rId40" display="https://hdl.handle.net/2027/coo.31924000857650?urlappend=%3Bseq="/>
    <hyperlink ref="N774" r:id="rId41" display="https://hdl.handle.net/2027/coo.31924000857650?urlappend=%3Bseq="/>
    <hyperlink ref="N775" r:id="rId42" display="https://hdl.handle.net/2027/coo.31924000857650?urlappend=%3Bseq="/>
    <hyperlink ref="N776" r:id="rId43" display="https://hdl.handle.net/2027/coo.31924000857650?urlappend=%3Bseq="/>
    <hyperlink ref="N777" r:id="rId44" display="https://hdl.handle.net/2027/coo.31924000857650?urlappend=%3Bseq="/>
    <hyperlink ref="N778" r:id="rId45" display="https://hdl.handle.net/2027/coo.31924000857650?urlappend=%3Bseq="/>
    <hyperlink ref="N779" r:id="rId46" display="https://hdl.handle.net/2027/coo.31924000857650?urlappend=%3Bseq="/>
    <hyperlink ref="N780" r:id="rId47" display="https://hdl.handle.net/2027/coo.31924000857650?urlappend=%3Bseq="/>
    <hyperlink ref="N781" r:id="rId48" display="https://hdl.handle.net/2027/coo.31924000857650?urlappend=%3Bseq="/>
    <hyperlink ref="N782" r:id="rId49" display="https://hdl.handle.net/2027/coo.31924000857650?urlappend=%3Bseq="/>
    <hyperlink ref="N783" r:id="rId50" display="https://hdl.handle.net/2027/coo.31924000857650?urlappend=%3Bseq="/>
    <hyperlink ref="N784" r:id="rId51" display="https://hdl.handle.net/2027/coo.31924000857650?urlappend=%3Bseq="/>
    <hyperlink ref="N785" r:id="rId52" display="https://hdl.handle.net/2027/coo.31924000857650?urlappend=%3Bseq="/>
    <hyperlink ref="N786" r:id="rId53" display="https://hdl.handle.net/2027/coo.31924000857650?urlappend=%3Bseq="/>
    <hyperlink ref="N787" r:id="rId54" display="https://hdl.handle.net/2027/coo.31924000857650?urlappend=%3Bseq="/>
    <hyperlink ref="N788" r:id="rId55" display="https://hdl.handle.net/2027/coo.31924000857650?urlappend=%3Bseq="/>
    <hyperlink ref="N789" r:id="rId56" display="https://hdl.handle.net/2027/coo.31924000857650?urlappend=%3Bseq="/>
    <hyperlink ref="N790" r:id="rId57" display="https://hdl.handle.net/2027/coo.31924000857650?urlappend=%3Bseq="/>
    <hyperlink ref="N791" r:id="rId58" display="https://hdl.handle.net/2027/coo.31924000857650?urlappend=%3Bseq="/>
    <hyperlink ref="N792" r:id="rId59" display="https://hdl.handle.net/2027/coo.31924000857650?urlappend=%3Bseq="/>
    <hyperlink ref="N793" r:id="rId60" display="https://hdl.handle.net/2027/coo.31924000857650?urlappend=%3Bseq="/>
    <hyperlink ref="N794" r:id="rId61" display="https://hdl.handle.net/2027/coo.31924000857650?urlappend=%3Bseq="/>
    <hyperlink ref="N795" r:id="rId62" display="https://hdl.handle.net/2027/coo.31924000857650?urlappend=%3Bseq="/>
    <hyperlink ref="N796" r:id="rId63" display="https://hdl.handle.net/2027/coo.31924000857650?urlappend=%3Bseq="/>
    <hyperlink ref="N797" r:id="rId64" display="https://hdl.handle.net/2027/coo.31924000857650?urlappend=%3Bseq="/>
    <hyperlink ref="N798" r:id="rId65" display="https://hdl.handle.net/2027/coo.31924000857650?urlappend=%3Bseq="/>
    <hyperlink ref="N799" r:id="rId66" display="https://hdl.handle.net/2027/coo.31924000857650?urlappend=%3Bseq="/>
    <hyperlink ref="N800" r:id="rId67" display="https://hdl.handle.net/2027/coo.31924000857650?urlappend=%3Bseq="/>
    <hyperlink ref="N801" r:id="rId68" display="https://hdl.handle.net/2027/coo.31924000857650?urlappend=%3Bseq="/>
    <hyperlink ref="N802" r:id="rId69" display="https://hdl.handle.net/2027/coo.31924000857650?urlappend=%3Bseq="/>
    <hyperlink ref="N803" r:id="rId70" display="https://hdl.handle.net/2027/coo.31924000857650?urlappend=%3Bseq="/>
    <hyperlink ref="N804" r:id="rId71" display="https://hdl.handle.net/2027/coo.31924000857650?urlappend=%3Bseq="/>
    <hyperlink ref="N805" r:id="rId72" display="https://hdl.handle.net/2027/coo.31924000857650?urlappend=%3Bseq="/>
    <hyperlink ref="N806" r:id="rId73" display="https://hdl.handle.net/2027/coo.31924000857650?urlappend=%3Bseq="/>
    <hyperlink ref="N807" r:id="rId74" display="https://hdl.handle.net/2027/coo.31924000857650?urlappend=%3Bseq="/>
    <hyperlink ref="N808" r:id="rId75" display="https://hdl.handle.net/2027/coo.31924000857650?urlappend=%3Bseq="/>
    <hyperlink ref="N809" r:id="rId76" display="https://hdl.handle.net/2027/coo.31924000857650?urlappend=%3Bseq="/>
    <hyperlink ref="N810" r:id="rId77" display="https://hdl.handle.net/2027/coo.31924000857650?urlappend=%3Bseq="/>
    <hyperlink ref="N811" r:id="rId78" display="https://hdl.handle.net/2027/coo.31924000857650?urlappend=%3Bseq="/>
    <hyperlink ref="N812" r:id="rId79" display="https://hdl.handle.net/2027/coo.31924000857650?urlappend=%3Bseq="/>
    <hyperlink ref="N813" r:id="rId80" display="https://hdl.handle.net/2027/coo.31924000857650?urlappend=%3Bseq="/>
    <hyperlink ref="N814" r:id="rId81" display="https://hdl.handle.net/2027/coo.31924000857650?urlappend=%3Bseq="/>
    <hyperlink ref="N815" r:id="rId82" display="https://hdl.handle.net/2027/coo.31924000857650?urlappend=%3Bseq="/>
    <hyperlink ref="N816" r:id="rId83" display="https://hdl.handle.net/2027/coo.31924000857650?urlappend=%3Bseq="/>
    <hyperlink ref="N817" r:id="rId84" display="https://hdl.handle.net/2027/coo.31924000857650?urlappend=%3Bseq="/>
    <hyperlink ref="N818" r:id="rId85" display="https://hdl.handle.net/2027/coo.31924000857650?urlappend=%3Bseq="/>
    <hyperlink ref="N819" r:id="rId86" display="https://hdl.handle.net/2027/coo.31924000857650?urlappend=%3Bseq="/>
    <hyperlink ref="N820" r:id="rId87" display="https://hdl.handle.net/2027/coo.31924000857650?urlappend=%3Bseq="/>
    <hyperlink ref="N821" r:id="rId88" display="https://hdl.handle.net/2027/coo.31924000857650?urlappend=%3Bseq="/>
    <hyperlink ref="N822" r:id="rId89" display="https://hdl.handle.net/2027/coo.31924000857650?urlappend=%3Bseq="/>
    <hyperlink ref="N823" r:id="rId90" display="https://hdl.handle.net/2027/coo.31924000857650?urlappend=%3Bseq="/>
    <hyperlink ref="N824" r:id="rId91" display="https://hdl.handle.net/2027/coo.31924000857650?urlappend=%3Bseq="/>
    <hyperlink ref="N825" r:id="rId92" display="https://hdl.handle.net/2027/coo.31924000857650?urlappend=%3Bseq="/>
    <hyperlink ref="N826" r:id="rId93" display="https://hdl.handle.net/2027/coo.31924000857650?urlappend=%3Bseq="/>
    <hyperlink ref="N827" r:id="rId94" display="https://hdl.handle.net/2027/coo.31924000857650?urlappend=%3Bseq="/>
    <hyperlink ref="N828" r:id="rId95" display="https://hdl.handle.net/2027/coo.31924000857650?urlappend=%3Bseq="/>
    <hyperlink ref="N829" r:id="rId96" display="https://hdl.handle.net/2027/coo.31924000857650?urlappend=%3Bseq="/>
    <hyperlink ref="O736:U736" r:id="rId97" display="https://hdl.handle.net/2027/coo.31924000857650?urlappend=%3Bseq="/>
    <hyperlink ref="O737:U737" r:id="rId98" display="https://hdl.handle.net/2027/coo.31924000857650?urlappend=%3Bseq="/>
    <hyperlink ref="O738:U738" r:id="rId99" display="https://hdl.handle.net/2027/coo.31924000857650?urlappend=%3Bseq="/>
    <hyperlink ref="O739:U739" r:id="rId100" display="https://hdl.handle.net/2027/coo.31924000857650?urlappend=%3Bseq="/>
    <hyperlink ref="O740:U740" r:id="rId101" display="https://hdl.handle.net/2027/coo.31924000857650?urlappend=%3Bseq="/>
    <hyperlink ref="O741:U741" r:id="rId102" display="https://hdl.handle.net/2027/coo.31924000857650?urlappend=%3Bseq="/>
    <hyperlink ref="O742:U742" r:id="rId103" display="https://hdl.handle.net/2027/coo.31924000857650?urlappend=%3Bseq="/>
    <hyperlink ref="O743:U743" r:id="rId104" display="https://hdl.handle.net/2027/coo.31924000857650?urlappend=%3Bseq="/>
    <hyperlink ref="O744:U744" r:id="rId105" display="https://hdl.handle.net/2027/coo.31924000857650?urlappend=%3Bseq="/>
    <hyperlink ref="O745:U745" r:id="rId106" display="https://hdl.handle.net/2027/coo.31924000857650?urlappend=%3Bseq="/>
    <hyperlink ref="O746:U746" r:id="rId107" display="https://hdl.handle.net/2027/coo.31924000857650?urlappend=%3Bseq="/>
    <hyperlink ref="O747:U747" r:id="rId108" display="https://hdl.handle.net/2027/coo.31924000857650?urlappend=%3Bseq="/>
    <hyperlink ref="O748:U748" r:id="rId109" display="https://hdl.handle.net/2027/coo.31924000857650?urlappend=%3Bseq="/>
    <hyperlink ref="O749:U749" r:id="rId110" display="https://hdl.handle.net/2027/coo.31924000857650?urlappend=%3Bseq="/>
    <hyperlink ref="O750:U750" r:id="rId111" display="https://hdl.handle.net/2027/coo.31924000857650?urlappend=%3Bseq="/>
    <hyperlink ref="O751:U751" r:id="rId112" display="https://hdl.handle.net/2027/coo.31924000857650?urlappend=%3Bseq="/>
    <hyperlink ref="O752:U752" r:id="rId113" display="https://hdl.handle.net/2027/coo.31924000857650?urlappend=%3Bseq="/>
    <hyperlink ref="O753:U753" r:id="rId114" display="https://hdl.handle.net/2027/coo.31924000857650?urlappend=%3Bseq="/>
    <hyperlink ref="O754:U754" r:id="rId115" display="https://hdl.handle.net/2027/coo.31924000857650?urlappend=%3Bseq="/>
    <hyperlink ref="O755:U755" r:id="rId116" display="https://hdl.handle.net/2027/coo.31924000857650?urlappend=%3Bseq="/>
    <hyperlink ref="O756:U756" r:id="rId117" display="https://hdl.handle.net/2027/coo.31924000857650?urlappend=%3Bseq="/>
    <hyperlink ref="O757:U757" r:id="rId118" display="https://hdl.handle.net/2027/coo.31924000857650?urlappend=%3Bseq="/>
    <hyperlink ref="O758:U758" r:id="rId119" display="https://hdl.handle.net/2027/coo.31924000857650?urlappend=%3Bseq="/>
    <hyperlink ref="O759:U759" r:id="rId120" display="https://hdl.handle.net/2027/coo.31924000857650?urlappend=%3Bseq="/>
    <hyperlink ref="O760:U760" r:id="rId121" display="https://hdl.handle.net/2027/coo.31924000857650?urlappend=%3Bseq="/>
    <hyperlink ref="O761:U761" r:id="rId122" display="https://hdl.handle.net/2027/coo.31924000857650?urlappend=%3Bseq="/>
    <hyperlink ref="O762:U762" r:id="rId123" display="https://hdl.handle.net/2027/coo.31924000857650?urlappend=%3Bseq="/>
    <hyperlink ref="O763:U763" r:id="rId124" display="https://hdl.handle.net/2027/coo.31924000857650?urlappend=%3Bseq="/>
    <hyperlink ref="O764:U764" r:id="rId125" display="https://hdl.handle.net/2027/coo.31924000857650?urlappend=%3Bseq="/>
    <hyperlink ref="O765:U765" r:id="rId126" display="https://hdl.handle.net/2027/coo.31924000857650?urlappend=%3Bseq="/>
    <hyperlink ref="O766:U766" r:id="rId127" display="https://hdl.handle.net/2027/coo.31924000857650?urlappend=%3Bseq="/>
    <hyperlink ref="O767:U767" r:id="rId128" display="https://hdl.handle.net/2027/coo.31924000857650?urlappend=%3Bseq="/>
    <hyperlink ref="O768:U768" r:id="rId129" display="https://hdl.handle.net/2027/coo.31924000857650?urlappend=%3Bseq="/>
    <hyperlink ref="O769:U769" r:id="rId130" display="https://hdl.handle.net/2027/coo.31924000857650?urlappend=%3Bseq="/>
    <hyperlink ref="O770:U770" r:id="rId131" display="https://hdl.handle.net/2027/coo.31924000857650?urlappend=%3Bseq="/>
    <hyperlink ref="O771:U771" r:id="rId132" display="https://hdl.handle.net/2027/coo.31924000857650?urlappend=%3Bseq="/>
    <hyperlink ref="O772:U772" r:id="rId133" display="https://hdl.handle.net/2027/coo.31924000857650?urlappend=%3Bseq="/>
    <hyperlink ref="O773:U773" r:id="rId134" display="https://hdl.handle.net/2027/coo.31924000857650?urlappend=%3Bseq="/>
    <hyperlink ref="O774:U774" r:id="rId135" display="https://hdl.handle.net/2027/coo.31924000857650?urlappend=%3Bseq="/>
    <hyperlink ref="O775:U775" r:id="rId136" display="https://hdl.handle.net/2027/coo.31924000857650?urlappend=%3Bseq="/>
    <hyperlink ref="O776:U776" r:id="rId137" display="https://hdl.handle.net/2027/coo.31924000857650?urlappend=%3Bseq="/>
    <hyperlink ref="O777:U777" r:id="rId138" display="https://hdl.handle.net/2027/coo.31924000857650?urlappend=%3Bseq="/>
    <hyperlink ref="O778:U778" r:id="rId139" display="https://hdl.handle.net/2027/coo.31924000857650?urlappend=%3Bseq="/>
    <hyperlink ref="O779:U779" r:id="rId140" display="https://hdl.handle.net/2027/coo.31924000857650?urlappend=%3Bseq="/>
    <hyperlink ref="O780:U780" r:id="rId141" display="https://hdl.handle.net/2027/coo.31924000857650?urlappend=%3Bseq="/>
    <hyperlink ref="O781:U781" r:id="rId142" display="https://hdl.handle.net/2027/coo.31924000857650?urlappend=%3Bseq="/>
    <hyperlink ref="O782:U782" r:id="rId143" display="https://hdl.handle.net/2027/coo.31924000857650?urlappend=%3Bseq="/>
    <hyperlink ref="O783:U783" r:id="rId144" display="https://hdl.handle.net/2027/coo.31924000857650?urlappend=%3Bseq="/>
    <hyperlink ref="O784:U784" r:id="rId145" display="https://hdl.handle.net/2027/coo.31924000857650?urlappend=%3Bseq="/>
    <hyperlink ref="O785:U785" r:id="rId146" display="https://hdl.handle.net/2027/coo.31924000857650?urlappend=%3Bseq="/>
    <hyperlink ref="O786:U786" r:id="rId147" display="https://hdl.handle.net/2027/coo.31924000857650?urlappend=%3Bseq="/>
    <hyperlink ref="O787:U787" r:id="rId148" display="https://hdl.handle.net/2027/coo.31924000857650?urlappend=%3Bseq="/>
    <hyperlink ref="O788:U788" r:id="rId149" display="https://hdl.handle.net/2027/coo.31924000857650?urlappend=%3Bseq="/>
    <hyperlink ref="O789:U789" r:id="rId150" display="https://hdl.handle.net/2027/coo.31924000857650?urlappend=%3Bseq="/>
    <hyperlink ref="O790:U790" r:id="rId151" display="https://hdl.handle.net/2027/coo.31924000857650?urlappend=%3Bseq="/>
    <hyperlink ref="O791:U791" r:id="rId152" display="https://hdl.handle.net/2027/coo.31924000857650?urlappend=%3Bseq="/>
    <hyperlink ref="O792:U792" r:id="rId153" display="https://hdl.handle.net/2027/coo.31924000857650?urlappend=%3Bseq="/>
    <hyperlink ref="O793:U793" r:id="rId154" display="https://hdl.handle.net/2027/coo.31924000857650?urlappend=%3Bseq="/>
    <hyperlink ref="O794:U794" r:id="rId155" display="https://hdl.handle.net/2027/coo.31924000857650?urlappend=%3Bseq="/>
    <hyperlink ref="O795:U795" r:id="rId156" display="https://hdl.handle.net/2027/coo.31924000857650?urlappend=%3Bseq="/>
    <hyperlink ref="O796:U796" r:id="rId157" display="https://hdl.handle.net/2027/coo.31924000857650?urlappend=%3Bseq="/>
    <hyperlink ref="O797:U797" r:id="rId158" display="https://hdl.handle.net/2027/coo.31924000857650?urlappend=%3Bseq="/>
    <hyperlink ref="O798:U798" r:id="rId159" display="https://hdl.handle.net/2027/coo.31924000857650?urlappend=%3Bseq="/>
    <hyperlink ref="O799:U799" r:id="rId160" display="https://hdl.handle.net/2027/coo.31924000857650?urlappend=%3Bseq="/>
    <hyperlink ref="O800:U800" r:id="rId161" display="https://hdl.handle.net/2027/coo.31924000857650?urlappend=%3Bseq="/>
    <hyperlink ref="O801:U801" r:id="rId162" display="https://hdl.handle.net/2027/coo.31924000857650?urlappend=%3Bseq="/>
    <hyperlink ref="O802:U802" r:id="rId163" display="https://hdl.handle.net/2027/coo.31924000857650?urlappend=%3Bseq="/>
    <hyperlink ref="O803:U803" r:id="rId164" display="https://hdl.handle.net/2027/coo.31924000857650?urlappend=%3Bseq="/>
    <hyperlink ref="O804:U804" r:id="rId165" display="https://hdl.handle.net/2027/coo.31924000857650?urlappend=%3Bseq="/>
    <hyperlink ref="O805:U805" r:id="rId166" display="https://hdl.handle.net/2027/coo.31924000857650?urlappend=%3Bseq="/>
    <hyperlink ref="O806:U806" r:id="rId167" display="https://hdl.handle.net/2027/coo.31924000857650?urlappend=%3Bseq="/>
    <hyperlink ref="O807:U807" r:id="rId168" display="https://hdl.handle.net/2027/coo.31924000857650?urlappend=%3Bseq="/>
    <hyperlink ref="O808:U808" r:id="rId169" display="https://hdl.handle.net/2027/coo.31924000857650?urlappend=%3Bseq="/>
    <hyperlink ref="O809:U809" r:id="rId170" display="https://hdl.handle.net/2027/coo.31924000857650?urlappend=%3Bseq="/>
    <hyperlink ref="O810:U810" r:id="rId171" display="https://hdl.handle.net/2027/coo.31924000857650?urlappend=%3Bseq="/>
    <hyperlink ref="O811:U811" r:id="rId172" display="https://hdl.handle.net/2027/coo.31924000857650?urlappend=%3Bseq="/>
    <hyperlink ref="O812:U812" r:id="rId173" display="https://hdl.handle.net/2027/coo.31924000857650?urlappend=%3Bseq="/>
    <hyperlink ref="O813:U813" r:id="rId174" display="https://hdl.handle.net/2027/coo.31924000857650?urlappend=%3Bseq="/>
    <hyperlink ref="O814:U814" r:id="rId175" display="https://hdl.handle.net/2027/coo.31924000857650?urlappend=%3Bseq="/>
    <hyperlink ref="O815:U815" r:id="rId176" display="https://hdl.handle.net/2027/coo.31924000857650?urlappend=%3Bseq="/>
    <hyperlink ref="O816:U816" r:id="rId177" display="https://hdl.handle.net/2027/coo.31924000857650?urlappend=%3Bseq="/>
    <hyperlink ref="O817:U817" r:id="rId178" display="https://hdl.handle.net/2027/coo.31924000857650?urlappend=%3Bseq="/>
    <hyperlink ref="O818:U818" r:id="rId179" display="https://hdl.handle.net/2027/coo.31924000857650?urlappend=%3Bseq="/>
    <hyperlink ref="O819:U819" r:id="rId180" display="https://hdl.handle.net/2027/coo.31924000857650?urlappend=%3Bseq="/>
    <hyperlink ref="O820:U820" r:id="rId181" display="https://hdl.handle.net/2027/coo.31924000857650?urlappend=%3Bseq="/>
    <hyperlink ref="O821:U821" r:id="rId182" display="https://hdl.handle.net/2027/coo.31924000857650?urlappend=%3Bseq="/>
    <hyperlink ref="O822:U822" r:id="rId183" display="https://hdl.handle.net/2027/coo.31924000857650?urlappend=%3Bseq="/>
    <hyperlink ref="O823:U823" r:id="rId184" display="https://hdl.handle.net/2027/coo.31924000857650?urlappend=%3Bseq="/>
    <hyperlink ref="O824:U824" r:id="rId185" display="https://hdl.handle.net/2027/coo.31924000857650?urlappend=%3Bseq="/>
    <hyperlink ref="O825:U825" r:id="rId186" display="https://hdl.handle.net/2027/coo.31924000857650?urlappend=%3Bseq="/>
    <hyperlink ref="O826:U826" r:id="rId187" display="https://hdl.handle.net/2027/coo.31924000857650?urlappend=%3Bseq="/>
    <hyperlink ref="O827:U827" r:id="rId188" display="https://hdl.handle.net/2027/coo.31924000857650?urlappend=%3Bseq="/>
    <hyperlink ref="O828:U828" r:id="rId189" display="https://hdl.handle.net/2027/coo.31924000857650?urlappend=%3Bseq="/>
    <hyperlink ref="O829:U829" r:id="rId190" display="https://hdl.handle.net/2027/coo.31924000857650?urlappend=%3Bseq="/>
    <hyperlink ref="P585" r:id="rId191" location="page=216"/>
    <hyperlink ref="N501" r:id="rId192" location="page=5"/>
  </hyperlinks>
  <pageMargins left="0.7" right="0.7" top="0.75" bottom="0.75" header="0.3" footer="0.3"/>
  <pageSetup orientation="portrait"/>
  <legacyDrawing r:id="rId19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Q6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.42578125" defaultRowHeight="15" x14ac:dyDescent="0.25"/>
  <cols>
    <col min="1" max="1" width="20.42578125" customWidth="1"/>
    <col min="2" max="2" width="7.42578125" customWidth="1"/>
    <col min="4" max="5" width="11.42578125" style="27"/>
    <col min="7" max="8" width="11.42578125" style="27"/>
    <col min="10" max="11" width="11.42578125" style="27"/>
    <col min="13" max="14" width="11.42578125" style="7"/>
    <col min="16" max="17" width="11.42578125" style="27"/>
    <col min="18" max="18" width="11" bestFit="1" customWidth="1"/>
    <col min="19" max="20" width="11.42578125" style="7"/>
    <col min="22" max="22" width="11.140625" customWidth="1"/>
    <col min="30" max="30" width="11.42578125" style="157"/>
    <col min="31" max="31" width="11.42578125" style="155"/>
    <col min="33" max="33" width="11.42578125" style="152"/>
    <col min="35" max="35" width="11.42578125" style="152"/>
    <col min="37" max="37" width="11.42578125" style="152"/>
    <col min="39" max="39" width="11.42578125" style="155"/>
    <col min="41" max="41" width="11.42578125" style="152"/>
  </cols>
  <sheetData>
    <row r="1" spans="1:43" ht="60" x14ac:dyDescent="0.25">
      <c r="A1" s="20"/>
      <c r="B1" s="20" t="s">
        <v>2</v>
      </c>
      <c r="C1" s="20" t="s">
        <v>0</v>
      </c>
      <c r="D1" s="20" t="s">
        <v>2046</v>
      </c>
      <c r="E1" s="20" t="s">
        <v>2047</v>
      </c>
      <c r="F1" s="92" t="s">
        <v>1956</v>
      </c>
      <c r="G1" s="84" t="s">
        <v>2103</v>
      </c>
      <c r="H1" s="84" t="s">
        <v>2105</v>
      </c>
      <c r="I1" s="92" t="s">
        <v>372</v>
      </c>
      <c r="J1" s="84" t="s">
        <v>2106</v>
      </c>
      <c r="K1" s="84" t="s">
        <v>2107</v>
      </c>
      <c r="L1" s="94" t="s">
        <v>357</v>
      </c>
      <c r="M1" s="83" t="s">
        <v>2108</v>
      </c>
      <c r="N1" s="83" t="s">
        <v>2109</v>
      </c>
      <c r="O1" s="94" t="s">
        <v>377</v>
      </c>
      <c r="P1" s="83" t="s">
        <v>2135</v>
      </c>
      <c r="Q1" s="83" t="s">
        <v>2104</v>
      </c>
      <c r="R1" s="92" t="s">
        <v>358</v>
      </c>
      <c r="S1" s="84" t="s">
        <v>2110</v>
      </c>
      <c r="T1" s="84" t="s">
        <v>2111</v>
      </c>
      <c r="U1" s="93" t="s">
        <v>360</v>
      </c>
      <c r="V1" s="92" t="s">
        <v>374</v>
      </c>
      <c r="W1" s="39" t="s">
        <v>2038</v>
      </c>
      <c r="X1" s="20" t="s">
        <v>2039</v>
      </c>
      <c r="Y1" s="39" t="s">
        <v>2040</v>
      </c>
      <c r="Z1" s="39" t="s">
        <v>2041</v>
      </c>
      <c r="AA1" s="91" t="s">
        <v>375</v>
      </c>
      <c r="AB1" s="81" t="s">
        <v>1</v>
      </c>
      <c r="AC1" s="20" t="s">
        <v>1960</v>
      </c>
      <c r="AD1" s="156" t="s">
        <v>2625</v>
      </c>
      <c r="AE1" s="154" t="s">
        <v>2626</v>
      </c>
      <c r="AF1" s="124" t="s">
        <v>2627</v>
      </c>
      <c r="AG1" s="150" t="s">
        <v>2628</v>
      </c>
      <c r="AH1" s="124" t="s">
        <v>2629</v>
      </c>
      <c r="AI1" s="150" t="s">
        <v>2630</v>
      </c>
      <c r="AJ1" s="124" t="s">
        <v>2631</v>
      </c>
      <c r="AK1" s="150" t="s">
        <v>2632</v>
      </c>
      <c r="AL1" s="124" t="s">
        <v>2633</v>
      </c>
      <c r="AM1" s="154" t="s">
        <v>2634</v>
      </c>
      <c r="AN1" s="124" t="s">
        <v>2635</v>
      </c>
      <c r="AO1" s="150" t="s">
        <v>2636</v>
      </c>
      <c r="AP1" s="124" t="s">
        <v>1953</v>
      </c>
      <c r="AQ1" s="124" t="s">
        <v>1948</v>
      </c>
    </row>
    <row r="2" spans="1:43" x14ac:dyDescent="0.25">
      <c r="A2" s="27" t="s">
        <v>586</v>
      </c>
      <c r="B2" s="27" t="str">
        <f t="shared" ref="B2:B65" si="0">LEFT(A2,FIND(";",A2)-1)</f>
        <v>Alabama</v>
      </c>
      <c r="C2" s="27" t="str">
        <f t="shared" ref="C2:C65" si="1">MID(A2,FIND(";",A2)+1,100)</f>
        <v>Autauga</v>
      </c>
      <c r="D2" s="27">
        <f>807+448+284+177</f>
        <v>1716</v>
      </c>
      <c r="E2" s="27">
        <f>1206+125+2</f>
        <v>1333</v>
      </c>
      <c r="F2" s="27">
        <f>D2+E2</f>
        <v>3049</v>
      </c>
      <c r="G2" s="27">
        <f>55+11+7</f>
        <v>73</v>
      </c>
      <c r="H2" s="27">
        <f>39+3</f>
        <v>42</v>
      </c>
      <c r="I2" s="27">
        <f t="shared" ref="I2:I12" si="2">G2+H2</f>
        <v>115</v>
      </c>
      <c r="J2" s="27">
        <f>107901+76725+46852+30919</f>
        <v>262397</v>
      </c>
      <c r="K2" s="27">
        <f>114160+11044+239</f>
        <v>125443</v>
      </c>
      <c r="L2" s="97">
        <f>(J2+K2)/F2</f>
        <v>127.20236142997705</v>
      </c>
      <c r="M2" s="7">
        <f>1729+465+204</f>
        <v>2398</v>
      </c>
      <c r="N2" s="7">
        <f>2169+160+4</f>
        <v>2333</v>
      </c>
      <c r="O2" s="27">
        <f>M2+N2</f>
        <v>4731</v>
      </c>
      <c r="P2" s="27">
        <f>29492+7605+6507</f>
        <v>43604</v>
      </c>
      <c r="Q2" s="27">
        <f>11442+447</f>
        <v>11889</v>
      </c>
      <c r="R2" s="115">
        <f>(P2+Q2)/I2/(L2/20)</f>
        <v>75.870891178791794</v>
      </c>
      <c r="S2" s="7">
        <f>50273+9860+10182</f>
        <v>70315</v>
      </c>
      <c r="T2" s="7">
        <f>12809+704</f>
        <v>13513</v>
      </c>
      <c r="U2" s="29">
        <f>S2+T2</f>
        <v>83828</v>
      </c>
      <c r="V2" s="27">
        <f>25+2+2+31+1</f>
        <v>61</v>
      </c>
      <c r="W2" s="27">
        <f>48530+16500+20000</f>
        <v>85030</v>
      </c>
      <c r="X2" s="27">
        <f>11345+1850+3225</f>
        <v>16420</v>
      </c>
      <c r="Y2" s="27">
        <f>24275+2500</f>
        <v>26775</v>
      </c>
      <c r="Z2" s="27">
        <f>2715+200</f>
        <v>2915</v>
      </c>
      <c r="AA2" s="2">
        <f>W2+X2+Y2+Z2</f>
        <v>131140</v>
      </c>
      <c r="AB2" s="41">
        <v>1925</v>
      </c>
      <c r="AC2" s="7" t="s">
        <v>552</v>
      </c>
      <c r="AD2" s="157" t="s">
        <v>2680</v>
      </c>
      <c r="AE2" s="155" t="s">
        <v>2681</v>
      </c>
      <c r="AF2" s="7" t="str">
        <f>AD2</f>
        <v>https://ia601501.us.archive.org/22/items/192425/1924-25.pdf#page=3</v>
      </c>
      <c r="AG2" s="153" t="str">
        <f>AE2</f>
        <v>https://ia601501.us.archive.org/22/items/192425/1924-25.pdf#page=6</v>
      </c>
      <c r="AH2" s="7" t="str">
        <f>AD2</f>
        <v>https://ia601501.us.archive.org/22/items/192425/1924-25.pdf#page=3</v>
      </c>
      <c r="AI2" s="153" t="str">
        <f>AE2</f>
        <v>https://ia601501.us.archive.org/22/items/192425/1924-25.pdf#page=6</v>
      </c>
      <c r="AJ2" s="7" t="str">
        <f>AD2</f>
        <v>https://ia601501.us.archive.org/22/items/192425/1924-25.pdf#page=3</v>
      </c>
      <c r="AK2" s="152" t="str">
        <f>AE2</f>
        <v>https://ia601501.us.archive.org/22/items/192425/1924-25.pdf#page=6</v>
      </c>
      <c r="AL2" t="s">
        <v>2710</v>
      </c>
      <c r="AM2" s="155" t="s">
        <v>2682</v>
      </c>
      <c r="AN2" t="s">
        <v>2709</v>
      </c>
      <c r="AO2" s="152" t="s">
        <v>2683</v>
      </c>
      <c r="AP2" t="str">
        <f>AN2</f>
        <v>https://ia601501.us.archive.org/22/items/192425/1924-25.pdf#page=5</v>
      </c>
      <c r="AQ2" t="str">
        <f>AP2</f>
        <v>https://ia601501.us.archive.org/22/items/192425/1924-25.pdf#page=5</v>
      </c>
    </row>
    <row r="3" spans="1:43" x14ac:dyDescent="0.25">
      <c r="A3" s="27" t="s">
        <v>587</v>
      </c>
      <c r="B3" s="27" t="str">
        <f t="shared" si="0"/>
        <v>Alabama</v>
      </c>
      <c r="C3" s="27" t="str">
        <f t="shared" si="1"/>
        <v>Baldwin</v>
      </c>
      <c r="D3" s="27">
        <f>2568+221+568+90+137</f>
        <v>3584</v>
      </c>
      <c r="E3" s="27">
        <f>942+22</f>
        <v>964</v>
      </c>
      <c r="F3" s="27">
        <f t="shared" ref="F3:F66" si="3">D3+E3</f>
        <v>4548</v>
      </c>
      <c r="G3" s="27">
        <f>148+10+5</f>
        <v>163</v>
      </c>
      <c r="H3" s="27">
        <v>32</v>
      </c>
      <c r="I3" s="27">
        <f t="shared" si="2"/>
        <v>195</v>
      </c>
      <c r="J3" s="27">
        <f>376761+34301+89411+13942+24038</f>
        <v>538453</v>
      </c>
      <c r="K3" s="27">
        <f>119278+3193</f>
        <v>122471</v>
      </c>
      <c r="L3" s="97">
        <f t="shared" ref="L3:L66" si="4">(J3+K3)/F3</f>
        <v>145.32189973614777</v>
      </c>
      <c r="M3" s="7">
        <f>4040+400+158</f>
        <v>4598</v>
      </c>
      <c r="N3" s="7">
        <f>1241+28</f>
        <v>1269</v>
      </c>
      <c r="O3" s="27">
        <f t="shared" ref="O3:O66" si="5">M3+N3</f>
        <v>5867</v>
      </c>
      <c r="P3" s="27">
        <f>78778+5200+7205</f>
        <v>91183</v>
      </c>
      <c r="Q3" s="27">
        <f>12001</f>
        <v>12001</v>
      </c>
      <c r="R3" s="115">
        <f t="shared" ref="R3:R66" si="6">(P3+Q3)/I3/(L3/20)</f>
        <v>72.824360114953279</v>
      </c>
      <c r="S3" s="7">
        <f>171479+8345+8964</f>
        <v>188788</v>
      </c>
      <c r="T3" s="7">
        <f>17098</f>
        <v>17098</v>
      </c>
      <c r="U3" s="29">
        <f t="shared" ref="U3:U13" si="7">S3+T3</f>
        <v>205886</v>
      </c>
      <c r="V3" s="27">
        <f>65+2+1+21</f>
        <v>89</v>
      </c>
      <c r="W3" s="27">
        <f>315149+12500+50000</f>
        <v>377649</v>
      </c>
      <c r="X3" s="27">
        <f>45318+2500+3000</f>
        <v>50818</v>
      </c>
      <c r="Y3" s="27">
        <f>55313</f>
        <v>55313</v>
      </c>
      <c r="Z3" s="27">
        <f>6843</f>
        <v>6843</v>
      </c>
      <c r="AA3" s="2">
        <f t="shared" ref="AA3:AA66" si="8">W3+X3+Y3+Z3</f>
        <v>490623</v>
      </c>
      <c r="AB3" s="41">
        <v>1925</v>
      </c>
      <c r="AC3" s="27" t="s">
        <v>552</v>
      </c>
      <c r="AD3" s="157" t="str">
        <f>AD2</f>
        <v>https://ia601501.us.archive.org/22/items/192425/1924-25.pdf#page=3</v>
      </c>
      <c r="AE3" s="155" t="str">
        <f>AE2</f>
        <v>https://ia601501.us.archive.org/22/items/192425/1924-25.pdf#page=6</v>
      </c>
      <c r="AF3" s="7" t="str">
        <f t="shared" ref="AF3:AF66" si="9">AD3</f>
        <v>https://ia601501.us.archive.org/22/items/192425/1924-25.pdf#page=3</v>
      </c>
      <c r="AG3" s="153" t="str">
        <f t="shared" ref="AG3:AG66" si="10">AE3</f>
        <v>https://ia601501.us.archive.org/22/items/192425/1924-25.pdf#page=6</v>
      </c>
      <c r="AH3" s="7" t="str">
        <f t="shared" ref="AH3:AH66" si="11">AD3</f>
        <v>https://ia601501.us.archive.org/22/items/192425/1924-25.pdf#page=3</v>
      </c>
      <c r="AI3" s="153" t="str">
        <f t="shared" ref="AI3:AI66" si="12">AE3</f>
        <v>https://ia601501.us.archive.org/22/items/192425/1924-25.pdf#page=6</v>
      </c>
      <c r="AJ3" s="7" t="str">
        <f t="shared" ref="AJ3:AJ66" si="13">AD3</f>
        <v>https://ia601501.us.archive.org/22/items/192425/1924-25.pdf#page=3</v>
      </c>
      <c r="AK3" s="152" t="str">
        <f t="shared" ref="AK3:AK66" si="14">AE3</f>
        <v>https://ia601501.us.archive.org/22/items/192425/1924-25.pdf#page=6</v>
      </c>
      <c r="AL3" t="str">
        <f>AL2</f>
        <v>https://babel.hathitrust.org/cgi/pt?id=mdp.39015076547101;view=1up;seq=83</v>
      </c>
      <c r="AM3" s="155" t="str">
        <f>AM2</f>
        <v>https://ia601501.us.archive.org/22/items/192425/1924-25.pdf#page=7</v>
      </c>
      <c r="AN3" t="str">
        <f>AN2</f>
        <v>https://ia601501.us.archive.org/22/items/192425/1924-25.pdf#page=5</v>
      </c>
      <c r="AO3" s="152" t="str">
        <f>AO2</f>
        <v>https://ia601501.us.archive.org/22/items/192425/1924-25.pdf#page=8</v>
      </c>
      <c r="AP3" s="27" t="str">
        <f t="shared" ref="AP3:AP66" si="15">AN3</f>
        <v>https://ia601501.us.archive.org/22/items/192425/1924-25.pdf#page=5</v>
      </c>
      <c r="AQ3" s="27" t="str">
        <f t="shared" ref="AQ3:AQ66" si="16">AP3</f>
        <v>https://ia601501.us.archive.org/22/items/192425/1924-25.pdf#page=5</v>
      </c>
    </row>
    <row r="4" spans="1:43" x14ac:dyDescent="0.25">
      <c r="A4" s="27" t="s">
        <v>588</v>
      </c>
      <c r="B4" s="27" t="str">
        <f t="shared" si="0"/>
        <v>Alabama</v>
      </c>
      <c r="C4" s="27" t="str">
        <f t="shared" si="1"/>
        <v>Barbour</v>
      </c>
      <c r="D4" s="27">
        <f>1523+283+593+167+119</f>
        <v>2685</v>
      </c>
      <c r="E4" s="27">
        <f>2497+152+10+33</f>
        <v>2692</v>
      </c>
      <c r="F4" s="27">
        <f t="shared" si="3"/>
        <v>5377</v>
      </c>
      <c r="G4" s="27">
        <f>94+19+5</f>
        <v>118</v>
      </c>
      <c r="H4" s="27">
        <f>48+5</f>
        <v>53</v>
      </c>
      <c r="I4" s="27">
        <f t="shared" si="2"/>
        <v>171</v>
      </c>
      <c r="J4" s="27">
        <f>186857+49602+76489+29203+21170</f>
        <v>363321</v>
      </c>
      <c r="K4" s="27">
        <f>147350+26578+589+5768</f>
        <v>180285</v>
      </c>
      <c r="L4" s="97">
        <f t="shared" si="4"/>
        <v>101.09838199739632</v>
      </c>
      <c r="M4" s="7">
        <f>2890+594+140</f>
        <v>3624</v>
      </c>
      <c r="N4" s="7">
        <f>3918+180+15+43</f>
        <v>4156</v>
      </c>
      <c r="O4" s="27">
        <f t="shared" si="5"/>
        <v>7780</v>
      </c>
      <c r="P4" s="27">
        <f>55851+14590+5554</f>
        <v>75995</v>
      </c>
      <c r="Q4" s="27">
        <f>5177+1530</f>
        <v>6707</v>
      </c>
      <c r="R4" s="115">
        <f t="shared" si="6"/>
        <v>95.676590929623458</v>
      </c>
      <c r="S4" s="7">
        <f>92800+22194+7727</f>
        <v>122721</v>
      </c>
      <c r="T4" s="7">
        <f>6377+1919</f>
        <v>8296</v>
      </c>
      <c r="U4" s="29">
        <f t="shared" si="7"/>
        <v>131017</v>
      </c>
      <c r="V4" s="27">
        <f>46+3+3+43+1</f>
        <v>96</v>
      </c>
      <c r="W4" s="27">
        <f>125730+150000+24000</f>
        <v>299730</v>
      </c>
      <c r="X4" s="27">
        <f>14565+7000+4500</f>
        <v>26065</v>
      </c>
      <c r="Y4" s="27">
        <f>5400+15000</f>
        <v>20400</v>
      </c>
      <c r="Z4" s="27">
        <f>539+1500</f>
        <v>2039</v>
      </c>
      <c r="AA4" s="2">
        <f t="shared" si="8"/>
        <v>348234</v>
      </c>
      <c r="AB4" s="41">
        <v>1925</v>
      </c>
      <c r="AC4" s="27" t="s">
        <v>552</v>
      </c>
      <c r="AD4" s="157" t="str">
        <f t="shared" ref="AD4:AD67" si="17">AD3</f>
        <v>https://ia601501.us.archive.org/22/items/192425/1924-25.pdf#page=3</v>
      </c>
      <c r="AE4" s="155" t="str">
        <f t="shared" ref="AE4:AE67" si="18">AE3</f>
        <v>https://ia601501.us.archive.org/22/items/192425/1924-25.pdf#page=6</v>
      </c>
      <c r="AF4" s="7" t="str">
        <f t="shared" si="9"/>
        <v>https://ia601501.us.archive.org/22/items/192425/1924-25.pdf#page=3</v>
      </c>
      <c r="AG4" s="153" t="str">
        <f t="shared" si="10"/>
        <v>https://ia601501.us.archive.org/22/items/192425/1924-25.pdf#page=6</v>
      </c>
      <c r="AH4" s="7" t="str">
        <f t="shared" si="11"/>
        <v>https://ia601501.us.archive.org/22/items/192425/1924-25.pdf#page=3</v>
      </c>
      <c r="AI4" s="153" t="str">
        <f t="shared" si="12"/>
        <v>https://ia601501.us.archive.org/22/items/192425/1924-25.pdf#page=6</v>
      </c>
      <c r="AJ4" s="7" t="str">
        <f t="shared" si="13"/>
        <v>https://ia601501.us.archive.org/22/items/192425/1924-25.pdf#page=3</v>
      </c>
      <c r="AK4" s="152" t="str">
        <f t="shared" si="14"/>
        <v>https://ia601501.us.archive.org/22/items/192425/1924-25.pdf#page=6</v>
      </c>
      <c r="AL4" t="str">
        <f>AL3</f>
        <v>https://babel.hathitrust.org/cgi/pt?id=mdp.39015076547101;view=1up;seq=83</v>
      </c>
      <c r="AM4" s="155" t="str">
        <f t="shared" ref="AM4:AM67" si="19">AM3</f>
        <v>https://ia601501.us.archive.org/22/items/192425/1924-25.pdf#page=7</v>
      </c>
      <c r="AN4" s="27" t="str">
        <f t="shared" ref="AN4:AN13" si="20">AN3</f>
        <v>https://ia601501.us.archive.org/22/items/192425/1924-25.pdf#page=5</v>
      </c>
      <c r="AO4" s="152" t="str">
        <f t="shared" ref="AO4:AO67" si="21">AO3</f>
        <v>https://ia601501.us.archive.org/22/items/192425/1924-25.pdf#page=8</v>
      </c>
      <c r="AP4" s="27" t="str">
        <f t="shared" si="15"/>
        <v>https://ia601501.us.archive.org/22/items/192425/1924-25.pdf#page=5</v>
      </c>
      <c r="AQ4" s="27" t="str">
        <f t="shared" si="16"/>
        <v>https://ia601501.us.archive.org/22/items/192425/1924-25.pdf#page=5</v>
      </c>
    </row>
    <row r="5" spans="1:43" x14ac:dyDescent="0.25">
      <c r="A5" s="27" t="s">
        <v>589</v>
      </c>
      <c r="B5" s="27" t="str">
        <f t="shared" si="0"/>
        <v>Alabama</v>
      </c>
      <c r="C5" s="27" t="str">
        <f t="shared" si="1"/>
        <v>Bibb</v>
      </c>
      <c r="D5" s="27">
        <f>1861+161+239+121+169</f>
        <v>2551</v>
      </c>
      <c r="E5" s="27">
        <f>1114+49+36+9</f>
        <v>1208</v>
      </c>
      <c r="F5" s="27">
        <f t="shared" si="3"/>
        <v>3759</v>
      </c>
      <c r="G5" s="27">
        <f>101+10+8</f>
        <v>119</v>
      </c>
      <c r="H5" s="27">
        <f>34+2</f>
        <v>36</v>
      </c>
      <c r="I5" s="27">
        <f t="shared" si="2"/>
        <v>155</v>
      </c>
      <c r="J5" s="27">
        <f>258092+29046+40144+21690+29683</f>
        <v>378655</v>
      </c>
      <c r="K5" s="27">
        <f>123237+8829+5139+1608</f>
        <v>138813</v>
      </c>
      <c r="L5" s="97">
        <f t="shared" si="4"/>
        <v>137.6610800744879</v>
      </c>
      <c r="M5" s="7">
        <f>3342+392+191</f>
        <v>3925</v>
      </c>
      <c r="N5" s="7">
        <f>1612+71+89+12</f>
        <v>1784</v>
      </c>
      <c r="O5" s="27">
        <f t="shared" si="5"/>
        <v>5709</v>
      </c>
      <c r="P5" s="27">
        <f>70003+7601</f>
        <v>77604</v>
      </c>
      <c r="Q5" s="27">
        <f>15955+1170</f>
        <v>17125</v>
      </c>
      <c r="R5" s="115">
        <f t="shared" si="6"/>
        <v>88.791231098722136</v>
      </c>
      <c r="S5" s="7">
        <f>73062+13043+18042</f>
        <v>104147</v>
      </c>
      <c r="T5" s="7">
        <f>119647+2112</f>
        <v>121759</v>
      </c>
      <c r="U5" s="29">
        <f t="shared" si="7"/>
        <v>225906</v>
      </c>
      <c r="V5" s="27">
        <f>51+2+3+20+1</f>
        <v>77</v>
      </c>
      <c r="W5" s="27">
        <f>83350+12500+25000</f>
        <v>120850</v>
      </c>
      <c r="X5" s="27">
        <f>13085+3000+6000</f>
        <v>22085</v>
      </c>
      <c r="Y5" s="27">
        <f>27675+2000</f>
        <v>29675</v>
      </c>
      <c r="Z5" s="27">
        <f>3316+350</f>
        <v>3666</v>
      </c>
      <c r="AA5" s="2">
        <f t="shared" si="8"/>
        <v>176276</v>
      </c>
      <c r="AB5" s="41">
        <v>1925</v>
      </c>
      <c r="AC5" s="27" t="s">
        <v>552</v>
      </c>
      <c r="AD5" s="157" t="str">
        <f t="shared" si="17"/>
        <v>https://ia601501.us.archive.org/22/items/192425/1924-25.pdf#page=3</v>
      </c>
      <c r="AE5" s="155" t="str">
        <f t="shared" si="18"/>
        <v>https://ia601501.us.archive.org/22/items/192425/1924-25.pdf#page=6</v>
      </c>
      <c r="AF5" s="7" t="str">
        <f t="shared" si="9"/>
        <v>https://ia601501.us.archive.org/22/items/192425/1924-25.pdf#page=3</v>
      </c>
      <c r="AG5" s="153" t="str">
        <f t="shared" si="10"/>
        <v>https://ia601501.us.archive.org/22/items/192425/1924-25.pdf#page=6</v>
      </c>
      <c r="AH5" s="7" t="str">
        <f t="shared" si="11"/>
        <v>https://ia601501.us.archive.org/22/items/192425/1924-25.pdf#page=3</v>
      </c>
      <c r="AI5" s="153" t="str">
        <f t="shared" si="12"/>
        <v>https://ia601501.us.archive.org/22/items/192425/1924-25.pdf#page=6</v>
      </c>
      <c r="AJ5" s="7" t="str">
        <f t="shared" si="13"/>
        <v>https://ia601501.us.archive.org/22/items/192425/1924-25.pdf#page=3</v>
      </c>
      <c r="AK5" s="152" t="str">
        <f t="shared" si="14"/>
        <v>https://ia601501.us.archive.org/22/items/192425/1924-25.pdf#page=6</v>
      </c>
      <c r="AL5" s="27" t="str">
        <f t="shared" ref="AL5:AL68" si="22">AL4</f>
        <v>https://babel.hathitrust.org/cgi/pt?id=mdp.39015076547101;view=1up;seq=83</v>
      </c>
      <c r="AM5" s="155" t="str">
        <f t="shared" si="19"/>
        <v>https://ia601501.us.archive.org/22/items/192425/1924-25.pdf#page=7</v>
      </c>
      <c r="AN5" s="27" t="str">
        <f t="shared" si="20"/>
        <v>https://ia601501.us.archive.org/22/items/192425/1924-25.pdf#page=5</v>
      </c>
      <c r="AO5" s="152" t="str">
        <f t="shared" si="21"/>
        <v>https://ia601501.us.archive.org/22/items/192425/1924-25.pdf#page=8</v>
      </c>
      <c r="AP5" s="27" t="str">
        <f t="shared" si="15"/>
        <v>https://ia601501.us.archive.org/22/items/192425/1924-25.pdf#page=5</v>
      </c>
      <c r="AQ5" s="27" t="str">
        <f t="shared" si="16"/>
        <v>https://ia601501.us.archive.org/22/items/192425/1924-25.pdf#page=5</v>
      </c>
    </row>
    <row r="6" spans="1:43" x14ac:dyDescent="0.25">
      <c r="A6" s="27" t="s">
        <v>590</v>
      </c>
      <c r="B6" s="27" t="str">
        <f t="shared" si="0"/>
        <v>Alabama</v>
      </c>
      <c r="C6" s="27" t="str">
        <f t="shared" si="1"/>
        <v>Blount</v>
      </c>
      <c r="D6" s="27">
        <f>3978+150+600+184+152</f>
        <v>5064</v>
      </c>
      <c r="E6" s="27">
        <v>171</v>
      </c>
      <c r="F6" s="27">
        <f t="shared" si="3"/>
        <v>5235</v>
      </c>
      <c r="G6" s="27">
        <f>169+6+6+8</f>
        <v>189</v>
      </c>
      <c r="H6" s="27">
        <f>6</f>
        <v>6</v>
      </c>
      <c r="I6" s="27">
        <f t="shared" si="2"/>
        <v>195</v>
      </c>
      <c r="J6" s="27">
        <f>377410+22235+68377+32685+27283</f>
        <v>527990</v>
      </c>
      <c r="K6" s="27">
        <f>14534</f>
        <v>14534</v>
      </c>
      <c r="L6" s="97">
        <f t="shared" si="4"/>
        <v>103.63400191021968</v>
      </c>
      <c r="M6" s="7">
        <f>6091+186+200+178</f>
        <v>6655</v>
      </c>
      <c r="N6" s="7">
        <f>228</f>
        <v>228</v>
      </c>
      <c r="O6" s="27">
        <f t="shared" si="5"/>
        <v>6883</v>
      </c>
      <c r="P6" s="27">
        <f>31759+4160+6141+11428</f>
        <v>53488</v>
      </c>
      <c r="Q6" s="27">
        <f>1215</f>
        <v>1215</v>
      </c>
      <c r="R6" s="115">
        <f t="shared" si="6"/>
        <v>54.138255776561174</v>
      </c>
      <c r="S6" s="7">
        <f>91375+10053+9249+18206</f>
        <v>128883</v>
      </c>
      <c r="T6" s="7">
        <v>1511</v>
      </c>
      <c r="U6" s="29">
        <f t="shared" si="7"/>
        <v>130394</v>
      </c>
      <c r="V6" s="27">
        <f>79+1+1+1+6</f>
        <v>88</v>
      </c>
      <c r="W6" s="27">
        <f>140000+4198+30000+65000</f>
        <v>239198</v>
      </c>
      <c r="X6" s="27">
        <f>23000+3254+5000+10000</f>
        <v>41254</v>
      </c>
      <c r="Y6" s="27">
        <f>3000</f>
        <v>3000</v>
      </c>
      <c r="Z6" s="27">
        <f>300</f>
        <v>300</v>
      </c>
      <c r="AA6" s="2">
        <f t="shared" si="8"/>
        <v>283752</v>
      </c>
      <c r="AB6" s="41">
        <v>1925</v>
      </c>
      <c r="AC6" s="27" t="s">
        <v>552</v>
      </c>
      <c r="AD6" s="157" t="str">
        <f t="shared" si="17"/>
        <v>https://ia601501.us.archive.org/22/items/192425/1924-25.pdf#page=3</v>
      </c>
      <c r="AE6" s="155" t="str">
        <f t="shared" si="18"/>
        <v>https://ia601501.us.archive.org/22/items/192425/1924-25.pdf#page=6</v>
      </c>
      <c r="AF6" s="7" t="str">
        <f t="shared" si="9"/>
        <v>https://ia601501.us.archive.org/22/items/192425/1924-25.pdf#page=3</v>
      </c>
      <c r="AG6" s="153" t="str">
        <f t="shared" si="10"/>
        <v>https://ia601501.us.archive.org/22/items/192425/1924-25.pdf#page=6</v>
      </c>
      <c r="AH6" s="7" t="str">
        <f t="shared" si="11"/>
        <v>https://ia601501.us.archive.org/22/items/192425/1924-25.pdf#page=3</v>
      </c>
      <c r="AI6" s="153" t="str">
        <f t="shared" si="12"/>
        <v>https://ia601501.us.archive.org/22/items/192425/1924-25.pdf#page=6</v>
      </c>
      <c r="AJ6" s="7" t="str">
        <f t="shared" si="13"/>
        <v>https://ia601501.us.archive.org/22/items/192425/1924-25.pdf#page=3</v>
      </c>
      <c r="AK6" s="152" t="str">
        <f t="shared" si="14"/>
        <v>https://ia601501.us.archive.org/22/items/192425/1924-25.pdf#page=6</v>
      </c>
      <c r="AL6" s="27" t="str">
        <f t="shared" si="22"/>
        <v>https://babel.hathitrust.org/cgi/pt?id=mdp.39015076547101;view=1up;seq=83</v>
      </c>
      <c r="AM6" s="155" t="str">
        <f t="shared" si="19"/>
        <v>https://ia601501.us.archive.org/22/items/192425/1924-25.pdf#page=7</v>
      </c>
      <c r="AN6" s="27" t="str">
        <f t="shared" si="20"/>
        <v>https://ia601501.us.archive.org/22/items/192425/1924-25.pdf#page=5</v>
      </c>
      <c r="AO6" s="152" t="str">
        <f t="shared" si="21"/>
        <v>https://ia601501.us.archive.org/22/items/192425/1924-25.pdf#page=8</v>
      </c>
      <c r="AP6" s="27" t="str">
        <f t="shared" si="15"/>
        <v>https://ia601501.us.archive.org/22/items/192425/1924-25.pdf#page=5</v>
      </c>
      <c r="AQ6" s="27" t="str">
        <f t="shared" si="16"/>
        <v>https://ia601501.us.archive.org/22/items/192425/1924-25.pdf#page=5</v>
      </c>
    </row>
    <row r="7" spans="1:43" x14ac:dyDescent="0.25">
      <c r="A7" s="27" t="s">
        <v>591</v>
      </c>
      <c r="B7" s="27" t="str">
        <f t="shared" si="0"/>
        <v>Alabama</v>
      </c>
      <c r="C7" s="27" t="str">
        <f t="shared" si="1"/>
        <v>Bullock</v>
      </c>
      <c r="D7" s="27">
        <f>329+216+145+140</f>
        <v>830</v>
      </c>
      <c r="E7" s="27">
        <f>1897+186+16+25</f>
        <v>2124</v>
      </c>
      <c r="F7" s="27">
        <f t="shared" si="3"/>
        <v>2954</v>
      </c>
      <c r="G7" s="27">
        <f>34+14</f>
        <v>48</v>
      </c>
      <c r="H7" s="27">
        <f>44+7</f>
        <v>51</v>
      </c>
      <c r="I7" s="27">
        <f t="shared" si="2"/>
        <v>99</v>
      </c>
      <c r="J7" s="27">
        <f>41155+37982+25502+24679</f>
        <v>129318</v>
      </c>
      <c r="K7" s="27">
        <f>187769+32718+1733+4340</f>
        <v>226560</v>
      </c>
      <c r="L7" s="97">
        <f t="shared" si="4"/>
        <v>120.47325660121869</v>
      </c>
      <c r="M7" s="7">
        <f>700+424</f>
        <v>1124</v>
      </c>
      <c r="N7" s="7">
        <f>2942+373+50+32</f>
        <v>3397</v>
      </c>
      <c r="O7" s="27">
        <f t="shared" si="5"/>
        <v>4521</v>
      </c>
      <c r="P7" s="27">
        <f>28242+12335</f>
        <v>40577</v>
      </c>
      <c r="Q7" s="27">
        <f>6834+2543</f>
        <v>9377</v>
      </c>
      <c r="R7" s="115">
        <f t="shared" si="6"/>
        <v>83.767281274067301</v>
      </c>
      <c r="S7" s="7">
        <f>68604+24169</f>
        <v>92773</v>
      </c>
      <c r="T7" s="7">
        <f>9816+8348</f>
        <v>18164</v>
      </c>
      <c r="U7" s="29">
        <f t="shared" si="7"/>
        <v>110937</v>
      </c>
      <c r="V7" s="27">
        <f>10+2+41+1</f>
        <v>54</v>
      </c>
      <c r="W7" s="27">
        <f>61000+90000</f>
        <v>151000</v>
      </c>
      <c r="X7" s="27">
        <f>6000+8000</f>
        <v>14000</v>
      </c>
      <c r="Y7" s="27">
        <f>27000+12000</f>
        <v>39000</v>
      </c>
      <c r="Z7" s="27">
        <f>2000+1500</f>
        <v>3500</v>
      </c>
      <c r="AA7" s="2">
        <f t="shared" si="8"/>
        <v>207500</v>
      </c>
      <c r="AB7" s="41">
        <v>1925</v>
      </c>
      <c r="AC7" s="27" t="s">
        <v>552</v>
      </c>
      <c r="AD7" s="157" t="str">
        <f t="shared" si="17"/>
        <v>https://ia601501.us.archive.org/22/items/192425/1924-25.pdf#page=3</v>
      </c>
      <c r="AE7" s="155" t="str">
        <f t="shared" si="18"/>
        <v>https://ia601501.us.archive.org/22/items/192425/1924-25.pdf#page=6</v>
      </c>
      <c r="AF7" s="7" t="str">
        <f t="shared" si="9"/>
        <v>https://ia601501.us.archive.org/22/items/192425/1924-25.pdf#page=3</v>
      </c>
      <c r="AG7" s="153" t="str">
        <f t="shared" si="10"/>
        <v>https://ia601501.us.archive.org/22/items/192425/1924-25.pdf#page=6</v>
      </c>
      <c r="AH7" s="7" t="str">
        <f t="shared" si="11"/>
        <v>https://ia601501.us.archive.org/22/items/192425/1924-25.pdf#page=3</v>
      </c>
      <c r="AI7" s="153" t="str">
        <f t="shared" si="12"/>
        <v>https://ia601501.us.archive.org/22/items/192425/1924-25.pdf#page=6</v>
      </c>
      <c r="AJ7" s="7" t="str">
        <f t="shared" si="13"/>
        <v>https://ia601501.us.archive.org/22/items/192425/1924-25.pdf#page=3</v>
      </c>
      <c r="AK7" s="152" t="str">
        <f t="shared" si="14"/>
        <v>https://ia601501.us.archive.org/22/items/192425/1924-25.pdf#page=6</v>
      </c>
      <c r="AL7" s="27" t="str">
        <f t="shared" si="22"/>
        <v>https://babel.hathitrust.org/cgi/pt?id=mdp.39015076547101;view=1up;seq=83</v>
      </c>
      <c r="AM7" s="155" t="str">
        <f t="shared" si="19"/>
        <v>https://ia601501.us.archive.org/22/items/192425/1924-25.pdf#page=7</v>
      </c>
      <c r="AN7" s="27" t="str">
        <f t="shared" si="20"/>
        <v>https://ia601501.us.archive.org/22/items/192425/1924-25.pdf#page=5</v>
      </c>
      <c r="AO7" s="152" t="str">
        <f t="shared" si="21"/>
        <v>https://ia601501.us.archive.org/22/items/192425/1924-25.pdf#page=8</v>
      </c>
      <c r="AP7" s="27" t="str">
        <f t="shared" si="15"/>
        <v>https://ia601501.us.archive.org/22/items/192425/1924-25.pdf#page=5</v>
      </c>
      <c r="AQ7" s="27" t="str">
        <f t="shared" si="16"/>
        <v>https://ia601501.us.archive.org/22/items/192425/1924-25.pdf#page=5</v>
      </c>
    </row>
    <row r="8" spans="1:43" x14ac:dyDescent="0.25">
      <c r="A8" s="27" t="s">
        <v>592</v>
      </c>
      <c r="B8" s="27" t="str">
        <f t="shared" si="0"/>
        <v>Alabama</v>
      </c>
      <c r="C8" s="27" t="str">
        <f t="shared" si="1"/>
        <v>Butler</v>
      </c>
      <c r="D8" s="27">
        <f>1884+246+145+365+101+230</f>
        <v>2971</v>
      </c>
      <c r="E8" s="27">
        <f>1396+118+51+5+8+5</f>
        <v>1583</v>
      </c>
      <c r="F8" s="27">
        <f t="shared" si="3"/>
        <v>4554</v>
      </c>
      <c r="G8" s="27">
        <f>104+8+8+8</f>
        <v>128</v>
      </c>
      <c r="H8" s="27">
        <f>25+3+2</f>
        <v>30</v>
      </c>
      <c r="I8" s="27">
        <f t="shared" si="2"/>
        <v>158</v>
      </c>
      <c r="J8" s="27">
        <f>256207+43281+25715+49632+17706+39905</f>
        <v>432446</v>
      </c>
      <c r="K8" s="27">
        <f>108884+21073+7930+387+1456+776</f>
        <v>140506</v>
      </c>
      <c r="L8" s="97">
        <f t="shared" si="4"/>
        <v>125.8129117259552</v>
      </c>
      <c r="M8" s="7">
        <f>2631+274+187+579+133+273</f>
        <v>4077</v>
      </c>
      <c r="N8" s="7">
        <f>1746+257+116+11+14+9</f>
        <v>2153</v>
      </c>
      <c r="O8" s="27">
        <f t="shared" si="5"/>
        <v>6230</v>
      </c>
      <c r="P8" s="27">
        <f>53352+6210+5140+8460</f>
        <v>73162</v>
      </c>
      <c r="Q8" s="27">
        <f>2657+900+920</f>
        <v>4477</v>
      </c>
      <c r="R8" s="115">
        <f t="shared" si="6"/>
        <v>78.113775320564997</v>
      </c>
      <c r="S8" s="7">
        <f>66281+12158+9929+14890</f>
        <v>103258</v>
      </c>
      <c r="T8" s="7">
        <f>3006+1070+928</f>
        <v>5004</v>
      </c>
      <c r="U8" s="29">
        <f t="shared" si="7"/>
        <v>108262</v>
      </c>
      <c r="V8" s="27">
        <f>55+1+1+1+23+1+1</f>
        <v>83</v>
      </c>
      <c r="W8" s="27">
        <f>55000+25000+23000+36000</f>
        <v>139000</v>
      </c>
      <c r="X8" s="27">
        <f>10000+3000+2620+6000</f>
        <v>21620</v>
      </c>
      <c r="Y8" s="27">
        <f>5000+3000+4500</f>
        <v>12500</v>
      </c>
      <c r="Z8" s="27">
        <f>500+700+275</f>
        <v>1475</v>
      </c>
      <c r="AA8" s="2">
        <f t="shared" si="8"/>
        <v>174595</v>
      </c>
      <c r="AB8" s="41">
        <v>1925</v>
      </c>
      <c r="AC8" s="27" t="s">
        <v>552</v>
      </c>
      <c r="AD8" s="157" t="str">
        <f t="shared" si="17"/>
        <v>https://ia601501.us.archive.org/22/items/192425/1924-25.pdf#page=3</v>
      </c>
      <c r="AE8" s="155" t="str">
        <f t="shared" si="18"/>
        <v>https://ia601501.us.archive.org/22/items/192425/1924-25.pdf#page=6</v>
      </c>
      <c r="AF8" s="7" t="str">
        <f t="shared" si="9"/>
        <v>https://ia601501.us.archive.org/22/items/192425/1924-25.pdf#page=3</v>
      </c>
      <c r="AG8" s="153" t="str">
        <f t="shared" si="10"/>
        <v>https://ia601501.us.archive.org/22/items/192425/1924-25.pdf#page=6</v>
      </c>
      <c r="AH8" s="7" t="str">
        <f t="shared" si="11"/>
        <v>https://ia601501.us.archive.org/22/items/192425/1924-25.pdf#page=3</v>
      </c>
      <c r="AI8" s="153" t="str">
        <f t="shared" si="12"/>
        <v>https://ia601501.us.archive.org/22/items/192425/1924-25.pdf#page=6</v>
      </c>
      <c r="AJ8" s="7" t="str">
        <f t="shared" si="13"/>
        <v>https://ia601501.us.archive.org/22/items/192425/1924-25.pdf#page=3</v>
      </c>
      <c r="AK8" s="152" t="str">
        <f t="shared" si="14"/>
        <v>https://ia601501.us.archive.org/22/items/192425/1924-25.pdf#page=6</v>
      </c>
      <c r="AL8" s="27" t="str">
        <f t="shared" si="22"/>
        <v>https://babel.hathitrust.org/cgi/pt?id=mdp.39015076547101;view=1up;seq=83</v>
      </c>
      <c r="AM8" s="155" t="str">
        <f t="shared" si="19"/>
        <v>https://ia601501.us.archive.org/22/items/192425/1924-25.pdf#page=7</v>
      </c>
      <c r="AN8" s="27" t="str">
        <f t="shared" si="20"/>
        <v>https://ia601501.us.archive.org/22/items/192425/1924-25.pdf#page=5</v>
      </c>
      <c r="AO8" s="152" t="str">
        <f t="shared" si="21"/>
        <v>https://ia601501.us.archive.org/22/items/192425/1924-25.pdf#page=8</v>
      </c>
      <c r="AP8" s="27" t="str">
        <f t="shared" si="15"/>
        <v>https://ia601501.us.archive.org/22/items/192425/1924-25.pdf#page=5</v>
      </c>
      <c r="AQ8" s="27" t="str">
        <f t="shared" si="16"/>
        <v>https://ia601501.us.archive.org/22/items/192425/1924-25.pdf#page=5</v>
      </c>
    </row>
    <row r="9" spans="1:43" x14ac:dyDescent="0.25">
      <c r="A9" s="27" t="s">
        <v>593</v>
      </c>
      <c r="B9" s="27" t="str">
        <f t="shared" si="0"/>
        <v>Alabama</v>
      </c>
      <c r="C9" s="27" t="str">
        <f t="shared" si="1"/>
        <v>Calhoun/Benton</v>
      </c>
      <c r="D9" s="27">
        <f>2848+1811+82+452+278+353+453+84+126+45+155</f>
        <v>6687</v>
      </c>
      <c r="E9" s="27">
        <f>794+579+78+46+18+24+3+2</f>
        <v>1544</v>
      </c>
      <c r="F9" s="27">
        <f t="shared" si="3"/>
        <v>8231</v>
      </c>
      <c r="G9" s="27">
        <f>133+78+11+15+9+6</f>
        <v>252</v>
      </c>
      <c r="H9" s="27">
        <f>26+12+2+1</f>
        <v>41</v>
      </c>
      <c r="I9" s="27">
        <f t="shared" si="2"/>
        <v>293</v>
      </c>
      <c r="J9" s="27">
        <f>357426+320523+14724+80046+49493+56622+80003+15146+22366+8001+27468</f>
        <v>1031818</v>
      </c>
      <c r="K9" s="27">
        <f>78486+102534+12441+5387+2885+4251+479+233</f>
        <v>206696</v>
      </c>
      <c r="L9" s="97">
        <f t="shared" si="4"/>
        <v>150.46944478192199</v>
      </c>
      <c r="M9" s="7">
        <f>4266+2214+125+656+336+594+511+97+195+52+191</f>
        <v>9237</v>
      </c>
      <c r="N9" s="7">
        <f>1141+704+164+69+50+25+6+2</f>
        <v>2161</v>
      </c>
      <c r="O9" s="27">
        <f t="shared" si="5"/>
        <v>11398</v>
      </c>
      <c r="P9" s="27">
        <f>70736+64621+8134+5778+9911+6966</f>
        <v>166146</v>
      </c>
      <c r="Q9" s="27">
        <f>6605+8729+1000+450</f>
        <v>16784</v>
      </c>
      <c r="R9" s="115">
        <f t="shared" si="6"/>
        <v>82.984883993507125</v>
      </c>
      <c r="S9" s="7">
        <f>159162+145112+17368+19585+10178+9474</f>
        <v>360879</v>
      </c>
      <c r="T9" s="7">
        <f>8430+18990+1000+563</f>
        <v>28983</v>
      </c>
      <c r="U9" s="29">
        <f t="shared" si="7"/>
        <v>389862</v>
      </c>
      <c r="V9" s="27">
        <f>57+7+2+3+2+1+21+2+1+1</f>
        <v>97</v>
      </c>
      <c r="W9" s="27">
        <f>220000+463000+40000+30000+48250+30000</f>
        <v>831250</v>
      </c>
      <c r="X9" s="27">
        <f>25000+33800+5000+5000+2700+2000</f>
        <v>73500</v>
      </c>
      <c r="Y9" s="27">
        <f>26000+52500+5000+1000</f>
        <v>84500</v>
      </c>
      <c r="Z9" s="27">
        <f>2500+3500+800+25</f>
        <v>6825</v>
      </c>
      <c r="AA9" s="2">
        <f t="shared" si="8"/>
        <v>996075</v>
      </c>
      <c r="AB9" s="41">
        <v>1925</v>
      </c>
      <c r="AC9" s="27" t="s">
        <v>552</v>
      </c>
      <c r="AD9" s="157" t="str">
        <f t="shared" si="17"/>
        <v>https://ia601501.us.archive.org/22/items/192425/1924-25.pdf#page=3</v>
      </c>
      <c r="AE9" s="155" t="str">
        <f t="shared" si="18"/>
        <v>https://ia601501.us.archive.org/22/items/192425/1924-25.pdf#page=6</v>
      </c>
      <c r="AF9" s="7" t="str">
        <f t="shared" si="9"/>
        <v>https://ia601501.us.archive.org/22/items/192425/1924-25.pdf#page=3</v>
      </c>
      <c r="AG9" s="153" t="str">
        <f t="shared" si="10"/>
        <v>https://ia601501.us.archive.org/22/items/192425/1924-25.pdf#page=6</v>
      </c>
      <c r="AH9" s="7" t="str">
        <f t="shared" si="11"/>
        <v>https://ia601501.us.archive.org/22/items/192425/1924-25.pdf#page=3</v>
      </c>
      <c r="AI9" s="153" t="str">
        <f t="shared" si="12"/>
        <v>https://ia601501.us.archive.org/22/items/192425/1924-25.pdf#page=6</v>
      </c>
      <c r="AJ9" s="7" t="str">
        <f t="shared" si="13"/>
        <v>https://ia601501.us.archive.org/22/items/192425/1924-25.pdf#page=3</v>
      </c>
      <c r="AK9" s="152" t="str">
        <f t="shared" si="14"/>
        <v>https://ia601501.us.archive.org/22/items/192425/1924-25.pdf#page=6</v>
      </c>
      <c r="AL9" s="27" t="str">
        <f t="shared" si="22"/>
        <v>https://babel.hathitrust.org/cgi/pt?id=mdp.39015076547101;view=1up;seq=83</v>
      </c>
      <c r="AM9" s="155" t="str">
        <f t="shared" si="19"/>
        <v>https://ia601501.us.archive.org/22/items/192425/1924-25.pdf#page=7</v>
      </c>
      <c r="AN9" s="27" t="str">
        <f t="shared" si="20"/>
        <v>https://ia601501.us.archive.org/22/items/192425/1924-25.pdf#page=5</v>
      </c>
      <c r="AO9" s="152" t="str">
        <f t="shared" si="21"/>
        <v>https://ia601501.us.archive.org/22/items/192425/1924-25.pdf#page=8</v>
      </c>
      <c r="AP9" s="27" t="str">
        <f t="shared" si="15"/>
        <v>https://ia601501.us.archive.org/22/items/192425/1924-25.pdf#page=5</v>
      </c>
      <c r="AQ9" s="27" t="str">
        <f t="shared" si="16"/>
        <v>https://ia601501.us.archive.org/22/items/192425/1924-25.pdf#page=5</v>
      </c>
    </row>
    <row r="10" spans="1:43" x14ac:dyDescent="0.25">
      <c r="A10" s="27" t="s">
        <v>594</v>
      </c>
      <c r="B10" s="27" t="str">
        <f t="shared" si="0"/>
        <v>Alabama</v>
      </c>
      <c r="C10" s="27" t="str">
        <f t="shared" si="1"/>
        <v>Chambers</v>
      </c>
      <c r="D10" s="27">
        <f>2816+1246+163+1098+212+137+165</f>
        <v>5837</v>
      </c>
      <c r="E10" s="27">
        <f>3000+172+70+17</f>
        <v>3259</v>
      </c>
      <c r="F10" s="27">
        <f t="shared" si="3"/>
        <v>9096</v>
      </c>
      <c r="G10" s="27">
        <f>147+37+12+6</f>
        <v>202</v>
      </c>
      <c r="H10" s="27">
        <f>71+5</f>
        <v>76</v>
      </c>
      <c r="I10" s="27">
        <f t="shared" si="2"/>
        <v>278</v>
      </c>
      <c r="J10" s="27">
        <f>463600+221178+28710+180056+37748+24061+29435</f>
        <v>984788</v>
      </c>
      <c r="K10" s="27">
        <f>299432+27586+11232+2728</f>
        <v>340978</v>
      </c>
      <c r="L10" s="97">
        <f t="shared" si="4"/>
        <v>145.75263852242745</v>
      </c>
      <c r="M10" s="7">
        <f>3574+1420+197+1218+236+164+200</f>
        <v>7009</v>
      </c>
      <c r="N10" s="7">
        <f>4365+248+88+21</f>
        <v>4722</v>
      </c>
      <c r="O10" s="27">
        <f t="shared" si="5"/>
        <v>11731</v>
      </c>
      <c r="P10" s="27">
        <f>89409+12398+9320+21542+7233</f>
        <v>139902</v>
      </c>
      <c r="Q10" s="27">
        <f>19940+2080</f>
        <v>22020</v>
      </c>
      <c r="R10" s="115">
        <f t="shared" si="6"/>
        <v>79.923525682239756</v>
      </c>
      <c r="S10" s="7">
        <f>183721+134612+16821+8115</f>
        <v>343269</v>
      </c>
      <c r="T10" s="7">
        <f>24837+2519</f>
        <v>27356</v>
      </c>
      <c r="U10" s="29">
        <f t="shared" si="7"/>
        <v>370625</v>
      </c>
      <c r="V10" s="27">
        <f>46+2+1+1+45+1</f>
        <v>96</v>
      </c>
      <c r="W10" s="27">
        <f>355000+250000+50000+10000</f>
        <v>665000</v>
      </c>
      <c r="X10" s="27">
        <f>80000+10000+4225+2000</f>
        <v>96225</v>
      </c>
      <c r="Y10" s="27">
        <f>50000+20000</f>
        <v>70000</v>
      </c>
      <c r="Z10" s="27">
        <f>10500+500</f>
        <v>11000</v>
      </c>
      <c r="AA10" s="2">
        <f t="shared" si="8"/>
        <v>842225</v>
      </c>
      <c r="AB10" s="41">
        <v>1925</v>
      </c>
      <c r="AC10" s="27" t="s">
        <v>552</v>
      </c>
      <c r="AD10" s="157" t="str">
        <f t="shared" si="17"/>
        <v>https://ia601501.us.archive.org/22/items/192425/1924-25.pdf#page=3</v>
      </c>
      <c r="AE10" s="155" t="str">
        <f t="shared" si="18"/>
        <v>https://ia601501.us.archive.org/22/items/192425/1924-25.pdf#page=6</v>
      </c>
      <c r="AF10" s="7" t="str">
        <f t="shared" si="9"/>
        <v>https://ia601501.us.archive.org/22/items/192425/1924-25.pdf#page=3</v>
      </c>
      <c r="AG10" s="153" t="str">
        <f t="shared" si="10"/>
        <v>https://ia601501.us.archive.org/22/items/192425/1924-25.pdf#page=6</v>
      </c>
      <c r="AH10" s="7" t="str">
        <f t="shared" si="11"/>
        <v>https://ia601501.us.archive.org/22/items/192425/1924-25.pdf#page=3</v>
      </c>
      <c r="AI10" s="153" t="str">
        <f t="shared" si="12"/>
        <v>https://ia601501.us.archive.org/22/items/192425/1924-25.pdf#page=6</v>
      </c>
      <c r="AJ10" s="7" t="str">
        <f t="shared" si="13"/>
        <v>https://ia601501.us.archive.org/22/items/192425/1924-25.pdf#page=3</v>
      </c>
      <c r="AK10" s="152" t="str">
        <f t="shared" si="14"/>
        <v>https://ia601501.us.archive.org/22/items/192425/1924-25.pdf#page=6</v>
      </c>
      <c r="AL10" s="27" t="str">
        <f t="shared" si="22"/>
        <v>https://babel.hathitrust.org/cgi/pt?id=mdp.39015076547101;view=1up;seq=83</v>
      </c>
      <c r="AM10" s="155" t="str">
        <f t="shared" si="19"/>
        <v>https://ia601501.us.archive.org/22/items/192425/1924-25.pdf#page=7</v>
      </c>
      <c r="AN10" s="27" t="str">
        <f t="shared" si="20"/>
        <v>https://ia601501.us.archive.org/22/items/192425/1924-25.pdf#page=5</v>
      </c>
      <c r="AO10" s="152" t="str">
        <f t="shared" si="21"/>
        <v>https://ia601501.us.archive.org/22/items/192425/1924-25.pdf#page=8</v>
      </c>
      <c r="AP10" s="27" t="str">
        <f t="shared" si="15"/>
        <v>https://ia601501.us.archive.org/22/items/192425/1924-25.pdf#page=5</v>
      </c>
      <c r="AQ10" s="27" t="str">
        <f t="shared" si="16"/>
        <v>https://ia601501.us.archive.org/22/items/192425/1924-25.pdf#page=5</v>
      </c>
    </row>
    <row r="11" spans="1:43" x14ac:dyDescent="0.25">
      <c r="A11" s="27" t="s">
        <v>595</v>
      </c>
      <c r="B11" s="27" t="str">
        <f t="shared" si="0"/>
        <v>Alabama</v>
      </c>
      <c r="C11" s="27" t="str">
        <f t="shared" si="1"/>
        <v>Cherokee</v>
      </c>
      <c r="D11" s="27">
        <f>2856+460+453</f>
        <v>3769</v>
      </c>
      <c r="E11" s="27">
        <f>356+1</f>
        <v>357</v>
      </c>
      <c r="F11" s="27">
        <f t="shared" si="3"/>
        <v>4126</v>
      </c>
      <c r="G11" s="27">
        <f>133+5</f>
        <v>138</v>
      </c>
      <c r="H11" s="27">
        <f>13</f>
        <v>13</v>
      </c>
      <c r="I11" s="27">
        <f t="shared" si="2"/>
        <v>151</v>
      </c>
      <c r="J11" s="27">
        <f>270212+49956+26923</f>
        <v>347091</v>
      </c>
      <c r="K11" s="27">
        <f>24881+40</f>
        <v>24921</v>
      </c>
      <c r="L11" s="97">
        <f t="shared" si="4"/>
        <v>90.162869607367909</v>
      </c>
      <c r="M11" s="7">
        <f>4135+588+178</f>
        <v>4901</v>
      </c>
      <c r="N11" s="7">
        <f>464+1</f>
        <v>465</v>
      </c>
      <c r="O11" s="27">
        <f t="shared" si="5"/>
        <v>5366</v>
      </c>
      <c r="P11" s="27">
        <f>52640+4854</f>
        <v>57494</v>
      </c>
      <c r="Q11" s="27">
        <f>1771</f>
        <v>1771</v>
      </c>
      <c r="R11" s="115">
        <f t="shared" si="6"/>
        <v>87.06099205088664</v>
      </c>
      <c r="S11" s="7">
        <f>69927+8510</f>
        <v>78437</v>
      </c>
      <c r="T11" s="7">
        <v>1859</v>
      </c>
      <c r="U11" s="29">
        <f t="shared" si="7"/>
        <v>80296</v>
      </c>
      <c r="V11" s="27">
        <f>75+1+13</f>
        <v>89</v>
      </c>
      <c r="W11" s="27">
        <f>98775+20000</f>
        <v>118775</v>
      </c>
      <c r="X11" s="27">
        <f>16477+4000</f>
        <v>20477</v>
      </c>
      <c r="Y11" s="27">
        <f>3200</f>
        <v>3200</v>
      </c>
      <c r="Z11" s="27">
        <f>200</f>
        <v>200</v>
      </c>
      <c r="AA11" s="2">
        <f t="shared" si="8"/>
        <v>142652</v>
      </c>
      <c r="AB11" s="41">
        <v>1925</v>
      </c>
      <c r="AC11" s="27" t="s">
        <v>552</v>
      </c>
      <c r="AD11" s="157" t="str">
        <f t="shared" si="17"/>
        <v>https://ia601501.us.archive.org/22/items/192425/1924-25.pdf#page=3</v>
      </c>
      <c r="AE11" s="155" t="str">
        <f t="shared" si="18"/>
        <v>https://ia601501.us.archive.org/22/items/192425/1924-25.pdf#page=6</v>
      </c>
      <c r="AF11" s="7" t="str">
        <f t="shared" si="9"/>
        <v>https://ia601501.us.archive.org/22/items/192425/1924-25.pdf#page=3</v>
      </c>
      <c r="AG11" s="153" t="str">
        <f t="shared" si="10"/>
        <v>https://ia601501.us.archive.org/22/items/192425/1924-25.pdf#page=6</v>
      </c>
      <c r="AH11" s="7" t="str">
        <f t="shared" si="11"/>
        <v>https://ia601501.us.archive.org/22/items/192425/1924-25.pdf#page=3</v>
      </c>
      <c r="AI11" s="153" t="str">
        <f t="shared" si="12"/>
        <v>https://ia601501.us.archive.org/22/items/192425/1924-25.pdf#page=6</v>
      </c>
      <c r="AJ11" s="7" t="str">
        <f t="shared" si="13"/>
        <v>https://ia601501.us.archive.org/22/items/192425/1924-25.pdf#page=3</v>
      </c>
      <c r="AK11" s="152" t="str">
        <f t="shared" si="14"/>
        <v>https://ia601501.us.archive.org/22/items/192425/1924-25.pdf#page=6</v>
      </c>
      <c r="AL11" s="27" t="str">
        <f t="shared" si="22"/>
        <v>https://babel.hathitrust.org/cgi/pt?id=mdp.39015076547101;view=1up;seq=83</v>
      </c>
      <c r="AM11" s="155" t="str">
        <f t="shared" si="19"/>
        <v>https://ia601501.us.archive.org/22/items/192425/1924-25.pdf#page=7</v>
      </c>
      <c r="AN11" s="27" t="str">
        <f t="shared" si="20"/>
        <v>https://ia601501.us.archive.org/22/items/192425/1924-25.pdf#page=5</v>
      </c>
      <c r="AO11" s="152" t="str">
        <f t="shared" si="21"/>
        <v>https://ia601501.us.archive.org/22/items/192425/1924-25.pdf#page=8</v>
      </c>
      <c r="AP11" s="27" t="str">
        <f t="shared" si="15"/>
        <v>https://ia601501.us.archive.org/22/items/192425/1924-25.pdf#page=5</v>
      </c>
      <c r="AQ11" s="27" t="str">
        <f t="shared" si="16"/>
        <v>https://ia601501.us.archive.org/22/items/192425/1924-25.pdf#page=5</v>
      </c>
    </row>
    <row r="12" spans="1:43" x14ac:dyDescent="0.25">
      <c r="A12" s="27" t="s">
        <v>596</v>
      </c>
      <c r="B12" s="27" t="str">
        <f t="shared" si="0"/>
        <v>Alabama</v>
      </c>
      <c r="C12" s="27" t="str">
        <f t="shared" si="1"/>
        <v>Chilton/Baker</v>
      </c>
      <c r="D12" s="27">
        <f>2961+489+167</f>
        <v>3617</v>
      </c>
      <c r="E12" s="27">
        <f>941+16</f>
        <v>957</v>
      </c>
      <c r="F12" s="27">
        <f t="shared" si="3"/>
        <v>4574</v>
      </c>
      <c r="G12" s="27">
        <f>151+6</f>
        <v>157</v>
      </c>
      <c r="H12" s="27">
        <v>29</v>
      </c>
      <c r="I12" s="27">
        <f t="shared" si="2"/>
        <v>186</v>
      </c>
      <c r="J12" s="27">
        <f>361568+62890+29308</f>
        <v>453766</v>
      </c>
      <c r="K12" s="27">
        <f>98864+2510</f>
        <v>101374</v>
      </c>
      <c r="L12" s="97">
        <f t="shared" si="4"/>
        <v>121.36860515959772</v>
      </c>
      <c r="M12" s="7">
        <f>4168+725+184</f>
        <v>5077</v>
      </c>
      <c r="N12" s="7">
        <f>1113+47</f>
        <v>1160</v>
      </c>
      <c r="O12" s="27">
        <f t="shared" si="5"/>
        <v>6237</v>
      </c>
      <c r="P12" s="27">
        <f>66455+7291</f>
        <v>73746</v>
      </c>
      <c r="Q12" s="27">
        <v>7291</v>
      </c>
      <c r="R12" s="115">
        <f t="shared" si="6"/>
        <v>71.794974511902652</v>
      </c>
      <c r="S12" s="7">
        <f>120717+9951</f>
        <v>130668</v>
      </c>
      <c r="T12" s="7">
        <v>8480</v>
      </c>
      <c r="U12" s="29">
        <f t="shared" si="7"/>
        <v>139148</v>
      </c>
      <c r="V12" s="27">
        <f>66+1+18</f>
        <v>85</v>
      </c>
      <c r="W12" s="27">
        <f>147175+30000</f>
        <v>177175</v>
      </c>
      <c r="X12" s="27">
        <f>20248+3500</f>
        <v>23748</v>
      </c>
      <c r="Y12" s="27">
        <f>12775</f>
        <v>12775</v>
      </c>
      <c r="Z12" s="27">
        <f>1636</f>
        <v>1636</v>
      </c>
      <c r="AA12" s="2">
        <f t="shared" si="8"/>
        <v>215334</v>
      </c>
      <c r="AB12" s="41">
        <v>1925</v>
      </c>
      <c r="AC12" s="27" t="s">
        <v>552</v>
      </c>
      <c r="AD12" s="157" t="str">
        <f t="shared" si="17"/>
        <v>https://ia601501.us.archive.org/22/items/192425/1924-25.pdf#page=3</v>
      </c>
      <c r="AE12" s="155" t="str">
        <f t="shared" si="18"/>
        <v>https://ia601501.us.archive.org/22/items/192425/1924-25.pdf#page=6</v>
      </c>
      <c r="AF12" s="7" t="str">
        <f t="shared" si="9"/>
        <v>https://ia601501.us.archive.org/22/items/192425/1924-25.pdf#page=3</v>
      </c>
      <c r="AG12" s="153" t="str">
        <f t="shared" si="10"/>
        <v>https://ia601501.us.archive.org/22/items/192425/1924-25.pdf#page=6</v>
      </c>
      <c r="AH12" s="7" t="str">
        <f t="shared" si="11"/>
        <v>https://ia601501.us.archive.org/22/items/192425/1924-25.pdf#page=3</v>
      </c>
      <c r="AI12" s="153" t="str">
        <f t="shared" si="12"/>
        <v>https://ia601501.us.archive.org/22/items/192425/1924-25.pdf#page=6</v>
      </c>
      <c r="AJ12" s="7" t="str">
        <f t="shared" si="13"/>
        <v>https://ia601501.us.archive.org/22/items/192425/1924-25.pdf#page=3</v>
      </c>
      <c r="AK12" s="152" t="str">
        <f t="shared" si="14"/>
        <v>https://ia601501.us.archive.org/22/items/192425/1924-25.pdf#page=6</v>
      </c>
      <c r="AL12" s="27" t="str">
        <f t="shared" si="22"/>
        <v>https://babel.hathitrust.org/cgi/pt?id=mdp.39015076547101;view=1up;seq=83</v>
      </c>
      <c r="AM12" s="155" t="str">
        <f t="shared" si="19"/>
        <v>https://ia601501.us.archive.org/22/items/192425/1924-25.pdf#page=7</v>
      </c>
      <c r="AN12" s="27" t="str">
        <f t="shared" si="20"/>
        <v>https://ia601501.us.archive.org/22/items/192425/1924-25.pdf#page=5</v>
      </c>
      <c r="AO12" s="152" t="str">
        <f t="shared" si="21"/>
        <v>https://ia601501.us.archive.org/22/items/192425/1924-25.pdf#page=8</v>
      </c>
      <c r="AP12" s="27" t="str">
        <f t="shared" si="15"/>
        <v>https://ia601501.us.archive.org/22/items/192425/1924-25.pdf#page=5</v>
      </c>
      <c r="AQ12" s="27" t="str">
        <f t="shared" si="16"/>
        <v>https://ia601501.us.archive.org/22/items/192425/1924-25.pdf#page=5</v>
      </c>
    </row>
    <row r="13" spans="1:43" x14ac:dyDescent="0.25">
      <c r="A13" s="27" t="s">
        <v>597</v>
      </c>
      <c r="B13" s="27" t="str">
        <f t="shared" si="0"/>
        <v>Alabama</v>
      </c>
      <c r="C13" s="27" t="str">
        <f t="shared" si="1"/>
        <v>Choctaw</v>
      </c>
      <c r="D13" s="27">
        <f>1411+392+95</f>
        <v>1898</v>
      </c>
      <c r="E13" s="27">
        <f>1252+91</f>
        <v>1343</v>
      </c>
      <c r="F13" s="27">
        <f t="shared" si="3"/>
        <v>3241</v>
      </c>
      <c r="G13" s="27">
        <f>87+4</f>
        <v>91</v>
      </c>
      <c r="H13" s="27">
        <v>38</v>
      </c>
      <c r="I13" s="27">
        <f t="shared" ref="I13:I68" si="23">G13+H13</f>
        <v>129</v>
      </c>
      <c r="J13" s="27">
        <f>182724+62063+16829</f>
        <v>261616</v>
      </c>
      <c r="K13" s="27">
        <f>73117+7134</f>
        <v>80251</v>
      </c>
      <c r="L13" s="97">
        <f t="shared" si="4"/>
        <v>105.48195001542734</v>
      </c>
      <c r="M13" s="7">
        <f>1859+567+109</f>
        <v>2535</v>
      </c>
      <c r="N13" s="7">
        <f>2393+182</f>
        <v>2575</v>
      </c>
      <c r="O13" s="27">
        <f t="shared" si="5"/>
        <v>5110</v>
      </c>
      <c r="P13" s="27">
        <f>52068+5860+11310+7035+8916</f>
        <v>85189</v>
      </c>
      <c r="Q13" s="27">
        <v>3657</v>
      </c>
      <c r="R13" s="115">
        <f t="shared" si="6"/>
        <v>130.58702120501414</v>
      </c>
      <c r="S13" s="7">
        <f>75796+5992</f>
        <v>81788</v>
      </c>
      <c r="T13" s="7">
        <v>3931</v>
      </c>
      <c r="U13" s="29">
        <f t="shared" si="7"/>
        <v>85719</v>
      </c>
      <c r="V13" s="27">
        <f>51+3+18</f>
        <v>72</v>
      </c>
      <c r="W13" s="27">
        <f>100350+20000</f>
        <v>120350</v>
      </c>
      <c r="X13" s="27">
        <f>46000+1500</f>
        <v>47500</v>
      </c>
      <c r="Y13" s="27">
        <f>9530</f>
        <v>9530</v>
      </c>
      <c r="Z13" s="27">
        <f>950</f>
        <v>950</v>
      </c>
      <c r="AA13" s="2">
        <f t="shared" si="8"/>
        <v>178330</v>
      </c>
      <c r="AB13" s="41">
        <v>1925</v>
      </c>
      <c r="AC13" s="27" t="s">
        <v>552</v>
      </c>
      <c r="AD13" s="157" t="str">
        <f t="shared" si="17"/>
        <v>https://ia601501.us.archive.org/22/items/192425/1924-25.pdf#page=3</v>
      </c>
      <c r="AE13" s="155" t="str">
        <f t="shared" si="18"/>
        <v>https://ia601501.us.archive.org/22/items/192425/1924-25.pdf#page=6</v>
      </c>
      <c r="AF13" s="7" t="str">
        <f t="shared" si="9"/>
        <v>https://ia601501.us.archive.org/22/items/192425/1924-25.pdf#page=3</v>
      </c>
      <c r="AG13" s="153" t="str">
        <f t="shared" si="10"/>
        <v>https://ia601501.us.archive.org/22/items/192425/1924-25.pdf#page=6</v>
      </c>
      <c r="AH13" s="7" t="str">
        <f t="shared" si="11"/>
        <v>https://ia601501.us.archive.org/22/items/192425/1924-25.pdf#page=3</v>
      </c>
      <c r="AI13" s="153" t="str">
        <f t="shared" si="12"/>
        <v>https://ia601501.us.archive.org/22/items/192425/1924-25.pdf#page=6</v>
      </c>
      <c r="AJ13" s="7" t="str">
        <f t="shared" si="13"/>
        <v>https://ia601501.us.archive.org/22/items/192425/1924-25.pdf#page=3</v>
      </c>
      <c r="AK13" s="152" t="str">
        <f t="shared" si="14"/>
        <v>https://ia601501.us.archive.org/22/items/192425/1924-25.pdf#page=6</v>
      </c>
      <c r="AL13" s="27" t="s">
        <v>2711</v>
      </c>
      <c r="AM13" s="155" t="str">
        <f t="shared" si="19"/>
        <v>https://ia601501.us.archive.org/22/items/192425/1924-25.pdf#page=7</v>
      </c>
      <c r="AN13" s="27" t="str">
        <f t="shared" si="20"/>
        <v>https://ia601501.us.archive.org/22/items/192425/1924-25.pdf#page=5</v>
      </c>
      <c r="AO13" s="152" t="str">
        <f t="shared" si="21"/>
        <v>https://ia601501.us.archive.org/22/items/192425/1924-25.pdf#page=8</v>
      </c>
      <c r="AP13" s="27" t="str">
        <f t="shared" si="15"/>
        <v>https://ia601501.us.archive.org/22/items/192425/1924-25.pdf#page=5</v>
      </c>
      <c r="AQ13" s="27" t="str">
        <f t="shared" si="16"/>
        <v>https://ia601501.us.archive.org/22/items/192425/1924-25.pdf#page=5</v>
      </c>
    </row>
    <row r="14" spans="1:43" s="158" customFormat="1" x14ac:dyDescent="0.25">
      <c r="A14" s="158" t="s">
        <v>598</v>
      </c>
      <c r="B14" s="158" t="str">
        <f t="shared" si="0"/>
        <v>Alabama</v>
      </c>
      <c r="C14" s="158" t="str">
        <f t="shared" si="1"/>
        <v>Clarke</v>
      </c>
      <c r="D14" s="158">
        <f>1820+212+174+325+60+129+129+88</f>
        <v>2937</v>
      </c>
      <c r="E14" s="158">
        <f>1402+47+4</f>
        <v>1453</v>
      </c>
      <c r="F14" s="158">
        <f t="shared" si="3"/>
        <v>4390</v>
      </c>
      <c r="G14" s="158">
        <f>94+8+10+5+5</f>
        <v>122</v>
      </c>
      <c r="H14" s="158">
        <f>31+2</f>
        <v>33</v>
      </c>
      <c r="I14" s="158">
        <f t="shared" si="23"/>
        <v>155</v>
      </c>
      <c r="J14" s="158">
        <f>218448+36732+30651+48811+10351+22776+22762+15305</f>
        <v>405836</v>
      </c>
      <c r="K14" s="158">
        <f>97593+5201+598</f>
        <v>103392</v>
      </c>
      <c r="L14" s="159">
        <f t="shared" si="4"/>
        <v>115.99726651480638</v>
      </c>
      <c r="M14" s="160">
        <f>2093+232+228+425+61+172+150+103</f>
        <v>3464</v>
      </c>
      <c r="N14" s="160">
        <f>1676+66+5</f>
        <v>1747</v>
      </c>
      <c r="O14" s="158">
        <f t="shared" si="5"/>
        <v>5211</v>
      </c>
      <c r="P14" s="158">
        <f>44641+5322</f>
        <v>49963</v>
      </c>
      <c r="Q14" s="158">
        <f>3354+300</f>
        <v>3654</v>
      </c>
      <c r="R14" s="161">
        <f t="shared" si="6"/>
        <v>59.64211734042955</v>
      </c>
      <c r="S14" s="160">
        <f>85500+13403+11992+8912+12176</f>
        <v>131983</v>
      </c>
      <c r="T14" s="160">
        <f>3582+2360</f>
        <v>5942</v>
      </c>
      <c r="U14" s="162">
        <f>S14+T14</f>
        <v>137925</v>
      </c>
      <c r="V14" s="158">
        <v>104</v>
      </c>
      <c r="W14" s="158">
        <f>85000+10500+15000+10000+20000</f>
        <v>140500</v>
      </c>
      <c r="X14" s="158">
        <f>15000+3700+3000+2000+2700</f>
        <v>26400</v>
      </c>
      <c r="Y14" s="158">
        <f>15000+2000</f>
        <v>17000</v>
      </c>
      <c r="Z14" s="158">
        <f>2500+50</f>
        <v>2550</v>
      </c>
      <c r="AA14" s="162">
        <f t="shared" si="8"/>
        <v>186450</v>
      </c>
      <c r="AB14" s="163">
        <v>1925</v>
      </c>
      <c r="AC14" s="158" t="s">
        <v>552</v>
      </c>
      <c r="AD14" s="164" t="s">
        <v>2684</v>
      </c>
      <c r="AE14" s="158" t="s">
        <v>2686</v>
      </c>
      <c r="AF14" s="160" t="str">
        <f t="shared" si="9"/>
        <v>https://ia601501.us.archive.org/22/items/192425/1924-25.pdf#page=9</v>
      </c>
      <c r="AG14" s="160" t="str">
        <f t="shared" si="10"/>
        <v>https://ia601501.us.archive.org/22/items/192425/1924-25.pdf#page=13</v>
      </c>
      <c r="AH14" s="160" t="str">
        <f t="shared" si="11"/>
        <v>https://ia601501.us.archive.org/22/items/192425/1924-25.pdf#page=9</v>
      </c>
      <c r="AI14" s="160" t="str">
        <f t="shared" si="12"/>
        <v>https://ia601501.us.archive.org/22/items/192425/1924-25.pdf#page=13</v>
      </c>
      <c r="AJ14" s="160" t="str">
        <f t="shared" si="13"/>
        <v>https://ia601501.us.archive.org/22/items/192425/1924-25.pdf#page=9</v>
      </c>
      <c r="AK14" s="158" t="str">
        <f t="shared" si="14"/>
        <v>https://ia601501.us.archive.org/22/items/192425/1924-25.pdf#page=13</v>
      </c>
      <c r="AL14" s="158" t="str">
        <f t="shared" si="22"/>
        <v>https://babel.hathitrust.org/cgi/pt?id=mdp.39015076547101;view=1up;seq=103</v>
      </c>
      <c r="AM14" s="158" t="s">
        <v>2687</v>
      </c>
      <c r="AN14" s="158" t="s">
        <v>2685</v>
      </c>
      <c r="AO14" s="158" t="s">
        <v>2688</v>
      </c>
      <c r="AP14" s="158" t="str">
        <f t="shared" si="15"/>
        <v>https://ia601501.us.archive.org/22/items/192425/1924-25.pdf#page=11</v>
      </c>
      <c r="AQ14" s="158" t="str">
        <f t="shared" si="16"/>
        <v>https://ia601501.us.archive.org/22/items/192425/1924-25.pdf#page=11</v>
      </c>
    </row>
    <row r="15" spans="1:43" x14ac:dyDescent="0.25">
      <c r="A15" s="27" t="s">
        <v>599</v>
      </c>
      <c r="B15" s="27" t="str">
        <f t="shared" si="0"/>
        <v>Alabama</v>
      </c>
      <c r="C15" s="27" t="str">
        <f t="shared" si="1"/>
        <v>Clay</v>
      </c>
      <c r="D15" s="27">
        <f>2430+165+504+69+184+121</f>
        <v>3473</v>
      </c>
      <c r="E15" s="27">
        <f>343+52+3</f>
        <v>398</v>
      </c>
      <c r="F15" s="27">
        <f t="shared" si="3"/>
        <v>3871</v>
      </c>
      <c r="G15" s="27">
        <f>112+7+6+6</f>
        <v>131</v>
      </c>
      <c r="H15" s="27">
        <f>7+1</f>
        <v>8</v>
      </c>
      <c r="I15" s="27">
        <f t="shared" si="23"/>
        <v>139</v>
      </c>
      <c r="J15" s="27">
        <f>224777+29290+55237+12231+32991+21163</f>
        <v>375689</v>
      </c>
      <c r="K15" s="27">
        <f>24006+5213+225</f>
        <v>29444</v>
      </c>
      <c r="L15" s="97">
        <f t="shared" si="4"/>
        <v>104.65848617928184</v>
      </c>
      <c r="M15" s="7">
        <f>3252+217+698+84+207+149</f>
        <v>4607</v>
      </c>
      <c r="N15" s="7">
        <f>556+82+4</f>
        <v>642</v>
      </c>
      <c r="O15" s="27">
        <f t="shared" si="5"/>
        <v>5249</v>
      </c>
      <c r="P15" s="27">
        <f>39255+5123+6298+8466</f>
        <v>59142</v>
      </c>
      <c r="Q15" s="27">
        <f>1233+166</f>
        <v>1399</v>
      </c>
      <c r="R15" s="115">
        <f t="shared" si="6"/>
        <v>83.232001243325598</v>
      </c>
      <c r="S15" s="7">
        <f>60811+7120+8721+13745</f>
        <v>90397</v>
      </c>
      <c r="T15" s="7">
        <f>1581+166</f>
        <v>1747</v>
      </c>
      <c r="U15" s="2">
        <f t="shared" ref="U15:U68" si="24">S15+T15</f>
        <v>92144</v>
      </c>
      <c r="V15" s="27">
        <v>67</v>
      </c>
      <c r="W15" s="27">
        <f>110000+15000+12000+70000</f>
        <v>207000</v>
      </c>
      <c r="X15" s="27">
        <f>15000+2000+4000+6200</f>
        <v>27200</v>
      </c>
      <c r="Y15" s="27">
        <f>2000+1500</f>
        <v>3500</v>
      </c>
      <c r="Z15" s="27">
        <f>500+500</f>
        <v>1000</v>
      </c>
      <c r="AA15" s="2">
        <f t="shared" si="8"/>
        <v>238700</v>
      </c>
      <c r="AB15" s="41">
        <v>1925</v>
      </c>
      <c r="AC15" s="27" t="s">
        <v>552</v>
      </c>
      <c r="AD15" s="157" t="str">
        <f t="shared" si="17"/>
        <v>https://ia601501.us.archive.org/22/items/192425/1924-25.pdf#page=9</v>
      </c>
      <c r="AE15" s="155" t="str">
        <f t="shared" si="18"/>
        <v>https://ia601501.us.archive.org/22/items/192425/1924-25.pdf#page=13</v>
      </c>
      <c r="AF15" s="7" t="str">
        <f t="shared" si="9"/>
        <v>https://ia601501.us.archive.org/22/items/192425/1924-25.pdf#page=9</v>
      </c>
      <c r="AG15" s="153" t="str">
        <f t="shared" si="10"/>
        <v>https://ia601501.us.archive.org/22/items/192425/1924-25.pdf#page=13</v>
      </c>
      <c r="AH15" s="7" t="str">
        <f t="shared" si="11"/>
        <v>https://ia601501.us.archive.org/22/items/192425/1924-25.pdf#page=9</v>
      </c>
      <c r="AI15" s="153" t="str">
        <f t="shared" si="12"/>
        <v>https://ia601501.us.archive.org/22/items/192425/1924-25.pdf#page=13</v>
      </c>
      <c r="AJ15" s="7" t="str">
        <f t="shared" si="13"/>
        <v>https://ia601501.us.archive.org/22/items/192425/1924-25.pdf#page=9</v>
      </c>
      <c r="AK15" s="152" t="str">
        <f t="shared" si="14"/>
        <v>https://ia601501.us.archive.org/22/items/192425/1924-25.pdf#page=13</v>
      </c>
      <c r="AL15" s="27" t="str">
        <f t="shared" si="22"/>
        <v>https://babel.hathitrust.org/cgi/pt?id=mdp.39015076547101;view=1up;seq=103</v>
      </c>
      <c r="AM15" s="155" t="str">
        <f t="shared" si="19"/>
        <v>https://ia601501.us.archive.org/22/items/192425/1924-25.pdf#page=15</v>
      </c>
      <c r="AN15" t="str">
        <f>AN14</f>
        <v>https://ia601501.us.archive.org/22/items/192425/1924-25.pdf#page=11</v>
      </c>
      <c r="AO15" s="152" t="str">
        <f t="shared" si="21"/>
        <v>https://ia601501.us.archive.org/22/items/192425/1924-25.pdf#page=16</v>
      </c>
      <c r="AP15" s="27" t="str">
        <f t="shared" si="15"/>
        <v>https://ia601501.us.archive.org/22/items/192425/1924-25.pdf#page=11</v>
      </c>
      <c r="AQ15" s="27" t="str">
        <f t="shared" si="16"/>
        <v>https://ia601501.us.archive.org/22/items/192425/1924-25.pdf#page=11</v>
      </c>
    </row>
    <row r="16" spans="1:43" x14ac:dyDescent="0.25">
      <c r="A16" s="27" t="s">
        <v>600</v>
      </c>
      <c r="B16" s="27" t="str">
        <f t="shared" si="0"/>
        <v>Alabama</v>
      </c>
      <c r="C16" s="27" t="str">
        <f t="shared" si="1"/>
        <v>Cleburne</v>
      </c>
      <c r="D16" s="27">
        <f>2105+145+185+132</f>
        <v>2567</v>
      </c>
      <c r="E16" s="27">
        <f>43+45+4</f>
        <v>92</v>
      </c>
      <c r="F16" s="27">
        <f t="shared" si="3"/>
        <v>2659</v>
      </c>
      <c r="G16" s="27">
        <f>87+4+5</f>
        <v>96</v>
      </c>
      <c r="H16" s="27">
        <f>2+2</f>
        <v>4</v>
      </c>
      <c r="I16" s="27">
        <f t="shared" si="23"/>
        <v>100</v>
      </c>
      <c r="J16" s="27">
        <f>191541+25627+20344+23164</f>
        <v>260676</v>
      </c>
      <c r="K16" s="27">
        <f>3168+5896+576</f>
        <v>9640</v>
      </c>
      <c r="L16" s="97">
        <f t="shared" si="4"/>
        <v>101.66077472734111</v>
      </c>
      <c r="M16" s="7">
        <f>2699+399+282+679+86+192+284</f>
        <v>4621</v>
      </c>
      <c r="N16" s="7">
        <f>58+71+7</f>
        <v>136</v>
      </c>
      <c r="O16" s="27">
        <f t="shared" si="5"/>
        <v>4757</v>
      </c>
      <c r="P16" s="27">
        <f>33067+2831+5242</f>
        <v>41140</v>
      </c>
      <c r="Q16" s="27">
        <f>437+693</f>
        <v>1130</v>
      </c>
      <c r="R16" s="115">
        <f t="shared" si="6"/>
        <v>83.158917711123266</v>
      </c>
      <c r="S16" s="7">
        <f>54118+4561+8001</f>
        <v>66680</v>
      </c>
      <c r="T16" s="7">
        <f>462+726</f>
        <v>1188</v>
      </c>
      <c r="U16" s="2">
        <f t="shared" si="24"/>
        <v>67868</v>
      </c>
      <c r="V16" s="27">
        <v>66</v>
      </c>
      <c r="W16" s="27">
        <f>65000+10000+12000</f>
        <v>87000</v>
      </c>
      <c r="X16" s="27">
        <f>8620+2000+4200</f>
        <v>14820</v>
      </c>
      <c r="Y16" s="27">
        <f>50+600</f>
        <v>650</v>
      </c>
      <c r="Z16" s="27">
        <f>5+100</f>
        <v>105</v>
      </c>
      <c r="AA16" s="2">
        <f t="shared" si="8"/>
        <v>102575</v>
      </c>
      <c r="AB16" s="41">
        <v>1925</v>
      </c>
      <c r="AC16" s="27" t="s">
        <v>552</v>
      </c>
      <c r="AD16" s="157" t="str">
        <f t="shared" si="17"/>
        <v>https://ia601501.us.archive.org/22/items/192425/1924-25.pdf#page=9</v>
      </c>
      <c r="AE16" s="155" t="str">
        <f t="shared" si="18"/>
        <v>https://ia601501.us.archive.org/22/items/192425/1924-25.pdf#page=13</v>
      </c>
      <c r="AF16" s="7" t="str">
        <f t="shared" si="9"/>
        <v>https://ia601501.us.archive.org/22/items/192425/1924-25.pdf#page=9</v>
      </c>
      <c r="AG16" s="153" t="str">
        <f t="shared" si="10"/>
        <v>https://ia601501.us.archive.org/22/items/192425/1924-25.pdf#page=13</v>
      </c>
      <c r="AH16" s="7" t="str">
        <f t="shared" si="11"/>
        <v>https://ia601501.us.archive.org/22/items/192425/1924-25.pdf#page=9</v>
      </c>
      <c r="AI16" s="153" t="str">
        <f t="shared" si="12"/>
        <v>https://ia601501.us.archive.org/22/items/192425/1924-25.pdf#page=13</v>
      </c>
      <c r="AJ16" s="7" t="str">
        <f t="shared" si="13"/>
        <v>https://ia601501.us.archive.org/22/items/192425/1924-25.pdf#page=9</v>
      </c>
      <c r="AK16" s="152" t="str">
        <f t="shared" si="14"/>
        <v>https://ia601501.us.archive.org/22/items/192425/1924-25.pdf#page=13</v>
      </c>
      <c r="AL16" s="27" t="str">
        <f t="shared" si="22"/>
        <v>https://babel.hathitrust.org/cgi/pt?id=mdp.39015076547101;view=1up;seq=103</v>
      </c>
      <c r="AM16" s="155" t="str">
        <f t="shared" si="19"/>
        <v>https://ia601501.us.archive.org/22/items/192425/1924-25.pdf#page=15</v>
      </c>
      <c r="AN16" s="27" t="str">
        <f t="shared" ref="AN16:AN68" si="25">AN15</f>
        <v>https://ia601501.us.archive.org/22/items/192425/1924-25.pdf#page=11</v>
      </c>
      <c r="AO16" s="152" t="str">
        <f t="shared" si="21"/>
        <v>https://ia601501.us.archive.org/22/items/192425/1924-25.pdf#page=16</v>
      </c>
      <c r="AP16" s="27" t="str">
        <f t="shared" si="15"/>
        <v>https://ia601501.us.archive.org/22/items/192425/1924-25.pdf#page=11</v>
      </c>
      <c r="AQ16" s="27" t="str">
        <f t="shared" si="16"/>
        <v>https://ia601501.us.archive.org/22/items/192425/1924-25.pdf#page=11</v>
      </c>
    </row>
    <row r="17" spans="1:43" x14ac:dyDescent="0.25">
      <c r="A17" s="27" t="s">
        <v>601</v>
      </c>
      <c r="B17" s="27" t="str">
        <f t="shared" si="0"/>
        <v>Alabama</v>
      </c>
      <c r="C17" s="27" t="str">
        <f t="shared" si="1"/>
        <v>Coffee</v>
      </c>
      <c r="D17" s="27">
        <f>3226+308+207+458+69+157+245</f>
        <v>4670</v>
      </c>
      <c r="E17" s="27">
        <f>901+141+77+14+8+2</f>
        <v>1143</v>
      </c>
      <c r="F17" s="27">
        <f t="shared" si="3"/>
        <v>5813</v>
      </c>
      <c r="G17" s="27">
        <f>165+12+14+8</f>
        <v>199</v>
      </c>
      <c r="H17" s="27">
        <f>30+3+2</f>
        <v>35</v>
      </c>
      <c r="I17" s="27">
        <f t="shared" si="23"/>
        <v>234</v>
      </c>
      <c r="J17" s="27">
        <f>395179+55456+36269+55668+12384+27477+42967</f>
        <v>625400</v>
      </c>
      <c r="K17" s="27">
        <f>86629+19704+8984+2195+1118+232</f>
        <v>118862</v>
      </c>
      <c r="L17" s="97">
        <f t="shared" si="4"/>
        <v>128.03406158610011</v>
      </c>
      <c r="M17" s="7">
        <f>6559+485+474+284</f>
        <v>7802</v>
      </c>
      <c r="N17" s="7">
        <f>1205+235+127+49+13+2</f>
        <v>1631</v>
      </c>
      <c r="O17" s="27">
        <f t="shared" si="5"/>
        <v>9433</v>
      </c>
      <c r="P17" s="27">
        <f>65889+9140+7345+9430</f>
        <v>91804</v>
      </c>
      <c r="Q17" s="27">
        <f>8681+1435+720</f>
        <v>10836</v>
      </c>
      <c r="R17" s="115">
        <f t="shared" si="6"/>
        <v>68.518091701325574</v>
      </c>
      <c r="S17" s="7">
        <f>114485+11040+13514+12233</f>
        <v>151272</v>
      </c>
      <c r="T17" s="7">
        <f>11108+1470+980</f>
        <v>13558</v>
      </c>
      <c r="U17" s="2">
        <f t="shared" si="24"/>
        <v>164830</v>
      </c>
      <c r="V17" s="27">
        <v>95</v>
      </c>
      <c r="W17" s="27">
        <f>114971+60000+65000+50000</f>
        <v>289971</v>
      </c>
      <c r="X17" s="27">
        <f>21498+4000+3400+5000</f>
        <v>33898</v>
      </c>
      <c r="Y17" s="27">
        <f>23325+3000+1250</f>
        <v>27575</v>
      </c>
      <c r="Z17" s="27">
        <f>6200+300+100</f>
        <v>6600</v>
      </c>
      <c r="AA17" s="2">
        <f t="shared" si="8"/>
        <v>358044</v>
      </c>
      <c r="AB17" s="41">
        <v>1925</v>
      </c>
      <c r="AC17" s="27" t="s">
        <v>552</v>
      </c>
      <c r="AD17" s="157" t="str">
        <f t="shared" si="17"/>
        <v>https://ia601501.us.archive.org/22/items/192425/1924-25.pdf#page=9</v>
      </c>
      <c r="AE17" s="155" t="str">
        <f t="shared" si="18"/>
        <v>https://ia601501.us.archive.org/22/items/192425/1924-25.pdf#page=13</v>
      </c>
      <c r="AF17" s="7" t="str">
        <f t="shared" si="9"/>
        <v>https://ia601501.us.archive.org/22/items/192425/1924-25.pdf#page=9</v>
      </c>
      <c r="AG17" s="153" t="str">
        <f t="shared" si="10"/>
        <v>https://ia601501.us.archive.org/22/items/192425/1924-25.pdf#page=13</v>
      </c>
      <c r="AH17" s="7" t="str">
        <f t="shared" si="11"/>
        <v>https://ia601501.us.archive.org/22/items/192425/1924-25.pdf#page=9</v>
      </c>
      <c r="AI17" s="153" t="str">
        <f t="shared" si="12"/>
        <v>https://ia601501.us.archive.org/22/items/192425/1924-25.pdf#page=13</v>
      </c>
      <c r="AJ17" s="7" t="str">
        <f t="shared" si="13"/>
        <v>https://ia601501.us.archive.org/22/items/192425/1924-25.pdf#page=9</v>
      </c>
      <c r="AK17" s="152" t="str">
        <f t="shared" si="14"/>
        <v>https://ia601501.us.archive.org/22/items/192425/1924-25.pdf#page=13</v>
      </c>
      <c r="AL17" s="27" t="str">
        <f t="shared" si="22"/>
        <v>https://babel.hathitrust.org/cgi/pt?id=mdp.39015076547101;view=1up;seq=103</v>
      </c>
      <c r="AM17" s="155" t="str">
        <f t="shared" si="19"/>
        <v>https://ia601501.us.archive.org/22/items/192425/1924-25.pdf#page=15</v>
      </c>
      <c r="AN17" s="27" t="str">
        <f t="shared" si="25"/>
        <v>https://ia601501.us.archive.org/22/items/192425/1924-25.pdf#page=11</v>
      </c>
      <c r="AO17" s="152" t="str">
        <f t="shared" si="21"/>
        <v>https://ia601501.us.archive.org/22/items/192425/1924-25.pdf#page=16</v>
      </c>
      <c r="AP17" s="27" t="str">
        <f t="shared" si="15"/>
        <v>https://ia601501.us.archive.org/22/items/192425/1924-25.pdf#page=11</v>
      </c>
      <c r="AQ17" s="27" t="str">
        <f t="shared" si="16"/>
        <v>https://ia601501.us.archive.org/22/items/192425/1924-25.pdf#page=11</v>
      </c>
    </row>
    <row r="18" spans="1:43" x14ac:dyDescent="0.25">
      <c r="A18" s="27" t="s">
        <v>602</v>
      </c>
      <c r="B18" s="27" t="str">
        <f t="shared" si="0"/>
        <v>Alabama</v>
      </c>
      <c r="C18" s="27" t="str">
        <f t="shared" si="1"/>
        <v>Colbert</v>
      </c>
      <c r="D18" s="27">
        <f>1768+698+481+261+402+290+135</f>
        <v>4035</v>
      </c>
      <c r="E18" s="27">
        <f>553+223+176+2+55+78</f>
        <v>1087</v>
      </c>
      <c r="F18" s="27">
        <f t="shared" si="3"/>
        <v>5122</v>
      </c>
      <c r="G18" s="27">
        <f>105+31+22+6</f>
        <v>164</v>
      </c>
      <c r="H18" s="27">
        <f>26+7+9</f>
        <v>42</v>
      </c>
      <c r="I18" s="27">
        <f t="shared" si="23"/>
        <v>206</v>
      </c>
      <c r="J18" s="27">
        <f>215685+122105+84185+31852+70395+50850+23948</f>
        <v>599020</v>
      </c>
      <c r="K18" s="27">
        <f>55293+39052+30824+199+9652+13684</f>
        <v>148704</v>
      </c>
      <c r="L18" s="97">
        <f t="shared" si="4"/>
        <v>145.98281921124561</v>
      </c>
      <c r="M18" s="7">
        <f>3373+988+620+507+494+330+174</f>
        <v>6486</v>
      </c>
      <c r="N18" s="7">
        <f>1077+365+213+3+78+101</f>
        <v>1837</v>
      </c>
      <c r="O18" s="27">
        <f t="shared" si="5"/>
        <v>8323</v>
      </c>
      <c r="P18" s="27">
        <f>47000+27279+14145+7227</f>
        <v>95651</v>
      </c>
      <c r="Q18" s="27">
        <f>7831+2993+4500</f>
        <v>15324</v>
      </c>
      <c r="R18" s="115">
        <f t="shared" si="6"/>
        <v>73.805067629699622</v>
      </c>
      <c r="S18" s="7">
        <f>76875+41028+22977+9436</f>
        <v>150316</v>
      </c>
      <c r="T18" s="7">
        <f>9422+4173+5825</f>
        <v>19420</v>
      </c>
      <c r="U18" s="2">
        <f t="shared" si="24"/>
        <v>169736</v>
      </c>
      <c r="V18" s="27">
        <v>63</v>
      </c>
      <c r="W18" s="27">
        <f>140000+150000+275000+20000</f>
        <v>585000</v>
      </c>
      <c r="X18" s="27">
        <f>15000+20000+25000+3000</f>
        <v>63000</v>
      </c>
      <c r="Y18" s="27">
        <f>24000+25000+25000</f>
        <v>74000</v>
      </c>
      <c r="Z18" s="27">
        <f>4000+3000+4000</f>
        <v>11000</v>
      </c>
      <c r="AA18" s="2">
        <f t="shared" si="8"/>
        <v>733000</v>
      </c>
      <c r="AB18" s="41">
        <v>1925</v>
      </c>
      <c r="AC18" s="27" t="s">
        <v>552</v>
      </c>
      <c r="AD18" s="157" t="str">
        <f t="shared" si="17"/>
        <v>https://ia601501.us.archive.org/22/items/192425/1924-25.pdf#page=9</v>
      </c>
      <c r="AE18" s="155" t="str">
        <f t="shared" si="18"/>
        <v>https://ia601501.us.archive.org/22/items/192425/1924-25.pdf#page=13</v>
      </c>
      <c r="AF18" s="7" t="str">
        <f t="shared" si="9"/>
        <v>https://ia601501.us.archive.org/22/items/192425/1924-25.pdf#page=9</v>
      </c>
      <c r="AG18" s="153" t="str">
        <f t="shared" si="10"/>
        <v>https://ia601501.us.archive.org/22/items/192425/1924-25.pdf#page=13</v>
      </c>
      <c r="AH18" s="7" t="str">
        <f t="shared" si="11"/>
        <v>https://ia601501.us.archive.org/22/items/192425/1924-25.pdf#page=9</v>
      </c>
      <c r="AI18" s="153" t="str">
        <f t="shared" si="12"/>
        <v>https://ia601501.us.archive.org/22/items/192425/1924-25.pdf#page=13</v>
      </c>
      <c r="AJ18" s="7" t="str">
        <f t="shared" si="13"/>
        <v>https://ia601501.us.archive.org/22/items/192425/1924-25.pdf#page=9</v>
      </c>
      <c r="AK18" s="152" t="str">
        <f t="shared" si="14"/>
        <v>https://ia601501.us.archive.org/22/items/192425/1924-25.pdf#page=13</v>
      </c>
      <c r="AL18" s="27" t="str">
        <f t="shared" si="22"/>
        <v>https://babel.hathitrust.org/cgi/pt?id=mdp.39015076547101;view=1up;seq=103</v>
      </c>
      <c r="AM18" s="155" t="str">
        <f t="shared" si="19"/>
        <v>https://ia601501.us.archive.org/22/items/192425/1924-25.pdf#page=15</v>
      </c>
      <c r="AN18" s="27" t="str">
        <f t="shared" si="25"/>
        <v>https://ia601501.us.archive.org/22/items/192425/1924-25.pdf#page=11</v>
      </c>
      <c r="AO18" s="152" t="str">
        <f t="shared" si="21"/>
        <v>https://ia601501.us.archive.org/22/items/192425/1924-25.pdf#page=16</v>
      </c>
      <c r="AP18" s="27" t="str">
        <f t="shared" si="15"/>
        <v>https://ia601501.us.archive.org/22/items/192425/1924-25.pdf#page=11</v>
      </c>
      <c r="AQ18" s="27" t="str">
        <f t="shared" si="16"/>
        <v>https://ia601501.us.archive.org/22/items/192425/1924-25.pdf#page=11</v>
      </c>
    </row>
    <row r="19" spans="1:43" x14ac:dyDescent="0.25">
      <c r="A19" s="27" t="s">
        <v>603</v>
      </c>
      <c r="B19" s="27" t="str">
        <f t="shared" si="0"/>
        <v>Alabama</v>
      </c>
      <c r="C19" s="27" t="str">
        <f t="shared" si="1"/>
        <v>Conecuh</v>
      </c>
      <c r="D19" s="27">
        <f>1798+229+462+41+78+102</f>
        <v>2710</v>
      </c>
      <c r="E19" s="27">
        <f>2297+1619</f>
        <v>3916</v>
      </c>
      <c r="F19" s="27">
        <f t="shared" si="3"/>
        <v>6626</v>
      </c>
      <c r="G19" s="27">
        <f>121+8+4+6</f>
        <v>139</v>
      </c>
      <c r="H19" s="27">
        <f>54</f>
        <v>54</v>
      </c>
      <c r="I19" s="27">
        <f t="shared" si="23"/>
        <v>193</v>
      </c>
      <c r="J19" s="27">
        <f>198697+40007+61219+7192+13646+18076</f>
        <v>338837</v>
      </c>
      <c r="K19" s="27">
        <f>134982+1619</f>
        <v>136601</v>
      </c>
      <c r="L19" s="97">
        <f t="shared" si="4"/>
        <v>71.753395713854516</v>
      </c>
      <c r="M19" s="7">
        <f>2579+245+645+44+89+112</f>
        <v>3714</v>
      </c>
      <c r="N19" s="7">
        <f>2947+58</f>
        <v>3005</v>
      </c>
      <c r="O19" s="27">
        <f t="shared" si="5"/>
        <v>6719</v>
      </c>
      <c r="P19" s="27">
        <f>38278+4635+5138+9019</f>
        <v>57070</v>
      </c>
      <c r="Q19" s="27">
        <v>8128</v>
      </c>
      <c r="R19" s="115">
        <f t="shared" si="6"/>
        <v>94.15957757588437</v>
      </c>
      <c r="S19" s="7">
        <f>90378+8759+6316+13171</f>
        <v>118624</v>
      </c>
      <c r="T19" s="7">
        <f>10666</f>
        <v>10666</v>
      </c>
      <c r="U19" s="2">
        <f t="shared" si="24"/>
        <v>129290</v>
      </c>
      <c r="V19" s="27">
        <v>97</v>
      </c>
      <c r="W19" s="27">
        <f>81875+65000+22500+25000</f>
        <v>194375</v>
      </c>
      <c r="X19" s="27">
        <f>12675+7000+3250+3000</f>
        <v>25925</v>
      </c>
      <c r="Y19" s="27">
        <f>28650</f>
        <v>28650</v>
      </c>
      <c r="Z19" s="27">
        <f>1875</f>
        <v>1875</v>
      </c>
      <c r="AA19" s="2">
        <f t="shared" si="8"/>
        <v>250825</v>
      </c>
      <c r="AB19" s="41">
        <v>1925</v>
      </c>
      <c r="AC19" s="27" t="s">
        <v>552</v>
      </c>
      <c r="AD19" s="157" t="str">
        <f t="shared" si="17"/>
        <v>https://ia601501.us.archive.org/22/items/192425/1924-25.pdf#page=9</v>
      </c>
      <c r="AE19" s="155" t="str">
        <f t="shared" si="18"/>
        <v>https://ia601501.us.archive.org/22/items/192425/1924-25.pdf#page=13</v>
      </c>
      <c r="AF19" s="7" t="str">
        <f t="shared" si="9"/>
        <v>https://ia601501.us.archive.org/22/items/192425/1924-25.pdf#page=9</v>
      </c>
      <c r="AG19" s="153" t="str">
        <f t="shared" si="10"/>
        <v>https://ia601501.us.archive.org/22/items/192425/1924-25.pdf#page=13</v>
      </c>
      <c r="AH19" s="7" t="str">
        <f t="shared" si="11"/>
        <v>https://ia601501.us.archive.org/22/items/192425/1924-25.pdf#page=9</v>
      </c>
      <c r="AI19" s="153" t="str">
        <f t="shared" si="12"/>
        <v>https://ia601501.us.archive.org/22/items/192425/1924-25.pdf#page=13</v>
      </c>
      <c r="AJ19" s="7" t="str">
        <f t="shared" si="13"/>
        <v>https://ia601501.us.archive.org/22/items/192425/1924-25.pdf#page=9</v>
      </c>
      <c r="AK19" s="152" t="str">
        <f t="shared" si="14"/>
        <v>https://ia601501.us.archive.org/22/items/192425/1924-25.pdf#page=13</v>
      </c>
      <c r="AL19" s="27" t="str">
        <f t="shared" si="22"/>
        <v>https://babel.hathitrust.org/cgi/pt?id=mdp.39015076547101;view=1up;seq=103</v>
      </c>
      <c r="AM19" s="155" t="str">
        <f t="shared" si="19"/>
        <v>https://ia601501.us.archive.org/22/items/192425/1924-25.pdf#page=15</v>
      </c>
      <c r="AN19" s="27" t="str">
        <f t="shared" si="25"/>
        <v>https://ia601501.us.archive.org/22/items/192425/1924-25.pdf#page=11</v>
      </c>
      <c r="AO19" s="152" t="str">
        <f t="shared" si="21"/>
        <v>https://ia601501.us.archive.org/22/items/192425/1924-25.pdf#page=16</v>
      </c>
      <c r="AP19" s="27" t="str">
        <f t="shared" si="15"/>
        <v>https://ia601501.us.archive.org/22/items/192425/1924-25.pdf#page=11</v>
      </c>
      <c r="AQ19" s="27" t="str">
        <f t="shared" si="16"/>
        <v>https://ia601501.us.archive.org/22/items/192425/1924-25.pdf#page=11</v>
      </c>
    </row>
    <row r="20" spans="1:43" x14ac:dyDescent="0.25">
      <c r="A20" s="27" t="s">
        <v>604</v>
      </c>
      <c r="B20" s="27" t="str">
        <f t="shared" si="0"/>
        <v>Alabama</v>
      </c>
      <c r="C20" s="27" t="str">
        <f t="shared" si="1"/>
        <v>Coosa</v>
      </c>
      <c r="D20" s="27">
        <f>1236+436+90</f>
        <v>1762</v>
      </c>
      <c r="E20" s="27">
        <f>807+27</f>
        <v>834</v>
      </c>
      <c r="F20" s="27">
        <f t="shared" si="3"/>
        <v>2596</v>
      </c>
      <c r="G20" s="27">
        <f>97+4</f>
        <v>101</v>
      </c>
      <c r="H20" s="27">
        <v>30</v>
      </c>
      <c r="I20" s="27">
        <f t="shared" si="23"/>
        <v>131</v>
      </c>
      <c r="J20" s="27">
        <f>175138+63646+15748</f>
        <v>254532</v>
      </c>
      <c r="K20" s="27">
        <f>70723+4078</f>
        <v>74801</v>
      </c>
      <c r="L20" s="97">
        <f t="shared" si="4"/>
        <v>126.86171032357473</v>
      </c>
      <c r="M20" s="7">
        <f>1630+529+100</f>
        <v>2259</v>
      </c>
      <c r="N20" s="7">
        <f>1264+74</f>
        <v>1338</v>
      </c>
      <c r="O20" s="27">
        <f t="shared" si="5"/>
        <v>3597</v>
      </c>
      <c r="P20" s="27">
        <f>42702+5259</f>
        <v>47961</v>
      </c>
      <c r="Q20" s="27">
        <v>7869</v>
      </c>
      <c r="R20" s="115">
        <f t="shared" si="6"/>
        <v>67.188626894567818</v>
      </c>
      <c r="S20" s="7">
        <f>105090+7196</f>
        <v>112286</v>
      </c>
      <c r="T20" s="7">
        <v>8979</v>
      </c>
      <c r="U20" s="2">
        <f t="shared" si="24"/>
        <v>121265</v>
      </c>
      <c r="V20" s="27">
        <v>69</v>
      </c>
      <c r="W20" s="27">
        <f>64175+12000</f>
        <v>76175</v>
      </c>
      <c r="X20" s="27">
        <f>11650+4000</f>
        <v>15650</v>
      </c>
      <c r="Y20" s="27">
        <f>12300</f>
        <v>12300</v>
      </c>
      <c r="Z20" s="27">
        <f>923</f>
        <v>923</v>
      </c>
      <c r="AA20" s="2">
        <f t="shared" si="8"/>
        <v>105048</v>
      </c>
      <c r="AB20" s="41">
        <v>1925</v>
      </c>
      <c r="AC20" s="27" t="s">
        <v>552</v>
      </c>
      <c r="AD20" s="157" t="str">
        <f t="shared" si="17"/>
        <v>https://ia601501.us.archive.org/22/items/192425/1924-25.pdf#page=9</v>
      </c>
      <c r="AE20" s="155" t="str">
        <f t="shared" si="18"/>
        <v>https://ia601501.us.archive.org/22/items/192425/1924-25.pdf#page=13</v>
      </c>
      <c r="AF20" s="7" t="str">
        <f t="shared" si="9"/>
        <v>https://ia601501.us.archive.org/22/items/192425/1924-25.pdf#page=9</v>
      </c>
      <c r="AG20" s="153" t="str">
        <f t="shared" si="10"/>
        <v>https://ia601501.us.archive.org/22/items/192425/1924-25.pdf#page=13</v>
      </c>
      <c r="AH20" s="7" t="str">
        <f t="shared" si="11"/>
        <v>https://ia601501.us.archive.org/22/items/192425/1924-25.pdf#page=9</v>
      </c>
      <c r="AI20" s="153" t="str">
        <f t="shared" si="12"/>
        <v>https://ia601501.us.archive.org/22/items/192425/1924-25.pdf#page=13</v>
      </c>
      <c r="AJ20" s="7" t="str">
        <f t="shared" si="13"/>
        <v>https://ia601501.us.archive.org/22/items/192425/1924-25.pdf#page=9</v>
      </c>
      <c r="AK20" s="152" t="str">
        <f t="shared" si="14"/>
        <v>https://ia601501.us.archive.org/22/items/192425/1924-25.pdf#page=13</v>
      </c>
      <c r="AL20" s="27" t="str">
        <f t="shared" si="22"/>
        <v>https://babel.hathitrust.org/cgi/pt?id=mdp.39015076547101;view=1up;seq=103</v>
      </c>
      <c r="AM20" s="155" t="str">
        <f t="shared" si="19"/>
        <v>https://ia601501.us.archive.org/22/items/192425/1924-25.pdf#page=15</v>
      </c>
      <c r="AN20" s="27" t="str">
        <f t="shared" si="25"/>
        <v>https://ia601501.us.archive.org/22/items/192425/1924-25.pdf#page=11</v>
      </c>
      <c r="AO20" s="152" t="str">
        <f t="shared" si="21"/>
        <v>https://ia601501.us.archive.org/22/items/192425/1924-25.pdf#page=16</v>
      </c>
      <c r="AP20" s="27" t="str">
        <f t="shared" si="15"/>
        <v>https://ia601501.us.archive.org/22/items/192425/1924-25.pdf#page=11</v>
      </c>
      <c r="AQ20" s="27" t="str">
        <f t="shared" si="16"/>
        <v>https://ia601501.us.archive.org/22/items/192425/1924-25.pdf#page=11</v>
      </c>
    </row>
    <row r="21" spans="1:43" x14ac:dyDescent="0.25">
      <c r="A21" s="27" t="s">
        <v>605</v>
      </c>
      <c r="B21" s="27" t="str">
        <f t="shared" si="0"/>
        <v>Alabama</v>
      </c>
      <c r="C21" s="27" t="str">
        <f t="shared" si="1"/>
        <v>Covington</v>
      </c>
      <c r="D21" s="27">
        <f>3865+560+224+306+518+300+80+183+161</f>
        <v>6197</v>
      </c>
      <c r="E21" s="27">
        <f>479+183+53+66+11+5+6</f>
        <v>803</v>
      </c>
      <c r="F21" s="27">
        <f t="shared" si="3"/>
        <v>7000</v>
      </c>
      <c r="G21" s="27">
        <f>185+29+10+21+5</f>
        <v>250</v>
      </c>
      <c r="H21" s="27">
        <f>17+4+2+2</f>
        <v>25</v>
      </c>
      <c r="I21" s="27">
        <f t="shared" si="23"/>
        <v>275</v>
      </c>
      <c r="J21" s="27">
        <f>500521+98053+39887+54426+84181+52491+14314+32609+28420</f>
        <v>904902</v>
      </c>
      <c r="K21" s="27">
        <f>45782+29336+7293+7958+1051+871+813</f>
        <v>93104</v>
      </c>
      <c r="L21" s="97">
        <f t="shared" si="4"/>
        <v>142.57228571428573</v>
      </c>
      <c r="M21" s="7">
        <f>6136+690+308+480+768+336+99+241+185</f>
        <v>9243</v>
      </c>
      <c r="N21" s="7">
        <f>719+256+100+103+96+160+138+120</f>
        <v>1692</v>
      </c>
      <c r="O21" s="27">
        <f t="shared" si="5"/>
        <v>10935</v>
      </c>
      <c r="P21" s="27">
        <f>70863+26806+12004+10815+5425</f>
        <v>125913</v>
      </c>
      <c r="Q21" s="27">
        <f>3196+2207+800+540</f>
        <v>6743</v>
      </c>
      <c r="R21" s="115">
        <f t="shared" si="6"/>
        <v>67.668895413818774</v>
      </c>
      <c r="S21" s="7">
        <f>131750+34320+13142+24366+14764</f>
        <v>218342</v>
      </c>
      <c r="T21" s="7">
        <f>3501+12952+1588+891</f>
        <v>18932</v>
      </c>
      <c r="U21" s="2">
        <f t="shared" si="24"/>
        <v>237274</v>
      </c>
      <c r="V21" s="27">
        <v>111</v>
      </c>
      <c r="W21" s="27">
        <f>147400+125000+50000+75850+35000</f>
        <v>433250</v>
      </c>
      <c r="X21" s="27">
        <f>21075+12000+2500+9025+3600</f>
        <v>48200</v>
      </c>
      <c r="Y21" s="27">
        <f>8600+8500+3000+3250</f>
        <v>23350</v>
      </c>
      <c r="Z21" s="27">
        <f>1200+2000+30+1050</f>
        <v>4280</v>
      </c>
      <c r="AA21" s="2">
        <f t="shared" si="8"/>
        <v>509080</v>
      </c>
      <c r="AB21" s="41">
        <v>1925</v>
      </c>
      <c r="AC21" s="27" t="s">
        <v>552</v>
      </c>
      <c r="AD21" s="157" t="str">
        <f t="shared" si="17"/>
        <v>https://ia601501.us.archive.org/22/items/192425/1924-25.pdf#page=9</v>
      </c>
      <c r="AE21" s="155" t="str">
        <f t="shared" si="18"/>
        <v>https://ia601501.us.archive.org/22/items/192425/1924-25.pdf#page=13</v>
      </c>
      <c r="AF21" s="7" t="str">
        <f t="shared" si="9"/>
        <v>https://ia601501.us.archive.org/22/items/192425/1924-25.pdf#page=9</v>
      </c>
      <c r="AG21" s="153" t="str">
        <f t="shared" si="10"/>
        <v>https://ia601501.us.archive.org/22/items/192425/1924-25.pdf#page=13</v>
      </c>
      <c r="AH21" s="7" t="str">
        <f t="shared" si="11"/>
        <v>https://ia601501.us.archive.org/22/items/192425/1924-25.pdf#page=9</v>
      </c>
      <c r="AI21" s="153" t="str">
        <f t="shared" si="12"/>
        <v>https://ia601501.us.archive.org/22/items/192425/1924-25.pdf#page=13</v>
      </c>
      <c r="AJ21" s="7" t="str">
        <f t="shared" si="13"/>
        <v>https://ia601501.us.archive.org/22/items/192425/1924-25.pdf#page=9</v>
      </c>
      <c r="AK21" s="152" t="str">
        <f t="shared" si="14"/>
        <v>https://ia601501.us.archive.org/22/items/192425/1924-25.pdf#page=13</v>
      </c>
      <c r="AL21" s="27" t="str">
        <f t="shared" si="22"/>
        <v>https://babel.hathitrust.org/cgi/pt?id=mdp.39015076547101;view=1up;seq=103</v>
      </c>
      <c r="AM21" s="155" t="str">
        <f t="shared" si="19"/>
        <v>https://ia601501.us.archive.org/22/items/192425/1924-25.pdf#page=15</v>
      </c>
      <c r="AN21" s="27" t="str">
        <f t="shared" si="25"/>
        <v>https://ia601501.us.archive.org/22/items/192425/1924-25.pdf#page=11</v>
      </c>
      <c r="AO21" s="152" t="str">
        <f t="shared" si="21"/>
        <v>https://ia601501.us.archive.org/22/items/192425/1924-25.pdf#page=16</v>
      </c>
      <c r="AP21" s="27" t="str">
        <f t="shared" si="15"/>
        <v>https://ia601501.us.archive.org/22/items/192425/1924-25.pdf#page=11</v>
      </c>
      <c r="AQ21" s="27" t="str">
        <f t="shared" si="16"/>
        <v>https://ia601501.us.archive.org/22/items/192425/1924-25.pdf#page=11</v>
      </c>
    </row>
    <row r="22" spans="1:43" x14ac:dyDescent="0.25">
      <c r="A22" s="27" t="s">
        <v>606</v>
      </c>
      <c r="B22" s="27" t="str">
        <f t="shared" si="0"/>
        <v>Alabama</v>
      </c>
      <c r="C22" s="27" t="str">
        <f t="shared" si="1"/>
        <v>Crenshaw</v>
      </c>
      <c r="D22" s="27">
        <f>2998+159+645+157+118</f>
        <v>4077</v>
      </c>
      <c r="E22" s="27">
        <f>1040+41+12+2</f>
        <v>1095</v>
      </c>
      <c r="F22" s="27">
        <f t="shared" si="3"/>
        <v>5172</v>
      </c>
      <c r="G22" s="27">
        <f>134+11+7</f>
        <v>152</v>
      </c>
      <c r="H22" s="27">
        <f>22+1</f>
        <v>23</v>
      </c>
      <c r="I22" s="27">
        <f t="shared" si="23"/>
        <v>175</v>
      </c>
      <c r="J22" s="27">
        <f>281880+27840+71460+27520+20623</f>
        <v>429323</v>
      </c>
      <c r="K22" s="27">
        <f>83236+5553+959+269</f>
        <v>90017</v>
      </c>
      <c r="L22" s="97">
        <f t="shared" si="4"/>
        <v>100.41376643464811</v>
      </c>
      <c r="M22" s="7">
        <f>3461+174+728+172+149</f>
        <v>4684</v>
      </c>
      <c r="N22" s="7">
        <f>1216+106+14+3</f>
        <v>1339</v>
      </c>
      <c r="O22" s="27">
        <f t="shared" si="5"/>
        <v>6023</v>
      </c>
      <c r="P22" s="27">
        <f>55699+8640+6347</f>
        <v>70686</v>
      </c>
      <c r="Q22" s="27">
        <f>3985+400</f>
        <v>4385</v>
      </c>
      <c r="R22" s="115">
        <f t="shared" si="6"/>
        <v>85.441898673591197</v>
      </c>
      <c r="S22" s="7">
        <f>86834+13167+9789</f>
        <v>109790</v>
      </c>
      <c r="T22" s="7">
        <f>4237+400</f>
        <v>4637</v>
      </c>
      <c r="U22" s="2">
        <f t="shared" si="24"/>
        <v>114427</v>
      </c>
      <c r="V22" s="27">
        <v>87</v>
      </c>
      <c r="W22" s="27">
        <f>80000+35000+16000</f>
        <v>131000</v>
      </c>
      <c r="X22" s="27">
        <f>20500+3500+4000</f>
        <v>28000</v>
      </c>
      <c r="Y22" s="27">
        <f>9000+400</f>
        <v>9400</v>
      </c>
      <c r="Z22" s="27">
        <f>1000+50</f>
        <v>1050</v>
      </c>
      <c r="AA22" s="2">
        <f t="shared" si="8"/>
        <v>169450</v>
      </c>
      <c r="AB22" s="41">
        <v>1925</v>
      </c>
      <c r="AC22" s="27" t="s">
        <v>552</v>
      </c>
      <c r="AD22" s="157" t="str">
        <f t="shared" si="17"/>
        <v>https://ia601501.us.archive.org/22/items/192425/1924-25.pdf#page=9</v>
      </c>
      <c r="AE22" s="155" t="str">
        <f t="shared" si="18"/>
        <v>https://ia601501.us.archive.org/22/items/192425/1924-25.pdf#page=13</v>
      </c>
      <c r="AF22" s="7" t="str">
        <f t="shared" si="9"/>
        <v>https://ia601501.us.archive.org/22/items/192425/1924-25.pdf#page=9</v>
      </c>
      <c r="AG22" s="153" t="str">
        <f t="shared" si="10"/>
        <v>https://ia601501.us.archive.org/22/items/192425/1924-25.pdf#page=13</v>
      </c>
      <c r="AH22" s="7" t="str">
        <f t="shared" si="11"/>
        <v>https://ia601501.us.archive.org/22/items/192425/1924-25.pdf#page=9</v>
      </c>
      <c r="AI22" s="153" t="str">
        <f t="shared" si="12"/>
        <v>https://ia601501.us.archive.org/22/items/192425/1924-25.pdf#page=13</v>
      </c>
      <c r="AJ22" s="7" t="str">
        <f t="shared" si="13"/>
        <v>https://ia601501.us.archive.org/22/items/192425/1924-25.pdf#page=9</v>
      </c>
      <c r="AK22" s="152" t="str">
        <f t="shared" si="14"/>
        <v>https://ia601501.us.archive.org/22/items/192425/1924-25.pdf#page=13</v>
      </c>
      <c r="AL22" s="27" t="str">
        <f t="shared" si="22"/>
        <v>https://babel.hathitrust.org/cgi/pt?id=mdp.39015076547101;view=1up;seq=103</v>
      </c>
      <c r="AM22" s="155" t="str">
        <f t="shared" si="19"/>
        <v>https://ia601501.us.archive.org/22/items/192425/1924-25.pdf#page=15</v>
      </c>
      <c r="AN22" s="27" t="str">
        <f t="shared" si="25"/>
        <v>https://ia601501.us.archive.org/22/items/192425/1924-25.pdf#page=11</v>
      </c>
      <c r="AO22" s="152" t="str">
        <f t="shared" si="21"/>
        <v>https://ia601501.us.archive.org/22/items/192425/1924-25.pdf#page=16</v>
      </c>
      <c r="AP22" s="27" t="str">
        <f t="shared" si="15"/>
        <v>https://ia601501.us.archive.org/22/items/192425/1924-25.pdf#page=11</v>
      </c>
      <c r="AQ22" s="27" t="str">
        <f t="shared" si="16"/>
        <v>https://ia601501.us.archive.org/22/items/192425/1924-25.pdf#page=11</v>
      </c>
    </row>
    <row r="23" spans="1:43" x14ac:dyDescent="0.25">
      <c r="A23" s="27" t="s">
        <v>607</v>
      </c>
      <c r="B23" s="27" t="str">
        <f t="shared" si="0"/>
        <v>Alabama</v>
      </c>
      <c r="C23" s="27" t="str">
        <f t="shared" si="1"/>
        <v>Cullman</v>
      </c>
      <c r="D23" s="27">
        <f>5631+798+1198+74+332</f>
        <v>8033</v>
      </c>
      <c r="E23" s="27">
        <f>86+2</f>
        <v>88</v>
      </c>
      <c r="F23" s="27">
        <f t="shared" si="3"/>
        <v>8121</v>
      </c>
      <c r="G23" s="27">
        <f>247+15+11</f>
        <v>273</v>
      </c>
      <c r="H23" s="27">
        <f>3</f>
        <v>3</v>
      </c>
      <c r="I23" s="27">
        <f t="shared" si="23"/>
        <v>276</v>
      </c>
      <c r="J23" s="27">
        <f>501884+89346+148532+13276+58166</f>
        <v>811204</v>
      </c>
      <c r="K23" s="27">
        <f>5945+137</f>
        <v>6082</v>
      </c>
      <c r="L23" s="97">
        <f t="shared" si="4"/>
        <v>100.63859130648935</v>
      </c>
      <c r="M23" s="7">
        <f>7556+685+1366+84+389</f>
        <v>10080</v>
      </c>
      <c r="N23" s="7">
        <f>103+7</f>
        <v>110</v>
      </c>
      <c r="O23" s="27">
        <f t="shared" si="5"/>
        <v>10190</v>
      </c>
      <c r="P23" s="27">
        <f>79880+11745+14542</f>
        <v>106167</v>
      </c>
      <c r="Q23" s="27">
        <v>673</v>
      </c>
      <c r="R23" s="115">
        <f t="shared" si="6"/>
        <v>76.929027771556534</v>
      </c>
      <c r="S23" s="7">
        <f>142846+21891+27829</f>
        <v>192566</v>
      </c>
      <c r="T23" s="7">
        <v>745</v>
      </c>
      <c r="U23" s="2">
        <f t="shared" si="24"/>
        <v>193311</v>
      </c>
      <c r="V23" s="27">
        <v>113</v>
      </c>
      <c r="W23" s="27">
        <f>229700+98000+66000</f>
        <v>393700</v>
      </c>
      <c r="X23" s="27">
        <f>35000+12000+17000</f>
        <v>64000</v>
      </c>
      <c r="Y23" s="27">
        <v>0</v>
      </c>
      <c r="Z23" s="27">
        <v>0</v>
      </c>
      <c r="AA23" s="2">
        <f t="shared" si="8"/>
        <v>457700</v>
      </c>
      <c r="AB23" s="41">
        <v>1925</v>
      </c>
      <c r="AC23" s="27" t="s">
        <v>552</v>
      </c>
      <c r="AD23" s="157" t="str">
        <f t="shared" si="17"/>
        <v>https://ia601501.us.archive.org/22/items/192425/1924-25.pdf#page=9</v>
      </c>
      <c r="AE23" s="155" t="str">
        <f t="shared" si="18"/>
        <v>https://ia601501.us.archive.org/22/items/192425/1924-25.pdf#page=13</v>
      </c>
      <c r="AF23" s="7" t="str">
        <f t="shared" si="9"/>
        <v>https://ia601501.us.archive.org/22/items/192425/1924-25.pdf#page=9</v>
      </c>
      <c r="AG23" s="153" t="str">
        <f t="shared" si="10"/>
        <v>https://ia601501.us.archive.org/22/items/192425/1924-25.pdf#page=13</v>
      </c>
      <c r="AH23" s="7" t="str">
        <f t="shared" si="11"/>
        <v>https://ia601501.us.archive.org/22/items/192425/1924-25.pdf#page=9</v>
      </c>
      <c r="AI23" s="153" t="str">
        <f t="shared" si="12"/>
        <v>https://ia601501.us.archive.org/22/items/192425/1924-25.pdf#page=13</v>
      </c>
      <c r="AJ23" s="7" t="str">
        <f t="shared" si="13"/>
        <v>https://ia601501.us.archive.org/22/items/192425/1924-25.pdf#page=9</v>
      </c>
      <c r="AK23" s="152" t="str">
        <f t="shared" si="14"/>
        <v>https://ia601501.us.archive.org/22/items/192425/1924-25.pdf#page=13</v>
      </c>
      <c r="AL23" s="27" t="str">
        <f t="shared" si="22"/>
        <v>https://babel.hathitrust.org/cgi/pt?id=mdp.39015076547101;view=1up;seq=103</v>
      </c>
      <c r="AM23" s="155" t="str">
        <f t="shared" si="19"/>
        <v>https://ia601501.us.archive.org/22/items/192425/1924-25.pdf#page=15</v>
      </c>
      <c r="AN23" s="27" t="str">
        <f t="shared" si="25"/>
        <v>https://ia601501.us.archive.org/22/items/192425/1924-25.pdf#page=11</v>
      </c>
      <c r="AO23" s="152" t="str">
        <f t="shared" si="21"/>
        <v>https://ia601501.us.archive.org/22/items/192425/1924-25.pdf#page=16</v>
      </c>
      <c r="AP23" s="27" t="str">
        <f t="shared" si="15"/>
        <v>https://ia601501.us.archive.org/22/items/192425/1924-25.pdf#page=11</v>
      </c>
      <c r="AQ23" s="27" t="str">
        <f t="shared" si="16"/>
        <v>https://ia601501.us.archive.org/22/items/192425/1924-25.pdf#page=11</v>
      </c>
    </row>
    <row r="24" spans="1:43" x14ac:dyDescent="0.25">
      <c r="A24" s="27" t="s">
        <v>608</v>
      </c>
      <c r="B24" s="27" t="str">
        <f t="shared" si="0"/>
        <v>Alabama</v>
      </c>
      <c r="C24" s="27" t="str">
        <f t="shared" si="1"/>
        <v>Dale</v>
      </c>
      <c r="D24" s="27">
        <f>2635+300+499+68+196</f>
        <v>3698</v>
      </c>
      <c r="E24" s="7">
        <f>451+120+1+7</f>
        <v>579</v>
      </c>
      <c r="F24" s="27">
        <f t="shared" si="3"/>
        <v>4277</v>
      </c>
      <c r="G24" s="27">
        <f>121+9+7</f>
        <v>137</v>
      </c>
      <c r="H24" s="27">
        <f>14+2</f>
        <v>16</v>
      </c>
      <c r="I24" s="27">
        <f t="shared" si="23"/>
        <v>153</v>
      </c>
      <c r="J24" s="27">
        <f>293774+52513+85996+11930+34631</f>
        <v>478844</v>
      </c>
      <c r="K24" s="27">
        <f>32007+21037+71+1227</f>
        <v>54342</v>
      </c>
      <c r="L24" s="97">
        <f t="shared" si="4"/>
        <v>124.66354921674071</v>
      </c>
      <c r="M24" s="7">
        <f>3808+326+730+91+249</f>
        <v>5204</v>
      </c>
      <c r="N24" s="7">
        <f>748+167+2+8</f>
        <v>925</v>
      </c>
      <c r="O24" s="27">
        <f t="shared" si="5"/>
        <v>6129</v>
      </c>
      <c r="P24" s="27">
        <f>59722+6570+7244</f>
        <v>73536</v>
      </c>
      <c r="Q24" s="27">
        <f>1510+400</f>
        <v>1910</v>
      </c>
      <c r="R24" s="115">
        <f t="shared" si="6"/>
        <v>79.110712667707773</v>
      </c>
      <c r="S24" s="7">
        <f>100750+8193+11196</f>
        <v>120139</v>
      </c>
      <c r="T24" s="7">
        <f>2122+433</f>
        <v>2555</v>
      </c>
      <c r="U24" s="2">
        <f t="shared" si="24"/>
        <v>122694</v>
      </c>
      <c r="V24" s="27">
        <v>79</v>
      </c>
      <c r="W24" s="27">
        <f>149450+80000+90000</f>
        <v>319450</v>
      </c>
      <c r="X24" s="27">
        <f>17840+3000+6000</f>
        <v>26840</v>
      </c>
      <c r="Y24" s="27">
        <f>5650+2000</f>
        <v>7650</v>
      </c>
      <c r="Z24" s="27">
        <f>575+500</f>
        <v>1075</v>
      </c>
      <c r="AA24" s="2">
        <f t="shared" si="8"/>
        <v>355015</v>
      </c>
      <c r="AB24" s="41">
        <v>1925</v>
      </c>
      <c r="AC24" s="27" t="s">
        <v>552</v>
      </c>
      <c r="AD24" s="157" t="str">
        <f t="shared" si="17"/>
        <v>https://ia601501.us.archive.org/22/items/192425/1924-25.pdf#page=9</v>
      </c>
      <c r="AE24" s="155" t="str">
        <f t="shared" si="18"/>
        <v>https://ia601501.us.archive.org/22/items/192425/1924-25.pdf#page=13</v>
      </c>
      <c r="AF24" s="7" t="str">
        <f t="shared" si="9"/>
        <v>https://ia601501.us.archive.org/22/items/192425/1924-25.pdf#page=9</v>
      </c>
      <c r="AG24" s="153" t="str">
        <f t="shared" si="10"/>
        <v>https://ia601501.us.archive.org/22/items/192425/1924-25.pdf#page=13</v>
      </c>
      <c r="AH24" s="7" t="str">
        <f t="shared" si="11"/>
        <v>https://ia601501.us.archive.org/22/items/192425/1924-25.pdf#page=9</v>
      </c>
      <c r="AI24" s="153" t="str">
        <f t="shared" si="12"/>
        <v>https://ia601501.us.archive.org/22/items/192425/1924-25.pdf#page=13</v>
      </c>
      <c r="AJ24" s="7" t="str">
        <f t="shared" si="13"/>
        <v>https://ia601501.us.archive.org/22/items/192425/1924-25.pdf#page=9</v>
      </c>
      <c r="AK24" s="152" t="str">
        <f t="shared" si="14"/>
        <v>https://ia601501.us.archive.org/22/items/192425/1924-25.pdf#page=13</v>
      </c>
      <c r="AL24" s="27" t="str">
        <f t="shared" si="22"/>
        <v>https://babel.hathitrust.org/cgi/pt?id=mdp.39015076547101;view=1up;seq=103</v>
      </c>
      <c r="AM24" s="155" t="str">
        <f t="shared" si="19"/>
        <v>https://ia601501.us.archive.org/22/items/192425/1924-25.pdf#page=15</v>
      </c>
      <c r="AN24" s="27" t="str">
        <f t="shared" si="25"/>
        <v>https://ia601501.us.archive.org/22/items/192425/1924-25.pdf#page=11</v>
      </c>
      <c r="AO24" s="152" t="str">
        <f t="shared" si="21"/>
        <v>https://ia601501.us.archive.org/22/items/192425/1924-25.pdf#page=16</v>
      </c>
      <c r="AP24" s="27" t="str">
        <f t="shared" si="15"/>
        <v>https://ia601501.us.archive.org/22/items/192425/1924-25.pdf#page=11</v>
      </c>
      <c r="AQ24" s="27" t="str">
        <f t="shared" si="16"/>
        <v>https://ia601501.us.archive.org/22/items/192425/1924-25.pdf#page=11</v>
      </c>
    </row>
    <row r="25" spans="1:43" s="158" customFormat="1" x14ac:dyDescent="0.25">
      <c r="A25" s="158" t="s">
        <v>609</v>
      </c>
      <c r="B25" s="158" t="str">
        <f t="shared" si="0"/>
        <v>Alabama</v>
      </c>
      <c r="C25" s="158" t="str">
        <f t="shared" si="1"/>
        <v>Dallas</v>
      </c>
      <c r="D25" s="158">
        <f>741+1165+216+623+70</f>
        <v>2815</v>
      </c>
      <c r="E25" s="158">
        <f>4726+825+9+147</f>
        <v>5707</v>
      </c>
      <c r="F25" s="158">
        <f t="shared" si="3"/>
        <v>8522</v>
      </c>
      <c r="G25" s="158">
        <f>68+62+4</f>
        <v>134</v>
      </c>
      <c r="H25" s="158">
        <f>117+24</f>
        <v>141</v>
      </c>
      <c r="I25" s="158">
        <f t="shared" si="23"/>
        <v>275</v>
      </c>
      <c r="J25" s="158">
        <f>129082+205071+37574+109720+12253</f>
        <v>493700</v>
      </c>
      <c r="K25" s="158">
        <f>387158+145218+1362+25885</f>
        <v>559623</v>
      </c>
      <c r="L25" s="159">
        <f t="shared" si="4"/>
        <v>123.6004459047172</v>
      </c>
      <c r="M25" s="160">
        <f>1211+2167+86</f>
        <v>3464</v>
      </c>
      <c r="N25" s="160">
        <f>7005+1408</f>
        <v>8413</v>
      </c>
      <c r="O25" s="158">
        <f t="shared" si="5"/>
        <v>11877</v>
      </c>
      <c r="P25" s="158">
        <f>73551+67800+6068</f>
        <v>147419</v>
      </c>
      <c r="Q25" s="158">
        <f>20524+11589</f>
        <v>32113</v>
      </c>
      <c r="R25" s="161">
        <f t="shared" si="6"/>
        <v>105.63774775811237</v>
      </c>
      <c r="S25" s="160">
        <f>73723+118833+7044</f>
        <v>199600</v>
      </c>
      <c r="T25" s="160">
        <f>29159+17117</f>
        <v>46276</v>
      </c>
      <c r="U25" s="162">
        <f t="shared" si="24"/>
        <v>245876</v>
      </c>
      <c r="V25" s="158">
        <v>141</v>
      </c>
      <c r="W25" s="158">
        <f>149950+291857+16000</f>
        <v>457807</v>
      </c>
      <c r="X25" s="158">
        <f>16702+42494+2500</f>
        <v>61696</v>
      </c>
      <c r="Y25" s="158">
        <f>42042+32135</f>
        <v>74177</v>
      </c>
      <c r="Z25" s="158">
        <f>2769+4700</f>
        <v>7469</v>
      </c>
      <c r="AA25" s="162">
        <f t="shared" si="8"/>
        <v>601149</v>
      </c>
      <c r="AB25" s="163">
        <v>1925</v>
      </c>
      <c r="AC25" s="158" t="s">
        <v>552</v>
      </c>
      <c r="AD25" s="164" t="s">
        <v>2689</v>
      </c>
      <c r="AE25" s="158" t="s">
        <v>2691</v>
      </c>
      <c r="AF25" s="160" t="str">
        <f t="shared" si="9"/>
        <v>https://ia601501.us.archive.org/22/items/192425/1924-25.pdf#page=17</v>
      </c>
      <c r="AG25" s="160" t="str">
        <f t="shared" si="10"/>
        <v>https://ia601501.us.archive.org/22/items/192425/1924-25.pdf#page=22</v>
      </c>
      <c r="AH25" s="160" t="str">
        <f t="shared" si="11"/>
        <v>https://ia601501.us.archive.org/22/items/192425/1924-25.pdf#page=17</v>
      </c>
      <c r="AI25" s="160" t="str">
        <f t="shared" si="12"/>
        <v>https://ia601501.us.archive.org/22/items/192425/1924-25.pdf#page=22</v>
      </c>
      <c r="AJ25" s="160" t="str">
        <f t="shared" si="13"/>
        <v>https://ia601501.us.archive.org/22/items/192425/1924-25.pdf#page=17</v>
      </c>
      <c r="AK25" s="158" t="str">
        <f t="shared" si="14"/>
        <v>https://ia601501.us.archive.org/22/items/192425/1924-25.pdf#page=22</v>
      </c>
      <c r="AL25" s="158" t="s">
        <v>2712</v>
      </c>
      <c r="AM25" s="158" t="s">
        <v>2692</v>
      </c>
      <c r="AN25" s="158" t="s">
        <v>2690</v>
      </c>
      <c r="AO25" s="158" t="s">
        <v>2693</v>
      </c>
      <c r="AP25" s="158" t="str">
        <f t="shared" si="15"/>
        <v>https://ia601501.us.archive.org/22/items/192425/1924-25.pdf#page=21</v>
      </c>
      <c r="AQ25" s="158" t="str">
        <f t="shared" si="16"/>
        <v>https://ia601501.us.archive.org/22/items/192425/1924-25.pdf#page=21</v>
      </c>
    </row>
    <row r="26" spans="1:43" x14ac:dyDescent="0.25">
      <c r="A26" s="27" t="s">
        <v>610</v>
      </c>
      <c r="B26" s="27" t="str">
        <f t="shared" si="0"/>
        <v>Alabama</v>
      </c>
      <c r="C26" s="27" t="str">
        <f t="shared" si="1"/>
        <v>DeKalb</v>
      </c>
      <c r="D26" s="27">
        <f>5582+314+879+64+214</f>
        <v>7053</v>
      </c>
      <c r="E26" s="27">
        <f>115</f>
        <v>115</v>
      </c>
      <c r="F26" s="27">
        <f t="shared" si="3"/>
        <v>7168</v>
      </c>
      <c r="G26" s="27">
        <f>237+12+7</f>
        <v>256</v>
      </c>
      <c r="H26" s="27">
        <v>2</v>
      </c>
      <c r="I26" s="27">
        <f t="shared" si="23"/>
        <v>258</v>
      </c>
      <c r="J26" s="27">
        <f>563847+53081+88815+11458+37542</f>
        <v>754743</v>
      </c>
      <c r="K26" s="27">
        <f>11236</f>
        <v>11236</v>
      </c>
      <c r="L26" s="97">
        <f t="shared" si="4"/>
        <v>106.86090959821429</v>
      </c>
      <c r="M26" s="7">
        <f>9552+594+253</f>
        <v>10399</v>
      </c>
      <c r="N26" s="7">
        <v>166</v>
      </c>
      <c r="O26" s="27">
        <f t="shared" si="5"/>
        <v>10565</v>
      </c>
      <c r="P26" s="27">
        <f>85374+6440+7236</f>
        <v>99050</v>
      </c>
      <c r="Q26" s="27">
        <v>600</v>
      </c>
      <c r="R26" s="115">
        <f t="shared" si="6"/>
        <v>72.288418941920312</v>
      </c>
      <c r="S26" s="7">
        <f>115888+9107+11372</f>
        <v>136367</v>
      </c>
      <c r="T26" s="7">
        <v>618</v>
      </c>
      <c r="U26" s="2">
        <f t="shared" si="24"/>
        <v>136985</v>
      </c>
      <c r="V26" s="27">
        <v>112</v>
      </c>
      <c r="W26" s="27">
        <f>233885+75000+32000</f>
        <v>340885</v>
      </c>
      <c r="X26" s="27">
        <f>31044+5000+5000</f>
        <v>41044</v>
      </c>
      <c r="Y26" s="27">
        <v>1000</v>
      </c>
      <c r="Z26" s="27">
        <v>170</v>
      </c>
      <c r="AA26" s="2">
        <f t="shared" si="8"/>
        <v>383099</v>
      </c>
      <c r="AB26" s="41">
        <v>1925</v>
      </c>
      <c r="AC26" s="27" t="s">
        <v>552</v>
      </c>
      <c r="AD26" s="157" t="str">
        <f t="shared" si="17"/>
        <v>https://ia601501.us.archive.org/22/items/192425/1924-25.pdf#page=17</v>
      </c>
      <c r="AE26" s="155" t="str">
        <f t="shared" si="18"/>
        <v>https://ia601501.us.archive.org/22/items/192425/1924-25.pdf#page=22</v>
      </c>
      <c r="AF26" s="7" t="str">
        <f t="shared" si="9"/>
        <v>https://ia601501.us.archive.org/22/items/192425/1924-25.pdf#page=17</v>
      </c>
      <c r="AG26" s="153" t="str">
        <f t="shared" si="10"/>
        <v>https://ia601501.us.archive.org/22/items/192425/1924-25.pdf#page=22</v>
      </c>
      <c r="AH26" s="7" t="str">
        <f t="shared" si="11"/>
        <v>https://ia601501.us.archive.org/22/items/192425/1924-25.pdf#page=17</v>
      </c>
      <c r="AI26" s="153" t="str">
        <f t="shared" si="12"/>
        <v>https://ia601501.us.archive.org/22/items/192425/1924-25.pdf#page=22</v>
      </c>
      <c r="AJ26" s="7" t="str">
        <f t="shared" si="13"/>
        <v>https://ia601501.us.archive.org/22/items/192425/1924-25.pdf#page=17</v>
      </c>
      <c r="AK26" s="152" t="str">
        <f t="shared" si="14"/>
        <v>https://ia601501.us.archive.org/22/items/192425/1924-25.pdf#page=22</v>
      </c>
      <c r="AL26" s="27" t="str">
        <f t="shared" si="22"/>
        <v>https://babel.hathitrust.org/cgi/pt?id=mdp.39015076547101;view=1up;seq=123</v>
      </c>
      <c r="AM26" s="155" t="str">
        <f t="shared" si="19"/>
        <v>https://ia601501.us.archive.org/22/items/192425/1924-25.pdf#page=23</v>
      </c>
      <c r="AN26" s="27" t="str">
        <f t="shared" si="25"/>
        <v>https://ia601501.us.archive.org/22/items/192425/1924-25.pdf#page=21</v>
      </c>
      <c r="AO26" s="152" t="str">
        <f t="shared" si="21"/>
        <v>https://ia601501.us.archive.org/22/items/192425/1924-25.pdf#page=24</v>
      </c>
      <c r="AP26" s="27" t="str">
        <f t="shared" si="15"/>
        <v>https://ia601501.us.archive.org/22/items/192425/1924-25.pdf#page=21</v>
      </c>
      <c r="AQ26" s="27" t="str">
        <f t="shared" si="16"/>
        <v>https://ia601501.us.archive.org/22/items/192425/1924-25.pdf#page=21</v>
      </c>
    </row>
    <row r="27" spans="1:43" x14ac:dyDescent="0.25">
      <c r="A27" s="27" t="s">
        <v>611</v>
      </c>
      <c r="B27" s="27" t="str">
        <f t="shared" si="0"/>
        <v>Alabama</v>
      </c>
      <c r="C27" s="27" t="str">
        <f t="shared" si="1"/>
        <v>Elmore</v>
      </c>
      <c r="D27" s="27">
        <f>2676+822+167+133</f>
        <v>3798</v>
      </c>
      <c r="E27" s="27">
        <f>1539+18</f>
        <v>1557</v>
      </c>
      <c r="F27" s="27">
        <f t="shared" si="3"/>
        <v>5355</v>
      </c>
      <c r="G27" s="27">
        <f>158+7+6</f>
        <v>171</v>
      </c>
      <c r="H27" s="27">
        <f>46</f>
        <v>46</v>
      </c>
      <c r="I27" s="27">
        <f t="shared" si="23"/>
        <v>217</v>
      </c>
      <c r="J27" s="27">
        <f>344136+125438+29283+23435</f>
        <v>522292</v>
      </c>
      <c r="K27" s="27">
        <f>112986+1429</f>
        <v>114415</v>
      </c>
      <c r="L27" s="97">
        <f t="shared" si="4"/>
        <v>118.89953314659196</v>
      </c>
      <c r="M27" s="7">
        <f>4898+197+162</f>
        <v>5257</v>
      </c>
      <c r="N27" s="7">
        <v>2282</v>
      </c>
      <c r="O27" s="27">
        <f t="shared" si="5"/>
        <v>7539</v>
      </c>
      <c r="P27" s="27">
        <f>70640+6033+10607</f>
        <v>87280</v>
      </c>
      <c r="Q27" s="27">
        <v>4875</v>
      </c>
      <c r="R27" s="115">
        <f t="shared" si="6"/>
        <v>71.434665572866678</v>
      </c>
      <c r="S27" s="7">
        <f>106771+11435+17140</f>
        <v>135346</v>
      </c>
      <c r="T27" s="7">
        <v>14468</v>
      </c>
      <c r="U27" s="2">
        <f t="shared" si="24"/>
        <v>149814</v>
      </c>
      <c r="V27" s="27">
        <v>99</v>
      </c>
      <c r="W27" s="27">
        <f>167200+20000+75000</f>
        <v>262200</v>
      </c>
      <c r="X27" s="27">
        <f>36771+1500+15000</f>
        <v>53271</v>
      </c>
      <c r="Y27" s="27">
        <f>18255</f>
        <v>18255</v>
      </c>
      <c r="Z27" s="27">
        <f>1413</f>
        <v>1413</v>
      </c>
      <c r="AA27" s="2">
        <f t="shared" si="8"/>
        <v>335139</v>
      </c>
      <c r="AB27" s="41">
        <v>1925</v>
      </c>
      <c r="AC27" s="27" t="s">
        <v>552</v>
      </c>
      <c r="AD27" s="157" t="str">
        <f t="shared" si="17"/>
        <v>https://ia601501.us.archive.org/22/items/192425/1924-25.pdf#page=17</v>
      </c>
      <c r="AE27" s="155" t="str">
        <f t="shared" si="18"/>
        <v>https://ia601501.us.archive.org/22/items/192425/1924-25.pdf#page=22</v>
      </c>
      <c r="AF27" s="7" t="str">
        <f t="shared" si="9"/>
        <v>https://ia601501.us.archive.org/22/items/192425/1924-25.pdf#page=17</v>
      </c>
      <c r="AG27" s="153" t="str">
        <f t="shared" si="10"/>
        <v>https://ia601501.us.archive.org/22/items/192425/1924-25.pdf#page=22</v>
      </c>
      <c r="AH27" s="7" t="str">
        <f t="shared" si="11"/>
        <v>https://ia601501.us.archive.org/22/items/192425/1924-25.pdf#page=17</v>
      </c>
      <c r="AI27" s="153" t="str">
        <f t="shared" si="12"/>
        <v>https://ia601501.us.archive.org/22/items/192425/1924-25.pdf#page=22</v>
      </c>
      <c r="AJ27" s="7" t="str">
        <f t="shared" si="13"/>
        <v>https://ia601501.us.archive.org/22/items/192425/1924-25.pdf#page=17</v>
      </c>
      <c r="AK27" s="152" t="str">
        <f t="shared" si="14"/>
        <v>https://ia601501.us.archive.org/22/items/192425/1924-25.pdf#page=22</v>
      </c>
      <c r="AL27" s="27" t="str">
        <f t="shared" si="22"/>
        <v>https://babel.hathitrust.org/cgi/pt?id=mdp.39015076547101;view=1up;seq=123</v>
      </c>
      <c r="AM27" s="155" t="str">
        <f t="shared" si="19"/>
        <v>https://ia601501.us.archive.org/22/items/192425/1924-25.pdf#page=23</v>
      </c>
      <c r="AN27" s="27" t="str">
        <f t="shared" si="25"/>
        <v>https://ia601501.us.archive.org/22/items/192425/1924-25.pdf#page=21</v>
      </c>
      <c r="AO27" s="152" t="str">
        <f t="shared" si="21"/>
        <v>https://ia601501.us.archive.org/22/items/192425/1924-25.pdf#page=24</v>
      </c>
      <c r="AP27" s="27" t="str">
        <f t="shared" si="15"/>
        <v>https://ia601501.us.archive.org/22/items/192425/1924-25.pdf#page=21</v>
      </c>
      <c r="AQ27" s="27" t="str">
        <f t="shared" si="16"/>
        <v>https://ia601501.us.archive.org/22/items/192425/1924-25.pdf#page=21</v>
      </c>
    </row>
    <row r="28" spans="1:43" x14ac:dyDescent="0.25">
      <c r="A28" s="27" t="s">
        <v>612</v>
      </c>
      <c r="B28" s="27" t="str">
        <f t="shared" si="0"/>
        <v>Alabama</v>
      </c>
      <c r="C28" s="27" t="str">
        <f t="shared" si="1"/>
        <v>Escambia</v>
      </c>
      <c r="D28" s="27">
        <f>1967+218+322+417+200+185</f>
        <v>3309</v>
      </c>
      <c r="E28" s="27">
        <f>639+31+194+12+29+6</f>
        <v>911</v>
      </c>
      <c r="F28" s="27">
        <f t="shared" si="3"/>
        <v>4220</v>
      </c>
      <c r="G28" s="27">
        <f>134+17+8+6</f>
        <v>165</v>
      </c>
      <c r="H28" s="27">
        <f>19+4+4</f>
        <v>27</v>
      </c>
      <c r="I28" s="27">
        <f t="shared" si="23"/>
        <v>192</v>
      </c>
      <c r="J28" s="27">
        <f>264765+38327+56780+60308+35253+32262</f>
        <v>487695</v>
      </c>
      <c r="K28" s="27">
        <f>65295+23522+22783+1239+5235+699</f>
        <v>118773</v>
      </c>
      <c r="L28" s="97">
        <f t="shared" si="4"/>
        <v>143.71279620853082</v>
      </c>
      <c r="M28" s="7">
        <f>3798+550+392+220</f>
        <v>4960</v>
      </c>
      <c r="N28" s="7">
        <f>964+187+375</f>
        <v>1526</v>
      </c>
      <c r="O28" s="27">
        <f t="shared" si="5"/>
        <v>6486</v>
      </c>
      <c r="P28" s="27">
        <f>61390+7200+12285+7749</f>
        <v>88624</v>
      </c>
      <c r="Q28" s="27">
        <f>3761+1890+1590</f>
        <v>7241</v>
      </c>
      <c r="R28" s="115">
        <f t="shared" si="6"/>
        <v>69.485374743597347</v>
      </c>
      <c r="S28" s="7">
        <f>74009+71293+13185+21845</f>
        <v>180332</v>
      </c>
      <c r="T28" s="7">
        <f>4162+2348+1641</f>
        <v>8151</v>
      </c>
      <c r="U28" s="2">
        <f t="shared" si="24"/>
        <v>188483</v>
      </c>
      <c r="V28" s="27">
        <v>86</v>
      </c>
      <c r="W28" s="27">
        <f>146450+115500+12500+40000</f>
        <v>314450</v>
      </c>
      <c r="X28" s="27">
        <f>19950+5000+3000+10000</f>
        <v>37950</v>
      </c>
      <c r="Y28" s="27">
        <f>10500+5500+1650</f>
        <v>17650</v>
      </c>
      <c r="Z28" s="27">
        <f>1800+200+100</f>
        <v>2100</v>
      </c>
      <c r="AA28" s="2">
        <f t="shared" si="8"/>
        <v>372150</v>
      </c>
      <c r="AB28" s="41">
        <v>1925</v>
      </c>
      <c r="AC28" s="27" t="s">
        <v>552</v>
      </c>
      <c r="AD28" s="157" t="str">
        <f t="shared" si="17"/>
        <v>https://ia601501.us.archive.org/22/items/192425/1924-25.pdf#page=17</v>
      </c>
      <c r="AE28" s="155" t="str">
        <f t="shared" si="18"/>
        <v>https://ia601501.us.archive.org/22/items/192425/1924-25.pdf#page=22</v>
      </c>
      <c r="AF28" s="7" t="str">
        <f t="shared" si="9"/>
        <v>https://ia601501.us.archive.org/22/items/192425/1924-25.pdf#page=17</v>
      </c>
      <c r="AG28" s="153" t="str">
        <f t="shared" si="10"/>
        <v>https://ia601501.us.archive.org/22/items/192425/1924-25.pdf#page=22</v>
      </c>
      <c r="AH28" s="7" t="str">
        <f t="shared" si="11"/>
        <v>https://ia601501.us.archive.org/22/items/192425/1924-25.pdf#page=17</v>
      </c>
      <c r="AI28" s="153" t="str">
        <f t="shared" si="12"/>
        <v>https://ia601501.us.archive.org/22/items/192425/1924-25.pdf#page=22</v>
      </c>
      <c r="AJ28" s="7" t="str">
        <f t="shared" si="13"/>
        <v>https://ia601501.us.archive.org/22/items/192425/1924-25.pdf#page=17</v>
      </c>
      <c r="AK28" s="152" t="str">
        <f t="shared" si="14"/>
        <v>https://ia601501.us.archive.org/22/items/192425/1924-25.pdf#page=22</v>
      </c>
      <c r="AL28" s="27" t="str">
        <f t="shared" si="22"/>
        <v>https://babel.hathitrust.org/cgi/pt?id=mdp.39015076547101;view=1up;seq=123</v>
      </c>
      <c r="AM28" s="155" t="str">
        <f t="shared" si="19"/>
        <v>https://ia601501.us.archive.org/22/items/192425/1924-25.pdf#page=23</v>
      </c>
      <c r="AN28" s="27" t="str">
        <f t="shared" si="25"/>
        <v>https://ia601501.us.archive.org/22/items/192425/1924-25.pdf#page=21</v>
      </c>
      <c r="AO28" s="152" t="str">
        <f t="shared" si="21"/>
        <v>https://ia601501.us.archive.org/22/items/192425/1924-25.pdf#page=24</v>
      </c>
      <c r="AP28" s="27" t="str">
        <f t="shared" si="15"/>
        <v>https://ia601501.us.archive.org/22/items/192425/1924-25.pdf#page=21</v>
      </c>
      <c r="AQ28" s="27" t="str">
        <f t="shared" si="16"/>
        <v>https://ia601501.us.archive.org/22/items/192425/1924-25.pdf#page=21</v>
      </c>
    </row>
    <row r="29" spans="1:43" x14ac:dyDescent="0.25">
      <c r="A29" s="27" t="s">
        <v>613</v>
      </c>
      <c r="B29" s="27" t="str">
        <f t="shared" si="0"/>
        <v>Alabama</v>
      </c>
      <c r="C29" s="27" t="str">
        <f t="shared" si="1"/>
        <v>Etowah</v>
      </c>
      <c r="D29" s="27">
        <f>3188+774+313+1650+937+84+47+652+248</f>
        <v>7893</v>
      </c>
      <c r="E29" s="27">
        <f>277+97+705+2+8+41</f>
        <v>1130</v>
      </c>
      <c r="F29" s="27">
        <f t="shared" si="3"/>
        <v>9023</v>
      </c>
      <c r="G29" s="27">
        <f>184+22+10+69+10</f>
        <v>295</v>
      </c>
      <c r="H29" s="27">
        <f>12+3+14</f>
        <v>29</v>
      </c>
      <c r="I29" s="27">
        <f t="shared" si="23"/>
        <v>324</v>
      </c>
      <c r="J29" s="27">
        <f>460669+137736+55803+293564+148508+14987+8348+116106+43627</f>
        <v>1279348</v>
      </c>
      <c r="K29" s="27">
        <f>29901+17180+125452+315+1413+7301</f>
        <v>181562</v>
      </c>
      <c r="L29" s="97">
        <f t="shared" si="4"/>
        <v>161.90956444641472</v>
      </c>
      <c r="M29" s="7">
        <f>6836+1073+568+2927+288</f>
        <v>11692</v>
      </c>
      <c r="N29" s="7">
        <f>453+237+1007</f>
        <v>1697</v>
      </c>
      <c r="O29" s="27">
        <f t="shared" si="5"/>
        <v>13389</v>
      </c>
      <c r="P29" s="27">
        <f>101747+18307+5945+58118+11085</f>
        <v>195202</v>
      </c>
      <c r="Q29" s="27">
        <f>3098+1687+6250</f>
        <v>11035</v>
      </c>
      <c r="R29" s="115">
        <f t="shared" si="6"/>
        <v>78.62833215488638</v>
      </c>
      <c r="S29" s="7">
        <f>170749+22336+17956+84029+19841</f>
        <v>314911</v>
      </c>
      <c r="T29" s="7">
        <f>4487+2368+8763</f>
        <v>15618</v>
      </c>
      <c r="U29" s="2">
        <f t="shared" si="24"/>
        <v>330529</v>
      </c>
      <c r="V29" s="27">
        <v>88</v>
      </c>
      <c r="W29" s="27">
        <f>199125+40000+34000+340000+50000</f>
        <v>663125</v>
      </c>
      <c r="X29" s="27">
        <f>23444+4000+3300+50000+5000</f>
        <v>85744</v>
      </c>
      <c r="Y29" s="27">
        <f>2000+4000+40000</f>
        <v>46000</v>
      </c>
      <c r="Z29" s="27">
        <f>550+1000+10000</f>
        <v>11550</v>
      </c>
      <c r="AA29" s="2">
        <f t="shared" si="8"/>
        <v>806419</v>
      </c>
      <c r="AB29" s="41">
        <v>1925</v>
      </c>
      <c r="AC29" s="27" t="s">
        <v>552</v>
      </c>
      <c r="AD29" s="157" t="str">
        <f t="shared" si="17"/>
        <v>https://ia601501.us.archive.org/22/items/192425/1924-25.pdf#page=17</v>
      </c>
      <c r="AE29" s="155" t="str">
        <f t="shared" si="18"/>
        <v>https://ia601501.us.archive.org/22/items/192425/1924-25.pdf#page=22</v>
      </c>
      <c r="AF29" s="7" t="str">
        <f t="shared" si="9"/>
        <v>https://ia601501.us.archive.org/22/items/192425/1924-25.pdf#page=17</v>
      </c>
      <c r="AG29" s="153" t="str">
        <f t="shared" si="10"/>
        <v>https://ia601501.us.archive.org/22/items/192425/1924-25.pdf#page=22</v>
      </c>
      <c r="AH29" s="7" t="str">
        <f t="shared" si="11"/>
        <v>https://ia601501.us.archive.org/22/items/192425/1924-25.pdf#page=17</v>
      </c>
      <c r="AI29" s="153" t="str">
        <f t="shared" si="12"/>
        <v>https://ia601501.us.archive.org/22/items/192425/1924-25.pdf#page=22</v>
      </c>
      <c r="AJ29" s="7" t="str">
        <f t="shared" si="13"/>
        <v>https://ia601501.us.archive.org/22/items/192425/1924-25.pdf#page=17</v>
      </c>
      <c r="AK29" s="152" t="str">
        <f t="shared" si="14"/>
        <v>https://ia601501.us.archive.org/22/items/192425/1924-25.pdf#page=22</v>
      </c>
      <c r="AL29" s="27" t="str">
        <f t="shared" si="22"/>
        <v>https://babel.hathitrust.org/cgi/pt?id=mdp.39015076547101;view=1up;seq=123</v>
      </c>
      <c r="AM29" s="155" t="str">
        <f t="shared" si="19"/>
        <v>https://ia601501.us.archive.org/22/items/192425/1924-25.pdf#page=23</v>
      </c>
      <c r="AN29" s="27" t="str">
        <f t="shared" si="25"/>
        <v>https://ia601501.us.archive.org/22/items/192425/1924-25.pdf#page=21</v>
      </c>
      <c r="AO29" s="152" t="str">
        <f t="shared" si="21"/>
        <v>https://ia601501.us.archive.org/22/items/192425/1924-25.pdf#page=24</v>
      </c>
      <c r="AP29" s="27" t="str">
        <f t="shared" si="15"/>
        <v>https://ia601501.us.archive.org/22/items/192425/1924-25.pdf#page=21</v>
      </c>
      <c r="AQ29" s="27" t="str">
        <f t="shared" si="16"/>
        <v>https://ia601501.us.archive.org/22/items/192425/1924-25.pdf#page=21</v>
      </c>
    </row>
    <row r="30" spans="1:43" x14ac:dyDescent="0.25">
      <c r="A30" s="27" t="s">
        <v>614</v>
      </c>
      <c r="B30" s="27" t="str">
        <f t="shared" si="0"/>
        <v>Alabama</v>
      </c>
      <c r="C30" s="27" t="str">
        <f t="shared" si="1"/>
        <v>Fayette</v>
      </c>
      <c r="D30" s="27">
        <f>1972+340+452+60+230</f>
        <v>3054</v>
      </c>
      <c r="E30" s="27">
        <f>212+13</f>
        <v>225</v>
      </c>
      <c r="F30" s="27">
        <f t="shared" si="3"/>
        <v>3279</v>
      </c>
      <c r="G30" s="27">
        <f>122+11+7</f>
        <v>140</v>
      </c>
      <c r="H30" s="27">
        <v>9</v>
      </c>
      <c r="I30" s="27">
        <f t="shared" si="23"/>
        <v>149</v>
      </c>
      <c r="J30" s="27">
        <f>156794+60502+37113+10683+40521</f>
        <v>305613</v>
      </c>
      <c r="K30" s="27">
        <f>12321+903</f>
        <v>13224</v>
      </c>
      <c r="L30" s="97">
        <f t="shared" si="4"/>
        <v>97.236047575480328</v>
      </c>
      <c r="M30" s="7">
        <f>3826+410+260</f>
        <v>4496</v>
      </c>
      <c r="N30" s="7">
        <v>378</v>
      </c>
      <c r="O30" s="27">
        <f t="shared" si="5"/>
        <v>4874</v>
      </c>
      <c r="P30" s="27">
        <f>66368+4869+10113</f>
        <v>81350</v>
      </c>
      <c r="Q30" s="27">
        <v>1000</v>
      </c>
      <c r="R30" s="115">
        <f t="shared" si="6"/>
        <v>113.67894469987851</v>
      </c>
      <c r="S30" s="7">
        <f>63164+8565+13880</f>
        <v>85609</v>
      </c>
      <c r="T30" s="7">
        <v>1047</v>
      </c>
      <c r="U30" s="2">
        <f t="shared" si="24"/>
        <v>86656</v>
      </c>
      <c r="V30" s="27">
        <v>74</v>
      </c>
      <c r="W30" s="27">
        <f>75225+35000+25000</f>
        <v>135225</v>
      </c>
      <c r="X30" s="27">
        <f>11360+9500+3742</f>
        <v>24602</v>
      </c>
      <c r="Y30" s="27">
        <f>600</f>
        <v>600</v>
      </c>
      <c r="Z30" s="27">
        <f>150</f>
        <v>150</v>
      </c>
      <c r="AA30" s="2">
        <f t="shared" si="8"/>
        <v>160577</v>
      </c>
      <c r="AB30" s="41">
        <v>1925</v>
      </c>
      <c r="AC30" s="27" t="s">
        <v>552</v>
      </c>
      <c r="AD30" s="157" t="str">
        <f t="shared" si="17"/>
        <v>https://ia601501.us.archive.org/22/items/192425/1924-25.pdf#page=17</v>
      </c>
      <c r="AE30" s="155" t="str">
        <f t="shared" si="18"/>
        <v>https://ia601501.us.archive.org/22/items/192425/1924-25.pdf#page=22</v>
      </c>
      <c r="AF30" s="7" t="str">
        <f t="shared" si="9"/>
        <v>https://ia601501.us.archive.org/22/items/192425/1924-25.pdf#page=17</v>
      </c>
      <c r="AG30" s="153" t="str">
        <f t="shared" si="10"/>
        <v>https://ia601501.us.archive.org/22/items/192425/1924-25.pdf#page=22</v>
      </c>
      <c r="AH30" s="7" t="str">
        <f t="shared" si="11"/>
        <v>https://ia601501.us.archive.org/22/items/192425/1924-25.pdf#page=17</v>
      </c>
      <c r="AI30" s="153" t="str">
        <f t="shared" si="12"/>
        <v>https://ia601501.us.archive.org/22/items/192425/1924-25.pdf#page=22</v>
      </c>
      <c r="AJ30" s="7" t="str">
        <f t="shared" si="13"/>
        <v>https://ia601501.us.archive.org/22/items/192425/1924-25.pdf#page=17</v>
      </c>
      <c r="AK30" s="152" t="str">
        <f t="shared" si="14"/>
        <v>https://ia601501.us.archive.org/22/items/192425/1924-25.pdf#page=22</v>
      </c>
      <c r="AL30" s="27" t="str">
        <f t="shared" si="22"/>
        <v>https://babel.hathitrust.org/cgi/pt?id=mdp.39015076547101;view=1up;seq=123</v>
      </c>
      <c r="AM30" s="155" t="str">
        <f t="shared" si="19"/>
        <v>https://ia601501.us.archive.org/22/items/192425/1924-25.pdf#page=23</v>
      </c>
      <c r="AN30" s="27" t="str">
        <f t="shared" si="25"/>
        <v>https://ia601501.us.archive.org/22/items/192425/1924-25.pdf#page=21</v>
      </c>
      <c r="AO30" s="152" t="str">
        <f t="shared" si="21"/>
        <v>https://ia601501.us.archive.org/22/items/192425/1924-25.pdf#page=24</v>
      </c>
      <c r="AP30" s="27" t="str">
        <f t="shared" si="15"/>
        <v>https://ia601501.us.archive.org/22/items/192425/1924-25.pdf#page=21</v>
      </c>
      <c r="AQ30" s="27" t="str">
        <f t="shared" si="16"/>
        <v>https://ia601501.us.archive.org/22/items/192425/1924-25.pdf#page=21</v>
      </c>
    </row>
    <row r="31" spans="1:43" x14ac:dyDescent="0.25">
      <c r="A31" s="27" t="s">
        <v>615</v>
      </c>
      <c r="B31" s="27" t="str">
        <f t="shared" si="0"/>
        <v>Alabama</v>
      </c>
      <c r="C31" s="27" t="str">
        <f t="shared" si="1"/>
        <v>Franklin</v>
      </c>
      <c r="D31" s="27">
        <f>2806+280+635+241</f>
        <v>3962</v>
      </c>
      <c r="E31" s="27">
        <f>189+5</f>
        <v>194</v>
      </c>
      <c r="F31" s="27">
        <f t="shared" si="3"/>
        <v>4156</v>
      </c>
      <c r="G31" s="27">
        <f>135+10+8</f>
        <v>153</v>
      </c>
      <c r="H31" s="27">
        <v>7</v>
      </c>
      <c r="I31" s="27">
        <f t="shared" si="23"/>
        <v>160</v>
      </c>
      <c r="J31" s="27">
        <f>293177+49216+90423+42822</f>
        <v>475638</v>
      </c>
      <c r="K31" s="27">
        <f>15170+398</f>
        <v>15568</v>
      </c>
      <c r="L31" s="97">
        <f t="shared" si="4"/>
        <v>118.19201154956689</v>
      </c>
      <c r="M31" s="7">
        <f>5208+383+260</f>
        <v>5851</v>
      </c>
      <c r="N31" s="7">
        <v>243</v>
      </c>
      <c r="O31" s="27">
        <f t="shared" si="5"/>
        <v>6094</v>
      </c>
      <c r="P31" s="27">
        <f>65523+6930+6975</f>
        <v>79428</v>
      </c>
      <c r="Q31" s="27">
        <v>1416</v>
      </c>
      <c r="R31" s="115">
        <f t="shared" si="6"/>
        <v>85.500702352984291</v>
      </c>
      <c r="S31" s="7">
        <f>120402+9495+13753</f>
        <v>143650</v>
      </c>
      <c r="T31" s="7">
        <v>4112</v>
      </c>
      <c r="U31" s="2">
        <f t="shared" si="24"/>
        <v>147762</v>
      </c>
      <c r="V31" s="27">
        <v>69</v>
      </c>
      <c r="W31" s="27">
        <f>127300+40000+40000</f>
        <v>207300</v>
      </c>
      <c r="X31" s="27">
        <f>20930+5000+7000</f>
        <v>32930</v>
      </c>
      <c r="Y31" s="27">
        <f>6200</f>
        <v>6200</v>
      </c>
      <c r="Z31" s="27">
        <f>1000</f>
        <v>1000</v>
      </c>
      <c r="AA31" s="2">
        <f t="shared" si="8"/>
        <v>247430</v>
      </c>
      <c r="AB31" s="41">
        <v>1925</v>
      </c>
      <c r="AC31" s="27" t="s">
        <v>552</v>
      </c>
      <c r="AD31" s="157" t="str">
        <f t="shared" si="17"/>
        <v>https://ia601501.us.archive.org/22/items/192425/1924-25.pdf#page=17</v>
      </c>
      <c r="AE31" s="155" t="str">
        <f t="shared" si="18"/>
        <v>https://ia601501.us.archive.org/22/items/192425/1924-25.pdf#page=22</v>
      </c>
      <c r="AF31" s="7" t="str">
        <f t="shared" si="9"/>
        <v>https://ia601501.us.archive.org/22/items/192425/1924-25.pdf#page=17</v>
      </c>
      <c r="AG31" s="153" t="str">
        <f t="shared" si="10"/>
        <v>https://ia601501.us.archive.org/22/items/192425/1924-25.pdf#page=22</v>
      </c>
      <c r="AH31" s="7" t="str">
        <f t="shared" si="11"/>
        <v>https://ia601501.us.archive.org/22/items/192425/1924-25.pdf#page=17</v>
      </c>
      <c r="AI31" s="153" t="str">
        <f t="shared" si="12"/>
        <v>https://ia601501.us.archive.org/22/items/192425/1924-25.pdf#page=22</v>
      </c>
      <c r="AJ31" s="7" t="str">
        <f t="shared" si="13"/>
        <v>https://ia601501.us.archive.org/22/items/192425/1924-25.pdf#page=17</v>
      </c>
      <c r="AK31" s="152" t="str">
        <f t="shared" si="14"/>
        <v>https://ia601501.us.archive.org/22/items/192425/1924-25.pdf#page=22</v>
      </c>
      <c r="AL31" s="27" t="str">
        <f t="shared" si="22"/>
        <v>https://babel.hathitrust.org/cgi/pt?id=mdp.39015076547101;view=1up;seq=123</v>
      </c>
      <c r="AM31" s="155" t="str">
        <f t="shared" si="19"/>
        <v>https://ia601501.us.archive.org/22/items/192425/1924-25.pdf#page=23</v>
      </c>
      <c r="AN31" s="27" t="str">
        <f t="shared" si="25"/>
        <v>https://ia601501.us.archive.org/22/items/192425/1924-25.pdf#page=21</v>
      </c>
      <c r="AO31" s="152" t="str">
        <f t="shared" si="21"/>
        <v>https://ia601501.us.archive.org/22/items/192425/1924-25.pdf#page=24</v>
      </c>
      <c r="AP31" s="27" t="str">
        <f t="shared" si="15"/>
        <v>https://ia601501.us.archive.org/22/items/192425/1924-25.pdf#page=21</v>
      </c>
      <c r="AQ31" s="27" t="str">
        <f t="shared" si="16"/>
        <v>https://ia601501.us.archive.org/22/items/192425/1924-25.pdf#page=21</v>
      </c>
    </row>
    <row r="32" spans="1:43" x14ac:dyDescent="0.25">
      <c r="A32" s="27" t="s">
        <v>616</v>
      </c>
      <c r="B32" s="27" t="str">
        <f t="shared" si="0"/>
        <v>Alabama</v>
      </c>
      <c r="C32" s="27" t="str">
        <f t="shared" si="1"/>
        <v>Geneva</v>
      </c>
      <c r="D32" s="27">
        <f>2860+223+211+134+276+76+42+91+200</f>
        <v>4113</v>
      </c>
      <c r="E32" s="27">
        <f>149+77+56+145+3+2</f>
        <v>432</v>
      </c>
      <c r="F32" s="27">
        <f t="shared" si="3"/>
        <v>4545</v>
      </c>
      <c r="G32" s="27">
        <f>125+11+7+9+6</f>
        <v>158</v>
      </c>
      <c r="H32" s="27">
        <f>5+2+1+2</f>
        <v>10</v>
      </c>
      <c r="I32" s="27">
        <f t="shared" si="23"/>
        <v>168</v>
      </c>
      <c r="J32" s="27">
        <f>345923+39197+36883+23890+33386+13352+7342+16059+35016</f>
        <v>551048</v>
      </c>
      <c r="K32" s="27">
        <f>14331+9245+6605+17246+287+235</f>
        <v>47949</v>
      </c>
      <c r="L32" s="97">
        <f t="shared" si="4"/>
        <v>131.7925192519252</v>
      </c>
      <c r="M32" s="7">
        <f>5361+431+327+314+227</f>
        <v>6660</v>
      </c>
      <c r="N32" s="7">
        <f>232+123+96+285</f>
        <v>736</v>
      </c>
      <c r="O32" s="27">
        <f t="shared" si="5"/>
        <v>7396</v>
      </c>
      <c r="P32" s="27">
        <f>54655+10405+5880+9825+7198</f>
        <v>87963</v>
      </c>
      <c r="Q32" s="27">
        <f>900+300+245+510</f>
        <v>1955</v>
      </c>
      <c r="R32" s="115">
        <f t="shared" si="6"/>
        <v>81.222544877997237</v>
      </c>
      <c r="S32" s="7">
        <f>94125+13411+5804+12322+8694</f>
        <v>134356</v>
      </c>
      <c r="T32" s="7">
        <f>977+301+245+530</f>
        <v>2053</v>
      </c>
      <c r="U32" s="2">
        <f t="shared" si="24"/>
        <v>136409</v>
      </c>
      <c r="V32" s="27">
        <v>69</v>
      </c>
      <c r="W32" s="27">
        <f>127500+80000+20000+40000+18000</f>
        <v>285500</v>
      </c>
      <c r="X32" s="27">
        <f>20911+2700+1400+2000+2000</f>
        <v>29011</v>
      </c>
      <c r="Y32" s="27">
        <f>6002000+1500+1000</f>
        <v>6004500</v>
      </c>
      <c r="Z32" s="27">
        <f>200+150+150+40</f>
        <v>540</v>
      </c>
      <c r="AA32" s="2">
        <f t="shared" si="8"/>
        <v>6319551</v>
      </c>
      <c r="AB32" s="41">
        <v>1925</v>
      </c>
      <c r="AC32" s="27" t="s">
        <v>552</v>
      </c>
      <c r="AD32" s="157" t="str">
        <f t="shared" si="17"/>
        <v>https://ia601501.us.archive.org/22/items/192425/1924-25.pdf#page=17</v>
      </c>
      <c r="AE32" s="155" t="str">
        <f t="shared" si="18"/>
        <v>https://ia601501.us.archive.org/22/items/192425/1924-25.pdf#page=22</v>
      </c>
      <c r="AF32" s="7" t="str">
        <f t="shared" si="9"/>
        <v>https://ia601501.us.archive.org/22/items/192425/1924-25.pdf#page=17</v>
      </c>
      <c r="AG32" s="153" t="str">
        <f t="shared" si="10"/>
        <v>https://ia601501.us.archive.org/22/items/192425/1924-25.pdf#page=22</v>
      </c>
      <c r="AH32" s="7" t="str">
        <f t="shared" si="11"/>
        <v>https://ia601501.us.archive.org/22/items/192425/1924-25.pdf#page=17</v>
      </c>
      <c r="AI32" s="153" t="str">
        <f t="shared" si="12"/>
        <v>https://ia601501.us.archive.org/22/items/192425/1924-25.pdf#page=22</v>
      </c>
      <c r="AJ32" s="7" t="str">
        <f t="shared" si="13"/>
        <v>https://ia601501.us.archive.org/22/items/192425/1924-25.pdf#page=17</v>
      </c>
      <c r="AK32" s="152" t="str">
        <f t="shared" si="14"/>
        <v>https://ia601501.us.archive.org/22/items/192425/1924-25.pdf#page=22</v>
      </c>
      <c r="AL32" s="27" t="str">
        <f t="shared" si="22"/>
        <v>https://babel.hathitrust.org/cgi/pt?id=mdp.39015076547101;view=1up;seq=123</v>
      </c>
      <c r="AM32" s="155" t="str">
        <f t="shared" si="19"/>
        <v>https://ia601501.us.archive.org/22/items/192425/1924-25.pdf#page=23</v>
      </c>
      <c r="AN32" s="27" t="str">
        <f t="shared" si="25"/>
        <v>https://ia601501.us.archive.org/22/items/192425/1924-25.pdf#page=21</v>
      </c>
      <c r="AO32" s="152" t="str">
        <f t="shared" si="21"/>
        <v>https://ia601501.us.archive.org/22/items/192425/1924-25.pdf#page=24</v>
      </c>
      <c r="AP32" s="27" t="str">
        <f t="shared" si="15"/>
        <v>https://ia601501.us.archive.org/22/items/192425/1924-25.pdf#page=21</v>
      </c>
      <c r="AQ32" s="27" t="str">
        <f t="shared" si="16"/>
        <v>https://ia601501.us.archive.org/22/items/192425/1924-25.pdf#page=21</v>
      </c>
    </row>
    <row r="33" spans="1:43" x14ac:dyDescent="0.25">
      <c r="A33" s="27" t="s">
        <v>617</v>
      </c>
      <c r="B33" s="27" t="str">
        <f t="shared" si="0"/>
        <v>Alabama</v>
      </c>
      <c r="C33" s="27" t="str">
        <f t="shared" si="1"/>
        <v>Greene</v>
      </c>
      <c r="D33" s="27">
        <f>328+92+128+93</f>
        <v>641</v>
      </c>
      <c r="E33" s="27">
        <f>3116+73+43+2</f>
        <v>3234</v>
      </c>
      <c r="F33" s="27">
        <f t="shared" si="3"/>
        <v>3875</v>
      </c>
      <c r="G33" s="27">
        <f>32+7</f>
        <v>39</v>
      </c>
      <c r="H33" s="27">
        <f>62+2</f>
        <v>64</v>
      </c>
      <c r="I33" s="27">
        <f t="shared" si="23"/>
        <v>103</v>
      </c>
      <c r="J33" s="27">
        <f>45902+16190+19804+16422</f>
        <v>98318</v>
      </c>
      <c r="K33" s="27">
        <f>349346+8458+3430+231</f>
        <v>361465</v>
      </c>
      <c r="L33" s="97">
        <f t="shared" si="4"/>
        <v>118.65367741935484</v>
      </c>
      <c r="M33" s="7">
        <f>502+236</f>
        <v>738</v>
      </c>
      <c r="N33" s="7">
        <f>3650+102</f>
        <v>3752</v>
      </c>
      <c r="O33" s="27">
        <f t="shared" si="5"/>
        <v>4490</v>
      </c>
      <c r="P33" s="27">
        <f>22399+7700</f>
        <v>30099</v>
      </c>
      <c r="Q33" s="27">
        <f>9420+570</f>
        <v>9990</v>
      </c>
      <c r="R33" s="115">
        <f t="shared" si="6"/>
        <v>65.604977561280549</v>
      </c>
      <c r="S33" s="7">
        <f>22221+9048</f>
        <v>31269</v>
      </c>
      <c r="T33" s="7">
        <f>13130+805</f>
        <v>13935</v>
      </c>
      <c r="U33" s="2">
        <f t="shared" si="24"/>
        <v>45204</v>
      </c>
      <c r="V33" s="27">
        <v>78</v>
      </c>
      <c r="W33" s="27">
        <f>17700+35000</f>
        <v>52700</v>
      </c>
      <c r="X33" s="27">
        <f>3500+6000</f>
        <v>9500</v>
      </c>
      <c r="Y33" s="27">
        <f>27000+1500</f>
        <v>28500</v>
      </c>
      <c r="Z33" s="27">
        <f>3400+513</f>
        <v>3913</v>
      </c>
      <c r="AA33" s="2">
        <f t="shared" si="8"/>
        <v>94613</v>
      </c>
      <c r="AB33" s="41">
        <v>1925</v>
      </c>
      <c r="AC33" s="27" t="s">
        <v>552</v>
      </c>
      <c r="AD33" s="157" t="str">
        <f t="shared" si="17"/>
        <v>https://ia601501.us.archive.org/22/items/192425/1924-25.pdf#page=17</v>
      </c>
      <c r="AE33" s="155" t="str">
        <f t="shared" si="18"/>
        <v>https://ia601501.us.archive.org/22/items/192425/1924-25.pdf#page=22</v>
      </c>
      <c r="AF33" s="7" t="str">
        <f t="shared" si="9"/>
        <v>https://ia601501.us.archive.org/22/items/192425/1924-25.pdf#page=17</v>
      </c>
      <c r="AG33" s="153" t="str">
        <f t="shared" si="10"/>
        <v>https://ia601501.us.archive.org/22/items/192425/1924-25.pdf#page=22</v>
      </c>
      <c r="AH33" s="7" t="str">
        <f t="shared" si="11"/>
        <v>https://ia601501.us.archive.org/22/items/192425/1924-25.pdf#page=17</v>
      </c>
      <c r="AI33" s="153" t="str">
        <f t="shared" si="12"/>
        <v>https://ia601501.us.archive.org/22/items/192425/1924-25.pdf#page=22</v>
      </c>
      <c r="AJ33" s="7" t="str">
        <f t="shared" si="13"/>
        <v>https://ia601501.us.archive.org/22/items/192425/1924-25.pdf#page=17</v>
      </c>
      <c r="AK33" s="152" t="str">
        <f t="shared" si="14"/>
        <v>https://ia601501.us.archive.org/22/items/192425/1924-25.pdf#page=22</v>
      </c>
      <c r="AL33" s="27" t="str">
        <f t="shared" si="22"/>
        <v>https://babel.hathitrust.org/cgi/pt?id=mdp.39015076547101;view=1up;seq=123</v>
      </c>
      <c r="AM33" s="155" t="str">
        <f t="shared" si="19"/>
        <v>https://ia601501.us.archive.org/22/items/192425/1924-25.pdf#page=23</v>
      </c>
      <c r="AN33" s="27" t="str">
        <f t="shared" si="25"/>
        <v>https://ia601501.us.archive.org/22/items/192425/1924-25.pdf#page=21</v>
      </c>
      <c r="AO33" s="152" t="str">
        <f t="shared" si="21"/>
        <v>https://ia601501.us.archive.org/22/items/192425/1924-25.pdf#page=24</v>
      </c>
      <c r="AP33" s="27" t="str">
        <f t="shared" si="15"/>
        <v>https://ia601501.us.archive.org/22/items/192425/1924-25.pdf#page=21</v>
      </c>
      <c r="AQ33" s="27" t="str">
        <f t="shared" si="16"/>
        <v>https://ia601501.us.archive.org/22/items/192425/1924-25.pdf#page=21</v>
      </c>
    </row>
    <row r="34" spans="1:43" x14ac:dyDescent="0.25">
      <c r="A34" s="27" t="s">
        <v>618</v>
      </c>
      <c r="B34" s="27" t="str">
        <f t="shared" si="0"/>
        <v>Alabama</v>
      </c>
      <c r="C34" s="27" t="str">
        <f t="shared" si="1"/>
        <v>Hale</v>
      </c>
      <c r="D34" s="27">
        <f>737+167+209+111+90</f>
        <v>1314</v>
      </c>
      <c r="E34" s="27">
        <f>2843+88</f>
        <v>2931</v>
      </c>
      <c r="F34" s="27">
        <f t="shared" si="3"/>
        <v>4245</v>
      </c>
      <c r="G34" s="27">
        <f>70+11+4</f>
        <v>85</v>
      </c>
      <c r="H34" s="27">
        <f>68</f>
        <v>68</v>
      </c>
      <c r="I34" s="27">
        <f t="shared" si="23"/>
        <v>153</v>
      </c>
      <c r="J34" s="27">
        <f>94757+29617+26935+19590+15734</f>
        <v>186633</v>
      </c>
      <c r="K34" s="27">
        <f>220521+13040</f>
        <v>233561</v>
      </c>
      <c r="L34" s="97">
        <f t="shared" si="4"/>
        <v>98.985630153121321</v>
      </c>
      <c r="M34" s="7">
        <f>1308+319+118</f>
        <v>1745</v>
      </c>
      <c r="N34" s="7">
        <v>4484</v>
      </c>
      <c r="O34" s="27">
        <f t="shared" si="5"/>
        <v>6229</v>
      </c>
      <c r="P34" s="27">
        <f>37607+10472+5433</f>
        <v>53512</v>
      </c>
      <c r="Q34" s="27">
        <v>13976</v>
      </c>
      <c r="R34" s="115">
        <f t="shared" si="6"/>
        <v>89.123651288242499</v>
      </c>
      <c r="S34" s="7">
        <f>57628+13614+6614</f>
        <v>77856</v>
      </c>
      <c r="T34" s="7">
        <v>19711</v>
      </c>
      <c r="U34" s="2">
        <f t="shared" si="24"/>
        <v>97567</v>
      </c>
      <c r="V34" s="27">
        <v>101</v>
      </c>
      <c r="W34" s="27">
        <f>54605+30000+15000</f>
        <v>99605</v>
      </c>
      <c r="X34" s="27">
        <f>5700+1500+2000</f>
        <v>9200</v>
      </c>
      <c r="Y34" s="27">
        <f>42085</f>
        <v>42085</v>
      </c>
      <c r="Z34" s="27">
        <f>2803</f>
        <v>2803</v>
      </c>
      <c r="AA34" s="2">
        <f t="shared" si="8"/>
        <v>153693</v>
      </c>
      <c r="AB34" s="41">
        <v>1925</v>
      </c>
      <c r="AC34" s="27" t="s">
        <v>552</v>
      </c>
      <c r="AD34" s="157" t="str">
        <f t="shared" si="17"/>
        <v>https://ia601501.us.archive.org/22/items/192425/1924-25.pdf#page=17</v>
      </c>
      <c r="AE34" s="155" t="str">
        <f t="shared" si="18"/>
        <v>https://ia601501.us.archive.org/22/items/192425/1924-25.pdf#page=22</v>
      </c>
      <c r="AF34" s="7" t="str">
        <f t="shared" si="9"/>
        <v>https://ia601501.us.archive.org/22/items/192425/1924-25.pdf#page=17</v>
      </c>
      <c r="AG34" s="153" t="str">
        <f t="shared" si="10"/>
        <v>https://ia601501.us.archive.org/22/items/192425/1924-25.pdf#page=22</v>
      </c>
      <c r="AH34" s="7" t="str">
        <f t="shared" si="11"/>
        <v>https://ia601501.us.archive.org/22/items/192425/1924-25.pdf#page=17</v>
      </c>
      <c r="AI34" s="153" t="str">
        <f t="shared" si="12"/>
        <v>https://ia601501.us.archive.org/22/items/192425/1924-25.pdf#page=22</v>
      </c>
      <c r="AJ34" s="7" t="str">
        <f t="shared" si="13"/>
        <v>https://ia601501.us.archive.org/22/items/192425/1924-25.pdf#page=17</v>
      </c>
      <c r="AK34" s="152" t="str">
        <f t="shared" si="14"/>
        <v>https://ia601501.us.archive.org/22/items/192425/1924-25.pdf#page=22</v>
      </c>
      <c r="AL34" s="27" t="str">
        <f t="shared" si="22"/>
        <v>https://babel.hathitrust.org/cgi/pt?id=mdp.39015076547101;view=1up;seq=123</v>
      </c>
      <c r="AM34" s="155" t="str">
        <f t="shared" si="19"/>
        <v>https://ia601501.us.archive.org/22/items/192425/1924-25.pdf#page=23</v>
      </c>
      <c r="AN34" s="27" t="str">
        <f t="shared" si="25"/>
        <v>https://ia601501.us.archive.org/22/items/192425/1924-25.pdf#page=21</v>
      </c>
      <c r="AO34" s="152" t="str">
        <f t="shared" si="21"/>
        <v>https://ia601501.us.archive.org/22/items/192425/1924-25.pdf#page=24</v>
      </c>
      <c r="AP34" s="27" t="str">
        <f t="shared" si="15"/>
        <v>https://ia601501.us.archive.org/22/items/192425/1924-25.pdf#page=21</v>
      </c>
      <c r="AQ34" s="27" t="str">
        <f t="shared" si="16"/>
        <v>https://ia601501.us.archive.org/22/items/192425/1924-25.pdf#page=21</v>
      </c>
    </row>
    <row r="35" spans="1:43" x14ac:dyDescent="0.25">
      <c r="A35" s="27" t="s">
        <v>619</v>
      </c>
      <c r="B35" s="27" t="str">
        <f t="shared" si="0"/>
        <v>Alabama</v>
      </c>
      <c r="C35" s="27" t="str">
        <f t="shared" si="1"/>
        <v>Henry</v>
      </c>
      <c r="D35" s="27">
        <f>1440+195+248+145+176</f>
        <v>2204</v>
      </c>
      <c r="E35" s="27">
        <f>535+78+9</f>
        <v>622</v>
      </c>
      <c r="F35" s="27">
        <f t="shared" si="3"/>
        <v>2826</v>
      </c>
      <c r="G35" s="27">
        <f>79+6+6+6</f>
        <v>97</v>
      </c>
      <c r="H35" s="27">
        <f>18+1</f>
        <v>19</v>
      </c>
      <c r="I35" s="27">
        <f t="shared" si="23"/>
        <v>116</v>
      </c>
      <c r="J35" s="27">
        <f>187782+34367+32342+25372+31026</f>
        <v>310889</v>
      </c>
      <c r="K35" s="27">
        <f>40342+5960+1051</f>
        <v>47353</v>
      </c>
      <c r="L35" s="97">
        <f t="shared" si="4"/>
        <v>126.76645435244161</v>
      </c>
      <c r="M35" s="7">
        <f>277+258+186+200</f>
        <v>921</v>
      </c>
      <c r="N35" s="7">
        <f>1101+207</f>
        <v>1308</v>
      </c>
      <c r="O35" s="27">
        <f t="shared" si="5"/>
        <v>2229</v>
      </c>
      <c r="P35" s="27">
        <f>34648+3870+8659+9508</f>
        <v>56685</v>
      </c>
      <c r="Q35" s="27">
        <f>5482+240</f>
        <v>5722</v>
      </c>
      <c r="R35" s="115">
        <f t="shared" si="6"/>
        <v>84.87913968384693</v>
      </c>
      <c r="S35" s="7">
        <f>54087+33898+10079+14790</f>
        <v>112854</v>
      </c>
      <c r="T35" s="7">
        <f>6092+280</f>
        <v>6372</v>
      </c>
      <c r="U35" s="2">
        <f t="shared" si="24"/>
        <v>119226</v>
      </c>
      <c r="V35" s="27">
        <v>57</v>
      </c>
      <c r="W35" s="27">
        <f>31150+25000+23000+35000</f>
        <v>114150</v>
      </c>
      <c r="X35" s="27">
        <f>8544+3268+2000+4000</f>
        <v>17812</v>
      </c>
      <c r="Y35" s="27">
        <f>17000+700</f>
        <v>17700</v>
      </c>
      <c r="Z35" s="27">
        <f>2813</f>
        <v>2813</v>
      </c>
      <c r="AA35" s="2">
        <f t="shared" si="8"/>
        <v>152475</v>
      </c>
      <c r="AB35" s="41">
        <v>1925</v>
      </c>
      <c r="AC35" s="27" t="s">
        <v>552</v>
      </c>
      <c r="AD35" s="157" t="str">
        <f t="shared" si="17"/>
        <v>https://ia601501.us.archive.org/22/items/192425/1924-25.pdf#page=17</v>
      </c>
      <c r="AE35" s="155" t="str">
        <f t="shared" si="18"/>
        <v>https://ia601501.us.archive.org/22/items/192425/1924-25.pdf#page=22</v>
      </c>
      <c r="AF35" s="7" t="str">
        <f t="shared" si="9"/>
        <v>https://ia601501.us.archive.org/22/items/192425/1924-25.pdf#page=17</v>
      </c>
      <c r="AG35" s="153" t="str">
        <f t="shared" si="10"/>
        <v>https://ia601501.us.archive.org/22/items/192425/1924-25.pdf#page=22</v>
      </c>
      <c r="AH35" s="7" t="str">
        <f t="shared" si="11"/>
        <v>https://ia601501.us.archive.org/22/items/192425/1924-25.pdf#page=17</v>
      </c>
      <c r="AI35" s="153" t="str">
        <f t="shared" si="12"/>
        <v>https://ia601501.us.archive.org/22/items/192425/1924-25.pdf#page=22</v>
      </c>
      <c r="AJ35" s="7" t="str">
        <f t="shared" si="13"/>
        <v>https://ia601501.us.archive.org/22/items/192425/1924-25.pdf#page=17</v>
      </c>
      <c r="AK35" s="152" t="str">
        <f t="shared" si="14"/>
        <v>https://ia601501.us.archive.org/22/items/192425/1924-25.pdf#page=22</v>
      </c>
      <c r="AL35" s="27" t="str">
        <f t="shared" si="22"/>
        <v>https://babel.hathitrust.org/cgi/pt?id=mdp.39015076547101;view=1up;seq=123</v>
      </c>
      <c r="AM35" s="155" t="str">
        <f t="shared" si="19"/>
        <v>https://ia601501.us.archive.org/22/items/192425/1924-25.pdf#page=23</v>
      </c>
      <c r="AN35" s="27" t="str">
        <f t="shared" si="25"/>
        <v>https://ia601501.us.archive.org/22/items/192425/1924-25.pdf#page=21</v>
      </c>
      <c r="AO35" s="152" t="str">
        <f t="shared" si="21"/>
        <v>https://ia601501.us.archive.org/22/items/192425/1924-25.pdf#page=24</v>
      </c>
      <c r="AP35" s="27" t="str">
        <f t="shared" si="15"/>
        <v>https://ia601501.us.archive.org/22/items/192425/1924-25.pdf#page=21</v>
      </c>
      <c r="AQ35" s="27" t="str">
        <f t="shared" si="16"/>
        <v>https://ia601501.us.archive.org/22/items/192425/1924-25.pdf#page=21</v>
      </c>
    </row>
    <row r="36" spans="1:43" s="158" customFormat="1" x14ac:dyDescent="0.25">
      <c r="A36" s="158" t="s">
        <v>620</v>
      </c>
      <c r="B36" s="158" t="str">
        <f t="shared" si="0"/>
        <v>Alabama</v>
      </c>
      <c r="C36" s="158" t="str">
        <f t="shared" si="1"/>
        <v>Houston</v>
      </c>
      <c r="D36" s="158">
        <f>3839+1009+201+458+84</f>
        <v>5591</v>
      </c>
      <c r="E36" s="158">
        <f>1086+444+12</f>
        <v>1542</v>
      </c>
      <c r="F36" s="158">
        <f t="shared" si="3"/>
        <v>7133</v>
      </c>
      <c r="G36" s="158">
        <f>140+44+4</f>
        <v>188</v>
      </c>
      <c r="H36" s="158">
        <f>28+12</f>
        <v>40</v>
      </c>
      <c r="I36" s="158">
        <f t="shared" si="23"/>
        <v>228</v>
      </c>
      <c r="J36" s="158">
        <f>454662+174543+24609+79242+14948</f>
        <v>748004</v>
      </c>
      <c r="K36" s="158">
        <f>79417+67937+1831</f>
        <v>149185</v>
      </c>
      <c r="L36" s="159">
        <f t="shared" si="4"/>
        <v>125.78003645030141</v>
      </c>
      <c r="M36" s="160">
        <f>6464+1702+104</f>
        <v>8270</v>
      </c>
      <c r="N36" s="160">
        <f>1558+712</f>
        <v>2270</v>
      </c>
      <c r="O36" s="158">
        <f t="shared" si="5"/>
        <v>10540</v>
      </c>
      <c r="P36" s="158">
        <f>66204+39184+5068</f>
        <v>110456</v>
      </c>
      <c r="Q36" s="158">
        <f>3814+5200</f>
        <v>9014</v>
      </c>
      <c r="R36" s="161">
        <f t="shared" si="6"/>
        <v>83.318663733607124</v>
      </c>
      <c r="S36" s="160">
        <f>79258+68164+6327</f>
        <v>153749</v>
      </c>
      <c r="T36" s="160">
        <f>4785+6265</f>
        <v>11050</v>
      </c>
      <c r="U36" s="162">
        <f t="shared" si="24"/>
        <v>164799</v>
      </c>
      <c r="V36" s="158">
        <v>103</v>
      </c>
      <c r="W36" s="158">
        <f>86690+367850+18000</f>
        <v>472540</v>
      </c>
      <c r="X36" s="158">
        <f>10335+40911+3000</f>
        <v>54246</v>
      </c>
      <c r="Y36" s="158">
        <f>4110+15625</f>
        <v>19735</v>
      </c>
      <c r="Z36" s="158">
        <f>378+4400</f>
        <v>4778</v>
      </c>
      <c r="AA36" s="162">
        <f t="shared" si="8"/>
        <v>551299</v>
      </c>
      <c r="AB36" s="163">
        <v>1925</v>
      </c>
      <c r="AC36" s="158" t="s">
        <v>552</v>
      </c>
      <c r="AD36" s="164" t="s">
        <v>2694</v>
      </c>
      <c r="AE36" s="158" t="s">
        <v>2696</v>
      </c>
      <c r="AF36" s="160" t="str">
        <f t="shared" si="9"/>
        <v>https://ia601501.us.archive.org/22/items/192425/1924-25.pdf#page=25</v>
      </c>
      <c r="AG36" s="160" t="str">
        <f t="shared" si="10"/>
        <v>https://ia601501.us.archive.org/22/items/192425/1924-25.pdf#page=29</v>
      </c>
      <c r="AH36" s="160" t="str">
        <f t="shared" si="11"/>
        <v>https://ia601501.us.archive.org/22/items/192425/1924-25.pdf#page=25</v>
      </c>
      <c r="AI36" s="160" t="str">
        <f t="shared" si="12"/>
        <v>https://ia601501.us.archive.org/22/items/192425/1924-25.pdf#page=29</v>
      </c>
      <c r="AJ36" s="160" t="str">
        <f t="shared" si="13"/>
        <v>https://ia601501.us.archive.org/22/items/192425/1924-25.pdf#page=25</v>
      </c>
      <c r="AK36" s="158" t="str">
        <f t="shared" si="14"/>
        <v>https://ia601501.us.archive.org/22/items/192425/1924-25.pdf#page=29</v>
      </c>
      <c r="AL36" s="158" t="s">
        <v>2713</v>
      </c>
      <c r="AM36" s="158" t="s">
        <v>2697</v>
      </c>
      <c r="AN36" s="158" t="s">
        <v>2695</v>
      </c>
      <c r="AO36" s="158" t="s">
        <v>2698</v>
      </c>
      <c r="AP36" s="158" t="str">
        <f t="shared" si="15"/>
        <v>https://ia601501.us.archive.org/22/items/192425/1924-25.pdf#page=28</v>
      </c>
      <c r="AQ36" s="158" t="str">
        <f t="shared" si="16"/>
        <v>https://ia601501.us.archive.org/22/items/192425/1924-25.pdf#page=28</v>
      </c>
    </row>
    <row r="37" spans="1:43" x14ac:dyDescent="0.25">
      <c r="A37" s="27" t="s">
        <v>621</v>
      </c>
      <c r="B37" s="27" t="str">
        <f t="shared" si="0"/>
        <v>Alabama</v>
      </c>
      <c r="C37" s="27" t="str">
        <f t="shared" si="1"/>
        <v>Jackson</v>
      </c>
      <c r="D37" s="27">
        <f>5014+320+858+90+188</f>
        <v>6470</v>
      </c>
      <c r="E37" s="27">
        <f>436+30+1</f>
        <v>467</v>
      </c>
      <c r="F37" s="27">
        <f t="shared" si="3"/>
        <v>6937</v>
      </c>
      <c r="G37" s="27">
        <f>189+10+7</f>
        <v>206</v>
      </c>
      <c r="H37" s="27">
        <f>13+1</f>
        <v>14</v>
      </c>
      <c r="I37" s="27">
        <f t="shared" si="23"/>
        <v>220</v>
      </c>
      <c r="J37" s="27">
        <f>488871+48012+119696+15738+33352</f>
        <v>705669</v>
      </c>
      <c r="K37" s="27">
        <f>36234+2992+91</f>
        <v>39317</v>
      </c>
      <c r="L37" s="97">
        <f t="shared" si="4"/>
        <v>107.39310941329104</v>
      </c>
      <c r="M37" s="7">
        <f>8000+499+228</f>
        <v>8727</v>
      </c>
      <c r="N37" s="7">
        <f>649+36</f>
        <v>685</v>
      </c>
      <c r="O37" s="27">
        <f t="shared" si="5"/>
        <v>9412</v>
      </c>
      <c r="P37" s="27">
        <f>86518+7830+8799</f>
        <v>103147</v>
      </c>
      <c r="Q37" s="27">
        <f>2152+250</f>
        <v>2402</v>
      </c>
      <c r="R37" s="115">
        <f t="shared" si="6"/>
        <v>89.348038144951104</v>
      </c>
      <c r="S37" s="7">
        <f>136095+25464+10966</f>
        <v>172525</v>
      </c>
      <c r="T37" s="7">
        <f>2260+252</f>
        <v>2512</v>
      </c>
      <c r="U37" s="2">
        <f t="shared" si="24"/>
        <v>175037</v>
      </c>
      <c r="V37" s="27">
        <v>122</v>
      </c>
      <c r="W37" s="27">
        <f>254650+25000+40000</f>
        <v>319650</v>
      </c>
      <c r="X37" s="27">
        <f>58500+3000+1000</f>
        <v>62500</v>
      </c>
      <c r="Y37" s="27">
        <f>13400</f>
        <v>13400</v>
      </c>
      <c r="Z37" s="27">
        <v>800</v>
      </c>
      <c r="AA37" s="2">
        <f t="shared" si="8"/>
        <v>396350</v>
      </c>
      <c r="AB37" s="41">
        <v>1925</v>
      </c>
      <c r="AC37" s="27" t="s">
        <v>552</v>
      </c>
      <c r="AD37" s="157" t="str">
        <f t="shared" si="17"/>
        <v>https://ia601501.us.archive.org/22/items/192425/1924-25.pdf#page=25</v>
      </c>
      <c r="AE37" s="155" t="str">
        <f t="shared" si="18"/>
        <v>https://ia601501.us.archive.org/22/items/192425/1924-25.pdf#page=29</v>
      </c>
      <c r="AF37" s="7" t="str">
        <f t="shared" si="9"/>
        <v>https://ia601501.us.archive.org/22/items/192425/1924-25.pdf#page=25</v>
      </c>
      <c r="AG37" s="153" t="str">
        <f t="shared" si="10"/>
        <v>https://ia601501.us.archive.org/22/items/192425/1924-25.pdf#page=29</v>
      </c>
      <c r="AH37" s="7" t="str">
        <f t="shared" si="11"/>
        <v>https://ia601501.us.archive.org/22/items/192425/1924-25.pdf#page=25</v>
      </c>
      <c r="AI37" s="153" t="str">
        <f t="shared" si="12"/>
        <v>https://ia601501.us.archive.org/22/items/192425/1924-25.pdf#page=29</v>
      </c>
      <c r="AJ37" s="7" t="str">
        <f t="shared" si="13"/>
        <v>https://ia601501.us.archive.org/22/items/192425/1924-25.pdf#page=25</v>
      </c>
      <c r="AK37" s="152" t="str">
        <f t="shared" si="14"/>
        <v>https://ia601501.us.archive.org/22/items/192425/1924-25.pdf#page=29</v>
      </c>
      <c r="AL37" s="27" t="str">
        <f t="shared" si="22"/>
        <v>https://babel.hathitrust.org/cgi/pt?id=mdp.39015076547101;view=1up;seq=139</v>
      </c>
      <c r="AM37" s="155" t="str">
        <f t="shared" si="19"/>
        <v>https://ia601501.us.archive.org/22/items/192425/1924-25.pdf#page=30</v>
      </c>
      <c r="AN37" s="27" t="str">
        <f t="shared" si="25"/>
        <v>https://ia601501.us.archive.org/22/items/192425/1924-25.pdf#page=28</v>
      </c>
      <c r="AO37" s="152" t="str">
        <f t="shared" si="21"/>
        <v>https://ia601501.us.archive.org/22/items/192425/1924-25.pdf#page=31</v>
      </c>
      <c r="AP37" s="27" t="str">
        <f t="shared" si="15"/>
        <v>https://ia601501.us.archive.org/22/items/192425/1924-25.pdf#page=28</v>
      </c>
      <c r="AQ37" s="27" t="str">
        <f t="shared" si="16"/>
        <v>https://ia601501.us.archive.org/22/items/192425/1924-25.pdf#page=28</v>
      </c>
    </row>
    <row r="38" spans="1:43" x14ac:dyDescent="0.25">
      <c r="A38" s="27" t="s">
        <v>622</v>
      </c>
      <c r="B38" s="27" t="str">
        <f t="shared" si="0"/>
        <v>Alabama</v>
      </c>
      <c r="C38" s="27" t="str">
        <f t="shared" si="1"/>
        <v>Jefferson</v>
      </c>
      <c r="D38" s="27">
        <f>11654+1224+14493+560+5242+757+8935+297+418</f>
        <v>43580</v>
      </c>
      <c r="E38" s="27">
        <f>7609+1492+8643+519+675+237+2959+96</f>
        <v>22230</v>
      </c>
      <c r="F38" s="27">
        <f t="shared" si="3"/>
        <v>65810</v>
      </c>
      <c r="G38" s="27">
        <f>558+74+762+32+16</f>
        <v>1442</v>
      </c>
      <c r="H38" s="27">
        <f>212+29+255+13</f>
        <v>509</v>
      </c>
      <c r="I38" s="27">
        <f t="shared" si="23"/>
        <v>1951</v>
      </c>
      <c r="J38" s="27">
        <f>1898247+215301+2550822+97945+872798+133213+1572706+52002+73192</f>
        <v>7466226</v>
      </c>
      <c r="K38" s="27">
        <f>1232648+262529+4522628+90875+109344+41721+519324+16829</f>
        <v>6795898</v>
      </c>
      <c r="L38" s="97">
        <f t="shared" si="4"/>
        <v>216.71666919920986</v>
      </c>
      <c r="M38" s="7">
        <f>20505+2655+28230+1012+495</f>
        <v>52897</v>
      </c>
      <c r="N38" s="7">
        <f>11288+2412+16144+809</f>
        <v>30653</v>
      </c>
      <c r="O38" s="27">
        <f t="shared" si="5"/>
        <v>83550</v>
      </c>
      <c r="P38" s="27">
        <f>567550+72000+1056093+23573+18301</f>
        <v>1737517</v>
      </c>
      <c r="Q38" s="27">
        <f>139447+13320+218102+6664</f>
        <v>377533</v>
      </c>
      <c r="R38" s="115">
        <f t="shared" si="6"/>
        <v>100.04630364409151</v>
      </c>
      <c r="S38" s="7">
        <f>1069771+148002+1595452+171223+28748</f>
        <v>3013196</v>
      </c>
      <c r="T38" s="7">
        <f>157034+19308+317599+10534</f>
        <v>504475</v>
      </c>
      <c r="U38" s="2">
        <f t="shared" si="24"/>
        <v>3517671</v>
      </c>
      <c r="V38" s="27">
        <v>315</v>
      </c>
      <c r="W38" s="27">
        <f>1805156+700000+6049488+230000+150000</f>
        <v>8934644</v>
      </c>
      <c r="X38" s="27">
        <f>365657+90000+323924+12000+15500</f>
        <v>807081</v>
      </c>
      <c r="Y38" s="27">
        <f>217784+10500+637253+20000</f>
        <v>885537</v>
      </c>
      <c r="Z38" s="27">
        <f>39837+20000+20676+4800</f>
        <v>85313</v>
      </c>
      <c r="AA38" s="2">
        <f t="shared" si="8"/>
        <v>10712575</v>
      </c>
      <c r="AB38" s="41">
        <v>1925</v>
      </c>
      <c r="AC38" s="27" t="s">
        <v>552</v>
      </c>
      <c r="AD38" s="157" t="str">
        <f t="shared" si="17"/>
        <v>https://ia601501.us.archive.org/22/items/192425/1924-25.pdf#page=25</v>
      </c>
      <c r="AE38" s="155" t="str">
        <f t="shared" si="18"/>
        <v>https://ia601501.us.archive.org/22/items/192425/1924-25.pdf#page=29</v>
      </c>
      <c r="AF38" s="7" t="str">
        <f t="shared" si="9"/>
        <v>https://ia601501.us.archive.org/22/items/192425/1924-25.pdf#page=25</v>
      </c>
      <c r="AG38" s="153" t="str">
        <f t="shared" si="10"/>
        <v>https://ia601501.us.archive.org/22/items/192425/1924-25.pdf#page=29</v>
      </c>
      <c r="AH38" s="7" t="str">
        <f t="shared" si="11"/>
        <v>https://ia601501.us.archive.org/22/items/192425/1924-25.pdf#page=25</v>
      </c>
      <c r="AI38" s="153" t="str">
        <f t="shared" si="12"/>
        <v>https://ia601501.us.archive.org/22/items/192425/1924-25.pdf#page=29</v>
      </c>
      <c r="AJ38" s="7" t="str">
        <f t="shared" si="13"/>
        <v>https://ia601501.us.archive.org/22/items/192425/1924-25.pdf#page=25</v>
      </c>
      <c r="AK38" s="152" t="str">
        <f t="shared" si="14"/>
        <v>https://ia601501.us.archive.org/22/items/192425/1924-25.pdf#page=29</v>
      </c>
      <c r="AL38" s="27" t="str">
        <f t="shared" si="22"/>
        <v>https://babel.hathitrust.org/cgi/pt?id=mdp.39015076547101;view=1up;seq=139</v>
      </c>
      <c r="AM38" s="155" t="str">
        <f t="shared" si="19"/>
        <v>https://ia601501.us.archive.org/22/items/192425/1924-25.pdf#page=30</v>
      </c>
      <c r="AN38" s="27" t="str">
        <f t="shared" si="25"/>
        <v>https://ia601501.us.archive.org/22/items/192425/1924-25.pdf#page=28</v>
      </c>
      <c r="AO38" s="152" t="str">
        <f t="shared" si="21"/>
        <v>https://ia601501.us.archive.org/22/items/192425/1924-25.pdf#page=31</v>
      </c>
      <c r="AP38" s="27" t="str">
        <f t="shared" si="15"/>
        <v>https://ia601501.us.archive.org/22/items/192425/1924-25.pdf#page=28</v>
      </c>
      <c r="AQ38" s="27" t="str">
        <f t="shared" si="16"/>
        <v>https://ia601501.us.archive.org/22/items/192425/1924-25.pdf#page=28</v>
      </c>
    </row>
    <row r="39" spans="1:43" x14ac:dyDescent="0.25">
      <c r="A39" s="27" t="s">
        <v>623</v>
      </c>
      <c r="B39" s="27" t="str">
        <f t="shared" si="0"/>
        <v>Alabama</v>
      </c>
      <c r="C39" s="27" t="str">
        <f t="shared" si="1"/>
        <v>Lamar/Sanford</v>
      </c>
      <c r="D39" s="27">
        <f>2460+544+195</f>
        <v>3199</v>
      </c>
      <c r="E39" s="27">
        <f>522+7</f>
        <v>529</v>
      </c>
      <c r="F39" s="27">
        <f t="shared" si="3"/>
        <v>3728</v>
      </c>
      <c r="G39" s="27">
        <f>137+6</f>
        <v>143</v>
      </c>
      <c r="H39" s="27">
        <f>24</f>
        <v>24</v>
      </c>
      <c r="I39" s="27">
        <f t="shared" si="23"/>
        <v>167</v>
      </c>
      <c r="J39" s="27">
        <f>256279+66642+34433</f>
        <v>357354</v>
      </c>
      <c r="K39" s="27">
        <f>37944+525</f>
        <v>38469</v>
      </c>
      <c r="L39" s="97">
        <f t="shared" si="4"/>
        <v>106.1756974248927</v>
      </c>
      <c r="M39" s="7">
        <f>4246+236</f>
        <v>4482</v>
      </c>
      <c r="N39" s="7">
        <v>732</v>
      </c>
      <c r="O39" s="27">
        <f t="shared" si="5"/>
        <v>5214</v>
      </c>
      <c r="P39" s="27">
        <f>52599+5894</f>
        <v>58493</v>
      </c>
      <c r="Q39" s="27">
        <v>3339</v>
      </c>
      <c r="R39" s="115">
        <f t="shared" si="6"/>
        <v>69.743172116745285</v>
      </c>
      <c r="S39" s="7">
        <f>98275+9250</f>
        <v>107525</v>
      </c>
      <c r="T39" s="7">
        <v>3961</v>
      </c>
      <c r="U39" s="2">
        <f t="shared" si="24"/>
        <v>111486</v>
      </c>
      <c r="V39" s="27">
        <v>87</v>
      </c>
      <c r="W39" s="27">
        <f>132500+16000</f>
        <v>148500</v>
      </c>
      <c r="X39" s="27">
        <f>20500+1500</f>
        <v>22000</v>
      </c>
      <c r="Y39" s="27">
        <v>5200</v>
      </c>
      <c r="Z39" s="27">
        <v>400</v>
      </c>
      <c r="AA39" s="2">
        <f t="shared" si="8"/>
        <v>176100</v>
      </c>
      <c r="AB39" s="41">
        <v>1925</v>
      </c>
      <c r="AC39" s="27" t="s">
        <v>552</v>
      </c>
      <c r="AD39" s="157" t="str">
        <f t="shared" si="17"/>
        <v>https://ia601501.us.archive.org/22/items/192425/1924-25.pdf#page=25</v>
      </c>
      <c r="AE39" s="155" t="str">
        <f t="shared" si="18"/>
        <v>https://ia601501.us.archive.org/22/items/192425/1924-25.pdf#page=29</v>
      </c>
      <c r="AF39" s="7" t="str">
        <f t="shared" si="9"/>
        <v>https://ia601501.us.archive.org/22/items/192425/1924-25.pdf#page=25</v>
      </c>
      <c r="AG39" s="153" t="str">
        <f t="shared" si="10"/>
        <v>https://ia601501.us.archive.org/22/items/192425/1924-25.pdf#page=29</v>
      </c>
      <c r="AH39" s="7" t="str">
        <f t="shared" si="11"/>
        <v>https://ia601501.us.archive.org/22/items/192425/1924-25.pdf#page=25</v>
      </c>
      <c r="AI39" s="153" t="str">
        <f t="shared" si="12"/>
        <v>https://ia601501.us.archive.org/22/items/192425/1924-25.pdf#page=29</v>
      </c>
      <c r="AJ39" s="7" t="str">
        <f t="shared" si="13"/>
        <v>https://ia601501.us.archive.org/22/items/192425/1924-25.pdf#page=25</v>
      </c>
      <c r="AK39" s="152" t="str">
        <f t="shared" si="14"/>
        <v>https://ia601501.us.archive.org/22/items/192425/1924-25.pdf#page=29</v>
      </c>
      <c r="AL39" s="27" t="str">
        <f t="shared" si="22"/>
        <v>https://babel.hathitrust.org/cgi/pt?id=mdp.39015076547101;view=1up;seq=139</v>
      </c>
      <c r="AM39" s="155" t="str">
        <f t="shared" si="19"/>
        <v>https://ia601501.us.archive.org/22/items/192425/1924-25.pdf#page=30</v>
      </c>
      <c r="AN39" s="27" t="str">
        <f t="shared" si="25"/>
        <v>https://ia601501.us.archive.org/22/items/192425/1924-25.pdf#page=28</v>
      </c>
      <c r="AO39" s="152" t="str">
        <f t="shared" si="21"/>
        <v>https://ia601501.us.archive.org/22/items/192425/1924-25.pdf#page=31</v>
      </c>
      <c r="AP39" s="27" t="str">
        <f t="shared" si="15"/>
        <v>https://ia601501.us.archive.org/22/items/192425/1924-25.pdf#page=28</v>
      </c>
      <c r="AQ39" s="27" t="str">
        <f t="shared" si="16"/>
        <v>https://ia601501.us.archive.org/22/items/192425/1924-25.pdf#page=28</v>
      </c>
    </row>
    <row r="40" spans="1:43" x14ac:dyDescent="0.25">
      <c r="A40" s="27" t="s">
        <v>624</v>
      </c>
      <c r="B40" s="27" t="str">
        <f t="shared" si="0"/>
        <v>Alabama</v>
      </c>
      <c r="C40" s="27" t="str">
        <f t="shared" si="1"/>
        <v>Lauderdale</v>
      </c>
      <c r="D40" s="27">
        <f>3447+1435+627+607+152</f>
        <v>6268</v>
      </c>
      <c r="E40" s="27">
        <f>770+440</f>
        <v>1210</v>
      </c>
      <c r="F40" s="27">
        <f t="shared" si="3"/>
        <v>7478</v>
      </c>
      <c r="G40" s="27">
        <f>168+55+6</f>
        <v>229</v>
      </c>
      <c r="H40" s="27">
        <f>24+8</f>
        <v>32</v>
      </c>
      <c r="I40" s="27">
        <f t="shared" si="23"/>
        <v>261</v>
      </c>
      <c r="J40" s="27">
        <f>431564+253148+82657+107081+26708</f>
        <v>901158</v>
      </c>
      <c r="K40" s="27">
        <f>55818+77494</f>
        <v>133312</v>
      </c>
      <c r="L40" s="97">
        <f t="shared" si="4"/>
        <v>138.33511634126771</v>
      </c>
      <c r="M40" s="7">
        <f>6502+2480+189</f>
        <v>9171</v>
      </c>
      <c r="N40" s="7">
        <f>1296+509</f>
        <v>1805</v>
      </c>
      <c r="O40" s="27">
        <f t="shared" si="5"/>
        <v>10976</v>
      </c>
      <c r="P40" s="27">
        <f>79381+47244+8164</f>
        <v>134789</v>
      </c>
      <c r="Q40" s="27">
        <f>4807+3947</f>
        <v>8754</v>
      </c>
      <c r="R40" s="115">
        <f t="shared" si="6"/>
        <v>79.513169847613312</v>
      </c>
      <c r="S40" s="7">
        <f>107708+75765+11044</f>
        <v>194517</v>
      </c>
      <c r="T40" s="7">
        <f>5231+4537</f>
        <v>9768</v>
      </c>
      <c r="U40" s="2">
        <f t="shared" si="24"/>
        <v>204285</v>
      </c>
      <c r="V40" s="27">
        <v>110</v>
      </c>
      <c r="W40" s="27">
        <f>253000+735000+14000</f>
        <v>1002000</v>
      </c>
      <c r="X40" s="27">
        <f>30000+18088+3000</f>
        <v>51088</v>
      </c>
      <c r="Y40" s="27">
        <f>31500+20000</f>
        <v>51500</v>
      </c>
      <c r="Z40" s="27">
        <f>4000+805</f>
        <v>4805</v>
      </c>
      <c r="AA40" s="2">
        <f t="shared" si="8"/>
        <v>1109393</v>
      </c>
      <c r="AB40" s="41">
        <v>1925</v>
      </c>
      <c r="AC40" s="27" t="s">
        <v>552</v>
      </c>
      <c r="AD40" s="157" t="str">
        <f t="shared" si="17"/>
        <v>https://ia601501.us.archive.org/22/items/192425/1924-25.pdf#page=25</v>
      </c>
      <c r="AE40" s="155" t="str">
        <f t="shared" si="18"/>
        <v>https://ia601501.us.archive.org/22/items/192425/1924-25.pdf#page=29</v>
      </c>
      <c r="AF40" s="7" t="str">
        <f t="shared" si="9"/>
        <v>https://ia601501.us.archive.org/22/items/192425/1924-25.pdf#page=25</v>
      </c>
      <c r="AG40" s="153" t="str">
        <f t="shared" si="10"/>
        <v>https://ia601501.us.archive.org/22/items/192425/1924-25.pdf#page=29</v>
      </c>
      <c r="AH40" s="7" t="str">
        <f t="shared" si="11"/>
        <v>https://ia601501.us.archive.org/22/items/192425/1924-25.pdf#page=25</v>
      </c>
      <c r="AI40" s="153" t="str">
        <f t="shared" si="12"/>
        <v>https://ia601501.us.archive.org/22/items/192425/1924-25.pdf#page=29</v>
      </c>
      <c r="AJ40" s="7" t="str">
        <f t="shared" si="13"/>
        <v>https://ia601501.us.archive.org/22/items/192425/1924-25.pdf#page=25</v>
      </c>
      <c r="AK40" s="152" t="str">
        <f t="shared" si="14"/>
        <v>https://ia601501.us.archive.org/22/items/192425/1924-25.pdf#page=29</v>
      </c>
      <c r="AL40" s="27" t="str">
        <f t="shared" si="22"/>
        <v>https://babel.hathitrust.org/cgi/pt?id=mdp.39015076547101;view=1up;seq=139</v>
      </c>
      <c r="AM40" s="155" t="str">
        <f t="shared" si="19"/>
        <v>https://ia601501.us.archive.org/22/items/192425/1924-25.pdf#page=30</v>
      </c>
      <c r="AN40" s="27" t="str">
        <f t="shared" si="25"/>
        <v>https://ia601501.us.archive.org/22/items/192425/1924-25.pdf#page=28</v>
      </c>
      <c r="AO40" s="152" t="str">
        <f t="shared" si="21"/>
        <v>https://ia601501.us.archive.org/22/items/192425/1924-25.pdf#page=31</v>
      </c>
      <c r="AP40" s="27" t="str">
        <f t="shared" si="15"/>
        <v>https://ia601501.us.archive.org/22/items/192425/1924-25.pdf#page=28</v>
      </c>
      <c r="AQ40" s="27" t="str">
        <f t="shared" si="16"/>
        <v>https://ia601501.us.archive.org/22/items/192425/1924-25.pdf#page=28</v>
      </c>
    </row>
    <row r="41" spans="1:43" x14ac:dyDescent="0.25">
      <c r="A41" s="27" t="s">
        <v>625</v>
      </c>
      <c r="B41" s="27" t="str">
        <f t="shared" si="0"/>
        <v>Alabama</v>
      </c>
      <c r="C41" s="27" t="str">
        <f t="shared" si="1"/>
        <v>Lawrence</v>
      </c>
      <c r="D41" s="27">
        <f>2699+504+125</f>
        <v>3328</v>
      </c>
      <c r="E41" s="27">
        <f>1015+5</f>
        <v>1020</v>
      </c>
      <c r="F41" s="27">
        <f t="shared" si="3"/>
        <v>4348</v>
      </c>
      <c r="G41" s="27">
        <f>165+5</f>
        <v>170</v>
      </c>
      <c r="H41" s="27">
        <v>30</v>
      </c>
      <c r="I41" s="27">
        <f t="shared" si="23"/>
        <v>200</v>
      </c>
      <c r="J41" s="27">
        <f>290143+72833+22309</f>
        <v>385285</v>
      </c>
      <c r="K41" s="27">
        <f>92548+522</f>
        <v>93070</v>
      </c>
      <c r="L41" s="97">
        <f t="shared" si="4"/>
        <v>110.01724931002759</v>
      </c>
      <c r="M41" s="7">
        <f>4842+170</f>
        <v>5012</v>
      </c>
      <c r="N41" s="7">
        <v>1620</v>
      </c>
      <c r="O41" s="27">
        <f t="shared" si="5"/>
        <v>6632</v>
      </c>
      <c r="P41" s="27">
        <f>64565+6179</f>
        <v>70744</v>
      </c>
      <c r="Q41" s="27">
        <v>6708</v>
      </c>
      <c r="R41" s="115">
        <f t="shared" si="6"/>
        <v>70.399869552947081</v>
      </c>
      <c r="S41" s="7">
        <f>86533+7589</f>
        <v>94122</v>
      </c>
      <c r="T41" s="7">
        <v>7547</v>
      </c>
      <c r="U41" s="2">
        <f t="shared" si="24"/>
        <v>101669</v>
      </c>
      <c r="V41" s="27">
        <v>99</v>
      </c>
      <c r="W41" s="27">
        <f>170000+40000</f>
        <v>210000</v>
      </c>
      <c r="X41" s="27">
        <f>19350+1000</f>
        <v>20350</v>
      </c>
      <c r="Y41" s="27">
        <f>25940</f>
        <v>25940</v>
      </c>
      <c r="Z41" s="27">
        <v>200</v>
      </c>
      <c r="AA41" s="2">
        <f t="shared" si="8"/>
        <v>256490</v>
      </c>
      <c r="AB41" s="41">
        <v>1925</v>
      </c>
      <c r="AC41" s="27" t="s">
        <v>552</v>
      </c>
      <c r="AD41" s="157" t="str">
        <f t="shared" si="17"/>
        <v>https://ia601501.us.archive.org/22/items/192425/1924-25.pdf#page=25</v>
      </c>
      <c r="AE41" s="155" t="str">
        <f t="shared" si="18"/>
        <v>https://ia601501.us.archive.org/22/items/192425/1924-25.pdf#page=29</v>
      </c>
      <c r="AF41" s="7" t="str">
        <f t="shared" si="9"/>
        <v>https://ia601501.us.archive.org/22/items/192425/1924-25.pdf#page=25</v>
      </c>
      <c r="AG41" s="153" t="str">
        <f t="shared" si="10"/>
        <v>https://ia601501.us.archive.org/22/items/192425/1924-25.pdf#page=29</v>
      </c>
      <c r="AH41" s="7" t="str">
        <f t="shared" si="11"/>
        <v>https://ia601501.us.archive.org/22/items/192425/1924-25.pdf#page=25</v>
      </c>
      <c r="AI41" s="153" t="str">
        <f t="shared" si="12"/>
        <v>https://ia601501.us.archive.org/22/items/192425/1924-25.pdf#page=29</v>
      </c>
      <c r="AJ41" s="7" t="str">
        <f t="shared" si="13"/>
        <v>https://ia601501.us.archive.org/22/items/192425/1924-25.pdf#page=25</v>
      </c>
      <c r="AK41" s="152" t="str">
        <f t="shared" si="14"/>
        <v>https://ia601501.us.archive.org/22/items/192425/1924-25.pdf#page=29</v>
      </c>
      <c r="AL41" s="27" t="str">
        <f t="shared" si="22"/>
        <v>https://babel.hathitrust.org/cgi/pt?id=mdp.39015076547101;view=1up;seq=139</v>
      </c>
      <c r="AM41" s="155" t="str">
        <f t="shared" si="19"/>
        <v>https://ia601501.us.archive.org/22/items/192425/1924-25.pdf#page=30</v>
      </c>
      <c r="AN41" s="27" t="str">
        <f t="shared" si="25"/>
        <v>https://ia601501.us.archive.org/22/items/192425/1924-25.pdf#page=28</v>
      </c>
      <c r="AO41" s="152" t="str">
        <f t="shared" si="21"/>
        <v>https://ia601501.us.archive.org/22/items/192425/1924-25.pdf#page=31</v>
      </c>
      <c r="AP41" s="27" t="str">
        <f t="shared" si="15"/>
        <v>https://ia601501.us.archive.org/22/items/192425/1924-25.pdf#page=28</v>
      </c>
      <c r="AQ41" s="27" t="str">
        <f t="shared" si="16"/>
        <v>https://ia601501.us.archive.org/22/items/192425/1924-25.pdf#page=28</v>
      </c>
    </row>
    <row r="42" spans="1:43" x14ac:dyDescent="0.25">
      <c r="A42" s="27" t="s">
        <v>626</v>
      </c>
      <c r="B42" s="27" t="str">
        <f t="shared" si="0"/>
        <v>Alabama</v>
      </c>
      <c r="C42" s="27" t="str">
        <f t="shared" si="1"/>
        <v>Lee</v>
      </c>
      <c r="D42" s="27">
        <f>616+180+441+1035+179+22+216+231+128</f>
        <v>3048</v>
      </c>
      <c r="E42" s="27">
        <f>1974+229+248+338+12+12+50+20</f>
        <v>2883</v>
      </c>
      <c r="F42" s="27">
        <f t="shared" si="3"/>
        <v>5931</v>
      </c>
      <c r="G42" s="27">
        <f>56+7+25+35+6</f>
        <v>129</v>
      </c>
      <c r="H42" s="27">
        <f>39+6+8+7</f>
        <v>60</v>
      </c>
      <c r="I42" s="27">
        <f t="shared" si="23"/>
        <v>189</v>
      </c>
      <c r="J42" s="27">
        <f>86249+31821+78440+182106+25129+3947+38392+40630+22614</f>
        <v>509328</v>
      </c>
      <c r="K42" s="27">
        <f>153307+31558+39245+52826+932+1652+7969+3128</f>
        <v>290617</v>
      </c>
      <c r="L42" s="97">
        <f t="shared" si="4"/>
        <v>134.87523183274322</v>
      </c>
      <c r="M42" s="7">
        <f>1348+242+943+1534+139</f>
        <v>4206</v>
      </c>
      <c r="N42" s="7">
        <f>3195+337+508+456</f>
        <v>4496</v>
      </c>
      <c r="O42" s="27">
        <f t="shared" si="5"/>
        <v>8702</v>
      </c>
      <c r="P42" s="27">
        <f>32996+5760+18970+12985+10125</f>
        <v>80836</v>
      </c>
      <c r="Q42" s="27">
        <f>4680+2135+3600+2245</f>
        <v>12660</v>
      </c>
      <c r="R42" s="115">
        <f t="shared" si="6"/>
        <v>73.354881243323561</v>
      </c>
      <c r="S42" s="7">
        <f>62438+6677+28460+38657+12187</f>
        <v>148419</v>
      </c>
      <c r="T42" s="7">
        <f>5195+2643+4493+3214</f>
        <v>15545</v>
      </c>
      <c r="U42" s="2">
        <f t="shared" si="24"/>
        <v>163964</v>
      </c>
      <c r="V42" s="27">
        <v>76</v>
      </c>
      <c r="W42" s="27">
        <f>75000+6178+90000+60000+25000</f>
        <v>256178</v>
      </c>
      <c r="X42" s="27">
        <f>8700+1780+12500+10000+5000</f>
        <v>37980</v>
      </c>
      <c r="Y42" s="27">
        <f>26000+2800+30000+5000</f>
        <v>63800</v>
      </c>
      <c r="Z42" s="27">
        <f>2605+893+1000+200</f>
        <v>4698</v>
      </c>
      <c r="AA42" s="2">
        <f t="shared" si="8"/>
        <v>362656</v>
      </c>
      <c r="AB42" s="41">
        <v>1925</v>
      </c>
      <c r="AC42" s="27" t="s">
        <v>552</v>
      </c>
      <c r="AD42" s="157" t="str">
        <f t="shared" si="17"/>
        <v>https://ia601501.us.archive.org/22/items/192425/1924-25.pdf#page=25</v>
      </c>
      <c r="AE42" s="155" t="str">
        <f t="shared" si="18"/>
        <v>https://ia601501.us.archive.org/22/items/192425/1924-25.pdf#page=29</v>
      </c>
      <c r="AF42" s="7" t="str">
        <f t="shared" si="9"/>
        <v>https://ia601501.us.archive.org/22/items/192425/1924-25.pdf#page=25</v>
      </c>
      <c r="AG42" s="153" t="str">
        <f t="shared" si="10"/>
        <v>https://ia601501.us.archive.org/22/items/192425/1924-25.pdf#page=29</v>
      </c>
      <c r="AH42" s="7" t="str">
        <f t="shared" si="11"/>
        <v>https://ia601501.us.archive.org/22/items/192425/1924-25.pdf#page=25</v>
      </c>
      <c r="AI42" s="153" t="str">
        <f t="shared" si="12"/>
        <v>https://ia601501.us.archive.org/22/items/192425/1924-25.pdf#page=29</v>
      </c>
      <c r="AJ42" s="7" t="str">
        <f t="shared" si="13"/>
        <v>https://ia601501.us.archive.org/22/items/192425/1924-25.pdf#page=25</v>
      </c>
      <c r="AK42" s="152" t="str">
        <f t="shared" si="14"/>
        <v>https://ia601501.us.archive.org/22/items/192425/1924-25.pdf#page=29</v>
      </c>
      <c r="AL42" s="27" t="str">
        <f t="shared" si="22"/>
        <v>https://babel.hathitrust.org/cgi/pt?id=mdp.39015076547101;view=1up;seq=139</v>
      </c>
      <c r="AM42" s="155" t="str">
        <f t="shared" si="19"/>
        <v>https://ia601501.us.archive.org/22/items/192425/1924-25.pdf#page=30</v>
      </c>
      <c r="AN42" s="27" t="str">
        <f t="shared" si="25"/>
        <v>https://ia601501.us.archive.org/22/items/192425/1924-25.pdf#page=28</v>
      </c>
      <c r="AO42" s="152" t="str">
        <f t="shared" si="21"/>
        <v>https://ia601501.us.archive.org/22/items/192425/1924-25.pdf#page=31</v>
      </c>
      <c r="AP42" s="27" t="str">
        <f t="shared" si="15"/>
        <v>https://ia601501.us.archive.org/22/items/192425/1924-25.pdf#page=28</v>
      </c>
      <c r="AQ42" s="27" t="str">
        <f t="shared" si="16"/>
        <v>https://ia601501.us.archive.org/22/items/192425/1924-25.pdf#page=28</v>
      </c>
    </row>
    <row r="43" spans="1:43" x14ac:dyDescent="0.25">
      <c r="A43" s="27" t="s">
        <v>627</v>
      </c>
      <c r="B43" s="27" t="str">
        <f t="shared" si="0"/>
        <v>Alabama</v>
      </c>
      <c r="C43" s="27" t="str">
        <f t="shared" si="1"/>
        <v>Limestone</v>
      </c>
      <c r="D43" s="27">
        <f>2914+429+525+106+70+182</f>
        <v>4226</v>
      </c>
      <c r="E43" s="27">
        <f>2317+113</f>
        <v>2430</v>
      </c>
      <c r="F43" s="27">
        <f t="shared" si="3"/>
        <v>6656</v>
      </c>
      <c r="G43" s="27">
        <f>159+16+5+6</f>
        <v>186</v>
      </c>
      <c r="H43" s="27">
        <f>34+3</f>
        <v>37</v>
      </c>
      <c r="I43" s="27">
        <f t="shared" si="23"/>
        <v>223</v>
      </c>
      <c r="J43" s="27">
        <f>275376+75693+63792+18802+12372+31907</f>
        <v>477942</v>
      </c>
      <c r="K43" s="27">
        <f>139350+19984</f>
        <v>159334</v>
      </c>
      <c r="L43" s="97">
        <f t="shared" si="4"/>
        <v>95.74459134615384</v>
      </c>
      <c r="M43" s="7">
        <f>5325+649+80+214</f>
        <v>6268</v>
      </c>
      <c r="N43" s="7">
        <f>2497+221</f>
        <v>2718</v>
      </c>
      <c r="O43" s="27">
        <f t="shared" si="5"/>
        <v>8986</v>
      </c>
      <c r="P43" s="27">
        <f>34257+11815+5865+10355</f>
        <v>62292</v>
      </c>
      <c r="Q43" s="27">
        <f>3645+1080</f>
        <v>4725</v>
      </c>
      <c r="R43" s="115">
        <f t="shared" si="6"/>
        <v>62.776321764352573</v>
      </c>
      <c r="S43" s="7">
        <f>103917+23549+6929+13741</f>
        <v>148136</v>
      </c>
      <c r="T43" s="7">
        <f>3938+1392</f>
        <v>5330</v>
      </c>
      <c r="U43" s="2">
        <f t="shared" si="24"/>
        <v>153466</v>
      </c>
      <c r="V43" s="27">
        <v>102</v>
      </c>
      <c r="W43" s="27">
        <f>333000+100000+15000+50000</f>
        <v>498000</v>
      </c>
      <c r="X43" s="27">
        <f>44297+10000+500+3700</f>
        <v>58497</v>
      </c>
      <c r="Y43" s="27">
        <f>16000+4000</f>
        <v>20000</v>
      </c>
      <c r="Z43" s="27">
        <f>600+500</f>
        <v>1100</v>
      </c>
      <c r="AA43" s="2">
        <f t="shared" si="8"/>
        <v>577597</v>
      </c>
      <c r="AB43" s="41">
        <v>1925</v>
      </c>
      <c r="AC43" s="27" t="s">
        <v>552</v>
      </c>
      <c r="AD43" s="157" t="str">
        <f t="shared" si="17"/>
        <v>https://ia601501.us.archive.org/22/items/192425/1924-25.pdf#page=25</v>
      </c>
      <c r="AE43" s="155" t="str">
        <f t="shared" si="18"/>
        <v>https://ia601501.us.archive.org/22/items/192425/1924-25.pdf#page=29</v>
      </c>
      <c r="AF43" s="7" t="str">
        <f t="shared" si="9"/>
        <v>https://ia601501.us.archive.org/22/items/192425/1924-25.pdf#page=25</v>
      </c>
      <c r="AG43" s="153" t="str">
        <f t="shared" si="10"/>
        <v>https://ia601501.us.archive.org/22/items/192425/1924-25.pdf#page=29</v>
      </c>
      <c r="AH43" s="7" t="str">
        <f t="shared" si="11"/>
        <v>https://ia601501.us.archive.org/22/items/192425/1924-25.pdf#page=25</v>
      </c>
      <c r="AI43" s="153" t="str">
        <f t="shared" si="12"/>
        <v>https://ia601501.us.archive.org/22/items/192425/1924-25.pdf#page=29</v>
      </c>
      <c r="AJ43" s="7" t="str">
        <f t="shared" si="13"/>
        <v>https://ia601501.us.archive.org/22/items/192425/1924-25.pdf#page=25</v>
      </c>
      <c r="AK43" s="152" t="str">
        <f t="shared" si="14"/>
        <v>https://ia601501.us.archive.org/22/items/192425/1924-25.pdf#page=29</v>
      </c>
      <c r="AL43" s="27" t="str">
        <f t="shared" si="22"/>
        <v>https://babel.hathitrust.org/cgi/pt?id=mdp.39015076547101;view=1up;seq=139</v>
      </c>
      <c r="AM43" s="155" t="str">
        <f t="shared" si="19"/>
        <v>https://ia601501.us.archive.org/22/items/192425/1924-25.pdf#page=30</v>
      </c>
      <c r="AN43" s="27" t="str">
        <f t="shared" si="25"/>
        <v>https://ia601501.us.archive.org/22/items/192425/1924-25.pdf#page=28</v>
      </c>
      <c r="AO43" s="152" t="str">
        <f t="shared" si="21"/>
        <v>https://ia601501.us.archive.org/22/items/192425/1924-25.pdf#page=31</v>
      </c>
      <c r="AP43" s="27" t="str">
        <f t="shared" si="15"/>
        <v>https://ia601501.us.archive.org/22/items/192425/1924-25.pdf#page=28</v>
      </c>
      <c r="AQ43" s="27" t="str">
        <f t="shared" si="16"/>
        <v>https://ia601501.us.archive.org/22/items/192425/1924-25.pdf#page=28</v>
      </c>
    </row>
    <row r="44" spans="1:43" x14ac:dyDescent="0.25">
      <c r="A44" s="27" t="s">
        <v>628</v>
      </c>
      <c r="B44" s="27" t="str">
        <f t="shared" si="0"/>
        <v>Alabama</v>
      </c>
      <c r="C44" s="27" t="str">
        <f t="shared" si="1"/>
        <v>Lowndes</v>
      </c>
      <c r="D44" s="27">
        <f>416+169+87</f>
        <v>672</v>
      </c>
      <c r="E44" s="27">
        <f>2974+58</f>
        <v>3032</v>
      </c>
      <c r="F44" s="27">
        <f t="shared" si="3"/>
        <v>3704</v>
      </c>
      <c r="G44" s="27">
        <f>52+5</f>
        <v>57</v>
      </c>
      <c r="H44" s="27">
        <v>82</v>
      </c>
      <c r="I44" s="27">
        <f t="shared" si="23"/>
        <v>139</v>
      </c>
      <c r="J44" s="27">
        <f>67604+27972+15193</f>
        <v>110769</v>
      </c>
      <c r="K44" s="27">
        <f>290539+7732</f>
        <v>298271</v>
      </c>
      <c r="L44" s="97">
        <f t="shared" si="4"/>
        <v>110.43196544276458</v>
      </c>
      <c r="M44" s="7">
        <f>775+102</f>
        <v>877</v>
      </c>
      <c r="N44" s="7">
        <v>4100</v>
      </c>
      <c r="O44" s="27">
        <f t="shared" si="5"/>
        <v>4977</v>
      </c>
      <c r="P44" s="27">
        <f>35060+6990</f>
        <v>42050</v>
      </c>
      <c r="Q44" s="27">
        <v>14371</v>
      </c>
      <c r="R44" s="115">
        <f t="shared" si="6"/>
        <v>73.512496711021555</v>
      </c>
      <c r="S44" s="7">
        <f>80246+8171</f>
        <v>88417</v>
      </c>
      <c r="T44" s="7">
        <v>15443</v>
      </c>
      <c r="U44" s="2">
        <f t="shared" si="24"/>
        <v>103860</v>
      </c>
      <c r="V44" s="27">
        <v>91</v>
      </c>
      <c r="W44" s="27">
        <f>13600+14000</f>
        <v>27600</v>
      </c>
      <c r="X44" s="27">
        <f>1761+2500</f>
        <v>4261</v>
      </c>
      <c r="Y44" s="27">
        <f>18500</f>
        <v>18500</v>
      </c>
      <c r="Z44" s="27">
        <v>800</v>
      </c>
      <c r="AA44" s="2">
        <f t="shared" si="8"/>
        <v>51161</v>
      </c>
      <c r="AB44" s="41">
        <v>1925</v>
      </c>
      <c r="AC44" s="27" t="s">
        <v>552</v>
      </c>
      <c r="AD44" s="157" t="str">
        <f t="shared" si="17"/>
        <v>https://ia601501.us.archive.org/22/items/192425/1924-25.pdf#page=25</v>
      </c>
      <c r="AE44" s="155" t="str">
        <f t="shared" si="18"/>
        <v>https://ia601501.us.archive.org/22/items/192425/1924-25.pdf#page=29</v>
      </c>
      <c r="AF44" s="7" t="str">
        <f t="shared" si="9"/>
        <v>https://ia601501.us.archive.org/22/items/192425/1924-25.pdf#page=25</v>
      </c>
      <c r="AG44" s="153" t="str">
        <f t="shared" si="10"/>
        <v>https://ia601501.us.archive.org/22/items/192425/1924-25.pdf#page=29</v>
      </c>
      <c r="AH44" s="7" t="str">
        <f t="shared" si="11"/>
        <v>https://ia601501.us.archive.org/22/items/192425/1924-25.pdf#page=25</v>
      </c>
      <c r="AI44" s="153" t="str">
        <f t="shared" si="12"/>
        <v>https://ia601501.us.archive.org/22/items/192425/1924-25.pdf#page=29</v>
      </c>
      <c r="AJ44" s="7" t="str">
        <f t="shared" si="13"/>
        <v>https://ia601501.us.archive.org/22/items/192425/1924-25.pdf#page=25</v>
      </c>
      <c r="AK44" s="152" t="str">
        <f t="shared" si="14"/>
        <v>https://ia601501.us.archive.org/22/items/192425/1924-25.pdf#page=29</v>
      </c>
      <c r="AL44" s="27" t="str">
        <f t="shared" si="22"/>
        <v>https://babel.hathitrust.org/cgi/pt?id=mdp.39015076547101;view=1up;seq=139</v>
      </c>
      <c r="AM44" s="155" t="str">
        <f t="shared" si="19"/>
        <v>https://ia601501.us.archive.org/22/items/192425/1924-25.pdf#page=30</v>
      </c>
      <c r="AN44" s="27" t="str">
        <f t="shared" si="25"/>
        <v>https://ia601501.us.archive.org/22/items/192425/1924-25.pdf#page=28</v>
      </c>
      <c r="AO44" s="152" t="str">
        <f t="shared" si="21"/>
        <v>https://ia601501.us.archive.org/22/items/192425/1924-25.pdf#page=31</v>
      </c>
      <c r="AP44" s="27" t="str">
        <f t="shared" si="15"/>
        <v>https://ia601501.us.archive.org/22/items/192425/1924-25.pdf#page=28</v>
      </c>
      <c r="AQ44" s="27" t="str">
        <f t="shared" si="16"/>
        <v>https://ia601501.us.archive.org/22/items/192425/1924-25.pdf#page=28</v>
      </c>
    </row>
    <row r="45" spans="1:43" x14ac:dyDescent="0.25">
      <c r="A45" s="27" t="s">
        <v>629</v>
      </c>
      <c r="B45" s="27" t="str">
        <f t="shared" si="0"/>
        <v>Alabama</v>
      </c>
      <c r="C45" s="27" t="str">
        <f t="shared" si="1"/>
        <v>Macon</v>
      </c>
      <c r="D45" s="27">
        <f>472+166+149+106+78</f>
        <v>971</v>
      </c>
      <c r="E45" s="27">
        <f>4107+198+5</f>
        <v>4310</v>
      </c>
      <c r="F45" s="27">
        <f t="shared" si="3"/>
        <v>5281</v>
      </c>
      <c r="G45" s="27">
        <f>39+12+4</f>
        <v>55</v>
      </c>
      <c r="H45" s="27">
        <f>64+5</f>
        <v>69</v>
      </c>
      <c r="I45" s="27">
        <f t="shared" si="23"/>
        <v>124</v>
      </c>
      <c r="J45" s="27">
        <f>64381+29377+21664+18710+13691</f>
        <v>147823</v>
      </c>
      <c r="K45" s="27">
        <f>386095+31743+798</f>
        <v>418636</v>
      </c>
      <c r="L45" s="97">
        <f t="shared" si="4"/>
        <v>107.26358644196175</v>
      </c>
      <c r="M45" s="7">
        <f>808+342+84</f>
        <v>1234</v>
      </c>
      <c r="N45" s="7">
        <f>4289+321</f>
        <v>4610</v>
      </c>
      <c r="O45" s="27">
        <f t="shared" si="5"/>
        <v>5844</v>
      </c>
      <c r="P45" s="27">
        <f>29409+8670+3210</f>
        <v>41289</v>
      </c>
      <c r="Q45" s="27">
        <f>11550+2298</f>
        <v>13848</v>
      </c>
      <c r="R45" s="115">
        <f t="shared" si="6"/>
        <v>82.908513607652836</v>
      </c>
      <c r="S45" s="7">
        <f>37280+13136+6477</f>
        <v>56893</v>
      </c>
      <c r="T45" s="7">
        <f>13679+2682</f>
        <v>16361</v>
      </c>
      <c r="U45" s="2">
        <f t="shared" si="24"/>
        <v>73254</v>
      </c>
      <c r="V45" s="27">
        <v>72</v>
      </c>
      <c r="W45" s="27">
        <f>41835+25000+20000</f>
        <v>86835</v>
      </c>
      <c r="X45" s="27">
        <f>6855+3000+800</f>
        <v>10655</v>
      </c>
      <c r="Y45" s="27">
        <f>54908+5000</f>
        <v>59908</v>
      </c>
      <c r="Z45" s="27">
        <f>4513+500</f>
        <v>5013</v>
      </c>
      <c r="AA45" s="2">
        <f t="shared" si="8"/>
        <v>162411</v>
      </c>
      <c r="AB45" s="41">
        <v>1925</v>
      </c>
      <c r="AC45" s="27" t="s">
        <v>552</v>
      </c>
      <c r="AD45" s="157" t="str">
        <f t="shared" si="17"/>
        <v>https://ia601501.us.archive.org/22/items/192425/1924-25.pdf#page=25</v>
      </c>
      <c r="AE45" s="155" t="str">
        <f t="shared" si="18"/>
        <v>https://ia601501.us.archive.org/22/items/192425/1924-25.pdf#page=29</v>
      </c>
      <c r="AF45" s="7" t="str">
        <f t="shared" si="9"/>
        <v>https://ia601501.us.archive.org/22/items/192425/1924-25.pdf#page=25</v>
      </c>
      <c r="AG45" s="153" t="str">
        <f t="shared" si="10"/>
        <v>https://ia601501.us.archive.org/22/items/192425/1924-25.pdf#page=29</v>
      </c>
      <c r="AH45" s="7" t="str">
        <f t="shared" si="11"/>
        <v>https://ia601501.us.archive.org/22/items/192425/1924-25.pdf#page=25</v>
      </c>
      <c r="AI45" s="153" t="str">
        <f t="shared" si="12"/>
        <v>https://ia601501.us.archive.org/22/items/192425/1924-25.pdf#page=29</v>
      </c>
      <c r="AJ45" s="7" t="str">
        <f t="shared" si="13"/>
        <v>https://ia601501.us.archive.org/22/items/192425/1924-25.pdf#page=25</v>
      </c>
      <c r="AK45" s="152" t="str">
        <f t="shared" si="14"/>
        <v>https://ia601501.us.archive.org/22/items/192425/1924-25.pdf#page=29</v>
      </c>
      <c r="AL45" s="27" t="str">
        <f t="shared" si="22"/>
        <v>https://babel.hathitrust.org/cgi/pt?id=mdp.39015076547101;view=1up;seq=139</v>
      </c>
      <c r="AM45" s="155" t="str">
        <f t="shared" si="19"/>
        <v>https://ia601501.us.archive.org/22/items/192425/1924-25.pdf#page=30</v>
      </c>
      <c r="AN45" s="27" t="str">
        <f t="shared" si="25"/>
        <v>https://ia601501.us.archive.org/22/items/192425/1924-25.pdf#page=28</v>
      </c>
      <c r="AO45" s="152" t="str">
        <f t="shared" si="21"/>
        <v>https://ia601501.us.archive.org/22/items/192425/1924-25.pdf#page=31</v>
      </c>
      <c r="AP45" s="27" t="str">
        <f t="shared" si="15"/>
        <v>https://ia601501.us.archive.org/22/items/192425/1924-25.pdf#page=28</v>
      </c>
      <c r="AQ45" s="27" t="str">
        <f t="shared" si="16"/>
        <v>https://ia601501.us.archive.org/22/items/192425/1924-25.pdf#page=28</v>
      </c>
    </row>
    <row r="46" spans="1:43" x14ac:dyDescent="0.25">
      <c r="A46" s="27" t="s">
        <v>630</v>
      </c>
      <c r="B46" s="27" t="str">
        <f t="shared" si="0"/>
        <v>Alabama</v>
      </c>
      <c r="C46" s="27" t="str">
        <f t="shared" si="1"/>
        <v>Madison</v>
      </c>
      <c r="D46" s="27">
        <f>3785+778+979+361+81</f>
        <v>5984</v>
      </c>
      <c r="E46" s="27">
        <f>2201+404+26+79</f>
        <v>2710</v>
      </c>
      <c r="F46" s="27">
        <f t="shared" si="3"/>
        <v>8694</v>
      </c>
      <c r="G46" s="27">
        <f>184+30+4</f>
        <v>218</v>
      </c>
      <c r="H46" s="27">
        <f>52+12</f>
        <v>64</v>
      </c>
      <c r="I46" s="27">
        <f t="shared" si="23"/>
        <v>282</v>
      </c>
      <c r="J46" s="27">
        <f>546933+136902+159088+63562+14376</f>
        <v>920861</v>
      </c>
      <c r="K46" s="27">
        <f>188194+71097+2692+13911</f>
        <v>275894</v>
      </c>
      <c r="L46" s="97">
        <f t="shared" si="4"/>
        <v>137.65297906602254</v>
      </c>
      <c r="M46" s="7">
        <f>7917+1349+94</f>
        <v>9360</v>
      </c>
      <c r="N46" s="7">
        <f>3803+753</f>
        <v>4556</v>
      </c>
      <c r="O46" s="27">
        <f t="shared" si="5"/>
        <v>13916</v>
      </c>
      <c r="P46" s="27">
        <f>109057+28990+4877</f>
        <v>142924</v>
      </c>
      <c r="Q46" s="27">
        <f>9253+7245</f>
        <v>16498</v>
      </c>
      <c r="R46" s="115">
        <f t="shared" si="6"/>
        <v>82.137886876186556</v>
      </c>
      <c r="S46" s="7">
        <f>202304+43928+8598</f>
        <v>254830</v>
      </c>
      <c r="T46" s="7">
        <f>15184+8851</f>
        <v>24035</v>
      </c>
      <c r="U46" s="2">
        <f t="shared" si="24"/>
        <v>278865</v>
      </c>
      <c r="V46" s="27">
        <v>97</v>
      </c>
      <c r="W46" s="27">
        <f>472800+168000+25000</f>
        <v>665800</v>
      </c>
      <c r="X46" s="27">
        <f>47000+20000+4000</f>
        <v>71000</v>
      </c>
      <c r="Y46" s="27">
        <f>20600+10000</f>
        <v>30600</v>
      </c>
      <c r="Z46" s="27">
        <f>3500+4000</f>
        <v>7500</v>
      </c>
      <c r="AA46" s="2">
        <f t="shared" si="8"/>
        <v>774900</v>
      </c>
      <c r="AB46" s="41">
        <v>1925</v>
      </c>
      <c r="AC46" s="27" t="s">
        <v>552</v>
      </c>
      <c r="AD46" s="157" t="str">
        <f t="shared" si="17"/>
        <v>https://ia601501.us.archive.org/22/items/192425/1924-25.pdf#page=25</v>
      </c>
      <c r="AE46" s="155" t="str">
        <f t="shared" si="18"/>
        <v>https://ia601501.us.archive.org/22/items/192425/1924-25.pdf#page=29</v>
      </c>
      <c r="AF46" s="7" t="str">
        <f t="shared" si="9"/>
        <v>https://ia601501.us.archive.org/22/items/192425/1924-25.pdf#page=25</v>
      </c>
      <c r="AG46" s="153" t="str">
        <f t="shared" si="10"/>
        <v>https://ia601501.us.archive.org/22/items/192425/1924-25.pdf#page=29</v>
      </c>
      <c r="AH46" s="7" t="str">
        <f t="shared" si="11"/>
        <v>https://ia601501.us.archive.org/22/items/192425/1924-25.pdf#page=25</v>
      </c>
      <c r="AI46" s="153" t="str">
        <f t="shared" si="12"/>
        <v>https://ia601501.us.archive.org/22/items/192425/1924-25.pdf#page=29</v>
      </c>
      <c r="AJ46" s="7" t="str">
        <f t="shared" si="13"/>
        <v>https://ia601501.us.archive.org/22/items/192425/1924-25.pdf#page=25</v>
      </c>
      <c r="AK46" s="152" t="str">
        <f t="shared" si="14"/>
        <v>https://ia601501.us.archive.org/22/items/192425/1924-25.pdf#page=29</v>
      </c>
      <c r="AL46" s="27" t="str">
        <f t="shared" si="22"/>
        <v>https://babel.hathitrust.org/cgi/pt?id=mdp.39015076547101;view=1up;seq=139</v>
      </c>
      <c r="AM46" s="155" t="str">
        <f t="shared" si="19"/>
        <v>https://ia601501.us.archive.org/22/items/192425/1924-25.pdf#page=30</v>
      </c>
      <c r="AN46" s="27" t="str">
        <f t="shared" si="25"/>
        <v>https://ia601501.us.archive.org/22/items/192425/1924-25.pdf#page=28</v>
      </c>
      <c r="AO46" s="152" t="str">
        <f t="shared" si="21"/>
        <v>https://ia601501.us.archive.org/22/items/192425/1924-25.pdf#page=31</v>
      </c>
      <c r="AP46" s="27" t="str">
        <f t="shared" si="15"/>
        <v>https://ia601501.us.archive.org/22/items/192425/1924-25.pdf#page=28</v>
      </c>
      <c r="AQ46" s="27" t="str">
        <f t="shared" si="16"/>
        <v>https://ia601501.us.archive.org/22/items/192425/1924-25.pdf#page=28</v>
      </c>
    </row>
    <row r="47" spans="1:43" s="158" customFormat="1" x14ac:dyDescent="0.25">
      <c r="A47" s="158" t="s">
        <v>631</v>
      </c>
      <c r="B47" s="158" t="str">
        <f t="shared" si="0"/>
        <v>Alabama</v>
      </c>
      <c r="C47" s="158" t="str">
        <f t="shared" si="1"/>
        <v>Marengo</v>
      </c>
      <c r="D47" s="158">
        <f>1193+218+488+125+79</f>
        <v>2103</v>
      </c>
      <c r="E47" s="158">
        <f>2392+225+24+22</f>
        <v>2663</v>
      </c>
      <c r="F47" s="158">
        <f t="shared" si="3"/>
        <v>4766</v>
      </c>
      <c r="G47" s="158">
        <f>94+11+5</f>
        <v>110</v>
      </c>
      <c r="H47" s="158">
        <f>54+6</f>
        <v>60</v>
      </c>
      <c r="I47" s="158">
        <f t="shared" si="23"/>
        <v>170</v>
      </c>
      <c r="J47" s="158">
        <f>186707+39313+80277+22587+14047</f>
        <v>342931</v>
      </c>
      <c r="K47" s="158">
        <f>247450+40388+3359+3951</f>
        <v>295148</v>
      </c>
      <c r="L47" s="159">
        <f t="shared" si="4"/>
        <v>133.88145195132185</v>
      </c>
      <c r="M47" s="160">
        <f>2168+420+94</f>
        <v>2682</v>
      </c>
      <c r="N47" s="160">
        <f>3485+318</f>
        <v>3803</v>
      </c>
      <c r="O47" s="158">
        <f t="shared" si="5"/>
        <v>6485</v>
      </c>
      <c r="P47" s="158">
        <f>75434+9550+7195</f>
        <v>92179</v>
      </c>
      <c r="Q47" s="158">
        <f>11243+2808</f>
        <v>14051</v>
      </c>
      <c r="R47" s="161">
        <f t="shared" si="6"/>
        <v>93.348607119734297</v>
      </c>
      <c r="S47" s="160">
        <f>104381+13925+8799</f>
        <v>127105</v>
      </c>
      <c r="T47" s="160">
        <f>12717+3613</f>
        <v>16330</v>
      </c>
      <c r="U47" s="162">
        <f t="shared" si="24"/>
        <v>143435</v>
      </c>
      <c r="V47" s="158">
        <v>94</v>
      </c>
      <c r="W47" s="158">
        <f>126000+30000+17000</f>
        <v>173000</v>
      </c>
      <c r="X47" s="158">
        <f>20200+4000+3000</f>
        <v>27200</v>
      </c>
      <c r="Y47" s="158">
        <f>25000+10000</f>
        <v>35000</v>
      </c>
      <c r="Z47" s="158">
        <f>2200+500</f>
        <v>2700</v>
      </c>
      <c r="AA47" s="162">
        <f t="shared" si="8"/>
        <v>237900</v>
      </c>
      <c r="AB47" s="163">
        <v>1925</v>
      </c>
      <c r="AC47" s="158" t="s">
        <v>552</v>
      </c>
      <c r="AD47" s="164" t="s">
        <v>2699</v>
      </c>
      <c r="AE47" s="158" t="s">
        <v>2701</v>
      </c>
      <c r="AF47" s="160" t="str">
        <f>AD47</f>
        <v>https://ia601501.us.archive.org/22/items/192425/1924-25.pdf#page=32</v>
      </c>
      <c r="AG47" s="160" t="str">
        <f>AE47</f>
        <v>https://ia601501.us.archive.org/22/items/192425/1924-25.pdf#page=35</v>
      </c>
      <c r="AH47" s="160" t="str">
        <f>AD47</f>
        <v>https://ia601501.us.archive.org/22/items/192425/1924-25.pdf#page=32</v>
      </c>
      <c r="AI47" s="160" t="str">
        <f t="shared" si="12"/>
        <v>https://ia601501.us.archive.org/22/items/192425/1924-25.pdf#page=35</v>
      </c>
      <c r="AJ47" s="160" t="str">
        <f>AD47</f>
        <v>https://ia601501.us.archive.org/22/items/192425/1924-25.pdf#page=32</v>
      </c>
      <c r="AK47" s="158" t="str">
        <f t="shared" si="14"/>
        <v>https://ia601501.us.archive.org/22/items/192425/1924-25.pdf#page=35</v>
      </c>
      <c r="AL47" s="158" t="s">
        <v>2714</v>
      </c>
      <c r="AM47" s="158" t="s">
        <v>2702</v>
      </c>
      <c r="AN47" s="158" t="s">
        <v>2700</v>
      </c>
      <c r="AO47" s="158" t="s">
        <v>2703</v>
      </c>
      <c r="AP47" s="158" t="str">
        <f t="shared" si="15"/>
        <v>https://ia601501.us.archive.org/22/items/192425/1924-25.pdf#page=34</v>
      </c>
      <c r="AQ47" s="158" t="str">
        <f t="shared" si="16"/>
        <v>https://ia601501.us.archive.org/22/items/192425/1924-25.pdf#page=34</v>
      </c>
    </row>
    <row r="48" spans="1:43" x14ac:dyDescent="0.25">
      <c r="A48" s="27" t="s">
        <v>632</v>
      </c>
      <c r="B48" s="27" t="str">
        <f t="shared" si="0"/>
        <v>Alabama</v>
      </c>
      <c r="C48" s="27" t="str">
        <f t="shared" si="1"/>
        <v>Marion</v>
      </c>
      <c r="D48" s="27">
        <f>3673+794+130+200</f>
        <v>4797</v>
      </c>
      <c r="E48" s="27">
        <f>125+12</f>
        <v>137</v>
      </c>
      <c r="F48" s="27">
        <f t="shared" si="3"/>
        <v>4934</v>
      </c>
      <c r="G48" s="27">
        <f>182+5+8</f>
        <v>195</v>
      </c>
      <c r="H48" s="27">
        <v>6</v>
      </c>
      <c r="I48" s="27">
        <f t="shared" si="23"/>
        <v>201</v>
      </c>
      <c r="J48" s="27">
        <f>339791+112511+22909+35040</f>
        <v>510251</v>
      </c>
      <c r="K48" s="27">
        <f>9000+954</f>
        <v>9954</v>
      </c>
      <c r="L48" s="97">
        <f t="shared" si="4"/>
        <v>105.43271179570328</v>
      </c>
      <c r="M48" s="7">
        <f>6308+156+224</f>
        <v>6688</v>
      </c>
      <c r="N48" s="7">
        <v>203</v>
      </c>
      <c r="O48" s="27">
        <f t="shared" si="5"/>
        <v>6891</v>
      </c>
      <c r="P48" s="27">
        <f>77061+3395+16938</f>
        <v>97394</v>
      </c>
      <c r="Q48" s="27">
        <v>904</v>
      </c>
      <c r="R48" s="115">
        <f t="shared" si="6"/>
        <v>92.769078550691901</v>
      </c>
      <c r="S48" s="7">
        <f>158027+8835+17831</f>
        <v>184693</v>
      </c>
      <c r="T48" s="7">
        <v>952</v>
      </c>
      <c r="U48" s="2">
        <f t="shared" si="24"/>
        <v>185645</v>
      </c>
      <c r="V48" s="27">
        <v>85</v>
      </c>
      <c r="W48" s="27">
        <f>317200+25000+80500</f>
        <v>422700</v>
      </c>
      <c r="X48" s="27">
        <f>37020+3000+12500</f>
        <v>52520</v>
      </c>
      <c r="Y48" s="27">
        <f>6000</f>
        <v>6000</v>
      </c>
      <c r="Z48" s="27">
        <f>600</f>
        <v>600</v>
      </c>
      <c r="AA48" s="2">
        <f t="shared" si="8"/>
        <v>481820</v>
      </c>
      <c r="AB48" s="41">
        <v>1925</v>
      </c>
      <c r="AC48" s="27" t="s">
        <v>552</v>
      </c>
      <c r="AD48" s="157" t="str">
        <f>AD47</f>
        <v>https://ia601501.us.archive.org/22/items/192425/1924-25.pdf#page=32</v>
      </c>
      <c r="AE48" s="155" t="str">
        <f t="shared" si="18"/>
        <v>https://ia601501.us.archive.org/22/items/192425/1924-25.pdf#page=35</v>
      </c>
      <c r="AF48" s="7" t="str">
        <f t="shared" si="9"/>
        <v>https://ia601501.us.archive.org/22/items/192425/1924-25.pdf#page=32</v>
      </c>
      <c r="AG48" s="153" t="str">
        <f t="shared" si="10"/>
        <v>https://ia601501.us.archive.org/22/items/192425/1924-25.pdf#page=35</v>
      </c>
      <c r="AH48" s="7" t="str">
        <f t="shared" si="11"/>
        <v>https://ia601501.us.archive.org/22/items/192425/1924-25.pdf#page=32</v>
      </c>
      <c r="AI48" s="153" t="str">
        <f t="shared" si="12"/>
        <v>https://ia601501.us.archive.org/22/items/192425/1924-25.pdf#page=35</v>
      </c>
      <c r="AJ48" s="7" t="str">
        <f t="shared" si="13"/>
        <v>https://ia601501.us.archive.org/22/items/192425/1924-25.pdf#page=32</v>
      </c>
      <c r="AK48" s="152" t="str">
        <f t="shared" si="14"/>
        <v>https://ia601501.us.archive.org/22/items/192425/1924-25.pdf#page=35</v>
      </c>
      <c r="AL48" s="27" t="str">
        <f t="shared" si="22"/>
        <v>https://babel.hathitrust.org/cgi/pt?id=mdp.39015076547101;view=1up;seq=159</v>
      </c>
      <c r="AM48" s="155" t="str">
        <f t="shared" si="19"/>
        <v>https://ia601501.us.archive.org/22/items/192425/1924-25.pdf#page=36</v>
      </c>
      <c r="AN48" s="27" t="str">
        <f t="shared" si="25"/>
        <v>https://ia601501.us.archive.org/22/items/192425/1924-25.pdf#page=34</v>
      </c>
      <c r="AO48" s="152" t="str">
        <f t="shared" si="21"/>
        <v>https://ia601501.us.archive.org/22/items/192425/1924-25.pdf#page=37</v>
      </c>
      <c r="AP48" s="27" t="str">
        <f t="shared" si="15"/>
        <v>https://ia601501.us.archive.org/22/items/192425/1924-25.pdf#page=34</v>
      </c>
      <c r="AQ48" s="27" t="str">
        <f t="shared" si="16"/>
        <v>https://ia601501.us.archive.org/22/items/192425/1924-25.pdf#page=34</v>
      </c>
    </row>
    <row r="49" spans="1:43" x14ac:dyDescent="0.25">
      <c r="A49" s="27" t="s">
        <v>633</v>
      </c>
      <c r="B49" s="27" t="str">
        <f t="shared" si="0"/>
        <v>Alabama</v>
      </c>
      <c r="C49" s="27" t="str">
        <f t="shared" si="1"/>
        <v>Marshall</v>
      </c>
      <c r="D49" s="27">
        <f>3839+359+223+237+726+68+28+152+238</f>
        <v>5870</v>
      </c>
      <c r="E49" s="27">
        <f>34+14+80</f>
        <v>128</v>
      </c>
      <c r="F49" s="27">
        <f t="shared" si="3"/>
        <v>5998</v>
      </c>
      <c r="G49" s="27">
        <f>186+10+8+6+7+9</f>
        <v>226</v>
      </c>
      <c r="H49" s="27">
        <f>3+1+2</f>
        <v>6</v>
      </c>
      <c r="I49" s="27">
        <f t="shared" si="23"/>
        <v>232</v>
      </c>
      <c r="J49" s="27">
        <f>390046+64686+35243+41422+102011+12244+4428+26650+42543</f>
        <v>719273</v>
      </c>
      <c r="K49" s="27">
        <f>2927+1681+7236</f>
        <v>11844</v>
      </c>
      <c r="L49" s="97">
        <f t="shared" si="4"/>
        <v>121.89346448816272</v>
      </c>
      <c r="M49" s="7">
        <f>7490+664+360+329+197+295</f>
        <v>9335</v>
      </c>
      <c r="N49" s="7">
        <f>126+20+91</f>
        <v>237</v>
      </c>
      <c r="O49" s="27">
        <f t="shared" si="5"/>
        <v>9572</v>
      </c>
      <c r="P49" s="27">
        <f>74204+5040+5940+5839+14847</f>
        <v>105870</v>
      </c>
      <c r="Q49" s="27">
        <f>570+240+600</f>
        <v>1410</v>
      </c>
      <c r="R49" s="115">
        <f t="shared" si="6"/>
        <v>75.871794282843453</v>
      </c>
      <c r="S49" s="7">
        <f>125204+19012+36219+5491+13066+19829</f>
        <v>218821</v>
      </c>
      <c r="T49" s="7">
        <f>610+285+640</f>
        <v>1535</v>
      </c>
      <c r="U49" s="2">
        <f t="shared" si="24"/>
        <v>220356</v>
      </c>
      <c r="V49" s="27">
        <v>93</v>
      </c>
      <c r="W49" s="27">
        <f>179000+35000+25000+4000+20000+50000</f>
        <v>313000</v>
      </c>
      <c r="X49" s="27">
        <f>24500+3200+5000+1500+3000+15000</f>
        <v>52200</v>
      </c>
      <c r="Y49" s="27">
        <f>300</f>
        <v>300</v>
      </c>
      <c r="Z49" s="27">
        <f>50+200</f>
        <v>250</v>
      </c>
      <c r="AA49" s="2">
        <f t="shared" si="8"/>
        <v>365750</v>
      </c>
      <c r="AB49" s="41">
        <v>1925</v>
      </c>
      <c r="AC49" s="27" t="s">
        <v>552</v>
      </c>
      <c r="AD49" s="157" t="str">
        <f t="shared" si="17"/>
        <v>https://ia601501.us.archive.org/22/items/192425/1924-25.pdf#page=32</v>
      </c>
      <c r="AE49" s="155" t="str">
        <f t="shared" si="18"/>
        <v>https://ia601501.us.archive.org/22/items/192425/1924-25.pdf#page=35</v>
      </c>
      <c r="AF49" s="7" t="str">
        <f t="shared" si="9"/>
        <v>https://ia601501.us.archive.org/22/items/192425/1924-25.pdf#page=32</v>
      </c>
      <c r="AG49" s="153" t="str">
        <f t="shared" si="10"/>
        <v>https://ia601501.us.archive.org/22/items/192425/1924-25.pdf#page=35</v>
      </c>
      <c r="AH49" s="7" t="str">
        <f t="shared" si="11"/>
        <v>https://ia601501.us.archive.org/22/items/192425/1924-25.pdf#page=32</v>
      </c>
      <c r="AI49" s="153" t="str">
        <f t="shared" si="12"/>
        <v>https://ia601501.us.archive.org/22/items/192425/1924-25.pdf#page=35</v>
      </c>
      <c r="AJ49" s="7" t="str">
        <f t="shared" si="13"/>
        <v>https://ia601501.us.archive.org/22/items/192425/1924-25.pdf#page=32</v>
      </c>
      <c r="AK49" s="152" t="str">
        <f t="shared" si="14"/>
        <v>https://ia601501.us.archive.org/22/items/192425/1924-25.pdf#page=35</v>
      </c>
      <c r="AL49" s="27" t="str">
        <f t="shared" si="22"/>
        <v>https://babel.hathitrust.org/cgi/pt?id=mdp.39015076547101;view=1up;seq=159</v>
      </c>
      <c r="AM49" s="155" t="str">
        <f t="shared" si="19"/>
        <v>https://ia601501.us.archive.org/22/items/192425/1924-25.pdf#page=36</v>
      </c>
      <c r="AN49" s="27" t="str">
        <f t="shared" si="25"/>
        <v>https://ia601501.us.archive.org/22/items/192425/1924-25.pdf#page=34</v>
      </c>
      <c r="AO49" s="152" t="str">
        <f t="shared" si="21"/>
        <v>https://ia601501.us.archive.org/22/items/192425/1924-25.pdf#page=37</v>
      </c>
      <c r="AP49" s="27" t="str">
        <f t="shared" si="15"/>
        <v>https://ia601501.us.archive.org/22/items/192425/1924-25.pdf#page=34</v>
      </c>
      <c r="AQ49" s="27" t="str">
        <f t="shared" si="16"/>
        <v>https://ia601501.us.archive.org/22/items/192425/1924-25.pdf#page=34</v>
      </c>
    </row>
    <row r="50" spans="1:43" x14ac:dyDescent="0.25">
      <c r="A50" s="27" t="s">
        <v>634</v>
      </c>
      <c r="B50" s="27" t="str">
        <f t="shared" si="0"/>
        <v>Alabama</v>
      </c>
      <c r="C50" s="27" t="str">
        <f t="shared" si="1"/>
        <v>Mobile</v>
      </c>
      <c r="D50" s="27">
        <f>4167+3869+715+1872</f>
        <v>10623</v>
      </c>
      <c r="E50" s="27">
        <f>2232+1720+193+428</f>
        <v>4573</v>
      </c>
      <c r="F50" s="27">
        <f t="shared" si="3"/>
        <v>15196</v>
      </c>
      <c r="G50" s="27">
        <f>198+226</f>
        <v>424</v>
      </c>
      <c r="H50" s="27">
        <f>97+58</f>
        <v>155</v>
      </c>
      <c r="I50" s="27">
        <f t="shared" si="23"/>
        <v>579</v>
      </c>
      <c r="J50" s="27">
        <f>704184+655195+120478+317116</f>
        <v>1796973</v>
      </c>
      <c r="K50" s="27">
        <f>370761+290818+32549+72126</f>
        <v>766254</v>
      </c>
      <c r="L50" s="97">
        <f t="shared" si="4"/>
        <v>168.67774414319558</v>
      </c>
      <c r="M50" s="7">
        <f>5817+6664</f>
        <v>12481</v>
      </c>
      <c r="N50" s="7">
        <f>3315+2785</f>
        <v>6100</v>
      </c>
      <c r="O50" s="27">
        <f t="shared" si="5"/>
        <v>18581</v>
      </c>
      <c r="P50" s="27">
        <f>163563+236917</f>
        <v>400480</v>
      </c>
      <c r="Q50" s="27">
        <f>42903+29050</f>
        <v>71953</v>
      </c>
      <c r="R50" s="115">
        <f t="shared" si="6"/>
        <v>96.746190620156653</v>
      </c>
      <c r="S50" s="7">
        <f>400347+336050</f>
        <v>736397</v>
      </c>
      <c r="T50" s="7">
        <f>106925+42599</f>
        <v>149524</v>
      </c>
      <c r="U50" s="2">
        <f t="shared" si="24"/>
        <v>885921</v>
      </c>
      <c r="V50" s="27">
        <v>118</v>
      </c>
      <c r="W50" s="27">
        <f>408675+1100598</f>
        <v>1509273</v>
      </c>
      <c r="X50" s="27">
        <f>32819+69101</f>
        <v>101920</v>
      </c>
      <c r="Y50" s="27">
        <f>56629+123963</f>
        <v>180592</v>
      </c>
      <c r="Z50" s="27">
        <f>2875+5407</f>
        <v>8282</v>
      </c>
      <c r="AA50" s="2">
        <f t="shared" si="8"/>
        <v>1800067</v>
      </c>
      <c r="AB50" s="41">
        <v>1925</v>
      </c>
      <c r="AC50" s="27" t="s">
        <v>552</v>
      </c>
      <c r="AD50" s="157" t="str">
        <f t="shared" si="17"/>
        <v>https://ia601501.us.archive.org/22/items/192425/1924-25.pdf#page=32</v>
      </c>
      <c r="AE50" s="155" t="str">
        <f t="shared" si="18"/>
        <v>https://ia601501.us.archive.org/22/items/192425/1924-25.pdf#page=35</v>
      </c>
      <c r="AF50" s="7" t="str">
        <f t="shared" si="9"/>
        <v>https://ia601501.us.archive.org/22/items/192425/1924-25.pdf#page=32</v>
      </c>
      <c r="AG50" s="153" t="str">
        <f t="shared" si="10"/>
        <v>https://ia601501.us.archive.org/22/items/192425/1924-25.pdf#page=35</v>
      </c>
      <c r="AH50" s="7" t="str">
        <f t="shared" si="11"/>
        <v>https://ia601501.us.archive.org/22/items/192425/1924-25.pdf#page=32</v>
      </c>
      <c r="AI50" s="153" t="str">
        <f t="shared" si="12"/>
        <v>https://ia601501.us.archive.org/22/items/192425/1924-25.pdf#page=35</v>
      </c>
      <c r="AJ50" s="7" t="str">
        <f t="shared" si="13"/>
        <v>https://ia601501.us.archive.org/22/items/192425/1924-25.pdf#page=32</v>
      </c>
      <c r="AK50" s="152" t="str">
        <f t="shared" si="14"/>
        <v>https://ia601501.us.archive.org/22/items/192425/1924-25.pdf#page=35</v>
      </c>
      <c r="AL50" s="27" t="str">
        <f t="shared" si="22"/>
        <v>https://babel.hathitrust.org/cgi/pt?id=mdp.39015076547101;view=1up;seq=159</v>
      </c>
      <c r="AM50" s="155" t="str">
        <f t="shared" si="19"/>
        <v>https://ia601501.us.archive.org/22/items/192425/1924-25.pdf#page=36</v>
      </c>
      <c r="AN50" s="27" t="str">
        <f t="shared" si="25"/>
        <v>https://ia601501.us.archive.org/22/items/192425/1924-25.pdf#page=34</v>
      </c>
      <c r="AO50" s="152" t="str">
        <f t="shared" si="21"/>
        <v>https://ia601501.us.archive.org/22/items/192425/1924-25.pdf#page=37</v>
      </c>
      <c r="AP50" s="27" t="str">
        <f t="shared" si="15"/>
        <v>https://ia601501.us.archive.org/22/items/192425/1924-25.pdf#page=34</v>
      </c>
      <c r="AQ50" s="27" t="str">
        <f t="shared" si="16"/>
        <v>https://ia601501.us.archive.org/22/items/192425/1924-25.pdf#page=34</v>
      </c>
    </row>
    <row r="51" spans="1:43" x14ac:dyDescent="0.25">
      <c r="A51" s="27" t="s">
        <v>635</v>
      </c>
      <c r="B51" s="27" t="str">
        <f t="shared" si="0"/>
        <v>Alabama</v>
      </c>
      <c r="C51" s="27" t="str">
        <f t="shared" si="1"/>
        <v>Monroe</v>
      </c>
      <c r="D51" s="27">
        <f>2320+760+144</f>
        <v>3224</v>
      </c>
      <c r="E51" s="27">
        <f>2135+52</f>
        <v>2187</v>
      </c>
      <c r="F51" s="27">
        <f t="shared" si="3"/>
        <v>5411</v>
      </c>
      <c r="G51" s="27">
        <f>124+6</f>
        <v>130</v>
      </c>
      <c r="H51" s="27">
        <v>59</v>
      </c>
      <c r="I51" s="27">
        <f t="shared" si="23"/>
        <v>189</v>
      </c>
      <c r="J51" s="27">
        <f>342824+129192+25429</f>
        <v>497445</v>
      </c>
      <c r="K51" s="27">
        <f>170793+4167</f>
        <v>174960</v>
      </c>
      <c r="L51" s="97">
        <f t="shared" si="4"/>
        <v>124.26630936980226</v>
      </c>
      <c r="M51" s="7">
        <f>3963+161</f>
        <v>4124</v>
      </c>
      <c r="N51" s="7">
        <v>3174</v>
      </c>
      <c r="O51" s="27">
        <f t="shared" si="5"/>
        <v>7298</v>
      </c>
      <c r="P51" s="27">
        <f>74761+5058</f>
        <v>79819</v>
      </c>
      <c r="Q51" s="27">
        <v>6881</v>
      </c>
      <c r="R51" s="115">
        <f t="shared" si="6"/>
        <v>73.830173448706915</v>
      </c>
      <c r="S51" s="7">
        <f>101888+8771</f>
        <v>110659</v>
      </c>
      <c r="T51" s="7">
        <v>15095</v>
      </c>
      <c r="U51" s="2">
        <f t="shared" si="24"/>
        <v>125754</v>
      </c>
      <c r="V51" s="27">
        <v>109</v>
      </c>
      <c r="W51" s="27">
        <f>150000+20000</f>
        <v>170000</v>
      </c>
      <c r="X51" s="27">
        <f>30000+3000</f>
        <v>33000</v>
      </c>
      <c r="Y51" s="27">
        <f>25000</f>
        <v>25000</v>
      </c>
      <c r="Z51" s="27">
        <f>2000</f>
        <v>2000</v>
      </c>
      <c r="AA51" s="2">
        <f t="shared" si="8"/>
        <v>230000</v>
      </c>
      <c r="AB51" s="41">
        <v>1925</v>
      </c>
      <c r="AC51" s="27" t="s">
        <v>552</v>
      </c>
      <c r="AD51" s="157" t="str">
        <f t="shared" si="17"/>
        <v>https://ia601501.us.archive.org/22/items/192425/1924-25.pdf#page=32</v>
      </c>
      <c r="AE51" s="155" t="str">
        <f t="shared" si="18"/>
        <v>https://ia601501.us.archive.org/22/items/192425/1924-25.pdf#page=35</v>
      </c>
      <c r="AF51" s="7" t="str">
        <f t="shared" si="9"/>
        <v>https://ia601501.us.archive.org/22/items/192425/1924-25.pdf#page=32</v>
      </c>
      <c r="AG51" s="153" t="str">
        <f t="shared" si="10"/>
        <v>https://ia601501.us.archive.org/22/items/192425/1924-25.pdf#page=35</v>
      </c>
      <c r="AH51" s="7" t="str">
        <f t="shared" si="11"/>
        <v>https://ia601501.us.archive.org/22/items/192425/1924-25.pdf#page=32</v>
      </c>
      <c r="AI51" s="153" t="str">
        <f t="shared" si="12"/>
        <v>https://ia601501.us.archive.org/22/items/192425/1924-25.pdf#page=35</v>
      </c>
      <c r="AJ51" s="7" t="str">
        <f t="shared" si="13"/>
        <v>https://ia601501.us.archive.org/22/items/192425/1924-25.pdf#page=32</v>
      </c>
      <c r="AK51" s="152" t="str">
        <f t="shared" si="14"/>
        <v>https://ia601501.us.archive.org/22/items/192425/1924-25.pdf#page=35</v>
      </c>
      <c r="AL51" s="27" t="str">
        <f t="shared" si="22"/>
        <v>https://babel.hathitrust.org/cgi/pt?id=mdp.39015076547101;view=1up;seq=159</v>
      </c>
      <c r="AM51" s="155" t="str">
        <f t="shared" si="19"/>
        <v>https://ia601501.us.archive.org/22/items/192425/1924-25.pdf#page=36</v>
      </c>
      <c r="AN51" s="27" t="str">
        <f t="shared" si="25"/>
        <v>https://ia601501.us.archive.org/22/items/192425/1924-25.pdf#page=34</v>
      </c>
      <c r="AO51" s="152" t="str">
        <f t="shared" si="21"/>
        <v>https://ia601501.us.archive.org/22/items/192425/1924-25.pdf#page=37</v>
      </c>
      <c r="AP51" s="27" t="str">
        <f t="shared" si="15"/>
        <v>https://ia601501.us.archive.org/22/items/192425/1924-25.pdf#page=34</v>
      </c>
      <c r="AQ51" s="27" t="str">
        <f t="shared" si="16"/>
        <v>https://ia601501.us.archive.org/22/items/192425/1924-25.pdf#page=34</v>
      </c>
    </row>
    <row r="52" spans="1:43" x14ac:dyDescent="0.25">
      <c r="A52" s="27" t="s">
        <v>636</v>
      </c>
      <c r="B52" s="27" t="str">
        <f t="shared" si="0"/>
        <v>Alabama</v>
      </c>
      <c r="C52" s="27" t="str">
        <f t="shared" si="1"/>
        <v>Montgomery</v>
      </c>
      <c r="D52" s="27">
        <f>1922+2610+540+1403+317</f>
        <v>6792</v>
      </c>
      <c r="E52" s="27">
        <f>4002+2826+32+300</f>
        <v>7160</v>
      </c>
      <c r="F52" s="27">
        <f t="shared" si="3"/>
        <v>13952</v>
      </c>
      <c r="G52" s="27">
        <f>95+142+9</f>
        <v>246</v>
      </c>
      <c r="H52" s="27">
        <f>101+70</f>
        <v>171</v>
      </c>
      <c r="I52" s="27">
        <f t="shared" si="23"/>
        <v>417</v>
      </c>
      <c r="J52" s="27">
        <f>336400+451544+94467+242031+55400</f>
        <v>1179842</v>
      </c>
      <c r="K52" s="27">
        <f>432297+488884+4930+51816</f>
        <v>977927</v>
      </c>
      <c r="L52" s="97">
        <f t="shared" si="4"/>
        <v>154.65660837155963</v>
      </c>
      <c r="M52" s="7">
        <f>2905+4614+356</f>
        <v>7875</v>
      </c>
      <c r="N52" s="7">
        <f>6375+3412</f>
        <v>9787</v>
      </c>
      <c r="O52" s="27">
        <f t="shared" si="5"/>
        <v>17662</v>
      </c>
      <c r="P52" s="27">
        <f>90871+157101+10442</f>
        <v>258414</v>
      </c>
      <c r="Q52" s="27">
        <f>24234+32905</f>
        <v>57139</v>
      </c>
      <c r="R52" s="115">
        <f t="shared" si="6"/>
        <v>97.858323741841843</v>
      </c>
      <c r="S52" s="7">
        <f>237233+310451+15208</f>
        <v>562892</v>
      </c>
      <c r="T52" s="7">
        <f>28175+54794</f>
        <v>82969</v>
      </c>
      <c r="U52" s="2">
        <f t="shared" si="24"/>
        <v>645861</v>
      </c>
      <c r="V52" s="27">
        <v>108</v>
      </c>
      <c r="W52" s="27">
        <f>727200+1672000+98000</f>
        <v>2497200</v>
      </c>
      <c r="X52" s="27">
        <f>50500+145000+10000</f>
        <v>205500</v>
      </c>
      <c r="Y52" s="27">
        <f>128000+170000</f>
        <v>298000</v>
      </c>
      <c r="Z52" s="27">
        <f>5000+21500</f>
        <v>26500</v>
      </c>
      <c r="AA52" s="2">
        <f t="shared" si="8"/>
        <v>3027200</v>
      </c>
      <c r="AB52" s="41">
        <v>1925</v>
      </c>
      <c r="AC52" s="27" t="s">
        <v>552</v>
      </c>
      <c r="AD52" s="157" t="str">
        <f t="shared" si="17"/>
        <v>https://ia601501.us.archive.org/22/items/192425/1924-25.pdf#page=32</v>
      </c>
      <c r="AE52" s="155" t="str">
        <f t="shared" si="18"/>
        <v>https://ia601501.us.archive.org/22/items/192425/1924-25.pdf#page=35</v>
      </c>
      <c r="AF52" s="7" t="str">
        <f t="shared" si="9"/>
        <v>https://ia601501.us.archive.org/22/items/192425/1924-25.pdf#page=32</v>
      </c>
      <c r="AG52" s="153" t="str">
        <f t="shared" si="10"/>
        <v>https://ia601501.us.archive.org/22/items/192425/1924-25.pdf#page=35</v>
      </c>
      <c r="AH52" s="7" t="str">
        <f t="shared" si="11"/>
        <v>https://ia601501.us.archive.org/22/items/192425/1924-25.pdf#page=32</v>
      </c>
      <c r="AI52" s="153" t="str">
        <f t="shared" si="12"/>
        <v>https://ia601501.us.archive.org/22/items/192425/1924-25.pdf#page=35</v>
      </c>
      <c r="AJ52" s="7" t="str">
        <f t="shared" si="13"/>
        <v>https://ia601501.us.archive.org/22/items/192425/1924-25.pdf#page=32</v>
      </c>
      <c r="AK52" s="152" t="str">
        <f t="shared" si="14"/>
        <v>https://ia601501.us.archive.org/22/items/192425/1924-25.pdf#page=35</v>
      </c>
      <c r="AL52" s="27" t="str">
        <f t="shared" si="22"/>
        <v>https://babel.hathitrust.org/cgi/pt?id=mdp.39015076547101;view=1up;seq=159</v>
      </c>
      <c r="AM52" s="155" t="str">
        <f t="shared" si="19"/>
        <v>https://ia601501.us.archive.org/22/items/192425/1924-25.pdf#page=36</v>
      </c>
      <c r="AN52" s="27" t="str">
        <f t="shared" si="25"/>
        <v>https://ia601501.us.archive.org/22/items/192425/1924-25.pdf#page=34</v>
      </c>
      <c r="AO52" s="152" t="str">
        <f t="shared" si="21"/>
        <v>https://ia601501.us.archive.org/22/items/192425/1924-25.pdf#page=37</v>
      </c>
      <c r="AP52" s="27" t="str">
        <f t="shared" si="15"/>
        <v>https://ia601501.us.archive.org/22/items/192425/1924-25.pdf#page=34</v>
      </c>
      <c r="AQ52" s="27" t="str">
        <f t="shared" si="16"/>
        <v>https://ia601501.us.archive.org/22/items/192425/1924-25.pdf#page=34</v>
      </c>
    </row>
    <row r="53" spans="1:43" x14ac:dyDescent="0.25">
      <c r="A53" s="27" t="s">
        <v>1775</v>
      </c>
      <c r="B53" s="27" t="str">
        <f t="shared" si="0"/>
        <v>Alabama</v>
      </c>
      <c r="C53" s="27" t="str">
        <f t="shared" si="1"/>
        <v>Morgan/Cotaco</v>
      </c>
      <c r="D53" s="27">
        <f>3830+982+339+338+916+441+184+37+218</f>
        <v>7285</v>
      </c>
      <c r="E53" s="27">
        <f>815+133+255+113+36+9+82+36</f>
        <v>1479</v>
      </c>
      <c r="F53" s="27">
        <f t="shared" si="3"/>
        <v>8764</v>
      </c>
      <c r="G53" s="27">
        <f>172+50+19+12+7</f>
        <v>260</v>
      </c>
      <c r="H53" s="27">
        <f>24+4+8+6</f>
        <v>42</v>
      </c>
      <c r="I53" s="27">
        <f t="shared" si="23"/>
        <v>302</v>
      </c>
      <c r="J53" s="27">
        <f>381078+170331+59672+59639+91144+76516+32398+6616+38182</f>
        <v>915576</v>
      </c>
      <c r="K53" s="27">
        <f>74642+23118+44916+17963+5673+1569+14394+5736</f>
        <v>188011</v>
      </c>
      <c r="L53" s="97">
        <f t="shared" si="4"/>
        <v>125.92275216795984</v>
      </c>
      <c r="M53" s="7">
        <f>6326+1802+643+447+250</f>
        <v>9468</v>
      </c>
      <c r="N53" s="7">
        <f>1071+193+457+212</f>
        <v>1933</v>
      </c>
      <c r="O53" s="27">
        <f t="shared" si="5"/>
        <v>11401</v>
      </c>
      <c r="P53" s="27">
        <f>74927+39101+16401+10665+8400</f>
        <v>149494</v>
      </c>
      <c r="Q53" s="27">
        <f>6500+2385+3657+2400</f>
        <v>14942</v>
      </c>
      <c r="R53" s="115">
        <f t="shared" si="6"/>
        <v>86.480013635487751</v>
      </c>
      <c r="S53" s="7">
        <f>142656+57545+23811+11669+13856</f>
        <v>249537</v>
      </c>
      <c r="T53" s="7">
        <f>7990+2841+5501+3044</f>
        <v>19376</v>
      </c>
      <c r="U53" s="2">
        <f t="shared" si="24"/>
        <v>268913</v>
      </c>
      <c r="V53" s="27">
        <v>100</v>
      </c>
      <c r="W53" s="27">
        <f>238822+285000+160000+40000+40000</f>
        <v>763822</v>
      </c>
      <c r="X53" s="27">
        <f>25858+23000+19000+2800+8000</f>
        <v>78658</v>
      </c>
      <c r="Y53" s="27">
        <f>18900+2000+20000+12000</f>
        <v>52900</v>
      </c>
      <c r="Z53" s="27">
        <f>1987+600+3000+1420</f>
        <v>7007</v>
      </c>
      <c r="AA53" s="2">
        <f t="shared" si="8"/>
        <v>902387</v>
      </c>
      <c r="AB53" s="41">
        <v>1925</v>
      </c>
      <c r="AC53" s="27" t="s">
        <v>552</v>
      </c>
      <c r="AD53" s="157" t="str">
        <f t="shared" si="17"/>
        <v>https://ia601501.us.archive.org/22/items/192425/1924-25.pdf#page=32</v>
      </c>
      <c r="AE53" s="155" t="str">
        <f t="shared" si="18"/>
        <v>https://ia601501.us.archive.org/22/items/192425/1924-25.pdf#page=35</v>
      </c>
      <c r="AF53" s="7" t="str">
        <f t="shared" si="9"/>
        <v>https://ia601501.us.archive.org/22/items/192425/1924-25.pdf#page=32</v>
      </c>
      <c r="AG53" s="153" t="str">
        <f t="shared" si="10"/>
        <v>https://ia601501.us.archive.org/22/items/192425/1924-25.pdf#page=35</v>
      </c>
      <c r="AH53" s="7" t="str">
        <f t="shared" si="11"/>
        <v>https://ia601501.us.archive.org/22/items/192425/1924-25.pdf#page=32</v>
      </c>
      <c r="AI53" s="153" t="str">
        <f t="shared" si="12"/>
        <v>https://ia601501.us.archive.org/22/items/192425/1924-25.pdf#page=35</v>
      </c>
      <c r="AJ53" s="7" t="str">
        <f t="shared" si="13"/>
        <v>https://ia601501.us.archive.org/22/items/192425/1924-25.pdf#page=32</v>
      </c>
      <c r="AK53" s="152" t="str">
        <f t="shared" si="14"/>
        <v>https://ia601501.us.archive.org/22/items/192425/1924-25.pdf#page=35</v>
      </c>
      <c r="AL53" s="27" t="str">
        <f t="shared" si="22"/>
        <v>https://babel.hathitrust.org/cgi/pt?id=mdp.39015076547101;view=1up;seq=159</v>
      </c>
      <c r="AM53" s="155" t="str">
        <f t="shared" si="19"/>
        <v>https://ia601501.us.archive.org/22/items/192425/1924-25.pdf#page=36</v>
      </c>
      <c r="AN53" s="27" t="str">
        <f t="shared" si="25"/>
        <v>https://ia601501.us.archive.org/22/items/192425/1924-25.pdf#page=34</v>
      </c>
      <c r="AO53" s="152" t="str">
        <f t="shared" si="21"/>
        <v>https://ia601501.us.archive.org/22/items/192425/1924-25.pdf#page=37</v>
      </c>
      <c r="AP53" s="27" t="str">
        <f t="shared" si="15"/>
        <v>https://ia601501.us.archive.org/22/items/192425/1924-25.pdf#page=34</v>
      </c>
      <c r="AQ53" s="27" t="str">
        <f t="shared" si="16"/>
        <v>https://ia601501.us.archive.org/22/items/192425/1924-25.pdf#page=34</v>
      </c>
    </row>
    <row r="54" spans="1:43" x14ac:dyDescent="0.25">
      <c r="A54" s="27" t="s">
        <v>637</v>
      </c>
      <c r="B54" s="27" t="str">
        <f t="shared" si="0"/>
        <v>Alabama</v>
      </c>
      <c r="C54" s="27" t="str">
        <f t="shared" si="1"/>
        <v>Perry</v>
      </c>
      <c r="D54" s="27">
        <f>717+217+193+35+174</f>
        <v>1336</v>
      </c>
      <c r="E54" s="27">
        <f>1972+87+27</f>
        <v>2086</v>
      </c>
      <c r="F54" s="27">
        <f t="shared" si="3"/>
        <v>3422</v>
      </c>
      <c r="G54" s="27">
        <f>61+7+8</f>
        <v>76</v>
      </c>
      <c r="H54" s="27">
        <f>55+1</f>
        <v>56</v>
      </c>
      <c r="I54" s="27">
        <f t="shared" si="23"/>
        <v>132</v>
      </c>
      <c r="J54" s="27">
        <f>99312+36448+30786+5862+30767</f>
        <v>203175</v>
      </c>
      <c r="K54" s="27">
        <f>153612+13712+4270</f>
        <v>171594</v>
      </c>
      <c r="L54" s="97">
        <f t="shared" si="4"/>
        <v>109.51753360607832</v>
      </c>
      <c r="M54" s="7">
        <f>1317+316+197</f>
        <v>1830</v>
      </c>
      <c r="N54" s="7">
        <f>3322+105</f>
        <v>3427</v>
      </c>
      <c r="O54" s="27">
        <f t="shared" si="5"/>
        <v>5257</v>
      </c>
      <c r="P54" s="27">
        <f>34032+4675+7160</f>
        <v>45867</v>
      </c>
      <c r="Q54" s="27">
        <f>8470+680</f>
        <v>9150</v>
      </c>
      <c r="R54" s="115">
        <f t="shared" si="6"/>
        <v>76.114835829780233</v>
      </c>
      <c r="S54" s="7">
        <f>61529+8577+15111</f>
        <v>85217</v>
      </c>
      <c r="T54" s="7">
        <f>23032+1397</f>
        <v>24429</v>
      </c>
      <c r="U54" s="2">
        <f t="shared" si="24"/>
        <v>109646</v>
      </c>
      <c r="V54" s="27">
        <v>84</v>
      </c>
      <c r="W54" s="27">
        <f>106450+40000+25000</f>
        <v>171450</v>
      </c>
      <c r="X54" s="27">
        <f>18613+1000+5000</f>
        <v>24613</v>
      </c>
      <c r="Y54" s="27">
        <f>15000+1500</f>
        <v>16500</v>
      </c>
      <c r="Z54" s="27">
        <f>1230+100</f>
        <v>1330</v>
      </c>
      <c r="AA54" s="2">
        <f t="shared" si="8"/>
        <v>213893</v>
      </c>
      <c r="AB54" s="41">
        <v>1925</v>
      </c>
      <c r="AC54" s="27" t="s">
        <v>552</v>
      </c>
      <c r="AD54" s="157" t="str">
        <f t="shared" si="17"/>
        <v>https://ia601501.us.archive.org/22/items/192425/1924-25.pdf#page=32</v>
      </c>
      <c r="AE54" s="155" t="str">
        <f t="shared" si="18"/>
        <v>https://ia601501.us.archive.org/22/items/192425/1924-25.pdf#page=35</v>
      </c>
      <c r="AF54" s="7" t="str">
        <f t="shared" si="9"/>
        <v>https://ia601501.us.archive.org/22/items/192425/1924-25.pdf#page=32</v>
      </c>
      <c r="AG54" s="153" t="str">
        <f t="shared" si="10"/>
        <v>https://ia601501.us.archive.org/22/items/192425/1924-25.pdf#page=35</v>
      </c>
      <c r="AH54" s="7" t="str">
        <f t="shared" si="11"/>
        <v>https://ia601501.us.archive.org/22/items/192425/1924-25.pdf#page=32</v>
      </c>
      <c r="AI54" s="153" t="str">
        <f t="shared" si="12"/>
        <v>https://ia601501.us.archive.org/22/items/192425/1924-25.pdf#page=35</v>
      </c>
      <c r="AJ54" s="7" t="str">
        <f t="shared" si="13"/>
        <v>https://ia601501.us.archive.org/22/items/192425/1924-25.pdf#page=32</v>
      </c>
      <c r="AK54" s="152" t="str">
        <f t="shared" si="14"/>
        <v>https://ia601501.us.archive.org/22/items/192425/1924-25.pdf#page=35</v>
      </c>
      <c r="AL54" s="27" t="str">
        <f t="shared" si="22"/>
        <v>https://babel.hathitrust.org/cgi/pt?id=mdp.39015076547101;view=1up;seq=159</v>
      </c>
      <c r="AM54" s="155" t="str">
        <f t="shared" si="19"/>
        <v>https://ia601501.us.archive.org/22/items/192425/1924-25.pdf#page=36</v>
      </c>
      <c r="AN54" s="27" t="str">
        <f t="shared" si="25"/>
        <v>https://ia601501.us.archive.org/22/items/192425/1924-25.pdf#page=34</v>
      </c>
      <c r="AO54" s="152" t="str">
        <f t="shared" si="21"/>
        <v>https://ia601501.us.archive.org/22/items/192425/1924-25.pdf#page=37</v>
      </c>
      <c r="AP54" s="27" t="str">
        <f t="shared" si="15"/>
        <v>https://ia601501.us.archive.org/22/items/192425/1924-25.pdf#page=34</v>
      </c>
      <c r="AQ54" s="27" t="str">
        <f t="shared" si="16"/>
        <v>https://ia601501.us.archive.org/22/items/192425/1924-25.pdf#page=34</v>
      </c>
    </row>
    <row r="55" spans="1:43" x14ac:dyDescent="0.25">
      <c r="A55" s="27" t="s">
        <v>638</v>
      </c>
      <c r="B55" s="27" t="str">
        <f t="shared" si="0"/>
        <v>Alabama</v>
      </c>
      <c r="C55" s="27" t="str">
        <f t="shared" si="1"/>
        <v>Pickens</v>
      </c>
      <c r="D55" s="27">
        <f>1987+714+161</f>
        <v>2862</v>
      </c>
      <c r="E55" s="27">
        <f>2379+39</f>
        <v>2418</v>
      </c>
      <c r="F55" s="27">
        <f t="shared" si="3"/>
        <v>5280</v>
      </c>
      <c r="G55" s="27">
        <f>129+7</f>
        <v>136</v>
      </c>
      <c r="H55" s="27">
        <v>78</v>
      </c>
      <c r="I55" s="27">
        <f t="shared" si="23"/>
        <v>214</v>
      </c>
      <c r="J55" s="27">
        <f>208653+99942+28472</f>
        <v>337067</v>
      </c>
      <c r="K55" s="27">
        <f>168917+6193</f>
        <v>175110</v>
      </c>
      <c r="L55" s="97">
        <f t="shared" si="4"/>
        <v>97.003219696969694</v>
      </c>
      <c r="M55" s="7">
        <f>3550+185</f>
        <v>3735</v>
      </c>
      <c r="N55" s="7">
        <v>3292</v>
      </c>
      <c r="O55" s="27">
        <f t="shared" si="5"/>
        <v>7027</v>
      </c>
      <c r="P55" s="27">
        <f>82152+10021</f>
        <v>92173</v>
      </c>
      <c r="Q55" s="27">
        <v>14541</v>
      </c>
      <c r="R55" s="115">
        <f t="shared" si="6"/>
        <v>102.81381441969747</v>
      </c>
      <c r="S55" s="7">
        <f>102023+14879</f>
        <v>116902</v>
      </c>
      <c r="T55" s="7">
        <v>17177</v>
      </c>
      <c r="U55" s="2">
        <f t="shared" si="24"/>
        <v>134079</v>
      </c>
      <c r="V55" s="27">
        <v>121</v>
      </c>
      <c r="W55" s="27">
        <f>171510+30000</f>
        <v>201510</v>
      </c>
      <c r="X55" s="27">
        <f>21585+4000</f>
        <v>25585</v>
      </c>
      <c r="Y55" s="27">
        <f>25100</f>
        <v>25100</v>
      </c>
      <c r="Z55" s="27">
        <f>3805</f>
        <v>3805</v>
      </c>
      <c r="AA55" s="2">
        <f t="shared" si="8"/>
        <v>256000</v>
      </c>
      <c r="AB55" s="41">
        <v>1925</v>
      </c>
      <c r="AC55" s="27" t="s">
        <v>552</v>
      </c>
      <c r="AD55" s="157" t="str">
        <f t="shared" si="17"/>
        <v>https://ia601501.us.archive.org/22/items/192425/1924-25.pdf#page=32</v>
      </c>
      <c r="AE55" s="155" t="str">
        <f t="shared" si="18"/>
        <v>https://ia601501.us.archive.org/22/items/192425/1924-25.pdf#page=35</v>
      </c>
      <c r="AF55" s="7" t="str">
        <f t="shared" si="9"/>
        <v>https://ia601501.us.archive.org/22/items/192425/1924-25.pdf#page=32</v>
      </c>
      <c r="AG55" s="153" t="str">
        <f t="shared" si="10"/>
        <v>https://ia601501.us.archive.org/22/items/192425/1924-25.pdf#page=35</v>
      </c>
      <c r="AH55" s="7" t="str">
        <f t="shared" si="11"/>
        <v>https://ia601501.us.archive.org/22/items/192425/1924-25.pdf#page=32</v>
      </c>
      <c r="AI55" s="153" t="str">
        <f t="shared" si="12"/>
        <v>https://ia601501.us.archive.org/22/items/192425/1924-25.pdf#page=35</v>
      </c>
      <c r="AJ55" s="7" t="str">
        <f t="shared" si="13"/>
        <v>https://ia601501.us.archive.org/22/items/192425/1924-25.pdf#page=32</v>
      </c>
      <c r="AK55" s="152" t="str">
        <f t="shared" si="14"/>
        <v>https://ia601501.us.archive.org/22/items/192425/1924-25.pdf#page=35</v>
      </c>
      <c r="AL55" s="27" t="str">
        <f t="shared" si="22"/>
        <v>https://babel.hathitrust.org/cgi/pt?id=mdp.39015076547101;view=1up;seq=159</v>
      </c>
      <c r="AM55" s="155" t="str">
        <f t="shared" si="19"/>
        <v>https://ia601501.us.archive.org/22/items/192425/1924-25.pdf#page=36</v>
      </c>
      <c r="AN55" s="27" t="str">
        <f t="shared" si="25"/>
        <v>https://ia601501.us.archive.org/22/items/192425/1924-25.pdf#page=34</v>
      </c>
      <c r="AO55" s="152" t="str">
        <f t="shared" si="21"/>
        <v>https://ia601501.us.archive.org/22/items/192425/1924-25.pdf#page=37</v>
      </c>
      <c r="AP55" s="27" t="str">
        <f t="shared" si="15"/>
        <v>https://ia601501.us.archive.org/22/items/192425/1924-25.pdf#page=34</v>
      </c>
      <c r="AQ55" s="27" t="str">
        <f t="shared" si="16"/>
        <v>https://ia601501.us.archive.org/22/items/192425/1924-25.pdf#page=34</v>
      </c>
    </row>
    <row r="56" spans="1:43" x14ac:dyDescent="0.25">
      <c r="A56" s="27" t="s">
        <v>639</v>
      </c>
      <c r="B56" s="27" t="str">
        <f t="shared" si="0"/>
        <v>Alabama</v>
      </c>
      <c r="C56" s="27" t="str">
        <f t="shared" si="1"/>
        <v>Pike</v>
      </c>
      <c r="D56" s="27">
        <f>1902+465+386+289+188</f>
        <v>3230</v>
      </c>
      <c r="E56" s="27">
        <f>1661+214+10+7</f>
        <v>1892</v>
      </c>
      <c r="F56" s="27">
        <f t="shared" si="3"/>
        <v>5122</v>
      </c>
      <c r="G56" s="27">
        <f>109+26+6</f>
        <v>141</v>
      </c>
      <c r="H56" s="27">
        <f>42+4</f>
        <v>46</v>
      </c>
      <c r="I56" s="27">
        <f t="shared" si="23"/>
        <v>187</v>
      </c>
      <c r="J56" s="27">
        <f>216195+80967+50129+50329+33554</f>
        <v>431174</v>
      </c>
      <c r="K56" s="27">
        <f>130474+37315+967+1299</f>
        <v>170055</v>
      </c>
      <c r="L56" s="97">
        <f t="shared" si="4"/>
        <v>117.38168684107771</v>
      </c>
      <c r="M56" s="7">
        <f>3708+918+223</f>
        <v>4849</v>
      </c>
      <c r="N56" s="7">
        <f>2626+246</f>
        <v>2872</v>
      </c>
      <c r="O56" s="27">
        <f t="shared" si="5"/>
        <v>7721</v>
      </c>
      <c r="P56" s="27">
        <f>49146+23627+3345</f>
        <v>76118</v>
      </c>
      <c r="Q56" s="27">
        <f>4289+2160</f>
        <v>6449</v>
      </c>
      <c r="R56" s="115">
        <f t="shared" si="6"/>
        <v>75.230603894128691</v>
      </c>
      <c r="S56" s="7">
        <f>84160+45859+8951</f>
        <v>138970</v>
      </c>
      <c r="T56" s="7">
        <f>4803+6967</f>
        <v>11770</v>
      </c>
      <c r="U56" s="2">
        <f t="shared" si="24"/>
        <v>150740</v>
      </c>
      <c r="V56" s="27">
        <v>84</v>
      </c>
      <c r="W56" s="27">
        <f>138025+250000+13000</f>
        <v>401025</v>
      </c>
      <c r="X56" s="27">
        <f>22514+24000+4000</f>
        <v>50514</v>
      </c>
      <c r="Y56" s="27">
        <f>13300+1500</f>
        <v>14800</v>
      </c>
      <c r="Z56" s="27">
        <f>869+1050</f>
        <v>1919</v>
      </c>
      <c r="AA56" s="2">
        <f t="shared" si="8"/>
        <v>468258</v>
      </c>
      <c r="AB56" s="41">
        <v>1925</v>
      </c>
      <c r="AC56" s="27" t="s">
        <v>552</v>
      </c>
      <c r="AD56" s="157" t="str">
        <f t="shared" si="17"/>
        <v>https://ia601501.us.archive.org/22/items/192425/1924-25.pdf#page=32</v>
      </c>
      <c r="AE56" s="155" t="str">
        <f t="shared" si="18"/>
        <v>https://ia601501.us.archive.org/22/items/192425/1924-25.pdf#page=35</v>
      </c>
      <c r="AF56" s="7" t="str">
        <f t="shared" si="9"/>
        <v>https://ia601501.us.archive.org/22/items/192425/1924-25.pdf#page=32</v>
      </c>
      <c r="AG56" s="153" t="str">
        <f t="shared" si="10"/>
        <v>https://ia601501.us.archive.org/22/items/192425/1924-25.pdf#page=35</v>
      </c>
      <c r="AH56" s="7" t="str">
        <f t="shared" si="11"/>
        <v>https://ia601501.us.archive.org/22/items/192425/1924-25.pdf#page=32</v>
      </c>
      <c r="AI56" s="153" t="str">
        <f t="shared" si="12"/>
        <v>https://ia601501.us.archive.org/22/items/192425/1924-25.pdf#page=35</v>
      </c>
      <c r="AJ56" s="7" t="str">
        <f t="shared" si="13"/>
        <v>https://ia601501.us.archive.org/22/items/192425/1924-25.pdf#page=32</v>
      </c>
      <c r="AK56" s="152" t="str">
        <f t="shared" si="14"/>
        <v>https://ia601501.us.archive.org/22/items/192425/1924-25.pdf#page=35</v>
      </c>
      <c r="AL56" s="27" t="str">
        <f t="shared" si="22"/>
        <v>https://babel.hathitrust.org/cgi/pt?id=mdp.39015076547101;view=1up;seq=159</v>
      </c>
      <c r="AM56" s="155" t="str">
        <f t="shared" si="19"/>
        <v>https://ia601501.us.archive.org/22/items/192425/1924-25.pdf#page=36</v>
      </c>
      <c r="AN56" s="27" t="str">
        <f t="shared" si="25"/>
        <v>https://ia601501.us.archive.org/22/items/192425/1924-25.pdf#page=34</v>
      </c>
      <c r="AO56" s="152" t="str">
        <f t="shared" si="21"/>
        <v>https://ia601501.us.archive.org/22/items/192425/1924-25.pdf#page=37</v>
      </c>
      <c r="AP56" s="27" t="str">
        <f t="shared" si="15"/>
        <v>https://ia601501.us.archive.org/22/items/192425/1924-25.pdf#page=34</v>
      </c>
      <c r="AQ56" s="27" t="str">
        <f t="shared" si="16"/>
        <v>https://ia601501.us.archive.org/22/items/192425/1924-25.pdf#page=34</v>
      </c>
    </row>
    <row r="57" spans="1:43" x14ac:dyDescent="0.25">
      <c r="A57" s="27" t="s">
        <v>640</v>
      </c>
      <c r="B57" s="27" t="str">
        <f t="shared" si="0"/>
        <v>Alabama</v>
      </c>
      <c r="C57" s="27" t="str">
        <f t="shared" si="1"/>
        <v>Randolph</v>
      </c>
      <c r="D57" s="27">
        <f>2533+548+407+245+138</f>
        <v>3871</v>
      </c>
      <c r="E57" s="27">
        <f>768+25</f>
        <v>793</v>
      </c>
      <c r="F57" s="27">
        <f t="shared" si="3"/>
        <v>4664</v>
      </c>
      <c r="G57" s="27">
        <f>146+23+5</f>
        <v>174</v>
      </c>
      <c r="H57" s="27">
        <f>29</f>
        <v>29</v>
      </c>
      <c r="I57" s="27">
        <f t="shared" si="23"/>
        <v>203</v>
      </c>
      <c r="J57" s="27">
        <f>273284+98650+49210+44072+23708</f>
        <v>488924</v>
      </c>
      <c r="K57" s="27">
        <f>59687+3260</f>
        <v>62947</v>
      </c>
      <c r="L57" s="97">
        <f t="shared" si="4"/>
        <v>118.32568610634648</v>
      </c>
      <c r="M57" s="7">
        <f>4635+1034+173</f>
        <v>5842</v>
      </c>
      <c r="N57" s="7">
        <v>1408</v>
      </c>
      <c r="O57" s="27">
        <f t="shared" si="5"/>
        <v>7250</v>
      </c>
      <c r="P57" s="27">
        <f>58202+17400+7445</f>
        <v>83047</v>
      </c>
      <c r="Q57" s="27">
        <v>8159</v>
      </c>
      <c r="R57" s="115">
        <f t="shared" si="6"/>
        <v>75.941353932278716</v>
      </c>
      <c r="S57" s="7">
        <f>79642+24500+9201</f>
        <v>113343</v>
      </c>
      <c r="T57" s="7">
        <f>9072</f>
        <v>9072</v>
      </c>
      <c r="U57" s="2">
        <f t="shared" si="24"/>
        <v>122415</v>
      </c>
      <c r="V57" s="27">
        <v>91</v>
      </c>
      <c r="W57" s="27">
        <f>91500+115000+20000</f>
        <v>226500</v>
      </c>
      <c r="X57" s="27">
        <f>17000+8000+5000</f>
        <v>30000</v>
      </c>
      <c r="Y57" s="27">
        <f>16000</f>
        <v>16000</v>
      </c>
      <c r="Z57" s="27">
        <f>3200</f>
        <v>3200</v>
      </c>
      <c r="AA57" s="2">
        <f t="shared" si="8"/>
        <v>275700</v>
      </c>
      <c r="AB57" s="41">
        <v>1925</v>
      </c>
      <c r="AC57" s="27" t="s">
        <v>552</v>
      </c>
      <c r="AD57" s="157" t="str">
        <f t="shared" si="17"/>
        <v>https://ia601501.us.archive.org/22/items/192425/1924-25.pdf#page=32</v>
      </c>
      <c r="AE57" s="155" t="str">
        <f t="shared" si="18"/>
        <v>https://ia601501.us.archive.org/22/items/192425/1924-25.pdf#page=35</v>
      </c>
      <c r="AF57" s="7" t="str">
        <f t="shared" si="9"/>
        <v>https://ia601501.us.archive.org/22/items/192425/1924-25.pdf#page=32</v>
      </c>
      <c r="AG57" s="153" t="str">
        <f t="shared" si="10"/>
        <v>https://ia601501.us.archive.org/22/items/192425/1924-25.pdf#page=35</v>
      </c>
      <c r="AH57" s="7" t="str">
        <f t="shared" si="11"/>
        <v>https://ia601501.us.archive.org/22/items/192425/1924-25.pdf#page=32</v>
      </c>
      <c r="AI57" s="153" t="str">
        <f t="shared" si="12"/>
        <v>https://ia601501.us.archive.org/22/items/192425/1924-25.pdf#page=35</v>
      </c>
      <c r="AJ57" s="7" t="str">
        <f t="shared" si="13"/>
        <v>https://ia601501.us.archive.org/22/items/192425/1924-25.pdf#page=32</v>
      </c>
      <c r="AK57" s="152" t="str">
        <f t="shared" si="14"/>
        <v>https://ia601501.us.archive.org/22/items/192425/1924-25.pdf#page=35</v>
      </c>
      <c r="AL57" s="27" t="str">
        <f t="shared" si="22"/>
        <v>https://babel.hathitrust.org/cgi/pt?id=mdp.39015076547101;view=1up;seq=159</v>
      </c>
      <c r="AM57" s="155" t="str">
        <f t="shared" si="19"/>
        <v>https://ia601501.us.archive.org/22/items/192425/1924-25.pdf#page=36</v>
      </c>
      <c r="AN57" s="27" t="str">
        <f t="shared" si="25"/>
        <v>https://ia601501.us.archive.org/22/items/192425/1924-25.pdf#page=34</v>
      </c>
      <c r="AO57" s="152" t="str">
        <f t="shared" si="21"/>
        <v>https://ia601501.us.archive.org/22/items/192425/1924-25.pdf#page=37</v>
      </c>
      <c r="AP57" s="27" t="str">
        <f t="shared" si="15"/>
        <v>https://ia601501.us.archive.org/22/items/192425/1924-25.pdf#page=34</v>
      </c>
      <c r="AQ57" s="27" t="str">
        <f t="shared" si="16"/>
        <v>https://ia601501.us.archive.org/22/items/192425/1924-25.pdf#page=34</v>
      </c>
    </row>
    <row r="58" spans="1:43" x14ac:dyDescent="0.25">
      <c r="A58" s="27" t="s">
        <v>641</v>
      </c>
      <c r="B58" s="27" t="str">
        <f t="shared" si="0"/>
        <v>Alabama</v>
      </c>
      <c r="C58" s="27" t="str">
        <f t="shared" si="1"/>
        <v>Russell</v>
      </c>
      <c r="D58" s="27">
        <f>479+197</f>
        <v>676</v>
      </c>
      <c r="E58" s="27">
        <f>2553</f>
        <v>2553</v>
      </c>
      <c r="F58" s="27">
        <f t="shared" si="3"/>
        <v>3229</v>
      </c>
      <c r="G58" s="27">
        <f>42</f>
        <v>42</v>
      </c>
      <c r="H58" s="27">
        <v>48</v>
      </c>
      <c r="I58" s="27">
        <f t="shared" si="23"/>
        <v>90</v>
      </c>
      <c r="J58" s="27">
        <f>78565+32373</f>
        <v>110938</v>
      </c>
      <c r="K58" s="27">
        <v>214465</v>
      </c>
      <c r="L58" s="97">
        <f t="shared" si="4"/>
        <v>100.77516258903685</v>
      </c>
      <c r="M58" s="7">
        <v>824</v>
      </c>
      <c r="N58" s="7">
        <v>3952</v>
      </c>
      <c r="O58" s="27">
        <f t="shared" si="5"/>
        <v>4776</v>
      </c>
      <c r="P58" s="27">
        <f>38533+11174</f>
        <v>49707</v>
      </c>
      <c r="Q58" s="27">
        <v>8140</v>
      </c>
      <c r="R58" s="115">
        <f t="shared" si="6"/>
        <v>127.56009078656994</v>
      </c>
      <c r="S58" s="7">
        <v>46310</v>
      </c>
      <c r="T58" s="7">
        <v>8915</v>
      </c>
      <c r="U58" s="2">
        <f t="shared" si="24"/>
        <v>55225</v>
      </c>
      <c r="V58" s="27">
        <v>59</v>
      </c>
      <c r="W58" s="27">
        <v>54300</v>
      </c>
      <c r="X58" s="27">
        <v>7800</v>
      </c>
      <c r="Y58" s="27">
        <v>27200</v>
      </c>
      <c r="Z58" s="27">
        <v>2130</v>
      </c>
      <c r="AA58" s="2">
        <f t="shared" si="8"/>
        <v>91430</v>
      </c>
      <c r="AB58" s="41">
        <v>1925</v>
      </c>
      <c r="AC58" s="27" t="s">
        <v>552</v>
      </c>
      <c r="AD58" s="157" t="str">
        <f t="shared" si="17"/>
        <v>https://ia601501.us.archive.org/22/items/192425/1924-25.pdf#page=32</v>
      </c>
      <c r="AE58" s="155" t="str">
        <f t="shared" si="18"/>
        <v>https://ia601501.us.archive.org/22/items/192425/1924-25.pdf#page=35</v>
      </c>
      <c r="AF58" s="7" t="str">
        <f t="shared" si="9"/>
        <v>https://ia601501.us.archive.org/22/items/192425/1924-25.pdf#page=32</v>
      </c>
      <c r="AG58" s="153" t="str">
        <f t="shared" si="10"/>
        <v>https://ia601501.us.archive.org/22/items/192425/1924-25.pdf#page=35</v>
      </c>
      <c r="AH58" s="7" t="str">
        <f t="shared" si="11"/>
        <v>https://ia601501.us.archive.org/22/items/192425/1924-25.pdf#page=32</v>
      </c>
      <c r="AI58" s="153" t="str">
        <f t="shared" si="12"/>
        <v>https://ia601501.us.archive.org/22/items/192425/1924-25.pdf#page=35</v>
      </c>
      <c r="AJ58" s="7" t="str">
        <f t="shared" si="13"/>
        <v>https://ia601501.us.archive.org/22/items/192425/1924-25.pdf#page=32</v>
      </c>
      <c r="AK58" s="152" t="str">
        <f t="shared" si="14"/>
        <v>https://ia601501.us.archive.org/22/items/192425/1924-25.pdf#page=35</v>
      </c>
      <c r="AL58" s="27" t="str">
        <f t="shared" si="22"/>
        <v>https://babel.hathitrust.org/cgi/pt?id=mdp.39015076547101;view=1up;seq=159</v>
      </c>
      <c r="AM58" s="155" t="str">
        <f t="shared" si="19"/>
        <v>https://ia601501.us.archive.org/22/items/192425/1924-25.pdf#page=36</v>
      </c>
      <c r="AN58" s="27" t="str">
        <f t="shared" si="25"/>
        <v>https://ia601501.us.archive.org/22/items/192425/1924-25.pdf#page=34</v>
      </c>
      <c r="AO58" s="152" t="str">
        <f t="shared" si="21"/>
        <v>https://ia601501.us.archive.org/22/items/192425/1924-25.pdf#page=37</v>
      </c>
      <c r="AP58" s="27" t="str">
        <f t="shared" si="15"/>
        <v>https://ia601501.us.archive.org/22/items/192425/1924-25.pdf#page=34</v>
      </c>
      <c r="AQ58" s="27" t="str">
        <f t="shared" si="16"/>
        <v>https://ia601501.us.archive.org/22/items/192425/1924-25.pdf#page=34</v>
      </c>
    </row>
    <row r="59" spans="1:43" s="158" customFormat="1" x14ac:dyDescent="0.25">
      <c r="A59" s="158" t="s">
        <v>642</v>
      </c>
      <c r="B59" s="158" t="str">
        <f t="shared" si="0"/>
        <v>Alabama</v>
      </c>
      <c r="C59" s="158" t="str">
        <f t="shared" si="1"/>
        <v>Shelby</v>
      </c>
      <c r="D59" s="158">
        <f>3234+108+79+792+17+40+124</f>
        <v>4394</v>
      </c>
      <c r="E59" s="158">
        <f>1091+40+26</f>
        <v>1157</v>
      </c>
      <c r="F59" s="158">
        <f t="shared" si="3"/>
        <v>5551</v>
      </c>
      <c r="G59" s="158">
        <f>159+4+5+6</f>
        <v>174</v>
      </c>
      <c r="H59" s="158">
        <f>35+1</f>
        <v>36</v>
      </c>
      <c r="I59" s="158">
        <f t="shared" si="23"/>
        <v>210</v>
      </c>
      <c r="J59" s="158">
        <f>362220+19061+12436+118788+2998+6297+21900</f>
        <v>543700</v>
      </c>
      <c r="K59" s="158">
        <f>70923+3180+1682</f>
        <v>75785</v>
      </c>
      <c r="L59" s="159">
        <f t="shared" si="4"/>
        <v>111.59881102504053</v>
      </c>
      <c r="M59" s="160">
        <f>4862+155+161+144</f>
        <v>5322</v>
      </c>
      <c r="N59" s="160">
        <f>1339+47</f>
        <v>1386</v>
      </c>
      <c r="O59" s="158">
        <f t="shared" si="5"/>
        <v>6708</v>
      </c>
      <c r="P59" s="158">
        <f>57442+2835+7498</f>
        <v>67775</v>
      </c>
      <c r="Q59" s="158">
        <f>5452+200</f>
        <v>5652</v>
      </c>
      <c r="R59" s="161">
        <f t="shared" si="6"/>
        <v>62.662384615177658</v>
      </c>
      <c r="S59" s="160">
        <f>81871+3776+4174+14332</f>
        <v>104153</v>
      </c>
      <c r="T59" s="160">
        <f>6148+201</f>
        <v>6349</v>
      </c>
      <c r="U59" s="162">
        <f t="shared" si="24"/>
        <v>110502</v>
      </c>
      <c r="V59" s="158">
        <v>119</v>
      </c>
      <c r="W59" s="158">
        <f>138950+3000+6900+30000</f>
        <v>178850</v>
      </c>
      <c r="X59" s="158">
        <f>22598+1000+1061+10000</f>
        <v>34659</v>
      </c>
      <c r="Y59" s="158">
        <f>9850+475</f>
        <v>10325</v>
      </c>
      <c r="Z59" s="158">
        <f>2413+60</f>
        <v>2473</v>
      </c>
      <c r="AA59" s="162">
        <f t="shared" si="8"/>
        <v>226307</v>
      </c>
      <c r="AB59" s="163">
        <v>1925</v>
      </c>
      <c r="AC59" s="158" t="s">
        <v>552</v>
      </c>
      <c r="AD59" s="164" t="s">
        <v>2704</v>
      </c>
      <c r="AE59" s="158" t="s">
        <v>2706</v>
      </c>
      <c r="AF59" s="160" t="str">
        <f t="shared" si="9"/>
        <v>https://ia601501.us.archive.org/22/items/192425/1924-25.pdf#page=38</v>
      </c>
      <c r="AG59" s="160" t="str">
        <f t="shared" si="10"/>
        <v>https://ia601501.us.archive.org/22/items/192425/1924-25.pdf#page=41</v>
      </c>
      <c r="AH59" s="160" t="str">
        <f t="shared" si="11"/>
        <v>https://ia601501.us.archive.org/22/items/192425/1924-25.pdf#page=38</v>
      </c>
      <c r="AI59" s="160" t="str">
        <f t="shared" si="12"/>
        <v>https://ia601501.us.archive.org/22/items/192425/1924-25.pdf#page=41</v>
      </c>
      <c r="AJ59" s="160" t="str">
        <f t="shared" si="13"/>
        <v>https://ia601501.us.archive.org/22/items/192425/1924-25.pdf#page=38</v>
      </c>
      <c r="AK59" s="158" t="str">
        <f t="shared" si="14"/>
        <v>https://ia601501.us.archive.org/22/items/192425/1924-25.pdf#page=41</v>
      </c>
      <c r="AL59" s="158" t="s">
        <v>2715</v>
      </c>
      <c r="AM59" s="158" t="s">
        <v>2707</v>
      </c>
      <c r="AN59" s="158" t="s">
        <v>2705</v>
      </c>
      <c r="AO59" s="158" t="s">
        <v>2708</v>
      </c>
      <c r="AP59" s="158" t="str">
        <f t="shared" si="15"/>
        <v>https://ia601501.us.archive.org/22/items/192425/1924-25.pdf#page=40</v>
      </c>
      <c r="AQ59" s="158" t="str">
        <f t="shared" si="16"/>
        <v>https://ia601501.us.archive.org/22/items/192425/1924-25.pdf#page=40</v>
      </c>
    </row>
    <row r="60" spans="1:43" x14ac:dyDescent="0.25">
      <c r="A60" s="27" t="s">
        <v>1745</v>
      </c>
      <c r="B60" s="27" t="str">
        <f t="shared" si="0"/>
        <v>Alabama</v>
      </c>
      <c r="C60" s="27" t="str">
        <f t="shared" si="1"/>
        <v>St Clair</v>
      </c>
      <c r="D60" s="27">
        <f>3187+698+87</f>
        <v>3972</v>
      </c>
      <c r="E60" s="27">
        <f>817+27</f>
        <v>844</v>
      </c>
      <c r="F60" s="27">
        <f t="shared" si="3"/>
        <v>4816</v>
      </c>
      <c r="G60" s="27">
        <f>150+4</f>
        <v>154</v>
      </c>
      <c r="H60" s="27">
        <f>29</f>
        <v>29</v>
      </c>
      <c r="I60" s="27">
        <f t="shared" si="23"/>
        <v>183</v>
      </c>
      <c r="J60" s="27">
        <f>390411+110634+15391</f>
        <v>516436</v>
      </c>
      <c r="K60" s="27">
        <f>96983+3182</f>
        <v>100165</v>
      </c>
      <c r="L60" s="97">
        <f t="shared" si="4"/>
        <v>128.03176910299004</v>
      </c>
      <c r="M60" s="7">
        <f>5203+102</f>
        <v>5305</v>
      </c>
      <c r="N60" s="7">
        <v>1173</v>
      </c>
      <c r="O60" s="27">
        <f t="shared" si="5"/>
        <v>6478</v>
      </c>
      <c r="P60" s="27">
        <f>94851+5650</f>
        <v>100501</v>
      </c>
      <c r="Q60" s="27">
        <v>6262</v>
      </c>
      <c r="R60" s="115">
        <f t="shared" si="6"/>
        <v>91.134313877269491</v>
      </c>
      <c r="S60" s="7">
        <f>119994+7334</f>
        <v>127328</v>
      </c>
      <c r="T60" s="7">
        <v>7410</v>
      </c>
      <c r="U60" s="2">
        <f t="shared" si="24"/>
        <v>134738</v>
      </c>
      <c r="V60" s="27">
        <v>87</v>
      </c>
      <c r="W60" s="27">
        <f>231210+20520</f>
        <v>251730</v>
      </c>
      <c r="X60" s="27">
        <f>26743+3250</f>
        <v>29993</v>
      </c>
      <c r="Y60" s="27">
        <f>22843</f>
        <v>22843</v>
      </c>
      <c r="Z60" s="27">
        <v>837</v>
      </c>
      <c r="AA60" s="2">
        <f t="shared" si="8"/>
        <v>305403</v>
      </c>
      <c r="AB60" s="41">
        <v>1925</v>
      </c>
      <c r="AC60" s="27" t="s">
        <v>552</v>
      </c>
      <c r="AD60" s="157" t="str">
        <f t="shared" si="17"/>
        <v>https://ia601501.us.archive.org/22/items/192425/1924-25.pdf#page=38</v>
      </c>
      <c r="AE60" s="155" t="str">
        <f t="shared" si="18"/>
        <v>https://ia601501.us.archive.org/22/items/192425/1924-25.pdf#page=41</v>
      </c>
      <c r="AF60" s="7" t="str">
        <f t="shared" si="9"/>
        <v>https://ia601501.us.archive.org/22/items/192425/1924-25.pdf#page=38</v>
      </c>
      <c r="AG60" s="153" t="str">
        <f t="shared" si="10"/>
        <v>https://ia601501.us.archive.org/22/items/192425/1924-25.pdf#page=41</v>
      </c>
      <c r="AH60" s="7" t="str">
        <f t="shared" si="11"/>
        <v>https://ia601501.us.archive.org/22/items/192425/1924-25.pdf#page=38</v>
      </c>
      <c r="AI60" s="153" t="str">
        <f t="shared" si="12"/>
        <v>https://ia601501.us.archive.org/22/items/192425/1924-25.pdf#page=41</v>
      </c>
      <c r="AJ60" s="7" t="str">
        <f t="shared" si="13"/>
        <v>https://ia601501.us.archive.org/22/items/192425/1924-25.pdf#page=38</v>
      </c>
      <c r="AK60" s="152" t="str">
        <f t="shared" si="14"/>
        <v>https://ia601501.us.archive.org/22/items/192425/1924-25.pdf#page=41</v>
      </c>
      <c r="AL60" s="27" t="str">
        <f t="shared" si="22"/>
        <v>https://babel.hathitrust.org/cgi/pt?id=mdp.39015076547101;view=1up;seq=179</v>
      </c>
      <c r="AM60" s="155" t="str">
        <f t="shared" si="19"/>
        <v>https://ia601501.us.archive.org/22/items/192425/1924-25.pdf#page=42</v>
      </c>
      <c r="AN60" s="27" t="str">
        <f t="shared" si="25"/>
        <v>https://ia601501.us.archive.org/22/items/192425/1924-25.pdf#page=40</v>
      </c>
      <c r="AO60" s="152" t="str">
        <f t="shared" si="21"/>
        <v>https://ia601501.us.archive.org/22/items/192425/1924-25.pdf#page=43</v>
      </c>
      <c r="AP60" s="27" t="str">
        <f t="shared" si="15"/>
        <v>https://ia601501.us.archive.org/22/items/192425/1924-25.pdf#page=40</v>
      </c>
      <c r="AQ60" s="27" t="str">
        <f t="shared" si="16"/>
        <v>https://ia601501.us.archive.org/22/items/192425/1924-25.pdf#page=40</v>
      </c>
    </row>
    <row r="61" spans="1:43" x14ac:dyDescent="0.25">
      <c r="A61" s="27" t="s">
        <v>643</v>
      </c>
      <c r="B61" s="27" t="str">
        <f t="shared" si="0"/>
        <v>Alabama</v>
      </c>
      <c r="C61" s="27" t="str">
        <f t="shared" si="1"/>
        <v>Sumter</v>
      </c>
      <c r="D61" s="27">
        <f>776+373+76+71</f>
        <v>1296</v>
      </c>
      <c r="E61" s="27">
        <f>5639+97</f>
        <v>5736</v>
      </c>
      <c r="F61" s="27">
        <f t="shared" si="3"/>
        <v>7032</v>
      </c>
      <c r="G61" s="27">
        <f>50+4+5</f>
        <v>59</v>
      </c>
      <c r="H61" s="27">
        <v>82</v>
      </c>
      <c r="I61" s="27">
        <f t="shared" si="23"/>
        <v>141</v>
      </c>
      <c r="J61" s="27">
        <f>135811+65247+13505+12601</f>
        <v>227164</v>
      </c>
      <c r="K61" s="27">
        <f>417589+14738</f>
        <v>432327</v>
      </c>
      <c r="L61" s="97">
        <f t="shared" si="4"/>
        <v>93.784271899886235</v>
      </c>
      <c r="M61" s="7">
        <f>1244+87+81</f>
        <v>1412</v>
      </c>
      <c r="N61" s="7">
        <v>6354</v>
      </c>
      <c r="O61" s="27">
        <f t="shared" si="5"/>
        <v>7766</v>
      </c>
      <c r="P61" s="27">
        <f>45082+5607</f>
        <v>50689</v>
      </c>
      <c r="Q61" s="27">
        <v>15768</v>
      </c>
      <c r="R61" s="115">
        <f t="shared" si="6"/>
        <v>100.51285393309611</v>
      </c>
      <c r="S61" s="7">
        <f>82985+7174+11380</f>
        <v>101539</v>
      </c>
      <c r="T61" s="7">
        <v>22184</v>
      </c>
      <c r="U61" s="2">
        <f t="shared" si="24"/>
        <v>123723</v>
      </c>
      <c r="V61" s="27">
        <v>91</v>
      </c>
      <c r="W61" s="27">
        <f>13200+25000+30500</f>
        <v>68700</v>
      </c>
      <c r="X61" s="27">
        <f>11420+2800+3425</f>
        <v>17645</v>
      </c>
      <c r="Y61" s="27">
        <f>21300</f>
        <v>21300</v>
      </c>
      <c r="Z61" s="27">
        <v>1640</v>
      </c>
      <c r="AA61" s="2">
        <f t="shared" si="8"/>
        <v>109285</v>
      </c>
      <c r="AB61" s="41">
        <v>1925</v>
      </c>
      <c r="AC61" s="27" t="s">
        <v>552</v>
      </c>
      <c r="AD61" s="157" t="str">
        <f t="shared" si="17"/>
        <v>https://ia601501.us.archive.org/22/items/192425/1924-25.pdf#page=38</v>
      </c>
      <c r="AE61" s="155" t="str">
        <f t="shared" si="18"/>
        <v>https://ia601501.us.archive.org/22/items/192425/1924-25.pdf#page=41</v>
      </c>
      <c r="AF61" s="7" t="str">
        <f t="shared" si="9"/>
        <v>https://ia601501.us.archive.org/22/items/192425/1924-25.pdf#page=38</v>
      </c>
      <c r="AG61" s="153" t="str">
        <f t="shared" si="10"/>
        <v>https://ia601501.us.archive.org/22/items/192425/1924-25.pdf#page=41</v>
      </c>
      <c r="AH61" s="7" t="str">
        <f t="shared" si="11"/>
        <v>https://ia601501.us.archive.org/22/items/192425/1924-25.pdf#page=38</v>
      </c>
      <c r="AI61" s="153" t="str">
        <f t="shared" si="12"/>
        <v>https://ia601501.us.archive.org/22/items/192425/1924-25.pdf#page=41</v>
      </c>
      <c r="AJ61" s="7" t="str">
        <f t="shared" si="13"/>
        <v>https://ia601501.us.archive.org/22/items/192425/1924-25.pdf#page=38</v>
      </c>
      <c r="AK61" s="152" t="str">
        <f t="shared" si="14"/>
        <v>https://ia601501.us.archive.org/22/items/192425/1924-25.pdf#page=41</v>
      </c>
      <c r="AL61" s="27" t="str">
        <f t="shared" si="22"/>
        <v>https://babel.hathitrust.org/cgi/pt?id=mdp.39015076547101;view=1up;seq=179</v>
      </c>
      <c r="AM61" s="155" t="str">
        <f t="shared" si="19"/>
        <v>https://ia601501.us.archive.org/22/items/192425/1924-25.pdf#page=42</v>
      </c>
      <c r="AN61" s="27" t="str">
        <f t="shared" si="25"/>
        <v>https://ia601501.us.archive.org/22/items/192425/1924-25.pdf#page=40</v>
      </c>
      <c r="AO61" s="152" t="str">
        <f t="shared" si="21"/>
        <v>https://ia601501.us.archive.org/22/items/192425/1924-25.pdf#page=43</v>
      </c>
      <c r="AP61" s="27" t="str">
        <f t="shared" si="15"/>
        <v>https://ia601501.us.archive.org/22/items/192425/1924-25.pdf#page=40</v>
      </c>
      <c r="AQ61" s="27" t="str">
        <f t="shared" si="16"/>
        <v>https://ia601501.us.archive.org/22/items/192425/1924-25.pdf#page=40</v>
      </c>
    </row>
    <row r="62" spans="1:43" x14ac:dyDescent="0.25">
      <c r="A62" s="27" t="s">
        <v>644</v>
      </c>
      <c r="B62" s="27" t="str">
        <f t="shared" si="0"/>
        <v>Alabama</v>
      </c>
      <c r="C62" s="27" t="str">
        <f t="shared" si="1"/>
        <v>Talladega</v>
      </c>
      <c r="D62" s="27">
        <f>2261+564+311+754+513+59+67+192+86+190</f>
        <v>4997</v>
      </c>
      <c r="E62" s="27">
        <f>2607+30+94+363+32</f>
        <v>3126</v>
      </c>
      <c r="F62" s="27">
        <f t="shared" si="3"/>
        <v>8123</v>
      </c>
      <c r="G62" s="27">
        <f>123+18+10+28+4+8</f>
        <v>191</v>
      </c>
      <c r="H62" s="27">
        <f>59+1+2+9</f>
        <v>71</v>
      </c>
      <c r="I62" s="27">
        <f t="shared" si="23"/>
        <v>262</v>
      </c>
      <c r="J62" s="27">
        <f>359542+101170+53102+131933+88650+10562+11486+33663+15141+33882</f>
        <v>839131</v>
      </c>
      <c r="K62" s="27">
        <f>245186+5379+16059+57083+5040</f>
        <v>328747</v>
      </c>
      <c r="L62" s="97">
        <f t="shared" si="4"/>
        <v>143.77422134679307</v>
      </c>
      <c r="M62" s="7">
        <f>4108+922+414+1225+101+215</f>
        <v>6985</v>
      </c>
      <c r="N62" s="7">
        <f>3943+47+148+573</f>
        <v>4711</v>
      </c>
      <c r="O62" s="27">
        <f t="shared" si="5"/>
        <v>11696</v>
      </c>
      <c r="P62" s="27">
        <f>81814+14660+8190+24613+6059+11345</f>
        <v>146681</v>
      </c>
      <c r="Q62" s="27">
        <f>9179+360+940+3360</f>
        <v>13839</v>
      </c>
      <c r="R62" s="115">
        <f t="shared" si="6"/>
        <v>85.226927328979983</v>
      </c>
      <c r="S62" s="7">
        <f>141173+28090+12786+125982+7223+16340</f>
        <v>331594</v>
      </c>
      <c r="T62" s="7">
        <f>14544+405+965+5455</f>
        <v>21369</v>
      </c>
      <c r="U62" s="2">
        <f t="shared" si="24"/>
        <v>352963</v>
      </c>
      <c r="V62" s="27">
        <v>112</v>
      </c>
      <c r="W62" s="27">
        <f>163720+365000+36457+128428+15900+90000</f>
        <v>799505</v>
      </c>
      <c r="X62" s="27">
        <f>25344+3625+5078+15324+1600+10000</f>
        <v>60971</v>
      </c>
      <c r="Y62" s="27">
        <f>16000+800+3800+15600</f>
        <v>36200</v>
      </c>
      <c r="Z62" s="27">
        <f>1500+225+500+2150</f>
        <v>4375</v>
      </c>
      <c r="AA62" s="2">
        <f t="shared" si="8"/>
        <v>901051</v>
      </c>
      <c r="AB62" s="41">
        <v>1925</v>
      </c>
      <c r="AC62" s="27" t="s">
        <v>552</v>
      </c>
      <c r="AD62" s="157" t="str">
        <f t="shared" si="17"/>
        <v>https://ia601501.us.archive.org/22/items/192425/1924-25.pdf#page=38</v>
      </c>
      <c r="AE62" s="155" t="str">
        <f t="shared" si="18"/>
        <v>https://ia601501.us.archive.org/22/items/192425/1924-25.pdf#page=41</v>
      </c>
      <c r="AF62" s="7" t="str">
        <f t="shared" si="9"/>
        <v>https://ia601501.us.archive.org/22/items/192425/1924-25.pdf#page=38</v>
      </c>
      <c r="AG62" s="153" t="str">
        <f t="shared" si="10"/>
        <v>https://ia601501.us.archive.org/22/items/192425/1924-25.pdf#page=41</v>
      </c>
      <c r="AH62" s="7" t="str">
        <f t="shared" si="11"/>
        <v>https://ia601501.us.archive.org/22/items/192425/1924-25.pdf#page=38</v>
      </c>
      <c r="AI62" s="153" t="str">
        <f t="shared" si="12"/>
        <v>https://ia601501.us.archive.org/22/items/192425/1924-25.pdf#page=41</v>
      </c>
      <c r="AJ62" s="7" t="str">
        <f t="shared" si="13"/>
        <v>https://ia601501.us.archive.org/22/items/192425/1924-25.pdf#page=38</v>
      </c>
      <c r="AK62" s="152" t="str">
        <f t="shared" si="14"/>
        <v>https://ia601501.us.archive.org/22/items/192425/1924-25.pdf#page=41</v>
      </c>
      <c r="AL62" s="27" t="str">
        <f t="shared" si="22"/>
        <v>https://babel.hathitrust.org/cgi/pt?id=mdp.39015076547101;view=1up;seq=179</v>
      </c>
      <c r="AM62" s="155" t="str">
        <f t="shared" si="19"/>
        <v>https://ia601501.us.archive.org/22/items/192425/1924-25.pdf#page=42</v>
      </c>
      <c r="AN62" s="27" t="str">
        <f t="shared" si="25"/>
        <v>https://ia601501.us.archive.org/22/items/192425/1924-25.pdf#page=40</v>
      </c>
      <c r="AO62" s="152" t="str">
        <f t="shared" si="21"/>
        <v>https://ia601501.us.archive.org/22/items/192425/1924-25.pdf#page=43</v>
      </c>
      <c r="AP62" s="27" t="str">
        <f t="shared" si="15"/>
        <v>https://ia601501.us.archive.org/22/items/192425/1924-25.pdf#page=40</v>
      </c>
      <c r="AQ62" s="27" t="str">
        <f t="shared" si="16"/>
        <v>https://ia601501.us.archive.org/22/items/192425/1924-25.pdf#page=40</v>
      </c>
    </row>
    <row r="63" spans="1:43" x14ac:dyDescent="0.25">
      <c r="A63" s="27" t="s">
        <v>645</v>
      </c>
      <c r="B63" s="27" t="str">
        <f t="shared" si="0"/>
        <v>Alabama</v>
      </c>
      <c r="C63" s="27" t="str">
        <f t="shared" si="1"/>
        <v>Tallapoosa</v>
      </c>
      <c r="D63" s="27">
        <f>2420+231+595+153+101</f>
        <v>3500</v>
      </c>
      <c r="E63" s="27">
        <f>1462+135+2+16</f>
        <v>1615</v>
      </c>
      <c r="F63" s="27">
        <f t="shared" si="3"/>
        <v>5115</v>
      </c>
      <c r="G63" s="27">
        <f>139+11+4</f>
        <v>154</v>
      </c>
      <c r="H63" s="27">
        <f>38+3</f>
        <v>41</v>
      </c>
      <c r="I63" s="27">
        <f t="shared" si="23"/>
        <v>195</v>
      </c>
      <c r="J63" s="27">
        <f>301972+41064+83003+27209+17963</f>
        <v>471211</v>
      </c>
      <c r="K63" s="27">
        <f>108140+23479+147+2775</f>
        <v>134541</v>
      </c>
      <c r="L63" s="97">
        <f t="shared" si="4"/>
        <v>118.42658846529814</v>
      </c>
      <c r="M63" s="7">
        <f>4218+479+123</f>
        <v>4820</v>
      </c>
      <c r="N63" s="7">
        <f>1793+217</f>
        <v>2010</v>
      </c>
      <c r="O63" s="27">
        <f t="shared" si="5"/>
        <v>6830</v>
      </c>
      <c r="P63" s="27">
        <f>69939+12060+6281</f>
        <v>88280</v>
      </c>
      <c r="Q63" s="27">
        <f>5291+1400</f>
        <v>6691</v>
      </c>
      <c r="R63" s="115">
        <f t="shared" si="6"/>
        <v>82.250240514777829</v>
      </c>
      <c r="S63" s="7">
        <f>82612+18058+9017</f>
        <v>109687</v>
      </c>
      <c r="T63" s="7">
        <f>6285+1778</f>
        <v>8063</v>
      </c>
      <c r="U63" s="2">
        <f t="shared" si="24"/>
        <v>117750</v>
      </c>
      <c r="V63" s="27">
        <v>97</v>
      </c>
      <c r="W63" s="27">
        <f>150000+37000+25000</f>
        <v>212000</v>
      </c>
      <c r="X63" s="27">
        <f>25000+6600+5000</f>
        <v>36600</v>
      </c>
      <c r="Y63" s="27">
        <f>20000+2500</f>
        <v>22500</v>
      </c>
      <c r="Z63" s="27">
        <f>1500+500</f>
        <v>2000</v>
      </c>
      <c r="AA63" s="2">
        <f t="shared" si="8"/>
        <v>273100</v>
      </c>
      <c r="AB63" s="41">
        <v>1925</v>
      </c>
      <c r="AC63" s="27" t="s">
        <v>552</v>
      </c>
      <c r="AD63" s="157" t="str">
        <f t="shared" si="17"/>
        <v>https://ia601501.us.archive.org/22/items/192425/1924-25.pdf#page=38</v>
      </c>
      <c r="AE63" s="155" t="str">
        <f t="shared" si="18"/>
        <v>https://ia601501.us.archive.org/22/items/192425/1924-25.pdf#page=41</v>
      </c>
      <c r="AF63" s="7" t="str">
        <f t="shared" si="9"/>
        <v>https://ia601501.us.archive.org/22/items/192425/1924-25.pdf#page=38</v>
      </c>
      <c r="AG63" s="153" t="str">
        <f t="shared" si="10"/>
        <v>https://ia601501.us.archive.org/22/items/192425/1924-25.pdf#page=41</v>
      </c>
      <c r="AH63" s="7" t="str">
        <f t="shared" si="11"/>
        <v>https://ia601501.us.archive.org/22/items/192425/1924-25.pdf#page=38</v>
      </c>
      <c r="AI63" s="153" t="str">
        <f t="shared" si="12"/>
        <v>https://ia601501.us.archive.org/22/items/192425/1924-25.pdf#page=41</v>
      </c>
      <c r="AJ63" s="7" t="str">
        <f t="shared" si="13"/>
        <v>https://ia601501.us.archive.org/22/items/192425/1924-25.pdf#page=38</v>
      </c>
      <c r="AK63" s="152" t="str">
        <f t="shared" si="14"/>
        <v>https://ia601501.us.archive.org/22/items/192425/1924-25.pdf#page=41</v>
      </c>
      <c r="AL63" s="27" t="str">
        <f t="shared" si="22"/>
        <v>https://babel.hathitrust.org/cgi/pt?id=mdp.39015076547101;view=1up;seq=179</v>
      </c>
      <c r="AM63" s="155" t="str">
        <f t="shared" si="19"/>
        <v>https://ia601501.us.archive.org/22/items/192425/1924-25.pdf#page=42</v>
      </c>
      <c r="AN63" s="27" t="str">
        <f t="shared" si="25"/>
        <v>https://ia601501.us.archive.org/22/items/192425/1924-25.pdf#page=40</v>
      </c>
      <c r="AO63" s="152" t="str">
        <f t="shared" si="21"/>
        <v>https://ia601501.us.archive.org/22/items/192425/1924-25.pdf#page=43</v>
      </c>
      <c r="AP63" s="27" t="str">
        <f t="shared" si="15"/>
        <v>https://ia601501.us.archive.org/22/items/192425/1924-25.pdf#page=40</v>
      </c>
      <c r="AQ63" s="27" t="str">
        <f t="shared" si="16"/>
        <v>https://ia601501.us.archive.org/22/items/192425/1924-25.pdf#page=40</v>
      </c>
    </row>
    <row r="64" spans="1:43" x14ac:dyDescent="0.25">
      <c r="A64" s="27" t="s">
        <v>646</v>
      </c>
      <c r="B64" s="27" t="str">
        <f t="shared" si="0"/>
        <v>Alabama</v>
      </c>
      <c r="C64" s="27" t="str">
        <f t="shared" si="1"/>
        <v>Tuscaloosa</v>
      </c>
      <c r="D64" s="27">
        <f>3401+1390+1053+790</f>
        <v>6634</v>
      </c>
      <c r="E64" s="27">
        <f>2253+640+36+87</f>
        <v>3016</v>
      </c>
      <c r="F64" s="27">
        <f t="shared" si="3"/>
        <v>9650</v>
      </c>
      <c r="G64" s="27">
        <f>223+68</f>
        <v>291</v>
      </c>
      <c r="H64" s="27">
        <f>81+20</f>
        <v>101</v>
      </c>
      <c r="I64" s="27">
        <f t="shared" si="23"/>
        <v>392</v>
      </c>
      <c r="J64" s="27">
        <f>488044+243182+171113+138594</f>
        <v>1040933</v>
      </c>
      <c r="K64" s="27">
        <f>272493+112062+4204+15182</f>
        <v>403941</v>
      </c>
      <c r="L64" s="97">
        <f t="shared" si="4"/>
        <v>149.72787564766838</v>
      </c>
      <c r="M64" s="7">
        <f>6721+2599</f>
        <v>9320</v>
      </c>
      <c r="N64" s="7">
        <f>3633+1309</f>
        <v>4942</v>
      </c>
      <c r="O64" s="27">
        <f t="shared" si="5"/>
        <v>14262</v>
      </c>
      <c r="P64" s="27">
        <f>130251+59461</f>
        <v>189712</v>
      </c>
      <c r="Q64" s="27">
        <f>22051+8325</f>
        <v>30376</v>
      </c>
      <c r="R64" s="115">
        <f t="shared" si="6"/>
        <v>74.995918717635234</v>
      </c>
      <c r="S64" s="7">
        <f>217031+103907</f>
        <v>320938</v>
      </c>
      <c r="T64" s="7">
        <f>25824+13630</f>
        <v>39454</v>
      </c>
      <c r="U64" s="2">
        <f t="shared" si="24"/>
        <v>360392</v>
      </c>
      <c r="V64" s="27">
        <v>150</v>
      </c>
      <c r="W64" s="27">
        <f>247260+1054500</f>
        <v>1301760</v>
      </c>
      <c r="X64" s="27">
        <f>33982+86500</f>
        <v>120482</v>
      </c>
      <c r="Y64" s="27">
        <f>20950+56000</f>
        <v>76950</v>
      </c>
      <c r="Z64" s="27">
        <f>5695+4500</f>
        <v>10195</v>
      </c>
      <c r="AA64" s="2">
        <f t="shared" si="8"/>
        <v>1509387</v>
      </c>
      <c r="AB64" s="41">
        <v>1925</v>
      </c>
      <c r="AC64" s="27" t="s">
        <v>552</v>
      </c>
      <c r="AD64" s="157" t="str">
        <f t="shared" si="17"/>
        <v>https://ia601501.us.archive.org/22/items/192425/1924-25.pdf#page=38</v>
      </c>
      <c r="AE64" s="155" t="str">
        <f t="shared" si="18"/>
        <v>https://ia601501.us.archive.org/22/items/192425/1924-25.pdf#page=41</v>
      </c>
      <c r="AF64" s="7" t="str">
        <f t="shared" si="9"/>
        <v>https://ia601501.us.archive.org/22/items/192425/1924-25.pdf#page=38</v>
      </c>
      <c r="AG64" s="153" t="str">
        <f t="shared" si="10"/>
        <v>https://ia601501.us.archive.org/22/items/192425/1924-25.pdf#page=41</v>
      </c>
      <c r="AH64" s="7" t="str">
        <f t="shared" si="11"/>
        <v>https://ia601501.us.archive.org/22/items/192425/1924-25.pdf#page=38</v>
      </c>
      <c r="AI64" s="153" t="str">
        <f t="shared" si="12"/>
        <v>https://ia601501.us.archive.org/22/items/192425/1924-25.pdf#page=41</v>
      </c>
      <c r="AJ64" s="7" t="str">
        <f t="shared" si="13"/>
        <v>https://ia601501.us.archive.org/22/items/192425/1924-25.pdf#page=38</v>
      </c>
      <c r="AK64" s="152" t="str">
        <f t="shared" si="14"/>
        <v>https://ia601501.us.archive.org/22/items/192425/1924-25.pdf#page=41</v>
      </c>
      <c r="AL64" s="27" t="str">
        <f t="shared" si="22"/>
        <v>https://babel.hathitrust.org/cgi/pt?id=mdp.39015076547101;view=1up;seq=179</v>
      </c>
      <c r="AM64" s="155" t="str">
        <f t="shared" si="19"/>
        <v>https://ia601501.us.archive.org/22/items/192425/1924-25.pdf#page=42</v>
      </c>
      <c r="AN64" s="27" t="str">
        <f t="shared" si="25"/>
        <v>https://ia601501.us.archive.org/22/items/192425/1924-25.pdf#page=40</v>
      </c>
      <c r="AO64" s="152" t="str">
        <f t="shared" si="21"/>
        <v>https://ia601501.us.archive.org/22/items/192425/1924-25.pdf#page=43</v>
      </c>
      <c r="AP64" s="27" t="str">
        <f t="shared" si="15"/>
        <v>https://ia601501.us.archive.org/22/items/192425/1924-25.pdf#page=40</v>
      </c>
      <c r="AQ64" s="27" t="str">
        <f t="shared" si="16"/>
        <v>https://ia601501.us.archive.org/22/items/192425/1924-25.pdf#page=40</v>
      </c>
    </row>
    <row r="65" spans="1:43" x14ac:dyDescent="0.25">
      <c r="A65" s="27" t="s">
        <v>647</v>
      </c>
      <c r="B65" s="27" t="str">
        <f t="shared" si="0"/>
        <v>Alabama</v>
      </c>
      <c r="C65" s="27" t="str">
        <f t="shared" si="1"/>
        <v>Walker</v>
      </c>
      <c r="D65" s="27">
        <f>7217+364+557+1302+121+78+278</f>
        <v>9917</v>
      </c>
      <c r="E65" s="27">
        <f>1143+154+111+87+13+15</f>
        <v>1523</v>
      </c>
      <c r="F65" s="27">
        <f t="shared" si="3"/>
        <v>11440</v>
      </c>
      <c r="G65" s="27">
        <f>278+15+20+10</f>
        <v>323</v>
      </c>
      <c r="H65" s="27">
        <f>42+4+3</f>
        <v>49</v>
      </c>
      <c r="I65" s="27">
        <f t="shared" si="23"/>
        <v>372</v>
      </c>
      <c r="J65" s="27">
        <f>941819+63988+98562+228503+21366+13790+48085</f>
        <v>1416113</v>
      </c>
      <c r="K65" s="27">
        <f>164762+24195+19592+12732+2047+2661</f>
        <v>225989</v>
      </c>
      <c r="L65" s="97">
        <f t="shared" si="4"/>
        <v>143.54038461538462</v>
      </c>
      <c r="M65" s="7">
        <f>12427+661+759+305</f>
        <v>14152</v>
      </c>
      <c r="N65" s="7">
        <f>1565+182+176</f>
        <v>1923</v>
      </c>
      <c r="O65" s="27">
        <f t="shared" si="5"/>
        <v>16075</v>
      </c>
      <c r="P65" s="27">
        <f>196312+10215+13176+12179</f>
        <v>231882</v>
      </c>
      <c r="Q65" s="27">
        <f>17335+1960+1800</f>
        <v>21095</v>
      </c>
      <c r="R65" s="115">
        <f t="shared" si="6"/>
        <v>94.753222341838992</v>
      </c>
      <c r="S65" s="7">
        <f>313362+17226+33752+18319</f>
        <v>382659</v>
      </c>
      <c r="T65" s="7">
        <f>44066+2942+2173</f>
        <v>49181</v>
      </c>
      <c r="U65" s="2">
        <f t="shared" si="24"/>
        <v>431840</v>
      </c>
      <c r="V65" s="27">
        <v>110</v>
      </c>
      <c r="W65" s="27">
        <f>457729+50000+75000+75000</f>
        <v>657729</v>
      </c>
      <c r="X65" s="27">
        <f>65729+5000+3500+5000</f>
        <v>79229</v>
      </c>
      <c r="Y65" s="27">
        <f>32755+7000+5000</f>
        <v>44755</v>
      </c>
      <c r="Z65" s="27">
        <f>2446+2000+500</f>
        <v>4946</v>
      </c>
      <c r="AA65" s="2">
        <f t="shared" si="8"/>
        <v>786659</v>
      </c>
      <c r="AB65" s="41">
        <v>1925</v>
      </c>
      <c r="AC65" s="27" t="s">
        <v>552</v>
      </c>
      <c r="AD65" s="157" t="str">
        <f t="shared" si="17"/>
        <v>https://ia601501.us.archive.org/22/items/192425/1924-25.pdf#page=38</v>
      </c>
      <c r="AE65" s="155" t="str">
        <f t="shared" si="18"/>
        <v>https://ia601501.us.archive.org/22/items/192425/1924-25.pdf#page=41</v>
      </c>
      <c r="AF65" s="7" t="str">
        <f t="shared" si="9"/>
        <v>https://ia601501.us.archive.org/22/items/192425/1924-25.pdf#page=38</v>
      </c>
      <c r="AG65" s="153" t="str">
        <f t="shared" si="10"/>
        <v>https://ia601501.us.archive.org/22/items/192425/1924-25.pdf#page=41</v>
      </c>
      <c r="AH65" s="7" t="str">
        <f t="shared" si="11"/>
        <v>https://ia601501.us.archive.org/22/items/192425/1924-25.pdf#page=38</v>
      </c>
      <c r="AI65" s="153" t="str">
        <f t="shared" si="12"/>
        <v>https://ia601501.us.archive.org/22/items/192425/1924-25.pdf#page=41</v>
      </c>
      <c r="AJ65" s="7" t="str">
        <f t="shared" si="13"/>
        <v>https://ia601501.us.archive.org/22/items/192425/1924-25.pdf#page=38</v>
      </c>
      <c r="AK65" s="152" t="str">
        <f t="shared" si="14"/>
        <v>https://ia601501.us.archive.org/22/items/192425/1924-25.pdf#page=41</v>
      </c>
      <c r="AL65" s="27" t="str">
        <f t="shared" si="22"/>
        <v>https://babel.hathitrust.org/cgi/pt?id=mdp.39015076547101;view=1up;seq=179</v>
      </c>
      <c r="AM65" s="155" t="str">
        <f t="shared" si="19"/>
        <v>https://ia601501.us.archive.org/22/items/192425/1924-25.pdf#page=42</v>
      </c>
      <c r="AN65" s="27" t="str">
        <f t="shared" si="25"/>
        <v>https://ia601501.us.archive.org/22/items/192425/1924-25.pdf#page=40</v>
      </c>
      <c r="AO65" s="152" t="str">
        <f t="shared" si="21"/>
        <v>https://ia601501.us.archive.org/22/items/192425/1924-25.pdf#page=43</v>
      </c>
      <c r="AP65" s="27" t="str">
        <f t="shared" si="15"/>
        <v>https://ia601501.us.archive.org/22/items/192425/1924-25.pdf#page=40</v>
      </c>
      <c r="AQ65" s="27" t="str">
        <f t="shared" si="16"/>
        <v>https://ia601501.us.archive.org/22/items/192425/1924-25.pdf#page=40</v>
      </c>
    </row>
    <row r="66" spans="1:43" x14ac:dyDescent="0.25">
      <c r="A66" s="27" t="s">
        <v>648</v>
      </c>
      <c r="B66" s="27" t="str">
        <f t="shared" ref="B66:B68" si="26">LEFT(A66,FIND(";",A66)-1)</f>
        <v>Alabama</v>
      </c>
      <c r="C66" s="27" t="str">
        <f t="shared" ref="C66:C68" si="27">MID(A66,FIND(";",A66)+1,100)</f>
        <v>Washington</v>
      </c>
      <c r="D66" s="27">
        <f>1345+308+94</f>
        <v>1747</v>
      </c>
      <c r="E66" s="27">
        <f>702+2</f>
        <v>704</v>
      </c>
      <c r="F66" s="27">
        <f t="shared" si="3"/>
        <v>2451</v>
      </c>
      <c r="G66" s="27">
        <f>89+5</f>
        <v>94</v>
      </c>
      <c r="H66" s="27">
        <v>23</v>
      </c>
      <c r="I66" s="27">
        <f t="shared" si="23"/>
        <v>117</v>
      </c>
      <c r="J66" s="27">
        <f>168798+43277+16734</f>
        <v>228809</v>
      </c>
      <c r="K66" s="27">
        <f>53439+151</f>
        <v>53590</v>
      </c>
      <c r="L66" s="97">
        <f t="shared" si="4"/>
        <v>115.21787025703794</v>
      </c>
      <c r="M66" s="7">
        <f>2426+103</f>
        <v>2529</v>
      </c>
      <c r="N66" s="7">
        <v>1100</v>
      </c>
      <c r="O66" s="27">
        <f t="shared" si="5"/>
        <v>3629</v>
      </c>
      <c r="P66" s="27">
        <f>43546+4144</f>
        <v>47690</v>
      </c>
      <c r="Q66" s="27">
        <v>3566</v>
      </c>
      <c r="R66" s="115">
        <f t="shared" si="6"/>
        <v>76.044708882077288</v>
      </c>
      <c r="S66" s="7">
        <f>80302+8224</f>
        <v>88526</v>
      </c>
      <c r="T66" s="7">
        <v>8137</v>
      </c>
      <c r="U66" s="2">
        <f t="shared" si="24"/>
        <v>96663</v>
      </c>
      <c r="V66" s="27">
        <v>72</v>
      </c>
      <c r="W66" s="27">
        <f>118250+13000</f>
        <v>131250</v>
      </c>
      <c r="X66" s="27">
        <f>12000+1000</f>
        <v>13000</v>
      </c>
      <c r="Y66" s="27">
        <f>8350</f>
        <v>8350</v>
      </c>
      <c r="Z66" s="27">
        <v>610</v>
      </c>
      <c r="AA66" s="2">
        <f t="shared" si="8"/>
        <v>153210</v>
      </c>
      <c r="AB66" s="41">
        <v>1925</v>
      </c>
      <c r="AC66" s="27" t="s">
        <v>552</v>
      </c>
      <c r="AD66" s="157" t="str">
        <f t="shared" si="17"/>
        <v>https://ia601501.us.archive.org/22/items/192425/1924-25.pdf#page=38</v>
      </c>
      <c r="AE66" s="155" t="str">
        <f t="shared" si="18"/>
        <v>https://ia601501.us.archive.org/22/items/192425/1924-25.pdf#page=41</v>
      </c>
      <c r="AF66" s="7" t="str">
        <f t="shared" si="9"/>
        <v>https://ia601501.us.archive.org/22/items/192425/1924-25.pdf#page=38</v>
      </c>
      <c r="AG66" s="153" t="str">
        <f t="shared" si="10"/>
        <v>https://ia601501.us.archive.org/22/items/192425/1924-25.pdf#page=41</v>
      </c>
      <c r="AH66" s="7" t="str">
        <f t="shared" si="11"/>
        <v>https://ia601501.us.archive.org/22/items/192425/1924-25.pdf#page=38</v>
      </c>
      <c r="AI66" s="153" t="str">
        <f t="shared" si="12"/>
        <v>https://ia601501.us.archive.org/22/items/192425/1924-25.pdf#page=41</v>
      </c>
      <c r="AJ66" s="7" t="str">
        <f t="shared" si="13"/>
        <v>https://ia601501.us.archive.org/22/items/192425/1924-25.pdf#page=38</v>
      </c>
      <c r="AK66" s="152" t="str">
        <f t="shared" si="14"/>
        <v>https://ia601501.us.archive.org/22/items/192425/1924-25.pdf#page=41</v>
      </c>
      <c r="AL66" s="27" t="str">
        <f t="shared" si="22"/>
        <v>https://babel.hathitrust.org/cgi/pt?id=mdp.39015076547101;view=1up;seq=179</v>
      </c>
      <c r="AM66" s="155" t="str">
        <f t="shared" si="19"/>
        <v>https://ia601501.us.archive.org/22/items/192425/1924-25.pdf#page=42</v>
      </c>
      <c r="AN66" s="27" t="str">
        <f t="shared" si="25"/>
        <v>https://ia601501.us.archive.org/22/items/192425/1924-25.pdf#page=40</v>
      </c>
      <c r="AO66" s="152" t="str">
        <f t="shared" si="21"/>
        <v>https://ia601501.us.archive.org/22/items/192425/1924-25.pdf#page=43</v>
      </c>
      <c r="AP66" s="27" t="str">
        <f t="shared" si="15"/>
        <v>https://ia601501.us.archive.org/22/items/192425/1924-25.pdf#page=40</v>
      </c>
      <c r="AQ66" s="27" t="str">
        <f t="shared" si="16"/>
        <v>https://ia601501.us.archive.org/22/items/192425/1924-25.pdf#page=40</v>
      </c>
    </row>
    <row r="67" spans="1:43" x14ac:dyDescent="0.25">
      <c r="A67" s="27" t="s">
        <v>649</v>
      </c>
      <c r="B67" s="27" t="str">
        <f t="shared" si="26"/>
        <v>Alabama</v>
      </c>
      <c r="C67" s="27" t="str">
        <f t="shared" si="27"/>
        <v>Wilcox</v>
      </c>
      <c r="D67" s="27">
        <f>791+462+77</f>
        <v>1330</v>
      </c>
      <c r="E67" s="27">
        <f>1986+23</f>
        <v>2009</v>
      </c>
      <c r="F67" s="27">
        <f t="shared" ref="F67:F68" si="28">D67+E67</f>
        <v>3339</v>
      </c>
      <c r="G67" s="27">
        <f>82+4</f>
        <v>86</v>
      </c>
      <c r="H67" s="27">
        <v>52</v>
      </c>
      <c r="I67" s="27">
        <f t="shared" si="23"/>
        <v>138</v>
      </c>
      <c r="J67" s="27">
        <f>124744+77351+13749</f>
        <v>215844</v>
      </c>
      <c r="K67" s="27">
        <f>147018+2111</f>
        <v>149129</v>
      </c>
      <c r="L67" s="97">
        <f t="shared" ref="L67:L68" si="29">(J67+K67)/F67</f>
        <v>109.30607966457023</v>
      </c>
      <c r="M67" s="7">
        <f>1575+83</f>
        <v>1658</v>
      </c>
      <c r="N67" s="7">
        <v>2683</v>
      </c>
      <c r="O67" s="27">
        <f t="shared" ref="O67:O68" si="30">M67+N67</f>
        <v>4341</v>
      </c>
      <c r="P67" s="27">
        <f>57122+5955</f>
        <v>63077</v>
      </c>
      <c r="Q67" s="27">
        <v>4600</v>
      </c>
      <c r="R67" s="115">
        <f t="shared" ref="R67:R68" si="31">(P67+Q67)/I67/(L67/20)</f>
        <v>89.732070710650547</v>
      </c>
      <c r="S67" s="7">
        <f>69776+7369</f>
        <v>77145</v>
      </c>
      <c r="T67" s="7">
        <v>4839</v>
      </c>
      <c r="U67" s="2">
        <f t="shared" si="24"/>
        <v>81984</v>
      </c>
      <c r="V67" s="27">
        <v>85</v>
      </c>
      <c r="W67" s="27">
        <f>131280+5000</f>
        <v>136280</v>
      </c>
      <c r="X67" s="27">
        <f>17410+2500</f>
        <v>19910</v>
      </c>
      <c r="Y67" s="27">
        <f>8735</f>
        <v>8735</v>
      </c>
      <c r="Z67" s="27">
        <v>925</v>
      </c>
      <c r="AA67" s="2">
        <f t="shared" ref="AA67:AA68" si="32">W67+X67+Y67+Z67</f>
        <v>165850</v>
      </c>
      <c r="AB67" s="41">
        <v>1925</v>
      </c>
      <c r="AC67" s="27" t="s">
        <v>552</v>
      </c>
      <c r="AD67" s="157" t="str">
        <f t="shared" si="17"/>
        <v>https://ia601501.us.archive.org/22/items/192425/1924-25.pdf#page=38</v>
      </c>
      <c r="AE67" s="155" t="str">
        <f t="shared" si="18"/>
        <v>https://ia601501.us.archive.org/22/items/192425/1924-25.pdf#page=41</v>
      </c>
      <c r="AF67" s="7" t="str">
        <f t="shared" ref="AF67:AF68" si="33">AD67</f>
        <v>https://ia601501.us.archive.org/22/items/192425/1924-25.pdf#page=38</v>
      </c>
      <c r="AG67" s="153" t="str">
        <f t="shared" ref="AG67:AG68" si="34">AE67</f>
        <v>https://ia601501.us.archive.org/22/items/192425/1924-25.pdf#page=41</v>
      </c>
      <c r="AH67" s="7" t="str">
        <f t="shared" ref="AH67:AH68" si="35">AD67</f>
        <v>https://ia601501.us.archive.org/22/items/192425/1924-25.pdf#page=38</v>
      </c>
      <c r="AI67" s="153" t="str">
        <f t="shared" ref="AI67:AI68" si="36">AE67</f>
        <v>https://ia601501.us.archive.org/22/items/192425/1924-25.pdf#page=41</v>
      </c>
      <c r="AJ67" s="7" t="str">
        <f t="shared" ref="AJ67:AJ68" si="37">AD67</f>
        <v>https://ia601501.us.archive.org/22/items/192425/1924-25.pdf#page=38</v>
      </c>
      <c r="AK67" s="152" t="str">
        <f t="shared" ref="AK67:AK68" si="38">AE67</f>
        <v>https://ia601501.us.archive.org/22/items/192425/1924-25.pdf#page=41</v>
      </c>
      <c r="AL67" s="27" t="str">
        <f t="shared" si="22"/>
        <v>https://babel.hathitrust.org/cgi/pt?id=mdp.39015076547101;view=1up;seq=179</v>
      </c>
      <c r="AM67" s="155" t="str">
        <f t="shared" si="19"/>
        <v>https://ia601501.us.archive.org/22/items/192425/1924-25.pdf#page=42</v>
      </c>
      <c r="AN67" s="27" t="str">
        <f t="shared" si="25"/>
        <v>https://ia601501.us.archive.org/22/items/192425/1924-25.pdf#page=40</v>
      </c>
      <c r="AO67" s="152" t="str">
        <f t="shared" si="21"/>
        <v>https://ia601501.us.archive.org/22/items/192425/1924-25.pdf#page=43</v>
      </c>
      <c r="AP67" s="27" t="str">
        <f t="shared" ref="AP67:AP68" si="39">AN67</f>
        <v>https://ia601501.us.archive.org/22/items/192425/1924-25.pdf#page=40</v>
      </c>
      <c r="AQ67" s="27" t="str">
        <f t="shared" ref="AQ67:AQ68" si="40">AP67</f>
        <v>https://ia601501.us.archive.org/22/items/192425/1924-25.pdf#page=40</v>
      </c>
    </row>
    <row r="68" spans="1:43" x14ac:dyDescent="0.25">
      <c r="A68" s="27" t="s">
        <v>1776</v>
      </c>
      <c r="B68" s="27" t="str">
        <f t="shared" si="26"/>
        <v>Alabama</v>
      </c>
      <c r="C68" s="27" t="str">
        <f t="shared" si="27"/>
        <v>Winston/Hancock</v>
      </c>
      <c r="D68" s="27">
        <f>2225+174+275+100+166</f>
        <v>2940</v>
      </c>
      <c r="E68" s="27">
        <v>0</v>
      </c>
      <c r="F68" s="27">
        <f t="shared" si="28"/>
        <v>2940</v>
      </c>
      <c r="G68" s="27">
        <f xml:space="preserve"> 99+12+6</f>
        <v>117</v>
      </c>
      <c r="H68" s="27">
        <v>0</v>
      </c>
      <c r="I68" s="27">
        <f t="shared" si="23"/>
        <v>117</v>
      </c>
      <c r="J68" s="27">
        <f>167401+30416+20763+17483+29282</f>
        <v>265345</v>
      </c>
      <c r="K68" s="27">
        <v>0</v>
      </c>
      <c r="L68" s="97">
        <f t="shared" si="29"/>
        <v>90.253401360544217</v>
      </c>
      <c r="M68" s="7">
        <f>3739+381+188</f>
        <v>4308</v>
      </c>
      <c r="N68" s="7">
        <v>0</v>
      </c>
      <c r="O68" s="27">
        <f t="shared" si="30"/>
        <v>4308</v>
      </c>
      <c r="P68" s="27">
        <f>33603+10525+7376</f>
        <v>51504</v>
      </c>
      <c r="Q68" s="27">
        <v>0</v>
      </c>
      <c r="R68" s="115">
        <f t="shared" si="31"/>
        <v>97.548706546049644</v>
      </c>
      <c r="S68" s="7">
        <f>43080+17720+9916</f>
        <v>70716</v>
      </c>
      <c r="T68" s="7">
        <v>0</v>
      </c>
      <c r="U68" s="2">
        <f t="shared" si="24"/>
        <v>70716</v>
      </c>
      <c r="V68" s="27">
        <v>62</v>
      </c>
      <c r="W68" s="27">
        <f>70000+10000+13500</f>
        <v>93500</v>
      </c>
      <c r="X68" s="27">
        <f>10000+4000+1500</f>
        <v>15500</v>
      </c>
      <c r="Y68" s="27">
        <v>0</v>
      </c>
      <c r="Z68" s="27">
        <v>0</v>
      </c>
      <c r="AA68" s="2">
        <f t="shared" si="32"/>
        <v>109000</v>
      </c>
      <c r="AB68" s="41">
        <v>1925</v>
      </c>
      <c r="AC68" s="27" t="s">
        <v>552</v>
      </c>
      <c r="AD68" s="157" t="str">
        <f t="shared" ref="AD68:AE68" si="41">AD67</f>
        <v>https://ia601501.us.archive.org/22/items/192425/1924-25.pdf#page=38</v>
      </c>
      <c r="AE68" s="155" t="str">
        <f t="shared" si="41"/>
        <v>https://ia601501.us.archive.org/22/items/192425/1924-25.pdf#page=41</v>
      </c>
      <c r="AF68" s="7" t="str">
        <f t="shared" si="33"/>
        <v>https://ia601501.us.archive.org/22/items/192425/1924-25.pdf#page=38</v>
      </c>
      <c r="AG68" s="153" t="str">
        <f t="shared" si="34"/>
        <v>https://ia601501.us.archive.org/22/items/192425/1924-25.pdf#page=41</v>
      </c>
      <c r="AH68" s="7" t="str">
        <f t="shared" si="35"/>
        <v>https://ia601501.us.archive.org/22/items/192425/1924-25.pdf#page=38</v>
      </c>
      <c r="AI68" s="153" t="str">
        <f t="shared" si="36"/>
        <v>https://ia601501.us.archive.org/22/items/192425/1924-25.pdf#page=41</v>
      </c>
      <c r="AJ68" s="7" t="str">
        <f t="shared" si="37"/>
        <v>https://ia601501.us.archive.org/22/items/192425/1924-25.pdf#page=38</v>
      </c>
      <c r="AK68" s="152" t="str">
        <f t="shared" si="38"/>
        <v>https://ia601501.us.archive.org/22/items/192425/1924-25.pdf#page=41</v>
      </c>
      <c r="AL68" s="27" t="str">
        <f t="shared" si="22"/>
        <v>https://babel.hathitrust.org/cgi/pt?id=mdp.39015076547101;view=1up;seq=179</v>
      </c>
      <c r="AM68" s="155" t="str">
        <f t="shared" ref="AM68" si="42">AM67</f>
        <v>https://ia601501.us.archive.org/22/items/192425/1924-25.pdf#page=42</v>
      </c>
      <c r="AN68" s="27" t="str">
        <f t="shared" si="25"/>
        <v>https://ia601501.us.archive.org/22/items/192425/1924-25.pdf#page=40</v>
      </c>
      <c r="AO68" s="152" t="str">
        <f t="shared" ref="AO68" si="43">AO67</f>
        <v>https://ia601501.us.archive.org/22/items/192425/1924-25.pdf#page=43</v>
      </c>
      <c r="AP68" s="27" t="str">
        <f t="shared" si="39"/>
        <v>https://ia601501.us.archive.org/22/items/192425/1924-25.pdf#page=40</v>
      </c>
      <c r="AQ68" s="27" t="str">
        <f t="shared" si="40"/>
        <v>https://ia601501.us.archive.org/22/items/192425/1924-25.pdf#page=40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O77"/>
  <sheetViews>
    <sheetView workbookViewId="0"/>
  </sheetViews>
  <sheetFormatPr defaultColWidth="11.42578125" defaultRowHeight="15" x14ac:dyDescent="0.25"/>
  <cols>
    <col min="1" max="1" width="19" customWidth="1"/>
    <col min="2" max="2" width="7.7109375" customWidth="1"/>
    <col min="5" max="7" width="0" style="27" hidden="1" customWidth="1"/>
    <col min="9" max="11" width="0" hidden="1" customWidth="1"/>
    <col min="12" max="14" width="11.42578125" style="27"/>
    <col min="17" max="17" width="11.42578125" style="27" hidden="1" customWidth="1"/>
    <col min="18" max="18" width="11.42578125" style="90" hidden="1" customWidth="1"/>
    <col min="21" max="24" width="11.42578125" style="27"/>
    <col min="26" max="26" width="11.42578125" style="27"/>
  </cols>
  <sheetData>
    <row r="1" spans="1:41" s="20" customFormat="1" ht="75" x14ac:dyDescent="0.25">
      <c r="B1" s="20" t="s">
        <v>2</v>
      </c>
      <c r="C1" s="20" t="s">
        <v>0</v>
      </c>
      <c r="D1" s="92" t="s">
        <v>1956</v>
      </c>
      <c r="E1" s="84" t="s">
        <v>2133</v>
      </c>
      <c r="F1" s="84" t="s">
        <v>2134</v>
      </c>
      <c r="G1" s="92" t="s">
        <v>2530</v>
      </c>
      <c r="H1" s="92" t="s">
        <v>2531</v>
      </c>
      <c r="I1" s="20" t="s">
        <v>2036</v>
      </c>
      <c r="J1" s="20" t="s">
        <v>2037</v>
      </c>
      <c r="K1" s="83" t="s">
        <v>357</v>
      </c>
      <c r="L1" s="94" t="s">
        <v>2533</v>
      </c>
      <c r="M1" s="83" t="s">
        <v>2131</v>
      </c>
      <c r="N1" s="83" t="s">
        <v>2132</v>
      </c>
      <c r="O1" s="94" t="s">
        <v>377</v>
      </c>
      <c r="P1" s="92" t="s">
        <v>358</v>
      </c>
      <c r="Q1" s="84" t="s">
        <v>2124</v>
      </c>
      <c r="R1" s="113" t="s">
        <v>2125</v>
      </c>
      <c r="S1" s="93" t="s">
        <v>360</v>
      </c>
      <c r="T1" s="92" t="s">
        <v>374</v>
      </c>
      <c r="U1" s="84" t="s">
        <v>2129</v>
      </c>
      <c r="V1" s="84" t="s">
        <v>2130</v>
      </c>
      <c r="W1" s="84" t="s">
        <v>2127</v>
      </c>
      <c r="X1" s="84" t="s">
        <v>2128</v>
      </c>
      <c r="Y1" s="91" t="s">
        <v>375</v>
      </c>
      <c r="Z1" s="91" t="s">
        <v>2532</v>
      </c>
      <c r="AA1" s="81" t="s">
        <v>1</v>
      </c>
      <c r="AB1" s="20" t="s">
        <v>1960</v>
      </c>
      <c r="AC1" s="20" t="s">
        <v>1957</v>
      </c>
      <c r="AD1" s="20" t="s">
        <v>1949</v>
      </c>
      <c r="AE1" s="20" t="s">
        <v>1955</v>
      </c>
      <c r="AF1" s="20" t="s">
        <v>1950</v>
      </c>
      <c r="AG1" s="20" t="s">
        <v>1954</v>
      </c>
      <c r="AH1" s="20" t="s">
        <v>1952</v>
      </c>
      <c r="AI1" s="20" t="s">
        <v>1953</v>
      </c>
      <c r="AJ1" s="20" t="s">
        <v>1948</v>
      </c>
    </row>
    <row r="2" spans="1:41" x14ac:dyDescent="0.25">
      <c r="A2" s="27" t="s">
        <v>652</v>
      </c>
      <c r="B2" s="27" t="str">
        <f t="shared" ref="B2:B65" si="0">LEFT(A2,FIND(";",A2)-1)</f>
        <v>Arkansas</v>
      </c>
      <c r="C2" s="27" t="str">
        <f t="shared" ref="C2:C65" si="1">MID(A2,FIND(";",A2)+1,100)</f>
        <v>Arkansas</v>
      </c>
      <c r="D2" s="32">
        <v>4123</v>
      </c>
      <c r="E2" s="29">
        <v>98</v>
      </c>
      <c r="F2" s="29">
        <v>30</v>
      </c>
      <c r="G2" s="29">
        <f>E2+F2</f>
        <v>128</v>
      </c>
      <c r="H2" s="29">
        <v>152</v>
      </c>
      <c r="I2" s="35">
        <v>150</v>
      </c>
      <c r="J2" s="35">
        <v>170</v>
      </c>
      <c r="K2" s="97">
        <f>((I2*M2)+(J2*N2))/(M2+N2)</f>
        <v>153.97727272727272</v>
      </c>
      <c r="L2" s="97">
        <v>145</v>
      </c>
      <c r="M2" s="35">
        <v>2820</v>
      </c>
      <c r="N2" s="35">
        <v>700</v>
      </c>
      <c r="O2" s="33">
        <v>5721</v>
      </c>
      <c r="P2" s="31">
        <v>100</v>
      </c>
      <c r="Q2" s="29">
        <v>153091</v>
      </c>
      <c r="R2" s="114">
        <v>164653.93</v>
      </c>
      <c r="S2" s="29">
        <v>153091</v>
      </c>
      <c r="T2" s="33">
        <v>89</v>
      </c>
      <c r="U2" s="7">
        <v>7952.07</v>
      </c>
      <c r="V2" s="7">
        <v>10086.4</v>
      </c>
      <c r="W2" s="7">
        <v>16855.72</v>
      </c>
      <c r="X2" s="7">
        <v>7808</v>
      </c>
      <c r="Y2" s="40">
        <f>U2+W2</f>
        <v>24807.79</v>
      </c>
      <c r="Z2" s="40">
        <v>346125</v>
      </c>
      <c r="AA2" s="41">
        <v>1925</v>
      </c>
      <c r="AB2" s="27"/>
      <c r="AC2" s="31"/>
      <c r="AD2" s="27"/>
      <c r="AE2" s="27"/>
      <c r="AF2" s="27" t="s">
        <v>399</v>
      </c>
      <c r="AG2" s="27" t="s">
        <v>400</v>
      </c>
      <c r="AH2" s="27" t="s">
        <v>401</v>
      </c>
      <c r="AI2" s="27" t="s">
        <v>402</v>
      </c>
      <c r="AJ2" s="27"/>
      <c r="AK2" s="27"/>
      <c r="AL2" s="27"/>
      <c r="AM2" s="27"/>
      <c r="AN2" s="27"/>
      <c r="AO2" s="27"/>
    </row>
    <row r="3" spans="1:41" x14ac:dyDescent="0.25">
      <c r="A3" s="27" t="s">
        <v>653</v>
      </c>
      <c r="B3" s="27" t="str">
        <f t="shared" si="0"/>
        <v>Arkansas</v>
      </c>
      <c r="C3" s="27" t="str">
        <f t="shared" si="1"/>
        <v>Ashley</v>
      </c>
      <c r="D3" s="2">
        <v>4268</v>
      </c>
      <c r="E3" s="2"/>
      <c r="F3" s="2"/>
      <c r="G3" s="29"/>
      <c r="H3">
        <v>183</v>
      </c>
      <c r="I3" s="27"/>
      <c r="J3" s="27"/>
      <c r="K3" s="97"/>
      <c r="L3" s="97">
        <v>153</v>
      </c>
      <c r="O3" s="27">
        <v>6623</v>
      </c>
      <c r="P3" s="27">
        <v>85</v>
      </c>
      <c r="Q3" s="2">
        <v>142152</v>
      </c>
      <c r="R3" s="114">
        <v>136114.09</v>
      </c>
      <c r="S3" s="2">
        <v>142152</v>
      </c>
      <c r="T3" s="27">
        <v>70</v>
      </c>
      <c r="U3" s="27">
        <v>8856.42</v>
      </c>
      <c r="V3" s="27">
        <v>3640.34</v>
      </c>
      <c r="W3" s="27">
        <v>5771.94</v>
      </c>
      <c r="X3" s="27">
        <v>11191.72</v>
      </c>
      <c r="Y3" s="29">
        <f t="shared" ref="Y3:Y66" si="2">U3+W3</f>
        <v>14628.36</v>
      </c>
      <c r="Z3" s="29">
        <v>392787</v>
      </c>
      <c r="AA3" s="41">
        <v>1925</v>
      </c>
      <c r="AB3" s="27"/>
      <c r="AC3" s="27"/>
      <c r="AD3" s="27"/>
      <c r="AE3" s="27"/>
      <c r="AF3" s="27" t="s">
        <v>399</v>
      </c>
      <c r="AG3" s="27" t="s">
        <v>400</v>
      </c>
      <c r="AH3" s="27" t="s">
        <v>401</v>
      </c>
      <c r="AI3" s="27" t="s">
        <v>402</v>
      </c>
      <c r="AJ3" s="27"/>
      <c r="AK3" s="27"/>
      <c r="AL3" s="27"/>
      <c r="AM3" s="27"/>
      <c r="AN3" s="27"/>
      <c r="AO3" s="27"/>
    </row>
    <row r="4" spans="1:41" x14ac:dyDescent="0.25">
      <c r="A4" s="27" t="s">
        <v>654</v>
      </c>
      <c r="B4" s="27" t="str">
        <f t="shared" si="0"/>
        <v>Arkansas</v>
      </c>
      <c r="C4" s="27" t="str">
        <f t="shared" si="1"/>
        <v>Baxter</v>
      </c>
      <c r="D4" s="2">
        <v>2106</v>
      </c>
      <c r="E4" s="2">
        <v>79</v>
      </c>
      <c r="F4" s="2">
        <v>5</v>
      </c>
      <c r="G4" s="29">
        <f t="shared" ref="G4:G9" si="3">E4+F4</f>
        <v>84</v>
      </c>
      <c r="H4" s="29">
        <v>82</v>
      </c>
      <c r="I4" s="27">
        <v>79</v>
      </c>
      <c r="J4" s="27">
        <v>160</v>
      </c>
      <c r="K4" s="97">
        <f t="shared" ref="K4:K9" si="4">((I4*M4)+(J4*N4))/(M4+N4)</f>
        <v>81.727851941747574</v>
      </c>
      <c r="L4" s="97">
        <v>120</v>
      </c>
      <c r="M4" s="27">
        <v>3185</v>
      </c>
      <c r="N4" s="27">
        <v>111</v>
      </c>
      <c r="O4" s="27">
        <v>3216</v>
      </c>
      <c r="P4" s="27">
        <v>79</v>
      </c>
      <c r="Q4" s="2">
        <v>50144</v>
      </c>
      <c r="R4" s="90">
        <v>39839.370000000003</v>
      </c>
      <c r="S4" s="2">
        <v>50144</v>
      </c>
      <c r="T4" s="27">
        <v>68</v>
      </c>
      <c r="V4" s="27">
        <v>1191.1400000000001</v>
      </c>
      <c r="W4" s="27">
        <v>1987.24</v>
      </c>
      <c r="Y4" s="29">
        <f>V4+W4</f>
        <v>3178.38</v>
      </c>
      <c r="Z4" s="29">
        <v>61070</v>
      </c>
      <c r="AA4" s="41">
        <v>1925</v>
      </c>
      <c r="AB4" s="27"/>
      <c r="AC4" s="27"/>
      <c r="AD4" s="27"/>
      <c r="AE4" s="27"/>
      <c r="AF4" s="27" t="s">
        <v>399</v>
      </c>
      <c r="AG4" s="27" t="s">
        <v>400</v>
      </c>
      <c r="AH4" s="27" t="s">
        <v>401</v>
      </c>
      <c r="AI4" s="27" t="s">
        <v>402</v>
      </c>
      <c r="AJ4" s="27"/>
      <c r="AK4" s="27"/>
      <c r="AL4" s="27"/>
      <c r="AM4" s="27"/>
      <c r="AN4" s="27"/>
      <c r="AO4" s="27"/>
    </row>
    <row r="5" spans="1:41" x14ac:dyDescent="0.25">
      <c r="A5" s="27" t="s">
        <v>655</v>
      </c>
      <c r="B5" s="27" t="str">
        <f t="shared" si="0"/>
        <v>Arkansas</v>
      </c>
      <c r="C5" s="27" t="str">
        <f t="shared" si="1"/>
        <v>Benton</v>
      </c>
      <c r="D5" s="2">
        <v>6796</v>
      </c>
      <c r="E5" s="2">
        <v>217</v>
      </c>
      <c r="F5" s="2">
        <v>43</v>
      </c>
      <c r="G5" s="29">
        <f t="shared" si="3"/>
        <v>260</v>
      </c>
      <c r="H5" s="29">
        <v>248</v>
      </c>
      <c r="I5" s="27">
        <v>140</v>
      </c>
      <c r="J5" s="27">
        <v>160</v>
      </c>
      <c r="K5" s="97">
        <f t="shared" si="4"/>
        <v>142.33092580433356</v>
      </c>
      <c r="L5" s="97">
        <v>125</v>
      </c>
      <c r="M5" s="27">
        <v>8073</v>
      </c>
      <c r="N5" s="27">
        <v>1065</v>
      </c>
      <c r="O5" s="27">
        <v>9164</v>
      </c>
      <c r="P5" s="27">
        <v>61</v>
      </c>
      <c r="Q5" s="2">
        <v>200572</v>
      </c>
      <c r="R5" s="90">
        <v>191496.17</v>
      </c>
      <c r="S5" s="2">
        <v>200572</v>
      </c>
      <c r="T5" s="27">
        <v>147</v>
      </c>
      <c r="U5" s="27">
        <v>12314.87</v>
      </c>
      <c r="V5" s="27">
        <v>11478.66</v>
      </c>
      <c r="Y5" s="29">
        <f>U5</f>
        <v>12314.87</v>
      </c>
      <c r="Z5" s="29">
        <v>594295</v>
      </c>
      <c r="AA5" s="41">
        <v>1925</v>
      </c>
      <c r="AB5" s="27"/>
      <c r="AC5" s="27"/>
      <c r="AD5" s="27"/>
      <c r="AE5" s="27"/>
      <c r="AF5" s="27" t="s">
        <v>399</v>
      </c>
      <c r="AG5" s="27" t="s">
        <v>400</v>
      </c>
      <c r="AH5" s="27" t="s">
        <v>401</v>
      </c>
      <c r="AI5" s="27" t="s">
        <v>402</v>
      </c>
      <c r="AJ5" s="27"/>
      <c r="AK5" s="27"/>
      <c r="AL5" s="27"/>
      <c r="AM5" s="27"/>
      <c r="AN5" s="27"/>
      <c r="AO5" s="27"/>
    </row>
    <row r="6" spans="1:41" x14ac:dyDescent="0.25">
      <c r="A6" s="27" t="s">
        <v>656</v>
      </c>
      <c r="B6" s="27" t="str">
        <f t="shared" si="0"/>
        <v>Arkansas</v>
      </c>
      <c r="C6" s="27" t="str">
        <f t="shared" si="1"/>
        <v>Boone</v>
      </c>
      <c r="D6" s="2">
        <v>3324</v>
      </c>
      <c r="E6" s="2">
        <v>112</v>
      </c>
      <c r="F6" s="2">
        <v>18</v>
      </c>
      <c r="G6" s="29">
        <f t="shared" si="3"/>
        <v>130</v>
      </c>
      <c r="H6" s="29">
        <v>117</v>
      </c>
      <c r="I6" s="27">
        <v>131</v>
      </c>
      <c r="J6" s="27">
        <v>170</v>
      </c>
      <c r="K6" s="97">
        <f t="shared" si="4"/>
        <v>134.54185692541856</v>
      </c>
      <c r="L6" s="97">
        <v>127</v>
      </c>
      <c r="M6" s="27">
        <v>3584</v>
      </c>
      <c r="N6" s="27">
        <v>358</v>
      </c>
      <c r="O6" s="27">
        <v>4286</v>
      </c>
      <c r="P6" s="27">
        <v>71</v>
      </c>
      <c r="Q6" s="2">
        <v>86735</v>
      </c>
      <c r="R6" s="90">
        <v>69265.710000000006</v>
      </c>
      <c r="S6" s="2">
        <v>86735</v>
      </c>
      <c r="T6" s="27">
        <v>84</v>
      </c>
      <c r="U6" s="27">
        <v>6256.5</v>
      </c>
      <c r="V6" s="27">
        <v>6738.69</v>
      </c>
      <c r="W6" s="27">
        <v>9126.5</v>
      </c>
      <c r="X6" s="27">
        <v>3750.44</v>
      </c>
      <c r="Y6" s="29">
        <f t="shared" si="2"/>
        <v>15383</v>
      </c>
      <c r="Z6" s="29">
        <v>201275</v>
      </c>
      <c r="AA6" s="41">
        <v>1925</v>
      </c>
      <c r="AB6" s="27"/>
      <c r="AC6" s="27"/>
      <c r="AD6" s="27"/>
      <c r="AE6" s="27"/>
      <c r="AF6" s="27" t="s">
        <v>399</v>
      </c>
      <c r="AG6" s="27" t="s">
        <v>400</v>
      </c>
      <c r="AH6" s="27" t="s">
        <v>401</v>
      </c>
      <c r="AI6" s="27" t="s">
        <v>402</v>
      </c>
      <c r="AJ6" s="27"/>
      <c r="AK6" s="27"/>
      <c r="AL6" s="27"/>
      <c r="AM6" s="27"/>
      <c r="AN6" s="27"/>
      <c r="AO6" s="27"/>
    </row>
    <row r="7" spans="1:41" x14ac:dyDescent="0.25">
      <c r="A7" s="27" t="s">
        <v>657</v>
      </c>
      <c r="B7" s="27" t="str">
        <f t="shared" si="0"/>
        <v>Arkansas</v>
      </c>
      <c r="C7" s="27" t="str">
        <f t="shared" si="1"/>
        <v>Bradley</v>
      </c>
      <c r="D7" s="2">
        <v>4042</v>
      </c>
      <c r="E7" s="2">
        <v>85</v>
      </c>
      <c r="F7" s="2">
        <v>21</v>
      </c>
      <c r="G7" s="29">
        <f t="shared" si="3"/>
        <v>106</v>
      </c>
      <c r="H7" s="29">
        <v>105</v>
      </c>
      <c r="I7" s="27">
        <v>130</v>
      </c>
      <c r="J7" s="27">
        <v>180</v>
      </c>
      <c r="K7" s="97">
        <f t="shared" si="4"/>
        <v>136.35673624288424</v>
      </c>
      <c r="L7" s="97">
        <v>29</v>
      </c>
      <c r="M7" s="27">
        <v>4600</v>
      </c>
      <c r="N7" s="27">
        <v>670</v>
      </c>
      <c r="O7" s="27">
        <v>5205</v>
      </c>
      <c r="P7" s="27">
        <v>90</v>
      </c>
      <c r="Q7" s="2">
        <v>101816</v>
      </c>
      <c r="R7" s="90">
        <v>80096.22</v>
      </c>
      <c r="S7" s="2">
        <v>101816</v>
      </c>
      <c r="T7" s="27">
        <v>67</v>
      </c>
      <c r="V7" s="27">
        <v>5000</v>
      </c>
      <c r="W7" s="27">
        <v>14488.58</v>
      </c>
      <c r="X7" s="27">
        <v>5296.41</v>
      </c>
      <c r="Y7" s="29">
        <f>V7+W7</f>
        <v>19488.580000000002</v>
      </c>
      <c r="Z7" s="29">
        <v>160300</v>
      </c>
      <c r="AA7" s="41">
        <v>1925</v>
      </c>
      <c r="AB7" s="27"/>
      <c r="AC7" s="27"/>
      <c r="AD7" s="27"/>
      <c r="AE7" s="27"/>
      <c r="AF7" s="27" t="s">
        <v>399</v>
      </c>
      <c r="AG7" s="27" t="s">
        <v>400</v>
      </c>
      <c r="AH7" s="27" t="s">
        <v>401</v>
      </c>
      <c r="AI7" s="27" t="s">
        <v>402</v>
      </c>
      <c r="AJ7" s="27"/>
      <c r="AK7" s="27"/>
      <c r="AL7" s="27"/>
      <c r="AM7" s="27"/>
      <c r="AN7" s="27"/>
      <c r="AO7" s="27"/>
    </row>
    <row r="8" spans="1:41" x14ac:dyDescent="0.25">
      <c r="A8" s="27" t="s">
        <v>658</v>
      </c>
      <c r="B8" s="27" t="str">
        <f t="shared" si="0"/>
        <v>Arkansas</v>
      </c>
      <c r="C8" s="27" t="str">
        <f t="shared" si="1"/>
        <v>Calhoun</v>
      </c>
      <c r="D8" s="2">
        <v>2380</v>
      </c>
      <c r="E8" s="2">
        <v>70</v>
      </c>
      <c r="F8" s="2">
        <v>10</v>
      </c>
      <c r="G8" s="29">
        <f t="shared" si="3"/>
        <v>80</v>
      </c>
      <c r="H8" s="29">
        <v>112</v>
      </c>
      <c r="I8" s="27">
        <v>128</v>
      </c>
      <c r="J8" s="27">
        <v>80</v>
      </c>
      <c r="K8" s="97">
        <f t="shared" si="4"/>
        <v>124.1103448275862</v>
      </c>
      <c r="L8" s="97">
        <v>123</v>
      </c>
      <c r="M8" s="27">
        <v>2132</v>
      </c>
      <c r="N8" s="27">
        <v>188</v>
      </c>
      <c r="O8" s="27">
        <v>3437</v>
      </c>
      <c r="P8" s="27">
        <v>66</v>
      </c>
      <c r="Q8" s="2">
        <v>59185</v>
      </c>
      <c r="R8" s="90">
        <v>58667.4</v>
      </c>
      <c r="S8" s="2">
        <v>59185</v>
      </c>
      <c r="T8" s="27">
        <v>72</v>
      </c>
      <c r="X8" s="27">
        <v>5858.8</v>
      </c>
      <c r="Y8" s="29">
        <f>X8</f>
        <v>5858.8</v>
      </c>
      <c r="Z8" s="29">
        <v>84125</v>
      </c>
      <c r="AA8" s="41">
        <v>1925</v>
      </c>
      <c r="AB8" s="27"/>
      <c r="AC8" s="27"/>
      <c r="AD8" s="27"/>
      <c r="AE8" s="27"/>
      <c r="AF8" s="27" t="s">
        <v>399</v>
      </c>
      <c r="AG8" s="27" t="s">
        <v>400</v>
      </c>
      <c r="AH8" s="27" t="s">
        <v>401</v>
      </c>
      <c r="AI8" s="27" t="s">
        <v>402</v>
      </c>
      <c r="AJ8" s="27"/>
      <c r="AK8" s="27"/>
      <c r="AL8" s="27"/>
      <c r="AM8" s="27"/>
      <c r="AN8" s="27"/>
      <c r="AO8" s="27"/>
    </row>
    <row r="9" spans="1:41" x14ac:dyDescent="0.25">
      <c r="A9" s="27" t="s">
        <v>659</v>
      </c>
      <c r="B9" s="27" t="str">
        <f t="shared" si="0"/>
        <v>Arkansas</v>
      </c>
      <c r="C9" s="27" t="str">
        <f t="shared" si="1"/>
        <v>Carroll</v>
      </c>
      <c r="D9" s="2">
        <v>3258</v>
      </c>
      <c r="E9" s="2">
        <v>114</v>
      </c>
      <c r="F9" s="2">
        <v>16</v>
      </c>
      <c r="G9" s="29">
        <f t="shared" si="3"/>
        <v>130</v>
      </c>
      <c r="H9" s="29">
        <v>111</v>
      </c>
      <c r="I9" s="27">
        <v>120</v>
      </c>
      <c r="J9" s="27">
        <v>175</v>
      </c>
      <c r="K9" s="97">
        <f t="shared" si="4"/>
        <v>123.53321639991231</v>
      </c>
      <c r="L9" s="97">
        <v>113</v>
      </c>
      <c r="M9" s="27">
        <v>4268</v>
      </c>
      <c r="N9" s="27">
        <v>293</v>
      </c>
      <c r="O9" s="27">
        <v>4637</v>
      </c>
      <c r="P9" s="27">
        <v>77</v>
      </c>
      <c r="Q9" s="2">
        <v>69494</v>
      </c>
      <c r="R9" s="90">
        <v>69494.600000000006</v>
      </c>
      <c r="S9" s="2">
        <v>69494</v>
      </c>
      <c r="T9" s="27">
        <v>91</v>
      </c>
      <c r="U9" s="27">
        <v>994.98</v>
      </c>
      <c r="V9" s="27">
        <v>994.98</v>
      </c>
      <c r="W9" s="27">
        <v>1305.02</v>
      </c>
      <c r="X9" s="27">
        <v>1305.02</v>
      </c>
      <c r="Y9" s="29">
        <f t="shared" si="2"/>
        <v>2300</v>
      </c>
      <c r="Z9" s="29">
        <v>153555</v>
      </c>
      <c r="AA9" s="41">
        <v>1925</v>
      </c>
      <c r="AB9" s="27"/>
      <c r="AC9" s="27"/>
      <c r="AD9" s="27"/>
      <c r="AE9" s="27"/>
      <c r="AF9" s="27" t="s">
        <v>399</v>
      </c>
      <c r="AG9" s="27" t="s">
        <v>400</v>
      </c>
      <c r="AH9" s="27" t="s">
        <v>401</v>
      </c>
      <c r="AI9" s="27" t="s">
        <v>402</v>
      </c>
      <c r="AJ9" s="27"/>
      <c r="AK9" s="27"/>
      <c r="AL9" s="27"/>
      <c r="AM9" s="27"/>
      <c r="AN9" s="27"/>
      <c r="AO9" s="27"/>
    </row>
    <row r="10" spans="1:41" x14ac:dyDescent="0.25">
      <c r="A10" s="27" t="s">
        <v>660</v>
      </c>
      <c r="B10" s="27" t="str">
        <f t="shared" si="0"/>
        <v>Arkansas</v>
      </c>
      <c r="C10" s="27" t="str">
        <f t="shared" si="1"/>
        <v>Chicot</v>
      </c>
      <c r="D10" s="2">
        <v>4204</v>
      </c>
      <c r="E10" s="2"/>
      <c r="F10" s="2"/>
      <c r="G10" s="29"/>
      <c r="H10" s="29">
        <v>130</v>
      </c>
      <c r="I10" s="27"/>
      <c r="J10" s="27"/>
      <c r="K10" s="97"/>
      <c r="L10" s="97">
        <v>150</v>
      </c>
      <c r="O10" s="27">
        <v>5415</v>
      </c>
      <c r="P10" s="27">
        <v>90</v>
      </c>
      <c r="Q10" s="2">
        <v>184051</v>
      </c>
      <c r="R10" s="90">
        <v>114300.76</v>
      </c>
      <c r="S10" s="2">
        <v>184051</v>
      </c>
      <c r="T10" s="27">
        <v>50</v>
      </c>
      <c r="U10" s="27">
        <v>5476.46</v>
      </c>
      <c r="V10" s="27">
        <v>26001.14</v>
      </c>
      <c r="W10" s="27">
        <v>1255.67</v>
      </c>
      <c r="X10" s="27">
        <v>768.3</v>
      </c>
      <c r="Y10" s="29">
        <f t="shared" si="2"/>
        <v>6732.13</v>
      </c>
      <c r="Z10" s="29">
        <v>233060</v>
      </c>
      <c r="AA10" s="41">
        <v>1925</v>
      </c>
      <c r="AB10" s="27"/>
      <c r="AC10" s="27"/>
      <c r="AD10" s="27"/>
      <c r="AE10" s="27"/>
      <c r="AF10" s="27" t="s">
        <v>399</v>
      </c>
      <c r="AG10" s="27" t="s">
        <v>400</v>
      </c>
      <c r="AH10" s="27" t="s">
        <v>401</v>
      </c>
      <c r="AI10" s="27" t="s">
        <v>402</v>
      </c>
      <c r="AJ10" s="27"/>
      <c r="AK10" s="27"/>
      <c r="AL10" s="27"/>
      <c r="AM10" s="27"/>
      <c r="AN10" s="27"/>
      <c r="AO10" s="27"/>
    </row>
    <row r="11" spans="1:41" x14ac:dyDescent="0.25">
      <c r="A11" s="27" t="s">
        <v>661</v>
      </c>
      <c r="B11" s="27" t="str">
        <f t="shared" si="0"/>
        <v>Arkansas</v>
      </c>
      <c r="C11" s="27" t="str">
        <f t="shared" si="1"/>
        <v>Clark</v>
      </c>
      <c r="D11" s="2">
        <v>5348</v>
      </c>
      <c r="E11" s="2">
        <v>115</v>
      </c>
      <c r="F11" s="2">
        <v>19</v>
      </c>
      <c r="G11" s="29">
        <f>E11+F11</f>
        <v>134</v>
      </c>
      <c r="H11" s="29">
        <v>185</v>
      </c>
      <c r="I11" s="27">
        <v>138</v>
      </c>
      <c r="J11" s="27">
        <v>175</v>
      </c>
      <c r="K11" s="97">
        <f>((I11*M11)+(J11*N11))/(M11+N11)</f>
        <v>142.29329907942625</v>
      </c>
      <c r="L11" s="97">
        <v>130</v>
      </c>
      <c r="M11" s="27">
        <v>4129</v>
      </c>
      <c r="N11" s="27">
        <v>542</v>
      </c>
      <c r="O11" s="27">
        <v>7634</v>
      </c>
      <c r="P11" s="27">
        <v>76</v>
      </c>
      <c r="Q11" s="2">
        <v>148271</v>
      </c>
      <c r="R11" s="90">
        <v>128795.64</v>
      </c>
      <c r="S11" s="2">
        <v>148271</v>
      </c>
      <c r="T11" s="27">
        <v>101</v>
      </c>
      <c r="U11" s="27">
        <v>5624.02</v>
      </c>
      <c r="V11" s="27">
        <v>12720.27</v>
      </c>
      <c r="W11" s="27">
        <v>7128.35</v>
      </c>
      <c r="X11" s="27">
        <v>15116.56</v>
      </c>
      <c r="Y11" s="29">
        <f t="shared" si="2"/>
        <v>12752.37</v>
      </c>
      <c r="Z11" s="29">
        <v>251150</v>
      </c>
      <c r="AA11" s="41">
        <v>1925</v>
      </c>
      <c r="AB11" s="27"/>
      <c r="AC11" s="27"/>
      <c r="AD11" s="27"/>
      <c r="AE11" s="27"/>
      <c r="AF11" s="27" t="s">
        <v>399</v>
      </c>
      <c r="AG11" s="27" t="s">
        <v>400</v>
      </c>
      <c r="AH11" s="27" t="s">
        <v>401</v>
      </c>
      <c r="AI11" s="27" t="s">
        <v>402</v>
      </c>
      <c r="AJ11" s="27"/>
      <c r="AK11" s="27"/>
      <c r="AL11" s="27"/>
      <c r="AM11" s="27"/>
      <c r="AN11" s="27"/>
      <c r="AO11" s="27"/>
    </row>
    <row r="12" spans="1:41" x14ac:dyDescent="0.25">
      <c r="A12" s="27" t="s">
        <v>662</v>
      </c>
      <c r="B12" s="27" t="str">
        <f t="shared" si="0"/>
        <v>Arkansas</v>
      </c>
      <c r="C12" s="27" t="str">
        <f t="shared" si="1"/>
        <v>Clay</v>
      </c>
      <c r="D12" s="2">
        <v>5553</v>
      </c>
      <c r="E12" s="2">
        <v>162</v>
      </c>
      <c r="F12" s="2">
        <v>17</v>
      </c>
      <c r="G12" s="29">
        <f>E12+F12</f>
        <v>179</v>
      </c>
      <c r="H12" s="29">
        <v>177</v>
      </c>
      <c r="I12" s="27">
        <v>138</v>
      </c>
      <c r="J12" s="27">
        <v>178</v>
      </c>
      <c r="K12" s="97">
        <f>((I12*M12)+(J12*N12))/(M12+N12)</f>
        <v>139.79856115107913</v>
      </c>
      <c r="L12" s="97">
        <v>140</v>
      </c>
      <c r="M12" s="27">
        <v>8496</v>
      </c>
      <c r="N12" s="27">
        <v>400</v>
      </c>
      <c r="O12" s="27">
        <v>8895</v>
      </c>
      <c r="P12" s="27">
        <v>88</v>
      </c>
      <c r="Q12" s="2">
        <v>157741</v>
      </c>
      <c r="R12" s="90">
        <v>139575.01999999999</v>
      </c>
      <c r="S12" s="2">
        <v>157741</v>
      </c>
      <c r="T12" s="27">
        <v>100</v>
      </c>
      <c r="U12" s="27">
        <v>13982.87</v>
      </c>
      <c r="V12" s="27">
        <v>16971.66</v>
      </c>
      <c r="W12" s="27">
        <v>20105.95</v>
      </c>
      <c r="X12" s="27">
        <v>14096.67</v>
      </c>
      <c r="Y12" s="29">
        <f t="shared" si="2"/>
        <v>34088.82</v>
      </c>
      <c r="Z12" s="29">
        <v>255210</v>
      </c>
      <c r="AA12" s="41">
        <v>1925</v>
      </c>
      <c r="AB12" s="27"/>
      <c r="AC12" s="27"/>
      <c r="AD12" s="27"/>
      <c r="AE12" s="27"/>
      <c r="AF12" s="27" t="s">
        <v>399</v>
      </c>
      <c r="AG12" s="27" t="s">
        <v>400</v>
      </c>
      <c r="AH12" s="27" t="s">
        <v>401</v>
      </c>
      <c r="AI12" s="27" t="s">
        <v>402</v>
      </c>
      <c r="AJ12" s="27"/>
      <c r="AK12" s="27"/>
      <c r="AL12" s="27"/>
      <c r="AM12" s="27"/>
      <c r="AN12" s="27"/>
      <c r="AO12" s="27"/>
    </row>
    <row r="13" spans="1:41" x14ac:dyDescent="0.25">
      <c r="A13" s="27" t="s">
        <v>663</v>
      </c>
      <c r="B13" s="27" t="str">
        <f t="shared" si="0"/>
        <v>Arkansas</v>
      </c>
      <c r="C13" s="27" t="str">
        <f t="shared" si="1"/>
        <v>Cleburne</v>
      </c>
      <c r="D13" s="2">
        <v>2944</v>
      </c>
      <c r="E13" s="2"/>
      <c r="F13" s="2"/>
      <c r="G13" s="29"/>
      <c r="H13" s="29">
        <v>117</v>
      </c>
      <c r="I13" s="27"/>
      <c r="J13" s="27"/>
      <c r="K13" s="97"/>
      <c r="L13" s="97">
        <v>107</v>
      </c>
      <c r="O13" s="27">
        <v>3693</v>
      </c>
      <c r="P13" s="27">
        <v>68</v>
      </c>
      <c r="Q13" s="2">
        <v>49128</v>
      </c>
      <c r="R13" s="90">
        <v>40606.35</v>
      </c>
      <c r="S13" s="2">
        <v>49128</v>
      </c>
      <c r="T13" s="27">
        <v>73</v>
      </c>
      <c r="U13" s="27">
        <v>3121.5</v>
      </c>
      <c r="V13" s="27">
        <v>361.96</v>
      </c>
      <c r="W13" s="27">
        <v>3104.04</v>
      </c>
      <c r="X13" s="27">
        <v>2380</v>
      </c>
      <c r="Y13" s="29">
        <f t="shared" si="2"/>
        <v>6225.54</v>
      </c>
      <c r="Z13" s="29">
        <v>84100</v>
      </c>
      <c r="AA13" s="41">
        <v>1925</v>
      </c>
      <c r="AB13" s="27"/>
      <c r="AC13" s="27"/>
      <c r="AD13" s="27"/>
      <c r="AE13" s="27"/>
      <c r="AF13" s="27" t="s">
        <v>399</v>
      </c>
      <c r="AG13" s="27" t="s">
        <v>400</v>
      </c>
      <c r="AH13" s="27" t="s">
        <v>401</v>
      </c>
      <c r="AI13" s="27" t="s">
        <v>402</v>
      </c>
      <c r="AJ13" s="27"/>
      <c r="AK13" s="27"/>
      <c r="AL13" s="27"/>
      <c r="AM13" s="27"/>
      <c r="AN13" s="27"/>
      <c r="AO13" s="27"/>
    </row>
    <row r="14" spans="1:41" x14ac:dyDescent="0.25">
      <c r="A14" s="27" t="s">
        <v>1777</v>
      </c>
      <c r="B14" s="27" t="str">
        <f t="shared" si="0"/>
        <v>Arkansas</v>
      </c>
      <c r="C14" s="27" t="str">
        <f t="shared" si="1"/>
        <v>Cleveland/Dorsey</v>
      </c>
      <c r="D14" s="2">
        <v>2629</v>
      </c>
      <c r="E14" s="2">
        <v>69</v>
      </c>
      <c r="F14" s="2">
        <v>7</v>
      </c>
      <c r="G14" s="29">
        <f>E14+F14</f>
        <v>76</v>
      </c>
      <c r="H14" s="29">
        <v>106</v>
      </c>
      <c r="I14" s="27">
        <v>122</v>
      </c>
      <c r="J14" s="27">
        <v>154</v>
      </c>
      <c r="K14" s="97">
        <f>((I14*M14)+(J14*N14))/(M14+N14)</f>
        <v>124.91879866518353</v>
      </c>
      <c r="L14" s="97">
        <v>112</v>
      </c>
      <c r="M14" s="27">
        <v>2451</v>
      </c>
      <c r="N14" s="27">
        <v>246</v>
      </c>
      <c r="O14" s="27">
        <v>3784</v>
      </c>
      <c r="P14" s="27">
        <v>68</v>
      </c>
      <c r="Q14" s="2">
        <v>59158</v>
      </c>
      <c r="R14" s="90">
        <v>55881.62</v>
      </c>
      <c r="S14" s="2">
        <v>59158</v>
      </c>
      <c r="T14" s="27">
        <v>72</v>
      </c>
      <c r="U14" s="27">
        <v>1326.47</v>
      </c>
      <c r="V14" s="27">
        <v>5088.92</v>
      </c>
      <c r="X14" s="27">
        <v>3835.03</v>
      </c>
      <c r="Y14" s="29">
        <f>U14+X14</f>
        <v>5161.5</v>
      </c>
      <c r="Z14" s="29">
        <v>90700</v>
      </c>
      <c r="AA14" s="41">
        <v>1925</v>
      </c>
      <c r="AB14" s="27"/>
      <c r="AC14" s="27"/>
      <c r="AD14" s="27"/>
      <c r="AE14" s="27"/>
      <c r="AF14" s="27" t="s">
        <v>399</v>
      </c>
      <c r="AG14" s="27" t="s">
        <v>400</v>
      </c>
      <c r="AH14" s="27" t="s">
        <v>401</v>
      </c>
      <c r="AI14" s="27" t="s">
        <v>402</v>
      </c>
      <c r="AJ14" s="27"/>
      <c r="AK14" s="27"/>
      <c r="AL14" s="27"/>
      <c r="AM14" s="27"/>
      <c r="AN14" s="27"/>
      <c r="AO14" s="27"/>
    </row>
    <row r="15" spans="1:41" x14ac:dyDescent="0.25">
      <c r="A15" s="27" t="s">
        <v>664</v>
      </c>
      <c r="B15" s="27" t="str">
        <f t="shared" si="0"/>
        <v>Arkansas</v>
      </c>
      <c r="C15" s="27" t="str">
        <f t="shared" si="1"/>
        <v>Columbia</v>
      </c>
      <c r="D15" s="2">
        <v>5717</v>
      </c>
      <c r="E15" s="2"/>
      <c r="F15" s="2"/>
      <c r="G15" s="29"/>
      <c r="H15" s="29">
        <v>154</v>
      </c>
      <c r="I15" s="27"/>
      <c r="J15" s="27"/>
      <c r="K15" s="97"/>
      <c r="L15" s="97">
        <v>119</v>
      </c>
      <c r="O15" s="27">
        <v>7962</v>
      </c>
      <c r="P15" s="27">
        <v>77</v>
      </c>
      <c r="Q15" s="2">
        <v>121819</v>
      </c>
      <c r="R15" s="90">
        <v>156894.57999999999</v>
      </c>
      <c r="S15" s="2">
        <v>121819</v>
      </c>
      <c r="T15" s="27">
        <v>119</v>
      </c>
      <c r="V15" s="27">
        <v>2652.08</v>
      </c>
      <c r="X15" s="27">
        <v>5201.49</v>
      </c>
      <c r="Y15" s="29">
        <f>V15+X15</f>
        <v>7853.57</v>
      </c>
      <c r="Z15" s="29">
        <v>129690</v>
      </c>
      <c r="AA15" s="41">
        <v>1925</v>
      </c>
      <c r="AB15" s="27"/>
      <c r="AC15" s="27"/>
      <c r="AD15" s="27"/>
      <c r="AE15" s="27"/>
      <c r="AF15" s="27" t="s">
        <v>399</v>
      </c>
      <c r="AG15" s="27" t="s">
        <v>400</v>
      </c>
      <c r="AH15" s="27" t="s">
        <v>401</v>
      </c>
      <c r="AI15" s="27" t="s">
        <v>402</v>
      </c>
      <c r="AJ15" s="27"/>
      <c r="AK15" s="27"/>
      <c r="AL15" s="27"/>
      <c r="AM15" s="27"/>
      <c r="AN15" s="27"/>
      <c r="AO15" s="27"/>
    </row>
    <row r="16" spans="1:41" x14ac:dyDescent="0.25">
      <c r="A16" s="27" t="s">
        <v>665</v>
      </c>
      <c r="B16" s="27" t="str">
        <f t="shared" si="0"/>
        <v>Arkansas</v>
      </c>
      <c r="C16" s="27" t="str">
        <f t="shared" si="1"/>
        <v>Conway</v>
      </c>
      <c r="D16" s="2">
        <v>5025</v>
      </c>
      <c r="E16" s="2"/>
      <c r="F16" s="2"/>
      <c r="G16" s="29"/>
      <c r="H16" s="29">
        <v>181</v>
      </c>
      <c r="I16" s="27"/>
      <c r="J16" s="27"/>
      <c r="K16" s="97"/>
      <c r="L16" s="97">
        <v>123</v>
      </c>
      <c r="O16" s="27">
        <v>7484</v>
      </c>
      <c r="P16" s="27">
        <v>82</v>
      </c>
      <c r="Q16" s="2">
        <v>112607</v>
      </c>
      <c r="R16" s="90">
        <v>94047.17</v>
      </c>
      <c r="S16" s="2">
        <v>112607</v>
      </c>
      <c r="T16" s="27">
        <v>96</v>
      </c>
      <c r="U16" s="27">
        <v>2881.32</v>
      </c>
      <c r="V16" s="27">
        <v>1216</v>
      </c>
      <c r="W16" s="27">
        <v>157.65</v>
      </c>
      <c r="X16" s="27">
        <v>100.05</v>
      </c>
      <c r="Y16" s="29">
        <f t="shared" si="2"/>
        <v>3038.9700000000003</v>
      </c>
      <c r="Z16" s="29">
        <v>256300</v>
      </c>
      <c r="AA16" s="41">
        <v>1925</v>
      </c>
      <c r="AB16" s="27"/>
      <c r="AC16" s="27"/>
      <c r="AD16" s="27"/>
      <c r="AE16" s="27"/>
      <c r="AF16" s="27" t="s">
        <v>399</v>
      </c>
      <c r="AG16" s="27" t="s">
        <v>400</v>
      </c>
      <c r="AH16" s="27" t="s">
        <v>401</v>
      </c>
      <c r="AI16" s="27" t="s">
        <v>402</v>
      </c>
      <c r="AJ16" s="27"/>
      <c r="AK16" s="27"/>
      <c r="AL16" s="27"/>
      <c r="AM16" s="27"/>
      <c r="AN16" s="27"/>
      <c r="AO16" s="27"/>
    </row>
    <row r="17" spans="1:41" x14ac:dyDescent="0.25">
      <c r="A17" s="27" t="s">
        <v>666</v>
      </c>
      <c r="B17" s="27" t="str">
        <f t="shared" si="0"/>
        <v>Arkansas</v>
      </c>
      <c r="C17" s="27" t="str">
        <f t="shared" si="1"/>
        <v>Craighead</v>
      </c>
      <c r="D17" s="2">
        <v>12172</v>
      </c>
      <c r="E17" s="2">
        <v>202</v>
      </c>
      <c r="F17" s="2">
        <v>6</v>
      </c>
      <c r="G17" s="29">
        <f>E17+F17</f>
        <v>208</v>
      </c>
      <c r="H17" s="29">
        <v>225</v>
      </c>
      <c r="I17" s="27">
        <v>142</v>
      </c>
      <c r="J17" s="27">
        <v>160</v>
      </c>
      <c r="K17" s="97">
        <f>((I17*M17)+(J17*N17))/(M17+N17)</f>
        <v>142.39042126379138</v>
      </c>
      <c r="L17" s="97">
        <v>145</v>
      </c>
      <c r="M17" s="27">
        <v>7803</v>
      </c>
      <c r="N17" s="27">
        <v>173</v>
      </c>
      <c r="O17" s="27">
        <v>12172</v>
      </c>
      <c r="P17" s="27">
        <v>59</v>
      </c>
      <c r="Q17" s="2">
        <v>320104</v>
      </c>
      <c r="R17" s="90">
        <v>229892.62</v>
      </c>
      <c r="S17" s="2">
        <v>320104</v>
      </c>
      <c r="T17" s="27">
        <v>108</v>
      </c>
      <c r="U17" s="27">
        <v>17941.8</v>
      </c>
      <c r="V17" s="27">
        <v>64037.84</v>
      </c>
      <c r="W17" s="27">
        <v>2550.62</v>
      </c>
      <c r="X17" s="27">
        <v>5364.27</v>
      </c>
      <c r="Y17" s="29">
        <f t="shared" si="2"/>
        <v>20492.419999999998</v>
      </c>
      <c r="Z17" s="29">
        <v>53903</v>
      </c>
      <c r="AA17" s="41">
        <v>1925</v>
      </c>
      <c r="AB17" s="27"/>
      <c r="AC17" s="27"/>
      <c r="AD17" s="27"/>
      <c r="AE17" s="27"/>
      <c r="AF17" s="27" t="s">
        <v>399</v>
      </c>
      <c r="AG17" s="27" t="s">
        <v>400</v>
      </c>
      <c r="AH17" s="27" t="s">
        <v>401</v>
      </c>
      <c r="AI17" s="27" t="s">
        <v>402</v>
      </c>
      <c r="AJ17" s="27"/>
      <c r="AK17" s="27"/>
      <c r="AL17" s="27"/>
      <c r="AM17" s="27"/>
      <c r="AN17" s="27"/>
      <c r="AO17" s="27"/>
    </row>
    <row r="18" spans="1:41" x14ac:dyDescent="0.25">
      <c r="A18" s="27" t="s">
        <v>667</v>
      </c>
      <c r="B18" s="27" t="str">
        <f t="shared" si="0"/>
        <v>Arkansas</v>
      </c>
      <c r="C18" s="27" t="str">
        <f t="shared" si="1"/>
        <v>Crawford</v>
      </c>
      <c r="D18" s="2">
        <v>5278</v>
      </c>
      <c r="E18" s="2">
        <v>179</v>
      </c>
      <c r="F18" s="2">
        <v>15</v>
      </c>
      <c r="G18" s="29">
        <f>E18+F18</f>
        <v>194</v>
      </c>
      <c r="H18" s="29">
        <v>183</v>
      </c>
      <c r="I18" s="27">
        <v>130</v>
      </c>
      <c r="J18" s="27">
        <v>170</v>
      </c>
      <c r="K18" s="97">
        <f>((I18*M18)+(J18*N18))/(M18+N18)</f>
        <v>133.33615102845872</v>
      </c>
      <c r="L18" s="97">
        <v>114</v>
      </c>
      <c r="M18" s="27">
        <v>6506</v>
      </c>
      <c r="N18" s="27">
        <v>592</v>
      </c>
      <c r="O18" s="27">
        <v>7516</v>
      </c>
      <c r="P18" s="27">
        <v>75</v>
      </c>
      <c r="Q18" s="2">
        <v>141234</v>
      </c>
      <c r="R18" s="90">
        <v>142160.59</v>
      </c>
      <c r="S18" s="2">
        <v>141234</v>
      </c>
      <c r="T18" s="27">
        <v>101</v>
      </c>
      <c r="U18" s="27">
        <v>7221.85</v>
      </c>
      <c r="V18" s="27">
        <v>6430.43</v>
      </c>
      <c r="W18" s="27">
        <v>5160.59</v>
      </c>
      <c r="X18" s="27">
        <v>5000</v>
      </c>
      <c r="Y18" s="29">
        <f t="shared" si="2"/>
        <v>12382.44</v>
      </c>
      <c r="Z18" s="29">
        <v>294901</v>
      </c>
      <c r="AA18" s="41">
        <v>1925</v>
      </c>
      <c r="AB18" s="27"/>
      <c r="AC18" s="27"/>
      <c r="AD18" s="27"/>
      <c r="AE18" s="27"/>
      <c r="AF18" s="27" t="s">
        <v>399</v>
      </c>
      <c r="AG18" s="27" t="s">
        <v>400</v>
      </c>
      <c r="AH18" s="27" t="s">
        <v>401</v>
      </c>
      <c r="AI18" s="27" t="s">
        <v>402</v>
      </c>
      <c r="AJ18" s="27"/>
      <c r="AK18" s="27"/>
      <c r="AL18" s="27"/>
      <c r="AM18" s="27"/>
      <c r="AN18" s="27"/>
      <c r="AO18" s="27"/>
    </row>
    <row r="19" spans="1:41" x14ac:dyDescent="0.25">
      <c r="A19" s="27" t="s">
        <v>668</v>
      </c>
      <c r="B19" s="27" t="str">
        <f t="shared" si="0"/>
        <v>Arkansas</v>
      </c>
      <c r="C19" s="27" t="str">
        <f t="shared" si="1"/>
        <v>Crittenden</v>
      </c>
      <c r="D19" s="27">
        <v>6348</v>
      </c>
      <c r="G19" s="29"/>
      <c r="H19" s="29">
        <v>163</v>
      </c>
      <c r="I19" s="27"/>
      <c r="J19" s="27"/>
      <c r="K19" s="97"/>
      <c r="L19" s="97">
        <v>132</v>
      </c>
      <c r="O19" s="27">
        <v>8340</v>
      </c>
      <c r="P19" s="27">
        <v>71</v>
      </c>
      <c r="Q19" s="2">
        <v>201637</v>
      </c>
      <c r="R19" s="90">
        <v>226066.79</v>
      </c>
      <c r="S19" s="2">
        <v>201637</v>
      </c>
      <c r="T19" s="27">
        <v>66</v>
      </c>
      <c r="U19" s="27">
        <v>2000</v>
      </c>
      <c r="V19" s="27">
        <v>30681.88</v>
      </c>
      <c r="W19" s="27">
        <v>36871.800000000003</v>
      </c>
      <c r="X19" s="27">
        <v>6994.83</v>
      </c>
      <c r="Y19" s="29">
        <f t="shared" si="2"/>
        <v>38871.800000000003</v>
      </c>
      <c r="Z19" s="29">
        <v>323475</v>
      </c>
      <c r="AA19" s="41">
        <v>1925</v>
      </c>
      <c r="AB19" s="27"/>
      <c r="AC19" s="27"/>
      <c r="AD19" s="27"/>
      <c r="AE19" s="27"/>
      <c r="AF19" s="27" t="s">
        <v>399</v>
      </c>
      <c r="AG19" s="27" t="s">
        <v>400</v>
      </c>
      <c r="AH19" s="27" t="s">
        <v>401</v>
      </c>
      <c r="AI19" s="27" t="s">
        <v>402</v>
      </c>
      <c r="AJ19" s="27"/>
      <c r="AK19" s="27"/>
      <c r="AL19" s="27"/>
      <c r="AM19" s="27"/>
      <c r="AN19" s="27"/>
      <c r="AO19" s="27"/>
    </row>
    <row r="20" spans="1:41" x14ac:dyDescent="0.25">
      <c r="A20" s="27" t="s">
        <v>669</v>
      </c>
      <c r="B20" s="27" t="str">
        <f t="shared" si="0"/>
        <v>Arkansas</v>
      </c>
      <c r="C20" s="27" t="str">
        <f t="shared" si="1"/>
        <v>Cross</v>
      </c>
      <c r="D20" s="2">
        <v>3339</v>
      </c>
      <c r="E20" s="2">
        <v>70</v>
      </c>
      <c r="F20" s="2">
        <v>20</v>
      </c>
      <c r="G20" s="29">
        <f>E20+F20</f>
        <v>90</v>
      </c>
      <c r="H20" s="29">
        <v>120</v>
      </c>
      <c r="I20" s="27">
        <v>160</v>
      </c>
      <c r="J20" s="27">
        <v>165</v>
      </c>
      <c r="K20" s="97">
        <f>((I20*M20)+(J20*N20))/(M20+N20)</f>
        <v>161.12699368040927</v>
      </c>
      <c r="L20" s="97">
        <v>157</v>
      </c>
      <c r="M20" s="27">
        <v>2574</v>
      </c>
      <c r="N20" s="27">
        <v>749</v>
      </c>
      <c r="O20" s="27">
        <v>5545</v>
      </c>
      <c r="P20" s="27">
        <v>89</v>
      </c>
      <c r="Q20" s="2">
        <v>110546</v>
      </c>
      <c r="R20" s="90">
        <v>110036.06</v>
      </c>
      <c r="S20" s="2">
        <v>110546</v>
      </c>
      <c r="T20" s="27">
        <v>60</v>
      </c>
      <c r="V20" s="27">
        <v>2470.4899999999998</v>
      </c>
      <c r="W20" s="27">
        <v>23966.639999999999</v>
      </c>
      <c r="Y20" s="29">
        <f>V20+W20</f>
        <v>26437.129999999997</v>
      </c>
      <c r="Z20" s="29">
        <v>293300</v>
      </c>
      <c r="AA20" s="41">
        <v>1925</v>
      </c>
      <c r="AB20" s="27"/>
      <c r="AC20" s="27"/>
      <c r="AD20" s="27"/>
      <c r="AE20" s="27"/>
      <c r="AF20" s="27" t="s">
        <v>399</v>
      </c>
      <c r="AG20" s="27" t="s">
        <v>400</v>
      </c>
      <c r="AH20" s="27" t="s">
        <v>401</v>
      </c>
      <c r="AI20" s="27" t="s">
        <v>402</v>
      </c>
      <c r="AJ20" s="27"/>
      <c r="AK20" s="27"/>
      <c r="AL20" s="27"/>
      <c r="AM20" s="27"/>
      <c r="AN20" s="27"/>
      <c r="AO20" s="27"/>
    </row>
    <row r="21" spans="1:41" x14ac:dyDescent="0.25">
      <c r="A21" s="27" t="s">
        <v>670</v>
      </c>
      <c r="B21" s="27" t="str">
        <f t="shared" si="0"/>
        <v>Arkansas</v>
      </c>
      <c r="C21" s="27" t="str">
        <f t="shared" si="1"/>
        <v>Dallas</v>
      </c>
      <c r="D21" s="2">
        <v>3022</v>
      </c>
      <c r="E21" s="2"/>
      <c r="F21" s="2"/>
      <c r="G21" s="29"/>
      <c r="H21" s="29">
        <v>127</v>
      </c>
      <c r="I21" s="27"/>
      <c r="J21" s="27"/>
      <c r="K21" s="97"/>
      <c r="L21" s="97">
        <v>116</v>
      </c>
      <c r="O21" s="27">
        <v>4384</v>
      </c>
      <c r="P21" s="27">
        <v>89</v>
      </c>
      <c r="Q21" s="2">
        <v>85163</v>
      </c>
      <c r="R21" s="90">
        <v>84058.36</v>
      </c>
      <c r="S21" s="2">
        <v>85163</v>
      </c>
      <c r="T21" s="27">
        <v>75</v>
      </c>
      <c r="U21" s="27">
        <v>93.31</v>
      </c>
      <c r="V21" s="27">
        <v>278.66000000000003</v>
      </c>
      <c r="W21" s="27">
        <v>2</v>
      </c>
      <c r="X21" s="27">
        <v>5332.28</v>
      </c>
      <c r="Y21" s="29">
        <f>U21+X21</f>
        <v>5425.59</v>
      </c>
      <c r="Z21" s="29">
        <v>112685</v>
      </c>
      <c r="AA21" s="41">
        <v>1925</v>
      </c>
      <c r="AB21" s="27"/>
      <c r="AC21" s="27"/>
      <c r="AD21" s="27"/>
      <c r="AE21" s="27"/>
      <c r="AF21" s="27" t="s">
        <v>399</v>
      </c>
      <c r="AG21" s="27" t="s">
        <v>400</v>
      </c>
      <c r="AH21" s="27" t="s">
        <v>401</v>
      </c>
      <c r="AI21" s="27" t="s">
        <v>402</v>
      </c>
      <c r="AJ21" s="27"/>
      <c r="AK21" s="27"/>
      <c r="AL21" s="27"/>
      <c r="AM21" s="27"/>
      <c r="AN21" s="27"/>
      <c r="AO21" s="27"/>
    </row>
    <row r="22" spans="1:41" x14ac:dyDescent="0.25">
      <c r="A22" s="27" t="s">
        <v>671</v>
      </c>
      <c r="B22" s="27" t="str">
        <f t="shared" si="0"/>
        <v>Arkansas</v>
      </c>
      <c r="C22" s="27" t="str">
        <f t="shared" si="1"/>
        <v>Desha</v>
      </c>
      <c r="D22" s="2">
        <v>3381</v>
      </c>
      <c r="E22" s="2">
        <v>46</v>
      </c>
      <c r="F22" s="2">
        <v>12</v>
      </c>
      <c r="G22" s="29">
        <f>E22+F22</f>
        <v>58</v>
      </c>
      <c r="H22" s="29">
        <v>106</v>
      </c>
      <c r="I22" s="27">
        <v>8</v>
      </c>
      <c r="J22" s="27">
        <v>9</v>
      </c>
      <c r="K22" s="97">
        <f>((I22*M22)+(J22*N22))/(M22+N22)</f>
        <v>8.1359294636296848</v>
      </c>
      <c r="L22" s="97">
        <v>144</v>
      </c>
      <c r="M22" s="27">
        <v>1176</v>
      </c>
      <c r="N22" s="27">
        <v>185</v>
      </c>
      <c r="O22" s="27">
        <v>4721</v>
      </c>
      <c r="P22" s="27">
        <v>86</v>
      </c>
      <c r="Q22" s="2">
        <v>107560</v>
      </c>
      <c r="R22" s="90">
        <v>95276.62</v>
      </c>
      <c r="S22" s="2">
        <v>107560</v>
      </c>
      <c r="T22" s="27">
        <v>58</v>
      </c>
      <c r="U22" s="27">
        <v>2147.35</v>
      </c>
      <c r="V22" s="27">
        <v>1300</v>
      </c>
      <c r="W22" s="27">
        <v>5826.3</v>
      </c>
      <c r="X22" s="27">
        <v>10986.07</v>
      </c>
      <c r="Y22" s="29">
        <f t="shared" si="2"/>
        <v>7973.65</v>
      </c>
      <c r="Z22" s="29">
        <v>172925</v>
      </c>
      <c r="AA22" s="41">
        <v>1925</v>
      </c>
      <c r="AB22" s="27"/>
      <c r="AC22" s="27"/>
      <c r="AD22" s="27"/>
      <c r="AE22" s="27"/>
      <c r="AF22" s="27" t="s">
        <v>399</v>
      </c>
      <c r="AG22" s="27" t="s">
        <v>400</v>
      </c>
      <c r="AH22" s="27" t="s">
        <v>401</v>
      </c>
      <c r="AI22" s="27" t="s">
        <v>402</v>
      </c>
      <c r="AJ22" s="27"/>
      <c r="AK22" s="27"/>
      <c r="AL22" s="27"/>
      <c r="AM22" s="27"/>
      <c r="AN22" s="27"/>
      <c r="AO22" s="27"/>
    </row>
    <row r="23" spans="1:41" x14ac:dyDescent="0.25">
      <c r="A23" s="27" t="s">
        <v>672</v>
      </c>
      <c r="B23" s="27" t="str">
        <f t="shared" si="0"/>
        <v>Arkansas</v>
      </c>
      <c r="C23" s="27" t="str">
        <f t="shared" si="1"/>
        <v>Drew</v>
      </c>
      <c r="D23" s="2">
        <v>3913</v>
      </c>
      <c r="E23" s="2"/>
      <c r="F23" s="2"/>
      <c r="G23" s="29"/>
      <c r="H23" s="29">
        <v>194</v>
      </c>
      <c r="I23" s="27"/>
      <c r="J23" s="27"/>
      <c r="K23" s="97"/>
      <c r="L23" s="97">
        <v>137</v>
      </c>
      <c r="O23" s="27">
        <v>5525</v>
      </c>
      <c r="P23" s="27">
        <v>78</v>
      </c>
      <c r="Q23" s="2">
        <v>110462</v>
      </c>
      <c r="R23" s="90">
        <v>98342.86</v>
      </c>
      <c r="S23" s="2">
        <v>110462</v>
      </c>
      <c r="T23" s="27">
        <v>99</v>
      </c>
      <c r="U23" s="27">
        <v>5191.75</v>
      </c>
      <c r="W23" s="27">
        <v>10926.97</v>
      </c>
      <c r="X23" s="27">
        <v>7641.88</v>
      </c>
      <c r="Y23" s="29">
        <f t="shared" si="2"/>
        <v>16118.72</v>
      </c>
      <c r="Z23" s="29">
        <v>253830</v>
      </c>
      <c r="AA23" s="41">
        <v>1925</v>
      </c>
      <c r="AB23" s="27"/>
      <c r="AC23" s="27"/>
      <c r="AD23" s="27"/>
      <c r="AE23" s="27"/>
      <c r="AF23" s="27" t="s">
        <v>399</v>
      </c>
      <c r="AG23" s="27" t="s">
        <v>400</v>
      </c>
      <c r="AH23" s="27" t="s">
        <v>401</v>
      </c>
      <c r="AI23" s="27" t="s">
        <v>402</v>
      </c>
      <c r="AJ23" s="27"/>
      <c r="AK23" s="27"/>
      <c r="AL23" s="27"/>
      <c r="AM23" s="27"/>
      <c r="AN23" s="27"/>
      <c r="AO23" s="27"/>
    </row>
    <row r="24" spans="1:41" x14ac:dyDescent="0.25">
      <c r="A24" s="27" t="s">
        <v>1746</v>
      </c>
      <c r="B24" s="27" t="str">
        <f t="shared" si="0"/>
        <v>Arkansas</v>
      </c>
      <c r="C24" s="27" t="str">
        <f t="shared" si="1"/>
        <v>Faulkner</v>
      </c>
      <c r="D24" s="2">
        <v>6482</v>
      </c>
      <c r="E24" s="2">
        <v>141</v>
      </c>
      <c r="F24" s="2">
        <v>19</v>
      </c>
      <c r="G24" s="29">
        <f>E24+F24</f>
        <v>160</v>
      </c>
      <c r="H24" s="29">
        <v>211</v>
      </c>
      <c r="I24" s="27">
        <v>120</v>
      </c>
      <c r="J24" s="27">
        <v>163</v>
      </c>
      <c r="K24" s="97">
        <f>((I24*M24)+(J24*N24))/(M24+N24)</f>
        <v>122.12373571522396</v>
      </c>
      <c r="L24" s="97">
        <v>108</v>
      </c>
      <c r="M24" s="27">
        <v>7237</v>
      </c>
      <c r="N24" s="27">
        <v>376</v>
      </c>
      <c r="O24" s="27">
        <v>8754</v>
      </c>
      <c r="P24" s="27">
        <v>91</v>
      </c>
      <c r="Q24" s="2">
        <v>111127</v>
      </c>
      <c r="R24" s="90">
        <v>89727.23</v>
      </c>
      <c r="S24" s="2">
        <v>111127</v>
      </c>
      <c r="T24" s="27">
        <v>111</v>
      </c>
      <c r="U24" s="27">
        <v>3721.44</v>
      </c>
      <c r="V24" s="27">
        <v>2230.37</v>
      </c>
      <c r="W24" s="27">
        <v>10000</v>
      </c>
      <c r="X24" s="27">
        <v>9371.93</v>
      </c>
      <c r="Y24" s="29">
        <f t="shared" si="2"/>
        <v>13721.44</v>
      </c>
      <c r="Z24" s="29">
        <v>217515</v>
      </c>
      <c r="AA24" s="41">
        <v>1925</v>
      </c>
      <c r="AB24" s="27"/>
      <c r="AC24" s="27"/>
      <c r="AD24" s="27"/>
      <c r="AE24" s="27"/>
      <c r="AF24" s="27" t="s">
        <v>399</v>
      </c>
      <c r="AG24" s="27" t="s">
        <v>400</v>
      </c>
      <c r="AH24" s="27" t="s">
        <v>401</v>
      </c>
      <c r="AI24" s="27" t="s">
        <v>402</v>
      </c>
      <c r="AJ24" s="27"/>
      <c r="AK24" s="27"/>
      <c r="AL24" s="27"/>
      <c r="AM24" s="27"/>
      <c r="AN24" s="27"/>
      <c r="AO24" s="27"/>
    </row>
    <row r="25" spans="1:41" x14ac:dyDescent="0.25">
      <c r="A25" s="27" t="s">
        <v>673</v>
      </c>
      <c r="B25" s="27" t="str">
        <f t="shared" si="0"/>
        <v>Arkansas</v>
      </c>
      <c r="C25" s="27" t="str">
        <f t="shared" si="1"/>
        <v>Franklin</v>
      </c>
      <c r="D25" s="2">
        <v>3832</v>
      </c>
      <c r="E25" s="2">
        <v>143</v>
      </c>
      <c r="F25" s="2">
        <v>14</v>
      </c>
      <c r="G25" s="29">
        <f>E25+F25</f>
        <v>157</v>
      </c>
      <c r="H25" s="29">
        <v>170</v>
      </c>
      <c r="I25" s="27">
        <v>136</v>
      </c>
      <c r="J25" s="27">
        <v>166</v>
      </c>
      <c r="K25" s="97">
        <f>((I25*M25)+(J25*N25))/(M25+N25)</f>
        <v>138.15211267605633</v>
      </c>
      <c r="L25" s="97">
        <v>127</v>
      </c>
      <c r="M25" s="27">
        <v>4943</v>
      </c>
      <c r="N25" s="27">
        <v>382</v>
      </c>
      <c r="O25" s="27">
        <v>5692</v>
      </c>
      <c r="P25" s="27">
        <v>70</v>
      </c>
      <c r="Q25" s="2">
        <v>108083</v>
      </c>
      <c r="R25" s="90">
        <v>102428.79</v>
      </c>
      <c r="S25" s="2">
        <v>108083</v>
      </c>
      <c r="T25" s="27">
        <v>87</v>
      </c>
      <c r="U25" s="27">
        <v>101547.29</v>
      </c>
      <c r="Y25" s="29">
        <f t="shared" si="2"/>
        <v>101547.29</v>
      </c>
      <c r="Z25" s="29">
        <v>190295</v>
      </c>
      <c r="AA25" s="41">
        <v>1925</v>
      </c>
      <c r="AB25" s="27"/>
      <c r="AC25" s="27"/>
      <c r="AD25" s="27"/>
      <c r="AE25" s="27"/>
      <c r="AF25" s="27" t="s">
        <v>399</v>
      </c>
      <c r="AG25" s="27" t="s">
        <v>400</v>
      </c>
      <c r="AH25" s="27" t="s">
        <v>401</v>
      </c>
      <c r="AI25" s="27" t="s">
        <v>402</v>
      </c>
      <c r="AJ25" s="27"/>
      <c r="AK25" s="27"/>
      <c r="AL25" s="27"/>
      <c r="AM25" s="27"/>
      <c r="AN25" s="27"/>
      <c r="AO25" s="27"/>
    </row>
    <row r="26" spans="1:41" x14ac:dyDescent="0.25">
      <c r="A26" s="27" t="s">
        <v>674</v>
      </c>
      <c r="B26" s="27" t="str">
        <f t="shared" si="0"/>
        <v>Arkansas</v>
      </c>
      <c r="C26" s="27" t="str">
        <f t="shared" si="1"/>
        <v>Fulton</v>
      </c>
      <c r="D26" s="2">
        <v>2706</v>
      </c>
      <c r="E26" s="2"/>
      <c r="F26" s="2"/>
      <c r="G26" s="29"/>
      <c r="H26" s="29">
        <v>103</v>
      </c>
      <c r="I26" s="27"/>
      <c r="J26" s="27"/>
      <c r="K26" s="97"/>
      <c r="L26" s="97">
        <v>106</v>
      </c>
      <c r="O26" s="27">
        <v>3455</v>
      </c>
      <c r="P26" s="27">
        <v>82</v>
      </c>
      <c r="Q26" s="2">
        <v>57713</v>
      </c>
      <c r="R26" s="90">
        <v>44112.82</v>
      </c>
      <c r="S26" s="2">
        <v>57713</v>
      </c>
      <c r="T26" s="27">
        <v>86</v>
      </c>
      <c r="U26" s="27">
        <v>1268.81</v>
      </c>
      <c r="V26" s="27">
        <v>698.21</v>
      </c>
      <c r="W26" s="27">
        <v>1761</v>
      </c>
      <c r="X26" s="27">
        <v>6801.28</v>
      </c>
      <c r="Y26" s="29">
        <f t="shared" si="2"/>
        <v>3029.81</v>
      </c>
      <c r="Z26" s="29">
        <v>145511</v>
      </c>
      <c r="AA26" s="41">
        <v>1925</v>
      </c>
      <c r="AB26" s="27"/>
      <c r="AC26" s="27"/>
      <c r="AD26" s="27"/>
      <c r="AE26" s="27"/>
      <c r="AF26" s="27" t="s">
        <v>399</v>
      </c>
      <c r="AG26" s="27" t="s">
        <v>400</v>
      </c>
      <c r="AH26" s="27" t="s">
        <v>401</v>
      </c>
      <c r="AI26" s="27" t="s">
        <v>402</v>
      </c>
      <c r="AJ26" s="27"/>
      <c r="AK26" s="27"/>
      <c r="AL26" s="27"/>
      <c r="AM26" s="27"/>
      <c r="AN26" s="27"/>
      <c r="AO26" s="27"/>
    </row>
    <row r="27" spans="1:41" x14ac:dyDescent="0.25">
      <c r="A27" s="27" t="s">
        <v>675</v>
      </c>
      <c r="B27" s="27" t="str">
        <f t="shared" si="0"/>
        <v>Arkansas</v>
      </c>
      <c r="C27" s="27" t="str">
        <f t="shared" si="1"/>
        <v>Garland</v>
      </c>
      <c r="D27" s="2">
        <v>5594</v>
      </c>
      <c r="E27" s="2">
        <v>172</v>
      </c>
      <c r="F27" s="2">
        <v>68</v>
      </c>
      <c r="G27" s="29">
        <f>E27+F27</f>
        <v>240</v>
      </c>
      <c r="H27" s="29">
        <v>157</v>
      </c>
      <c r="I27" s="27">
        <v>155</v>
      </c>
      <c r="J27" s="27">
        <v>180</v>
      </c>
      <c r="K27" s="97">
        <f>((I27*M27)+(J27*N27))/(M27+N27)</f>
        <v>159.20497566252027</v>
      </c>
      <c r="L27" s="97">
        <v>160</v>
      </c>
      <c r="M27" s="27">
        <v>3076</v>
      </c>
      <c r="N27" s="27">
        <v>622</v>
      </c>
      <c r="O27" s="27">
        <v>7836</v>
      </c>
      <c r="P27" s="27">
        <v>116</v>
      </c>
      <c r="Q27" s="2">
        <v>360613</v>
      </c>
      <c r="R27" s="90">
        <v>219958</v>
      </c>
      <c r="S27" s="2">
        <v>360613</v>
      </c>
      <c r="T27" s="27">
        <v>77</v>
      </c>
      <c r="V27" s="27">
        <v>88224.67</v>
      </c>
      <c r="X27" s="27">
        <v>19389.14</v>
      </c>
      <c r="Y27" s="29">
        <f>V27+X27</f>
        <v>107613.81</v>
      </c>
      <c r="Z27" s="29">
        <v>591091</v>
      </c>
      <c r="AA27" s="41">
        <v>1925</v>
      </c>
      <c r="AB27" s="27"/>
      <c r="AC27" s="27"/>
      <c r="AD27" s="27"/>
      <c r="AE27" s="27"/>
      <c r="AF27" s="27" t="s">
        <v>399</v>
      </c>
      <c r="AG27" s="27" t="s">
        <v>400</v>
      </c>
      <c r="AH27" s="27" t="s">
        <v>401</v>
      </c>
      <c r="AI27" s="27" t="s">
        <v>402</v>
      </c>
      <c r="AJ27" s="27"/>
      <c r="AK27" s="27"/>
      <c r="AL27" s="27"/>
      <c r="AM27" s="27"/>
      <c r="AN27" s="27"/>
      <c r="AO27" s="27"/>
    </row>
    <row r="28" spans="1:41" x14ac:dyDescent="0.25">
      <c r="A28" s="27" t="s">
        <v>676</v>
      </c>
      <c r="B28" s="27" t="str">
        <f t="shared" si="0"/>
        <v>Arkansas</v>
      </c>
      <c r="C28" s="27" t="str">
        <f t="shared" si="1"/>
        <v>Grant</v>
      </c>
      <c r="D28" s="2">
        <v>2079</v>
      </c>
      <c r="E28" s="2">
        <v>77</v>
      </c>
      <c r="F28" s="2">
        <v>5</v>
      </c>
      <c r="G28" s="29">
        <f>E28+F28</f>
        <v>82</v>
      </c>
      <c r="H28" s="29">
        <v>70</v>
      </c>
      <c r="I28" s="27">
        <v>118</v>
      </c>
      <c r="J28" s="27">
        <v>155</v>
      </c>
      <c r="K28" s="97">
        <f>((I28*M28)+(J28*N28))/(M28+N28)</f>
        <v>120.1501210653753</v>
      </c>
      <c r="L28" s="97">
        <v>111</v>
      </c>
      <c r="M28" s="27">
        <v>2334</v>
      </c>
      <c r="N28" s="27">
        <v>144</v>
      </c>
      <c r="O28" s="27">
        <v>2866</v>
      </c>
      <c r="P28" s="27">
        <v>65</v>
      </c>
      <c r="Q28" s="2">
        <v>55473</v>
      </c>
      <c r="R28" s="90">
        <v>51743.17</v>
      </c>
      <c r="S28" s="2">
        <v>55473</v>
      </c>
      <c r="T28" s="27">
        <v>51</v>
      </c>
      <c r="V28" s="27">
        <v>2703.72</v>
      </c>
      <c r="X28" s="27">
        <v>2483.48</v>
      </c>
      <c r="Y28" s="29">
        <f>V28+X28</f>
        <v>5187.2</v>
      </c>
      <c r="Z28" s="29">
        <v>50530</v>
      </c>
      <c r="AA28" s="41">
        <v>1925</v>
      </c>
      <c r="AB28" s="27"/>
      <c r="AC28" s="27"/>
      <c r="AD28" s="27"/>
      <c r="AE28" s="27"/>
      <c r="AF28" s="27" t="s">
        <v>399</v>
      </c>
      <c r="AG28" s="27" t="s">
        <v>400</v>
      </c>
      <c r="AH28" s="27" t="s">
        <v>401</v>
      </c>
      <c r="AI28" s="27" t="s">
        <v>402</v>
      </c>
      <c r="AJ28" s="27"/>
      <c r="AK28" s="27"/>
      <c r="AL28" s="27"/>
      <c r="AM28" s="27"/>
      <c r="AN28" s="27"/>
      <c r="AO28" s="27"/>
    </row>
    <row r="29" spans="1:41" x14ac:dyDescent="0.25">
      <c r="A29" s="27" t="s">
        <v>677</v>
      </c>
      <c r="B29" s="27" t="str">
        <f t="shared" si="0"/>
        <v>Arkansas</v>
      </c>
      <c r="C29" s="27" t="str">
        <f t="shared" si="1"/>
        <v>Greene</v>
      </c>
      <c r="D29" s="2">
        <v>5601</v>
      </c>
      <c r="E29" s="2">
        <v>136</v>
      </c>
      <c r="F29" s="2">
        <v>16</v>
      </c>
      <c r="G29" s="29">
        <f>E29+F29</f>
        <v>152</v>
      </c>
      <c r="H29" s="29">
        <v>190</v>
      </c>
      <c r="I29" s="27">
        <v>139</v>
      </c>
      <c r="J29" s="27">
        <v>170</v>
      </c>
      <c r="K29" s="97"/>
      <c r="L29" s="97">
        <v>115</v>
      </c>
      <c r="O29" s="27">
        <v>7369</v>
      </c>
      <c r="P29" s="27">
        <v>99</v>
      </c>
      <c r="Q29" s="2">
        <v>349644</v>
      </c>
      <c r="R29" s="90">
        <v>139264.60999999999</v>
      </c>
      <c r="S29" s="2">
        <v>349644</v>
      </c>
      <c r="T29" s="27">
        <v>111</v>
      </c>
      <c r="U29" s="27">
        <v>2109.6799999999998</v>
      </c>
      <c r="V29" s="27">
        <v>204031.53</v>
      </c>
      <c r="W29" s="27">
        <v>15131.01</v>
      </c>
      <c r="X29" s="27">
        <v>5018.63</v>
      </c>
      <c r="Y29" s="29">
        <f t="shared" si="2"/>
        <v>17240.689999999999</v>
      </c>
      <c r="Z29" s="29">
        <v>261995</v>
      </c>
      <c r="AA29" s="41">
        <v>1925</v>
      </c>
      <c r="AB29" s="27"/>
      <c r="AC29" s="27"/>
      <c r="AD29" s="27"/>
      <c r="AE29" s="27"/>
      <c r="AF29" s="27" t="s">
        <v>399</v>
      </c>
      <c r="AG29" s="27" t="s">
        <v>400</v>
      </c>
      <c r="AH29" s="27" t="s">
        <v>401</v>
      </c>
      <c r="AI29" s="27" t="s">
        <v>402</v>
      </c>
      <c r="AJ29" s="27"/>
      <c r="AK29" s="27"/>
      <c r="AL29" s="27"/>
      <c r="AM29" s="27"/>
      <c r="AN29" s="27"/>
      <c r="AO29" s="27"/>
    </row>
    <row r="30" spans="1:41" x14ac:dyDescent="0.25">
      <c r="A30" s="27" t="s">
        <v>678</v>
      </c>
      <c r="B30" s="27" t="str">
        <f t="shared" si="0"/>
        <v>Arkansas</v>
      </c>
      <c r="C30" s="27" t="str">
        <f t="shared" si="1"/>
        <v>Hempstead</v>
      </c>
      <c r="D30" s="2">
        <v>6467</v>
      </c>
      <c r="E30" s="2"/>
      <c r="F30" s="2"/>
      <c r="G30" s="29"/>
      <c r="H30" s="29">
        <v>210</v>
      </c>
      <c r="I30" s="27"/>
      <c r="J30" s="27"/>
      <c r="K30" s="97"/>
      <c r="L30" s="97">
        <v>134</v>
      </c>
      <c r="O30" s="27">
        <v>9007</v>
      </c>
      <c r="P30" s="27">
        <v>68</v>
      </c>
      <c r="Q30" s="2">
        <v>158971</v>
      </c>
      <c r="R30" s="90">
        <v>158288.1</v>
      </c>
      <c r="S30" s="2">
        <v>158971</v>
      </c>
      <c r="T30" s="27">
        <v>123</v>
      </c>
      <c r="U30" s="27">
        <v>2358.02</v>
      </c>
      <c r="V30" s="27">
        <v>9268.0300000000007</v>
      </c>
      <c r="W30" s="27">
        <v>11443.54</v>
      </c>
      <c r="X30" s="27">
        <v>5798.06</v>
      </c>
      <c r="Y30" s="29">
        <f t="shared" si="2"/>
        <v>13801.560000000001</v>
      </c>
      <c r="Z30" s="29">
        <v>281560</v>
      </c>
      <c r="AA30" s="41">
        <v>1925</v>
      </c>
      <c r="AB30" s="27"/>
      <c r="AC30" s="27"/>
      <c r="AD30" s="27"/>
      <c r="AE30" s="27"/>
      <c r="AF30" s="27" t="s">
        <v>399</v>
      </c>
      <c r="AG30" s="27" t="s">
        <v>400</v>
      </c>
      <c r="AH30" s="27" t="s">
        <v>401</v>
      </c>
      <c r="AI30" s="27" t="s">
        <v>402</v>
      </c>
      <c r="AJ30" s="27"/>
      <c r="AK30" s="27"/>
      <c r="AL30" s="27"/>
      <c r="AM30" s="27"/>
      <c r="AN30" s="27"/>
      <c r="AO30" s="27"/>
    </row>
    <row r="31" spans="1:41" x14ac:dyDescent="0.25">
      <c r="A31" s="27" t="s">
        <v>679</v>
      </c>
      <c r="B31" s="27" t="str">
        <f t="shared" si="0"/>
        <v>Arkansas</v>
      </c>
      <c r="C31" s="27" t="str">
        <f t="shared" si="1"/>
        <v>Hot Spring</v>
      </c>
      <c r="D31" s="2">
        <v>3766</v>
      </c>
      <c r="E31" s="2">
        <v>102</v>
      </c>
      <c r="F31" s="2">
        <v>12</v>
      </c>
      <c r="G31" s="29">
        <f>E31+F31</f>
        <v>114</v>
      </c>
      <c r="H31" s="29">
        <v>109</v>
      </c>
      <c r="I31" s="27">
        <v>100</v>
      </c>
      <c r="J31" s="27">
        <v>165</v>
      </c>
      <c r="K31" s="97">
        <f>((I31*M31)+(J31*N31))/(M31+N31)</f>
        <v>105.93796473337582</v>
      </c>
      <c r="L31" s="97">
        <v>148</v>
      </c>
      <c r="M31" s="27">
        <v>4277</v>
      </c>
      <c r="N31" s="27">
        <v>430</v>
      </c>
      <c r="O31" s="27">
        <v>5459</v>
      </c>
      <c r="P31" s="27">
        <v>86</v>
      </c>
      <c r="Q31" s="2">
        <v>97625</v>
      </c>
      <c r="R31" s="90">
        <v>82531.710000000006</v>
      </c>
      <c r="S31" s="2">
        <v>97625</v>
      </c>
      <c r="T31" s="27">
        <v>69</v>
      </c>
      <c r="U31" s="27">
        <v>14739.13</v>
      </c>
      <c r="V31" s="27">
        <v>7533.01</v>
      </c>
      <c r="X31" s="27">
        <v>1884.51</v>
      </c>
      <c r="Y31" s="29">
        <f>U31+X31</f>
        <v>16623.64</v>
      </c>
      <c r="Z31" s="29">
        <v>116700</v>
      </c>
      <c r="AA31" s="41">
        <v>1925</v>
      </c>
      <c r="AB31" s="27"/>
      <c r="AC31" s="27"/>
      <c r="AD31" s="27"/>
      <c r="AE31" s="27"/>
      <c r="AF31" s="27" t="s">
        <v>399</v>
      </c>
      <c r="AG31" s="27" t="s">
        <v>400</v>
      </c>
      <c r="AH31" s="27" t="s">
        <v>403</v>
      </c>
      <c r="AI31" s="27" t="s">
        <v>402</v>
      </c>
      <c r="AJ31" s="27"/>
      <c r="AK31" s="27"/>
      <c r="AL31" s="27"/>
      <c r="AM31" s="27"/>
      <c r="AN31" s="27"/>
      <c r="AO31" s="27"/>
    </row>
    <row r="32" spans="1:41" x14ac:dyDescent="0.25">
      <c r="A32" s="27" t="s">
        <v>680</v>
      </c>
      <c r="B32" s="27" t="str">
        <f t="shared" si="0"/>
        <v>Arkansas</v>
      </c>
      <c r="C32" s="27" t="str">
        <f t="shared" si="1"/>
        <v>Howard</v>
      </c>
      <c r="D32" s="2">
        <v>3577</v>
      </c>
      <c r="E32" s="2">
        <v>77</v>
      </c>
      <c r="F32" s="2">
        <v>8</v>
      </c>
      <c r="G32" s="29">
        <f>E32+F32</f>
        <v>85</v>
      </c>
      <c r="H32" s="29">
        <v>113</v>
      </c>
      <c r="I32" s="27">
        <v>120</v>
      </c>
      <c r="J32" s="27">
        <v>180</v>
      </c>
      <c r="K32" s="97">
        <f>((I32*M32)+(J32*N32))/(M32+N32)</f>
        <v>126.60734149054505</v>
      </c>
      <c r="L32" s="97">
        <v>118</v>
      </c>
      <c r="M32" s="27">
        <v>2400</v>
      </c>
      <c r="N32" s="27">
        <v>297</v>
      </c>
      <c r="O32" s="27">
        <v>4872</v>
      </c>
      <c r="P32" s="27">
        <v>70</v>
      </c>
      <c r="Q32" s="2">
        <v>184984</v>
      </c>
      <c r="R32" s="90">
        <v>75909.84</v>
      </c>
      <c r="S32" s="2">
        <v>184984</v>
      </c>
      <c r="T32" s="27">
        <v>78</v>
      </c>
      <c r="U32" s="27">
        <v>2099.1799999999998</v>
      </c>
      <c r="V32" s="27">
        <v>1269</v>
      </c>
      <c r="W32" s="27">
        <v>3102.54</v>
      </c>
      <c r="X32" s="27">
        <v>3221</v>
      </c>
      <c r="Y32" s="29">
        <f t="shared" si="2"/>
        <v>5201.7199999999993</v>
      </c>
      <c r="Z32" s="29">
        <v>54840</v>
      </c>
      <c r="AA32" s="41">
        <v>1925</v>
      </c>
      <c r="AB32" s="27"/>
      <c r="AC32" s="27"/>
      <c r="AD32" s="27"/>
      <c r="AE32" s="27"/>
      <c r="AF32" s="27" t="s">
        <v>399</v>
      </c>
      <c r="AG32" s="27" t="s">
        <v>400</v>
      </c>
      <c r="AH32" s="27" t="s">
        <v>403</v>
      </c>
      <c r="AI32" s="27" t="s">
        <v>402</v>
      </c>
      <c r="AJ32" s="27"/>
      <c r="AK32" s="27"/>
      <c r="AL32" s="27"/>
      <c r="AM32" s="27"/>
      <c r="AN32" s="27"/>
      <c r="AO32" s="27"/>
    </row>
    <row r="33" spans="1:41" x14ac:dyDescent="0.25">
      <c r="A33" s="27" t="s">
        <v>681</v>
      </c>
      <c r="B33" s="27" t="str">
        <f t="shared" si="0"/>
        <v>Arkansas</v>
      </c>
      <c r="C33" s="27" t="str">
        <f t="shared" si="1"/>
        <v>Independence</v>
      </c>
      <c r="D33" s="2">
        <v>5375</v>
      </c>
      <c r="E33" s="2">
        <v>130</v>
      </c>
      <c r="F33" s="2">
        <v>35</v>
      </c>
      <c r="G33" s="29">
        <f>E33+F33</f>
        <v>165</v>
      </c>
      <c r="H33" s="29">
        <v>145</v>
      </c>
      <c r="I33" s="27">
        <v>120</v>
      </c>
      <c r="J33" s="27">
        <v>140</v>
      </c>
      <c r="K33" s="97">
        <f>((I33*M33)+(J33*N33))/(M33+N33)</f>
        <v>121.90931439497405</v>
      </c>
      <c r="L33" s="97">
        <v>141</v>
      </c>
      <c r="M33" s="27">
        <v>6623</v>
      </c>
      <c r="N33" s="27">
        <v>699</v>
      </c>
      <c r="O33" s="27">
        <v>7325</v>
      </c>
      <c r="P33" s="27">
        <v>59</v>
      </c>
      <c r="Q33" s="2">
        <v>125318</v>
      </c>
      <c r="R33" s="90">
        <v>119918.96</v>
      </c>
      <c r="S33" s="2">
        <v>125318</v>
      </c>
      <c r="T33" s="27">
        <v>93</v>
      </c>
      <c r="U33" s="27">
        <v>10330.879999999999</v>
      </c>
      <c r="V33" s="27">
        <v>10000</v>
      </c>
      <c r="W33" s="27">
        <v>8523.3700000000008</v>
      </c>
      <c r="X33" s="27">
        <v>9000</v>
      </c>
      <c r="Y33" s="29">
        <f t="shared" si="2"/>
        <v>18854.25</v>
      </c>
      <c r="Z33" s="29">
        <v>239590</v>
      </c>
      <c r="AA33" s="41">
        <v>1925</v>
      </c>
      <c r="AB33" s="27"/>
      <c r="AC33" s="27"/>
      <c r="AD33" s="27"/>
      <c r="AE33" s="27"/>
      <c r="AF33" s="27" t="s">
        <v>399</v>
      </c>
      <c r="AG33" s="27" t="s">
        <v>404</v>
      </c>
      <c r="AH33" s="27" t="s">
        <v>403</v>
      </c>
      <c r="AI33" s="27" t="s">
        <v>402</v>
      </c>
      <c r="AJ33" s="27"/>
      <c r="AK33" s="27"/>
      <c r="AL33" s="27"/>
      <c r="AM33" s="27"/>
      <c r="AN33" s="27"/>
      <c r="AO33" s="27"/>
    </row>
    <row r="34" spans="1:41" x14ac:dyDescent="0.25">
      <c r="A34" s="27" t="s">
        <v>682</v>
      </c>
      <c r="B34" s="27" t="str">
        <f t="shared" si="0"/>
        <v>Arkansas</v>
      </c>
      <c r="C34" s="27" t="str">
        <f t="shared" si="1"/>
        <v>Izard</v>
      </c>
      <c r="D34" s="2">
        <v>3187</v>
      </c>
      <c r="E34" s="2">
        <v>114</v>
      </c>
      <c r="F34" s="2"/>
      <c r="G34" s="29">
        <f>E34+F34</f>
        <v>114</v>
      </c>
      <c r="H34" s="29">
        <v>112</v>
      </c>
      <c r="I34" s="27">
        <v>105</v>
      </c>
      <c r="J34" s="27"/>
      <c r="K34" s="97">
        <f>((I34*M34)+(J34*N34))/(M34+N34)</f>
        <v>100.53762192289828</v>
      </c>
      <c r="L34" s="97">
        <v>108</v>
      </c>
      <c r="M34" s="27">
        <v>4123</v>
      </c>
      <c r="N34" s="27">
        <v>183</v>
      </c>
      <c r="O34" s="27">
        <v>4200</v>
      </c>
      <c r="P34" s="27">
        <v>88</v>
      </c>
      <c r="Q34" s="2">
        <v>68464</v>
      </c>
      <c r="R34" s="90">
        <v>33306.89</v>
      </c>
      <c r="S34" s="2">
        <v>68464</v>
      </c>
      <c r="T34" s="27">
        <v>87</v>
      </c>
      <c r="U34" s="27">
        <v>32632.66</v>
      </c>
      <c r="V34" s="27">
        <v>1778.84</v>
      </c>
      <c r="Y34" s="29">
        <f t="shared" si="2"/>
        <v>32632.66</v>
      </c>
      <c r="Z34" s="29">
        <v>71736</v>
      </c>
      <c r="AA34" s="41">
        <v>1925</v>
      </c>
      <c r="AB34" s="27"/>
      <c r="AC34" s="27"/>
      <c r="AD34" s="27"/>
      <c r="AE34" s="27"/>
      <c r="AF34" s="27" t="s">
        <v>399</v>
      </c>
      <c r="AG34" s="27" t="s">
        <v>404</v>
      </c>
      <c r="AH34" s="27" t="s">
        <v>403</v>
      </c>
      <c r="AI34" s="27" t="s">
        <v>402</v>
      </c>
      <c r="AJ34" s="27"/>
      <c r="AK34" s="27"/>
      <c r="AL34" s="27"/>
      <c r="AM34" s="27"/>
      <c r="AN34" s="27"/>
      <c r="AO34" s="27"/>
    </row>
    <row r="35" spans="1:41" x14ac:dyDescent="0.25">
      <c r="A35" s="27" t="s">
        <v>683</v>
      </c>
      <c r="B35" s="27" t="str">
        <f t="shared" si="0"/>
        <v>Arkansas</v>
      </c>
      <c r="C35" s="27" t="str">
        <f t="shared" si="1"/>
        <v>Jackson</v>
      </c>
      <c r="D35" s="2">
        <v>4951</v>
      </c>
      <c r="E35" s="2"/>
      <c r="F35" s="2"/>
      <c r="G35" s="29"/>
      <c r="H35" s="29">
        <v>148</v>
      </c>
      <c r="I35" s="27"/>
      <c r="J35" s="27"/>
      <c r="K35" s="97"/>
      <c r="L35" s="97">
        <v>143</v>
      </c>
      <c r="O35" s="27">
        <v>7648</v>
      </c>
      <c r="P35" s="27">
        <v>69</v>
      </c>
      <c r="Q35" s="2">
        <v>160808</v>
      </c>
      <c r="R35" s="90">
        <v>163273.37</v>
      </c>
      <c r="S35" s="2">
        <v>160808</v>
      </c>
      <c r="T35" s="27">
        <v>98</v>
      </c>
      <c r="U35" s="27">
        <v>8775.68</v>
      </c>
      <c r="V35" s="27">
        <v>19836.060000000001</v>
      </c>
      <c r="W35" s="27">
        <v>6758.53</v>
      </c>
      <c r="X35" s="27">
        <v>56</v>
      </c>
      <c r="Y35" s="29">
        <f t="shared" si="2"/>
        <v>15534.21</v>
      </c>
      <c r="Z35" s="29">
        <v>276950</v>
      </c>
      <c r="AA35" s="41">
        <v>1925</v>
      </c>
      <c r="AB35" s="27"/>
      <c r="AC35" s="27"/>
      <c r="AD35" s="27"/>
      <c r="AE35" s="27"/>
      <c r="AF35" s="27" t="s">
        <v>399</v>
      </c>
      <c r="AG35" s="27" t="s">
        <v>404</v>
      </c>
      <c r="AH35" s="27" t="s">
        <v>403</v>
      </c>
      <c r="AI35" s="27" t="s">
        <v>402</v>
      </c>
      <c r="AJ35" s="27"/>
      <c r="AK35" s="27"/>
      <c r="AL35" s="27"/>
      <c r="AM35" s="27"/>
      <c r="AN35" s="27"/>
      <c r="AO35" s="27"/>
    </row>
    <row r="36" spans="1:41" x14ac:dyDescent="0.25">
      <c r="A36" s="27" t="s">
        <v>684</v>
      </c>
      <c r="B36" s="27" t="str">
        <f t="shared" si="0"/>
        <v>Arkansas</v>
      </c>
      <c r="C36" s="27" t="str">
        <f t="shared" si="1"/>
        <v>Jefferson</v>
      </c>
      <c r="D36" s="2">
        <v>15616</v>
      </c>
      <c r="E36" s="2"/>
      <c r="F36" s="2"/>
      <c r="G36" s="29"/>
      <c r="H36" s="29">
        <v>234</v>
      </c>
      <c r="I36" s="27"/>
      <c r="J36" s="27"/>
      <c r="K36" s="97"/>
      <c r="L36" s="97">
        <v>142</v>
      </c>
      <c r="O36" s="27">
        <v>18928</v>
      </c>
      <c r="P36" s="27">
        <v>98</v>
      </c>
      <c r="Q36" s="2">
        <v>464864</v>
      </c>
      <c r="R36" s="90">
        <v>743938.36</v>
      </c>
      <c r="S36" s="2">
        <v>464864</v>
      </c>
      <c r="T36" s="27">
        <v>175</v>
      </c>
      <c r="U36" s="27">
        <v>400918.87</v>
      </c>
      <c r="V36" s="27">
        <v>32516</v>
      </c>
      <c r="Y36" s="29">
        <f t="shared" si="2"/>
        <v>400918.87</v>
      </c>
      <c r="Z36" s="29">
        <v>975650</v>
      </c>
      <c r="AA36" s="41">
        <v>1925</v>
      </c>
      <c r="AB36" s="27"/>
      <c r="AC36" s="27"/>
      <c r="AD36" s="27"/>
      <c r="AE36" s="27"/>
      <c r="AF36" s="27" t="s">
        <v>399</v>
      </c>
      <c r="AG36" s="27" t="s">
        <v>404</v>
      </c>
      <c r="AH36" s="27" t="s">
        <v>403</v>
      </c>
      <c r="AI36" s="27" t="s">
        <v>402</v>
      </c>
      <c r="AJ36" s="27"/>
      <c r="AK36" s="27"/>
      <c r="AL36" s="27"/>
      <c r="AM36" s="27"/>
      <c r="AN36" s="27"/>
      <c r="AO36" s="27"/>
    </row>
    <row r="37" spans="1:41" x14ac:dyDescent="0.25">
      <c r="A37" s="27" t="s">
        <v>685</v>
      </c>
      <c r="B37" s="27" t="str">
        <f t="shared" si="0"/>
        <v>Arkansas</v>
      </c>
      <c r="C37" s="27" t="str">
        <f t="shared" si="1"/>
        <v>Johnson</v>
      </c>
      <c r="D37" s="2">
        <v>4439</v>
      </c>
      <c r="E37" s="2">
        <v>136</v>
      </c>
      <c r="F37" s="2">
        <v>7</v>
      </c>
      <c r="G37" s="29">
        <f>E37+F37</f>
        <v>143</v>
      </c>
      <c r="H37" s="29">
        <v>156</v>
      </c>
      <c r="I37" s="27">
        <v>140</v>
      </c>
      <c r="J37" s="27">
        <v>160</v>
      </c>
      <c r="K37" s="97">
        <f>((I37*M37)+(J37*N37))/(M37+N37)</f>
        <v>140.65310309454608</v>
      </c>
      <c r="L37" s="97">
        <v>113</v>
      </c>
      <c r="M37" s="27">
        <v>5658</v>
      </c>
      <c r="N37" s="27">
        <v>191</v>
      </c>
      <c r="O37" s="27">
        <v>6082</v>
      </c>
      <c r="P37" s="27">
        <v>79</v>
      </c>
      <c r="Q37" s="2">
        <v>32483</v>
      </c>
      <c r="R37" s="90">
        <v>32483.41</v>
      </c>
      <c r="S37" s="2">
        <v>32483</v>
      </c>
      <c r="T37" s="27">
        <v>91</v>
      </c>
      <c r="U37" s="27">
        <v>2854.09</v>
      </c>
      <c r="V37" s="27">
        <v>2854.09</v>
      </c>
      <c r="W37" s="27">
        <v>2000</v>
      </c>
      <c r="X37" s="27">
        <v>2000</v>
      </c>
      <c r="Y37" s="29">
        <f t="shared" si="2"/>
        <v>4854.09</v>
      </c>
      <c r="Z37" s="29">
        <v>185125</v>
      </c>
      <c r="AA37" s="41">
        <v>1925</v>
      </c>
      <c r="AB37" s="27"/>
      <c r="AC37" s="27"/>
      <c r="AD37" s="27"/>
      <c r="AE37" s="27"/>
      <c r="AF37" s="27" t="s">
        <v>399</v>
      </c>
      <c r="AG37" s="27" t="s">
        <v>404</v>
      </c>
      <c r="AH37" s="27" t="s">
        <v>403</v>
      </c>
      <c r="AI37" s="27" t="s">
        <v>402</v>
      </c>
      <c r="AJ37" s="27"/>
      <c r="AK37" s="27"/>
      <c r="AL37" s="27"/>
      <c r="AM37" s="27"/>
      <c r="AN37" s="27"/>
      <c r="AO37" s="27"/>
    </row>
    <row r="38" spans="1:41" x14ac:dyDescent="0.25">
      <c r="A38" s="27" t="s">
        <v>686</v>
      </c>
      <c r="B38" s="27" t="str">
        <f t="shared" si="0"/>
        <v>Arkansas</v>
      </c>
      <c r="C38" s="27" t="str">
        <f t="shared" si="1"/>
        <v>Lafayette</v>
      </c>
      <c r="D38" s="2">
        <v>3064</v>
      </c>
      <c r="E38" s="2">
        <v>52</v>
      </c>
      <c r="F38" s="2">
        <v>10</v>
      </c>
      <c r="G38" s="29">
        <f>E38+F38</f>
        <v>62</v>
      </c>
      <c r="H38" s="29">
        <v>106</v>
      </c>
      <c r="I38" s="27"/>
      <c r="J38" s="27"/>
      <c r="K38" s="97"/>
      <c r="L38" s="97">
        <v>125</v>
      </c>
      <c r="O38" s="27">
        <v>4346</v>
      </c>
      <c r="P38" s="27">
        <v>79</v>
      </c>
      <c r="Q38" s="2">
        <v>86209</v>
      </c>
      <c r="R38" s="90" t="s">
        <v>2126</v>
      </c>
      <c r="S38" s="2">
        <v>86209</v>
      </c>
      <c r="T38" s="27">
        <v>60</v>
      </c>
      <c r="V38" s="27">
        <v>5155.22</v>
      </c>
      <c r="X38" s="27">
        <v>8399.8799999999992</v>
      </c>
      <c r="Y38" s="29">
        <f>V38+X38</f>
        <v>13555.099999999999</v>
      </c>
      <c r="Z38" s="29">
        <v>152045</v>
      </c>
      <c r="AA38" s="41">
        <v>1925</v>
      </c>
      <c r="AB38" s="27"/>
      <c r="AC38" s="27"/>
      <c r="AD38" s="27"/>
      <c r="AE38" s="27"/>
      <c r="AF38" s="27" t="s">
        <v>399</v>
      </c>
      <c r="AG38" s="27" t="s">
        <v>404</v>
      </c>
      <c r="AH38" s="27" t="s">
        <v>403</v>
      </c>
      <c r="AI38" s="27" t="s">
        <v>402</v>
      </c>
      <c r="AJ38" s="27"/>
      <c r="AK38" s="27"/>
      <c r="AL38" s="27"/>
      <c r="AM38" s="27"/>
      <c r="AN38" s="27"/>
      <c r="AO38" s="27"/>
    </row>
    <row r="39" spans="1:41" x14ac:dyDescent="0.25">
      <c r="A39" s="27" t="s">
        <v>687</v>
      </c>
      <c r="B39" s="27" t="str">
        <f t="shared" si="0"/>
        <v>Arkansas</v>
      </c>
      <c r="C39" s="27" t="str">
        <f t="shared" si="1"/>
        <v>Lawrence</v>
      </c>
      <c r="D39" s="2">
        <v>4698</v>
      </c>
      <c r="E39" s="2"/>
      <c r="F39" s="2"/>
      <c r="G39" s="29"/>
      <c r="H39" s="29">
        <v>155</v>
      </c>
      <c r="I39" s="27"/>
      <c r="J39" s="27"/>
      <c r="K39" s="97"/>
      <c r="L39" s="97">
        <v>142</v>
      </c>
      <c r="O39" s="27">
        <v>6724</v>
      </c>
      <c r="P39" s="27">
        <v>81</v>
      </c>
      <c r="Q39" s="2">
        <v>120715</v>
      </c>
      <c r="R39" s="90">
        <v>120715.21</v>
      </c>
      <c r="S39" s="2">
        <v>120715</v>
      </c>
      <c r="T39" s="27">
        <v>82</v>
      </c>
      <c r="U39" s="27">
        <v>3736.1</v>
      </c>
      <c r="V39" s="27">
        <v>3736.1</v>
      </c>
      <c r="W39" s="27">
        <v>3000</v>
      </c>
      <c r="X39" s="27">
        <v>3000</v>
      </c>
      <c r="Y39" s="29">
        <f t="shared" si="2"/>
        <v>6736.1</v>
      </c>
      <c r="Z39" s="29">
        <v>250165</v>
      </c>
      <c r="AA39" s="41">
        <v>1925</v>
      </c>
      <c r="AB39" s="27"/>
      <c r="AC39" s="27"/>
      <c r="AD39" s="27"/>
      <c r="AE39" s="27"/>
      <c r="AF39" s="27" t="s">
        <v>399</v>
      </c>
      <c r="AG39" s="27" t="s">
        <v>404</v>
      </c>
      <c r="AH39" s="27" t="s">
        <v>403</v>
      </c>
      <c r="AI39" s="27" t="s">
        <v>402</v>
      </c>
      <c r="AJ39" s="27"/>
      <c r="AK39" s="27"/>
      <c r="AL39" s="27"/>
      <c r="AM39" s="27"/>
      <c r="AN39" s="27"/>
      <c r="AO39" s="27"/>
    </row>
    <row r="40" spans="1:41" x14ac:dyDescent="0.25">
      <c r="A40" s="27" t="s">
        <v>688</v>
      </c>
      <c r="B40" s="27" t="str">
        <f t="shared" si="0"/>
        <v>Arkansas</v>
      </c>
      <c r="C40" s="27" t="str">
        <f t="shared" si="1"/>
        <v>Lee</v>
      </c>
      <c r="D40" s="2">
        <v>4759</v>
      </c>
      <c r="E40" s="2">
        <v>58</v>
      </c>
      <c r="F40" s="2">
        <v>13</v>
      </c>
      <c r="G40" s="29">
        <f t="shared" ref="G40:G48" si="5">E40+F40</f>
        <v>71</v>
      </c>
      <c r="H40" s="29">
        <v>163</v>
      </c>
      <c r="I40" s="27">
        <v>160</v>
      </c>
      <c r="J40" s="27">
        <v>180</v>
      </c>
      <c r="K40" s="97">
        <f>((I40*M40)+(J40*N40))/(M40+N40)</f>
        <v>162.56977356503424</v>
      </c>
      <c r="L40" s="97">
        <v>143</v>
      </c>
      <c r="M40" s="27">
        <v>1655</v>
      </c>
      <c r="N40" s="27">
        <v>244</v>
      </c>
      <c r="O40" s="27">
        <v>6320</v>
      </c>
      <c r="P40" s="27">
        <v>91</v>
      </c>
      <c r="Q40" s="2">
        <v>169127</v>
      </c>
      <c r="R40" s="90">
        <v>144990.07</v>
      </c>
      <c r="S40" s="2">
        <v>169127</v>
      </c>
      <c r="T40" s="27">
        <v>102</v>
      </c>
      <c r="U40" s="27">
        <v>16039.49</v>
      </c>
      <c r="V40" s="27">
        <v>10724.89</v>
      </c>
      <c r="W40" s="27">
        <v>1552.7</v>
      </c>
      <c r="X40" s="27">
        <v>2509.9499999999998</v>
      </c>
      <c r="Y40" s="29">
        <f t="shared" si="2"/>
        <v>17592.189999999999</v>
      </c>
      <c r="Z40" s="29">
        <v>315225</v>
      </c>
      <c r="AA40" s="41">
        <v>1925</v>
      </c>
      <c r="AB40" s="27"/>
      <c r="AC40" s="27"/>
      <c r="AD40" s="27"/>
      <c r="AE40" s="27"/>
      <c r="AF40" s="27" t="s">
        <v>399</v>
      </c>
      <c r="AG40" s="27" t="s">
        <v>404</v>
      </c>
      <c r="AH40" s="27" t="s">
        <v>403</v>
      </c>
      <c r="AI40" s="27" t="s">
        <v>402</v>
      </c>
      <c r="AJ40" s="27"/>
      <c r="AK40" s="27"/>
      <c r="AL40" s="27"/>
      <c r="AM40" s="27"/>
      <c r="AN40" s="27"/>
      <c r="AO40" s="27"/>
    </row>
    <row r="41" spans="1:41" x14ac:dyDescent="0.25">
      <c r="A41" s="27" t="s">
        <v>689</v>
      </c>
      <c r="B41" s="27" t="str">
        <f t="shared" si="0"/>
        <v>Arkansas</v>
      </c>
      <c r="C41" s="27" t="str">
        <f t="shared" si="1"/>
        <v>Lincoln</v>
      </c>
      <c r="D41" s="2">
        <v>3031</v>
      </c>
      <c r="E41" s="2">
        <v>55</v>
      </c>
      <c r="F41" s="2">
        <v>7</v>
      </c>
      <c r="G41" s="29">
        <f t="shared" si="5"/>
        <v>62</v>
      </c>
      <c r="H41" s="29">
        <v>133</v>
      </c>
      <c r="I41" s="27">
        <v>127</v>
      </c>
      <c r="J41" s="27">
        <v>164</v>
      </c>
      <c r="K41" s="97">
        <f>((I41*M41)+(J41*N41))/(M41+N41)</f>
        <v>129.33747300215984</v>
      </c>
      <c r="L41" s="97">
        <v>116</v>
      </c>
      <c r="M41" s="27">
        <v>1735</v>
      </c>
      <c r="N41" s="27">
        <v>117</v>
      </c>
      <c r="O41" s="27">
        <v>4984</v>
      </c>
      <c r="P41" s="27">
        <v>66</v>
      </c>
      <c r="Q41" s="2">
        <v>72357</v>
      </c>
      <c r="R41" s="90">
        <v>68560.710000000006</v>
      </c>
      <c r="S41" s="2">
        <v>72357</v>
      </c>
      <c r="T41" s="27">
        <v>66</v>
      </c>
      <c r="U41" s="27">
        <v>5228.17</v>
      </c>
      <c r="V41" s="27">
        <v>2430.7199999999998</v>
      </c>
      <c r="W41" s="27">
        <v>5479.06</v>
      </c>
      <c r="X41" s="27">
        <v>5210.33</v>
      </c>
      <c r="Y41" s="29">
        <f t="shared" si="2"/>
        <v>10707.23</v>
      </c>
      <c r="Z41" s="29">
        <v>87025</v>
      </c>
      <c r="AA41" s="41">
        <v>1925</v>
      </c>
      <c r="AB41" s="27"/>
      <c r="AC41" s="27"/>
      <c r="AD41" s="27"/>
      <c r="AE41" s="27"/>
      <c r="AF41" s="27" t="s">
        <v>399</v>
      </c>
      <c r="AG41" s="27" t="s">
        <v>404</v>
      </c>
      <c r="AH41" s="27" t="s">
        <v>403</v>
      </c>
      <c r="AI41" s="27" t="s">
        <v>402</v>
      </c>
      <c r="AJ41" s="27"/>
      <c r="AK41" s="27"/>
      <c r="AL41" s="27"/>
      <c r="AM41" s="27"/>
      <c r="AN41" s="27"/>
      <c r="AO41" s="27"/>
    </row>
    <row r="42" spans="1:41" x14ac:dyDescent="0.25">
      <c r="A42" s="27" t="s">
        <v>690</v>
      </c>
      <c r="B42" s="27" t="str">
        <f t="shared" si="0"/>
        <v>Arkansas</v>
      </c>
      <c r="C42" s="27" t="str">
        <f t="shared" si="1"/>
        <v>Little River</v>
      </c>
      <c r="D42" s="2">
        <v>3098</v>
      </c>
      <c r="E42" s="2">
        <v>65</v>
      </c>
      <c r="F42" s="2">
        <v>12</v>
      </c>
      <c r="G42" s="29">
        <f t="shared" si="5"/>
        <v>77</v>
      </c>
      <c r="H42" s="29">
        <v>98</v>
      </c>
      <c r="I42" s="27">
        <v>135</v>
      </c>
      <c r="J42" s="27">
        <v>180</v>
      </c>
      <c r="K42" s="97">
        <f>((I42*M42)+(J42*N42))/(M42+N42)</f>
        <v>139.56265619421634</v>
      </c>
      <c r="L42" s="97">
        <v>128</v>
      </c>
      <c r="M42" s="27">
        <v>2517</v>
      </c>
      <c r="N42" s="27">
        <v>284</v>
      </c>
      <c r="O42" s="27">
        <v>4747</v>
      </c>
      <c r="P42" s="27">
        <v>65</v>
      </c>
      <c r="Q42" s="2">
        <v>93041</v>
      </c>
      <c r="R42" s="90">
        <v>73778.14</v>
      </c>
      <c r="S42" s="2">
        <v>93041</v>
      </c>
      <c r="T42" s="27">
        <v>61</v>
      </c>
      <c r="U42" s="27">
        <v>3627.65</v>
      </c>
      <c r="V42" s="27">
        <v>5529.15</v>
      </c>
      <c r="W42" s="27">
        <v>7514.82</v>
      </c>
      <c r="X42" s="27">
        <v>10202.459999999999</v>
      </c>
      <c r="Y42" s="29">
        <f t="shared" si="2"/>
        <v>11142.47</v>
      </c>
      <c r="Z42" s="29">
        <v>210225</v>
      </c>
      <c r="AA42" s="41">
        <v>1925</v>
      </c>
      <c r="AB42" s="27"/>
      <c r="AC42" s="27"/>
      <c r="AD42" s="27"/>
      <c r="AE42" s="27"/>
      <c r="AF42" s="27" t="s">
        <v>399</v>
      </c>
      <c r="AG42" s="27" t="s">
        <v>404</v>
      </c>
      <c r="AH42" s="27" t="s">
        <v>403</v>
      </c>
      <c r="AI42" s="27" t="s">
        <v>402</v>
      </c>
      <c r="AJ42" s="27"/>
      <c r="AK42" s="27"/>
      <c r="AL42" s="27"/>
      <c r="AM42" s="27"/>
      <c r="AN42" s="27"/>
      <c r="AO42" s="27"/>
    </row>
    <row r="43" spans="1:41" x14ac:dyDescent="0.25">
      <c r="A43" s="27" t="s">
        <v>691</v>
      </c>
      <c r="B43" s="27" t="str">
        <f t="shared" si="0"/>
        <v>Arkansas</v>
      </c>
      <c r="C43" s="27" t="str">
        <f t="shared" si="1"/>
        <v>Logan</v>
      </c>
      <c r="D43" s="2">
        <v>5849</v>
      </c>
      <c r="E43" s="2">
        <v>176</v>
      </c>
      <c r="F43" s="2">
        <v>17</v>
      </c>
      <c r="G43" s="29">
        <f t="shared" si="5"/>
        <v>193</v>
      </c>
      <c r="H43" s="29">
        <v>215</v>
      </c>
      <c r="I43" s="27"/>
      <c r="J43" s="27"/>
      <c r="K43" s="97"/>
      <c r="L43" s="97">
        <v>133</v>
      </c>
      <c r="O43" s="27">
        <v>7802</v>
      </c>
      <c r="P43" s="27">
        <v>74</v>
      </c>
      <c r="Q43" s="2">
        <v>119550</v>
      </c>
      <c r="R43" s="90">
        <v>112380.68</v>
      </c>
      <c r="S43" s="2">
        <v>119550</v>
      </c>
      <c r="T43" s="27">
        <v>108</v>
      </c>
      <c r="U43" s="27">
        <v>8772.6</v>
      </c>
      <c r="V43" s="27">
        <v>5429.2</v>
      </c>
      <c r="X43" s="27">
        <v>11249.89</v>
      </c>
      <c r="Y43" s="29">
        <f>U43+X43</f>
        <v>20022.489999999998</v>
      </c>
      <c r="Z43" s="29">
        <v>267160</v>
      </c>
      <c r="AA43" s="41">
        <v>1925</v>
      </c>
      <c r="AB43" s="27"/>
      <c r="AC43" s="27"/>
      <c r="AD43" s="27"/>
      <c r="AE43" s="27"/>
      <c r="AF43" s="27" t="s">
        <v>399</v>
      </c>
      <c r="AG43" s="27" t="s">
        <v>404</v>
      </c>
      <c r="AH43" s="27" t="s">
        <v>403</v>
      </c>
      <c r="AI43" s="27" t="s">
        <v>402</v>
      </c>
      <c r="AJ43" s="27"/>
      <c r="AK43" s="27"/>
      <c r="AL43" s="27"/>
      <c r="AM43" s="27"/>
      <c r="AN43" s="27"/>
      <c r="AO43" s="27"/>
    </row>
    <row r="44" spans="1:41" x14ac:dyDescent="0.25">
      <c r="A44" s="27" t="s">
        <v>692</v>
      </c>
      <c r="B44" s="27" t="str">
        <f t="shared" si="0"/>
        <v>Arkansas</v>
      </c>
      <c r="C44" s="27" t="str">
        <f t="shared" si="1"/>
        <v>Lonoke</v>
      </c>
      <c r="D44" s="2">
        <v>6159</v>
      </c>
      <c r="E44" s="2">
        <v>122</v>
      </c>
      <c r="F44" s="2">
        <v>40</v>
      </c>
      <c r="G44" s="29">
        <f t="shared" si="5"/>
        <v>162</v>
      </c>
      <c r="H44" s="29">
        <v>230</v>
      </c>
      <c r="I44" s="27">
        <v>145</v>
      </c>
      <c r="J44" s="27">
        <v>165</v>
      </c>
      <c r="K44" s="97"/>
      <c r="L44" s="97">
        <v>134</v>
      </c>
      <c r="O44" s="27">
        <v>8475</v>
      </c>
      <c r="P44" s="27">
        <v>77</v>
      </c>
      <c r="Q44" s="2">
        <v>216276</v>
      </c>
      <c r="R44" s="90">
        <v>201560.05</v>
      </c>
      <c r="S44" s="2">
        <v>216276</v>
      </c>
      <c r="T44" s="27">
        <v>115</v>
      </c>
      <c r="U44" s="27">
        <v>26649.5</v>
      </c>
      <c r="V44" s="27">
        <v>23000</v>
      </c>
      <c r="W44" s="27">
        <v>10825</v>
      </c>
      <c r="X44" s="27">
        <v>10800</v>
      </c>
      <c r="Y44" s="29">
        <f t="shared" si="2"/>
        <v>37474.5</v>
      </c>
      <c r="Z44" s="29">
        <v>333805</v>
      </c>
      <c r="AA44" s="41">
        <v>1925</v>
      </c>
      <c r="AB44" s="27"/>
      <c r="AC44" s="27"/>
      <c r="AD44" s="27"/>
      <c r="AE44" s="27"/>
      <c r="AF44" s="27" t="s">
        <v>399</v>
      </c>
      <c r="AG44" s="27" t="s">
        <v>404</v>
      </c>
      <c r="AH44" s="27" t="s">
        <v>403</v>
      </c>
      <c r="AI44" s="27" t="s">
        <v>402</v>
      </c>
      <c r="AJ44" s="27"/>
      <c r="AK44" s="27"/>
      <c r="AL44" s="27"/>
      <c r="AM44" s="27"/>
      <c r="AN44" s="27"/>
      <c r="AO44" s="27"/>
    </row>
    <row r="45" spans="1:41" x14ac:dyDescent="0.25">
      <c r="A45" s="27" t="s">
        <v>693</v>
      </c>
      <c r="B45" s="27" t="str">
        <f t="shared" si="0"/>
        <v>Arkansas</v>
      </c>
      <c r="C45" s="27" t="str">
        <f t="shared" si="1"/>
        <v>Madison</v>
      </c>
      <c r="D45" s="2">
        <v>2879</v>
      </c>
      <c r="E45" s="2">
        <v>126</v>
      </c>
      <c r="F45" s="2">
        <v>7</v>
      </c>
      <c r="G45" s="29">
        <f t="shared" si="5"/>
        <v>133</v>
      </c>
      <c r="H45" s="29">
        <v>126</v>
      </c>
      <c r="I45" s="27">
        <v>92</v>
      </c>
      <c r="J45" s="27">
        <v>160</v>
      </c>
      <c r="K45" s="97">
        <f>((I45*M45)+(J45*N45))/(M45+N45)</f>
        <v>93.232580037664789</v>
      </c>
      <c r="L45" s="97">
        <v>92</v>
      </c>
      <c r="M45" s="27">
        <v>4171</v>
      </c>
      <c r="N45" s="27">
        <v>77</v>
      </c>
      <c r="O45" s="27">
        <v>4248</v>
      </c>
      <c r="P45" s="27">
        <v>66</v>
      </c>
      <c r="Q45" s="2">
        <v>51066</v>
      </c>
      <c r="R45" s="90">
        <v>46716.95</v>
      </c>
      <c r="S45" s="2">
        <v>51066</v>
      </c>
      <c r="T45" s="27">
        <v>122</v>
      </c>
      <c r="U45" s="27">
        <v>1640.2</v>
      </c>
      <c r="V45" s="27">
        <v>504.98</v>
      </c>
      <c r="X45" s="27">
        <v>5553.15</v>
      </c>
      <c r="Y45" s="29">
        <f t="shared" si="2"/>
        <v>1640.2</v>
      </c>
      <c r="Z45" s="29">
        <v>78670</v>
      </c>
      <c r="AA45" s="41">
        <v>1925</v>
      </c>
      <c r="AB45" s="27"/>
      <c r="AC45" s="27"/>
      <c r="AD45" s="27"/>
      <c r="AE45" s="27"/>
      <c r="AF45" s="27" t="s">
        <v>399</v>
      </c>
      <c r="AG45" s="27" t="s">
        <v>404</v>
      </c>
      <c r="AH45" s="27" t="s">
        <v>403</v>
      </c>
      <c r="AI45" s="27" t="s">
        <v>402</v>
      </c>
      <c r="AJ45" s="27"/>
      <c r="AK45" s="27"/>
      <c r="AL45" s="27"/>
      <c r="AM45" s="27"/>
      <c r="AN45" s="27"/>
      <c r="AO45" s="27"/>
    </row>
    <row r="46" spans="1:41" x14ac:dyDescent="0.25">
      <c r="A46" s="27" t="s">
        <v>694</v>
      </c>
      <c r="B46" s="27" t="str">
        <f t="shared" si="0"/>
        <v>Arkansas</v>
      </c>
      <c r="C46" s="27" t="str">
        <f t="shared" si="1"/>
        <v>Marion</v>
      </c>
      <c r="D46" s="2">
        <v>2394</v>
      </c>
      <c r="E46" s="2">
        <v>112</v>
      </c>
      <c r="F46" s="2">
        <v>9</v>
      </c>
      <c r="G46" s="29">
        <f t="shared" si="5"/>
        <v>121</v>
      </c>
      <c r="H46" s="29">
        <v>88</v>
      </c>
      <c r="I46" s="27"/>
      <c r="J46" s="27">
        <v>164</v>
      </c>
      <c r="K46" s="97">
        <f>((I46*M46)+(J46*N46))/(M46+N46)</f>
        <v>7.0066755674232306</v>
      </c>
      <c r="L46" s="97">
        <v>119</v>
      </c>
      <c r="M46" s="27">
        <v>2868</v>
      </c>
      <c r="N46" s="27">
        <v>128</v>
      </c>
      <c r="O46" s="27">
        <v>3201</v>
      </c>
      <c r="P46" s="27">
        <v>70</v>
      </c>
      <c r="Q46" s="2">
        <v>56593</v>
      </c>
      <c r="R46" s="90">
        <v>49435.13</v>
      </c>
      <c r="S46" s="2">
        <v>56593</v>
      </c>
      <c r="T46" s="27">
        <v>74</v>
      </c>
      <c r="V46" s="27">
        <v>5000</v>
      </c>
      <c r="W46" s="27">
        <v>48894.81</v>
      </c>
      <c r="X46" s="27">
        <v>6249.2</v>
      </c>
      <c r="Y46" s="29">
        <f>V46+W46</f>
        <v>53894.81</v>
      </c>
      <c r="Z46" s="29">
        <v>51012</v>
      </c>
      <c r="AA46" s="41">
        <v>1925</v>
      </c>
      <c r="AB46" s="27"/>
      <c r="AC46" s="27"/>
      <c r="AD46" s="27"/>
      <c r="AE46" s="27"/>
      <c r="AF46" s="27" t="s">
        <v>399</v>
      </c>
      <c r="AG46" s="27" t="s">
        <v>404</v>
      </c>
      <c r="AH46" s="27" t="s">
        <v>403</v>
      </c>
      <c r="AI46" s="27" t="s">
        <v>402</v>
      </c>
      <c r="AJ46" s="27"/>
      <c r="AK46" s="27"/>
      <c r="AL46" s="27"/>
      <c r="AM46" s="27"/>
      <c r="AN46" s="27"/>
      <c r="AO46" s="27"/>
    </row>
    <row r="47" spans="1:41" x14ac:dyDescent="0.25">
      <c r="A47" s="27" t="s">
        <v>695</v>
      </c>
      <c r="B47" s="27" t="str">
        <f t="shared" si="0"/>
        <v>Arkansas</v>
      </c>
      <c r="C47" s="27" t="str">
        <f t="shared" si="1"/>
        <v>Miller</v>
      </c>
      <c r="D47" s="2">
        <v>5043</v>
      </c>
      <c r="E47" s="2">
        <v>112</v>
      </c>
      <c r="F47" s="2">
        <v>30</v>
      </c>
      <c r="G47" s="29">
        <f t="shared" si="5"/>
        <v>142</v>
      </c>
      <c r="H47" s="29">
        <v>141</v>
      </c>
      <c r="I47" s="27">
        <v>120</v>
      </c>
      <c r="J47" s="27">
        <v>180</v>
      </c>
      <c r="K47" s="97">
        <f>((I47*M47)+(J47*N47))/(M47+N47)</f>
        <v>125.97022721337164</v>
      </c>
      <c r="L47" s="97">
        <v>149</v>
      </c>
      <c r="M47" s="27">
        <v>3448</v>
      </c>
      <c r="N47" s="27">
        <v>381</v>
      </c>
      <c r="O47" s="27">
        <v>7070</v>
      </c>
      <c r="P47" s="27">
        <v>73</v>
      </c>
      <c r="Q47" s="2">
        <v>321892</v>
      </c>
      <c r="R47" s="90">
        <v>197649.32</v>
      </c>
      <c r="S47" s="2">
        <v>321892</v>
      </c>
      <c r="T47" s="27">
        <v>80</v>
      </c>
      <c r="U47" s="27">
        <v>19597.919999999998</v>
      </c>
      <c r="V47" s="27">
        <v>116284.23</v>
      </c>
      <c r="W47" s="27">
        <v>15355.13</v>
      </c>
      <c r="X47" s="27">
        <v>1989.2</v>
      </c>
      <c r="Y47" s="29">
        <f t="shared" si="2"/>
        <v>34953.049999999996</v>
      </c>
      <c r="Z47" s="29">
        <v>566150</v>
      </c>
      <c r="AA47" s="41">
        <v>1925</v>
      </c>
      <c r="AB47" s="27"/>
      <c r="AC47" s="27"/>
      <c r="AD47" s="27"/>
      <c r="AE47" s="27"/>
      <c r="AF47" s="27" t="s">
        <v>399</v>
      </c>
      <c r="AG47" s="27" t="s">
        <v>404</v>
      </c>
      <c r="AH47" s="27" t="s">
        <v>403</v>
      </c>
      <c r="AI47" s="27" t="s">
        <v>402</v>
      </c>
      <c r="AJ47" s="27"/>
      <c r="AK47" s="27"/>
      <c r="AL47" s="27"/>
      <c r="AM47" s="27"/>
      <c r="AN47" s="27"/>
      <c r="AO47" s="27"/>
    </row>
    <row r="48" spans="1:41" x14ac:dyDescent="0.25">
      <c r="A48" s="27" t="s">
        <v>696</v>
      </c>
      <c r="B48" s="27" t="str">
        <f t="shared" si="0"/>
        <v>Arkansas</v>
      </c>
      <c r="C48" s="27" t="str">
        <f t="shared" si="1"/>
        <v>Mississippi</v>
      </c>
      <c r="D48" s="2">
        <v>8994</v>
      </c>
      <c r="E48" s="2">
        <v>178</v>
      </c>
      <c r="F48" s="2">
        <v>35</v>
      </c>
      <c r="G48" s="29">
        <f t="shared" si="5"/>
        <v>213</v>
      </c>
      <c r="H48" s="29">
        <v>235</v>
      </c>
      <c r="I48" s="27">
        <v>167</v>
      </c>
      <c r="J48" s="27">
        <v>180</v>
      </c>
      <c r="K48" s="97">
        <f>((I48*M48)+(J48*N48))/(M48+N48)</f>
        <v>167.88135593220338</v>
      </c>
      <c r="L48" s="97">
        <v>162</v>
      </c>
      <c r="M48" s="27">
        <v>8030</v>
      </c>
      <c r="N48" s="27">
        <v>584</v>
      </c>
      <c r="O48" s="27">
        <v>15096</v>
      </c>
      <c r="P48" s="27">
        <v>73</v>
      </c>
      <c r="Q48" s="2">
        <v>326266</v>
      </c>
      <c r="R48" s="90" t="s">
        <v>2126</v>
      </c>
      <c r="S48" s="2">
        <v>326266</v>
      </c>
      <c r="T48" s="27">
        <v>91</v>
      </c>
      <c r="V48" s="27">
        <v>49097.29</v>
      </c>
      <c r="X48" s="27">
        <v>3612.37</v>
      </c>
      <c r="Y48" s="29">
        <f>V48+X48</f>
        <v>52709.66</v>
      </c>
      <c r="Z48" s="29">
        <v>733900</v>
      </c>
      <c r="AA48" s="41">
        <v>1925</v>
      </c>
      <c r="AB48" s="27"/>
      <c r="AC48" s="27"/>
      <c r="AD48" s="27"/>
      <c r="AE48" s="27"/>
      <c r="AF48" s="27" t="s">
        <v>399</v>
      </c>
      <c r="AG48" s="27" t="s">
        <v>404</v>
      </c>
      <c r="AH48" s="27" t="s">
        <v>403</v>
      </c>
      <c r="AI48" s="27" t="s">
        <v>402</v>
      </c>
      <c r="AJ48" s="27"/>
      <c r="AK48" s="27"/>
      <c r="AL48" s="27"/>
      <c r="AM48" s="27"/>
      <c r="AN48" s="27"/>
      <c r="AO48" s="27"/>
    </row>
    <row r="49" spans="1:41" x14ac:dyDescent="0.25">
      <c r="A49" s="27" t="s">
        <v>697</v>
      </c>
      <c r="B49" s="27" t="str">
        <f t="shared" si="0"/>
        <v>Arkansas</v>
      </c>
      <c r="C49" s="27" t="str">
        <f t="shared" si="1"/>
        <v>Monroe</v>
      </c>
      <c r="D49" s="27">
        <v>3720</v>
      </c>
      <c r="G49" s="29"/>
      <c r="H49" s="29">
        <v>130</v>
      </c>
      <c r="I49" s="27"/>
      <c r="J49" s="27"/>
      <c r="K49" s="97"/>
      <c r="L49" s="97">
        <v>136</v>
      </c>
      <c r="O49" s="27">
        <v>5453</v>
      </c>
      <c r="P49" s="27">
        <v>92</v>
      </c>
      <c r="Q49" s="2">
        <v>147027</v>
      </c>
      <c r="R49" s="90">
        <v>126533.5</v>
      </c>
      <c r="S49" s="2">
        <v>147027</v>
      </c>
      <c r="T49" s="27">
        <v>76</v>
      </c>
      <c r="U49" s="27">
        <v>4876.95</v>
      </c>
      <c r="V49" s="27">
        <v>14493.14</v>
      </c>
      <c r="W49" s="27">
        <v>3195.39</v>
      </c>
      <c r="X49" s="27">
        <v>3374.27</v>
      </c>
      <c r="Y49" s="29">
        <f t="shared" si="2"/>
        <v>8072.34</v>
      </c>
      <c r="Z49" s="29">
        <v>217300</v>
      </c>
      <c r="AA49" s="41">
        <v>1925</v>
      </c>
      <c r="AB49" s="27"/>
      <c r="AC49" s="27"/>
      <c r="AD49" s="27"/>
      <c r="AE49" s="27"/>
      <c r="AF49" s="27" t="s">
        <v>399</v>
      </c>
      <c r="AG49" s="27" t="s">
        <v>404</v>
      </c>
      <c r="AH49" s="27" t="s">
        <v>403</v>
      </c>
      <c r="AI49" s="27" t="s">
        <v>402</v>
      </c>
      <c r="AJ49" s="27"/>
      <c r="AK49" s="27"/>
      <c r="AL49" s="27"/>
      <c r="AM49" s="27"/>
      <c r="AN49" s="27"/>
      <c r="AO49" s="27"/>
    </row>
    <row r="50" spans="1:41" x14ac:dyDescent="0.25">
      <c r="A50" s="27" t="s">
        <v>1713</v>
      </c>
      <c r="B50" s="27" t="str">
        <f t="shared" si="0"/>
        <v>Arkansas</v>
      </c>
      <c r="C50" s="27" t="str">
        <f t="shared" si="1"/>
        <v>Montgomery</v>
      </c>
      <c r="D50" s="2">
        <v>2630</v>
      </c>
      <c r="E50" s="2"/>
      <c r="F50" s="2"/>
      <c r="G50" s="29"/>
      <c r="H50" s="29">
        <v>84</v>
      </c>
      <c r="I50" s="27"/>
      <c r="J50" s="27"/>
      <c r="K50" s="97"/>
      <c r="L50" s="97">
        <v>92</v>
      </c>
      <c r="O50" s="27">
        <v>3762</v>
      </c>
      <c r="P50" s="27">
        <v>64</v>
      </c>
      <c r="Q50" s="2">
        <v>44099</v>
      </c>
      <c r="R50" s="90">
        <v>44099.040000000001</v>
      </c>
      <c r="S50" s="2">
        <v>44099</v>
      </c>
      <c r="T50" s="27">
        <v>64</v>
      </c>
      <c r="U50" s="27">
        <v>1236.4000000000001</v>
      </c>
      <c r="V50" s="27">
        <v>1236.4000000000001</v>
      </c>
      <c r="W50" s="27">
        <v>1000</v>
      </c>
      <c r="X50" s="27">
        <v>1000</v>
      </c>
      <c r="Y50" s="29">
        <f t="shared" si="2"/>
        <v>2236.4</v>
      </c>
      <c r="Z50" s="29">
        <v>72905</v>
      </c>
      <c r="AA50" s="41">
        <v>1925</v>
      </c>
      <c r="AB50" s="27"/>
      <c r="AC50" s="27"/>
      <c r="AD50" s="27"/>
      <c r="AE50" s="27"/>
      <c r="AF50" s="27" t="s">
        <v>399</v>
      </c>
      <c r="AG50" s="27" t="s">
        <v>404</v>
      </c>
      <c r="AH50" s="27" t="s">
        <v>403</v>
      </c>
      <c r="AI50" s="27" t="s">
        <v>402</v>
      </c>
      <c r="AJ50" s="27"/>
      <c r="AK50" s="27"/>
      <c r="AL50" s="27"/>
      <c r="AM50" s="27"/>
      <c r="AN50" s="27"/>
      <c r="AO50" s="27"/>
    </row>
    <row r="51" spans="1:41" x14ac:dyDescent="0.25">
      <c r="A51" s="27" t="s">
        <v>698</v>
      </c>
      <c r="B51" s="27" t="str">
        <f t="shared" si="0"/>
        <v>Arkansas</v>
      </c>
      <c r="C51" s="27" t="str">
        <f t="shared" si="1"/>
        <v>Nevada</v>
      </c>
      <c r="D51" s="2">
        <v>3836</v>
      </c>
      <c r="E51" s="2"/>
      <c r="F51" s="2"/>
      <c r="G51" s="29"/>
      <c r="H51" s="29">
        <v>144</v>
      </c>
      <c r="I51" s="27"/>
      <c r="J51" s="27"/>
      <c r="K51" s="97"/>
      <c r="L51" s="97">
        <v>113</v>
      </c>
      <c r="O51" s="27">
        <v>5197</v>
      </c>
      <c r="P51" s="27">
        <v>66</v>
      </c>
      <c r="Q51" s="2">
        <v>110989</v>
      </c>
      <c r="R51" s="90">
        <v>99904.65</v>
      </c>
      <c r="S51" s="2">
        <v>110989</v>
      </c>
      <c r="T51" s="27">
        <v>91</v>
      </c>
      <c r="U51" s="27">
        <v>7500</v>
      </c>
      <c r="V51" s="27">
        <v>16655</v>
      </c>
      <c r="X51" s="27">
        <v>6966.96</v>
      </c>
      <c r="Y51" s="29">
        <f>U51+X51</f>
        <v>14466.96</v>
      </c>
      <c r="Z51" s="29">
        <v>146495</v>
      </c>
      <c r="AA51" s="41">
        <v>1925</v>
      </c>
      <c r="AB51" s="27"/>
      <c r="AC51" s="27"/>
      <c r="AD51" s="27"/>
      <c r="AE51" s="27"/>
      <c r="AF51" s="27" t="s">
        <v>399</v>
      </c>
      <c r="AG51" s="27" t="s">
        <v>404</v>
      </c>
      <c r="AH51" s="27" t="s">
        <v>403</v>
      </c>
      <c r="AI51" s="27" t="s">
        <v>402</v>
      </c>
      <c r="AJ51" s="27"/>
      <c r="AK51" s="27"/>
      <c r="AL51" s="27"/>
      <c r="AM51" s="27"/>
      <c r="AN51" s="27"/>
      <c r="AO51" s="27"/>
    </row>
    <row r="52" spans="1:41" x14ac:dyDescent="0.25">
      <c r="A52" s="27" t="s">
        <v>699</v>
      </c>
      <c r="B52" s="27" t="str">
        <f t="shared" si="0"/>
        <v>Arkansas</v>
      </c>
      <c r="C52" s="27" t="str">
        <f t="shared" si="1"/>
        <v>Newton</v>
      </c>
      <c r="D52" s="2">
        <v>2031</v>
      </c>
      <c r="E52" s="2">
        <v>90</v>
      </c>
      <c r="F52" s="2">
        <v>9</v>
      </c>
      <c r="G52" s="29">
        <f>E52+F52</f>
        <v>99</v>
      </c>
      <c r="H52" s="29">
        <v>90</v>
      </c>
      <c r="I52" s="27">
        <v>107</v>
      </c>
      <c r="J52" s="27">
        <v>170</v>
      </c>
      <c r="K52" s="97">
        <f>((I52*M52)+(J52*N52))/(M52+N52)</f>
        <v>110.14566115702479</v>
      </c>
      <c r="L52" s="97">
        <v>76</v>
      </c>
      <c r="M52" s="27">
        <v>2759</v>
      </c>
      <c r="N52" s="27">
        <v>145</v>
      </c>
      <c r="O52" s="27">
        <v>3468</v>
      </c>
      <c r="P52" s="27">
        <v>62</v>
      </c>
      <c r="Q52" s="2">
        <v>44057</v>
      </c>
      <c r="R52" s="90">
        <v>38394.400000000001</v>
      </c>
      <c r="S52" s="2">
        <v>44057</v>
      </c>
      <c r="T52" s="27">
        <v>91</v>
      </c>
      <c r="U52" s="27">
        <v>8131.53</v>
      </c>
      <c r="V52" s="27">
        <v>1860.86</v>
      </c>
      <c r="W52" s="27">
        <v>747.8</v>
      </c>
      <c r="X52" s="27">
        <v>1317.47</v>
      </c>
      <c r="Y52" s="29">
        <f t="shared" si="2"/>
        <v>8879.33</v>
      </c>
      <c r="Z52" s="29">
        <v>75425</v>
      </c>
      <c r="AA52" s="41">
        <v>1925</v>
      </c>
      <c r="AB52" s="27"/>
      <c r="AC52" s="27"/>
      <c r="AD52" s="27"/>
      <c r="AE52" s="27"/>
      <c r="AF52" s="27" t="s">
        <v>399</v>
      </c>
      <c r="AG52" s="27" t="s">
        <v>404</v>
      </c>
      <c r="AH52" s="27" t="s">
        <v>403</v>
      </c>
      <c r="AI52" s="27" t="s">
        <v>402</v>
      </c>
      <c r="AJ52" s="27"/>
      <c r="AK52" s="27"/>
      <c r="AL52" s="27"/>
      <c r="AM52" s="27"/>
      <c r="AN52" s="27"/>
      <c r="AO52" s="27"/>
    </row>
    <row r="53" spans="1:41" x14ac:dyDescent="0.25">
      <c r="A53" s="27" t="s">
        <v>700</v>
      </c>
      <c r="B53" s="27" t="str">
        <f t="shared" si="0"/>
        <v>Arkansas</v>
      </c>
      <c r="C53" s="27" t="str">
        <f t="shared" si="1"/>
        <v>Ouachita</v>
      </c>
      <c r="D53" s="2">
        <v>5478</v>
      </c>
      <c r="E53" s="2"/>
      <c r="F53" s="2"/>
      <c r="G53" s="29"/>
      <c r="H53" s="29">
        <v>172</v>
      </c>
      <c r="I53" s="27"/>
      <c r="J53" s="27"/>
      <c r="K53" s="97"/>
      <c r="L53" s="97">
        <v>126</v>
      </c>
      <c r="O53" s="27">
        <v>8217</v>
      </c>
      <c r="P53" s="27">
        <v>84</v>
      </c>
      <c r="Q53" s="2">
        <v>299810</v>
      </c>
      <c r="R53" s="90">
        <v>352290.15</v>
      </c>
      <c r="S53" s="2">
        <v>299810</v>
      </c>
      <c r="T53" s="27">
        <v>107</v>
      </c>
      <c r="U53" s="27">
        <v>112752.84</v>
      </c>
      <c r="V53" s="27">
        <v>34990.22</v>
      </c>
      <c r="W53" s="27">
        <v>49555.35</v>
      </c>
      <c r="X53" s="27">
        <v>23432.080000000002</v>
      </c>
      <c r="Y53" s="29">
        <f t="shared" si="2"/>
        <v>162308.19</v>
      </c>
      <c r="Z53" s="29">
        <v>285360</v>
      </c>
      <c r="AA53" s="41">
        <v>1925</v>
      </c>
      <c r="AB53" s="27"/>
      <c r="AC53" s="27"/>
      <c r="AD53" s="27"/>
      <c r="AE53" s="27"/>
      <c r="AF53" s="27" t="s">
        <v>399</v>
      </c>
      <c r="AG53" s="27" t="s">
        <v>404</v>
      </c>
      <c r="AH53" s="27" t="s">
        <v>403</v>
      </c>
      <c r="AI53" s="27" t="s">
        <v>402</v>
      </c>
      <c r="AJ53" s="27"/>
      <c r="AK53" s="27"/>
      <c r="AL53" s="27"/>
      <c r="AM53" s="27"/>
      <c r="AN53" s="27"/>
      <c r="AO53" s="27"/>
    </row>
    <row r="54" spans="1:41" x14ac:dyDescent="0.25">
      <c r="A54" s="27" t="s">
        <v>701</v>
      </c>
      <c r="B54" s="27" t="str">
        <f t="shared" si="0"/>
        <v>Arkansas</v>
      </c>
      <c r="C54" s="27" t="str">
        <f t="shared" si="1"/>
        <v>Perry</v>
      </c>
      <c r="D54" s="27">
        <v>2110</v>
      </c>
      <c r="E54" s="27">
        <v>82</v>
      </c>
      <c r="F54" s="27">
        <v>8</v>
      </c>
      <c r="G54" s="29">
        <f>E54+F54</f>
        <v>90</v>
      </c>
      <c r="H54" s="29">
        <v>76</v>
      </c>
      <c r="I54" s="27">
        <v>130</v>
      </c>
      <c r="J54" s="27">
        <v>170</v>
      </c>
      <c r="K54" s="97">
        <f>((I54*M54)+(J54*N54))/(M54+N54)</f>
        <v>132.24924012158056</v>
      </c>
      <c r="L54" s="97">
        <v>109</v>
      </c>
      <c r="M54" s="27">
        <v>3105</v>
      </c>
      <c r="N54" s="27">
        <v>185</v>
      </c>
      <c r="O54" s="27">
        <v>2625</v>
      </c>
      <c r="P54" s="27">
        <v>59</v>
      </c>
      <c r="Q54" s="2">
        <v>50226</v>
      </c>
      <c r="R54" s="90">
        <v>50866.26</v>
      </c>
      <c r="S54" s="2">
        <v>50226</v>
      </c>
      <c r="T54" s="27">
        <v>53</v>
      </c>
      <c r="U54" s="27">
        <v>916.44</v>
      </c>
      <c r="V54" s="27">
        <v>2781.01</v>
      </c>
      <c r="W54" s="27">
        <v>3104.45</v>
      </c>
      <c r="X54" s="27">
        <v>2677.61</v>
      </c>
      <c r="Y54" s="29">
        <f t="shared" si="2"/>
        <v>4020.89</v>
      </c>
      <c r="Z54" s="29">
        <v>99660</v>
      </c>
      <c r="AA54" s="41">
        <v>1925</v>
      </c>
      <c r="AB54" s="27"/>
      <c r="AC54" s="27"/>
      <c r="AD54" s="27"/>
      <c r="AE54" s="27"/>
      <c r="AF54" s="27" t="s">
        <v>399</v>
      </c>
      <c r="AG54" s="27" t="s">
        <v>404</v>
      </c>
      <c r="AH54" s="27" t="s">
        <v>403</v>
      </c>
      <c r="AI54" s="27" t="s">
        <v>402</v>
      </c>
      <c r="AJ54" s="27"/>
      <c r="AK54" s="27"/>
      <c r="AL54" s="27"/>
      <c r="AM54" s="27"/>
      <c r="AN54" s="27"/>
      <c r="AO54" s="27"/>
    </row>
    <row r="55" spans="1:41" x14ac:dyDescent="0.25">
      <c r="A55" s="27" t="s">
        <v>702</v>
      </c>
      <c r="B55" s="27" t="str">
        <f t="shared" si="0"/>
        <v>Arkansas</v>
      </c>
      <c r="C55" s="27" t="str">
        <f t="shared" si="1"/>
        <v>Phillips</v>
      </c>
      <c r="D55" s="2">
        <v>5456</v>
      </c>
      <c r="E55" s="2">
        <v>78</v>
      </c>
      <c r="F55" s="2">
        <v>20</v>
      </c>
      <c r="G55" s="29">
        <f>E55+F55</f>
        <v>98</v>
      </c>
      <c r="H55" s="29">
        <v>204</v>
      </c>
      <c r="I55" s="27">
        <v>160</v>
      </c>
      <c r="J55" s="27">
        <v>180</v>
      </c>
      <c r="K55" s="97">
        <f>((I55*M55)+(J55*N55))/(M55+N55)</f>
        <v>162.81935483870967</v>
      </c>
      <c r="L55" s="97">
        <v>143</v>
      </c>
      <c r="M55" s="27">
        <v>2663</v>
      </c>
      <c r="N55" s="27">
        <v>437</v>
      </c>
      <c r="O55" s="27">
        <v>9201</v>
      </c>
      <c r="P55" s="27">
        <v>95</v>
      </c>
      <c r="Q55" s="2">
        <v>320615</v>
      </c>
      <c r="R55" s="90">
        <v>189033.17</v>
      </c>
      <c r="S55" s="2">
        <v>320615</v>
      </c>
      <c r="T55" s="27">
        <v>96</v>
      </c>
      <c r="U55" s="27">
        <v>16295.5</v>
      </c>
      <c r="V55" s="27">
        <v>86308.04</v>
      </c>
      <c r="W55" s="27">
        <v>17745.509999999998</v>
      </c>
      <c r="X55" s="27">
        <v>28311.24</v>
      </c>
      <c r="Y55" s="29">
        <f t="shared" si="2"/>
        <v>34041.009999999995</v>
      </c>
      <c r="Z55" s="29">
        <v>636580</v>
      </c>
      <c r="AA55" s="41">
        <v>1925</v>
      </c>
      <c r="AB55" s="27"/>
      <c r="AC55" s="27"/>
      <c r="AD55" s="27"/>
      <c r="AE55" s="27"/>
      <c r="AF55" s="27" t="s">
        <v>399</v>
      </c>
      <c r="AG55" s="27" t="s">
        <v>404</v>
      </c>
      <c r="AH55" s="27" t="s">
        <v>403</v>
      </c>
      <c r="AI55" s="27" t="s">
        <v>402</v>
      </c>
      <c r="AJ55" s="27"/>
      <c r="AK55" s="27"/>
      <c r="AL55" s="27"/>
      <c r="AM55" s="27"/>
      <c r="AN55" s="27"/>
      <c r="AO55" s="27"/>
    </row>
    <row r="56" spans="1:41" x14ac:dyDescent="0.25">
      <c r="A56" s="27" t="s">
        <v>703</v>
      </c>
      <c r="B56" s="27" t="str">
        <f t="shared" si="0"/>
        <v>Arkansas</v>
      </c>
      <c r="C56" s="27" t="str">
        <f t="shared" si="1"/>
        <v>Pike</v>
      </c>
      <c r="D56" s="2">
        <v>2580</v>
      </c>
      <c r="E56" s="2">
        <v>86</v>
      </c>
      <c r="F56" s="2">
        <v>12</v>
      </c>
      <c r="G56" s="29">
        <f>E56+F56</f>
        <v>98</v>
      </c>
      <c r="H56" s="29">
        <v>94</v>
      </c>
      <c r="I56" s="27">
        <v>112</v>
      </c>
      <c r="J56" s="27">
        <v>160</v>
      </c>
      <c r="K56" s="97">
        <f>((I56*M56)+(J56*N56))/(M56+N56)</f>
        <v>114.52565772336546</v>
      </c>
      <c r="L56" s="97">
        <v>114</v>
      </c>
      <c r="M56" s="27">
        <v>3637</v>
      </c>
      <c r="N56" s="27">
        <v>202</v>
      </c>
      <c r="O56" s="27">
        <v>3731</v>
      </c>
      <c r="P56" s="27">
        <v>60</v>
      </c>
      <c r="Q56" s="2">
        <v>55174</v>
      </c>
      <c r="R56" s="90">
        <v>51868.77</v>
      </c>
      <c r="S56" s="2">
        <v>55174</v>
      </c>
      <c r="T56" s="27">
        <v>62</v>
      </c>
      <c r="U56" s="27">
        <v>1245.5999999999999</v>
      </c>
      <c r="V56" s="27">
        <v>915.62</v>
      </c>
      <c r="X56" s="27">
        <v>3210.87</v>
      </c>
      <c r="Y56" s="29">
        <f>U56+X56</f>
        <v>4456.4699999999993</v>
      </c>
      <c r="Z56" s="29">
        <v>91775</v>
      </c>
      <c r="AA56" s="41">
        <v>1925</v>
      </c>
      <c r="AB56" s="27"/>
      <c r="AC56" s="27"/>
      <c r="AD56" s="27"/>
      <c r="AE56" s="27"/>
      <c r="AF56" s="27" t="s">
        <v>399</v>
      </c>
      <c r="AG56" s="27" t="s">
        <v>404</v>
      </c>
      <c r="AH56" s="27" t="s">
        <v>403</v>
      </c>
      <c r="AI56" s="27" t="s">
        <v>402</v>
      </c>
      <c r="AJ56" s="27"/>
      <c r="AK56" s="27"/>
      <c r="AL56" s="27"/>
      <c r="AM56" s="27"/>
      <c r="AN56" s="27"/>
      <c r="AO56" s="27"/>
    </row>
    <row r="57" spans="1:41" x14ac:dyDescent="0.25">
      <c r="A57" s="27" t="s">
        <v>704</v>
      </c>
      <c r="B57" s="27" t="str">
        <f t="shared" si="0"/>
        <v>Arkansas</v>
      </c>
      <c r="C57" s="27" t="str">
        <f t="shared" si="1"/>
        <v>Poinsett</v>
      </c>
      <c r="D57" s="2">
        <v>5166</v>
      </c>
      <c r="E57" s="2"/>
      <c r="F57" s="2"/>
      <c r="G57" s="29"/>
      <c r="H57" s="29">
        <v>121</v>
      </c>
      <c r="I57" s="27"/>
      <c r="J57" s="27"/>
      <c r="K57" s="97"/>
      <c r="L57" s="97">
        <v>158</v>
      </c>
      <c r="O57" s="27">
        <v>6582</v>
      </c>
      <c r="P57" s="27">
        <v>81</v>
      </c>
      <c r="Q57" s="2">
        <v>99214</v>
      </c>
      <c r="R57" s="90">
        <v>118063.39</v>
      </c>
      <c r="S57" s="2">
        <v>99214</v>
      </c>
      <c r="T57" s="27">
        <v>65</v>
      </c>
      <c r="U57" s="27">
        <v>115592.37</v>
      </c>
      <c r="V57" s="27">
        <v>2531.71</v>
      </c>
      <c r="X57" s="27">
        <v>13167.79</v>
      </c>
      <c r="Y57" s="29">
        <f>U57+X57</f>
        <v>128760.16</v>
      </c>
      <c r="Z57" s="29">
        <v>326700</v>
      </c>
      <c r="AA57" s="41">
        <v>1925</v>
      </c>
      <c r="AB57" s="27"/>
      <c r="AC57" s="27"/>
      <c r="AD57" s="27"/>
      <c r="AE57" s="27"/>
      <c r="AF57" s="27" t="s">
        <v>399</v>
      </c>
      <c r="AG57" s="27" t="s">
        <v>404</v>
      </c>
      <c r="AH57" s="27" t="s">
        <v>403</v>
      </c>
      <c r="AI57" s="27" t="s">
        <v>402</v>
      </c>
      <c r="AJ57" s="27"/>
      <c r="AK57" s="27"/>
      <c r="AL57" s="27"/>
      <c r="AM57" s="27"/>
      <c r="AN57" s="27"/>
      <c r="AO57" s="27"/>
    </row>
    <row r="58" spans="1:41" x14ac:dyDescent="0.25">
      <c r="A58" s="27" t="s">
        <v>705</v>
      </c>
      <c r="B58" s="27" t="str">
        <f t="shared" si="0"/>
        <v>Arkansas</v>
      </c>
      <c r="C58" s="27" t="str">
        <f t="shared" si="1"/>
        <v>Polk</v>
      </c>
      <c r="D58" s="27">
        <v>2680</v>
      </c>
      <c r="E58" s="2">
        <v>109</v>
      </c>
      <c r="F58" s="2">
        <v>12</v>
      </c>
      <c r="G58" s="29">
        <f>E58+F58</f>
        <v>121</v>
      </c>
      <c r="H58" s="29">
        <v>145</v>
      </c>
      <c r="I58" s="27">
        <v>135</v>
      </c>
      <c r="J58" s="27">
        <v>165</v>
      </c>
      <c r="K58" s="97"/>
      <c r="L58" s="97">
        <v>130</v>
      </c>
      <c r="O58" s="27">
        <v>4134</v>
      </c>
      <c r="P58" s="27">
        <v>94</v>
      </c>
      <c r="Q58" s="2">
        <v>138398</v>
      </c>
      <c r="R58" s="90">
        <v>84833.5</v>
      </c>
      <c r="S58" s="2">
        <v>138398</v>
      </c>
      <c r="T58" s="27">
        <v>84</v>
      </c>
      <c r="U58" s="27">
        <v>2133.6799999999998</v>
      </c>
      <c r="V58" s="27">
        <v>3306.1</v>
      </c>
      <c r="W58" s="27">
        <v>10309.23</v>
      </c>
      <c r="X58" s="27">
        <v>13259.25</v>
      </c>
      <c r="Y58" s="29">
        <f t="shared" si="2"/>
        <v>12442.91</v>
      </c>
      <c r="Z58" s="29">
        <v>176650</v>
      </c>
      <c r="AA58" s="41">
        <v>1925</v>
      </c>
      <c r="AB58" s="27"/>
      <c r="AC58" s="27"/>
      <c r="AD58" s="27"/>
      <c r="AE58" s="27"/>
      <c r="AF58" s="27" t="s">
        <v>399</v>
      </c>
      <c r="AG58" s="27" t="s">
        <v>404</v>
      </c>
      <c r="AH58" s="27" t="s">
        <v>403</v>
      </c>
      <c r="AI58" s="27" t="s">
        <v>402</v>
      </c>
      <c r="AJ58" s="27"/>
      <c r="AK58" s="27"/>
      <c r="AL58" s="27"/>
      <c r="AM58" s="27"/>
      <c r="AN58" s="27"/>
      <c r="AO58" s="27"/>
    </row>
    <row r="59" spans="1:41" x14ac:dyDescent="0.25">
      <c r="A59" s="27" t="s">
        <v>706</v>
      </c>
      <c r="B59" s="27" t="str">
        <f t="shared" si="0"/>
        <v>Arkansas</v>
      </c>
      <c r="C59" s="27" t="str">
        <f t="shared" si="1"/>
        <v>Pope</v>
      </c>
      <c r="D59" s="2">
        <v>6005</v>
      </c>
      <c r="E59" s="2">
        <v>85</v>
      </c>
      <c r="F59" s="2">
        <v>10</v>
      </c>
      <c r="G59" s="29">
        <f>E59+F59</f>
        <v>95</v>
      </c>
      <c r="H59" s="29">
        <v>257</v>
      </c>
      <c r="I59" s="27">
        <v>120</v>
      </c>
      <c r="J59" s="27">
        <v>170</v>
      </c>
      <c r="K59" s="97">
        <f>((I59*M59)+(J59*N59))/(M59+N59)</f>
        <v>123.77001979485334</v>
      </c>
      <c r="L59" s="97">
        <v>115</v>
      </c>
      <c r="M59" s="27">
        <v>5138</v>
      </c>
      <c r="N59" s="27">
        <v>419</v>
      </c>
      <c r="O59" s="27">
        <v>8238</v>
      </c>
      <c r="P59" s="27">
        <v>79</v>
      </c>
      <c r="Q59" s="2">
        <v>149328</v>
      </c>
      <c r="R59" s="90">
        <v>123889.23</v>
      </c>
      <c r="S59" s="2">
        <v>149328</v>
      </c>
      <c r="T59" s="27">
        <v>120</v>
      </c>
      <c r="U59" s="27">
        <v>1255</v>
      </c>
      <c r="W59" s="27">
        <v>827.21</v>
      </c>
      <c r="X59" s="27">
        <v>45284.33</v>
      </c>
      <c r="Y59" s="29">
        <f t="shared" si="2"/>
        <v>2082.21</v>
      </c>
      <c r="Z59" s="29">
        <v>360525</v>
      </c>
      <c r="AA59" s="41">
        <v>1925</v>
      </c>
      <c r="AB59" s="27"/>
      <c r="AC59" s="27"/>
      <c r="AD59" s="27"/>
      <c r="AE59" s="27"/>
      <c r="AF59" s="27" t="s">
        <v>399</v>
      </c>
      <c r="AG59" s="27" t="s">
        <v>404</v>
      </c>
      <c r="AH59" s="27" t="s">
        <v>403</v>
      </c>
      <c r="AI59" s="27" t="s">
        <v>402</v>
      </c>
      <c r="AJ59" s="27"/>
      <c r="AK59" s="27"/>
      <c r="AL59" s="27"/>
      <c r="AM59" s="27"/>
      <c r="AN59" s="27"/>
      <c r="AO59" s="27"/>
    </row>
    <row r="60" spans="1:41" x14ac:dyDescent="0.25">
      <c r="A60" s="27" t="s">
        <v>707</v>
      </c>
      <c r="B60" s="27" t="str">
        <f t="shared" si="0"/>
        <v>Arkansas</v>
      </c>
      <c r="C60" s="27" t="str">
        <f t="shared" si="1"/>
        <v>Prairie</v>
      </c>
      <c r="D60" s="2">
        <v>2710</v>
      </c>
      <c r="E60" s="2">
        <v>79</v>
      </c>
      <c r="F60" s="2">
        <v>11</v>
      </c>
      <c r="G60" s="29">
        <f>E60+F60</f>
        <v>90</v>
      </c>
      <c r="H60" s="29">
        <v>119</v>
      </c>
      <c r="I60" s="27">
        <v>150</v>
      </c>
      <c r="J60" s="27">
        <v>180</v>
      </c>
      <c r="K60" s="97">
        <f>((I60*M60)+(J60*N60))/(M60+N60)</f>
        <v>151.61670918367346</v>
      </c>
      <c r="L60" s="97">
        <v>127</v>
      </c>
      <c r="M60" s="27">
        <v>2967</v>
      </c>
      <c r="N60" s="27">
        <v>169</v>
      </c>
      <c r="O60" s="27">
        <v>4061</v>
      </c>
      <c r="P60" s="27">
        <v>72</v>
      </c>
      <c r="Q60" s="2">
        <v>102116</v>
      </c>
      <c r="R60" s="90">
        <v>73461.48</v>
      </c>
      <c r="S60" s="2">
        <v>102116</v>
      </c>
      <c r="T60" s="27">
        <v>69</v>
      </c>
      <c r="U60" s="27">
        <v>1752.75</v>
      </c>
      <c r="V60" s="27">
        <v>4540.17</v>
      </c>
      <c r="W60" s="27">
        <v>2176.84</v>
      </c>
      <c r="X60" s="27">
        <v>6274.73</v>
      </c>
      <c r="Y60" s="29">
        <f t="shared" si="2"/>
        <v>3929.59</v>
      </c>
      <c r="Z60" s="29">
        <v>239940</v>
      </c>
      <c r="AA60" s="41">
        <v>1925</v>
      </c>
      <c r="AB60" s="27"/>
      <c r="AC60" s="27"/>
      <c r="AD60" s="27"/>
      <c r="AE60" s="27"/>
      <c r="AF60" s="27" t="s">
        <v>399</v>
      </c>
      <c r="AG60" s="27" t="s">
        <v>404</v>
      </c>
      <c r="AH60" s="27" t="s">
        <v>403</v>
      </c>
      <c r="AI60" s="27" t="s">
        <v>402</v>
      </c>
      <c r="AJ60" s="27"/>
      <c r="AK60" s="27"/>
      <c r="AL60" s="27"/>
      <c r="AM60" s="27"/>
      <c r="AN60" s="27"/>
      <c r="AO60" s="27"/>
    </row>
    <row r="61" spans="1:41" x14ac:dyDescent="0.25">
      <c r="A61" s="27" t="s">
        <v>708</v>
      </c>
      <c r="B61" s="27" t="str">
        <f t="shared" si="0"/>
        <v>Arkansas</v>
      </c>
      <c r="C61" s="27" t="str">
        <f t="shared" si="1"/>
        <v>Pulaski</v>
      </c>
      <c r="D61" s="2">
        <v>20351</v>
      </c>
      <c r="E61" s="2">
        <v>96</v>
      </c>
      <c r="F61" s="2">
        <v>18</v>
      </c>
      <c r="G61" s="29">
        <f>E61+F61</f>
        <v>114</v>
      </c>
      <c r="H61" s="29">
        <v>603</v>
      </c>
      <c r="I61" s="27">
        <v>140</v>
      </c>
      <c r="J61" s="27">
        <v>170</v>
      </c>
      <c r="K61" s="97">
        <f>((I61*M61)+(J61*N61))/(M61+N61)</f>
        <v>142.03527815468115</v>
      </c>
      <c r="L61" s="97">
        <v>152</v>
      </c>
      <c r="M61" s="27">
        <v>4122</v>
      </c>
      <c r="N61" s="27">
        <v>300</v>
      </c>
      <c r="O61" s="27">
        <v>27486</v>
      </c>
      <c r="P61" s="27"/>
      <c r="Q61" s="2">
        <v>1017102</v>
      </c>
      <c r="R61" s="90">
        <v>1017102.1</v>
      </c>
      <c r="S61" s="2">
        <v>1017102</v>
      </c>
      <c r="T61" s="27">
        <v>205</v>
      </c>
      <c r="U61" s="27">
        <v>6432.24</v>
      </c>
      <c r="V61" s="27">
        <v>6432.24</v>
      </c>
      <c r="W61" s="27">
        <v>39473.65</v>
      </c>
      <c r="X61" s="27">
        <v>39473.65</v>
      </c>
      <c r="Y61" s="29">
        <f t="shared" si="2"/>
        <v>45905.89</v>
      </c>
      <c r="Z61" s="29">
        <v>2608015</v>
      </c>
      <c r="AA61" s="41">
        <v>1925</v>
      </c>
      <c r="AB61" s="27"/>
      <c r="AC61" s="27"/>
      <c r="AD61" s="27"/>
      <c r="AE61" s="27"/>
      <c r="AF61" s="27" t="s">
        <v>399</v>
      </c>
      <c r="AG61" s="27" t="s">
        <v>404</v>
      </c>
      <c r="AH61" s="27" t="s">
        <v>403</v>
      </c>
      <c r="AI61" s="27" t="s">
        <v>402</v>
      </c>
      <c r="AJ61" s="27"/>
      <c r="AK61" s="27"/>
      <c r="AL61" s="27"/>
      <c r="AM61" s="27"/>
      <c r="AN61" s="27"/>
      <c r="AO61" s="27"/>
    </row>
    <row r="62" spans="1:41" x14ac:dyDescent="0.25">
      <c r="A62" s="27" t="s">
        <v>709</v>
      </c>
      <c r="B62" s="27" t="str">
        <f t="shared" si="0"/>
        <v>Arkansas</v>
      </c>
      <c r="C62" s="27" t="str">
        <f t="shared" si="1"/>
        <v>Randolph</v>
      </c>
      <c r="D62" s="2">
        <v>3787</v>
      </c>
      <c r="E62" s="2"/>
      <c r="F62" s="2"/>
      <c r="G62" s="29"/>
      <c r="H62" s="29">
        <v>126</v>
      </c>
      <c r="I62" s="27"/>
      <c r="J62" s="27"/>
      <c r="K62" s="97"/>
      <c r="L62" s="97">
        <v>130</v>
      </c>
      <c r="O62" s="27">
        <v>5189</v>
      </c>
      <c r="P62" s="27">
        <v>80</v>
      </c>
      <c r="Q62" s="2">
        <v>85200</v>
      </c>
      <c r="R62" s="90">
        <v>84873.94</v>
      </c>
      <c r="S62" s="2">
        <v>85200</v>
      </c>
      <c r="T62" s="27">
        <v>100</v>
      </c>
      <c r="V62" s="27">
        <v>6397.57</v>
      </c>
      <c r="X62" s="27">
        <v>6000</v>
      </c>
      <c r="Y62" s="29">
        <f>V62+X62</f>
        <v>12397.57</v>
      </c>
      <c r="Z62" s="29">
        <v>136445</v>
      </c>
      <c r="AA62" s="41">
        <v>1925</v>
      </c>
      <c r="AB62" s="27"/>
      <c r="AC62" s="27"/>
      <c r="AD62" s="27"/>
      <c r="AE62" s="27"/>
      <c r="AF62" s="27" t="s">
        <v>399</v>
      </c>
      <c r="AG62" s="27" t="s">
        <v>404</v>
      </c>
      <c r="AH62" s="27" t="s">
        <v>403</v>
      </c>
      <c r="AI62" s="27" t="s">
        <v>402</v>
      </c>
      <c r="AJ62" s="27"/>
      <c r="AK62" s="27"/>
      <c r="AL62" s="27"/>
      <c r="AM62" s="27"/>
      <c r="AN62" s="27"/>
      <c r="AO62" s="27"/>
    </row>
    <row r="63" spans="1:41" x14ac:dyDescent="0.25">
      <c r="A63" s="27" t="s">
        <v>710</v>
      </c>
      <c r="B63" s="27" t="str">
        <f t="shared" si="0"/>
        <v>Arkansas</v>
      </c>
      <c r="C63" s="27" t="str">
        <f t="shared" si="1"/>
        <v>Saline</v>
      </c>
      <c r="D63" s="2">
        <v>3432</v>
      </c>
      <c r="E63" s="2">
        <v>116</v>
      </c>
      <c r="F63" s="2">
        <v>13</v>
      </c>
      <c r="G63" s="29">
        <f>E63+F63</f>
        <v>129</v>
      </c>
      <c r="H63" s="29">
        <v>131</v>
      </c>
      <c r="I63" s="27">
        <v>115</v>
      </c>
      <c r="J63" s="27">
        <v>160</v>
      </c>
      <c r="K63" s="97">
        <f>((I63*M63)+(J63*N63))/(M63+N63)</f>
        <v>119.18533604887983</v>
      </c>
      <c r="L63" s="97">
        <v>124</v>
      </c>
      <c r="M63" s="27">
        <v>4008</v>
      </c>
      <c r="N63" s="27">
        <v>411</v>
      </c>
      <c r="O63" s="27">
        <v>4822</v>
      </c>
      <c r="P63" s="27">
        <v>75</v>
      </c>
      <c r="Q63" s="2">
        <v>119779</v>
      </c>
      <c r="R63" s="90">
        <v>89411.92</v>
      </c>
      <c r="S63" s="2">
        <v>119779</v>
      </c>
      <c r="T63" s="27">
        <v>65</v>
      </c>
      <c r="U63" s="27">
        <v>3039.27</v>
      </c>
      <c r="V63" s="27">
        <v>4750.05</v>
      </c>
      <c r="W63" s="27">
        <v>4937.91</v>
      </c>
      <c r="X63" s="27">
        <v>10551.52</v>
      </c>
      <c r="Y63" s="29">
        <f t="shared" si="2"/>
        <v>7977.18</v>
      </c>
      <c r="Z63" s="29">
        <v>173505</v>
      </c>
      <c r="AA63" s="41">
        <v>1925</v>
      </c>
      <c r="AB63" s="27"/>
      <c r="AC63" s="27"/>
      <c r="AD63" s="27"/>
      <c r="AE63" s="27"/>
      <c r="AF63" s="27" t="s">
        <v>399</v>
      </c>
      <c r="AG63" s="27" t="s">
        <v>404</v>
      </c>
      <c r="AH63" s="27" t="s">
        <v>403</v>
      </c>
      <c r="AI63" s="27" t="s">
        <v>402</v>
      </c>
      <c r="AJ63" s="27"/>
      <c r="AK63" s="27"/>
      <c r="AL63" s="27"/>
      <c r="AM63" s="27"/>
      <c r="AN63" s="27"/>
      <c r="AO63" s="27"/>
    </row>
    <row r="64" spans="1:41" x14ac:dyDescent="0.25">
      <c r="A64" s="27" t="s">
        <v>711</v>
      </c>
      <c r="B64" s="27" t="str">
        <f t="shared" si="0"/>
        <v>Arkansas</v>
      </c>
      <c r="C64" s="27" t="str">
        <f t="shared" si="1"/>
        <v>Scott</v>
      </c>
      <c r="D64" s="2">
        <v>2887</v>
      </c>
      <c r="E64" s="2">
        <v>123</v>
      </c>
      <c r="F64" s="2">
        <v>10</v>
      </c>
      <c r="G64" s="29">
        <f>E64+F64</f>
        <v>133</v>
      </c>
      <c r="H64" s="29">
        <v>111</v>
      </c>
      <c r="I64" s="27">
        <v>130</v>
      </c>
      <c r="J64" s="27">
        <v>180</v>
      </c>
      <c r="K64" s="97">
        <f>((I64*M64)+(J64*N64))/(M64+N64)</f>
        <v>132.35897435897436</v>
      </c>
      <c r="L64" s="97">
        <v>119</v>
      </c>
      <c r="M64" s="27">
        <v>3716</v>
      </c>
      <c r="N64" s="27">
        <v>184</v>
      </c>
      <c r="O64" s="27">
        <v>3816</v>
      </c>
      <c r="P64" s="27">
        <v>79</v>
      </c>
      <c r="Q64" s="2">
        <v>58073</v>
      </c>
      <c r="R64" s="90">
        <v>53516.55</v>
      </c>
      <c r="S64" s="2">
        <v>58073</v>
      </c>
      <c r="T64" s="27">
        <v>67</v>
      </c>
      <c r="U64" s="27">
        <v>3992.8</v>
      </c>
      <c r="V64" s="27">
        <v>5052.87</v>
      </c>
      <c r="W64" s="27">
        <v>4456.3</v>
      </c>
      <c r="X64" s="27">
        <v>4587.68</v>
      </c>
      <c r="Y64" s="29">
        <f t="shared" si="2"/>
        <v>8449.1</v>
      </c>
      <c r="Z64" s="29">
        <v>117960</v>
      </c>
      <c r="AA64" s="41">
        <v>1925</v>
      </c>
      <c r="AB64" s="27"/>
      <c r="AC64" s="27"/>
      <c r="AD64" s="27"/>
      <c r="AE64" s="27"/>
      <c r="AF64" s="27" t="s">
        <v>399</v>
      </c>
      <c r="AG64" s="27" t="s">
        <v>404</v>
      </c>
      <c r="AH64" s="27" t="s">
        <v>403</v>
      </c>
      <c r="AI64" s="27" t="s">
        <v>402</v>
      </c>
      <c r="AJ64" s="27"/>
      <c r="AK64" s="27"/>
      <c r="AL64" s="27"/>
      <c r="AM64" s="27"/>
      <c r="AN64" s="27"/>
      <c r="AO64" s="27"/>
    </row>
    <row r="65" spans="1:41" x14ac:dyDescent="0.25">
      <c r="A65" s="27" t="s">
        <v>712</v>
      </c>
      <c r="B65" s="27" t="str">
        <f t="shared" si="0"/>
        <v>Arkansas</v>
      </c>
      <c r="C65" s="27" t="str">
        <f t="shared" si="1"/>
        <v>Searcy</v>
      </c>
      <c r="D65" s="2">
        <v>3510</v>
      </c>
      <c r="E65" s="2">
        <v>97</v>
      </c>
      <c r="F65" s="2">
        <v>9</v>
      </c>
      <c r="G65" s="29">
        <f>E65+F65</f>
        <v>106</v>
      </c>
      <c r="H65" s="29">
        <v>131</v>
      </c>
      <c r="I65" s="27">
        <v>120</v>
      </c>
      <c r="J65" s="27">
        <v>170</v>
      </c>
      <c r="K65" s="97">
        <f>((I65*M65)+(J65*N65))/(M65+N65)</f>
        <v>123.20643553138454</v>
      </c>
      <c r="L65" s="97">
        <v>95</v>
      </c>
      <c r="M65" s="27">
        <v>4130</v>
      </c>
      <c r="N65" s="27">
        <v>283</v>
      </c>
      <c r="O65" s="27">
        <v>4333</v>
      </c>
      <c r="P65" s="27">
        <v>64</v>
      </c>
      <c r="Q65" s="2">
        <v>47271</v>
      </c>
      <c r="R65" s="90">
        <v>51008.66</v>
      </c>
      <c r="S65" s="2">
        <v>47271</v>
      </c>
      <c r="T65" s="27">
        <v>89</v>
      </c>
      <c r="U65" s="27">
        <v>3621.13</v>
      </c>
      <c r="V65" s="27">
        <v>1262.8</v>
      </c>
      <c r="W65" s="27">
        <v>1310.2</v>
      </c>
      <c r="X65" s="27">
        <v>561.66999999999996</v>
      </c>
      <c r="Y65" s="29">
        <f t="shared" si="2"/>
        <v>4931.33</v>
      </c>
      <c r="Z65" s="29">
        <v>48980</v>
      </c>
      <c r="AA65" s="41">
        <v>1925</v>
      </c>
      <c r="AB65" s="27"/>
      <c r="AC65" s="27"/>
      <c r="AD65" s="27"/>
      <c r="AE65" s="27"/>
      <c r="AF65" s="27" t="s">
        <v>399</v>
      </c>
      <c r="AG65" s="27" t="s">
        <v>404</v>
      </c>
      <c r="AH65" s="27" t="s">
        <v>403</v>
      </c>
      <c r="AI65" s="27" t="s">
        <v>402</v>
      </c>
      <c r="AJ65" s="27"/>
      <c r="AK65" s="27"/>
      <c r="AL65" s="27"/>
      <c r="AM65" s="27"/>
      <c r="AN65" s="27"/>
      <c r="AO65" s="27"/>
    </row>
    <row r="66" spans="1:41" x14ac:dyDescent="0.25">
      <c r="A66" s="27" t="s">
        <v>713</v>
      </c>
      <c r="B66" s="27" t="str">
        <f t="shared" ref="B66:B76" si="6">LEFT(A66,FIND(";",A66)-1)</f>
        <v>Arkansas</v>
      </c>
      <c r="C66" s="27" t="str">
        <f t="shared" ref="C66:C76" si="7">MID(A66,FIND(";",A66)+1,100)</f>
        <v>Sebastian</v>
      </c>
      <c r="D66" s="2">
        <v>11276</v>
      </c>
      <c r="E66" s="2"/>
      <c r="F66" s="2"/>
      <c r="G66" s="29"/>
      <c r="H66" s="29">
        <v>170</v>
      </c>
      <c r="I66" s="27"/>
      <c r="J66" s="27"/>
      <c r="K66" s="97"/>
      <c r="L66" s="97">
        <v>154</v>
      </c>
      <c r="O66" s="27">
        <v>14384</v>
      </c>
      <c r="P66" s="27">
        <v>98</v>
      </c>
      <c r="Q66" s="2">
        <v>137081</v>
      </c>
      <c r="R66" s="90">
        <v>361711.66</v>
      </c>
      <c r="S66" s="2">
        <v>137081</v>
      </c>
      <c r="T66" s="27">
        <v>106</v>
      </c>
      <c r="U66" s="27">
        <v>7361.12</v>
      </c>
      <c r="V66" s="27">
        <v>7171.82</v>
      </c>
      <c r="W66" s="27">
        <v>393.08</v>
      </c>
      <c r="X66" s="27">
        <v>2539.9</v>
      </c>
      <c r="Y66" s="29">
        <f t="shared" si="2"/>
        <v>7754.2</v>
      </c>
      <c r="Z66" s="29">
        <v>1598011</v>
      </c>
      <c r="AA66" s="41">
        <v>1925</v>
      </c>
      <c r="AB66" s="27"/>
      <c r="AC66" s="27"/>
      <c r="AD66" s="27"/>
      <c r="AE66" s="27"/>
      <c r="AF66" s="27" t="s">
        <v>399</v>
      </c>
      <c r="AG66" s="27" t="s">
        <v>404</v>
      </c>
      <c r="AH66" s="27" t="s">
        <v>403</v>
      </c>
      <c r="AI66" s="27" t="s">
        <v>402</v>
      </c>
      <c r="AJ66" s="27"/>
      <c r="AK66" s="27"/>
      <c r="AL66" s="27"/>
      <c r="AM66" s="27"/>
      <c r="AN66" s="27"/>
      <c r="AO66" s="27"/>
    </row>
    <row r="67" spans="1:41" x14ac:dyDescent="0.25">
      <c r="A67" s="27" t="s">
        <v>714</v>
      </c>
      <c r="B67" s="27" t="str">
        <f t="shared" si="6"/>
        <v>Arkansas</v>
      </c>
      <c r="C67" s="27" t="str">
        <f t="shared" si="7"/>
        <v>Sevier</v>
      </c>
      <c r="D67" s="2">
        <v>3602</v>
      </c>
      <c r="E67" s="2">
        <v>105</v>
      </c>
      <c r="F67" s="2">
        <v>12</v>
      </c>
      <c r="G67" s="29">
        <f>E67+F67</f>
        <v>117</v>
      </c>
      <c r="H67" s="29">
        <v>134</v>
      </c>
      <c r="I67" s="27">
        <v>156</v>
      </c>
      <c r="J67" s="27">
        <v>162</v>
      </c>
      <c r="K67" s="97">
        <f>((I67*M67)+(J67*N67))/(M67+N67)</f>
        <v>156.53736654804271</v>
      </c>
      <c r="L67" s="97">
        <v>120</v>
      </c>
      <c r="M67" s="27">
        <v>3070</v>
      </c>
      <c r="N67" s="27">
        <v>302</v>
      </c>
      <c r="O67" s="27">
        <v>5125</v>
      </c>
      <c r="P67" s="27">
        <v>84</v>
      </c>
      <c r="Q67" s="2">
        <v>113022</v>
      </c>
      <c r="R67" s="90">
        <v>84680.72</v>
      </c>
      <c r="S67" s="2">
        <v>113022</v>
      </c>
      <c r="T67" s="27">
        <v>71</v>
      </c>
      <c r="U67" s="27">
        <v>3599.66</v>
      </c>
      <c r="V67" s="27">
        <v>6429.94</v>
      </c>
      <c r="W67" s="27">
        <v>8621.36</v>
      </c>
      <c r="X67" s="27">
        <v>10386.120000000001</v>
      </c>
      <c r="Y67" s="29">
        <f t="shared" ref="Y67:Y76" si="8">U67+W67</f>
        <v>12221.02</v>
      </c>
      <c r="Z67" s="29">
        <v>226030</v>
      </c>
      <c r="AA67" s="41">
        <v>1925</v>
      </c>
      <c r="AB67" s="27"/>
      <c r="AC67" s="27"/>
      <c r="AD67" s="27"/>
      <c r="AE67" s="27"/>
      <c r="AF67" s="27" t="s">
        <v>399</v>
      </c>
      <c r="AG67" s="27" t="s">
        <v>404</v>
      </c>
      <c r="AH67" s="27" t="s">
        <v>403</v>
      </c>
      <c r="AI67" s="27" t="s">
        <v>402</v>
      </c>
      <c r="AJ67" s="27"/>
      <c r="AK67" s="27"/>
      <c r="AL67" s="27"/>
      <c r="AM67" s="27"/>
      <c r="AN67" s="27"/>
      <c r="AO67" s="27"/>
    </row>
    <row r="68" spans="1:41" x14ac:dyDescent="0.25">
      <c r="A68" s="27" t="s">
        <v>715</v>
      </c>
      <c r="B68" s="27" t="str">
        <f t="shared" si="6"/>
        <v>Arkansas</v>
      </c>
      <c r="C68" s="27" t="str">
        <f t="shared" si="7"/>
        <v>Sharp</v>
      </c>
      <c r="D68" s="2">
        <v>2709</v>
      </c>
      <c r="E68" s="2">
        <v>65</v>
      </c>
      <c r="F68" s="2">
        <v>29</v>
      </c>
      <c r="G68" s="29">
        <f>E68+F68</f>
        <v>94</v>
      </c>
      <c r="H68" s="29">
        <v>119</v>
      </c>
      <c r="I68" s="27">
        <v>119</v>
      </c>
      <c r="J68" s="27">
        <v>160</v>
      </c>
      <c r="K68" s="97">
        <f>((I68*M68)+(J68*N68))/(M68+N68)</f>
        <v>121.71679631230192</v>
      </c>
      <c r="L68" s="97">
        <v>116</v>
      </c>
      <c r="M68" s="27">
        <v>3241</v>
      </c>
      <c r="N68" s="27">
        <v>230</v>
      </c>
      <c r="O68" s="27">
        <v>3574</v>
      </c>
      <c r="P68" s="27">
        <v>82</v>
      </c>
      <c r="Q68" s="2">
        <v>42536</v>
      </c>
      <c r="R68" s="90">
        <v>33182.230000000003</v>
      </c>
      <c r="S68" s="2">
        <v>42536</v>
      </c>
      <c r="T68" s="27">
        <v>72</v>
      </c>
      <c r="U68" s="27">
        <v>3114.47</v>
      </c>
      <c r="W68" s="27">
        <v>142.19999999999999</v>
      </c>
      <c r="X68" s="27">
        <v>6361.42</v>
      </c>
      <c r="Y68" s="29">
        <f t="shared" si="8"/>
        <v>3256.6699999999996</v>
      </c>
      <c r="Z68" s="29">
        <v>74600</v>
      </c>
      <c r="AA68" s="41">
        <v>1925</v>
      </c>
      <c r="AB68" s="27"/>
      <c r="AC68" s="27"/>
      <c r="AD68" s="27"/>
      <c r="AE68" s="27"/>
      <c r="AF68" s="27" t="s">
        <v>399</v>
      </c>
      <c r="AG68" s="27" t="s">
        <v>404</v>
      </c>
      <c r="AH68" s="27" t="s">
        <v>403</v>
      </c>
      <c r="AI68" s="27" t="s">
        <v>402</v>
      </c>
      <c r="AJ68" s="27"/>
      <c r="AK68" s="27"/>
      <c r="AL68" s="27"/>
      <c r="AM68" s="27"/>
      <c r="AN68" s="27"/>
      <c r="AO68" s="27"/>
    </row>
    <row r="69" spans="1:41" x14ac:dyDescent="0.25">
      <c r="A69" s="27" t="s">
        <v>1747</v>
      </c>
      <c r="B69" s="27" t="str">
        <f t="shared" si="6"/>
        <v>Arkansas</v>
      </c>
      <c r="C69" s="27" t="str">
        <f t="shared" si="7"/>
        <v>St Francis</v>
      </c>
      <c r="D69" s="2">
        <v>8872</v>
      </c>
      <c r="E69" s="2"/>
      <c r="F69" s="2"/>
      <c r="G69" s="29"/>
      <c r="H69" s="29">
        <v>193</v>
      </c>
      <c r="I69" s="27"/>
      <c r="J69" s="27"/>
      <c r="K69" s="97"/>
      <c r="L69" s="97">
        <v>122</v>
      </c>
      <c r="O69" s="27">
        <v>8091</v>
      </c>
      <c r="P69" s="27">
        <v>83</v>
      </c>
      <c r="Q69" s="2">
        <v>169428</v>
      </c>
      <c r="R69" s="90">
        <v>167794.46</v>
      </c>
      <c r="S69" s="2">
        <v>169428</v>
      </c>
      <c r="T69" s="27">
        <v>94</v>
      </c>
      <c r="V69" s="27">
        <v>21502.23</v>
      </c>
      <c r="X69" s="27">
        <v>10000</v>
      </c>
      <c r="Y69" s="29">
        <f>V69+X69</f>
        <v>31502.23</v>
      </c>
      <c r="Z69" s="29">
        <v>302263</v>
      </c>
      <c r="AA69" s="41">
        <v>1925</v>
      </c>
      <c r="AB69" s="27"/>
      <c r="AC69" s="27"/>
      <c r="AD69" s="27"/>
      <c r="AE69" s="27"/>
      <c r="AF69" s="27" t="s">
        <v>399</v>
      </c>
      <c r="AG69" s="27" t="s">
        <v>404</v>
      </c>
      <c r="AH69" s="27" t="s">
        <v>403</v>
      </c>
      <c r="AI69" s="27" t="s">
        <v>402</v>
      </c>
      <c r="AJ69" s="27"/>
      <c r="AK69" s="27"/>
      <c r="AL69" s="27"/>
      <c r="AM69" s="27"/>
      <c r="AN69" s="27"/>
      <c r="AO69" s="27"/>
    </row>
    <row r="70" spans="1:41" x14ac:dyDescent="0.25">
      <c r="A70" s="27" t="s">
        <v>716</v>
      </c>
      <c r="B70" s="27" t="str">
        <f t="shared" si="6"/>
        <v>Arkansas</v>
      </c>
      <c r="C70" s="27" t="str">
        <f t="shared" si="7"/>
        <v>Stone</v>
      </c>
      <c r="D70" s="2">
        <v>1753</v>
      </c>
      <c r="E70" s="2">
        <v>77</v>
      </c>
      <c r="F70" s="2">
        <v>3</v>
      </c>
      <c r="G70" s="29">
        <f>E70+F70</f>
        <v>80</v>
      </c>
      <c r="H70" s="29">
        <v>85</v>
      </c>
      <c r="I70" s="27">
        <v>104</v>
      </c>
      <c r="J70" s="27">
        <v>160</v>
      </c>
      <c r="K70" s="97">
        <f>((I70*M70)+(J70*N70))/(M70+N70)</f>
        <v>105.68844221105527</v>
      </c>
      <c r="L70" s="97">
        <v>87</v>
      </c>
      <c r="M70" s="27">
        <v>965</v>
      </c>
      <c r="N70" s="27">
        <v>30</v>
      </c>
      <c r="O70" s="27">
        <v>2584</v>
      </c>
      <c r="P70" s="27">
        <v>65</v>
      </c>
      <c r="Q70" s="2">
        <v>30784</v>
      </c>
      <c r="R70" s="90">
        <v>28637.15</v>
      </c>
      <c r="S70" s="2">
        <v>30784</v>
      </c>
      <c r="T70" s="27">
        <v>70</v>
      </c>
      <c r="U70" s="27">
        <v>1507.04</v>
      </c>
      <c r="V70" s="27">
        <v>2151</v>
      </c>
      <c r="W70" s="27">
        <v>883.85</v>
      </c>
      <c r="X70" s="27">
        <v>402.82</v>
      </c>
      <c r="Y70" s="29">
        <f t="shared" si="8"/>
        <v>2390.89</v>
      </c>
      <c r="Z70" s="29">
        <v>46985</v>
      </c>
      <c r="AA70" s="41">
        <v>1925</v>
      </c>
      <c r="AB70" s="27"/>
      <c r="AC70" s="27"/>
      <c r="AD70" s="27"/>
      <c r="AE70" s="27"/>
      <c r="AF70" s="27" t="s">
        <v>399</v>
      </c>
      <c r="AG70" s="27" t="s">
        <v>404</v>
      </c>
      <c r="AH70" s="27" t="s">
        <v>403</v>
      </c>
      <c r="AI70" s="27" t="s">
        <v>402</v>
      </c>
      <c r="AJ70" s="27"/>
      <c r="AK70" s="27"/>
      <c r="AL70" s="27"/>
      <c r="AM70" s="27"/>
      <c r="AN70" s="27"/>
      <c r="AO70" s="27"/>
    </row>
    <row r="71" spans="1:41" x14ac:dyDescent="0.25">
      <c r="A71" s="27" t="s">
        <v>717</v>
      </c>
      <c r="B71" s="27" t="str">
        <f t="shared" si="6"/>
        <v>Arkansas</v>
      </c>
      <c r="C71" s="27" t="str">
        <f t="shared" si="7"/>
        <v>Union</v>
      </c>
      <c r="D71" s="2">
        <v>10730</v>
      </c>
      <c r="E71" s="2"/>
      <c r="F71" s="2"/>
      <c r="G71" s="29"/>
      <c r="H71" s="29">
        <v>272</v>
      </c>
      <c r="I71" s="27"/>
      <c r="J71" s="27"/>
      <c r="K71" s="97"/>
      <c r="L71" s="97">
        <v>122</v>
      </c>
      <c r="O71" s="27">
        <v>13750</v>
      </c>
      <c r="P71" s="27">
        <v>147</v>
      </c>
      <c r="Q71" s="2">
        <v>748935</v>
      </c>
      <c r="R71" s="90">
        <v>748935.59</v>
      </c>
      <c r="S71" s="2">
        <v>748935</v>
      </c>
      <c r="T71" s="27">
        <v>181</v>
      </c>
      <c r="U71" s="27">
        <v>344430.48</v>
      </c>
      <c r="V71" s="27">
        <v>344430.48</v>
      </c>
      <c r="Y71" s="29">
        <f t="shared" si="8"/>
        <v>344430.48</v>
      </c>
      <c r="Z71" s="29">
        <v>4431455</v>
      </c>
      <c r="AA71" s="41">
        <v>1925</v>
      </c>
      <c r="AB71" s="27"/>
      <c r="AC71" s="27"/>
      <c r="AD71" s="27"/>
      <c r="AE71" s="27"/>
      <c r="AF71" s="27" t="s">
        <v>399</v>
      </c>
      <c r="AG71" s="27" t="s">
        <v>404</v>
      </c>
      <c r="AH71" s="27" t="s">
        <v>403</v>
      </c>
      <c r="AI71" s="27" t="s">
        <v>402</v>
      </c>
      <c r="AJ71" s="27"/>
      <c r="AK71" s="27"/>
      <c r="AL71" s="27"/>
      <c r="AM71" s="27"/>
      <c r="AN71" s="27"/>
      <c r="AO71" s="27"/>
    </row>
    <row r="72" spans="1:41" x14ac:dyDescent="0.25">
      <c r="A72" s="27" t="s">
        <v>718</v>
      </c>
      <c r="B72" s="27" t="str">
        <f t="shared" si="6"/>
        <v>Arkansas</v>
      </c>
      <c r="C72" s="27" t="str">
        <f t="shared" si="7"/>
        <v>Van Buren</v>
      </c>
      <c r="D72" s="27">
        <v>2703</v>
      </c>
      <c r="G72" s="29"/>
      <c r="H72" s="29">
        <v>119</v>
      </c>
      <c r="I72" s="27"/>
      <c r="J72" s="27"/>
      <c r="K72" s="97"/>
      <c r="L72" s="97">
        <v>100</v>
      </c>
      <c r="O72" s="27">
        <v>4272</v>
      </c>
      <c r="P72" s="27">
        <v>60</v>
      </c>
      <c r="Q72" s="2">
        <v>42072</v>
      </c>
      <c r="R72" s="90">
        <v>38494.720000000001</v>
      </c>
      <c r="S72" s="2">
        <v>42072</v>
      </c>
      <c r="T72" s="27">
        <v>89</v>
      </c>
      <c r="U72" s="27">
        <v>2179.9899999999998</v>
      </c>
      <c r="V72" s="27">
        <v>1536.45</v>
      </c>
      <c r="W72" s="27">
        <v>1304.29</v>
      </c>
      <c r="X72" s="27">
        <v>3146.22</v>
      </c>
      <c r="Y72" s="29">
        <f t="shared" si="8"/>
        <v>3484.2799999999997</v>
      </c>
      <c r="Z72" s="29">
        <v>73575</v>
      </c>
      <c r="AA72" s="41">
        <v>1925</v>
      </c>
      <c r="AB72" s="27"/>
      <c r="AC72" s="27"/>
      <c r="AD72" s="27"/>
      <c r="AE72" s="27"/>
      <c r="AF72" s="27" t="s">
        <v>399</v>
      </c>
      <c r="AG72" s="27" t="s">
        <v>404</v>
      </c>
      <c r="AH72" s="27" t="s">
        <v>403</v>
      </c>
      <c r="AI72" s="27" t="s">
        <v>402</v>
      </c>
      <c r="AJ72" s="27"/>
      <c r="AK72" s="27"/>
      <c r="AL72" s="27"/>
      <c r="AM72" s="27"/>
      <c r="AN72" s="27"/>
      <c r="AO72" s="27"/>
    </row>
    <row r="73" spans="1:41" x14ac:dyDescent="0.25">
      <c r="A73" s="27" t="s">
        <v>719</v>
      </c>
      <c r="B73" s="27" t="str">
        <f t="shared" si="6"/>
        <v>Arkansas</v>
      </c>
      <c r="C73" s="27" t="str">
        <f t="shared" si="7"/>
        <v>Washington</v>
      </c>
      <c r="D73" s="2">
        <v>7392</v>
      </c>
      <c r="E73" s="2"/>
      <c r="F73" s="2"/>
      <c r="G73" s="29"/>
      <c r="H73" s="29">
        <v>248</v>
      </c>
      <c r="I73" s="27"/>
      <c r="J73" s="27"/>
      <c r="K73" s="97"/>
      <c r="L73" s="97">
        <v>136</v>
      </c>
      <c r="O73" s="27">
        <v>10205</v>
      </c>
      <c r="P73" s="27">
        <v>93</v>
      </c>
      <c r="Q73" s="2">
        <v>196110</v>
      </c>
      <c r="R73" s="90">
        <v>256018.74</v>
      </c>
      <c r="S73" s="2">
        <v>196110</v>
      </c>
      <c r="T73" s="27">
        <v>165</v>
      </c>
      <c r="V73" s="27">
        <v>11802.75</v>
      </c>
      <c r="W73" s="27">
        <v>253396.43</v>
      </c>
      <c r="X73" s="27">
        <v>6000</v>
      </c>
      <c r="Y73" s="29">
        <f>V73+W73</f>
        <v>265199.18</v>
      </c>
      <c r="Z73" s="29">
        <v>338697</v>
      </c>
      <c r="AA73" s="41">
        <v>1925</v>
      </c>
      <c r="AB73" s="27"/>
      <c r="AC73" s="27"/>
      <c r="AD73" s="27"/>
      <c r="AE73" s="27"/>
      <c r="AF73" s="27" t="s">
        <v>399</v>
      </c>
      <c r="AG73" s="27" t="s">
        <v>404</v>
      </c>
      <c r="AH73" s="27" t="s">
        <v>403</v>
      </c>
      <c r="AI73" s="27" t="s">
        <v>402</v>
      </c>
      <c r="AJ73" s="27"/>
      <c r="AK73" s="27"/>
      <c r="AL73" s="27"/>
      <c r="AM73" s="27"/>
      <c r="AN73" s="27"/>
      <c r="AO73" s="27"/>
    </row>
    <row r="74" spans="1:41" x14ac:dyDescent="0.25">
      <c r="A74" s="27" t="s">
        <v>720</v>
      </c>
      <c r="B74" s="27" t="str">
        <f t="shared" si="6"/>
        <v>Arkansas</v>
      </c>
      <c r="C74" s="27" t="str">
        <f t="shared" si="7"/>
        <v>White</v>
      </c>
      <c r="D74" s="2">
        <v>8836</v>
      </c>
      <c r="E74" s="2"/>
      <c r="F74" s="2"/>
      <c r="G74" s="29"/>
      <c r="H74" s="29">
        <v>288</v>
      </c>
      <c r="I74" s="27"/>
      <c r="J74" s="27"/>
      <c r="K74" s="97"/>
      <c r="L74" s="97">
        <v>128</v>
      </c>
      <c r="O74" s="27">
        <v>11031</v>
      </c>
      <c r="P74" s="27">
        <v>61</v>
      </c>
      <c r="Q74" s="2">
        <v>126163</v>
      </c>
      <c r="R74" s="90">
        <v>126163.97</v>
      </c>
      <c r="S74" s="2">
        <v>126163</v>
      </c>
      <c r="T74" s="27">
        <v>138</v>
      </c>
      <c r="U74" s="27">
        <v>12268.95</v>
      </c>
      <c r="V74" s="27">
        <v>12268.95</v>
      </c>
      <c r="W74" s="27">
        <v>12268.95</v>
      </c>
      <c r="X74" s="27">
        <v>12268.95</v>
      </c>
      <c r="Y74" s="29">
        <f t="shared" si="8"/>
        <v>24537.9</v>
      </c>
      <c r="Z74" s="29">
        <v>397645</v>
      </c>
      <c r="AA74" s="41">
        <v>1925</v>
      </c>
      <c r="AB74" s="27"/>
      <c r="AC74" s="27"/>
      <c r="AD74" s="27"/>
      <c r="AE74" s="27"/>
      <c r="AF74" s="27" t="s">
        <v>399</v>
      </c>
      <c r="AG74" s="27" t="s">
        <v>404</v>
      </c>
      <c r="AH74" s="27" t="s">
        <v>403</v>
      </c>
      <c r="AI74" s="27" t="s">
        <v>402</v>
      </c>
      <c r="AJ74" s="27"/>
      <c r="AK74" s="27"/>
      <c r="AL74" s="27"/>
      <c r="AM74" s="27"/>
      <c r="AN74" s="27"/>
      <c r="AO74" s="27"/>
    </row>
    <row r="75" spans="1:41" x14ac:dyDescent="0.25">
      <c r="A75" s="27" t="s">
        <v>721</v>
      </c>
      <c r="B75" s="27" t="str">
        <f t="shared" si="6"/>
        <v>Arkansas</v>
      </c>
      <c r="C75" s="27" t="str">
        <f t="shared" si="7"/>
        <v>Woodruff</v>
      </c>
      <c r="D75" s="2">
        <v>3976</v>
      </c>
      <c r="E75" s="2">
        <v>79</v>
      </c>
      <c r="F75" s="2">
        <v>16</v>
      </c>
      <c r="G75" s="29">
        <f>E75+F75</f>
        <v>95</v>
      </c>
      <c r="H75" s="29">
        <v>137</v>
      </c>
      <c r="I75" s="27">
        <v>120</v>
      </c>
      <c r="J75" s="27">
        <v>180</v>
      </c>
      <c r="K75" s="97">
        <f>((I75*M75)+(J75*N75))/(M75+N75)</f>
        <v>126.20491541653368</v>
      </c>
      <c r="L75" s="97">
        <v>122</v>
      </c>
      <c r="M75" s="27">
        <v>2809</v>
      </c>
      <c r="N75" s="27">
        <v>324</v>
      </c>
      <c r="O75" s="27">
        <v>5573</v>
      </c>
      <c r="P75" s="27">
        <v>76</v>
      </c>
      <c r="Q75" s="2">
        <v>115737</v>
      </c>
      <c r="R75" s="90">
        <v>127124.43</v>
      </c>
      <c r="S75" s="2">
        <v>115737</v>
      </c>
      <c r="T75" s="27">
        <v>65</v>
      </c>
      <c r="V75" s="27">
        <v>1710.81</v>
      </c>
      <c r="Y75" s="29">
        <f>V75</f>
        <v>1710.81</v>
      </c>
      <c r="Z75" s="29">
        <v>246811</v>
      </c>
      <c r="AA75" s="41">
        <v>1925</v>
      </c>
      <c r="AB75" s="27"/>
      <c r="AC75" s="27"/>
      <c r="AD75" s="27"/>
      <c r="AE75" s="27"/>
      <c r="AF75" s="27" t="s">
        <v>399</v>
      </c>
      <c r="AG75" s="27" t="s">
        <v>404</v>
      </c>
      <c r="AH75" s="27" t="s">
        <v>403</v>
      </c>
      <c r="AI75" s="27" t="s">
        <v>402</v>
      </c>
      <c r="AJ75" s="27"/>
      <c r="AK75" s="27"/>
      <c r="AL75" s="27"/>
      <c r="AM75" s="27"/>
      <c r="AN75" s="27"/>
      <c r="AO75" s="27"/>
    </row>
    <row r="76" spans="1:41" x14ac:dyDescent="0.25">
      <c r="A76" s="27" t="s">
        <v>722</v>
      </c>
      <c r="B76" s="27" t="str">
        <f t="shared" si="6"/>
        <v>Arkansas</v>
      </c>
      <c r="C76" s="27" t="str">
        <f t="shared" si="7"/>
        <v>Yell</v>
      </c>
      <c r="D76" s="27">
        <v>5686</v>
      </c>
      <c r="E76" s="27">
        <v>132</v>
      </c>
      <c r="F76" s="27">
        <v>20</v>
      </c>
      <c r="G76" s="29">
        <f>E76+F76</f>
        <v>152</v>
      </c>
      <c r="H76" s="29">
        <v>159</v>
      </c>
      <c r="I76" s="27"/>
      <c r="J76" s="27"/>
      <c r="K76" s="97"/>
      <c r="L76" s="97">
        <v>128</v>
      </c>
      <c r="M76" s="27">
        <v>3480</v>
      </c>
      <c r="N76" s="27">
        <v>316</v>
      </c>
      <c r="O76" s="27">
        <v>7555</v>
      </c>
      <c r="P76" s="27">
        <v>72</v>
      </c>
      <c r="Q76" s="2">
        <v>104162</v>
      </c>
      <c r="R76" s="90" t="s">
        <v>2126</v>
      </c>
      <c r="S76" s="2">
        <v>104162</v>
      </c>
      <c r="T76" s="27">
        <v>102</v>
      </c>
      <c r="X76" s="27">
        <v>21000</v>
      </c>
      <c r="Y76" s="29">
        <f t="shared" si="8"/>
        <v>0</v>
      </c>
      <c r="Z76" s="29">
        <v>196480</v>
      </c>
      <c r="AA76" s="41">
        <v>1925</v>
      </c>
      <c r="AB76" s="27"/>
      <c r="AC76" s="27"/>
      <c r="AD76" s="27"/>
      <c r="AE76" s="27"/>
      <c r="AF76" s="27" t="s">
        <v>399</v>
      </c>
      <c r="AG76" s="27" t="s">
        <v>404</v>
      </c>
      <c r="AH76" s="27" t="s">
        <v>403</v>
      </c>
      <c r="AI76" s="27" t="s">
        <v>402</v>
      </c>
      <c r="AJ76" s="27"/>
      <c r="AK76" s="27"/>
      <c r="AL76" s="27"/>
      <c r="AM76" s="27"/>
      <c r="AN76" s="27"/>
      <c r="AO76" s="27"/>
    </row>
    <row r="77" spans="1:41" x14ac:dyDescent="0.25">
      <c r="L77" s="97"/>
    </row>
  </sheetData>
  <pageMargins left="0.75" right="0.75" top="1" bottom="1" header="0.5" footer="0.5"/>
  <pageSetup orientation="portrait" horizontalDpi="4294967292" verticalDpi="4294967292"/>
  <ignoredErrors>
    <ignoredError sqref="Y15 Y20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5"/>
  <sheetViews>
    <sheetView workbookViewId="0"/>
  </sheetViews>
  <sheetFormatPr defaultColWidth="8.85546875" defaultRowHeight="15" x14ac:dyDescent="0.25"/>
  <cols>
    <col min="2" max="2" width="20.7109375" bestFit="1" customWidth="1"/>
    <col min="3" max="3" width="8.85546875" style="27"/>
    <col min="5" max="5" width="14" bestFit="1" customWidth="1"/>
    <col min="6" max="6" width="65" bestFit="1" customWidth="1"/>
    <col min="7" max="7" width="13.28515625" bestFit="1" customWidth="1"/>
  </cols>
  <sheetData>
    <row r="1" spans="1:7" x14ac:dyDescent="0.25">
      <c r="A1" s="27" t="s">
        <v>2</v>
      </c>
      <c r="B1" s="27" t="s">
        <v>0</v>
      </c>
      <c r="C1" s="27" t="s">
        <v>578</v>
      </c>
      <c r="D1" s="27" t="s">
        <v>1</v>
      </c>
      <c r="E1" s="27" t="s">
        <v>251</v>
      </c>
      <c r="F1" s="27" t="s">
        <v>214</v>
      </c>
      <c r="G1" t="s">
        <v>3</v>
      </c>
    </row>
    <row r="2" spans="1:7" x14ac:dyDescent="0.25">
      <c r="A2" s="27" t="s">
        <v>5</v>
      </c>
      <c r="B2" s="27" t="s">
        <v>55</v>
      </c>
      <c r="D2" s="27">
        <v>1914</v>
      </c>
      <c r="E2" s="27">
        <v>1</v>
      </c>
      <c r="F2" s="27" t="s">
        <v>1978</v>
      </c>
    </row>
    <row r="3" spans="1:7" x14ac:dyDescent="0.25">
      <c r="A3" s="27" t="s">
        <v>5</v>
      </c>
      <c r="B3" s="27" t="s">
        <v>54</v>
      </c>
      <c r="D3" s="27">
        <v>1915</v>
      </c>
      <c r="E3" s="27">
        <v>1</v>
      </c>
      <c r="F3" s="27" t="s">
        <v>1978</v>
      </c>
    </row>
    <row r="4" spans="1:7" x14ac:dyDescent="0.25">
      <c r="A4" s="27" t="s">
        <v>5</v>
      </c>
      <c r="B4" s="27" t="s">
        <v>30</v>
      </c>
      <c r="D4" s="27">
        <v>1917</v>
      </c>
      <c r="E4" s="27">
        <v>1</v>
      </c>
      <c r="F4" s="27" t="s">
        <v>1978</v>
      </c>
    </row>
    <row r="5" spans="1:7" x14ac:dyDescent="0.25">
      <c r="A5" s="27" t="s">
        <v>5</v>
      </c>
      <c r="B5" s="27" t="s">
        <v>52</v>
      </c>
      <c r="D5" s="27">
        <v>1918</v>
      </c>
      <c r="E5" s="27">
        <v>1</v>
      </c>
      <c r="F5" s="27" t="s">
        <v>1978</v>
      </c>
    </row>
    <row r="6" spans="1:7" x14ac:dyDescent="0.25">
      <c r="A6" s="27" t="s">
        <v>5</v>
      </c>
      <c r="B6" s="27" t="s">
        <v>32</v>
      </c>
      <c r="D6" s="27">
        <v>1918</v>
      </c>
      <c r="E6" s="27">
        <v>1</v>
      </c>
      <c r="F6" s="27" t="s">
        <v>1978</v>
      </c>
    </row>
    <row r="7" spans="1:7" x14ac:dyDescent="0.25">
      <c r="A7" s="27" t="s">
        <v>5</v>
      </c>
      <c r="B7" s="27" t="s">
        <v>38</v>
      </c>
      <c r="D7" s="27">
        <v>1918</v>
      </c>
      <c r="E7" s="27">
        <v>1</v>
      </c>
      <c r="F7" s="27" t="s">
        <v>1978</v>
      </c>
    </row>
    <row r="8" spans="1:7" x14ac:dyDescent="0.25">
      <c r="A8" s="27" t="s">
        <v>5</v>
      </c>
      <c r="B8" s="27" t="s">
        <v>51</v>
      </c>
      <c r="D8" s="27">
        <v>1918</v>
      </c>
      <c r="E8" s="27">
        <v>1</v>
      </c>
      <c r="F8" s="27" t="s">
        <v>1978</v>
      </c>
    </row>
    <row r="9" spans="1:7" x14ac:dyDescent="0.25">
      <c r="A9" s="27" t="s">
        <v>5</v>
      </c>
      <c r="B9" s="27" t="s">
        <v>568</v>
      </c>
      <c r="D9" s="27">
        <v>1918</v>
      </c>
      <c r="E9" s="27">
        <v>1</v>
      </c>
      <c r="F9" s="27" t="s">
        <v>1978</v>
      </c>
    </row>
    <row r="10" spans="1:7" x14ac:dyDescent="0.25">
      <c r="A10" s="27" t="s">
        <v>5</v>
      </c>
      <c r="B10" s="27" t="s">
        <v>42</v>
      </c>
      <c r="D10" s="27">
        <v>1919</v>
      </c>
      <c r="E10" s="27">
        <v>2</v>
      </c>
      <c r="F10" s="27" t="s">
        <v>1978</v>
      </c>
    </row>
    <row r="11" spans="1:7" x14ac:dyDescent="0.25">
      <c r="A11" s="27" t="s">
        <v>5</v>
      </c>
      <c r="B11" s="27" t="s">
        <v>45</v>
      </c>
      <c r="D11" s="27">
        <v>1919</v>
      </c>
      <c r="E11" s="27">
        <v>2</v>
      </c>
      <c r="F11" s="27" t="s">
        <v>1978</v>
      </c>
    </row>
    <row r="12" spans="1:7" x14ac:dyDescent="0.25">
      <c r="A12" s="27" t="s">
        <v>5</v>
      </c>
      <c r="B12" s="27" t="s">
        <v>24</v>
      </c>
      <c r="D12" s="27">
        <v>1919</v>
      </c>
      <c r="E12" s="27">
        <v>1</v>
      </c>
      <c r="F12" s="27" t="s">
        <v>1978</v>
      </c>
    </row>
    <row r="13" spans="1:7" x14ac:dyDescent="0.25">
      <c r="A13" s="27" t="s">
        <v>5</v>
      </c>
      <c r="B13" s="27" t="s">
        <v>15</v>
      </c>
      <c r="D13" s="27">
        <v>1919</v>
      </c>
      <c r="E13" s="27">
        <v>1</v>
      </c>
      <c r="F13" s="27" t="s">
        <v>1978</v>
      </c>
    </row>
    <row r="14" spans="1:7" x14ac:dyDescent="0.25">
      <c r="A14" s="27" t="s">
        <v>5</v>
      </c>
      <c r="B14" s="27" t="s">
        <v>569</v>
      </c>
      <c r="D14" s="27">
        <v>1920</v>
      </c>
      <c r="E14" s="27">
        <v>1</v>
      </c>
      <c r="F14" s="27" t="s">
        <v>1978</v>
      </c>
    </row>
    <row r="15" spans="1:7" x14ac:dyDescent="0.25">
      <c r="A15" s="27" t="s">
        <v>5</v>
      </c>
      <c r="B15" s="27" t="s">
        <v>6</v>
      </c>
      <c r="D15" s="27">
        <v>1921</v>
      </c>
      <c r="E15" s="27">
        <v>1</v>
      </c>
      <c r="F15" s="27" t="s">
        <v>1978</v>
      </c>
    </row>
    <row r="16" spans="1:7" x14ac:dyDescent="0.25">
      <c r="A16" s="27" t="s">
        <v>5</v>
      </c>
      <c r="B16" s="27" t="s">
        <v>21</v>
      </c>
      <c r="D16" s="27">
        <v>1921</v>
      </c>
      <c r="E16" s="27">
        <v>1</v>
      </c>
      <c r="F16" s="27" t="s">
        <v>1978</v>
      </c>
    </row>
    <row r="17" spans="1:6" x14ac:dyDescent="0.25">
      <c r="A17" s="27" t="s">
        <v>5</v>
      </c>
      <c r="B17" s="27" t="s">
        <v>7</v>
      </c>
      <c r="D17" s="27">
        <v>1922</v>
      </c>
      <c r="E17" s="27">
        <v>1</v>
      </c>
      <c r="F17" s="27" t="s">
        <v>1978</v>
      </c>
    </row>
    <row r="18" spans="1:6" x14ac:dyDescent="0.25">
      <c r="A18" s="27" t="s">
        <v>5</v>
      </c>
      <c r="B18" s="27" t="s">
        <v>28</v>
      </c>
      <c r="D18" s="27">
        <v>1922</v>
      </c>
      <c r="E18" s="27">
        <v>1</v>
      </c>
      <c r="F18" s="27" t="s">
        <v>1978</v>
      </c>
    </row>
    <row r="19" spans="1:6" x14ac:dyDescent="0.25">
      <c r="A19" s="27" t="s">
        <v>5</v>
      </c>
      <c r="B19" s="27" t="s">
        <v>17</v>
      </c>
      <c r="D19" s="27">
        <v>1922</v>
      </c>
      <c r="E19" s="27">
        <v>1</v>
      </c>
      <c r="F19" s="27" t="s">
        <v>1978</v>
      </c>
    </row>
    <row r="20" spans="1:6" x14ac:dyDescent="0.25">
      <c r="A20" s="27" t="s">
        <v>5</v>
      </c>
      <c r="B20" s="27" t="s">
        <v>23</v>
      </c>
      <c r="D20" s="27">
        <v>1923</v>
      </c>
      <c r="E20" s="27">
        <v>1</v>
      </c>
      <c r="F20" s="27" t="s">
        <v>1978</v>
      </c>
    </row>
    <row r="21" spans="1:6" x14ac:dyDescent="0.25">
      <c r="A21" s="27" t="s">
        <v>5</v>
      </c>
      <c r="B21" s="27" t="s">
        <v>35</v>
      </c>
      <c r="D21" s="27">
        <v>1923</v>
      </c>
      <c r="E21" s="27">
        <v>1</v>
      </c>
      <c r="F21" s="27" t="s">
        <v>1978</v>
      </c>
    </row>
    <row r="22" spans="1:6" x14ac:dyDescent="0.25">
      <c r="A22" s="27" t="s">
        <v>5</v>
      </c>
      <c r="B22" s="27" t="s">
        <v>26</v>
      </c>
      <c r="D22" s="27">
        <v>1923</v>
      </c>
      <c r="E22" s="27">
        <v>1</v>
      </c>
      <c r="F22" s="27" t="s">
        <v>1979</v>
      </c>
    </row>
    <row r="23" spans="1:6" x14ac:dyDescent="0.25">
      <c r="A23" s="27" t="s">
        <v>5</v>
      </c>
      <c r="B23" s="27" t="s">
        <v>41</v>
      </c>
      <c r="D23" s="27">
        <v>1924</v>
      </c>
      <c r="E23" s="27">
        <v>1</v>
      </c>
      <c r="F23" s="27" t="s">
        <v>1979</v>
      </c>
    </row>
    <row r="24" spans="1:6" x14ac:dyDescent="0.25">
      <c r="A24" s="27" t="s">
        <v>5</v>
      </c>
      <c r="B24" s="27" t="s">
        <v>39</v>
      </c>
      <c r="D24" s="27">
        <v>1924</v>
      </c>
      <c r="E24" s="27">
        <v>1</v>
      </c>
      <c r="F24" s="27" t="s">
        <v>1979</v>
      </c>
    </row>
    <row r="25" spans="1:6" x14ac:dyDescent="0.25">
      <c r="A25" s="27" t="s">
        <v>5</v>
      </c>
      <c r="B25" s="27" t="s">
        <v>29</v>
      </c>
      <c r="D25" s="27">
        <v>1925</v>
      </c>
      <c r="E25" s="27">
        <v>1</v>
      </c>
      <c r="F25" s="27" t="s">
        <v>1979</v>
      </c>
    </row>
    <row r="26" spans="1:6" x14ac:dyDescent="0.25">
      <c r="A26" s="27" t="s">
        <v>5</v>
      </c>
      <c r="B26" s="27" t="s">
        <v>14</v>
      </c>
      <c r="D26" s="27">
        <v>1925</v>
      </c>
      <c r="E26" s="27">
        <v>1</v>
      </c>
      <c r="F26" s="27" t="s">
        <v>1979</v>
      </c>
    </row>
    <row r="27" spans="1:6" x14ac:dyDescent="0.25">
      <c r="A27" s="27" t="s">
        <v>5</v>
      </c>
      <c r="B27" s="27" t="s">
        <v>33</v>
      </c>
      <c r="D27" s="27">
        <v>1925</v>
      </c>
      <c r="E27" s="27">
        <v>1</v>
      </c>
      <c r="F27" s="27" t="s">
        <v>1979</v>
      </c>
    </row>
    <row r="28" spans="1:6" x14ac:dyDescent="0.25">
      <c r="A28" s="27" t="s">
        <v>5</v>
      </c>
      <c r="B28" s="27" t="s">
        <v>34</v>
      </c>
      <c r="D28" s="27">
        <v>1925</v>
      </c>
      <c r="E28" s="27">
        <v>1</v>
      </c>
      <c r="F28" s="27" t="s">
        <v>1979</v>
      </c>
    </row>
    <row r="29" spans="1:6" x14ac:dyDescent="0.25">
      <c r="A29" s="27" t="s">
        <v>5</v>
      </c>
      <c r="B29" s="27" t="s">
        <v>11</v>
      </c>
      <c r="D29" s="27">
        <v>1926</v>
      </c>
      <c r="E29" s="27">
        <v>1</v>
      </c>
      <c r="F29" s="27" t="s">
        <v>1979</v>
      </c>
    </row>
    <row r="30" spans="1:6" x14ac:dyDescent="0.25">
      <c r="A30" s="27" t="s">
        <v>5</v>
      </c>
      <c r="B30" s="27" t="s">
        <v>53</v>
      </c>
      <c r="D30" s="27">
        <v>1926</v>
      </c>
      <c r="E30" s="27">
        <v>1</v>
      </c>
      <c r="F30" s="27" t="s">
        <v>1979</v>
      </c>
    </row>
    <row r="31" spans="1:6" x14ac:dyDescent="0.25">
      <c r="A31" s="27" t="s">
        <v>5</v>
      </c>
      <c r="B31" s="27" t="s">
        <v>22</v>
      </c>
      <c r="D31" s="27">
        <v>1927</v>
      </c>
      <c r="E31" s="27">
        <v>1</v>
      </c>
      <c r="F31" s="27" t="s">
        <v>1979</v>
      </c>
    </row>
    <row r="32" spans="1:6" x14ac:dyDescent="0.25">
      <c r="A32" s="27" t="s">
        <v>5</v>
      </c>
      <c r="B32" s="27" t="s">
        <v>19</v>
      </c>
      <c r="D32" s="27">
        <v>1927</v>
      </c>
      <c r="E32" s="27">
        <v>1</v>
      </c>
      <c r="F32" s="27" t="s">
        <v>1979</v>
      </c>
    </row>
    <row r="33" spans="1:6" x14ac:dyDescent="0.25">
      <c r="A33" s="27" t="s">
        <v>5</v>
      </c>
      <c r="B33" s="27" t="s">
        <v>20</v>
      </c>
      <c r="D33" s="27">
        <v>1927</v>
      </c>
      <c r="E33" s="27">
        <v>1</v>
      </c>
      <c r="F33" s="27" t="s">
        <v>1979</v>
      </c>
    </row>
    <row r="34" spans="1:6" x14ac:dyDescent="0.25">
      <c r="A34" s="27" t="s">
        <v>5</v>
      </c>
      <c r="B34" s="27" t="s">
        <v>44</v>
      </c>
      <c r="D34" s="27">
        <v>1927</v>
      </c>
      <c r="E34" s="27">
        <v>1</v>
      </c>
      <c r="F34" s="27" t="s">
        <v>1979</v>
      </c>
    </row>
    <row r="35" spans="1:6" x14ac:dyDescent="0.25">
      <c r="A35" s="27" t="s">
        <v>5</v>
      </c>
      <c r="B35" s="27" t="s">
        <v>56</v>
      </c>
      <c r="D35" s="27">
        <v>1928</v>
      </c>
      <c r="E35" s="27">
        <v>1</v>
      </c>
      <c r="F35" s="27" t="s">
        <v>1979</v>
      </c>
    </row>
    <row r="36" spans="1:6" x14ac:dyDescent="0.25">
      <c r="A36" s="27" t="s">
        <v>5</v>
      </c>
      <c r="B36" s="27" t="s">
        <v>376</v>
      </c>
      <c r="D36" s="27">
        <v>1928</v>
      </c>
      <c r="E36" s="27">
        <v>1</v>
      </c>
      <c r="F36" s="27" t="s">
        <v>1979</v>
      </c>
    </row>
    <row r="37" spans="1:6" x14ac:dyDescent="0.25">
      <c r="A37" s="27" t="s">
        <v>5</v>
      </c>
      <c r="B37" s="27" t="s">
        <v>47</v>
      </c>
      <c r="D37" s="27">
        <v>1928</v>
      </c>
      <c r="E37" s="27">
        <v>1</v>
      </c>
      <c r="F37" s="27" t="s">
        <v>1979</v>
      </c>
    </row>
    <row r="38" spans="1:6" x14ac:dyDescent="0.25">
      <c r="A38" s="27" t="s">
        <v>5</v>
      </c>
      <c r="B38" s="27" t="s">
        <v>57</v>
      </c>
      <c r="D38" s="27">
        <v>1928</v>
      </c>
      <c r="E38" s="27">
        <v>1</v>
      </c>
      <c r="F38" s="27" t="s">
        <v>1979</v>
      </c>
    </row>
    <row r="39" spans="1:6" x14ac:dyDescent="0.25">
      <c r="A39" s="27" t="s">
        <v>5</v>
      </c>
      <c r="B39" s="27" t="s">
        <v>12</v>
      </c>
      <c r="D39" s="27">
        <v>1928</v>
      </c>
      <c r="E39" s="27">
        <v>1</v>
      </c>
      <c r="F39" s="27" t="s">
        <v>1979</v>
      </c>
    </row>
    <row r="40" spans="1:6" x14ac:dyDescent="0.25">
      <c r="A40" s="27" t="s">
        <v>5</v>
      </c>
      <c r="B40" s="27" t="s">
        <v>13</v>
      </c>
      <c r="D40" s="27">
        <v>1928</v>
      </c>
      <c r="E40" s="27">
        <v>1</v>
      </c>
      <c r="F40" s="27" t="s">
        <v>1979</v>
      </c>
    </row>
    <row r="41" spans="1:6" x14ac:dyDescent="0.25">
      <c r="A41" s="27" t="s">
        <v>5</v>
      </c>
      <c r="B41" s="27" t="s">
        <v>18</v>
      </c>
      <c r="D41" s="27">
        <v>1928</v>
      </c>
      <c r="E41" s="27">
        <v>1</v>
      </c>
      <c r="F41" s="27" t="s">
        <v>1979</v>
      </c>
    </row>
    <row r="42" spans="1:6" x14ac:dyDescent="0.25">
      <c r="A42" s="27" t="s">
        <v>5</v>
      </c>
      <c r="B42" s="27" t="s">
        <v>37</v>
      </c>
      <c r="D42" s="27">
        <v>1928</v>
      </c>
      <c r="E42" s="27">
        <v>1</v>
      </c>
      <c r="F42" s="27" t="s">
        <v>1979</v>
      </c>
    </row>
    <row r="43" spans="1:6" x14ac:dyDescent="0.25">
      <c r="A43" s="27" t="s">
        <v>5</v>
      </c>
      <c r="B43" s="27" t="s">
        <v>36</v>
      </c>
      <c r="D43" s="27">
        <v>1928</v>
      </c>
      <c r="E43" s="27">
        <v>1</v>
      </c>
      <c r="F43" s="27" t="s">
        <v>1979</v>
      </c>
    </row>
    <row r="44" spans="1:6" x14ac:dyDescent="0.25">
      <c r="A44" s="27" t="s">
        <v>5</v>
      </c>
      <c r="B44" s="27" t="s">
        <v>10</v>
      </c>
      <c r="D44" s="27">
        <v>1928</v>
      </c>
      <c r="E44" s="27">
        <v>1</v>
      </c>
      <c r="F44" s="27" t="s">
        <v>1979</v>
      </c>
    </row>
    <row r="45" spans="1:6" x14ac:dyDescent="0.25">
      <c r="A45" s="27" t="s">
        <v>5</v>
      </c>
      <c r="B45" s="27" t="s">
        <v>570</v>
      </c>
      <c r="D45" s="27">
        <v>1928</v>
      </c>
      <c r="E45" s="27">
        <v>1</v>
      </c>
      <c r="F45" s="27" t="s">
        <v>1979</v>
      </c>
    </row>
    <row r="46" spans="1:6" x14ac:dyDescent="0.25">
      <c r="A46" s="27" t="s">
        <v>5</v>
      </c>
      <c r="B46" s="27" t="s">
        <v>9</v>
      </c>
      <c r="D46" s="27">
        <v>1928</v>
      </c>
      <c r="E46" s="27">
        <v>1</v>
      </c>
      <c r="F46" s="27" t="s">
        <v>1979</v>
      </c>
    </row>
    <row r="47" spans="1:6" x14ac:dyDescent="0.25">
      <c r="A47" s="27" t="s">
        <v>5</v>
      </c>
      <c r="B47" s="27" t="s">
        <v>16</v>
      </c>
      <c r="D47" s="27">
        <v>1928</v>
      </c>
      <c r="E47" s="27">
        <v>1</v>
      </c>
      <c r="F47" s="27" t="s">
        <v>1979</v>
      </c>
    </row>
    <row r="48" spans="1:6" x14ac:dyDescent="0.25">
      <c r="A48" s="27" t="s">
        <v>5</v>
      </c>
      <c r="B48" s="27" t="s">
        <v>92</v>
      </c>
      <c r="D48" s="27">
        <v>1928</v>
      </c>
      <c r="E48" s="27">
        <v>1</v>
      </c>
      <c r="F48" s="27" t="s">
        <v>1979</v>
      </c>
    </row>
    <row r="49" spans="1:6" x14ac:dyDescent="0.25">
      <c r="A49" s="27" t="s">
        <v>5</v>
      </c>
      <c r="B49" s="27" t="s">
        <v>50</v>
      </c>
      <c r="D49" s="27">
        <v>1929</v>
      </c>
      <c r="E49" s="27">
        <v>1</v>
      </c>
      <c r="F49" s="27" t="s">
        <v>1979</v>
      </c>
    </row>
    <row r="50" spans="1:6" x14ac:dyDescent="0.25">
      <c r="A50" s="27" t="s">
        <v>5</v>
      </c>
      <c r="B50" s="27" t="s">
        <v>571</v>
      </c>
      <c r="D50" s="27">
        <v>1929</v>
      </c>
      <c r="E50" s="27">
        <v>1</v>
      </c>
      <c r="F50" s="27" t="s">
        <v>1979</v>
      </c>
    </row>
    <row r="51" spans="1:6" x14ac:dyDescent="0.25">
      <c r="A51" s="27"/>
      <c r="B51" s="27"/>
      <c r="D51" s="27"/>
      <c r="E51" s="27">
        <v>51</v>
      </c>
      <c r="F51" s="27"/>
    </row>
    <row r="52" spans="1:6" x14ac:dyDescent="0.25">
      <c r="A52" s="27" t="s">
        <v>61</v>
      </c>
      <c r="B52" s="27" t="s">
        <v>81</v>
      </c>
      <c r="D52" s="27">
        <v>1925</v>
      </c>
      <c r="E52" s="27">
        <v>1</v>
      </c>
      <c r="F52" s="27" t="s">
        <v>1980</v>
      </c>
    </row>
    <row r="53" spans="1:6" x14ac:dyDescent="0.25">
      <c r="A53" s="27" t="s">
        <v>61</v>
      </c>
      <c r="B53" s="27" t="s">
        <v>78</v>
      </c>
      <c r="D53" s="27">
        <v>1925</v>
      </c>
      <c r="E53" s="27">
        <v>1</v>
      </c>
      <c r="F53" s="27" t="s">
        <v>1980</v>
      </c>
    </row>
    <row r="54" spans="1:6" x14ac:dyDescent="0.25">
      <c r="A54" s="27" t="s">
        <v>61</v>
      </c>
      <c r="B54" s="27" t="s">
        <v>30</v>
      </c>
      <c r="D54" s="27">
        <v>1925</v>
      </c>
      <c r="E54" s="27">
        <v>1</v>
      </c>
      <c r="F54" s="27" t="s">
        <v>1980</v>
      </c>
    </row>
    <row r="55" spans="1:6" x14ac:dyDescent="0.25">
      <c r="A55" s="27" t="s">
        <v>61</v>
      </c>
      <c r="B55" s="27" t="s">
        <v>69</v>
      </c>
      <c r="D55" s="27">
        <v>1925</v>
      </c>
      <c r="E55" s="27">
        <v>1</v>
      </c>
      <c r="F55" s="27" t="s">
        <v>1980</v>
      </c>
    </row>
    <row r="56" spans="1:6" x14ac:dyDescent="0.25">
      <c r="A56" s="27" t="s">
        <v>61</v>
      </c>
      <c r="B56" s="27" t="s">
        <v>29</v>
      </c>
      <c r="D56" s="27">
        <v>1927</v>
      </c>
      <c r="E56" s="27">
        <v>1</v>
      </c>
      <c r="F56" s="27" t="s">
        <v>1980</v>
      </c>
    </row>
    <row r="57" spans="1:6" x14ac:dyDescent="0.25">
      <c r="A57" s="27" t="s">
        <v>61</v>
      </c>
      <c r="B57" s="27" t="s">
        <v>73</v>
      </c>
      <c r="D57" s="27">
        <v>1927</v>
      </c>
      <c r="E57" s="27">
        <v>1</v>
      </c>
      <c r="F57" s="27" t="s">
        <v>1980</v>
      </c>
    </row>
    <row r="58" spans="1:6" x14ac:dyDescent="0.25">
      <c r="A58" s="27" t="s">
        <v>61</v>
      </c>
      <c r="B58" s="27" t="s">
        <v>76</v>
      </c>
      <c r="D58" s="27">
        <v>1927</v>
      </c>
      <c r="E58" s="27">
        <v>1</v>
      </c>
      <c r="F58" s="27" t="s">
        <v>1980</v>
      </c>
    </row>
    <row r="59" spans="1:6" x14ac:dyDescent="0.25">
      <c r="A59" s="27" t="s">
        <v>61</v>
      </c>
      <c r="B59" s="27" t="s">
        <v>83</v>
      </c>
      <c r="D59" s="27">
        <v>1927</v>
      </c>
      <c r="E59" s="27">
        <v>1</v>
      </c>
      <c r="F59" s="27" t="s">
        <v>1980</v>
      </c>
    </row>
    <row r="60" spans="1:6" x14ac:dyDescent="0.25">
      <c r="A60" s="27" t="s">
        <v>61</v>
      </c>
      <c r="B60" s="27" t="s">
        <v>79</v>
      </c>
      <c r="D60" s="27">
        <v>1927</v>
      </c>
      <c r="E60" s="27">
        <v>1</v>
      </c>
      <c r="F60" s="27" t="s">
        <v>1980</v>
      </c>
    </row>
    <row r="61" spans="1:6" x14ac:dyDescent="0.25">
      <c r="A61" s="27" t="s">
        <v>61</v>
      </c>
      <c r="B61" s="27" t="s">
        <v>44</v>
      </c>
      <c r="D61" s="27">
        <v>1927</v>
      </c>
      <c r="E61" s="27">
        <v>1</v>
      </c>
      <c r="F61" s="27" t="s">
        <v>1980</v>
      </c>
    </row>
    <row r="62" spans="1:6" x14ac:dyDescent="0.25">
      <c r="A62" s="27" t="s">
        <v>61</v>
      </c>
      <c r="B62" s="27" t="s">
        <v>86</v>
      </c>
      <c r="D62" s="27">
        <v>1927</v>
      </c>
      <c r="E62" s="27">
        <v>1</v>
      </c>
      <c r="F62" s="27" t="s">
        <v>1980</v>
      </c>
    </row>
    <row r="63" spans="1:6" x14ac:dyDescent="0.25">
      <c r="A63" s="27" t="s">
        <v>61</v>
      </c>
      <c r="B63" s="27" t="s">
        <v>62</v>
      </c>
      <c r="D63" s="27">
        <v>1927</v>
      </c>
      <c r="E63" s="27">
        <v>1</v>
      </c>
      <c r="F63" s="27" t="s">
        <v>1980</v>
      </c>
    </row>
    <row r="64" spans="1:6" x14ac:dyDescent="0.25">
      <c r="A64" s="27" t="s">
        <v>61</v>
      </c>
      <c r="B64" s="27" t="s">
        <v>64</v>
      </c>
      <c r="D64" s="27">
        <v>1927</v>
      </c>
      <c r="E64" s="27">
        <v>1</v>
      </c>
      <c r="F64" s="27" t="s">
        <v>1980</v>
      </c>
    </row>
    <row r="65" spans="1:6" x14ac:dyDescent="0.25">
      <c r="A65" s="27" t="s">
        <v>61</v>
      </c>
      <c r="B65" s="27" t="s">
        <v>77</v>
      </c>
      <c r="D65" s="27">
        <v>1927</v>
      </c>
      <c r="E65" s="27">
        <v>1</v>
      </c>
      <c r="F65" s="27" t="s">
        <v>1980</v>
      </c>
    </row>
    <row r="66" spans="1:6" x14ac:dyDescent="0.25">
      <c r="A66" s="27" t="s">
        <v>61</v>
      </c>
      <c r="B66" s="27" t="s">
        <v>85</v>
      </c>
      <c r="D66" s="27">
        <v>1927</v>
      </c>
      <c r="E66" s="27">
        <v>1</v>
      </c>
      <c r="F66" s="27" t="s">
        <v>1980</v>
      </c>
    </row>
    <row r="67" spans="1:6" x14ac:dyDescent="0.25">
      <c r="A67" s="27" t="s">
        <v>61</v>
      </c>
      <c r="B67" s="27" t="s">
        <v>67</v>
      </c>
      <c r="D67" s="27">
        <v>1927</v>
      </c>
      <c r="E67" s="27">
        <v>1</v>
      </c>
      <c r="F67" s="27" t="s">
        <v>1980</v>
      </c>
    </row>
    <row r="68" spans="1:6" x14ac:dyDescent="0.25">
      <c r="A68" s="27" t="s">
        <v>61</v>
      </c>
      <c r="B68" s="27" t="s">
        <v>65</v>
      </c>
      <c r="D68" s="27">
        <v>1927</v>
      </c>
      <c r="E68" s="27">
        <v>1</v>
      </c>
      <c r="F68" s="27" t="s">
        <v>1980</v>
      </c>
    </row>
    <row r="69" spans="1:6" x14ac:dyDescent="0.25">
      <c r="A69" s="27" t="s">
        <v>61</v>
      </c>
      <c r="B69" s="27" t="s">
        <v>61</v>
      </c>
      <c r="D69" s="27">
        <v>1927</v>
      </c>
      <c r="E69" s="27">
        <v>1</v>
      </c>
      <c r="F69" s="27" t="s">
        <v>1980</v>
      </c>
    </row>
    <row r="70" spans="1:6" x14ac:dyDescent="0.25">
      <c r="A70" s="27" t="s">
        <v>61</v>
      </c>
      <c r="B70" s="27" t="s">
        <v>66</v>
      </c>
      <c r="D70" s="27">
        <v>1927</v>
      </c>
      <c r="E70" s="27">
        <v>1</v>
      </c>
      <c r="F70" s="27" t="s">
        <v>1980</v>
      </c>
    </row>
    <row r="71" spans="1:6" x14ac:dyDescent="0.25">
      <c r="A71" s="27" t="s">
        <v>61</v>
      </c>
      <c r="B71" s="27" t="s">
        <v>72</v>
      </c>
      <c r="D71" s="27">
        <v>1928</v>
      </c>
      <c r="E71" s="27">
        <v>1</v>
      </c>
      <c r="F71" s="27" t="s">
        <v>1980</v>
      </c>
    </row>
    <row r="72" spans="1:6" x14ac:dyDescent="0.25">
      <c r="A72" s="27" t="s">
        <v>61</v>
      </c>
      <c r="B72" s="27" t="s">
        <v>84</v>
      </c>
      <c r="D72" s="27">
        <v>1928</v>
      </c>
      <c r="E72" s="27">
        <v>1</v>
      </c>
      <c r="F72" s="27" t="s">
        <v>1980</v>
      </c>
    </row>
    <row r="73" spans="1:6" x14ac:dyDescent="0.25">
      <c r="A73" s="27"/>
      <c r="B73" s="27"/>
      <c r="D73" s="27"/>
      <c r="E73" s="27">
        <v>21</v>
      </c>
      <c r="F73" s="27"/>
    </row>
    <row r="74" spans="1:6" x14ac:dyDescent="0.25">
      <c r="A74" s="27" t="s">
        <v>89</v>
      </c>
      <c r="B74" s="27" t="s">
        <v>101</v>
      </c>
      <c r="D74" s="27">
        <v>1915</v>
      </c>
      <c r="E74" s="27">
        <v>1</v>
      </c>
      <c r="F74" s="27" t="s">
        <v>1981</v>
      </c>
    </row>
    <row r="75" spans="1:6" x14ac:dyDescent="0.25">
      <c r="A75" s="27" t="s">
        <v>89</v>
      </c>
      <c r="B75" s="27" t="s">
        <v>99</v>
      </c>
      <c r="D75" s="27">
        <v>1915</v>
      </c>
      <c r="E75" s="27">
        <v>1</v>
      </c>
      <c r="F75" s="27" t="s">
        <v>1981</v>
      </c>
    </row>
    <row r="76" spans="1:6" x14ac:dyDescent="0.25">
      <c r="A76" s="27" t="s">
        <v>89</v>
      </c>
      <c r="B76" s="27" t="s">
        <v>110</v>
      </c>
      <c r="D76" s="27">
        <v>1916</v>
      </c>
      <c r="E76" s="27">
        <v>1</v>
      </c>
      <c r="F76" s="27" t="s">
        <v>1981</v>
      </c>
    </row>
    <row r="77" spans="1:6" x14ac:dyDescent="0.25">
      <c r="A77" s="27" t="s">
        <v>89</v>
      </c>
      <c r="B77" s="27" t="s">
        <v>51</v>
      </c>
      <c r="D77" s="27">
        <v>1917</v>
      </c>
      <c r="E77" s="27">
        <v>1</v>
      </c>
      <c r="F77" s="27" t="s">
        <v>1981</v>
      </c>
    </row>
    <row r="78" spans="1:6" x14ac:dyDescent="0.25">
      <c r="A78" s="27" t="s">
        <v>89</v>
      </c>
      <c r="B78" s="27" t="s">
        <v>111</v>
      </c>
      <c r="D78" s="27">
        <v>1918</v>
      </c>
      <c r="E78" s="27">
        <v>1</v>
      </c>
      <c r="F78" s="27" t="s">
        <v>1981</v>
      </c>
    </row>
    <row r="79" spans="1:6" x14ac:dyDescent="0.25">
      <c r="A79" s="27" t="s">
        <v>89</v>
      </c>
      <c r="B79" s="27" t="s">
        <v>36</v>
      </c>
      <c r="D79" s="27">
        <v>1919</v>
      </c>
      <c r="E79" s="27">
        <v>1</v>
      </c>
      <c r="F79" s="27" t="s">
        <v>1981</v>
      </c>
    </row>
    <row r="80" spans="1:6" x14ac:dyDescent="0.25">
      <c r="A80" s="27" t="s">
        <v>89</v>
      </c>
      <c r="B80" s="27" t="s">
        <v>117</v>
      </c>
      <c r="D80" s="27">
        <v>1919</v>
      </c>
      <c r="E80" s="27">
        <v>1</v>
      </c>
      <c r="F80" s="27" t="s">
        <v>1981</v>
      </c>
    </row>
    <row r="81" spans="1:6" x14ac:dyDescent="0.25">
      <c r="A81" s="27" t="s">
        <v>89</v>
      </c>
      <c r="B81" s="27" t="s">
        <v>6</v>
      </c>
      <c r="D81" s="27">
        <v>1919</v>
      </c>
      <c r="E81" s="27">
        <v>1</v>
      </c>
      <c r="F81" s="27" t="s">
        <v>1981</v>
      </c>
    </row>
    <row r="82" spans="1:6" x14ac:dyDescent="0.25">
      <c r="A82" s="27" t="s">
        <v>89</v>
      </c>
      <c r="B82" s="27" t="s">
        <v>105</v>
      </c>
      <c r="D82" s="27">
        <v>1919</v>
      </c>
      <c r="E82" s="27">
        <v>1</v>
      </c>
      <c r="F82" s="27" t="s">
        <v>1981</v>
      </c>
    </row>
    <row r="83" spans="1:6" x14ac:dyDescent="0.25">
      <c r="A83" s="27" t="s">
        <v>89</v>
      </c>
      <c r="B83" s="27" t="s">
        <v>572</v>
      </c>
      <c r="D83" s="27">
        <v>1919</v>
      </c>
      <c r="E83" s="27">
        <v>1</v>
      </c>
      <c r="F83" s="27" t="s">
        <v>1981</v>
      </c>
    </row>
    <row r="84" spans="1:6" x14ac:dyDescent="0.25">
      <c r="A84" s="27" t="s">
        <v>89</v>
      </c>
      <c r="B84" s="27" t="s">
        <v>55</v>
      </c>
      <c r="D84" s="27">
        <v>1919</v>
      </c>
      <c r="E84" s="27">
        <v>1</v>
      </c>
      <c r="F84" s="27" t="s">
        <v>1981</v>
      </c>
    </row>
    <row r="85" spans="1:6" x14ac:dyDescent="0.25">
      <c r="A85" s="27" t="s">
        <v>89</v>
      </c>
      <c r="B85" s="27" t="s">
        <v>93</v>
      </c>
      <c r="D85" s="27">
        <v>1920</v>
      </c>
      <c r="E85" s="27">
        <v>1</v>
      </c>
      <c r="F85" s="27" t="s">
        <v>1981</v>
      </c>
    </row>
    <row r="86" spans="1:6" x14ac:dyDescent="0.25">
      <c r="A86" s="27" t="s">
        <v>89</v>
      </c>
      <c r="B86" s="27" t="s">
        <v>97</v>
      </c>
      <c r="D86" s="27">
        <v>1920</v>
      </c>
      <c r="E86" s="27">
        <v>1</v>
      </c>
      <c r="F86" s="27" t="s">
        <v>1981</v>
      </c>
    </row>
    <row r="87" spans="1:6" x14ac:dyDescent="0.25">
      <c r="A87" s="27" t="s">
        <v>89</v>
      </c>
      <c r="B87" s="27" t="s">
        <v>96</v>
      </c>
      <c r="D87" s="27">
        <v>1920</v>
      </c>
      <c r="E87" s="27">
        <v>1</v>
      </c>
      <c r="F87" s="27" t="s">
        <v>1981</v>
      </c>
    </row>
    <row r="88" spans="1:6" x14ac:dyDescent="0.25">
      <c r="A88" s="27" t="s">
        <v>89</v>
      </c>
      <c r="B88" s="27" t="s">
        <v>12</v>
      </c>
      <c r="D88" s="27">
        <v>1920</v>
      </c>
      <c r="E88" s="27">
        <v>1</v>
      </c>
      <c r="F88" s="27" t="s">
        <v>1981</v>
      </c>
    </row>
    <row r="89" spans="1:6" x14ac:dyDescent="0.25">
      <c r="A89" s="27" t="s">
        <v>89</v>
      </c>
      <c r="B89" s="27" t="s">
        <v>90</v>
      </c>
      <c r="D89" s="27">
        <v>1920</v>
      </c>
      <c r="E89" s="27">
        <v>1</v>
      </c>
      <c r="F89" s="27" t="s">
        <v>1981</v>
      </c>
    </row>
    <row r="90" spans="1:6" x14ac:dyDescent="0.25">
      <c r="A90" s="27" t="s">
        <v>89</v>
      </c>
      <c r="B90" s="27" t="s">
        <v>103</v>
      </c>
      <c r="D90" s="27">
        <v>1921</v>
      </c>
      <c r="E90" s="27">
        <v>1</v>
      </c>
      <c r="F90" s="27" t="s">
        <v>1981</v>
      </c>
    </row>
    <row r="91" spans="1:6" x14ac:dyDescent="0.25">
      <c r="A91" s="27" t="s">
        <v>89</v>
      </c>
      <c r="B91" s="27" t="s">
        <v>106</v>
      </c>
      <c r="D91" s="27">
        <v>1922</v>
      </c>
      <c r="E91" s="27">
        <v>1</v>
      </c>
      <c r="F91" s="27" t="s">
        <v>1981</v>
      </c>
    </row>
    <row r="92" spans="1:6" x14ac:dyDescent="0.25">
      <c r="A92" s="27" t="s">
        <v>89</v>
      </c>
      <c r="B92" s="27" t="s">
        <v>108</v>
      </c>
      <c r="D92" s="27">
        <v>1922</v>
      </c>
      <c r="E92" s="27">
        <v>1</v>
      </c>
      <c r="F92" s="27" t="s">
        <v>1981</v>
      </c>
    </row>
    <row r="93" spans="1:6" x14ac:dyDescent="0.25">
      <c r="A93" s="27" t="s">
        <v>89</v>
      </c>
      <c r="B93" s="27" t="s">
        <v>8</v>
      </c>
      <c r="D93" s="27">
        <v>1924</v>
      </c>
      <c r="E93" s="27">
        <v>1</v>
      </c>
      <c r="F93" s="27" t="s">
        <v>1981</v>
      </c>
    </row>
    <row r="94" spans="1:6" x14ac:dyDescent="0.25">
      <c r="A94" s="27" t="s">
        <v>89</v>
      </c>
      <c r="B94" s="27" t="s">
        <v>376</v>
      </c>
      <c r="D94" s="27">
        <v>1924</v>
      </c>
      <c r="E94" s="27">
        <v>1</v>
      </c>
      <c r="F94" s="27" t="s">
        <v>1981</v>
      </c>
    </row>
    <row r="95" spans="1:6" x14ac:dyDescent="0.25">
      <c r="A95" s="27" t="s">
        <v>89</v>
      </c>
      <c r="B95" s="27" t="s">
        <v>112</v>
      </c>
      <c r="D95" s="27">
        <v>1925</v>
      </c>
      <c r="E95" s="27">
        <v>1</v>
      </c>
      <c r="F95" s="27" t="s">
        <v>1981</v>
      </c>
    </row>
    <row r="96" spans="1:6" x14ac:dyDescent="0.25">
      <c r="A96" s="27" t="s">
        <v>89</v>
      </c>
      <c r="B96" s="27" t="s">
        <v>102</v>
      </c>
      <c r="D96" s="27">
        <v>1926</v>
      </c>
      <c r="E96" s="27">
        <v>1</v>
      </c>
      <c r="F96" s="27" t="s">
        <v>1981</v>
      </c>
    </row>
    <row r="97" spans="1:6" x14ac:dyDescent="0.25">
      <c r="A97" s="27" t="s">
        <v>89</v>
      </c>
      <c r="B97" s="27" t="s">
        <v>109</v>
      </c>
      <c r="D97" s="27">
        <v>1926</v>
      </c>
      <c r="E97" s="27">
        <v>1</v>
      </c>
      <c r="F97" s="27" t="s">
        <v>1981</v>
      </c>
    </row>
    <row r="98" spans="1:6" x14ac:dyDescent="0.25">
      <c r="A98" s="27" t="s">
        <v>89</v>
      </c>
      <c r="B98" s="27" t="s">
        <v>91</v>
      </c>
      <c r="D98" s="27">
        <v>1927</v>
      </c>
      <c r="E98" s="27">
        <v>2</v>
      </c>
      <c r="F98" s="27" t="s">
        <v>1981</v>
      </c>
    </row>
    <row r="99" spans="1:6" x14ac:dyDescent="0.25">
      <c r="A99" s="27" t="s">
        <v>89</v>
      </c>
      <c r="B99" s="27" t="s">
        <v>94</v>
      </c>
      <c r="D99" s="27">
        <v>1927</v>
      </c>
      <c r="E99" s="27">
        <v>1</v>
      </c>
      <c r="F99" s="27" t="s">
        <v>1981</v>
      </c>
    </row>
    <row r="100" spans="1:6" x14ac:dyDescent="0.25">
      <c r="A100" s="27" t="s">
        <v>89</v>
      </c>
      <c r="B100" s="27" t="s">
        <v>14</v>
      </c>
      <c r="D100" s="27">
        <v>1927</v>
      </c>
      <c r="E100" s="27">
        <v>1</v>
      </c>
      <c r="F100" s="27" t="s">
        <v>1981</v>
      </c>
    </row>
    <row r="101" spans="1:6" x14ac:dyDescent="0.25">
      <c r="A101" s="27" t="s">
        <v>89</v>
      </c>
      <c r="B101" s="27" t="s">
        <v>95</v>
      </c>
      <c r="D101" s="27">
        <v>1928</v>
      </c>
      <c r="E101" s="27">
        <v>1</v>
      </c>
      <c r="F101" s="27" t="s">
        <v>1981</v>
      </c>
    </row>
    <row r="102" spans="1:6" x14ac:dyDescent="0.25">
      <c r="A102" s="27" t="s">
        <v>89</v>
      </c>
      <c r="B102" s="27" t="s">
        <v>56</v>
      </c>
      <c r="D102" s="27">
        <v>1928</v>
      </c>
      <c r="E102" s="27">
        <v>1</v>
      </c>
      <c r="F102" s="27" t="s">
        <v>1981</v>
      </c>
    </row>
    <row r="103" spans="1:6" x14ac:dyDescent="0.25">
      <c r="A103" s="27" t="s">
        <v>89</v>
      </c>
      <c r="B103" s="27" t="s">
        <v>114</v>
      </c>
      <c r="D103" s="27">
        <v>1928</v>
      </c>
      <c r="E103" s="27">
        <v>1</v>
      </c>
      <c r="F103" s="27" t="s">
        <v>1981</v>
      </c>
    </row>
    <row r="104" spans="1:6" x14ac:dyDescent="0.25">
      <c r="A104" s="27" t="s">
        <v>89</v>
      </c>
      <c r="B104" s="27" t="s">
        <v>98</v>
      </c>
      <c r="D104" s="27">
        <v>1928</v>
      </c>
      <c r="E104" s="27">
        <v>1</v>
      </c>
      <c r="F104" s="27" t="s">
        <v>1981</v>
      </c>
    </row>
    <row r="105" spans="1:6" x14ac:dyDescent="0.25">
      <c r="A105" s="27"/>
      <c r="B105" s="27"/>
      <c r="D105" s="27"/>
      <c r="E105" s="27">
        <v>32</v>
      </c>
      <c r="F105" s="27"/>
    </row>
    <row r="106" spans="1:6" x14ac:dyDescent="0.25">
      <c r="A106" s="27" t="s">
        <v>120</v>
      </c>
      <c r="B106" s="27" t="s">
        <v>30</v>
      </c>
      <c r="D106" s="27">
        <v>1908</v>
      </c>
      <c r="E106" s="27">
        <v>1</v>
      </c>
      <c r="F106" s="27" t="s">
        <v>1982</v>
      </c>
    </row>
    <row r="107" spans="1:6" x14ac:dyDescent="0.25">
      <c r="A107" s="27" t="s">
        <v>120</v>
      </c>
      <c r="B107" s="27" t="s">
        <v>143</v>
      </c>
      <c r="D107" s="27">
        <v>1917</v>
      </c>
      <c r="E107" s="27">
        <v>1</v>
      </c>
      <c r="F107" s="27" t="s">
        <v>1982</v>
      </c>
    </row>
    <row r="108" spans="1:6" x14ac:dyDescent="0.25">
      <c r="A108" s="27" t="s">
        <v>120</v>
      </c>
      <c r="B108" s="27" t="s">
        <v>124</v>
      </c>
      <c r="D108" s="27">
        <v>1920</v>
      </c>
      <c r="E108" s="27">
        <v>1</v>
      </c>
      <c r="F108" s="27" t="s">
        <v>1982</v>
      </c>
    </row>
    <row r="109" spans="1:6" x14ac:dyDescent="0.25">
      <c r="A109" s="27" t="s">
        <v>120</v>
      </c>
      <c r="B109" s="27" t="s">
        <v>382</v>
      </c>
      <c r="D109" s="27">
        <v>1920</v>
      </c>
      <c r="E109" s="27">
        <v>1</v>
      </c>
      <c r="F109" s="27" t="s">
        <v>1982</v>
      </c>
    </row>
    <row r="110" spans="1:6" x14ac:dyDescent="0.25">
      <c r="A110" s="27" t="s">
        <v>120</v>
      </c>
      <c r="B110" s="27" t="s">
        <v>80</v>
      </c>
      <c r="D110" s="27">
        <v>1920</v>
      </c>
      <c r="E110" s="27">
        <v>1</v>
      </c>
      <c r="F110" s="27" t="s">
        <v>1982</v>
      </c>
    </row>
    <row r="111" spans="1:6" x14ac:dyDescent="0.25">
      <c r="A111" s="27" t="s">
        <v>120</v>
      </c>
      <c r="B111" s="27" t="s">
        <v>123</v>
      </c>
      <c r="D111" s="27">
        <v>1921</v>
      </c>
      <c r="E111" s="27">
        <v>1</v>
      </c>
      <c r="F111" s="27" t="s">
        <v>1982</v>
      </c>
    </row>
    <row r="112" spans="1:6" x14ac:dyDescent="0.25">
      <c r="A112" s="27" t="s">
        <v>120</v>
      </c>
      <c r="B112" s="27" t="s">
        <v>68</v>
      </c>
      <c r="D112" s="27">
        <v>1921</v>
      </c>
      <c r="E112" s="27">
        <v>1</v>
      </c>
      <c r="F112" s="27" t="s">
        <v>1982</v>
      </c>
    </row>
    <row r="113" spans="1:6" x14ac:dyDescent="0.25">
      <c r="A113" s="27" t="s">
        <v>120</v>
      </c>
      <c r="B113" s="27" t="s">
        <v>70</v>
      </c>
      <c r="D113" s="27">
        <v>1923</v>
      </c>
      <c r="E113" s="27">
        <v>1</v>
      </c>
      <c r="F113" s="27" t="s">
        <v>1982</v>
      </c>
    </row>
    <row r="114" spans="1:6" x14ac:dyDescent="0.25">
      <c r="A114" s="27" t="s">
        <v>120</v>
      </c>
      <c r="B114" s="27" t="s">
        <v>25</v>
      </c>
      <c r="D114" s="27">
        <v>1923</v>
      </c>
      <c r="E114" s="27">
        <v>1</v>
      </c>
      <c r="F114" s="27" t="s">
        <v>1982</v>
      </c>
    </row>
    <row r="115" spans="1:6" x14ac:dyDescent="0.25">
      <c r="A115" s="27" t="s">
        <v>120</v>
      </c>
      <c r="B115" s="27" t="s">
        <v>136</v>
      </c>
      <c r="D115" s="27">
        <v>1926</v>
      </c>
      <c r="E115" s="27">
        <v>1</v>
      </c>
      <c r="F115" s="27" t="s">
        <v>1982</v>
      </c>
    </row>
    <row r="116" spans="1:6" x14ac:dyDescent="0.25">
      <c r="A116" s="27" t="s">
        <v>120</v>
      </c>
      <c r="B116" s="27" t="s">
        <v>133</v>
      </c>
      <c r="D116" s="27">
        <v>1927</v>
      </c>
      <c r="E116" s="27">
        <v>1</v>
      </c>
      <c r="F116" s="27" t="s">
        <v>1982</v>
      </c>
    </row>
    <row r="117" spans="1:6" x14ac:dyDescent="0.25">
      <c r="A117" s="27" t="s">
        <v>120</v>
      </c>
      <c r="B117" s="27" t="s">
        <v>48</v>
      </c>
      <c r="D117" s="27">
        <v>1927</v>
      </c>
      <c r="E117" s="27">
        <v>1</v>
      </c>
      <c r="F117" s="27" t="s">
        <v>1982</v>
      </c>
    </row>
    <row r="118" spans="1:6" x14ac:dyDescent="0.25">
      <c r="A118" s="27" t="s">
        <v>120</v>
      </c>
      <c r="B118" s="27" t="s">
        <v>135</v>
      </c>
      <c r="D118" s="27">
        <v>1927</v>
      </c>
      <c r="E118" s="27">
        <v>1</v>
      </c>
      <c r="F118" s="27" t="s">
        <v>1982</v>
      </c>
    </row>
    <row r="119" spans="1:6" x14ac:dyDescent="0.25">
      <c r="A119" s="27" t="s">
        <v>120</v>
      </c>
      <c r="B119" s="27" t="s">
        <v>125</v>
      </c>
      <c r="D119" s="27">
        <v>1927</v>
      </c>
      <c r="E119" s="27">
        <v>1</v>
      </c>
      <c r="F119" s="27" t="s">
        <v>1982</v>
      </c>
    </row>
    <row r="120" spans="1:6" x14ac:dyDescent="0.25">
      <c r="A120" s="27" t="s">
        <v>120</v>
      </c>
      <c r="B120" s="27" t="s">
        <v>43</v>
      </c>
      <c r="D120" s="27">
        <v>1927</v>
      </c>
      <c r="E120" s="27">
        <v>1</v>
      </c>
      <c r="F120" s="27" t="s">
        <v>1982</v>
      </c>
    </row>
    <row r="121" spans="1:6" x14ac:dyDescent="0.25">
      <c r="A121" s="27" t="s">
        <v>120</v>
      </c>
      <c r="B121" s="27" t="s">
        <v>122</v>
      </c>
      <c r="D121" s="27">
        <v>1927</v>
      </c>
      <c r="E121" s="27">
        <v>1</v>
      </c>
      <c r="F121" s="27" t="s">
        <v>1982</v>
      </c>
    </row>
    <row r="122" spans="1:6" x14ac:dyDescent="0.25">
      <c r="A122" s="27" t="s">
        <v>120</v>
      </c>
      <c r="B122" s="27" t="s">
        <v>99</v>
      </c>
      <c r="D122" s="27">
        <v>1927</v>
      </c>
      <c r="E122" s="27">
        <v>1</v>
      </c>
      <c r="F122" s="27" t="s">
        <v>1982</v>
      </c>
    </row>
    <row r="123" spans="1:6" x14ac:dyDescent="0.25">
      <c r="A123" s="27" t="s">
        <v>120</v>
      </c>
      <c r="B123" s="27" t="s">
        <v>134</v>
      </c>
      <c r="D123" s="27">
        <v>1927</v>
      </c>
      <c r="E123" s="27">
        <v>1</v>
      </c>
      <c r="F123" s="27" t="s">
        <v>1983</v>
      </c>
    </row>
    <row r="124" spans="1:6" x14ac:dyDescent="0.25">
      <c r="A124" s="27" t="s">
        <v>120</v>
      </c>
      <c r="B124" s="27" t="s">
        <v>138</v>
      </c>
      <c r="D124" s="27">
        <v>1927</v>
      </c>
      <c r="E124" s="27">
        <v>1</v>
      </c>
      <c r="F124" s="27" t="s">
        <v>1983</v>
      </c>
    </row>
    <row r="125" spans="1:6" x14ac:dyDescent="0.25">
      <c r="A125" s="27" t="s">
        <v>120</v>
      </c>
      <c r="B125" s="27" t="s">
        <v>129</v>
      </c>
      <c r="D125" s="27">
        <v>1927</v>
      </c>
      <c r="E125" s="27">
        <v>1</v>
      </c>
      <c r="F125" s="27" t="s">
        <v>1983</v>
      </c>
    </row>
    <row r="126" spans="1:6" x14ac:dyDescent="0.25">
      <c r="A126" s="27" t="s">
        <v>120</v>
      </c>
      <c r="B126" s="27" t="s">
        <v>128</v>
      </c>
      <c r="D126" s="27">
        <v>1927</v>
      </c>
      <c r="E126" s="27">
        <v>1</v>
      </c>
      <c r="F126" s="27" t="s">
        <v>1983</v>
      </c>
    </row>
    <row r="127" spans="1:6" x14ac:dyDescent="0.25">
      <c r="A127" s="27" t="s">
        <v>120</v>
      </c>
      <c r="B127" s="27" t="s">
        <v>139</v>
      </c>
      <c r="D127" s="27">
        <v>1927</v>
      </c>
      <c r="E127" s="27">
        <v>1</v>
      </c>
      <c r="F127" s="27" t="s">
        <v>1983</v>
      </c>
    </row>
    <row r="128" spans="1:6" x14ac:dyDescent="0.25">
      <c r="A128" s="27" t="s">
        <v>120</v>
      </c>
      <c r="B128" s="27" t="s">
        <v>145</v>
      </c>
      <c r="D128" s="27">
        <v>1927</v>
      </c>
      <c r="E128" s="27">
        <v>1</v>
      </c>
      <c r="F128" s="27" t="s">
        <v>1983</v>
      </c>
    </row>
    <row r="129" spans="1:7" x14ac:dyDescent="0.25">
      <c r="A129" s="27" t="s">
        <v>120</v>
      </c>
      <c r="B129" s="27" t="s">
        <v>252</v>
      </c>
      <c r="D129" s="27">
        <v>1927</v>
      </c>
      <c r="E129" s="27">
        <v>1</v>
      </c>
      <c r="F129" s="27" t="s">
        <v>1983</v>
      </c>
    </row>
    <row r="130" spans="1:7" x14ac:dyDescent="0.25">
      <c r="A130" s="27" t="s">
        <v>120</v>
      </c>
      <c r="B130" s="27" t="s">
        <v>115</v>
      </c>
      <c r="D130" s="27">
        <v>1927</v>
      </c>
      <c r="E130" s="27">
        <v>1</v>
      </c>
      <c r="F130" s="27" t="s">
        <v>1983</v>
      </c>
    </row>
    <row r="131" spans="1:7" x14ac:dyDescent="0.25">
      <c r="A131" s="27" t="s">
        <v>120</v>
      </c>
      <c r="B131" s="27" t="s">
        <v>131</v>
      </c>
      <c r="D131" s="27">
        <v>1927</v>
      </c>
      <c r="E131" s="27">
        <v>1</v>
      </c>
      <c r="F131" s="27" t="s">
        <v>1983</v>
      </c>
    </row>
    <row r="132" spans="1:7" x14ac:dyDescent="0.25">
      <c r="A132" s="27" t="s">
        <v>120</v>
      </c>
      <c r="B132" s="27" t="s">
        <v>141</v>
      </c>
      <c r="D132" s="27">
        <v>1927</v>
      </c>
      <c r="E132" s="27">
        <v>1</v>
      </c>
      <c r="F132" s="27" t="s">
        <v>1983</v>
      </c>
    </row>
    <row r="133" spans="1:7" x14ac:dyDescent="0.25">
      <c r="A133" s="27" t="s">
        <v>120</v>
      </c>
      <c r="B133" s="27" t="s">
        <v>140</v>
      </c>
      <c r="D133" s="27">
        <v>1927</v>
      </c>
      <c r="E133" s="27">
        <v>1</v>
      </c>
      <c r="F133" s="27" t="s">
        <v>1983</v>
      </c>
    </row>
    <row r="134" spans="1:7" x14ac:dyDescent="0.25">
      <c r="A134" s="27" t="s">
        <v>120</v>
      </c>
      <c r="B134" s="27" t="s">
        <v>151</v>
      </c>
      <c r="D134" s="27">
        <v>1927</v>
      </c>
      <c r="E134" s="27">
        <v>1</v>
      </c>
      <c r="F134" s="27" t="s">
        <v>1983</v>
      </c>
    </row>
    <row r="135" spans="1:7" x14ac:dyDescent="0.25">
      <c r="A135" s="27" t="s">
        <v>120</v>
      </c>
      <c r="B135" s="27" t="s">
        <v>148</v>
      </c>
      <c r="D135" s="27">
        <v>1927</v>
      </c>
      <c r="E135" s="27">
        <v>1</v>
      </c>
      <c r="F135" s="27" t="s">
        <v>1983</v>
      </c>
    </row>
    <row r="136" spans="1:7" x14ac:dyDescent="0.25">
      <c r="A136" s="27" t="s">
        <v>120</v>
      </c>
      <c r="B136" s="27" t="s">
        <v>34</v>
      </c>
      <c r="D136" s="27">
        <v>1927</v>
      </c>
      <c r="E136" s="27">
        <v>1</v>
      </c>
      <c r="F136" s="27" t="s">
        <v>1983</v>
      </c>
    </row>
    <row r="137" spans="1:7" x14ac:dyDescent="0.25">
      <c r="A137" s="27" t="s">
        <v>120</v>
      </c>
      <c r="B137" s="27" t="s">
        <v>142</v>
      </c>
      <c r="D137" s="27">
        <v>1927</v>
      </c>
      <c r="E137" s="27">
        <v>1</v>
      </c>
      <c r="F137" s="27" t="s">
        <v>1983</v>
      </c>
    </row>
    <row r="138" spans="1:7" x14ac:dyDescent="0.25">
      <c r="A138" s="27" t="s">
        <v>120</v>
      </c>
      <c r="B138" s="27" t="s">
        <v>46</v>
      </c>
      <c r="D138" s="27">
        <v>1927</v>
      </c>
      <c r="E138" s="27">
        <v>1</v>
      </c>
      <c r="F138" s="27" t="s">
        <v>1983</v>
      </c>
    </row>
    <row r="139" spans="1:7" x14ac:dyDescent="0.25">
      <c r="A139" s="27" t="s">
        <v>120</v>
      </c>
      <c r="B139" s="27" t="s">
        <v>126</v>
      </c>
      <c r="D139" s="27">
        <v>1928</v>
      </c>
      <c r="E139" s="27">
        <v>1</v>
      </c>
      <c r="F139" s="27" t="s">
        <v>1983</v>
      </c>
    </row>
    <row r="140" spans="1:7" x14ac:dyDescent="0.25">
      <c r="A140" s="27" t="s">
        <v>120</v>
      </c>
      <c r="B140" s="27" t="s">
        <v>144</v>
      </c>
      <c r="D140" s="27">
        <v>1928</v>
      </c>
      <c r="E140" s="27">
        <v>1</v>
      </c>
      <c r="F140" s="27" t="s">
        <v>1983</v>
      </c>
    </row>
    <row r="141" spans="1:7" x14ac:dyDescent="0.25">
      <c r="A141" s="27" t="s">
        <v>120</v>
      </c>
      <c r="B141" s="27" t="s">
        <v>253</v>
      </c>
      <c r="D141" s="27">
        <v>1928</v>
      </c>
      <c r="E141" s="27">
        <v>1</v>
      </c>
      <c r="F141" s="27" t="s">
        <v>1983</v>
      </c>
    </row>
    <row r="142" spans="1:7" x14ac:dyDescent="0.25">
      <c r="A142" s="27" t="s">
        <v>120</v>
      </c>
      <c r="B142" s="27" t="s">
        <v>44</v>
      </c>
      <c r="D142" s="27">
        <v>1928</v>
      </c>
      <c r="E142" s="27">
        <v>1</v>
      </c>
      <c r="F142" s="27" t="s">
        <v>1983</v>
      </c>
    </row>
    <row r="143" spans="1:7" x14ac:dyDescent="0.25">
      <c r="A143" s="27" t="s">
        <v>120</v>
      </c>
      <c r="B143" s="27" t="s">
        <v>137</v>
      </c>
      <c r="C143" s="27">
        <v>26044</v>
      </c>
      <c r="D143" s="27">
        <v>1928</v>
      </c>
      <c r="E143" s="27">
        <f>C143/($C$143+$C$144)</f>
        <v>0.46870388366987009</v>
      </c>
      <c r="F143" s="27" t="s">
        <v>1983</v>
      </c>
    </row>
    <row r="144" spans="1:7" s="27" customFormat="1" x14ac:dyDescent="0.25">
      <c r="A144" s="27" t="s">
        <v>120</v>
      </c>
      <c r="B144" s="27" t="s">
        <v>147</v>
      </c>
      <c r="C144" s="27">
        <v>29522</v>
      </c>
      <c r="D144" s="27">
        <v>1929</v>
      </c>
      <c r="E144" s="27">
        <f>C144/($C$143+$C$144)</f>
        <v>0.53129611633012996</v>
      </c>
      <c r="F144" s="27" t="s">
        <v>1983</v>
      </c>
      <c r="G144" s="27" t="s">
        <v>583</v>
      </c>
    </row>
    <row r="145" spans="1:6" x14ac:dyDescent="0.25">
      <c r="A145" s="27"/>
      <c r="B145" s="27"/>
      <c r="D145" s="27"/>
      <c r="E145" s="27">
        <v>38</v>
      </c>
      <c r="F145" s="27"/>
    </row>
    <row r="146" spans="1:6" x14ac:dyDescent="0.25">
      <c r="A146" s="27" t="s">
        <v>152</v>
      </c>
      <c r="B146" s="27" t="s">
        <v>164</v>
      </c>
      <c r="D146" s="27">
        <v>1917</v>
      </c>
      <c r="E146" s="27">
        <v>1</v>
      </c>
      <c r="F146" s="27" t="s">
        <v>1984</v>
      </c>
    </row>
    <row r="147" spans="1:6" x14ac:dyDescent="0.25">
      <c r="A147" s="27" t="s">
        <v>152</v>
      </c>
      <c r="B147" s="27" t="s">
        <v>163</v>
      </c>
      <c r="D147" s="27">
        <v>1921</v>
      </c>
      <c r="E147" s="27">
        <v>1</v>
      </c>
      <c r="F147" s="27" t="s">
        <v>1984</v>
      </c>
    </row>
    <row r="148" spans="1:6" x14ac:dyDescent="0.25">
      <c r="A148" s="27" t="s">
        <v>152</v>
      </c>
      <c r="B148" s="27" t="s">
        <v>1963</v>
      </c>
      <c r="D148" s="27">
        <v>1921</v>
      </c>
      <c r="E148" s="27">
        <v>1</v>
      </c>
      <c r="F148" s="27" t="s">
        <v>1984</v>
      </c>
    </row>
    <row r="149" spans="1:6" x14ac:dyDescent="0.25">
      <c r="A149" s="27" t="s">
        <v>152</v>
      </c>
      <c r="B149" s="27" t="s">
        <v>155</v>
      </c>
      <c r="D149" s="27">
        <v>1921</v>
      </c>
      <c r="E149" s="27">
        <v>1</v>
      </c>
      <c r="F149" s="27" t="s">
        <v>1984</v>
      </c>
    </row>
    <row r="150" spans="1:6" x14ac:dyDescent="0.25">
      <c r="A150" s="27" t="s">
        <v>152</v>
      </c>
      <c r="B150" s="27" t="s">
        <v>75</v>
      </c>
      <c r="D150" s="27">
        <v>1921</v>
      </c>
      <c r="E150" s="27">
        <v>1</v>
      </c>
      <c r="F150" s="27" t="s">
        <v>1984</v>
      </c>
    </row>
    <row r="151" spans="1:6" x14ac:dyDescent="0.25">
      <c r="A151" s="27" t="s">
        <v>152</v>
      </c>
      <c r="B151" s="27" t="s">
        <v>157</v>
      </c>
      <c r="D151" s="27">
        <v>1924</v>
      </c>
      <c r="E151" s="27">
        <v>1</v>
      </c>
      <c r="F151" s="27" t="s">
        <v>1984</v>
      </c>
    </row>
    <row r="152" spans="1:6" x14ac:dyDescent="0.25">
      <c r="A152" s="27" t="s">
        <v>152</v>
      </c>
      <c r="B152" s="27" t="s">
        <v>573</v>
      </c>
      <c r="D152" s="27">
        <v>1924</v>
      </c>
      <c r="E152" s="27">
        <v>1</v>
      </c>
      <c r="F152" s="27" t="s">
        <v>1984</v>
      </c>
    </row>
    <row r="153" spans="1:6" x14ac:dyDescent="0.25">
      <c r="A153" s="27" t="s">
        <v>152</v>
      </c>
      <c r="B153" s="27" t="s">
        <v>160</v>
      </c>
      <c r="D153" s="27">
        <v>1925</v>
      </c>
      <c r="E153" s="27">
        <v>1</v>
      </c>
      <c r="F153" s="27" t="s">
        <v>1984</v>
      </c>
    </row>
    <row r="154" spans="1:6" x14ac:dyDescent="0.25">
      <c r="A154" s="27" t="s">
        <v>152</v>
      </c>
      <c r="B154" s="27" t="s">
        <v>115</v>
      </c>
      <c r="D154" s="27">
        <v>1925</v>
      </c>
      <c r="E154" s="27">
        <v>1</v>
      </c>
      <c r="F154" s="27" t="s">
        <v>1984</v>
      </c>
    </row>
    <row r="155" spans="1:6" x14ac:dyDescent="0.25">
      <c r="A155" s="27" t="s">
        <v>152</v>
      </c>
      <c r="B155" s="27" t="s">
        <v>162</v>
      </c>
      <c r="D155" s="27">
        <v>1927</v>
      </c>
      <c r="E155" s="27">
        <v>1</v>
      </c>
      <c r="F155" s="27" t="s">
        <v>1984</v>
      </c>
    </row>
    <row r="156" spans="1:6" x14ac:dyDescent="0.25">
      <c r="A156" s="27" t="s">
        <v>152</v>
      </c>
      <c r="B156" s="27" t="s">
        <v>574</v>
      </c>
      <c r="D156" s="27">
        <v>1927</v>
      </c>
      <c r="E156" s="27">
        <v>1</v>
      </c>
      <c r="F156" s="27" t="s">
        <v>1984</v>
      </c>
    </row>
    <row r="157" spans="1:6" x14ac:dyDescent="0.25">
      <c r="A157" s="27" t="s">
        <v>152</v>
      </c>
      <c r="B157" s="27" t="s">
        <v>165</v>
      </c>
      <c r="D157" s="27">
        <v>1927</v>
      </c>
      <c r="E157" s="27">
        <v>1</v>
      </c>
      <c r="F157" s="27" t="s">
        <v>1984</v>
      </c>
    </row>
    <row r="158" spans="1:6" x14ac:dyDescent="0.25">
      <c r="A158" s="27" t="s">
        <v>152</v>
      </c>
      <c r="B158" s="27" t="s">
        <v>71</v>
      </c>
      <c r="D158" s="27">
        <v>1927</v>
      </c>
      <c r="E158" s="27">
        <v>1</v>
      </c>
      <c r="F158" s="27" t="s">
        <v>1984</v>
      </c>
    </row>
    <row r="159" spans="1:6" x14ac:dyDescent="0.25">
      <c r="A159" s="27" t="s">
        <v>152</v>
      </c>
      <c r="B159" s="27" t="s">
        <v>153</v>
      </c>
      <c r="D159" s="27">
        <v>1927</v>
      </c>
      <c r="E159" s="27">
        <v>1</v>
      </c>
      <c r="F159" s="27" t="s">
        <v>1984</v>
      </c>
    </row>
    <row r="160" spans="1:6" x14ac:dyDescent="0.25">
      <c r="A160" s="27" t="s">
        <v>152</v>
      </c>
      <c r="B160" s="27" t="s">
        <v>127</v>
      </c>
      <c r="D160" s="27">
        <v>1927</v>
      </c>
      <c r="E160" s="27">
        <v>1</v>
      </c>
      <c r="F160" s="27" t="s">
        <v>1984</v>
      </c>
    </row>
    <row r="161" spans="1:6" x14ac:dyDescent="0.25">
      <c r="A161" s="27" t="s">
        <v>152</v>
      </c>
      <c r="B161" s="27" t="s">
        <v>254</v>
      </c>
      <c r="D161" s="27">
        <v>1927</v>
      </c>
      <c r="E161" s="27">
        <v>1</v>
      </c>
      <c r="F161" s="27" t="s">
        <v>1984</v>
      </c>
    </row>
    <row r="162" spans="1:6" x14ac:dyDescent="0.25">
      <c r="A162" s="27" t="s">
        <v>152</v>
      </c>
      <c r="B162" s="27" t="s">
        <v>161</v>
      </c>
      <c r="D162" s="27">
        <v>1927</v>
      </c>
      <c r="E162" s="27">
        <v>1</v>
      </c>
      <c r="F162" s="27" t="s">
        <v>1984</v>
      </c>
    </row>
    <row r="163" spans="1:6" x14ac:dyDescent="0.25">
      <c r="A163" s="27" t="s">
        <v>152</v>
      </c>
      <c r="B163" s="27" t="s">
        <v>38</v>
      </c>
      <c r="D163" s="27">
        <v>1927</v>
      </c>
      <c r="E163" s="27">
        <v>1</v>
      </c>
      <c r="F163" s="27" t="s">
        <v>1984</v>
      </c>
    </row>
    <row r="164" spans="1:6" x14ac:dyDescent="0.25">
      <c r="A164" s="27" t="s">
        <v>152</v>
      </c>
      <c r="B164" s="27" t="s">
        <v>154</v>
      </c>
      <c r="D164" s="27">
        <v>1927</v>
      </c>
      <c r="E164" s="27">
        <v>1</v>
      </c>
      <c r="F164" s="27" t="s">
        <v>1984</v>
      </c>
    </row>
    <row r="165" spans="1:6" x14ac:dyDescent="0.25">
      <c r="A165" s="27" t="s">
        <v>152</v>
      </c>
      <c r="B165" s="27" t="s">
        <v>166</v>
      </c>
      <c r="D165" s="27">
        <v>1927</v>
      </c>
      <c r="E165" s="27">
        <v>1</v>
      </c>
      <c r="F165" s="27" t="s">
        <v>1984</v>
      </c>
    </row>
    <row r="166" spans="1:6" x14ac:dyDescent="0.25">
      <c r="A166" s="27" t="s">
        <v>152</v>
      </c>
      <c r="B166" s="27" t="s">
        <v>156</v>
      </c>
      <c r="D166" s="27">
        <v>1928</v>
      </c>
      <c r="E166" s="27">
        <v>1</v>
      </c>
      <c r="F166" s="27" t="s">
        <v>1984</v>
      </c>
    </row>
    <row r="167" spans="1:6" x14ac:dyDescent="0.25">
      <c r="A167" s="27" t="s">
        <v>152</v>
      </c>
      <c r="B167" s="27" t="s">
        <v>575</v>
      </c>
      <c r="D167" s="27">
        <v>1928</v>
      </c>
      <c r="E167" s="27">
        <v>1</v>
      </c>
      <c r="F167" s="27" t="s">
        <v>1984</v>
      </c>
    </row>
    <row r="168" spans="1:6" x14ac:dyDescent="0.25">
      <c r="A168" s="27" t="s">
        <v>152</v>
      </c>
      <c r="B168" s="27" t="s">
        <v>26</v>
      </c>
      <c r="D168" s="27">
        <v>1928</v>
      </c>
      <c r="E168" s="27">
        <v>1</v>
      </c>
      <c r="F168" s="27" t="s">
        <v>1984</v>
      </c>
    </row>
    <row r="169" spans="1:6" x14ac:dyDescent="0.25">
      <c r="A169" s="27" t="s">
        <v>152</v>
      </c>
      <c r="B169" s="27" t="s">
        <v>158</v>
      </c>
      <c r="D169" s="27">
        <v>1928</v>
      </c>
      <c r="E169" s="27">
        <v>1</v>
      </c>
      <c r="F169" s="27" t="s">
        <v>1984</v>
      </c>
    </row>
    <row r="170" spans="1:6" x14ac:dyDescent="0.25">
      <c r="A170" s="27" t="s">
        <v>152</v>
      </c>
      <c r="B170" s="27" t="s">
        <v>576</v>
      </c>
      <c r="D170" s="27">
        <v>1928</v>
      </c>
      <c r="E170" s="27">
        <v>1</v>
      </c>
      <c r="F170" s="27" t="s">
        <v>1984</v>
      </c>
    </row>
    <row r="171" spans="1:6" x14ac:dyDescent="0.25">
      <c r="A171" s="27" t="s">
        <v>152</v>
      </c>
      <c r="B171" s="27" t="s">
        <v>168</v>
      </c>
      <c r="D171" s="27">
        <v>1928</v>
      </c>
      <c r="E171" s="27">
        <v>1</v>
      </c>
      <c r="F171" s="27" t="s">
        <v>1984</v>
      </c>
    </row>
    <row r="172" spans="1:6" x14ac:dyDescent="0.25">
      <c r="A172" s="27" t="s">
        <v>152</v>
      </c>
      <c r="B172" s="27" t="s">
        <v>159</v>
      </c>
      <c r="D172" s="27">
        <v>1928</v>
      </c>
      <c r="E172" s="27">
        <v>1</v>
      </c>
      <c r="F172" s="27" t="s">
        <v>1984</v>
      </c>
    </row>
    <row r="173" spans="1:6" x14ac:dyDescent="0.25">
      <c r="A173" s="27" t="s">
        <v>152</v>
      </c>
      <c r="B173" s="27" t="s">
        <v>167</v>
      </c>
      <c r="D173" s="27">
        <v>1928</v>
      </c>
      <c r="E173" s="27">
        <v>1</v>
      </c>
      <c r="F173" s="27" t="s">
        <v>1984</v>
      </c>
    </row>
    <row r="174" spans="1:6" x14ac:dyDescent="0.25">
      <c r="A174" s="27" t="s">
        <v>152</v>
      </c>
      <c r="B174" s="27" t="s">
        <v>255</v>
      </c>
      <c r="D174" s="27">
        <v>1928</v>
      </c>
      <c r="E174" s="27">
        <v>1</v>
      </c>
      <c r="F174" s="27" t="s">
        <v>1984</v>
      </c>
    </row>
    <row r="175" spans="1:6" x14ac:dyDescent="0.25">
      <c r="A175" s="27"/>
      <c r="B175" s="27"/>
      <c r="D175" s="27"/>
      <c r="E175" s="27">
        <v>29</v>
      </c>
      <c r="F175" s="27"/>
    </row>
    <row r="176" spans="1:6" x14ac:dyDescent="0.25">
      <c r="A176" s="27" t="s">
        <v>73</v>
      </c>
      <c r="B176" s="27" t="s">
        <v>132</v>
      </c>
      <c r="D176" s="27">
        <v>1917</v>
      </c>
      <c r="E176" s="27">
        <v>1</v>
      </c>
      <c r="F176" s="27" t="s">
        <v>1985</v>
      </c>
    </row>
    <row r="177" spans="1:7" x14ac:dyDescent="0.25">
      <c r="A177" s="27" t="s">
        <v>73</v>
      </c>
      <c r="B177" s="27" t="s">
        <v>34</v>
      </c>
      <c r="D177" s="27">
        <v>1919</v>
      </c>
      <c r="E177" s="27">
        <v>1</v>
      </c>
      <c r="F177" s="27" t="s">
        <v>1985</v>
      </c>
    </row>
    <row r="178" spans="1:7" x14ac:dyDescent="0.25">
      <c r="A178" s="27" t="s">
        <v>73</v>
      </c>
      <c r="B178" s="27" t="s">
        <v>256</v>
      </c>
      <c r="D178" s="27">
        <v>1920</v>
      </c>
      <c r="E178" s="27">
        <v>1</v>
      </c>
      <c r="F178" s="27" t="s">
        <v>1985</v>
      </c>
    </row>
    <row r="179" spans="1:7" x14ac:dyDescent="0.25">
      <c r="A179" s="27" t="s">
        <v>73</v>
      </c>
      <c r="B179" s="27" t="s">
        <v>257</v>
      </c>
      <c r="D179" s="27">
        <v>1920</v>
      </c>
      <c r="E179" s="27">
        <v>1</v>
      </c>
      <c r="F179" s="27" t="s">
        <v>1985</v>
      </c>
    </row>
    <row r="180" spans="1:7" x14ac:dyDescent="0.25">
      <c r="A180" s="27" t="s">
        <v>73</v>
      </c>
      <c r="B180" s="27" t="s">
        <v>83</v>
      </c>
      <c r="D180" s="27">
        <v>1921</v>
      </c>
      <c r="E180" s="27">
        <v>1</v>
      </c>
      <c r="F180" s="27" t="s">
        <v>1985</v>
      </c>
    </row>
    <row r="181" spans="1:7" x14ac:dyDescent="0.25">
      <c r="A181" s="27" t="s">
        <v>73</v>
      </c>
      <c r="B181" s="27" t="s">
        <v>258</v>
      </c>
      <c r="D181" s="27">
        <v>1921</v>
      </c>
      <c r="E181" s="27">
        <v>1</v>
      </c>
      <c r="F181" s="27" t="s">
        <v>1985</v>
      </c>
    </row>
    <row r="182" spans="1:7" x14ac:dyDescent="0.25">
      <c r="A182" s="27" t="s">
        <v>73</v>
      </c>
      <c r="B182" s="27" t="s">
        <v>56</v>
      </c>
      <c r="D182" s="27">
        <v>1923</v>
      </c>
      <c r="E182" s="27">
        <v>1</v>
      </c>
      <c r="F182" s="27" t="s">
        <v>1985</v>
      </c>
    </row>
    <row r="183" spans="1:7" x14ac:dyDescent="0.25">
      <c r="A183" s="27" t="s">
        <v>73</v>
      </c>
      <c r="B183" s="27" t="s">
        <v>104</v>
      </c>
      <c r="D183" s="27">
        <v>1924</v>
      </c>
      <c r="E183" s="27">
        <v>1</v>
      </c>
      <c r="F183" s="27" t="s">
        <v>1985</v>
      </c>
    </row>
    <row r="184" spans="1:7" x14ac:dyDescent="0.25">
      <c r="A184" s="27" t="s">
        <v>73</v>
      </c>
      <c r="B184" s="27" t="s">
        <v>29</v>
      </c>
      <c r="D184" s="27">
        <v>1925</v>
      </c>
      <c r="E184" s="27">
        <v>1</v>
      </c>
      <c r="F184" s="27" t="s">
        <v>1985</v>
      </c>
    </row>
    <row r="185" spans="1:7" x14ac:dyDescent="0.25">
      <c r="A185" s="27" t="s">
        <v>73</v>
      </c>
      <c r="B185" s="27" t="s">
        <v>331</v>
      </c>
      <c r="D185" s="27">
        <v>1925</v>
      </c>
      <c r="E185" s="27">
        <v>1</v>
      </c>
      <c r="F185" s="27" t="s">
        <v>1985</v>
      </c>
    </row>
    <row r="186" spans="1:7" x14ac:dyDescent="0.25">
      <c r="A186" s="27" t="s">
        <v>73</v>
      </c>
      <c r="B186" s="27" t="s">
        <v>259</v>
      </c>
      <c r="C186" s="27">
        <v>11612.700428009</v>
      </c>
      <c r="D186" s="27">
        <v>1925</v>
      </c>
      <c r="E186" s="27">
        <f>C186/($C$186+$C$196)</f>
        <v>0.65614035087719236</v>
      </c>
      <c r="F186" s="27" t="s">
        <v>1985</v>
      </c>
      <c r="G186" s="27" t="s">
        <v>1977</v>
      </c>
    </row>
    <row r="187" spans="1:7" x14ac:dyDescent="0.25">
      <c r="A187" s="27" t="s">
        <v>73</v>
      </c>
      <c r="B187" s="27" t="s">
        <v>261</v>
      </c>
      <c r="D187" s="27">
        <v>1925</v>
      </c>
      <c r="E187" s="27">
        <v>1</v>
      </c>
      <c r="F187" s="27" t="s">
        <v>1985</v>
      </c>
    </row>
    <row r="188" spans="1:7" x14ac:dyDescent="0.25">
      <c r="A188" s="27" t="s">
        <v>73</v>
      </c>
      <c r="B188" s="27" t="s">
        <v>260</v>
      </c>
      <c r="D188" s="27">
        <v>1925</v>
      </c>
      <c r="E188" s="27">
        <v>1</v>
      </c>
      <c r="F188" s="27" t="s">
        <v>1985</v>
      </c>
    </row>
    <row r="189" spans="1:7" x14ac:dyDescent="0.25">
      <c r="A189" s="27" t="s">
        <v>73</v>
      </c>
      <c r="B189" s="27" t="s">
        <v>43</v>
      </c>
      <c r="D189" s="27">
        <v>1926</v>
      </c>
      <c r="E189" s="27">
        <v>1</v>
      </c>
      <c r="F189" s="27" t="s">
        <v>1985</v>
      </c>
    </row>
    <row r="190" spans="1:7" x14ac:dyDescent="0.25">
      <c r="A190" s="27" t="s">
        <v>73</v>
      </c>
      <c r="B190" s="27" t="s">
        <v>31</v>
      </c>
      <c r="D190" s="27">
        <v>1926</v>
      </c>
      <c r="E190" s="27">
        <v>1</v>
      </c>
      <c r="F190" s="27" t="s">
        <v>1985</v>
      </c>
    </row>
    <row r="191" spans="1:7" x14ac:dyDescent="0.25">
      <c r="A191" s="27" t="s">
        <v>73</v>
      </c>
      <c r="B191" s="27" t="s">
        <v>12</v>
      </c>
      <c r="D191" s="27">
        <v>1926</v>
      </c>
      <c r="E191" s="27">
        <v>1</v>
      </c>
      <c r="F191" s="27" t="s">
        <v>1985</v>
      </c>
    </row>
    <row r="192" spans="1:7" x14ac:dyDescent="0.25">
      <c r="A192" s="27" t="s">
        <v>73</v>
      </c>
      <c r="B192" s="27" t="s">
        <v>262</v>
      </c>
      <c r="D192" s="27">
        <v>1926</v>
      </c>
      <c r="E192" s="27">
        <v>1</v>
      </c>
      <c r="F192" s="27" t="s">
        <v>1985</v>
      </c>
    </row>
    <row r="193" spans="1:7" x14ac:dyDescent="0.25">
      <c r="A193" s="27" t="s">
        <v>73</v>
      </c>
      <c r="B193" s="27" t="s">
        <v>263</v>
      </c>
      <c r="D193" s="27">
        <v>1926</v>
      </c>
      <c r="E193" s="27">
        <v>1</v>
      </c>
      <c r="F193" s="27" t="s">
        <v>1985</v>
      </c>
    </row>
    <row r="194" spans="1:7" x14ac:dyDescent="0.25">
      <c r="A194" s="27" t="s">
        <v>73</v>
      </c>
      <c r="B194" s="27" t="s">
        <v>264</v>
      </c>
      <c r="D194" s="27">
        <v>1927</v>
      </c>
      <c r="E194" s="27">
        <v>2</v>
      </c>
      <c r="F194" s="27" t="s">
        <v>1985</v>
      </c>
    </row>
    <row r="195" spans="1:7" x14ac:dyDescent="0.25">
      <c r="A195" s="27" t="s">
        <v>73</v>
      </c>
      <c r="B195" s="27" t="s">
        <v>265</v>
      </c>
      <c r="D195" s="27">
        <v>1927</v>
      </c>
      <c r="E195" s="27">
        <v>1</v>
      </c>
      <c r="F195" s="27" t="s">
        <v>1985</v>
      </c>
    </row>
    <row r="196" spans="1:7" s="27" customFormat="1" x14ac:dyDescent="0.25">
      <c r="A196" s="27" t="s">
        <v>73</v>
      </c>
      <c r="B196" s="27" t="s">
        <v>330</v>
      </c>
      <c r="C196" s="13">
        <v>6085.8002243042001</v>
      </c>
      <c r="D196" s="27">
        <v>1927</v>
      </c>
      <c r="E196" s="27">
        <f>C196/($C$186+$C$196)</f>
        <v>0.3438596491228077</v>
      </c>
      <c r="F196" s="27" t="s">
        <v>1985</v>
      </c>
      <c r="G196" s="27" t="s">
        <v>1977</v>
      </c>
    </row>
    <row r="197" spans="1:7" x14ac:dyDescent="0.25">
      <c r="A197" s="27" t="s">
        <v>73</v>
      </c>
      <c r="B197" s="27" t="s">
        <v>113</v>
      </c>
      <c r="D197" s="27">
        <v>1927</v>
      </c>
      <c r="E197" s="27">
        <v>1</v>
      </c>
      <c r="F197" s="27" t="s">
        <v>1985</v>
      </c>
    </row>
    <row r="198" spans="1:7" x14ac:dyDescent="0.25">
      <c r="A198" s="27" t="s">
        <v>73</v>
      </c>
      <c r="B198" s="27" t="s">
        <v>266</v>
      </c>
      <c r="D198" s="27">
        <v>1927</v>
      </c>
      <c r="E198" s="27">
        <v>1</v>
      </c>
      <c r="F198" s="27" t="s">
        <v>1985</v>
      </c>
    </row>
    <row r="199" spans="1:7" x14ac:dyDescent="0.25">
      <c r="A199" s="27" t="s">
        <v>73</v>
      </c>
      <c r="B199" s="27" t="s">
        <v>32</v>
      </c>
      <c r="D199" s="27">
        <v>1928</v>
      </c>
      <c r="E199" s="27">
        <v>1</v>
      </c>
      <c r="F199" s="27" t="s">
        <v>1985</v>
      </c>
    </row>
    <row r="200" spans="1:7" x14ac:dyDescent="0.25">
      <c r="A200" s="27" t="s">
        <v>73</v>
      </c>
      <c r="B200" s="27" t="s">
        <v>267</v>
      </c>
      <c r="D200" s="27">
        <v>1929</v>
      </c>
      <c r="E200" s="27">
        <v>1</v>
      </c>
      <c r="F200" s="27" t="s">
        <v>1985</v>
      </c>
    </row>
    <row r="201" spans="1:7" x14ac:dyDescent="0.25">
      <c r="A201" s="27" t="s">
        <v>73</v>
      </c>
      <c r="B201" s="27" t="s">
        <v>268</v>
      </c>
      <c r="D201" s="27">
        <v>1929</v>
      </c>
      <c r="E201" s="27">
        <v>1</v>
      </c>
      <c r="F201" s="27" t="s">
        <v>1985</v>
      </c>
    </row>
    <row r="202" spans="1:7" x14ac:dyDescent="0.25">
      <c r="A202" s="27" t="s">
        <v>73</v>
      </c>
      <c r="B202" s="27" t="s">
        <v>269</v>
      </c>
      <c r="D202" s="27">
        <v>1929</v>
      </c>
      <c r="E202" s="27">
        <v>1</v>
      </c>
      <c r="F202" s="27" t="s">
        <v>1985</v>
      </c>
    </row>
    <row r="203" spans="1:7" x14ac:dyDescent="0.25">
      <c r="A203" s="27" t="s">
        <v>73</v>
      </c>
      <c r="B203" s="27" t="s">
        <v>44</v>
      </c>
      <c r="D203" s="27">
        <v>1929</v>
      </c>
      <c r="E203" s="27">
        <v>1</v>
      </c>
      <c r="F203" s="27" t="s">
        <v>1985</v>
      </c>
    </row>
    <row r="204" spans="1:7" x14ac:dyDescent="0.25">
      <c r="A204" s="27"/>
      <c r="B204" s="27"/>
      <c r="D204" s="27"/>
      <c r="E204" s="27">
        <v>28</v>
      </c>
      <c r="F204" s="27"/>
    </row>
    <row r="205" spans="1:7" x14ac:dyDescent="0.25">
      <c r="A205" s="27" t="s">
        <v>195</v>
      </c>
      <c r="B205" s="27" t="s">
        <v>270</v>
      </c>
      <c r="D205" s="27">
        <v>1911</v>
      </c>
      <c r="E205" s="27">
        <v>1</v>
      </c>
      <c r="F205" s="27" t="s">
        <v>1986</v>
      </c>
    </row>
    <row r="206" spans="1:7" x14ac:dyDescent="0.25">
      <c r="A206" s="27" t="s">
        <v>195</v>
      </c>
      <c r="B206" s="27" t="s">
        <v>271</v>
      </c>
      <c r="D206" s="27">
        <v>1912</v>
      </c>
      <c r="E206" s="27">
        <v>1</v>
      </c>
      <c r="F206" s="27" t="s">
        <v>1986</v>
      </c>
    </row>
    <row r="207" spans="1:7" x14ac:dyDescent="0.25">
      <c r="A207" s="27" t="s">
        <v>195</v>
      </c>
      <c r="B207" s="27" t="s">
        <v>272</v>
      </c>
      <c r="D207" s="27">
        <v>1912</v>
      </c>
      <c r="E207" s="27">
        <v>1</v>
      </c>
      <c r="F207" s="27" t="s">
        <v>1986</v>
      </c>
    </row>
    <row r="208" spans="1:7" x14ac:dyDescent="0.25">
      <c r="A208" s="27" t="s">
        <v>195</v>
      </c>
      <c r="B208" s="27" t="s">
        <v>273</v>
      </c>
      <c r="D208" s="27">
        <v>1912</v>
      </c>
      <c r="E208" s="27">
        <v>2</v>
      </c>
      <c r="F208" s="27" t="s">
        <v>1986</v>
      </c>
    </row>
    <row r="209" spans="1:6" x14ac:dyDescent="0.25">
      <c r="A209" s="27" t="s">
        <v>195</v>
      </c>
      <c r="B209" s="27" t="s">
        <v>274</v>
      </c>
      <c r="D209" s="27">
        <v>1912</v>
      </c>
      <c r="E209" s="27">
        <v>1</v>
      </c>
      <c r="F209" s="27" t="s">
        <v>1986</v>
      </c>
    </row>
    <row r="210" spans="1:6" x14ac:dyDescent="0.25">
      <c r="A210" s="27" t="s">
        <v>195</v>
      </c>
      <c r="B210" s="27" t="s">
        <v>275</v>
      </c>
      <c r="D210" s="27">
        <v>1915</v>
      </c>
      <c r="E210" s="27">
        <v>1</v>
      </c>
      <c r="F210" s="27" t="s">
        <v>1986</v>
      </c>
    </row>
    <row r="211" spans="1:6" x14ac:dyDescent="0.25">
      <c r="A211" s="27" t="s">
        <v>195</v>
      </c>
      <c r="B211" s="27" t="s">
        <v>276</v>
      </c>
      <c r="D211" s="27">
        <v>1916</v>
      </c>
      <c r="E211" s="27">
        <v>1</v>
      </c>
      <c r="F211" s="27" t="s">
        <v>1986</v>
      </c>
    </row>
    <row r="212" spans="1:6" x14ac:dyDescent="0.25">
      <c r="A212" s="27" t="s">
        <v>195</v>
      </c>
      <c r="B212" s="27" t="s">
        <v>277</v>
      </c>
      <c r="D212" s="27">
        <v>1917</v>
      </c>
      <c r="E212" s="27">
        <v>1</v>
      </c>
      <c r="F212" s="27" t="s">
        <v>1986</v>
      </c>
    </row>
    <row r="213" spans="1:6" x14ac:dyDescent="0.25">
      <c r="A213" s="27" t="s">
        <v>195</v>
      </c>
      <c r="B213" s="27" t="s">
        <v>278</v>
      </c>
      <c r="D213" s="27">
        <v>1917</v>
      </c>
      <c r="E213" s="27">
        <v>1</v>
      </c>
      <c r="F213" s="27" t="s">
        <v>1986</v>
      </c>
    </row>
    <row r="214" spans="1:6" x14ac:dyDescent="0.25">
      <c r="A214" s="27" t="s">
        <v>195</v>
      </c>
      <c r="B214" s="27" t="s">
        <v>279</v>
      </c>
      <c r="D214" s="27">
        <v>1917</v>
      </c>
      <c r="E214" s="27">
        <v>1</v>
      </c>
      <c r="F214" s="27" t="s">
        <v>1986</v>
      </c>
    </row>
    <row r="215" spans="1:6" x14ac:dyDescent="0.25">
      <c r="A215" s="27" t="s">
        <v>195</v>
      </c>
      <c r="B215" s="27" t="s">
        <v>280</v>
      </c>
      <c r="D215" s="27">
        <v>1917</v>
      </c>
      <c r="E215" s="27">
        <v>1</v>
      </c>
      <c r="F215" s="27" t="s">
        <v>1986</v>
      </c>
    </row>
    <row r="216" spans="1:6" x14ac:dyDescent="0.25">
      <c r="A216" s="27" t="s">
        <v>195</v>
      </c>
      <c r="B216" s="27" t="s">
        <v>100</v>
      </c>
      <c r="D216" s="27">
        <v>1918</v>
      </c>
      <c r="E216" s="27">
        <v>2</v>
      </c>
      <c r="F216" s="27" t="s">
        <v>1986</v>
      </c>
    </row>
    <row r="217" spans="1:6" x14ac:dyDescent="0.25">
      <c r="A217" s="27" t="s">
        <v>195</v>
      </c>
      <c r="B217" s="27" t="s">
        <v>146</v>
      </c>
      <c r="D217" s="27">
        <v>1918</v>
      </c>
      <c r="E217" s="27">
        <v>1</v>
      </c>
      <c r="F217" s="27" t="s">
        <v>1986</v>
      </c>
    </row>
    <row r="218" spans="1:6" x14ac:dyDescent="0.25">
      <c r="A218" s="27" t="s">
        <v>195</v>
      </c>
      <c r="B218" s="27" t="s">
        <v>281</v>
      </c>
      <c r="D218" s="27">
        <v>1918</v>
      </c>
      <c r="E218" s="27">
        <v>1</v>
      </c>
      <c r="F218" s="27" t="s">
        <v>1986</v>
      </c>
    </row>
    <row r="219" spans="1:6" x14ac:dyDescent="0.25">
      <c r="A219" s="27" t="s">
        <v>195</v>
      </c>
      <c r="B219" s="27" t="s">
        <v>334</v>
      </c>
      <c r="D219" s="27">
        <v>1919</v>
      </c>
      <c r="E219" s="27">
        <v>1</v>
      </c>
      <c r="F219" s="27" t="s">
        <v>1986</v>
      </c>
    </row>
    <row r="220" spans="1:6" x14ac:dyDescent="0.25">
      <c r="A220" s="27" t="s">
        <v>195</v>
      </c>
      <c r="B220" s="27" t="s">
        <v>130</v>
      </c>
      <c r="D220" s="27">
        <v>1919</v>
      </c>
      <c r="E220" s="27">
        <v>1</v>
      </c>
      <c r="F220" s="27" t="s">
        <v>1986</v>
      </c>
    </row>
    <row r="221" spans="1:6" x14ac:dyDescent="0.25">
      <c r="A221" s="27" t="s">
        <v>195</v>
      </c>
      <c r="B221" s="27" t="s">
        <v>282</v>
      </c>
      <c r="D221" s="27">
        <v>1919</v>
      </c>
      <c r="E221" s="27">
        <v>1</v>
      </c>
      <c r="F221" s="27" t="s">
        <v>1986</v>
      </c>
    </row>
    <row r="222" spans="1:6" x14ac:dyDescent="0.25">
      <c r="A222" s="27" t="s">
        <v>195</v>
      </c>
      <c r="B222" s="27" t="s">
        <v>283</v>
      </c>
      <c r="D222" s="27">
        <v>1919</v>
      </c>
      <c r="E222" s="27">
        <v>1</v>
      </c>
      <c r="F222" s="27" t="s">
        <v>1986</v>
      </c>
    </row>
    <row r="223" spans="1:6" x14ac:dyDescent="0.25">
      <c r="A223" s="27" t="s">
        <v>195</v>
      </c>
      <c r="B223" s="27" t="s">
        <v>284</v>
      </c>
      <c r="D223" s="27">
        <v>1919</v>
      </c>
      <c r="E223" s="27">
        <v>1</v>
      </c>
      <c r="F223" s="27" t="s">
        <v>1986</v>
      </c>
    </row>
    <row r="224" spans="1:6" x14ac:dyDescent="0.25">
      <c r="A224" s="27" t="s">
        <v>195</v>
      </c>
      <c r="B224" s="27" t="s">
        <v>285</v>
      </c>
      <c r="D224" s="27">
        <v>1920</v>
      </c>
      <c r="E224" s="27">
        <v>1</v>
      </c>
      <c r="F224" s="27" t="s">
        <v>1986</v>
      </c>
    </row>
    <row r="225" spans="1:6" x14ac:dyDescent="0.25">
      <c r="A225" s="27" t="s">
        <v>195</v>
      </c>
      <c r="B225" s="27" t="s">
        <v>286</v>
      </c>
      <c r="D225" s="27">
        <v>1920</v>
      </c>
      <c r="E225" s="27">
        <v>1</v>
      </c>
      <c r="F225" s="27" t="s">
        <v>1986</v>
      </c>
    </row>
    <row r="226" spans="1:6" x14ac:dyDescent="0.25">
      <c r="A226" s="27" t="s">
        <v>195</v>
      </c>
      <c r="B226" s="27" t="s">
        <v>287</v>
      </c>
      <c r="D226" s="27">
        <v>1920</v>
      </c>
      <c r="E226" s="27">
        <v>1</v>
      </c>
      <c r="F226" s="27" t="s">
        <v>1986</v>
      </c>
    </row>
    <row r="227" spans="1:6" x14ac:dyDescent="0.25">
      <c r="A227" s="27" t="s">
        <v>195</v>
      </c>
      <c r="B227" s="27" t="s">
        <v>114</v>
      </c>
      <c r="D227" s="27">
        <v>1920</v>
      </c>
      <c r="E227" s="27">
        <v>1</v>
      </c>
      <c r="F227" s="27" t="s">
        <v>1986</v>
      </c>
    </row>
    <row r="228" spans="1:6" x14ac:dyDescent="0.25">
      <c r="A228" s="27" t="s">
        <v>195</v>
      </c>
      <c r="B228" s="27" t="s">
        <v>116</v>
      </c>
      <c r="D228" s="27">
        <v>1920</v>
      </c>
      <c r="E228" s="27">
        <v>1</v>
      </c>
      <c r="F228" s="27" t="s">
        <v>1986</v>
      </c>
    </row>
    <row r="229" spans="1:6" x14ac:dyDescent="0.25">
      <c r="A229" s="27" t="s">
        <v>195</v>
      </c>
      <c r="B229" s="27" t="s">
        <v>288</v>
      </c>
      <c r="D229" s="27">
        <v>1921</v>
      </c>
      <c r="E229" s="27">
        <v>1</v>
      </c>
      <c r="F229" s="27" t="s">
        <v>1986</v>
      </c>
    </row>
    <row r="230" spans="1:6" x14ac:dyDescent="0.25">
      <c r="A230" s="27" t="s">
        <v>195</v>
      </c>
      <c r="B230" s="27" t="s">
        <v>289</v>
      </c>
      <c r="D230" s="27">
        <v>1921</v>
      </c>
      <c r="E230" s="27">
        <v>1</v>
      </c>
      <c r="F230" s="27" t="s">
        <v>1986</v>
      </c>
    </row>
    <row r="231" spans="1:6" x14ac:dyDescent="0.25">
      <c r="A231" s="27" t="s">
        <v>195</v>
      </c>
      <c r="B231" s="27" t="s">
        <v>290</v>
      </c>
      <c r="D231" s="27">
        <v>1921</v>
      </c>
      <c r="E231" s="27">
        <v>1</v>
      </c>
      <c r="F231" s="27" t="s">
        <v>1986</v>
      </c>
    </row>
    <row r="232" spans="1:6" x14ac:dyDescent="0.25">
      <c r="A232" s="27" t="s">
        <v>195</v>
      </c>
      <c r="B232" s="27" t="s">
        <v>291</v>
      </c>
      <c r="D232" s="27">
        <v>1921</v>
      </c>
      <c r="E232" s="27">
        <v>1</v>
      </c>
      <c r="F232" s="27" t="s">
        <v>1986</v>
      </c>
    </row>
    <row r="233" spans="1:6" x14ac:dyDescent="0.25">
      <c r="A233" s="27" t="s">
        <v>195</v>
      </c>
      <c r="B233" s="27" t="s">
        <v>292</v>
      </c>
      <c r="D233" s="27">
        <v>1921</v>
      </c>
      <c r="E233" s="27">
        <v>1</v>
      </c>
      <c r="F233" s="27" t="s">
        <v>1986</v>
      </c>
    </row>
    <row r="234" spans="1:6" x14ac:dyDescent="0.25">
      <c r="A234" s="27" t="s">
        <v>195</v>
      </c>
      <c r="B234" s="27" t="s">
        <v>293</v>
      </c>
      <c r="D234" s="27">
        <v>1923</v>
      </c>
      <c r="E234" s="27">
        <v>1</v>
      </c>
      <c r="F234" s="27" t="s">
        <v>1986</v>
      </c>
    </row>
    <row r="235" spans="1:6" x14ac:dyDescent="0.25">
      <c r="A235" s="27" t="s">
        <v>195</v>
      </c>
      <c r="B235" s="27" t="s">
        <v>133</v>
      </c>
      <c r="D235" s="27">
        <v>1923</v>
      </c>
      <c r="E235" s="27">
        <v>1</v>
      </c>
      <c r="F235" s="27" t="s">
        <v>1986</v>
      </c>
    </row>
    <row r="236" spans="1:6" x14ac:dyDescent="0.25">
      <c r="A236" s="27" t="s">
        <v>195</v>
      </c>
      <c r="B236" s="27" t="s">
        <v>294</v>
      </c>
      <c r="D236" s="27">
        <v>1924</v>
      </c>
      <c r="E236" s="27">
        <v>1</v>
      </c>
      <c r="F236" s="27" t="s">
        <v>1986</v>
      </c>
    </row>
    <row r="237" spans="1:6" x14ac:dyDescent="0.25">
      <c r="A237" s="27" t="s">
        <v>195</v>
      </c>
      <c r="B237" s="27" t="s">
        <v>108</v>
      </c>
      <c r="D237" s="27">
        <v>1924</v>
      </c>
      <c r="E237" s="27">
        <v>1</v>
      </c>
      <c r="F237" s="27" t="s">
        <v>1986</v>
      </c>
    </row>
    <row r="238" spans="1:6" x14ac:dyDescent="0.25">
      <c r="A238" s="27" t="s">
        <v>195</v>
      </c>
      <c r="B238" s="27" t="s">
        <v>295</v>
      </c>
      <c r="D238" s="27">
        <v>1925</v>
      </c>
      <c r="E238" s="27">
        <v>1</v>
      </c>
      <c r="F238" s="27" t="s">
        <v>1986</v>
      </c>
    </row>
    <row r="239" spans="1:6" x14ac:dyDescent="0.25">
      <c r="A239" s="27" t="s">
        <v>195</v>
      </c>
      <c r="B239" s="27" t="s">
        <v>49</v>
      </c>
      <c r="D239" s="27">
        <v>1927</v>
      </c>
      <c r="E239" s="27">
        <v>1</v>
      </c>
      <c r="F239" s="27" t="s">
        <v>1986</v>
      </c>
    </row>
    <row r="240" spans="1:6" x14ac:dyDescent="0.25">
      <c r="A240" s="27" t="s">
        <v>195</v>
      </c>
      <c r="B240" s="27" t="s">
        <v>296</v>
      </c>
      <c r="D240" s="27">
        <v>1928</v>
      </c>
      <c r="E240" s="27">
        <v>1</v>
      </c>
      <c r="F240" s="27" t="s">
        <v>1986</v>
      </c>
    </row>
    <row r="241" spans="1:6" x14ac:dyDescent="0.25">
      <c r="A241" s="27" t="s">
        <v>195</v>
      </c>
      <c r="B241" s="27" t="s">
        <v>297</v>
      </c>
      <c r="D241" s="27">
        <v>1928</v>
      </c>
      <c r="E241" s="27">
        <v>1</v>
      </c>
      <c r="F241" s="27" t="s">
        <v>1986</v>
      </c>
    </row>
    <row r="242" spans="1:6" x14ac:dyDescent="0.25">
      <c r="A242" s="27"/>
      <c r="B242" s="27"/>
      <c r="D242" s="27"/>
      <c r="E242" s="27">
        <v>39</v>
      </c>
      <c r="F242" s="27"/>
    </row>
    <row r="243" spans="1:6" x14ac:dyDescent="0.25">
      <c r="A243" s="27" t="s">
        <v>201</v>
      </c>
      <c r="B243" s="27" t="s">
        <v>298</v>
      </c>
      <c r="D243" s="27">
        <v>1917</v>
      </c>
      <c r="E243" s="27">
        <v>1</v>
      </c>
      <c r="F243" s="27" t="s">
        <v>1987</v>
      </c>
    </row>
    <row r="244" spans="1:6" x14ac:dyDescent="0.25">
      <c r="A244" s="27" t="s">
        <v>201</v>
      </c>
      <c r="B244" s="27" t="s">
        <v>299</v>
      </c>
      <c r="D244" s="27">
        <v>1917</v>
      </c>
      <c r="E244" s="27">
        <v>1</v>
      </c>
      <c r="F244" s="27" t="s">
        <v>1987</v>
      </c>
    </row>
    <row r="245" spans="1:6" x14ac:dyDescent="0.25">
      <c r="A245" s="27" t="s">
        <v>201</v>
      </c>
      <c r="B245" s="27" t="s">
        <v>300</v>
      </c>
      <c r="D245" s="27">
        <v>1918</v>
      </c>
      <c r="E245" s="27">
        <v>1</v>
      </c>
      <c r="F245" s="27" t="s">
        <v>1987</v>
      </c>
    </row>
    <row r="246" spans="1:6" x14ac:dyDescent="0.25">
      <c r="A246" s="27" t="s">
        <v>201</v>
      </c>
      <c r="B246" s="27" t="s">
        <v>301</v>
      </c>
      <c r="D246" s="27">
        <v>1920</v>
      </c>
      <c r="E246" s="27">
        <v>1</v>
      </c>
      <c r="F246" s="27" t="s">
        <v>1987</v>
      </c>
    </row>
    <row r="247" spans="1:6" x14ac:dyDescent="0.25">
      <c r="A247" s="27" t="s">
        <v>201</v>
      </c>
      <c r="B247" s="27" t="s">
        <v>338</v>
      </c>
      <c r="D247" s="27">
        <v>1920</v>
      </c>
      <c r="E247" s="27">
        <v>1</v>
      </c>
      <c r="F247" s="27" t="s">
        <v>1987</v>
      </c>
    </row>
    <row r="248" spans="1:6" x14ac:dyDescent="0.25">
      <c r="A248" s="27" t="s">
        <v>201</v>
      </c>
      <c r="B248" s="27" t="s">
        <v>302</v>
      </c>
      <c r="D248" s="27">
        <v>1920</v>
      </c>
      <c r="E248" s="27">
        <v>1</v>
      </c>
      <c r="F248" s="27" t="s">
        <v>1987</v>
      </c>
    </row>
    <row r="249" spans="1:6" x14ac:dyDescent="0.25">
      <c r="A249" s="27" t="s">
        <v>201</v>
      </c>
      <c r="B249" s="27" t="s">
        <v>92</v>
      </c>
      <c r="D249" s="27">
        <v>1920</v>
      </c>
      <c r="E249" s="27">
        <v>1</v>
      </c>
      <c r="F249" s="27" t="s">
        <v>1987</v>
      </c>
    </row>
    <row r="250" spans="1:6" x14ac:dyDescent="0.25">
      <c r="A250" s="27" t="s">
        <v>201</v>
      </c>
      <c r="B250" s="27" t="s">
        <v>303</v>
      </c>
      <c r="D250" s="27">
        <v>1921</v>
      </c>
      <c r="E250" s="27">
        <v>1</v>
      </c>
      <c r="F250" s="27" t="s">
        <v>1987</v>
      </c>
    </row>
    <row r="251" spans="1:6" x14ac:dyDescent="0.25">
      <c r="A251" s="27" t="s">
        <v>201</v>
      </c>
      <c r="B251" s="27" t="s">
        <v>304</v>
      </c>
      <c r="D251" s="27">
        <v>1923</v>
      </c>
      <c r="E251" s="27">
        <v>1</v>
      </c>
      <c r="F251" s="27" t="s">
        <v>1987</v>
      </c>
    </row>
    <row r="252" spans="1:6" x14ac:dyDescent="0.25">
      <c r="A252" s="27" t="s">
        <v>201</v>
      </c>
      <c r="B252" s="27" t="s">
        <v>121</v>
      </c>
      <c r="D252" s="27">
        <v>1923</v>
      </c>
      <c r="E252" s="27">
        <v>1</v>
      </c>
      <c r="F252" s="27" t="s">
        <v>1987</v>
      </c>
    </row>
    <row r="253" spans="1:6" x14ac:dyDescent="0.25">
      <c r="A253" s="27" t="s">
        <v>201</v>
      </c>
      <c r="B253" s="27" t="s">
        <v>305</v>
      </c>
      <c r="D253" s="27">
        <v>1923</v>
      </c>
      <c r="E253" s="27">
        <v>1</v>
      </c>
      <c r="F253" s="27" t="s">
        <v>1987</v>
      </c>
    </row>
    <row r="254" spans="1:6" x14ac:dyDescent="0.25">
      <c r="A254" s="27" t="s">
        <v>201</v>
      </c>
      <c r="B254" s="27" t="s">
        <v>40</v>
      </c>
      <c r="D254" s="27">
        <v>1924</v>
      </c>
      <c r="E254" s="27">
        <v>1</v>
      </c>
      <c r="F254" s="27" t="s">
        <v>1987</v>
      </c>
    </row>
    <row r="255" spans="1:6" x14ac:dyDescent="0.25">
      <c r="A255" s="27" t="s">
        <v>201</v>
      </c>
      <c r="B255" s="27" t="s">
        <v>293</v>
      </c>
      <c r="D255" s="27">
        <v>1924</v>
      </c>
      <c r="E255" s="27">
        <v>1</v>
      </c>
      <c r="F255" s="27" t="s">
        <v>1987</v>
      </c>
    </row>
    <row r="256" spans="1:6" x14ac:dyDescent="0.25">
      <c r="A256" s="27" t="s">
        <v>201</v>
      </c>
      <c r="B256" s="27" t="s">
        <v>306</v>
      </c>
      <c r="D256" s="27">
        <v>1925</v>
      </c>
      <c r="E256" s="27">
        <v>1</v>
      </c>
      <c r="F256" s="27" t="s">
        <v>1987</v>
      </c>
    </row>
    <row r="257" spans="1:6" x14ac:dyDescent="0.25">
      <c r="A257" s="27" t="s">
        <v>201</v>
      </c>
      <c r="B257" s="27" t="s">
        <v>307</v>
      </c>
      <c r="D257" s="27">
        <v>1925</v>
      </c>
      <c r="E257" s="27">
        <v>1</v>
      </c>
      <c r="F257" s="27" t="s">
        <v>1987</v>
      </c>
    </row>
    <row r="258" spans="1:6" x14ac:dyDescent="0.25">
      <c r="A258" s="27" t="s">
        <v>201</v>
      </c>
      <c r="B258" s="27" t="s">
        <v>308</v>
      </c>
      <c r="D258" s="27">
        <v>1926</v>
      </c>
      <c r="E258" s="27">
        <v>1</v>
      </c>
      <c r="F258" s="27" t="s">
        <v>1987</v>
      </c>
    </row>
    <row r="259" spans="1:6" x14ac:dyDescent="0.25">
      <c r="A259" s="27" t="s">
        <v>201</v>
      </c>
      <c r="B259" s="27" t="s">
        <v>309</v>
      </c>
      <c r="D259" s="27">
        <v>1927</v>
      </c>
      <c r="E259" s="27">
        <v>1</v>
      </c>
      <c r="F259" s="27" t="s">
        <v>1987</v>
      </c>
    </row>
    <row r="260" spans="1:6" x14ac:dyDescent="0.25">
      <c r="A260" s="27" t="s">
        <v>201</v>
      </c>
      <c r="B260" s="27" t="s">
        <v>165</v>
      </c>
      <c r="D260" s="27">
        <v>1927</v>
      </c>
      <c r="E260" s="27">
        <v>1</v>
      </c>
      <c r="F260" s="27" t="s">
        <v>1987</v>
      </c>
    </row>
    <row r="261" spans="1:6" x14ac:dyDescent="0.25">
      <c r="A261" s="27" t="s">
        <v>201</v>
      </c>
      <c r="B261" s="27" t="s">
        <v>107</v>
      </c>
      <c r="D261" s="27">
        <v>1928</v>
      </c>
      <c r="E261" s="27">
        <v>1</v>
      </c>
      <c r="F261" s="27" t="s">
        <v>1987</v>
      </c>
    </row>
    <row r="262" spans="1:6" x14ac:dyDescent="0.25">
      <c r="A262" s="27" t="s">
        <v>201</v>
      </c>
      <c r="B262" s="27" t="s">
        <v>310</v>
      </c>
      <c r="D262" s="27">
        <v>1928</v>
      </c>
      <c r="E262" s="27">
        <v>1</v>
      </c>
      <c r="F262" s="27" t="s">
        <v>1987</v>
      </c>
    </row>
    <row r="263" spans="1:6" x14ac:dyDescent="0.25">
      <c r="A263" s="27"/>
      <c r="B263" s="27"/>
      <c r="D263" s="27"/>
      <c r="E263" s="27">
        <v>20</v>
      </c>
      <c r="F263" s="27"/>
    </row>
    <row r="264" spans="1:6" x14ac:dyDescent="0.25">
      <c r="A264" s="27" t="s">
        <v>203</v>
      </c>
      <c r="B264" s="27" t="s">
        <v>311</v>
      </c>
      <c r="D264" s="27">
        <v>1919</v>
      </c>
      <c r="E264" s="27">
        <v>1</v>
      </c>
      <c r="F264" s="27" t="s">
        <v>1988</v>
      </c>
    </row>
    <row r="265" spans="1:6" x14ac:dyDescent="0.25">
      <c r="A265" s="27" t="s">
        <v>203</v>
      </c>
      <c r="B265" s="27" t="s">
        <v>9</v>
      </c>
      <c r="D265" s="27">
        <v>1919</v>
      </c>
      <c r="E265" s="27">
        <v>1</v>
      </c>
      <c r="F265" s="27" t="s">
        <v>1988</v>
      </c>
    </row>
    <row r="266" spans="1:6" x14ac:dyDescent="0.25">
      <c r="A266" s="27" t="s">
        <v>203</v>
      </c>
      <c r="B266" s="27" t="s">
        <v>312</v>
      </c>
      <c r="D266" s="27">
        <v>1920</v>
      </c>
      <c r="E266" s="27">
        <v>1</v>
      </c>
      <c r="F266" s="27" t="s">
        <v>1988</v>
      </c>
    </row>
    <row r="267" spans="1:6" x14ac:dyDescent="0.25">
      <c r="A267" s="27" t="s">
        <v>203</v>
      </c>
      <c r="B267" s="27" t="s">
        <v>313</v>
      </c>
      <c r="D267" s="27">
        <v>1920</v>
      </c>
      <c r="E267" s="27">
        <v>1</v>
      </c>
      <c r="F267" s="27" t="s">
        <v>1988</v>
      </c>
    </row>
    <row r="268" spans="1:6" x14ac:dyDescent="0.25">
      <c r="A268" s="27" t="s">
        <v>203</v>
      </c>
      <c r="B268" s="27" t="s">
        <v>277</v>
      </c>
      <c r="D268" s="27">
        <v>1920</v>
      </c>
      <c r="E268" s="27">
        <v>1</v>
      </c>
      <c r="F268" s="27" t="s">
        <v>1988</v>
      </c>
    </row>
    <row r="269" spans="1:6" x14ac:dyDescent="0.25">
      <c r="A269" s="27" t="s">
        <v>203</v>
      </c>
      <c r="B269" s="27" t="s">
        <v>314</v>
      </c>
      <c r="D269" s="27">
        <v>1921</v>
      </c>
      <c r="E269" s="27">
        <v>1</v>
      </c>
      <c r="F269" s="27" t="s">
        <v>1988</v>
      </c>
    </row>
    <row r="270" spans="1:6" x14ac:dyDescent="0.25">
      <c r="A270" s="27" t="s">
        <v>203</v>
      </c>
      <c r="B270" s="27" t="s">
        <v>315</v>
      </c>
      <c r="D270" s="27">
        <v>1923</v>
      </c>
      <c r="E270" s="27">
        <v>1</v>
      </c>
      <c r="F270" s="27" t="s">
        <v>1988</v>
      </c>
    </row>
    <row r="271" spans="1:6" x14ac:dyDescent="0.25">
      <c r="A271" s="27" t="s">
        <v>203</v>
      </c>
      <c r="B271" s="27" t="s">
        <v>82</v>
      </c>
      <c r="D271" s="27">
        <v>1923</v>
      </c>
      <c r="E271" s="27">
        <v>1</v>
      </c>
      <c r="F271" s="27" t="s">
        <v>1988</v>
      </c>
    </row>
    <row r="272" spans="1:6" x14ac:dyDescent="0.25">
      <c r="A272" s="27" t="s">
        <v>203</v>
      </c>
      <c r="B272" s="27" t="s">
        <v>294</v>
      </c>
      <c r="D272" s="27">
        <v>1924</v>
      </c>
      <c r="E272" s="27">
        <v>1</v>
      </c>
      <c r="F272" s="27" t="s">
        <v>1988</v>
      </c>
    </row>
    <row r="273" spans="1:6" x14ac:dyDescent="0.25">
      <c r="A273" s="27" t="s">
        <v>203</v>
      </c>
      <c r="B273" s="27" t="s">
        <v>316</v>
      </c>
      <c r="D273" s="27">
        <v>1925</v>
      </c>
      <c r="E273" s="27">
        <v>1</v>
      </c>
      <c r="F273" s="27" t="s">
        <v>1988</v>
      </c>
    </row>
    <row r="274" spans="1:6" x14ac:dyDescent="0.25">
      <c r="A274" s="27" t="s">
        <v>203</v>
      </c>
      <c r="B274" s="27" t="s">
        <v>317</v>
      </c>
      <c r="D274" s="27">
        <v>1926</v>
      </c>
      <c r="E274" s="27">
        <v>1</v>
      </c>
      <c r="F274" s="27" t="s">
        <v>1988</v>
      </c>
    </row>
    <row r="275" spans="1:6" x14ac:dyDescent="0.25">
      <c r="A275" s="27" t="s">
        <v>203</v>
      </c>
      <c r="B275" s="27" t="s">
        <v>318</v>
      </c>
      <c r="D275" s="27">
        <v>1926</v>
      </c>
      <c r="E275" s="27">
        <v>1</v>
      </c>
      <c r="F275" s="27" t="s">
        <v>1988</v>
      </c>
    </row>
    <row r="276" spans="1:6" x14ac:dyDescent="0.25">
      <c r="A276" s="27" t="s">
        <v>203</v>
      </c>
      <c r="B276" s="27" t="s">
        <v>32</v>
      </c>
      <c r="D276" s="27">
        <v>1926</v>
      </c>
      <c r="E276" s="27">
        <v>1</v>
      </c>
      <c r="F276" s="27" t="s">
        <v>1988</v>
      </c>
    </row>
    <row r="277" spans="1:6" x14ac:dyDescent="0.25">
      <c r="A277" s="27" t="s">
        <v>203</v>
      </c>
      <c r="B277" s="27" t="s">
        <v>50</v>
      </c>
      <c r="D277" s="27">
        <v>1926</v>
      </c>
      <c r="E277" s="27">
        <v>3</v>
      </c>
      <c r="F277" s="27" t="s">
        <v>1988</v>
      </c>
    </row>
    <row r="278" spans="1:6" x14ac:dyDescent="0.25">
      <c r="A278" s="27" t="s">
        <v>203</v>
      </c>
      <c r="B278" s="27" t="s">
        <v>63</v>
      </c>
      <c r="D278" s="27">
        <v>1927</v>
      </c>
      <c r="E278" s="27">
        <v>1</v>
      </c>
      <c r="F278" s="27" t="s">
        <v>1988</v>
      </c>
    </row>
    <row r="279" spans="1:6" x14ac:dyDescent="0.25">
      <c r="A279" s="27" t="s">
        <v>203</v>
      </c>
      <c r="B279" s="27" t="s">
        <v>319</v>
      </c>
      <c r="D279" s="27">
        <v>1927</v>
      </c>
      <c r="E279" s="27">
        <v>1</v>
      </c>
      <c r="F279" s="27" t="s">
        <v>1988</v>
      </c>
    </row>
    <row r="280" spans="1:6" x14ac:dyDescent="0.25">
      <c r="A280" s="27" t="s">
        <v>203</v>
      </c>
      <c r="B280" s="27" t="s">
        <v>56</v>
      </c>
      <c r="D280" s="27">
        <v>1927</v>
      </c>
      <c r="E280" s="27">
        <v>1</v>
      </c>
      <c r="F280" s="27" t="s">
        <v>1988</v>
      </c>
    </row>
    <row r="281" spans="1:6" x14ac:dyDescent="0.25">
      <c r="A281" s="27" t="s">
        <v>203</v>
      </c>
      <c r="B281" s="27" t="s">
        <v>320</v>
      </c>
      <c r="D281" s="27">
        <v>1928</v>
      </c>
      <c r="E281" s="27">
        <v>1</v>
      </c>
      <c r="F281" s="27" t="s">
        <v>1988</v>
      </c>
    </row>
    <row r="282" spans="1:6" x14ac:dyDescent="0.25">
      <c r="A282" s="27" t="s">
        <v>203</v>
      </c>
      <c r="B282" s="27" t="s">
        <v>276</v>
      </c>
      <c r="D282" s="27">
        <v>1928</v>
      </c>
      <c r="E282" s="27">
        <v>1</v>
      </c>
      <c r="F282" s="27" t="s">
        <v>1988</v>
      </c>
    </row>
    <row r="283" spans="1:6" x14ac:dyDescent="0.25">
      <c r="A283" s="27" t="s">
        <v>203</v>
      </c>
      <c r="B283" s="27" t="s">
        <v>129</v>
      </c>
      <c r="D283" s="27">
        <v>1928</v>
      </c>
      <c r="E283" s="27">
        <v>1</v>
      </c>
      <c r="F283" s="27" t="s">
        <v>1988</v>
      </c>
    </row>
    <row r="284" spans="1:6" x14ac:dyDescent="0.25">
      <c r="A284" s="27" t="s">
        <v>203</v>
      </c>
      <c r="B284" s="27" t="s">
        <v>27</v>
      </c>
      <c r="D284" s="27">
        <v>1928</v>
      </c>
      <c r="E284" s="27">
        <v>1</v>
      </c>
      <c r="F284" s="27" t="s">
        <v>1988</v>
      </c>
    </row>
    <row r="285" spans="1:6" x14ac:dyDescent="0.25">
      <c r="A285" s="27" t="s">
        <v>203</v>
      </c>
      <c r="B285" s="27" t="s">
        <v>44</v>
      </c>
      <c r="D285" s="27">
        <v>1928</v>
      </c>
      <c r="E285" s="27">
        <v>1</v>
      </c>
      <c r="F285" s="27" t="s">
        <v>1988</v>
      </c>
    </row>
    <row r="286" spans="1:6" x14ac:dyDescent="0.25">
      <c r="A286" s="27" t="s">
        <v>203</v>
      </c>
      <c r="B286" s="27" t="s">
        <v>137</v>
      </c>
      <c r="D286" s="27">
        <v>1928</v>
      </c>
      <c r="E286" s="27">
        <v>1</v>
      </c>
      <c r="F286" s="27" t="s">
        <v>1988</v>
      </c>
    </row>
    <row r="287" spans="1:6" x14ac:dyDescent="0.25">
      <c r="A287" s="27"/>
      <c r="B287" s="27"/>
      <c r="D287" s="27"/>
      <c r="E287" s="27">
        <v>25</v>
      </c>
      <c r="F287" s="27"/>
    </row>
    <row r="288" spans="1:6" x14ac:dyDescent="0.25">
      <c r="A288" s="27" t="s">
        <v>207</v>
      </c>
      <c r="B288" s="27" t="s">
        <v>322</v>
      </c>
      <c r="C288" s="27">
        <v>40150</v>
      </c>
      <c r="D288" s="27">
        <v>1916</v>
      </c>
      <c r="E288" s="27">
        <f>C288/($C$297+$C$288)</f>
        <v>0.7153674832962138</v>
      </c>
      <c r="F288" s="27" t="s">
        <v>1989</v>
      </c>
    </row>
    <row r="289" spans="1:7" x14ac:dyDescent="0.25">
      <c r="A289" s="27" t="s">
        <v>207</v>
      </c>
      <c r="B289" s="27" t="s">
        <v>323</v>
      </c>
      <c r="C289" s="27">
        <v>37812</v>
      </c>
      <c r="D289" s="27">
        <v>1917</v>
      </c>
      <c r="E289" s="27">
        <v>1</v>
      </c>
      <c r="F289" s="27" t="s">
        <v>1989</v>
      </c>
    </row>
    <row r="290" spans="1:7" x14ac:dyDescent="0.25">
      <c r="A290" s="27" t="s">
        <v>207</v>
      </c>
      <c r="B290" s="27" t="s">
        <v>577</v>
      </c>
      <c r="C290" s="27">
        <v>25067</v>
      </c>
      <c r="D290" s="27">
        <v>1919</v>
      </c>
      <c r="E290" s="27">
        <v>1</v>
      </c>
      <c r="F290" s="27" t="s">
        <v>1989</v>
      </c>
    </row>
    <row r="291" spans="1:7" s="27" customFormat="1" x14ac:dyDescent="0.25">
      <c r="A291" s="27" t="s">
        <v>207</v>
      </c>
      <c r="B291" s="27" t="s">
        <v>285</v>
      </c>
      <c r="C291" s="27">
        <v>41068</v>
      </c>
      <c r="D291" s="27">
        <v>1920</v>
      </c>
      <c r="F291" s="27" t="s">
        <v>1989</v>
      </c>
    </row>
    <row r="292" spans="1:7" x14ac:dyDescent="0.25">
      <c r="A292" s="27" t="s">
        <v>207</v>
      </c>
      <c r="B292" s="27" t="s">
        <v>349</v>
      </c>
      <c r="C292" s="27">
        <v>26833</v>
      </c>
      <c r="D292" s="27">
        <v>1920</v>
      </c>
      <c r="E292" s="27">
        <v>1</v>
      </c>
      <c r="F292" s="27" t="s">
        <v>1989</v>
      </c>
    </row>
    <row r="293" spans="1:7" x14ac:dyDescent="0.25">
      <c r="A293" s="27" t="s">
        <v>207</v>
      </c>
      <c r="B293" s="27" t="s">
        <v>324</v>
      </c>
      <c r="C293" s="27">
        <v>50703</v>
      </c>
      <c r="D293" s="27">
        <v>1921</v>
      </c>
      <c r="E293" s="27">
        <v>1</v>
      </c>
      <c r="F293" s="27" t="s">
        <v>1989</v>
      </c>
    </row>
    <row r="294" spans="1:7" x14ac:dyDescent="0.25">
      <c r="A294" s="27" t="s">
        <v>207</v>
      </c>
      <c r="B294" s="27" t="s">
        <v>352</v>
      </c>
      <c r="C294" s="27">
        <v>22296</v>
      </c>
      <c r="D294" s="27">
        <v>1922</v>
      </c>
      <c r="E294" s="27">
        <f>C294/($C$299+$C$294)</f>
        <v>0.62275850511144626</v>
      </c>
      <c r="F294" s="27" t="s">
        <v>1989</v>
      </c>
    </row>
    <row r="295" spans="1:7" x14ac:dyDescent="0.25">
      <c r="A295" s="27" t="s">
        <v>207</v>
      </c>
      <c r="B295" s="27" t="s">
        <v>384</v>
      </c>
      <c r="C295" s="27">
        <v>35713</v>
      </c>
      <c r="D295" s="27">
        <v>1923</v>
      </c>
      <c r="E295" s="27">
        <f>C295/($C$298+$C$295)</f>
        <v>0.65930069413675974</v>
      </c>
      <c r="F295" s="27" t="s">
        <v>1989</v>
      </c>
    </row>
    <row r="296" spans="1:7" x14ac:dyDescent="0.25">
      <c r="A296" s="27" t="s">
        <v>207</v>
      </c>
      <c r="B296" s="27" t="s">
        <v>325</v>
      </c>
      <c r="C296" s="27">
        <v>28156</v>
      </c>
      <c r="D296" s="27">
        <v>1923</v>
      </c>
      <c r="E296" s="27">
        <v>1</v>
      </c>
      <c r="F296" s="27" t="s">
        <v>1989</v>
      </c>
    </row>
    <row r="297" spans="1:7" s="27" customFormat="1" x14ac:dyDescent="0.25">
      <c r="A297" s="27" t="s">
        <v>207</v>
      </c>
      <c r="B297" s="27" t="s">
        <v>353</v>
      </c>
      <c r="C297" s="27">
        <v>15975</v>
      </c>
      <c r="D297" s="27">
        <v>1923</v>
      </c>
      <c r="E297" s="27">
        <f>C297/($C$297+$C$288)</f>
        <v>0.2846325167037862</v>
      </c>
      <c r="F297" s="27" t="s">
        <v>1989</v>
      </c>
      <c r="G297" s="27" t="s">
        <v>579</v>
      </c>
    </row>
    <row r="298" spans="1:7" s="27" customFormat="1" x14ac:dyDescent="0.25">
      <c r="A298" s="27" t="s">
        <v>207</v>
      </c>
      <c r="B298" s="27" t="s">
        <v>278</v>
      </c>
      <c r="C298" s="27">
        <v>18455</v>
      </c>
      <c r="D298" s="27">
        <v>1924</v>
      </c>
      <c r="E298" s="27">
        <f>C298/($C$298+$C$295)</f>
        <v>0.34069930586324026</v>
      </c>
      <c r="F298" s="27" t="s">
        <v>1989</v>
      </c>
      <c r="G298" s="27" t="s">
        <v>580</v>
      </c>
    </row>
    <row r="299" spans="1:7" s="27" customFormat="1" x14ac:dyDescent="0.25">
      <c r="A299" s="27" t="s">
        <v>207</v>
      </c>
      <c r="B299" s="27" t="s">
        <v>351</v>
      </c>
      <c r="C299" s="27">
        <v>13506</v>
      </c>
      <c r="D299" s="27">
        <v>1924</v>
      </c>
      <c r="E299" s="27">
        <f>C299/($C$299+$C$294)</f>
        <v>0.37724149488855369</v>
      </c>
      <c r="F299" s="27" t="s">
        <v>1989</v>
      </c>
      <c r="G299" s="27" t="s">
        <v>581</v>
      </c>
    </row>
    <row r="300" spans="1:7" x14ac:dyDescent="0.25">
      <c r="A300" s="27" t="s">
        <v>207</v>
      </c>
      <c r="B300" s="27" t="s">
        <v>326</v>
      </c>
      <c r="C300" s="27">
        <v>20539</v>
      </c>
      <c r="D300" s="27">
        <v>1924</v>
      </c>
      <c r="E300" s="27">
        <f>C300/($C$303+$C$300)</f>
        <v>0.61131614977081972</v>
      </c>
      <c r="F300" s="27" t="s">
        <v>1989</v>
      </c>
    </row>
    <row r="301" spans="1:7" x14ac:dyDescent="0.25">
      <c r="A301" s="27" t="s">
        <v>207</v>
      </c>
      <c r="B301" s="27" t="s">
        <v>327</v>
      </c>
      <c r="C301" s="27">
        <v>26934</v>
      </c>
      <c r="D301" s="27">
        <v>1926</v>
      </c>
      <c r="E301" s="27">
        <v>1</v>
      </c>
      <c r="F301" s="27" t="s">
        <v>1989</v>
      </c>
    </row>
    <row r="302" spans="1:7" x14ac:dyDescent="0.25">
      <c r="A302" s="27" t="s">
        <v>207</v>
      </c>
      <c r="B302" s="27" t="s">
        <v>328</v>
      </c>
      <c r="C302" s="27">
        <v>21760</v>
      </c>
      <c r="D302" s="27">
        <v>1927</v>
      </c>
      <c r="E302" s="27">
        <v>1</v>
      </c>
      <c r="F302" s="27" t="s">
        <v>1989</v>
      </c>
    </row>
    <row r="303" spans="1:7" x14ac:dyDescent="0.25">
      <c r="A303" s="27" t="s">
        <v>207</v>
      </c>
      <c r="B303" s="27" t="s">
        <v>350</v>
      </c>
      <c r="C303" s="27">
        <v>13059</v>
      </c>
      <c r="D303" s="27">
        <v>1928</v>
      </c>
      <c r="E303">
        <f>C303/($C$303+$C$300)</f>
        <v>0.38868385022918028</v>
      </c>
      <c r="F303" s="27" t="s">
        <v>1989</v>
      </c>
      <c r="G303" t="s">
        <v>582</v>
      </c>
    </row>
    <row r="304" spans="1:7" x14ac:dyDescent="0.25">
      <c r="A304" s="27"/>
      <c r="C304" s="27">
        <f>SUM(C288:C303)</f>
        <v>438026</v>
      </c>
    </row>
    <row r="305" spans="1:7" x14ac:dyDescent="0.25">
      <c r="A305" s="27" t="s">
        <v>204</v>
      </c>
      <c r="F305" t="s">
        <v>2623</v>
      </c>
    </row>
    <row r="306" spans="1:7" x14ac:dyDescent="0.25">
      <c r="A306" s="149" t="s">
        <v>2624</v>
      </c>
    </row>
    <row r="307" spans="1:7" x14ac:dyDescent="0.25">
      <c r="A307" s="27"/>
    </row>
    <row r="308" spans="1:7" x14ac:dyDescent="0.25">
      <c r="A308" s="27"/>
    </row>
    <row r="309" spans="1:7" x14ac:dyDescent="0.25">
      <c r="A309" s="27"/>
    </row>
    <row r="310" spans="1:7" x14ac:dyDescent="0.25">
      <c r="A310" s="27"/>
    </row>
    <row r="311" spans="1:7" x14ac:dyDescent="0.25">
      <c r="A311" s="27"/>
    </row>
    <row r="313" spans="1:7" x14ac:dyDescent="0.25">
      <c r="F313" s="27">
        <v>11</v>
      </c>
      <c r="G313" s="27"/>
    </row>
    <row r="315" spans="1:7" x14ac:dyDescent="0.25">
      <c r="G315" t="s">
        <v>60</v>
      </c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W160"/>
  <sheetViews>
    <sheetView workbookViewId="0"/>
  </sheetViews>
  <sheetFormatPr defaultColWidth="11.42578125" defaultRowHeight="15" x14ac:dyDescent="0.25"/>
  <cols>
    <col min="1" max="1" width="18.28515625" customWidth="1"/>
    <col min="2" max="2" width="7.28515625" customWidth="1"/>
    <col min="3" max="3" width="12.28515625" customWidth="1"/>
    <col min="4" max="4" width="11" style="27" customWidth="1"/>
    <col min="5" max="5" width="9.7109375" style="27" customWidth="1"/>
    <col min="6" max="6" width="10" customWidth="1"/>
    <col min="15" max="15" width="11.42578125" style="2"/>
    <col min="25" max="25" width="11.42578125" style="27"/>
  </cols>
  <sheetData>
    <row r="1" spans="1:49" s="20" customFormat="1" ht="90" x14ac:dyDescent="0.25">
      <c r="B1" s="20" t="s">
        <v>2</v>
      </c>
      <c r="C1" s="20" t="s">
        <v>0</v>
      </c>
      <c r="D1" s="20" t="s">
        <v>2046</v>
      </c>
      <c r="E1" s="20" t="s">
        <v>2047</v>
      </c>
      <c r="F1" s="92" t="s">
        <v>1956</v>
      </c>
      <c r="G1" s="20" t="s">
        <v>2052</v>
      </c>
      <c r="H1" s="20" t="s">
        <v>2053</v>
      </c>
      <c r="I1" s="20" t="s">
        <v>2054</v>
      </c>
      <c r="J1" s="20" t="s">
        <v>2055</v>
      </c>
      <c r="K1" s="20" t="s">
        <v>2057</v>
      </c>
      <c r="L1" s="92" t="s">
        <v>372</v>
      </c>
      <c r="M1" s="20" t="s">
        <v>2030</v>
      </c>
      <c r="N1" s="20" t="s">
        <v>2031</v>
      </c>
      <c r="O1" s="93" t="s">
        <v>357</v>
      </c>
      <c r="P1" s="94" t="s">
        <v>377</v>
      </c>
      <c r="Q1" s="83" t="s">
        <v>2033</v>
      </c>
      <c r="R1" s="83" t="s">
        <v>2056</v>
      </c>
      <c r="S1" s="83" t="s">
        <v>2048</v>
      </c>
      <c r="T1" s="83" t="s">
        <v>2049</v>
      </c>
      <c r="U1" s="95" t="s">
        <v>2050</v>
      </c>
      <c r="V1" s="95" t="s">
        <v>2051</v>
      </c>
      <c r="W1" s="95" t="s">
        <v>2058</v>
      </c>
      <c r="X1" s="95" t="s">
        <v>2059</v>
      </c>
      <c r="Y1" s="92" t="s">
        <v>358</v>
      </c>
      <c r="Z1" s="84" t="s">
        <v>2359</v>
      </c>
      <c r="AA1" s="93" t="s">
        <v>360</v>
      </c>
      <c r="AB1" s="92" t="s">
        <v>374</v>
      </c>
      <c r="AC1" s="39" t="s">
        <v>2034</v>
      </c>
      <c r="AD1" s="39" t="s">
        <v>2035</v>
      </c>
      <c r="AE1" s="91" t="s">
        <v>375</v>
      </c>
      <c r="AF1" s="81" t="s">
        <v>1</v>
      </c>
      <c r="AG1" s="20" t="s">
        <v>1960</v>
      </c>
      <c r="AH1" s="124" t="s">
        <v>2625</v>
      </c>
      <c r="AI1" s="150" t="s">
        <v>2626</v>
      </c>
      <c r="AJ1" s="124" t="s">
        <v>2627</v>
      </c>
      <c r="AK1" s="150" t="s">
        <v>2628</v>
      </c>
      <c r="AL1" s="124" t="s">
        <v>2629</v>
      </c>
      <c r="AM1" s="150" t="s">
        <v>2630</v>
      </c>
      <c r="AN1" s="124" t="s">
        <v>2631</v>
      </c>
      <c r="AO1" s="150" t="s">
        <v>2632</v>
      </c>
      <c r="AP1" s="124" t="s">
        <v>2633</v>
      </c>
      <c r="AQ1" s="150" t="s">
        <v>2634</v>
      </c>
      <c r="AR1" s="124" t="s">
        <v>2635</v>
      </c>
      <c r="AS1" s="150" t="s">
        <v>2636</v>
      </c>
      <c r="AT1" s="124" t="s">
        <v>2637</v>
      </c>
      <c r="AU1" s="150" t="s">
        <v>2638</v>
      </c>
      <c r="AV1" s="124" t="s">
        <v>2639</v>
      </c>
      <c r="AW1" s="150" t="s">
        <v>2640</v>
      </c>
    </row>
    <row r="2" spans="1:49" x14ac:dyDescent="0.25">
      <c r="A2" s="27" t="s">
        <v>723</v>
      </c>
      <c r="B2" s="27" t="str">
        <f t="shared" ref="B2:B65" si="0">LEFT(A2,FIND(";",A2)-1)</f>
        <v>Georgia</v>
      </c>
      <c r="C2" s="27" t="str">
        <f t="shared" ref="C2:C65" si="1">MID(A2,FIND(";",A2)+1,100)</f>
        <v>Appling</v>
      </c>
      <c r="D2" s="27">
        <f>1369+260</f>
        <v>1629</v>
      </c>
      <c r="E2" s="27">
        <f>302+20</f>
        <v>322</v>
      </c>
      <c r="F2" s="27">
        <f t="shared" ref="F2:F42" si="2">D2+E2</f>
        <v>1951</v>
      </c>
      <c r="G2" s="27">
        <v>11</v>
      </c>
      <c r="H2" s="27">
        <f>35+6</f>
        <v>41</v>
      </c>
      <c r="I2" s="27">
        <f>3+3</f>
        <v>6</v>
      </c>
      <c r="J2" s="27">
        <f>1+3</f>
        <v>4</v>
      </c>
      <c r="K2" s="27">
        <v>12</v>
      </c>
      <c r="L2" s="27">
        <f t="shared" ref="L2:L33" si="3">G2+H2+I2+J2+K2</f>
        <v>74</v>
      </c>
      <c r="M2" s="27">
        <v>120</v>
      </c>
      <c r="N2" s="27">
        <v>120</v>
      </c>
      <c r="O2" s="29">
        <f t="shared" ref="O2:O42" si="4">((D2*M2)+(E2*N2))/F2</f>
        <v>120</v>
      </c>
      <c r="P2" s="27">
        <v>3330</v>
      </c>
      <c r="Q2" s="7">
        <f t="shared" ref="Q2:Q33" si="5">((G2*S2)+(H2*T2)+(I2*U2)+(J2*V2))*(M2/20)</f>
        <v>51075</v>
      </c>
      <c r="R2" s="7">
        <f>3204.5+900</f>
        <v>4104.5</v>
      </c>
      <c r="S2" s="7">
        <f>80+0</f>
        <v>80</v>
      </c>
      <c r="T2" s="7">
        <f>67.5+75</f>
        <v>142.5</v>
      </c>
      <c r="U2" s="7">
        <f>110+75</f>
        <v>185</v>
      </c>
      <c r="V2" s="7">
        <f>75+95</f>
        <v>170</v>
      </c>
      <c r="W2" s="89">
        <f t="shared" ref="W2:W33" si="6">Q2/(G2+H2+I2+J2)/(M2/20)</f>
        <v>137.29838709677418</v>
      </c>
      <c r="X2" s="89">
        <f t="shared" ref="X2:X42" si="7">R2/K2/(N2/20)</f>
        <v>57.00694444444445</v>
      </c>
      <c r="Y2" s="97">
        <f>(Q2+R2)/L2/(0.05* ( (M2*(G2+H2+I2+J2)) + N2*K2 ) /L2)</f>
        <v>124.27815315315316</v>
      </c>
      <c r="Z2" s="97">
        <f t="shared" ref="Z2:Z33" si="8">( (W2*(G2+H2+I2+J2)) + (X2*K2) ) / L2</f>
        <v>124.27815315315314</v>
      </c>
      <c r="AA2" s="27">
        <v>37076</v>
      </c>
      <c r="AB2" s="27">
        <v>43</v>
      </c>
      <c r="AC2" s="34">
        <f>38000+22000</f>
        <v>60000</v>
      </c>
      <c r="AD2" s="27">
        <f>1500+1000</f>
        <v>2500</v>
      </c>
      <c r="AE2" s="29">
        <f t="shared" ref="AE2:AE33" si="9">AC2+AD2</f>
        <v>62500</v>
      </c>
      <c r="AF2" s="41">
        <v>1925</v>
      </c>
      <c r="AG2" s="4" t="s">
        <v>567</v>
      </c>
      <c r="AH2" s="151" t="s">
        <v>2641</v>
      </c>
      <c r="AI2" s="152" t="s">
        <v>2642</v>
      </c>
      <c r="AJ2" s="151" t="s">
        <v>2641</v>
      </c>
      <c r="AK2" s="152" t="str">
        <f>AI2</f>
        <v>https://ia800604.us.archive.org/18/items/GADeptofEd1925/GA.pdf#page=32</v>
      </c>
      <c r="AL2" s="151" t="s">
        <v>2643</v>
      </c>
      <c r="AM2" s="152" t="s">
        <v>2644</v>
      </c>
      <c r="AN2" s="151" t="str">
        <f>AL2</f>
        <v>https://ia800604.us.archive.org/18/items/GADeptofEd1925/GA.pdf#page=13</v>
      </c>
      <c r="AO2" s="152" t="str">
        <f>AI2</f>
        <v>https://ia800604.us.archive.org/18/items/GADeptofEd1925/GA.pdf#page=32</v>
      </c>
      <c r="AP2" s="151" t="s">
        <v>2645</v>
      </c>
      <c r="AQ2" s="152" t="s">
        <v>2646</v>
      </c>
      <c r="AR2" s="151" t="s">
        <v>2647</v>
      </c>
      <c r="AS2" s="152" t="str">
        <f>AQ2</f>
        <v>https://ia800604.us.archive.org/18/items/GADeptofEd1925/GA.pdf#page=44</v>
      </c>
      <c r="AT2" s="151" t="s">
        <v>2645</v>
      </c>
      <c r="AU2" s="152" t="str">
        <f>AI2</f>
        <v>https://ia800604.us.archive.org/18/items/GADeptofEd1925/GA.pdf#page=32</v>
      </c>
      <c r="AV2" s="151" t="s">
        <v>2645</v>
      </c>
      <c r="AW2" s="152" t="s">
        <v>2648</v>
      </c>
    </row>
    <row r="3" spans="1:49" x14ac:dyDescent="0.25">
      <c r="A3" s="27" t="s">
        <v>724</v>
      </c>
      <c r="B3" s="27" t="str">
        <f t="shared" si="0"/>
        <v>Georgia</v>
      </c>
      <c r="C3" s="27" t="str">
        <f t="shared" si="1"/>
        <v>Atkinson</v>
      </c>
      <c r="D3" s="27">
        <f>871+91+149</f>
        <v>1111</v>
      </c>
      <c r="E3" s="27">
        <f>250+50+65</f>
        <v>365</v>
      </c>
      <c r="F3" s="27">
        <f t="shared" si="2"/>
        <v>1476</v>
      </c>
      <c r="G3" s="27">
        <f>6+1</f>
        <v>7</v>
      </c>
      <c r="H3" s="27">
        <f>23+4+3</f>
        <v>30</v>
      </c>
      <c r="I3" s="27">
        <f>1+2+1</f>
        <v>4</v>
      </c>
      <c r="J3" s="27">
        <f>1+1</f>
        <v>2</v>
      </c>
      <c r="K3" s="27">
        <f>9+1+1</f>
        <v>11</v>
      </c>
      <c r="L3" s="27">
        <f t="shared" si="3"/>
        <v>54</v>
      </c>
      <c r="M3" s="27">
        <v>120</v>
      </c>
      <c r="N3" s="27">
        <v>120</v>
      </c>
      <c r="O3" s="29">
        <f t="shared" si="4"/>
        <v>120</v>
      </c>
      <c r="P3" s="27">
        <v>1701</v>
      </c>
      <c r="Q3" s="7">
        <f t="shared" si="5"/>
        <v>50025</v>
      </c>
      <c r="R3" s="7">
        <f>1182.5+905+0</f>
        <v>2087.5</v>
      </c>
      <c r="S3" s="7">
        <f>82.5+0</f>
        <v>82.5</v>
      </c>
      <c r="T3" s="7">
        <f>66+75+70</f>
        <v>211</v>
      </c>
      <c r="U3" s="7">
        <f>0+135+150</f>
        <v>285</v>
      </c>
      <c r="V3" s="7">
        <f>0+75+70</f>
        <v>145</v>
      </c>
      <c r="W3" s="89">
        <f t="shared" si="6"/>
        <v>193.8953488372093</v>
      </c>
      <c r="X3" s="89">
        <f t="shared" si="7"/>
        <v>31.628787878787879</v>
      </c>
      <c r="Y3" s="97">
        <f t="shared" ref="Y3:Y5" si="10">(Q3+R3)/L3/(0.05* ( (M3*(G3+H3+I3+J3)) + N3*K3 ) /L3)</f>
        <v>160.84104938271605</v>
      </c>
      <c r="Z3" s="97">
        <f t="shared" si="8"/>
        <v>160.84104938271605</v>
      </c>
      <c r="AA3" s="27">
        <v>26276</v>
      </c>
      <c r="AB3" s="27">
        <v>31</v>
      </c>
      <c r="AC3" s="27">
        <f>17500+10000+15000</f>
        <v>42500</v>
      </c>
      <c r="AD3" s="27">
        <f>3000+750</f>
        <v>3750</v>
      </c>
      <c r="AE3" s="29">
        <f t="shared" si="9"/>
        <v>46250</v>
      </c>
      <c r="AF3" s="41">
        <v>1925</v>
      </c>
      <c r="AG3" s="4" t="s">
        <v>567</v>
      </c>
      <c r="AH3" s="151" t="str">
        <f t="shared" ref="AH3:AM18" si="11">AH2</f>
        <v>https://ia800604.us.archive.org/18/items/GADeptofEd1925/GA.pdf#page=9</v>
      </c>
      <c r="AI3" s="152" t="str">
        <f t="shared" si="11"/>
        <v>https://ia800604.us.archive.org/18/items/GADeptofEd1925/GA.pdf#page=32</v>
      </c>
      <c r="AJ3" s="151" t="str">
        <f t="shared" si="11"/>
        <v>https://ia800604.us.archive.org/18/items/GADeptofEd1925/GA.pdf#page=9</v>
      </c>
      <c r="AK3" s="152" t="str">
        <f t="shared" si="11"/>
        <v>https://ia800604.us.archive.org/18/items/GADeptofEd1925/GA.pdf#page=32</v>
      </c>
      <c r="AL3" s="151" t="str">
        <f t="shared" si="11"/>
        <v>https://ia800604.us.archive.org/18/items/GADeptofEd1925/GA.pdf#page=13</v>
      </c>
      <c r="AM3" s="152" t="str">
        <f t="shared" si="11"/>
        <v>https://ia800604.us.archive.org/18/items/GADeptofEd1925/GA.pdf#page=36</v>
      </c>
      <c r="AN3" s="151" t="str">
        <f t="shared" ref="AN3:AN66" si="12">AL3</f>
        <v>https://ia800604.us.archive.org/18/items/GADeptofEd1925/GA.pdf#page=13</v>
      </c>
      <c r="AO3" s="152" t="str">
        <f>AO2</f>
        <v>https://ia800604.us.archive.org/18/items/GADeptofEd1925/GA.pdf#page=32</v>
      </c>
      <c r="AP3" s="151" t="str">
        <f>AP2</f>
        <v>https://ia800604.us.archive.org/18/items/GADeptofEd1925/GA.pdf#page=26</v>
      </c>
      <c r="AQ3" s="152" t="str">
        <f>AQ2</f>
        <v>https://ia800604.us.archive.org/18/items/GADeptofEd1925/GA.pdf#page=44</v>
      </c>
      <c r="AR3" s="151" t="str">
        <f>AR2</f>
        <v>https://ia800604.us.archive.org/18/items/GADeptofEd1925/GA.pdf#page=21</v>
      </c>
      <c r="AS3" s="152" t="str">
        <f t="shared" ref="AS3:AS66" si="13">AQ3</f>
        <v>https://ia800604.us.archive.org/18/items/GADeptofEd1925/GA.pdf#page=44</v>
      </c>
      <c r="AT3" s="151" t="str">
        <f>AT2</f>
        <v>https://ia800604.us.archive.org/18/items/GADeptofEd1925/GA.pdf#page=26</v>
      </c>
      <c r="AU3" s="152" t="str">
        <f>AU2</f>
        <v>https://ia800604.us.archive.org/18/items/GADeptofEd1925/GA.pdf#page=32</v>
      </c>
      <c r="AV3" s="151" t="str">
        <f>AV2</f>
        <v>https://ia800604.us.archive.org/18/items/GADeptofEd1925/GA.pdf#page=26</v>
      </c>
      <c r="AW3" s="152" t="str">
        <f>AW2</f>
        <v>https://ia800604.us.archive.org/18/items/GADeptofEd1925/GA.pdf#page=49</v>
      </c>
    </row>
    <row r="4" spans="1:49" x14ac:dyDescent="0.25">
      <c r="A4" s="27" t="s">
        <v>725</v>
      </c>
      <c r="B4" s="27" t="str">
        <f t="shared" si="0"/>
        <v>Georgia</v>
      </c>
      <c r="C4" s="27" t="str">
        <f t="shared" si="1"/>
        <v>Bacon</v>
      </c>
      <c r="D4" s="27">
        <f>680+280</f>
        <v>960</v>
      </c>
      <c r="E4" s="27">
        <f>101+30</f>
        <v>131</v>
      </c>
      <c r="F4" s="27">
        <f t="shared" si="2"/>
        <v>1091</v>
      </c>
      <c r="G4" s="27">
        <v>8</v>
      </c>
      <c r="H4" s="27">
        <f>19+6</f>
        <v>25</v>
      </c>
      <c r="I4" s="27">
        <f>1+1</f>
        <v>2</v>
      </c>
      <c r="J4" s="27">
        <f>1+3</f>
        <v>4</v>
      </c>
      <c r="K4" s="27">
        <f>5+1</f>
        <v>6</v>
      </c>
      <c r="L4" s="27">
        <f t="shared" si="3"/>
        <v>45</v>
      </c>
      <c r="M4" s="27">
        <v>100</v>
      </c>
      <c r="N4" s="27">
        <v>100</v>
      </c>
      <c r="O4" s="29">
        <f t="shared" si="4"/>
        <v>100</v>
      </c>
      <c r="P4" s="27">
        <v>1464</v>
      </c>
      <c r="Q4" s="7">
        <f t="shared" si="5"/>
        <v>26475</v>
      </c>
      <c r="R4" s="27">
        <f>950+0</f>
        <v>950</v>
      </c>
      <c r="S4" s="27">
        <f>75+0</f>
        <v>75</v>
      </c>
      <c r="T4" s="27">
        <f>70+65</f>
        <v>135</v>
      </c>
      <c r="U4" s="27">
        <f>150+200</f>
        <v>350</v>
      </c>
      <c r="V4" s="27">
        <f>75+80</f>
        <v>155</v>
      </c>
      <c r="W4" s="89">
        <f t="shared" si="6"/>
        <v>135.76923076923077</v>
      </c>
      <c r="X4" s="89">
        <f t="shared" si="7"/>
        <v>31.666666666666668</v>
      </c>
      <c r="Y4" s="97">
        <f t="shared" si="10"/>
        <v>121.88888888888889</v>
      </c>
      <c r="Z4" s="97">
        <f t="shared" si="8"/>
        <v>121.88888888888889</v>
      </c>
      <c r="AA4" s="27">
        <v>21115</v>
      </c>
      <c r="AB4" s="27">
        <v>34</v>
      </c>
      <c r="AC4" s="27">
        <f>30000+50000</f>
        <v>80000</v>
      </c>
      <c r="AD4" s="27">
        <v>2000</v>
      </c>
      <c r="AE4" s="29">
        <f t="shared" si="9"/>
        <v>82000</v>
      </c>
      <c r="AF4" s="41">
        <v>1925</v>
      </c>
      <c r="AG4" s="4" t="s">
        <v>567</v>
      </c>
      <c r="AH4" s="151" t="str">
        <f t="shared" si="11"/>
        <v>https://ia800604.us.archive.org/18/items/GADeptofEd1925/GA.pdf#page=9</v>
      </c>
      <c r="AI4" s="152" t="str">
        <f t="shared" si="11"/>
        <v>https://ia800604.us.archive.org/18/items/GADeptofEd1925/GA.pdf#page=32</v>
      </c>
      <c r="AJ4" s="151" t="str">
        <f t="shared" si="11"/>
        <v>https://ia800604.us.archive.org/18/items/GADeptofEd1925/GA.pdf#page=9</v>
      </c>
      <c r="AK4" s="152" t="str">
        <f t="shared" si="11"/>
        <v>https://ia800604.us.archive.org/18/items/GADeptofEd1925/GA.pdf#page=32</v>
      </c>
      <c r="AL4" s="151" t="str">
        <f t="shared" si="11"/>
        <v>https://ia800604.us.archive.org/18/items/GADeptofEd1925/GA.pdf#page=13</v>
      </c>
      <c r="AM4" s="152" t="str">
        <f t="shared" si="11"/>
        <v>https://ia800604.us.archive.org/18/items/GADeptofEd1925/GA.pdf#page=36</v>
      </c>
      <c r="AN4" s="151" t="str">
        <f t="shared" si="12"/>
        <v>https://ia800604.us.archive.org/18/items/GADeptofEd1925/GA.pdf#page=13</v>
      </c>
      <c r="AO4" s="152" t="str">
        <f t="shared" ref="AO4:AR19" si="14">AO3</f>
        <v>https://ia800604.us.archive.org/18/items/GADeptofEd1925/GA.pdf#page=32</v>
      </c>
      <c r="AP4" s="151" t="str">
        <f t="shared" si="14"/>
        <v>https://ia800604.us.archive.org/18/items/GADeptofEd1925/GA.pdf#page=26</v>
      </c>
      <c r="AQ4" s="152" t="str">
        <f t="shared" si="14"/>
        <v>https://ia800604.us.archive.org/18/items/GADeptofEd1925/GA.pdf#page=44</v>
      </c>
      <c r="AR4" s="151" t="str">
        <f t="shared" si="14"/>
        <v>https://ia800604.us.archive.org/18/items/GADeptofEd1925/GA.pdf#page=21</v>
      </c>
      <c r="AS4" s="152" t="str">
        <f t="shared" si="13"/>
        <v>https://ia800604.us.archive.org/18/items/GADeptofEd1925/GA.pdf#page=44</v>
      </c>
      <c r="AT4" s="151" t="str">
        <f t="shared" ref="AT4:AW19" si="15">AT3</f>
        <v>https://ia800604.us.archive.org/18/items/GADeptofEd1925/GA.pdf#page=26</v>
      </c>
      <c r="AU4" s="152" t="str">
        <f t="shared" si="15"/>
        <v>https://ia800604.us.archive.org/18/items/GADeptofEd1925/GA.pdf#page=32</v>
      </c>
      <c r="AV4" s="151" t="str">
        <f t="shared" si="15"/>
        <v>https://ia800604.us.archive.org/18/items/GADeptofEd1925/GA.pdf#page=26</v>
      </c>
      <c r="AW4" s="152" t="str">
        <f t="shared" si="15"/>
        <v>https://ia800604.us.archive.org/18/items/GADeptofEd1925/GA.pdf#page=49</v>
      </c>
    </row>
    <row r="5" spans="1:49" x14ac:dyDescent="0.25">
      <c r="A5" s="27" t="s">
        <v>726</v>
      </c>
      <c r="B5" s="27" t="str">
        <f t="shared" si="0"/>
        <v>Georgia</v>
      </c>
      <c r="C5" s="27" t="str">
        <f t="shared" si="1"/>
        <v>Baker</v>
      </c>
      <c r="D5" s="27">
        <v>531</v>
      </c>
      <c r="E5" s="27">
        <v>818</v>
      </c>
      <c r="F5" s="27">
        <f t="shared" si="2"/>
        <v>1349</v>
      </c>
      <c r="G5" s="27">
        <v>0</v>
      </c>
      <c r="H5" s="27">
        <v>18</v>
      </c>
      <c r="I5" s="27">
        <v>1</v>
      </c>
      <c r="J5" s="27">
        <v>6</v>
      </c>
      <c r="K5" s="27">
        <v>22</v>
      </c>
      <c r="L5" s="27">
        <f t="shared" si="3"/>
        <v>47</v>
      </c>
      <c r="M5" s="27">
        <v>120</v>
      </c>
      <c r="N5" s="27">
        <v>120</v>
      </c>
      <c r="O5" s="29">
        <f t="shared" si="4"/>
        <v>120</v>
      </c>
      <c r="P5" s="27">
        <v>2108</v>
      </c>
      <c r="Q5" s="7">
        <f t="shared" si="5"/>
        <v>9969.48</v>
      </c>
      <c r="R5" s="27"/>
      <c r="S5" s="27"/>
      <c r="T5" s="27">
        <v>61</v>
      </c>
      <c r="U5" s="27">
        <v>135</v>
      </c>
      <c r="V5" s="27">
        <v>71.430000000000007</v>
      </c>
      <c r="W5" s="89">
        <f t="shared" si="6"/>
        <v>66.463200000000001</v>
      </c>
      <c r="X5" s="89">
        <f t="shared" si="7"/>
        <v>0</v>
      </c>
      <c r="Y5" s="97">
        <f t="shared" si="10"/>
        <v>35.352765957446806</v>
      </c>
      <c r="Z5" s="97">
        <f t="shared" si="8"/>
        <v>35.352765957446806</v>
      </c>
      <c r="AA5" s="27">
        <v>15426</v>
      </c>
      <c r="AB5" s="27">
        <v>31</v>
      </c>
      <c r="AC5" s="27">
        <v>23000</v>
      </c>
      <c r="AD5" s="27">
        <v>6000</v>
      </c>
      <c r="AE5" s="29">
        <f t="shared" si="9"/>
        <v>29000</v>
      </c>
      <c r="AF5" s="41">
        <v>1925</v>
      </c>
      <c r="AG5" s="4" t="s">
        <v>567</v>
      </c>
      <c r="AH5" s="151" t="str">
        <f t="shared" si="11"/>
        <v>https://ia800604.us.archive.org/18/items/GADeptofEd1925/GA.pdf#page=9</v>
      </c>
      <c r="AI5" s="152" t="str">
        <f t="shared" si="11"/>
        <v>https://ia800604.us.archive.org/18/items/GADeptofEd1925/GA.pdf#page=32</v>
      </c>
      <c r="AJ5" s="151" t="str">
        <f t="shared" si="11"/>
        <v>https://ia800604.us.archive.org/18/items/GADeptofEd1925/GA.pdf#page=9</v>
      </c>
      <c r="AK5" s="152" t="str">
        <f t="shared" si="11"/>
        <v>https://ia800604.us.archive.org/18/items/GADeptofEd1925/GA.pdf#page=32</v>
      </c>
      <c r="AL5" s="151" t="str">
        <f t="shared" si="11"/>
        <v>https://ia800604.us.archive.org/18/items/GADeptofEd1925/GA.pdf#page=13</v>
      </c>
      <c r="AM5" s="152" t="str">
        <f t="shared" si="11"/>
        <v>https://ia800604.us.archive.org/18/items/GADeptofEd1925/GA.pdf#page=36</v>
      </c>
      <c r="AN5" s="151" t="str">
        <f t="shared" si="12"/>
        <v>https://ia800604.us.archive.org/18/items/GADeptofEd1925/GA.pdf#page=13</v>
      </c>
      <c r="AO5" s="152" t="str">
        <f t="shared" si="14"/>
        <v>https://ia800604.us.archive.org/18/items/GADeptofEd1925/GA.pdf#page=32</v>
      </c>
      <c r="AP5" s="151" t="str">
        <f t="shared" si="14"/>
        <v>https://ia800604.us.archive.org/18/items/GADeptofEd1925/GA.pdf#page=26</v>
      </c>
      <c r="AQ5" s="152" t="str">
        <f t="shared" si="14"/>
        <v>https://ia800604.us.archive.org/18/items/GADeptofEd1925/GA.pdf#page=44</v>
      </c>
      <c r="AR5" s="151" t="str">
        <f t="shared" si="14"/>
        <v>https://ia800604.us.archive.org/18/items/GADeptofEd1925/GA.pdf#page=21</v>
      </c>
      <c r="AS5" s="152" t="str">
        <f t="shared" si="13"/>
        <v>https://ia800604.us.archive.org/18/items/GADeptofEd1925/GA.pdf#page=44</v>
      </c>
      <c r="AT5" s="151" t="str">
        <f t="shared" si="15"/>
        <v>https://ia800604.us.archive.org/18/items/GADeptofEd1925/GA.pdf#page=26</v>
      </c>
      <c r="AU5" s="152" t="str">
        <f t="shared" si="15"/>
        <v>https://ia800604.us.archive.org/18/items/GADeptofEd1925/GA.pdf#page=32</v>
      </c>
      <c r="AV5" s="151" t="str">
        <f t="shared" si="15"/>
        <v>https://ia800604.us.archive.org/18/items/GADeptofEd1925/GA.pdf#page=26</v>
      </c>
      <c r="AW5" s="152" t="str">
        <f t="shared" si="15"/>
        <v>https://ia800604.us.archive.org/18/items/GADeptofEd1925/GA.pdf#page=49</v>
      </c>
    </row>
    <row r="6" spans="1:49" x14ac:dyDescent="0.25">
      <c r="A6" s="27" t="s">
        <v>727</v>
      </c>
      <c r="B6" s="27" t="str">
        <f t="shared" si="0"/>
        <v>Georgia</v>
      </c>
      <c r="C6" s="27" t="str">
        <f t="shared" si="1"/>
        <v>Baldwin</v>
      </c>
      <c r="D6" s="27">
        <v>1320</v>
      </c>
      <c r="E6" s="27">
        <v>1837</v>
      </c>
      <c r="F6" s="27">
        <f t="shared" si="2"/>
        <v>3157</v>
      </c>
      <c r="G6" s="27">
        <v>0</v>
      </c>
      <c r="H6" s="27">
        <v>35</v>
      </c>
      <c r="I6" s="27">
        <v>10</v>
      </c>
      <c r="J6" s="27">
        <v>2</v>
      </c>
      <c r="K6" s="27">
        <f>36+2</f>
        <v>38</v>
      </c>
      <c r="L6" s="27">
        <f t="shared" si="3"/>
        <v>85</v>
      </c>
      <c r="M6" s="27">
        <v>169</v>
      </c>
      <c r="N6" s="27">
        <v>119</v>
      </c>
      <c r="O6" s="29">
        <f t="shared" si="4"/>
        <v>139.90592334494772</v>
      </c>
      <c r="P6" s="27">
        <v>3962</v>
      </c>
      <c r="Q6" s="7">
        <f t="shared" si="5"/>
        <v>35109.75</v>
      </c>
      <c r="R6" s="7">
        <v>7640.95</v>
      </c>
      <c r="S6" s="27"/>
      <c r="T6" s="27">
        <v>75</v>
      </c>
      <c r="U6" s="27">
        <v>130</v>
      </c>
      <c r="V6" s="27">
        <v>115</v>
      </c>
      <c r="W6" s="89">
        <f t="shared" si="6"/>
        <v>88.404255319148945</v>
      </c>
      <c r="X6" s="89">
        <f t="shared" si="7"/>
        <v>33.79455992923485</v>
      </c>
      <c r="Y6" s="97">
        <f>(Q6+R6)/L6/(0.05* ( (M6*(G6+H6+I6+J6)) + N6*K6 ) /L6)</f>
        <v>68.593180906538308</v>
      </c>
      <c r="Z6" s="97">
        <f t="shared" si="8"/>
        <v>63.990509144834398</v>
      </c>
      <c r="AA6" s="27">
        <v>81337</v>
      </c>
      <c r="AB6" s="27">
        <v>39</v>
      </c>
      <c r="AC6" s="27">
        <v>120000</v>
      </c>
      <c r="AD6" s="27">
        <v>6000</v>
      </c>
      <c r="AE6" s="29">
        <f t="shared" si="9"/>
        <v>126000</v>
      </c>
      <c r="AF6" s="41">
        <v>1925</v>
      </c>
      <c r="AG6" s="4" t="s">
        <v>567</v>
      </c>
      <c r="AH6" s="151" t="str">
        <f t="shared" si="11"/>
        <v>https://ia800604.us.archive.org/18/items/GADeptofEd1925/GA.pdf#page=9</v>
      </c>
      <c r="AI6" s="152" t="str">
        <f t="shared" si="11"/>
        <v>https://ia800604.us.archive.org/18/items/GADeptofEd1925/GA.pdf#page=32</v>
      </c>
      <c r="AJ6" s="151" t="str">
        <f t="shared" si="11"/>
        <v>https://ia800604.us.archive.org/18/items/GADeptofEd1925/GA.pdf#page=9</v>
      </c>
      <c r="AK6" s="152" t="str">
        <f t="shared" si="11"/>
        <v>https://ia800604.us.archive.org/18/items/GADeptofEd1925/GA.pdf#page=32</v>
      </c>
      <c r="AL6" s="151" t="str">
        <f t="shared" si="11"/>
        <v>https://ia800604.us.archive.org/18/items/GADeptofEd1925/GA.pdf#page=13</v>
      </c>
      <c r="AM6" s="152" t="str">
        <f t="shared" si="11"/>
        <v>https://ia800604.us.archive.org/18/items/GADeptofEd1925/GA.pdf#page=36</v>
      </c>
      <c r="AN6" s="151" t="str">
        <f t="shared" si="12"/>
        <v>https://ia800604.us.archive.org/18/items/GADeptofEd1925/GA.pdf#page=13</v>
      </c>
      <c r="AO6" s="152" t="str">
        <f t="shared" si="14"/>
        <v>https://ia800604.us.archive.org/18/items/GADeptofEd1925/GA.pdf#page=32</v>
      </c>
      <c r="AP6" s="151" t="str">
        <f t="shared" si="14"/>
        <v>https://ia800604.us.archive.org/18/items/GADeptofEd1925/GA.pdf#page=26</v>
      </c>
      <c r="AQ6" s="152" t="str">
        <f t="shared" si="14"/>
        <v>https://ia800604.us.archive.org/18/items/GADeptofEd1925/GA.pdf#page=44</v>
      </c>
      <c r="AR6" s="151" t="str">
        <f t="shared" si="14"/>
        <v>https://ia800604.us.archive.org/18/items/GADeptofEd1925/GA.pdf#page=21</v>
      </c>
      <c r="AS6" s="152" t="str">
        <f t="shared" si="13"/>
        <v>https://ia800604.us.archive.org/18/items/GADeptofEd1925/GA.pdf#page=44</v>
      </c>
      <c r="AT6" s="151" t="str">
        <f t="shared" si="15"/>
        <v>https://ia800604.us.archive.org/18/items/GADeptofEd1925/GA.pdf#page=26</v>
      </c>
      <c r="AU6" s="152" t="str">
        <f t="shared" si="15"/>
        <v>https://ia800604.us.archive.org/18/items/GADeptofEd1925/GA.pdf#page=32</v>
      </c>
      <c r="AV6" s="151" t="str">
        <f t="shared" si="15"/>
        <v>https://ia800604.us.archive.org/18/items/GADeptofEd1925/GA.pdf#page=26</v>
      </c>
      <c r="AW6" s="152" t="str">
        <f t="shared" si="15"/>
        <v>https://ia800604.us.archive.org/18/items/GADeptofEd1925/GA.pdf#page=49</v>
      </c>
    </row>
    <row r="7" spans="1:49" x14ac:dyDescent="0.25">
      <c r="A7" s="27" t="s">
        <v>728</v>
      </c>
      <c r="B7" s="27" t="str">
        <f t="shared" si="0"/>
        <v>Georgia</v>
      </c>
      <c r="C7" s="27" t="str">
        <f t="shared" si="1"/>
        <v>Banks</v>
      </c>
      <c r="D7" s="27">
        <v>2218</v>
      </c>
      <c r="E7" s="27">
        <v>250</v>
      </c>
      <c r="F7" s="27">
        <f t="shared" si="2"/>
        <v>2468</v>
      </c>
      <c r="G7" s="27">
        <v>14</v>
      </c>
      <c r="H7" s="27">
        <v>34</v>
      </c>
      <c r="I7" s="27">
        <v>4</v>
      </c>
      <c r="J7" s="27">
        <v>3</v>
      </c>
      <c r="K7" s="27">
        <v>11</v>
      </c>
      <c r="L7" s="27">
        <f t="shared" si="3"/>
        <v>66</v>
      </c>
      <c r="M7" s="27">
        <v>120</v>
      </c>
      <c r="N7" s="27">
        <v>120</v>
      </c>
      <c r="O7" s="29">
        <f t="shared" si="4"/>
        <v>120</v>
      </c>
      <c r="P7" s="27">
        <v>3150</v>
      </c>
      <c r="Q7" s="7">
        <f t="shared" si="5"/>
        <v>20730</v>
      </c>
      <c r="R7" s="27">
        <v>1001.35</v>
      </c>
      <c r="S7" s="27">
        <v>75</v>
      </c>
      <c r="T7" s="27">
        <v>55</v>
      </c>
      <c r="U7" s="27">
        <v>85</v>
      </c>
      <c r="V7" s="27">
        <v>65</v>
      </c>
      <c r="W7" s="89">
        <f t="shared" si="6"/>
        <v>62.81818181818182</v>
      </c>
      <c r="X7" s="89">
        <f t="shared" si="7"/>
        <v>15.171969696969697</v>
      </c>
      <c r="Y7" s="97">
        <f t="shared" ref="Y7:Y70" si="16">(Q7+R7)/L7/(0.05* ( (M7*(G7+H7+I7+J7)) + N7*K7 ) /L7)</f>
        <v>54.877146464646465</v>
      </c>
      <c r="Z7" s="97">
        <f t="shared" si="8"/>
        <v>54.877146464646458</v>
      </c>
      <c r="AA7" s="27">
        <v>25663</v>
      </c>
      <c r="AB7" s="27">
        <v>41</v>
      </c>
      <c r="AC7" s="27">
        <v>45000</v>
      </c>
      <c r="AD7" s="27">
        <v>3000</v>
      </c>
      <c r="AE7" s="29">
        <f t="shared" si="9"/>
        <v>48000</v>
      </c>
      <c r="AF7" s="41">
        <v>1925</v>
      </c>
      <c r="AG7" s="4" t="s">
        <v>567</v>
      </c>
      <c r="AH7" s="151" t="str">
        <f t="shared" si="11"/>
        <v>https://ia800604.us.archive.org/18/items/GADeptofEd1925/GA.pdf#page=9</v>
      </c>
      <c r="AI7" s="152" t="str">
        <f t="shared" si="11"/>
        <v>https://ia800604.us.archive.org/18/items/GADeptofEd1925/GA.pdf#page=32</v>
      </c>
      <c r="AJ7" s="151" t="str">
        <f t="shared" si="11"/>
        <v>https://ia800604.us.archive.org/18/items/GADeptofEd1925/GA.pdf#page=9</v>
      </c>
      <c r="AK7" s="152" t="str">
        <f t="shared" si="11"/>
        <v>https://ia800604.us.archive.org/18/items/GADeptofEd1925/GA.pdf#page=32</v>
      </c>
      <c r="AL7" s="151" t="str">
        <f t="shared" si="11"/>
        <v>https://ia800604.us.archive.org/18/items/GADeptofEd1925/GA.pdf#page=13</v>
      </c>
      <c r="AM7" s="152" t="str">
        <f t="shared" si="11"/>
        <v>https://ia800604.us.archive.org/18/items/GADeptofEd1925/GA.pdf#page=36</v>
      </c>
      <c r="AN7" s="151" t="str">
        <f t="shared" si="12"/>
        <v>https://ia800604.us.archive.org/18/items/GADeptofEd1925/GA.pdf#page=13</v>
      </c>
      <c r="AO7" s="152" t="str">
        <f t="shared" si="14"/>
        <v>https://ia800604.us.archive.org/18/items/GADeptofEd1925/GA.pdf#page=32</v>
      </c>
      <c r="AP7" s="151" t="str">
        <f t="shared" si="14"/>
        <v>https://ia800604.us.archive.org/18/items/GADeptofEd1925/GA.pdf#page=26</v>
      </c>
      <c r="AQ7" s="152" t="str">
        <f t="shared" si="14"/>
        <v>https://ia800604.us.archive.org/18/items/GADeptofEd1925/GA.pdf#page=44</v>
      </c>
      <c r="AR7" s="151" t="str">
        <f t="shared" si="14"/>
        <v>https://ia800604.us.archive.org/18/items/GADeptofEd1925/GA.pdf#page=21</v>
      </c>
      <c r="AS7" s="152" t="str">
        <f t="shared" si="13"/>
        <v>https://ia800604.us.archive.org/18/items/GADeptofEd1925/GA.pdf#page=44</v>
      </c>
      <c r="AT7" s="151" t="str">
        <f t="shared" si="15"/>
        <v>https://ia800604.us.archive.org/18/items/GADeptofEd1925/GA.pdf#page=26</v>
      </c>
      <c r="AU7" s="152" t="str">
        <f t="shared" si="15"/>
        <v>https://ia800604.us.archive.org/18/items/GADeptofEd1925/GA.pdf#page=32</v>
      </c>
      <c r="AV7" s="151" t="str">
        <f t="shared" si="15"/>
        <v>https://ia800604.us.archive.org/18/items/GADeptofEd1925/GA.pdf#page=26</v>
      </c>
      <c r="AW7" s="152" t="str">
        <f t="shared" si="15"/>
        <v>https://ia800604.us.archive.org/18/items/GADeptofEd1925/GA.pdf#page=49</v>
      </c>
    </row>
    <row r="8" spans="1:49" x14ac:dyDescent="0.25">
      <c r="A8" s="27" t="s">
        <v>729</v>
      </c>
      <c r="B8" s="27" t="str">
        <f t="shared" si="0"/>
        <v>Georgia</v>
      </c>
      <c r="C8" s="27" t="str">
        <f t="shared" si="1"/>
        <v>Barrow</v>
      </c>
      <c r="D8" s="27">
        <f>1802+600</f>
        <v>2402</v>
      </c>
      <c r="E8" s="27">
        <f>486+60</f>
        <v>546</v>
      </c>
      <c r="F8" s="27">
        <f t="shared" si="2"/>
        <v>2948</v>
      </c>
      <c r="G8" s="27">
        <v>7</v>
      </c>
      <c r="H8" s="27">
        <f>37+16</f>
        <v>53</v>
      </c>
      <c r="I8" s="27">
        <v>6</v>
      </c>
      <c r="J8" s="27">
        <f>1+2</f>
        <v>3</v>
      </c>
      <c r="K8" s="27">
        <f>12+2+2+1</f>
        <v>17</v>
      </c>
      <c r="L8" s="27">
        <f t="shared" si="3"/>
        <v>86</v>
      </c>
      <c r="M8" s="27">
        <v>120</v>
      </c>
      <c r="N8" s="27">
        <v>120</v>
      </c>
      <c r="O8" s="29">
        <f t="shared" si="4"/>
        <v>120</v>
      </c>
      <c r="P8" s="27">
        <v>3560</v>
      </c>
      <c r="Q8" s="7">
        <f t="shared" si="5"/>
        <v>64092</v>
      </c>
      <c r="R8" s="27">
        <f>3030.98+0</f>
        <v>3030.98</v>
      </c>
      <c r="S8" s="27">
        <f>75+0</f>
        <v>75</v>
      </c>
      <c r="T8" s="27">
        <f>70+78.75</f>
        <v>148.75</v>
      </c>
      <c r="U8" s="27">
        <f>125+160</f>
        <v>285</v>
      </c>
      <c r="V8" s="27">
        <f>80+107.75</f>
        <v>187.75</v>
      </c>
      <c r="W8" s="89">
        <f t="shared" si="6"/>
        <v>154.81159420289853</v>
      </c>
      <c r="X8" s="89">
        <f t="shared" si="7"/>
        <v>29.715490196078431</v>
      </c>
      <c r="Y8" s="97">
        <f t="shared" si="16"/>
        <v>130.0832945736434</v>
      </c>
      <c r="Z8" s="97">
        <f t="shared" si="8"/>
        <v>130.0832945736434</v>
      </c>
      <c r="AA8" s="27">
        <v>61048</v>
      </c>
      <c r="AB8" s="27">
        <v>34</v>
      </c>
      <c r="AC8" s="27">
        <f>38100+78000</f>
        <v>116100</v>
      </c>
      <c r="AD8" s="27">
        <f>6000+2500</f>
        <v>8500</v>
      </c>
      <c r="AE8" s="29">
        <f t="shared" si="9"/>
        <v>124600</v>
      </c>
      <c r="AF8" s="41">
        <v>1925</v>
      </c>
      <c r="AG8" s="4" t="s">
        <v>567</v>
      </c>
      <c r="AH8" s="151" t="str">
        <f t="shared" si="11"/>
        <v>https://ia800604.us.archive.org/18/items/GADeptofEd1925/GA.pdf#page=9</v>
      </c>
      <c r="AI8" s="152" t="str">
        <f t="shared" si="11"/>
        <v>https://ia800604.us.archive.org/18/items/GADeptofEd1925/GA.pdf#page=32</v>
      </c>
      <c r="AJ8" s="151" t="str">
        <f t="shared" si="11"/>
        <v>https://ia800604.us.archive.org/18/items/GADeptofEd1925/GA.pdf#page=9</v>
      </c>
      <c r="AK8" s="152" t="str">
        <f t="shared" si="11"/>
        <v>https://ia800604.us.archive.org/18/items/GADeptofEd1925/GA.pdf#page=32</v>
      </c>
      <c r="AL8" s="151" t="str">
        <f t="shared" si="11"/>
        <v>https://ia800604.us.archive.org/18/items/GADeptofEd1925/GA.pdf#page=13</v>
      </c>
      <c r="AM8" s="152" t="str">
        <f t="shared" si="11"/>
        <v>https://ia800604.us.archive.org/18/items/GADeptofEd1925/GA.pdf#page=36</v>
      </c>
      <c r="AN8" s="151" t="str">
        <f t="shared" si="12"/>
        <v>https://ia800604.us.archive.org/18/items/GADeptofEd1925/GA.pdf#page=13</v>
      </c>
      <c r="AO8" s="152" t="str">
        <f t="shared" si="14"/>
        <v>https://ia800604.us.archive.org/18/items/GADeptofEd1925/GA.pdf#page=32</v>
      </c>
      <c r="AP8" s="151" t="str">
        <f t="shared" si="14"/>
        <v>https://ia800604.us.archive.org/18/items/GADeptofEd1925/GA.pdf#page=26</v>
      </c>
      <c r="AQ8" s="152" t="str">
        <f t="shared" si="14"/>
        <v>https://ia800604.us.archive.org/18/items/GADeptofEd1925/GA.pdf#page=44</v>
      </c>
      <c r="AR8" s="151" t="str">
        <f t="shared" si="14"/>
        <v>https://ia800604.us.archive.org/18/items/GADeptofEd1925/GA.pdf#page=21</v>
      </c>
      <c r="AS8" s="152" t="str">
        <f t="shared" si="13"/>
        <v>https://ia800604.us.archive.org/18/items/GADeptofEd1925/GA.pdf#page=44</v>
      </c>
      <c r="AT8" s="151" t="str">
        <f t="shared" si="15"/>
        <v>https://ia800604.us.archive.org/18/items/GADeptofEd1925/GA.pdf#page=26</v>
      </c>
      <c r="AU8" s="152" t="str">
        <f t="shared" si="15"/>
        <v>https://ia800604.us.archive.org/18/items/GADeptofEd1925/GA.pdf#page=32</v>
      </c>
      <c r="AV8" s="151" t="str">
        <f t="shared" si="15"/>
        <v>https://ia800604.us.archive.org/18/items/GADeptofEd1925/GA.pdf#page=26</v>
      </c>
      <c r="AW8" s="152" t="str">
        <f t="shared" si="15"/>
        <v>https://ia800604.us.archive.org/18/items/GADeptofEd1925/GA.pdf#page=49</v>
      </c>
    </row>
    <row r="9" spans="1:49" x14ac:dyDescent="0.25">
      <c r="A9" s="27" t="s">
        <v>1778</v>
      </c>
      <c r="B9" s="27" t="str">
        <f t="shared" si="0"/>
        <v>Georgia</v>
      </c>
      <c r="C9" s="27" t="str">
        <f t="shared" si="1"/>
        <v>Bartow/Cass</v>
      </c>
      <c r="D9" s="27">
        <f>2126+125+1099</f>
        <v>3350</v>
      </c>
      <c r="E9" s="27">
        <f>522+185</f>
        <v>707</v>
      </c>
      <c r="F9" s="27">
        <f t="shared" si="2"/>
        <v>4057</v>
      </c>
      <c r="G9" s="27">
        <v>14</v>
      </c>
      <c r="H9" s="27">
        <f>75+5+20</f>
        <v>100</v>
      </c>
      <c r="I9" s="27">
        <f>5+1+3</f>
        <v>9</v>
      </c>
      <c r="J9" s="27">
        <f>1+2+6</f>
        <v>9</v>
      </c>
      <c r="K9" s="27">
        <f>21+5+2</f>
        <v>28</v>
      </c>
      <c r="L9" s="27">
        <f t="shared" si="3"/>
        <v>160</v>
      </c>
      <c r="M9" s="27">
        <v>180</v>
      </c>
      <c r="N9" s="27">
        <v>120</v>
      </c>
      <c r="O9" s="29">
        <f t="shared" si="4"/>
        <v>169.54399802809959</v>
      </c>
      <c r="P9" s="27">
        <v>6755</v>
      </c>
      <c r="Q9" s="7">
        <f t="shared" si="5"/>
        <v>267760.44</v>
      </c>
      <c r="R9" s="27">
        <f>3684+0+3260.52</f>
        <v>6944.52</v>
      </c>
      <c r="S9" s="27">
        <f>72.89+0</f>
        <v>72.89</v>
      </c>
      <c r="T9" s="27">
        <f>55.07+75+88</f>
        <v>218.07</v>
      </c>
      <c r="U9" s="27">
        <f>100+167.5+186.8</f>
        <v>454.3</v>
      </c>
      <c r="V9" s="27">
        <f>100+90+125</f>
        <v>315</v>
      </c>
      <c r="W9" s="89">
        <f t="shared" si="6"/>
        <v>225.38757575757575</v>
      </c>
      <c r="X9" s="89">
        <f t="shared" si="7"/>
        <v>41.336428571428577</v>
      </c>
      <c r="Y9" s="97">
        <f t="shared" si="16"/>
        <v>202.58477876106198</v>
      </c>
      <c r="Z9" s="97">
        <f t="shared" si="8"/>
        <v>193.17862500000001</v>
      </c>
      <c r="AA9" s="27">
        <v>99165</v>
      </c>
      <c r="AB9" s="27">
        <v>67</v>
      </c>
      <c r="AC9" s="27">
        <f>111000+10000+125000</f>
        <v>246000</v>
      </c>
      <c r="AD9" s="27">
        <f>9750+10000</f>
        <v>19750</v>
      </c>
      <c r="AE9" s="29">
        <f t="shared" si="9"/>
        <v>265750</v>
      </c>
      <c r="AF9" s="41">
        <v>1925</v>
      </c>
      <c r="AG9" s="4" t="s">
        <v>567</v>
      </c>
      <c r="AH9" s="151" t="str">
        <f t="shared" si="11"/>
        <v>https://ia800604.us.archive.org/18/items/GADeptofEd1925/GA.pdf#page=9</v>
      </c>
      <c r="AI9" s="152" t="str">
        <f t="shared" si="11"/>
        <v>https://ia800604.us.archive.org/18/items/GADeptofEd1925/GA.pdf#page=32</v>
      </c>
      <c r="AJ9" s="151" t="str">
        <f t="shared" si="11"/>
        <v>https://ia800604.us.archive.org/18/items/GADeptofEd1925/GA.pdf#page=9</v>
      </c>
      <c r="AK9" s="152" t="str">
        <f t="shared" si="11"/>
        <v>https://ia800604.us.archive.org/18/items/GADeptofEd1925/GA.pdf#page=32</v>
      </c>
      <c r="AL9" s="151" t="str">
        <f t="shared" si="11"/>
        <v>https://ia800604.us.archive.org/18/items/GADeptofEd1925/GA.pdf#page=13</v>
      </c>
      <c r="AM9" s="152" t="str">
        <f t="shared" si="11"/>
        <v>https://ia800604.us.archive.org/18/items/GADeptofEd1925/GA.pdf#page=36</v>
      </c>
      <c r="AN9" s="151" t="str">
        <f t="shared" si="12"/>
        <v>https://ia800604.us.archive.org/18/items/GADeptofEd1925/GA.pdf#page=13</v>
      </c>
      <c r="AO9" s="152" t="str">
        <f t="shared" si="14"/>
        <v>https://ia800604.us.archive.org/18/items/GADeptofEd1925/GA.pdf#page=32</v>
      </c>
      <c r="AP9" s="151" t="str">
        <f t="shared" si="14"/>
        <v>https://ia800604.us.archive.org/18/items/GADeptofEd1925/GA.pdf#page=26</v>
      </c>
      <c r="AQ9" s="152" t="str">
        <f t="shared" si="14"/>
        <v>https://ia800604.us.archive.org/18/items/GADeptofEd1925/GA.pdf#page=44</v>
      </c>
      <c r="AR9" s="151" t="str">
        <f t="shared" si="14"/>
        <v>https://ia800604.us.archive.org/18/items/GADeptofEd1925/GA.pdf#page=21</v>
      </c>
      <c r="AS9" s="152" t="str">
        <f t="shared" si="13"/>
        <v>https://ia800604.us.archive.org/18/items/GADeptofEd1925/GA.pdf#page=44</v>
      </c>
      <c r="AT9" s="151" t="str">
        <f t="shared" si="15"/>
        <v>https://ia800604.us.archive.org/18/items/GADeptofEd1925/GA.pdf#page=26</v>
      </c>
      <c r="AU9" s="152" t="str">
        <f t="shared" si="15"/>
        <v>https://ia800604.us.archive.org/18/items/GADeptofEd1925/GA.pdf#page=32</v>
      </c>
      <c r="AV9" s="151" t="str">
        <f t="shared" si="15"/>
        <v>https://ia800604.us.archive.org/18/items/GADeptofEd1925/GA.pdf#page=26</v>
      </c>
      <c r="AW9" s="152" t="str">
        <f t="shared" si="15"/>
        <v>https://ia800604.us.archive.org/18/items/GADeptofEd1925/GA.pdf#page=49</v>
      </c>
    </row>
    <row r="10" spans="1:49" x14ac:dyDescent="0.25">
      <c r="A10" s="27" t="s">
        <v>730</v>
      </c>
      <c r="B10" s="27" t="str">
        <f t="shared" si="0"/>
        <v>Georgia</v>
      </c>
      <c r="C10" s="27" t="str">
        <f t="shared" si="1"/>
        <v>Ben Hill</v>
      </c>
      <c r="D10" s="27">
        <f>775+1015</f>
        <v>1790</v>
      </c>
      <c r="E10" s="27">
        <f>401+363</f>
        <v>764</v>
      </c>
      <c r="F10" s="27">
        <f t="shared" si="2"/>
        <v>2554</v>
      </c>
      <c r="G10" s="27">
        <v>4</v>
      </c>
      <c r="H10" s="27">
        <f>24+23</f>
        <v>47</v>
      </c>
      <c r="I10" s="27">
        <f>1+3</f>
        <v>4</v>
      </c>
      <c r="J10" s="27">
        <f>1+7</f>
        <v>8</v>
      </c>
      <c r="K10" s="27">
        <f>14+5+1</f>
        <v>20</v>
      </c>
      <c r="L10" s="27">
        <f t="shared" si="3"/>
        <v>83</v>
      </c>
      <c r="M10" s="27">
        <v>131</v>
      </c>
      <c r="N10" s="27">
        <v>81</v>
      </c>
      <c r="O10" s="29">
        <f t="shared" si="4"/>
        <v>116.04306969459671</v>
      </c>
      <c r="P10" s="27">
        <v>3398</v>
      </c>
      <c r="Q10" s="7">
        <f t="shared" si="5"/>
        <v>67318.672999999995</v>
      </c>
      <c r="R10" s="27">
        <f>1873+2520</f>
        <v>4393</v>
      </c>
      <c r="S10" s="27">
        <f>93.33+0</f>
        <v>93.33</v>
      </c>
      <c r="T10" s="27">
        <f>66.1+85</f>
        <v>151.1</v>
      </c>
      <c r="U10" s="27">
        <f>100+166.66</f>
        <v>266.65999999999997</v>
      </c>
      <c r="V10" s="27">
        <f>100+117</f>
        <v>217</v>
      </c>
      <c r="W10" s="89">
        <f t="shared" si="6"/>
        <v>163.13746031746032</v>
      </c>
      <c r="X10" s="89">
        <f t="shared" si="7"/>
        <v>54.23456790123457</v>
      </c>
      <c r="Y10" s="97">
        <f t="shared" si="16"/>
        <v>145.2682528106958</v>
      </c>
      <c r="Z10" s="97">
        <f t="shared" si="8"/>
        <v>136.89579949427338</v>
      </c>
      <c r="AA10" s="27">
        <v>67603</v>
      </c>
      <c r="AB10" s="27">
        <v>26</v>
      </c>
      <c r="AC10" s="27">
        <f xml:space="preserve"> 39500+85000</f>
        <v>124500</v>
      </c>
      <c r="AD10" s="27">
        <f>6800+3000</f>
        <v>9800</v>
      </c>
      <c r="AE10" s="29">
        <f t="shared" si="9"/>
        <v>134300</v>
      </c>
      <c r="AF10" s="41">
        <v>1925</v>
      </c>
      <c r="AG10" s="4" t="s">
        <v>567</v>
      </c>
      <c r="AH10" s="151" t="str">
        <f t="shared" si="11"/>
        <v>https://ia800604.us.archive.org/18/items/GADeptofEd1925/GA.pdf#page=9</v>
      </c>
      <c r="AI10" s="152" t="str">
        <f t="shared" si="11"/>
        <v>https://ia800604.us.archive.org/18/items/GADeptofEd1925/GA.pdf#page=32</v>
      </c>
      <c r="AJ10" s="151" t="str">
        <f t="shared" si="11"/>
        <v>https://ia800604.us.archive.org/18/items/GADeptofEd1925/GA.pdf#page=9</v>
      </c>
      <c r="AK10" s="152" t="str">
        <f t="shared" si="11"/>
        <v>https://ia800604.us.archive.org/18/items/GADeptofEd1925/GA.pdf#page=32</v>
      </c>
      <c r="AL10" s="151" t="str">
        <f t="shared" si="11"/>
        <v>https://ia800604.us.archive.org/18/items/GADeptofEd1925/GA.pdf#page=13</v>
      </c>
      <c r="AM10" s="152" t="str">
        <f t="shared" si="11"/>
        <v>https://ia800604.us.archive.org/18/items/GADeptofEd1925/GA.pdf#page=36</v>
      </c>
      <c r="AN10" s="151" t="str">
        <f t="shared" si="12"/>
        <v>https://ia800604.us.archive.org/18/items/GADeptofEd1925/GA.pdf#page=13</v>
      </c>
      <c r="AO10" s="152" t="str">
        <f t="shared" si="14"/>
        <v>https://ia800604.us.archive.org/18/items/GADeptofEd1925/GA.pdf#page=32</v>
      </c>
      <c r="AP10" s="151" t="str">
        <f t="shared" si="14"/>
        <v>https://ia800604.us.archive.org/18/items/GADeptofEd1925/GA.pdf#page=26</v>
      </c>
      <c r="AQ10" s="152" t="str">
        <f t="shared" si="14"/>
        <v>https://ia800604.us.archive.org/18/items/GADeptofEd1925/GA.pdf#page=44</v>
      </c>
      <c r="AR10" s="151" t="str">
        <f t="shared" si="14"/>
        <v>https://ia800604.us.archive.org/18/items/GADeptofEd1925/GA.pdf#page=21</v>
      </c>
      <c r="AS10" s="152" t="str">
        <f t="shared" si="13"/>
        <v>https://ia800604.us.archive.org/18/items/GADeptofEd1925/GA.pdf#page=44</v>
      </c>
      <c r="AT10" s="151" t="str">
        <f t="shared" si="15"/>
        <v>https://ia800604.us.archive.org/18/items/GADeptofEd1925/GA.pdf#page=26</v>
      </c>
      <c r="AU10" s="152" t="str">
        <f t="shared" si="15"/>
        <v>https://ia800604.us.archive.org/18/items/GADeptofEd1925/GA.pdf#page=32</v>
      </c>
      <c r="AV10" s="151" t="str">
        <f t="shared" si="15"/>
        <v>https://ia800604.us.archive.org/18/items/GADeptofEd1925/GA.pdf#page=26</v>
      </c>
      <c r="AW10" s="152" t="str">
        <f t="shared" si="15"/>
        <v>https://ia800604.us.archive.org/18/items/GADeptofEd1925/GA.pdf#page=49</v>
      </c>
    </row>
    <row r="11" spans="1:49" x14ac:dyDescent="0.25">
      <c r="A11" s="27" t="s">
        <v>731</v>
      </c>
      <c r="B11" s="27" t="str">
        <f t="shared" si="0"/>
        <v>Georgia</v>
      </c>
      <c r="C11" s="27" t="str">
        <f t="shared" si="1"/>
        <v>Berrien</v>
      </c>
      <c r="D11" s="27">
        <f>2703+450</f>
        <v>3153</v>
      </c>
      <c r="E11" s="27">
        <f>300+100</f>
        <v>400</v>
      </c>
      <c r="F11" s="27">
        <f t="shared" si="2"/>
        <v>3553</v>
      </c>
      <c r="G11" s="27">
        <v>16</v>
      </c>
      <c r="H11" s="27">
        <f>65+8</f>
        <v>73</v>
      </c>
      <c r="I11" s="27">
        <f>5+2</f>
        <v>7</v>
      </c>
      <c r="J11" s="27">
        <v>2</v>
      </c>
      <c r="K11" s="27">
        <f>26+2</f>
        <v>28</v>
      </c>
      <c r="L11" s="27">
        <f t="shared" si="3"/>
        <v>126</v>
      </c>
      <c r="M11" s="27">
        <v>120</v>
      </c>
      <c r="N11" s="27">
        <v>100</v>
      </c>
      <c r="O11" s="29">
        <f t="shared" si="4"/>
        <v>117.74838164931045</v>
      </c>
      <c r="P11" s="27">
        <v>3851</v>
      </c>
      <c r="Q11" s="7">
        <f t="shared" si="5"/>
        <v>78333.78</v>
      </c>
      <c r="R11" s="27">
        <f>2250+565</f>
        <v>2815</v>
      </c>
      <c r="S11" s="27">
        <f>70.31+0</f>
        <v>70.31</v>
      </c>
      <c r="T11" s="27">
        <f>57.09+75</f>
        <v>132.09</v>
      </c>
      <c r="U11" s="27">
        <f>136.25+162.05</f>
        <v>298.3</v>
      </c>
      <c r="V11" s="27">
        <f>0+100</f>
        <v>100</v>
      </c>
      <c r="W11" s="89">
        <f t="shared" si="6"/>
        <v>133.22071428571428</v>
      </c>
      <c r="X11" s="89">
        <f t="shared" si="7"/>
        <v>20.107142857142858</v>
      </c>
      <c r="Y11" s="97">
        <f t="shared" si="16"/>
        <v>111.4681043956044</v>
      </c>
      <c r="Z11" s="97">
        <f t="shared" si="8"/>
        <v>108.08436507936507</v>
      </c>
      <c r="AA11" s="27">
        <v>52448</v>
      </c>
      <c r="AB11" s="27">
        <v>71</v>
      </c>
      <c r="AC11" s="27">
        <f>61000+30000</f>
        <v>91000</v>
      </c>
      <c r="AD11" s="27">
        <f>10000+600</f>
        <v>10600</v>
      </c>
      <c r="AE11" s="29">
        <f t="shared" si="9"/>
        <v>101600</v>
      </c>
      <c r="AF11" s="41">
        <v>1925</v>
      </c>
      <c r="AG11" s="4" t="s">
        <v>567</v>
      </c>
      <c r="AH11" s="151" t="str">
        <f t="shared" si="11"/>
        <v>https://ia800604.us.archive.org/18/items/GADeptofEd1925/GA.pdf#page=9</v>
      </c>
      <c r="AI11" s="152" t="str">
        <f t="shared" si="11"/>
        <v>https://ia800604.us.archive.org/18/items/GADeptofEd1925/GA.pdf#page=32</v>
      </c>
      <c r="AJ11" s="151" t="str">
        <f t="shared" si="11"/>
        <v>https://ia800604.us.archive.org/18/items/GADeptofEd1925/GA.pdf#page=9</v>
      </c>
      <c r="AK11" s="152" t="str">
        <f t="shared" si="11"/>
        <v>https://ia800604.us.archive.org/18/items/GADeptofEd1925/GA.pdf#page=32</v>
      </c>
      <c r="AL11" s="151" t="str">
        <f t="shared" si="11"/>
        <v>https://ia800604.us.archive.org/18/items/GADeptofEd1925/GA.pdf#page=13</v>
      </c>
      <c r="AM11" s="152" t="str">
        <f t="shared" si="11"/>
        <v>https://ia800604.us.archive.org/18/items/GADeptofEd1925/GA.pdf#page=36</v>
      </c>
      <c r="AN11" s="151" t="str">
        <f t="shared" si="12"/>
        <v>https://ia800604.us.archive.org/18/items/GADeptofEd1925/GA.pdf#page=13</v>
      </c>
      <c r="AO11" s="152" t="str">
        <f t="shared" si="14"/>
        <v>https://ia800604.us.archive.org/18/items/GADeptofEd1925/GA.pdf#page=32</v>
      </c>
      <c r="AP11" s="151" t="str">
        <f t="shared" si="14"/>
        <v>https://ia800604.us.archive.org/18/items/GADeptofEd1925/GA.pdf#page=26</v>
      </c>
      <c r="AQ11" s="152" t="str">
        <f t="shared" si="14"/>
        <v>https://ia800604.us.archive.org/18/items/GADeptofEd1925/GA.pdf#page=44</v>
      </c>
      <c r="AR11" s="151" t="str">
        <f t="shared" si="14"/>
        <v>https://ia800604.us.archive.org/18/items/GADeptofEd1925/GA.pdf#page=21</v>
      </c>
      <c r="AS11" s="152" t="str">
        <f t="shared" si="13"/>
        <v>https://ia800604.us.archive.org/18/items/GADeptofEd1925/GA.pdf#page=44</v>
      </c>
      <c r="AT11" s="151" t="str">
        <f t="shared" si="15"/>
        <v>https://ia800604.us.archive.org/18/items/GADeptofEd1925/GA.pdf#page=26</v>
      </c>
      <c r="AU11" s="152" t="str">
        <f t="shared" si="15"/>
        <v>https://ia800604.us.archive.org/18/items/GADeptofEd1925/GA.pdf#page=32</v>
      </c>
      <c r="AV11" s="151" t="str">
        <f t="shared" si="15"/>
        <v>https://ia800604.us.archive.org/18/items/GADeptofEd1925/GA.pdf#page=26</v>
      </c>
      <c r="AW11" s="152" t="str">
        <f t="shared" si="15"/>
        <v>https://ia800604.us.archive.org/18/items/GADeptofEd1925/GA.pdf#page=49</v>
      </c>
    </row>
    <row r="12" spans="1:49" x14ac:dyDescent="0.25">
      <c r="A12" s="27" t="s">
        <v>732</v>
      </c>
      <c r="B12" s="27" t="str">
        <f t="shared" si="0"/>
        <v>Georgia</v>
      </c>
      <c r="C12" s="27" t="str">
        <f t="shared" si="1"/>
        <v>Bibb</v>
      </c>
      <c r="D12" s="27">
        <v>6950</v>
      </c>
      <c r="E12" s="27">
        <v>4385</v>
      </c>
      <c r="F12" s="27">
        <f t="shared" si="2"/>
        <v>11335</v>
      </c>
      <c r="G12" s="27">
        <v>0</v>
      </c>
      <c r="H12" s="27">
        <v>290</v>
      </c>
      <c r="I12" s="27">
        <v>28</v>
      </c>
      <c r="J12" s="27">
        <v>30</v>
      </c>
      <c r="K12" s="27">
        <f>95+10</f>
        <v>105</v>
      </c>
      <c r="L12" s="27">
        <f t="shared" si="3"/>
        <v>453</v>
      </c>
      <c r="M12" s="27">
        <v>180</v>
      </c>
      <c r="N12" s="27">
        <v>180</v>
      </c>
      <c r="O12" s="29">
        <f t="shared" si="4"/>
        <v>180</v>
      </c>
      <c r="P12" s="27">
        <v>14789</v>
      </c>
      <c r="Q12" s="7">
        <f t="shared" si="5"/>
        <v>309960</v>
      </c>
      <c r="R12" s="27">
        <v>52850.5</v>
      </c>
      <c r="S12" s="27"/>
      <c r="T12" s="27">
        <v>105</v>
      </c>
      <c r="U12" s="27"/>
      <c r="V12" s="27">
        <v>133</v>
      </c>
      <c r="W12" s="89">
        <f t="shared" si="6"/>
        <v>98.965517241379317</v>
      </c>
      <c r="X12" s="89">
        <f t="shared" si="7"/>
        <v>55.926455026455031</v>
      </c>
      <c r="Y12" s="97">
        <f t="shared" si="16"/>
        <v>88.989575668383608</v>
      </c>
      <c r="Z12" s="97">
        <f t="shared" si="8"/>
        <v>88.989575668383623</v>
      </c>
      <c r="AA12" s="27">
        <v>375242</v>
      </c>
      <c r="AB12" s="27">
        <v>46</v>
      </c>
      <c r="AC12" s="27">
        <v>1480509</v>
      </c>
      <c r="AD12" s="27">
        <f>180924+1700</f>
        <v>182624</v>
      </c>
      <c r="AE12" s="29">
        <f t="shared" si="9"/>
        <v>1663133</v>
      </c>
      <c r="AF12" s="41">
        <v>1925</v>
      </c>
      <c r="AG12" s="4" t="s">
        <v>567</v>
      </c>
      <c r="AH12" s="151" t="str">
        <f t="shared" si="11"/>
        <v>https://ia800604.us.archive.org/18/items/GADeptofEd1925/GA.pdf#page=9</v>
      </c>
      <c r="AI12" s="152" t="str">
        <f t="shared" si="11"/>
        <v>https://ia800604.us.archive.org/18/items/GADeptofEd1925/GA.pdf#page=32</v>
      </c>
      <c r="AJ12" s="151" t="str">
        <f t="shared" si="11"/>
        <v>https://ia800604.us.archive.org/18/items/GADeptofEd1925/GA.pdf#page=9</v>
      </c>
      <c r="AK12" s="152" t="str">
        <f t="shared" si="11"/>
        <v>https://ia800604.us.archive.org/18/items/GADeptofEd1925/GA.pdf#page=32</v>
      </c>
      <c r="AL12" s="151" t="str">
        <f t="shared" si="11"/>
        <v>https://ia800604.us.archive.org/18/items/GADeptofEd1925/GA.pdf#page=13</v>
      </c>
      <c r="AM12" s="152" t="str">
        <f t="shared" si="11"/>
        <v>https://ia800604.us.archive.org/18/items/GADeptofEd1925/GA.pdf#page=36</v>
      </c>
      <c r="AN12" s="151" t="str">
        <f t="shared" si="12"/>
        <v>https://ia800604.us.archive.org/18/items/GADeptofEd1925/GA.pdf#page=13</v>
      </c>
      <c r="AO12" s="152" t="str">
        <f t="shared" si="14"/>
        <v>https://ia800604.us.archive.org/18/items/GADeptofEd1925/GA.pdf#page=32</v>
      </c>
      <c r="AP12" s="151" t="str">
        <f t="shared" si="14"/>
        <v>https://ia800604.us.archive.org/18/items/GADeptofEd1925/GA.pdf#page=26</v>
      </c>
      <c r="AQ12" s="152" t="str">
        <f t="shared" si="14"/>
        <v>https://ia800604.us.archive.org/18/items/GADeptofEd1925/GA.pdf#page=44</v>
      </c>
      <c r="AR12" s="151" t="str">
        <f t="shared" si="14"/>
        <v>https://ia800604.us.archive.org/18/items/GADeptofEd1925/GA.pdf#page=21</v>
      </c>
      <c r="AS12" s="152" t="str">
        <f t="shared" si="13"/>
        <v>https://ia800604.us.archive.org/18/items/GADeptofEd1925/GA.pdf#page=44</v>
      </c>
      <c r="AT12" s="151" t="str">
        <f t="shared" si="15"/>
        <v>https://ia800604.us.archive.org/18/items/GADeptofEd1925/GA.pdf#page=26</v>
      </c>
      <c r="AU12" s="152" t="str">
        <f t="shared" si="15"/>
        <v>https://ia800604.us.archive.org/18/items/GADeptofEd1925/GA.pdf#page=32</v>
      </c>
      <c r="AV12" s="151" t="str">
        <f t="shared" si="15"/>
        <v>https://ia800604.us.archive.org/18/items/GADeptofEd1925/GA.pdf#page=26</v>
      </c>
      <c r="AW12" s="152" t="str">
        <f t="shared" si="15"/>
        <v>https://ia800604.us.archive.org/18/items/GADeptofEd1925/GA.pdf#page=49</v>
      </c>
    </row>
    <row r="13" spans="1:49" x14ac:dyDescent="0.25">
      <c r="A13" s="27" t="s">
        <v>733</v>
      </c>
      <c r="B13" s="27" t="str">
        <f t="shared" si="0"/>
        <v>Georgia</v>
      </c>
      <c r="C13" s="27" t="str">
        <f t="shared" si="1"/>
        <v>Bleckley</v>
      </c>
      <c r="D13" s="27">
        <f>705+358</f>
        <v>1063</v>
      </c>
      <c r="E13" s="27">
        <f>425+65</f>
        <v>490</v>
      </c>
      <c r="F13" s="27">
        <f t="shared" si="2"/>
        <v>1553</v>
      </c>
      <c r="G13" s="27">
        <v>1</v>
      </c>
      <c r="H13" s="27">
        <f>26+8</f>
        <v>34</v>
      </c>
      <c r="I13" s="27">
        <f>3+2</f>
        <v>5</v>
      </c>
      <c r="J13" s="27">
        <f>3+3</f>
        <v>6</v>
      </c>
      <c r="K13" s="13">
        <v>2</v>
      </c>
      <c r="L13" s="27">
        <f t="shared" si="3"/>
        <v>48</v>
      </c>
      <c r="M13" s="27">
        <v>135</v>
      </c>
      <c r="N13" s="27">
        <v>135</v>
      </c>
      <c r="O13" s="29">
        <f t="shared" si="4"/>
        <v>135</v>
      </c>
      <c r="P13" s="27">
        <v>1573</v>
      </c>
      <c r="Q13" s="7">
        <f t="shared" si="5"/>
        <v>52308.99</v>
      </c>
      <c r="R13" s="27">
        <f>1709.33+640</f>
        <v>2349.33</v>
      </c>
      <c r="S13" s="27">
        <f>0+65+0</f>
        <v>65</v>
      </c>
      <c r="T13" s="27">
        <f>65+85.77</f>
        <v>150.76999999999998</v>
      </c>
      <c r="U13" s="27">
        <f>83.33+212.33</f>
        <v>295.66000000000003</v>
      </c>
      <c r="V13" s="27">
        <f>80+100</f>
        <v>180</v>
      </c>
      <c r="W13" s="89">
        <f t="shared" si="6"/>
        <v>168.46695652173912</v>
      </c>
      <c r="X13" s="89">
        <f t="shared" si="7"/>
        <v>174.02444444444444</v>
      </c>
      <c r="Y13" s="97">
        <f t="shared" si="16"/>
        <v>168.69851851851851</v>
      </c>
      <c r="Z13" s="97">
        <f t="shared" si="8"/>
        <v>168.69851851851851</v>
      </c>
      <c r="AA13" s="27">
        <v>25849</v>
      </c>
      <c r="AB13" s="27">
        <v>33</v>
      </c>
      <c r="AC13" s="27">
        <f>9250+35000</f>
        <v>44250</v>
      </c>
      <c r="AD13" s="27">
        <v>1400</v>
      </c>
      <c r="AE13" s="29">
        <f t="shared" si="9"/>
        <v>45650</v>
      </c>
      <c r="AF13" s="41">
        <v>1925</v>
      </c>
      <c r="AG13" s="4" t="s">
        <v>567</v>
      </c>
      <c r="AH13" s="151" t="str">
        <f t="shared" si="11"/>
        <v>https://ia800604.us.archive.org/18/items/GADeptofEd1925/GA.pdf#page=9</v>
      </c>
      <c r="AI13" s="152" t="str">
        <f t="shared" si="11"/>
        <v>https://ia800604.us.archive.org/18/items/GADeptofEd1925/GA.pdf#page=32</v>
      </c>
      <c r="AJ13" s="151" t="str">
        <f t="shared" si="11"/>
        <v>https://ia800604.us.archive.org/18/items/GADeptofEd1925/GA.pdf#page=9</v>
      </c>
      <c r="AK13" s="152" t="str">
        <f t="shared" si="11"/>
        <v>https://ia800604.us.archive.org/18/items/GADeptofEd1925/GA.pdf#page=32</v>
      </c>
      <c r="AL13" s="151" t="str">
        <f t="shared" si="11"/>
        <v>https://ia800604.us.archive.org/18/items/GADeptofEd1925/GA.pdf#page=13</v>
      </c>
      <c r="AM13" s="152" t="str">
        <f t="shared" si="11"/>
        <v>https://ia800604.us.archive.org/18/items/GADeptofEd1925/GA.pdf#page=36</v>
      </c>
      <c r="AN13" s="151" t="str">
        <f t="shared" si="12"/>
        <v>https://ia800604.us.archive.org/18/items/GADeptofEd1925/GA.pdf#page=13</v>
      </c>
      <c r="AO13" s="152" t="str">
        <f t="shared" si="14"/>
        <v>https://ia800604.us.archive.org/18/items/GADeptofEd1925/GA.pdf#page=32</v>
      </c>
      <c r="AP13" s="151" t="str">
        <f t="shared" si="14"/>
        <v>https://ia800604.us.archive.org/18/items/GADeptofEd1925/GA.pdf#page=26</v>
      </c>
      <c r="AQ13" s="152" t="str">
        <f t="shared" si="14"/>
        <v>https://ia800604.us.archive.org/18/items/GADeptofEd1925/GA.pdf#page=44</v>
      </c>
      <c r="AR13" s="151" t="str">
        <f t="shared" si="14"/>
        <v>https://ia800604.us.archive.org/18/items/GADeptofEd1925/GA.pdf#page=21</v>
      </c>
      <c r="AS13" s="152" t="str">
        <f t="shared" si="13"/>
        <v>https://ia800604.us.archive.org/18/items/GADeptofEd1925/GA.pdf#page=44</v>
      </c>
      <c r="AT13" s="151" t="str">
        <f t="shared" si="15"/>
        <v>https://ia800604.us.archive.org/18/items/GADeptofEd1925/GA.pdf#page=26</v>
      </c>
      <c r="AU13" s="152" t="str">
        <f t="shared" si="15"/>
        <v>https://ia800604.us.archive.org/18/items/GADeptofEd1925/GA.pdf#page=32</v>
      </c>
      <c r="AV13" s="151" t="str">
        <f t="shared" si="15"/>
        <v>https://ia800604.us.archive.org/18/items/GADeptofEd1925/GA.pdf#page=26</v>
      </c>
      <c r="AW13" s="152" t="str">
        <f t="shared" si="15"/>
        <v>https://ia800604.us.archive.org/18/items/GADeptofEd1925/GA.pdf#page=49</v>
      </c>
    </row>
    <row r="14" spans="1:49" x14ac:dyDescent="0.25">
      <c r="A14" s="27" t="s">
        <v>734</v>
      </c>
      <c r="B14" s="27" t="str">
        <f t="shared" si="0"/>
        <v>Georgia</v>
      </c>
      <c r="C14" s="27" t="str">
        <f t="shared" si="1"/>
        <v>Brantley</v>
      </c>
      <c r="D14" s="27">
        <v>1200</v>
      </c>
      <c r="E14" s="27">
        <v>200</v>
      </c>
      <c r="F14" s="27">
        <f t="shared" si="2"/>
        <v>1400</v>
      </c>
      <c r="G14" s="27">
        <v>6</v>
      </c>
      <c r="H14" s="27">
        <v>38</v>
      </c>
      <c r="I14" s="27">
        <v>3</v>
      </c>
      <c r="J14" s="27">
        <v>2</v>
      </c>
      <c r="K14" s="27">
        <v>9</v>
      </c>
      <c r="L14" s="27">
        <f t="shared" si="3"/>
        <v>58</v>
      </c>
      <c r="M14" s="27">
        <v>119</v>
      </c>
      <c r="N14" s="27">
        <v>119</v>
      </c>
      <c r="O14" s="29">
        <f t="shared" si="4"/>
        <v>119</v>
      </c>
      <c r="P14" s="27">
        <v>1936</v>
      </c>
      <c r="Q14" s="7">
        <f t="shared" si="5"/>
        <v>18043.375</v>
      </c>
      <c r="R14" s="27">
        <v>1020</v>
      </c>
      <c r="S14" s="27">
        <v>60</v>
      </c>
      <c r="T14" s="27">
        <v>57.5</v>
      </c>
      <c r="U14" s="27">
        <v>112.5</v>
      </c>
      <c r="V14" s="27">
        <v>75</v>
      </c>
      <c r="W14" s="89">
        <f t="shared" si="6"/>
        <v>61.887755102040813</v>
      </c>
      <c r="X14" s="89">
        <f t="shared" si="7"/>
        <v>19.047619047619047</v>
      </c>
      <c r="Y14" s="97">
        <f t="shared" si="16"/>
        <v>55.240147783251231</v>
      </c>
      <c r="Z14" s="97">
        <f t="shared" si="8"/>
        <v>55.240147783251231</v>
      </c>
      <c r="AA14" s="27">
        <v>24700</v>
      </c>
      <c r="AB14" s="27">
        <v>41</v>
      </c>
      <c r="AC14" s="27">
        <v>44520</v>
      </c>
      <c r="AD14" s="27">
        <v>1000</v>
      </c>
      <c r="AE14" s="29">
        <f t="shared" si="9"/>
        <v>45520</v>
      </c>
      <c r="AF14" s="41">
        <v>1925</v>
      </c>
      <c r="AG14" s="4" t="s">
        <v>567</v>
      </c>
      <c r="AH14" s="151" t="str">
        <f t="shared" si="11"/>
        <v>https://ia800604.us.archive.org/18/items/GADeptofEd1925/GA.pdf#page=9</v>
      </c>
      <c r="AI14" s="152" t="str">
        <f t="shared" si="11"/>
        <v>https://ia800604.us.archive.org/18/items/GADeptofEd1925/GA.pdf#page=32</v>
      </c>
      <c r="AJ14" s="151" t="str">
        <f t="shared" si="11"/>
        <v>https://ia800604.us.archive.org/18/items/GADeptofEd1925/GA.pdf#page=9</v>
      </c>
      <c r="AK14" s="152" t="str">
        <f t="shared" si="11"/>
        <v>https://ia800604.us.archive.org/18/items/GADeptofEd1925/GA.pdf#page=32</v>
      </c>
      <c r="AL14" s="151" t="str">
        <f t="shared" si="11"/>
        <v>https://ia800604.us.archive.org/18/items/GADeptofEd1925/GA.pdf#page=13</v>
      </c>
      <c r="AM14" s="152" t="str">
        <f t="shared" si="11"/>
        <v>https://ia800604.us.archive.org/18/items/GADeptofEd1925/GA.pdf#page=36</v>
      </c>
      <c r="AN14" s="151" t="str">
        <f t="shared" si="12"/>
        <v>https://ia800604.us.archive.org/18/items/GADeptofEd1925/GA.pdf#page=13</v>
      </c>
      <c r="AO14" s="152" t="str">
        <f t="shared" si="14"/>
        <v>https://ia800604.us.archive.org/18/items/GADeptofEd1925/GA.pdf#page=32</v>
      </c>
      <c r="AP14" s="151" t="str">
        <f t="shared" si="14"/>
        <v>https://ia800604.us.archive.org/18/items/GADeptofEd1925/GA.pdf#page=26</v>
      </c>
      <c r="AQ14" s="152" t="str">
        <f t="shared" si="14"/>
        <v>https://ia800604.us.archive.org/18/items/GADeptofEd1925/GA.pdf#page=44</v>
      </c>
      <c r="AR14" s="151" t="str">
        <f t="shared" si="14"/>
        <v>https://ia800604.us.archive.org/18/items/GADeptofEd1925/GA.pdf#page=21</v>
      </c>
      <c r="AS14" s="152" t="str">
        <f t="shared" si="13"/>
        <v>https://ia800604.us.archive.org/18/items/GADeptofEd1925/GA.pdf#page=44</v>
      </c>
      <c r="AT14" s="151" t="str">
        <f t="shared" si="15"/>
        <v>https://ia800604.us.archive.org/18/items/GADeptofEd1925/GA.pdf#page=26</v>
      </c>
      <c r="AU14" s="152" t="str">
        <f t="shared" si="15"/>
        <v>https://ia800604.us.archive.org/18/items/GADeptofEd1925/GA.pdf#page=32</v>
      </c>
      <c r="AV14" s="151" t="str">
        <f t="shared" si="15"/>
        <v>https://ia800604.us.archive.org/18/items/GADeptofEd1925/GA.pdf#page=26</v>
      </c>
      <c r="AW14" s="152" t="str">
        <f t="shared" si="15"/>
        <v>https://ia800604.us.archive.org/18/items/GADeptofEd1925/GA.pdf#page=49</v>
      </c>
    </row>
    <row r="15" spans="1:49" x14ac:dyDescent="0.25">
      <c r="A15" s="27" t="s">
        <v>735</v>
      </c>
      <c r="B15" s="27" t="str">
        <f t="shared" si="0"/>
        <v>Georgia</v>
      </c>
      <c r="C15" s="27" t="str">
        <f t="shared" si="1"/>
        <v>Brooks</v>
      </c>
      <c r="D15" s="27">
        <v>2521</v>
      </c>
      <c r="E15" s="27">
        <v>1767</v>
      </c>
      <c r="F15" s="27">
        <f t="shared" si="2"/>
        <v>4288</v>
      </c>
      <c r="G15" s="27">
        <v>3</v>
      </c>
      <c r="H15" s="27">
        <v>44</v>
      </c>
      <c r="I15" s="27">
        <v>9</v>
      </c>
      <c r="J15" s="27">
        <v>18</v>
      </c>
      <c r="K15" s="27">
        <f>47+3</f>
        <v>50</v>
      </c>
      <c r="L15" s="27">
        <f t="shared" si="3"/>
        <v>124</v>
      </c>
      <c r="M15" s="27">
        <v>140</v>
      </c>
      <c r="N15" s="27"/>
      <c r="O15" s="29">
        <v>140</v>
      </c>
      <c r="P15" s="27">
        <v>4833</v>
      </c>
      <c r="Q15" s="7">
        <f t="shared" si="5"/>
        <v>40242.229999999996</v>
      </c>
      <c r="R15" s="27">
        <v>7090</v>
      </c>
      <c r="S15" s="27">
        <v>75</v>
      </c>
      <c r="T15" s="27">
        <v>62.5</v>
      </c>
      <c r="U15" s="27">
        <v>125.71</v>
      </c>
      <c r="V15" s="27">
        <v>91.25</v>
      </c>
      <c r="W15" s="89">
        <f t="shared" si="6"/>
        <v>77.687702702702694</v>
      </c>
      <c r="X15" s="89" t="e">
        <f t="shared" si="7"/>
        <v>#DIV/0!</v>
      </c>
      <c r="Y15" s="97">
        <f t="shared" si="16"/>
        <v>91.374961389961385</v>
      </c>
      <c r="Z15" s="97" t="e">
        <f t="shared" si="8"/>
        <v>#DIV/0!</v>
      </c>
      <c r="AA15" s="27">
        <v>137659</v>
      </c>
      <c r="AB15" s="27">
        <v>62</v>
      </c>
      <c r="AC15" s="27">
        <v>281000</v>
      </c>
      <c r="AD15" s="27">
        <v>18500</v>
      </c>
      <c r="AE15" s="29">
        <f t="shared" si="9"/>
        <v>299500</v>
      </c>
      <c r="AF15" s="41">
        <v>1925</v>
      </c>
      <c r="AG15" s="4" t="s">
        <v>567</v>
      </c>
      <c r="AH15" s="151" t="str">
        <f t="shared" si="11"/>
        <v>https://ia800604.us.archive.org/18/items/GADeptofEd1925/GA.pdf#page=9</v>
      </c>
      <c r="AI15" s="152" t="str">
        <f t="shared" si="11"/>
        <v>https://ia800604.us.archive.org/18/items/GADeptofEd1925/GA.pdf#page=32</v>
      </c>
      <c r="AJ15" s="151" t="str">
        <f t="shared" si="11"/>
        <v>https://ia800604.us.archive.org/18/items/GADeptofEd1925/GA.pdf#page=9</v>
      </c>
      <c r="AK15" s="152" t="str">
        <f t="shared" si="11"/>
        <v>https://ia800604.us.archive.org/18/items/GADeptofEd1925/GA.pdf#page=32</v>
      </c>
      <c r="AL15" s="151" t="str">
        <f t="shared" si="11"/>
        <v>https://ia800604.us.archive.org/18/items/GADeptofEd1925/GA.pdf#page=13</v>
      </c>
      <c r="AM15" s="152" t="str">
        <f t="shared" si="11"/>
        <v>https://ia800604.us.archive.org/18/items/GADeptofEd1925/GA.pdf#page=36</v>
      </c>
      <c r="AN15" s="151" t="str">
        <f t="shared" si="12"/>
        <v>https://ia800604.us.archive.org/18/items/GADeptofEd1925/GA.pdf#page=13</v>
      </c>
      <c r="AO15" s="152" t="str">
        <f t="shared" si="14"/>
        <v>https://ia800604.us.archive.org/18/items/GADeptofEd1925/GA.pdf#page=32</v>
      </c>
      <c r="AP15" s="151" t="str">
        <f t="shared" si="14"/>
        <v>https://ia800604.us.archive.org/18/items/GADeptofEd1925/GA.pdf#page=26</v>
      </c>
      <c r="AQ15" s="152" t="str">
        <f t="shared" si="14"/>
        <v>https://ia800604.us.archive.org/18/items/GADeptofEd1925/GA.pdf#page=44</v>
      </c>
      <c r="AR15" s="151" t="str">
        <f t="shared" si="14"/>
        <v>https://ia800604.us.archive.org/18/items/GADeptofEd1925/GA.pdf#page=21</v>
      </c>
      <c r="AS15" s="152" t="str">
        <f t="shared" si="13"/>
        <v>https://ia800604.us.archive.org/18/items/GADeptofEd1925/GA.pdf#page=44</v>
      </c>
      <c r="AT15" s="151" t="str">
        <f t="shared" si="15"/>
        <v>https://ia800604.us.archive.org/18/items/GADeptofEd1925/GA.pdf#page=26</v>
      </c>
      <c r="AU15" s="152" t="str">
        <f t="shared" si="15"/>
        <v>https://ia800604.us.archive.org/18/items/GADeptofEd1925/GA.pdf#page=32</v>
      </c>
      <c r="AV15" s="151" t="str">
        <f t="shared" si="15"/>
        <v>https://ia800604.us.archive.org/18/items/GADeptofEd1925/GA.pdf#page=26</v>
      </c>
      <c r="AW15" s="152" t="str">
        <f t="shared" si="15"/>
        <v>https://ia800604.us.archive.org/18/items/GADeptofEd1925/GA.pdf#page=49</v>
      </c>
    </row>
    <row r="16" spans="1:49" x14ac:dyDescent="0.25">
      <c r="A16" s="27" t="s">
        <v>736</v>
      </c>
      <c r="B16" s="27" t="str">
        <f t="shared" si="0"/>
        <v>Georgia</v>
      </c>
      <c r="C16" s="27" t="str">
        <f t="shared" si="1"/>
        <v>Bryan</v>
      </c>
      <c r="D16" s="27">
        <v>890</v>
      </c>
      <c r="E16" s="27">
        <v>345</v>
      </c>
      <c r="F16" s="27">
        <f t="shared" si="2"/>
        <v>1235</v>
      </c>
      <c r="G16" s="27">
        <v>0</v>
      </c>
      <c r="H16" s="27">
        <v>27</v>
      </c>
      <c r="I16" s="27">
        <v>2</v>
      </c>
      <c r="J16" s="27">
        <v>3</v>
      </c>
      <c r="K16" s="27">
        <v>15</v>
      </c>
      <c r="L16" s="27">
        <f t="shared" si="3"/>
        <v>47</v>
      </c>
      <c r="M16" s="27">
        <v>140</v>
      </c>
      <c r="N16" s="27">
        <v>100</v>
      </c>
      <c r="O16" s="29">
        <f t="shared" si="4"/>
        <v>128.82591093117409</v>
      </c>
      <c r="P16" s="27">
        <v>1411</v>
      </c>
      <c r="Q16" s="7">
        <f t="shared" si="5"/>
        <v>14385</v>
      </c>
      <c r="R16" s="27">
        <v>2760</v>
      </c>
      <c r="S16" s="27"/>
      <c r="T16" s="27">
        <v>55</v>
      </c>
      <c r="U16" s="27">
        <v>150</v>
      </c>
      <c r="V16" s="27">
        <v>90</v>
      </c>
      <c r="W16" s="89">
        <f t="shared" si="6"/>
        <v>64.21875</v>
      </c>
      <c r="X16" s="89">
        <f t="shared" si="7"/>
        <v>36.799999999999997</v>
      </c>
      <c r="Y16" s="97">
        <f t="shared" si="16"/>
        <v>57.341137123745817</v>
      </c>
      <c r="Z16" s="97">
        <f t="shared" si="8"/>
        <v>55.468085106382979</v>
      </c>
      <c r="AA16" s="27">
        <v>20753</v>
      </c>
      <c r="AB16" s="27">
        <v>28</v>
      </c>
      <c r="AC16" s="27">
        <v>46000</v>
      </c>
      <c r="AD16" s="27"/>
      <c r="AE16" s="29">
        <f t="shared" si="9"/>
        <v>46000</v>
      </c>
      <c r="AF16" s="41">
        <v>1925</v>
      </c>
      <c r="AG16" s="4" t="s">
        <v>567</v>
      </c>
      <c r="AH16" s="151" t="str">
        <f t="shared" si="11"/>
        <v>https://ia800604.us.archive.org/18/items/GADeptofEd1925/GA.pdf#page=9</v>
      </c>
      <c r="AI16" s="152" t="str">
        <f t="shared" si="11"/>
        <v>https://ia800604.us.archive.org/18/items/GADeptofEd1925/GA.pdf#page=32</v>
      </c>
      <c r="AJ16" s="151" t="str">
        <f t="shared" si="11"/>
        <v>https://ia800604.us.archive.org/18/items/GADeptofEd1925/GA.pdf#page=9</v>
      </c>
      <c r="AK16" s="152" t="str">
        <f t="shared" si="11"/>
        <v>https://ia800604.us.archive.org/18/items/GADeptofEd1925/GA.pdf#page=32</v>
      </c>
      <c r="AL16" s="151" t="str">
        <f t="shared" si="11"/>
        <v>https://ia800604.us.archive.org/18/items/GADeptofEd1925/GA.pdf#page=13</v>
      </c>
      <c r="AM16" s="152" t="str">
        <f t="shared" si="11"/>
        <v>https://ia800604.us.archive.org/18/items/GADeptofEd1925/GA.pdf#page=36</v>
      </c>
      <c r="AN16" s="151" t="str">
        <f t="shared" si="12"/>
        <v>https://ia800604.us.archive.org/18/items/GADeptofEd1925/GA.pdf#page=13</v>
      </c>
      <c r="AO16" s="152" t="str">
        <f t="shared" si="14"/>
        <v>https://ia800604.us.archive.org/18/items/GADeptofEd1925/GA.pdf#page=32</v>
      </c>
      <c r="AP16" s="151" t="str">
        <f t="shared" si="14"/>
        <v>https://ia800604.us.archive.org/18/items/GADeptofEd1925/GA.pdf#page=26</v>
      </c>
      <c r="AQ16" s="152" t="str">
        <f t="shared" si="14"/>
        <v>https://ia800604.us.archive.org/18/items/GADeptofEd1925/GA.pdf#page=44</v>
      </c>
      <c r="AR16" s="151" t="str">
        <f t="shared" si="14"/>
        <v>https://ia800604.us.archive.org/18/items/GADeptofEd1925/GA.pdf#page=21</v>
      </c>
      <c r="AS16" s="152" t="str">
        <f t="shared" si="13"/>
        <v>https://ia800604.us.archive.org/18/items/GADeptofEd1925/GA.pdf#page=44</v>
      </c>
      <c r="AT16" s="151" t="str">
        <f t="shared" si="15"/>
        <v>https://ia800604.us.archive.org/18/items/GADeptofEd1925/GA.pdf#page=26</v>
      </c>
      <c r="AU16" s="152" t="str">
        <f t="shared" si="15"/>
        <v>https://ia800604.us.archive.org/18/items/GADeptofEd1925/GA.pdf#page=32</v>
      </c>
      <c r="AV16" s="151" t="str">
        <f t="shared" si="15"/>
        <v>https://ia800604.us.archive.org/18/items/GADeptofEd1925/GA.pdf#page=26</v>
      </c>
      <c r="AW16" s="152" t="str">
        <f t="shared" si="15"/>
        <v>https://ia800604.us.archive.org/18/items/GADeptofEd1925/GA.pdf#page=49</v>
      </c>
    </row>
    <row r="17" spans="1:49" x14ac:dyDescent="0.25">
      <c r="A17" s="27" t="s">
        <v>737</v>
      </c>
      <c r="B17" s="27" t="str">
        <f t="shared" si="0"/>
        <v>Georgia</v>
      </c>
      <c r="C17" s="27" t="str">
        <f t="shared" si="1"/>
        <v>Bulloch</v>
      </c>
      <c r="D17" s="27">
        <f>4095+624</f>
        <v>4719</v>
      </c>
      <c r="E17" s="27">
        <f>2400+285</f>
        <v>2685</v>
      </c>
      <c r="F17" s="27">
        <f t="shared" si="2"/>
        <v>7404</v>
      </c>
      <c r="G17" s="27">
        <v>0</v>
      </c>
      <c r="H17" s="27">
        <f>103+14</f>
        <v>117</v>
      </c>
      <c r="I17" s="27">
        <f>13+1</f>
        <v>14</v>
      </c>
      <c r="J17" s="27">
        <v>8</v>
      </c>
      <c r="K17" s="27">
        <f>7+2</f>
        <v>9</v>
      </c>
      <c r="L17" s="27">
        <f t="shared" si="3"/>
        <v>148</v>
      </c>
      <c r="M17" s="27">
        <v>140</v>
      </c>
      <c r="N17" s="27">
        <v>120</v>
      </c>
      <c r="O17" s="29">
        <f t="shared" si="4"/>
        <v>132.74716369529983</v>
      </c>
      <c r="P17" s="27">
        <v>8110</v>
      </c>
      <c r="Q17" s="7">
        <f t="shared" si="5"/>
        <v>170555</v>
      </c>
      <c r="R17" s="27">
        <f>5743.5+4031.2</f>
        <v>9774.7000000000007</v>
      </c>
      <c r="S17" s="27">
        <v>85</v>
      </c>
      <c r="T17" s="27">
        <f>80+85</f>
        <v>165</v>
      </c>
      <c r="U17" s="27">
        <f>110+200</f>
        <v>310</v>
      </c>
      <c r="V17" s="27">
        <v>90</v>
      </c>
      <c r="W17" s="89">
        <f t="shared" si="6"/>
        <v>175.28776978417267</v>
      </c>
      <c r="X17" s="89">
        <f t="shared" si="7"/>
        <v>181.01296296296297</v>
      </c>
      <c r="Y17" s="97">
        <f t="shared" si="16"/>
        <v>175.58880233690363</v>
      </c>
      <c r="Z17" s="97">
        <f t="shared" si="8"/>
        <v>175.63592342342343</v>
      </c>
      <c r="AA17" s="27">
        <v>113859</v>
      </c>
      <c r="AB17" s="27">
        <v>103</v>
      </c>
      <c r="AC17" s="27">
        <f>115000+100000</f>
        <v>215000</v>
      </c>
      <c r="AD17" s="27">
        <f>15000+10000</f>
        <v>25000</v>
      </c>
      <c r="AE17" s="29">
        <f t="shared" si="9"/>
        <v>240000</v>
      </c>
      <c r="AF17" s="41">
        <v>1925</v>
      </c>
      <c r="AG17" s="4" t="s">
        <v>567</v>
      </c>
      <c r="AH17" s="151" t="str">
        <f t="shared" si="11"/>
        <v>https://ia800604.us.archive.org/18/items/GADeptofEd1925/GA.pdf#page=9</v>
      </c>
      <c r="AI17" s="152" t="str">
        <f t="shared" si="11"/>
        <v>https://ia800604.us.archive.org/18/items/GADeptofEd1925/GA.pdf#page=32</v>
      </c>
      <c r="AJ17" s="151" t="str">
        <f t="shared" si="11"/>
        <v>https://ia800604.us.archive.org/18/items/GADeptofEd1925/GA.pdf#page=9</v>
      </c>
      <c r="AK17" s="152" t="str">
        <f t="shared" si="11"/>
        <v>https://ia800604.us.archive.org/18/items/GADeptofEd1925/GA.pdf#page=32</v>
      </c>
      <c r="AL17" s="151" t="str">
        <f t="shared" si="11"/>
        <v>https://ia800604.us.archive.org/18/items/GADeptofEd1925/GA.pdf#page=13</v>
      </c>
      <c r="AM17" s="152" t="str">
        <f t="shared" si="11"/>
        <v>https://ia800604.us.archive.org/18/items/GADeptofEd1925/GA.pdf#page=36</v>
      </c>
      <c r="AN17" s="151" t="str">
        <f t="shared" si="12"/>
        <v>https://ia800604.us.archive.org/18/items/GADeptofEd1925/GA.pdf#page=13</v>
      </c>
      <c r="AO17" s="152" t="str">
        <f t="shared" si="14"/>
        <v>https://ia800604.us.archive.org/18/items/GADeptofEd1925/GA.pdf#page=32</v>
      </c>
      <c r="AP17" s="151" t="str">
        <f t="shared" si="14"/>
        <v>https://ia800604.us.archive.org/18/items/GADeptofEd1925/GA.pdf#page=26</v>
      </c>
      <c r="AQ17" s="152" t="str">
        <f t="shared" si="14"/>
        <v>https://ia800604.us.archive.org/18/items/GADeptofEd1925/GA.pdf#page=44</v>
      </c>
      <c r="AR17" s="151" t="str">
        <f t="shared" si="14"/>
        <v>https://ia800604.us.archive.org/18/items/GADeptofEd1925/GA.pdf#page=21</v>
      </c>
      <c r="AS17" s="152" t="str">
        <f t="shared" si="13"/>
        <v>https://ia800604.us.archive.org/18/items/GADeptofEd1925/GA.pdf#page=44</v>
      </c>
      <c r="AT17" s="151" t="str">
        <f t="shared" si="15"/>
        <v>https://ia800604.us.archive.org/18/items/GADeptofEd1925/GA.pdf#page=26</v>
      </c>
      <c r="AU17" s="152" t="str">
        <f t="shared" si="15"/>
        <v>https://ia800604.us.archive.org/18/items/GADeptofEd1925/GA.pdf#page=32</v>
      </c>
      <c r="AV17" s="151" t="str">
        <f t="shared" si="15"/>
        <v>https://ia800604.us.archive.org/18/items/GADeptofEd1925/GA.pdf#page=26</v>
      </c>
      <c r="AW17" s="152" t="str">
        <f t="shared" si="15"/>
        <v>https://ia800604.us.archive.org/18/items/GADeptofEd1925/GA.pdf#page=49</v>
      </c>
    </row>
    <row r="18" spans="1:49" x14ac:dyDescent="0.25">
      <c r="A18" s="27" t="s">
        <v>738</v>
      </c>
      <c r="B18" s="27" t="str">
        <f t="shared" si="0"/>
        <v>Georgia</v>
      </c>
      <c r="C18" s="27" t="str">
        <f t="shared" si="1"/>
        <v>Burke</v>
      </c>
      <c r="D18" s="27">
        <v>1118</v>
      </c>
      <c r="E18" s="27">
        <v>3000</v>
      </c>
      <c r="F18" s="27">
        <f t="shared" si="2"/>
        <v>4118</v>
      </c>
      <c r="G18" s="27">
        <v>3</v>
      </c>
      <c r="H18" s="27">
        <v>45</v>
      </c>
      <c r="I18" s="27">
        <v>10</v>
      </c>
      <c r="J18" s="27">
        <v>4</v>
      </c>
      <c r="K18" s="13">
        <f>113+4</f>
        <v>117</v>
      </c>
      <c r="L18" s="27">
        <f t="shared" si="3"/>
        <v>179</v>
      </c>
      <c r="M18" s="27">
        <v>180</v>
      </c>
      <c r="N18" s="27">
        <v>120</v>
      </c>
      <c r="O18" s="29">
        <f t="shared" si="4"/>
        <v>136.28946090335114</v>
      </c>
      <c r="P18" s="27">
        <v>7136</v>
      </c>
      <c r="Q18" s="7">
        <f t="shared" si="5"/>
        <v>50607.090000000004</v>
      </c>
      <c r="R18" s="27">
        <v>22749.75</v>
      </c>
      <c r="S18" s="27">
        <v>86.67</v>
      </c>
      <c r="T18" s="27">
        <v>75.400000000000006</v>
      </c>
      <c r="U18" s="27">
        <v>157</v>
      </c>
      <c r="V18" s="27">
        <v>100</v>
      </c>
      <c r="W18" s="89">
        <f t="shared" si="6"/>
        <v>90.693709677419349</v>
      </c>
      <c r="X18" s="89">
        <f t="shared" si="7"/>
        <v>32.407051282051277</v>
      </c>
      <c r="Y18" s="97">
        <f t="shared" si="16"/>
        <v>58.219714285714275</v>
      </c>
      <c r="Z18" s="97">
        <f t="shared" si="8"/>
        <v>52.595726256983234</v>
      </c>
      <c r="AA18" s="27">
        <v>104866</v>
      </c>
      <c r="AB18" s="27">
        <v>91</v>
      </c>
      <c r="AC18" s="27">
        <v>172500</v>
      </c>
      <c r="AD18" s="27">
        <v>32000</v>
      </c>
      <c r="AE18" s="29">
        <f t="shared" si="9"/>
        <v>204500</v>
      </c>
      <c r="AF18" s="41">
        <v>1925</v>
      </c>
      <c r="AG18" s="4" t="s">
        <v>567</v>
      </c>
      <c r="AH18" s="151" t="str">
        <f t="shared" si="11"/>
        <v>https://ia800604.us.archive.org/18/items/GADeptofEd1925/GA.pdf#page=9</v>
      </c>
      <c r="AI18" s="152" t="str">
        <f t="shared" si="11"/>
        <v>https://ia800604.us.archive.org/18/items/GADeptofEd1925/GA.pdf#page=32</v>
      </c>
      <c r="AJ18" s="151" t="str">
        <f t="shared" si="11"/>
        <v>https://ia800604.us.archive.org/18/items/GADeptofEd1925/GA.pdf#page=9</v>
      </c>
      <c r="AK18" s="152" t="str">
        <f t="shared" si="11"/>
        <v>https://ia800604.us.archive.org/18/items/GADeptofEd1925/GA.pdf#page=32</v>
      </c>
      <c r="AL18" s="151" t="str">
        <f t="shared" si="11"/>
        <v>https://ia800604.us.archive.org/18/items/GADeptofEd1925/GA.pdf#page=13</v>
      </c>
      <c r="AM18" s="152" t="str">
        <f t="shared" si="11"/>
        <v>https://ia800604.us.archive.org/18/items/GADeptofEd1925/GA.pdf#page=36</v>
      </c>
      <c r="AN18" s="151" t="str">
        <f t="shared" si="12"/>
        <v>https://ia800604.us.archive.org/18/items/GADeptofEd1925/GA.pdf#page=13</v>
      </c>
      <c r="AO18" s="152" t="str">
        <f t="shared" si="14"/>
        <v>https://ia800604.us.archive.org/18/items/GADeptofEd1925/GA.pdf#page=32</v>
      </c>
      <c r="AP18" s="151" t="str">
        <f t="shared" si="14"/>
        <v>https://ia800604.us.archive.org/18/items/GADeptofEd1925/GA.pdf#page=26</v>
      </c>
      <c r="AQ18" s="152" t="str">
        <f t="shared" si="14"/>
        <v>https://ia800604.us.archive.org/18/items/GADeptofEd1925/GA.pdf#page=44</v>
      </c>
      <c r="AR18" s="151" t="str">
        <f t="shared" si="14"/>
        <v>https://ia800604.us.archive.org/18/items/GADeptofEd1925/GA.pdf#page=21</v>
      </c>
      <c r="AS18" s="152" t="str">
        <f t="shared" si="13"/>
        <v>https://ia800604.us.archive.org/18/items/GADeptofEd1925/GA.pdf#page=44</v>
      </c>
      <c r="AT18" s="151" t="str">
        <f t="shared" si="15"/>
        <v>https://ia800604.us.archive.org/18/items/GADeptofEd1925/GA.pdf#page=26</v>
      </c>
      <c r="AU18" s="152" t="str">
        <f t="shared" si="15"/>
        <v>https://ia800604.us.archive.org/18/items/GADeptofEd1925/GA.pdf#page=32</v>
      </c>
      <c r="AV18" s="151" t="str">
        <f t="shared" si="15"/>
        <v>https://ia800604.us.archive.org/18/items/GADeptofEd1925/GA.pdf#page=26</v>
      </c>
      <c r="AW18" s="152" t="str">
        <f t="shared" si="15"/>
        <v>https://ia800604.us.archive.org/18/items/GADeptofEd1925/GA.pdf#page=49</v>
      </c>
    </row>
    <row r="19" spans="1:49" x14ac:dyDescent="0.25">
      <c r="A19" s="27" t="s">
        <v>739</v>
      </c>
      <c r="B19" s="27" t="str">
        <f t="shared" si="0"/>
        <v>Georgia</v>
      </c>
      <c r="C19" s="27" t="str">
        <f t="shared" si="1"/>
        <v>Butts</v>
      </c>
      <c r="D19" s="27">
        <f>950+287</f>
        <v>1237</v>
      </c>
      <c r="E19" s="27">
        <f>721+111</f>
        <v>832</v>
      </c>
      <c r="F19" s="27">
        <f t="shared" si="2"/>
        <v>2069</v>
      </c>
      <c r="G19" s="27">
        <v>0</v>
      </c>
      <c r="H19" s="27">
        <f>26+7</f>
        <v>33</v>
      </c>
      <c r="I19" s="27">
        <f>5+2</f>
        <v>7</v>
      </c>
      <c r="J19" s="27">
        <f>3+3</f>
        <v>6</v>
      </c>
      <c r="K19" s="27">
        <f>19+2+1</f>
        <v>22</v>
      </c>
      <c r="L19" s="27">
        <f t="shared" si="3"/>
        <v>68</v>
      </c>
      <c r="M19" s="27">
        <v>140</v>
      </c>
      <c r="N19" s="27">
        <v>140</v>
      </c>
      <c r="O19" s="29">
        <f t="shared" si="4"/>
        <v>140</v>
      </c>
      <c r="P19" s="27">
        <v>2584</v>
      </c>
      <c r="Q19" s="7">
        <f t="shared" si="5"/>
        <v>55846.28</v>
      </c>
      <c r="R19" s="27">
        <f>2959.45+1215</f>
        <v>4174.45</v>
      </c>
      <c r="S19" s="27"/>
      <c r="T19" s="27">
        <f>62.5+85</f>
        <v>147.5</v>
      </c>
      <c r="U19" s="27">
        <f>110+197.22</f>
        <v>307.22000000000003</v>
      </c>
      <c r="V19" s="27">
        <f>60+100</f>
        <v>160</v>
      </c>
      <c r="W19" s="89">
        <f t="shared" si="6"/>
        <v>173.43565217391304</v>
      </c>
      <c r="X19" s="89">
        <f t="shared" si="7"/>
        <v>27.106818181818181</v>
      </c>
      <c r="Y19" s="97">
        <f t="shared" si="16"/>
        <v>126.09397058823528</v>
      </c>
      <c r="Z19" s="97">
        <f t="shared" si="8"/>
        <v>126.09397058823528</v>
      </c>
      <c r="AA19" s="27">
        <v>59899</v>
      </c>
      <c r="AB19" s="27">
        <v>30</v>
      </c>
      <c r="AC19" s="27">
        <f>35000+40000</f>
        <v>75000</v>
      </c>
      <c r="AD19" s="27">
        <f>3300</f>
        <v>3300</v>
      </c>
      <c r="AE19" s="29">
        <f t="shared" si="9"/>
        <v>78300</v>
      </c>
      <c r="AF19" s="41">
        <v>1925</v>
      </c>
      <c r="AG19" s="4" t="s">
        <v>567</v>
      </c>
      <c r="AH19" s="151" t="str">
        <f t="shared" ref="AH19:AM34" si="17">AH18</f>
        <v>https://ia800604.us.archive.org/18/items/GADeptofEd1925/GA.pdf#page=9</v>
      </c>
      <c r="AI19" s="152" t="str">
        <f t="shared" si="17"/>
        <v>https://ia800604.us.archive.org/18/items/GADeptofEd1925/GA.pdf#page=32</v>
      </c>
      <c r="AJ19" s="151" t="str">
        <f t="shared" si="17"/>
        <v>https://ia800604.us.archive.org/18/items/GADeptofEd1925/GA.pdf#page=9</v>
      </c>
      <c r="AK19" s="152" t="str">
        <f t="shared" si="17"/>
        <v>https://ia800604.us.archive.org/18/items/GADeptofEd1925/GA.pdf#page=32</v>
      </c>
      <c r="AL19" s="151" t="str">
        <f t="shared" si="17"/>
        <v>https://ia800604.us.archive.org/18/items/GADeptofEd1925/GA.pdf#page=13</v>
      </c>
      <c r="AM19" s="152" t="str">
        <f t="shared" si="17"/>
        <v>https://ia800604.us.archive.org/18/items/GADeptofEd1925/GA.pdf#page=36</v>
      </c>
      <c r="AN19" s="151" t="str">
        <f t="shared" si="12"/>
        <v>https://ia800604.us.archive.org/18/items/GADeptofEd1925/GA.pdf#page=13</v>
      </c>
      <c r="AO19" s="152" t="str">
        <f t="shared" si="14"/>
        <v>https://ia800604.us.archive.org/18/items/GADeptofEd1925/GA.pdf#page=32</v>
      </c>
      <c r="AP19" s="151" t="str">
        <f t="shared" si="14"/>
        <v>https://ia800604.us.archive.org/18/items/GADeptofEd1925/GA.pdf#page=26</v>
      </c>
      <c r="AQ19" s="152" t="str">
        <f t="shared" si="14"/>
        <v>https://ia800604.us.archive.org/18/items/GADeptofEd1925/GA.pdf#page=44</v>
      </c>
      <c r="AR19" s="151" t="str">
        <f t="shared" si="14"/>
        <v>https://ia800604.us.archive.org/18/items/GADeptofEd1925/GA.pdf#page=21</v>
      </c>
      <c r="AS19" s="152" t="str">
        <f t="shared" si="13"/>
        <v>https://ia800604.us.archive.org/18/items/GADeptofEd1925/GA.pdf#page=44</v>
      </c>
      <c r="AT19" s="151" t="str">
        <f t="shared" si="15"/>
        <v>https://ia800604.us.archive.org/18/items/GADeptofEd1925/GA.pdf#page=26</v>
      </c>
      <c r="AU19" s="152" t="str">
        <f t="shared" si="15"/>
        <v>https://ia800604.us.archive.org/18/items/GADeptofEd1925/GA.pdf#page=32</v>
      </c>
      <c r="AV19" s="151" t="str">
        <f t="shared" si="15"/>
        <v>https://ia800604.us.archive.org/18/items/GADeptofEd1925/GA.pdf#page=26</v>
      </c>
      <c r="AW19" s="152" t="str">
        <f t="shared" si="15"/>
        <v>https://ia800604.us.archive.org/18/items/GADeptofEd1925/GA.pdf#page=49</v>
      </c>
    </row>
    <row r="20" spans="1:49" x14ac:dyDescent="0.25">
      <c r="A20" s="27" t="s">
        <v>740</v>
      </c>
      <c r="B20" s="27" t="str">
        <f t="shared" si="0"/>
        <v>Georgia</v>
      </c>
      <c r="C20" s="27" t="str">
        <f t="shared" si="1"/>
        <v>Calhoun</v>
      </c>
      <c r="D20" s="27">
        <v>668</v>
      </c>
      <c r="E20" s="27">
        <f>983</f>
        <v>983</v>
      </c>
      <c r="F20" s="27">
        <f t="shared" si="2"/>
        <v>1651</v>
      </c>
      <c r="G20" s="27">
        <v>0</v>
      </c>
      <c r="H20" s="27">
        <v>25</v>
      </c>
      <c r="I20" s="27">
        <v>5</v>
      </c>
      <c r="J20" s="27">
        <v>7</v>
      </c>
      <c r="K20" s="13">
        <f>29+2</f>
        <v>31</v>
      </c>
      <c r="L20" s="27">
        <f t="shared" si="3"/>
        <v>68</v>
      </c>
      <c r="M20" s="27">
        <v>120</v>
      </c>
      <c r="N20" s="27">
        <v>120</v>
      </c>
      <c r="O20" s="29">
        <f t="shared" si="4"/>
        <v>120</v>
      </c>
      <c r="P20" s="27">
        <v>2346</v>
      </c>
      <c r="Q20" s="7">
        <f t="shared" si="5"/>
        <v>20685</v>
      </c>
      <c r="R20" s="27">
        <v>4855</v>
      </c>
      <c r="S20" s="27"/>
      <c r="T20" s="27">
        <v>70.77</v>
      </c>
      <c r="U20" s="27">
        <v>185.15</v>
      </c>
      <c r="V20" s="27">
        <v>107.5</v>
      </c>
      <c r="W20" s="89">
        <f t="shared" si="6"/>
        <v>93.175675675675677</v>
      </c>
      <c r="X20" s="89">
        <f t="shared" si="7"/>
        <v>26.102150537634412</v>
      </c>
      <c r="Y20" s="97">
        <f t="shared" si="16"/>
        <v>62.598039215686271</v>
      </c>
      <c r="Z20" s="97">
        <f t="shared" si="8"/>
        <v>62.598039215686278</v>
      </c>
      <c r="AA20" s="27">
        <v>75729</v>
      </c>
      <c r="AB20" s="27">
        <v>35</v>
      </c>
      <c r="AC20" s="27">
        <f>88200</f>
        <v>88200</v>
      </c>
      <c r="AD20" s="27">
        <v>6000</v>
      </c>
      <c r="AE20" s="29">
        <f t="shared" si="9"/>
        <v>94200</v>
      </c>
      <c r="AF20" s="41">
        <v>1925</v>
      </c>
      <c r="AG20" s="4" t="s">
        <v>567</v>
      </c>
      <c r="AH20" s="151" t="str">
        <f t="shared" si="17"/>
        <v>https://ia800604.us.archive.org/18/items/GADeptofEd1925/GA.pdf#page=9</v>
      </c>
      <c r="AI20" s="152" t="str">
        <f t="shared" si="17"/>
        <v>https://ia800604.us.archive.org/18/items/GADeptofEd1925/GA.pdf#page=32</v>
      </c>
      <c r="AJ20" s="151" t="str">
        <f t="shared" si="17"/>
        <v>https://ia800604.us.archive.org/18/items/GADeptofEd1925/GA.pdf#page=9</v>
      </c>
      <c r="AK20" s="152" t="str">
        <f t="shared" si="17"/>
        <v>https://ia800604.us.archive.org/18/items/GADeptofEd1925/GA.pdf#page=32</v>
      </c>
      <c r="AL20" s="151" t="str">
        <f t="shared" si="17"/>
        <v>https://ia800604.us.archive.org/18/items/GADeptofEd1925/GA.pdf#page=13</v>
      </c>
      <c r="AM20" s="152" t="str">
        <f t="shared" si="17"/>
        <v>https://ia800604.us.archive.org/18/items/GADeptofEd1925/GA.pdf#page=36</v>
      </c>
      <c r="AN20" s="151" t="str">
        <f t="shared" si="12"/>
        <v>https://ia800604.us.archive.org/18/items/GADeptofEd1925/GA.pdf#page=13</v>
      </c>
      <c r="AO20" s="152" t="str">
        <f t="shared" ref="AO20:AR35" si="18">AO19</f>
        <v>https://ia800604.us.archive.org/18/items/GADeptofEd1925/GA.pdf#page=32</v>
      </c>
      <c r="AP20" s="151" t="str">
        <f t="shared" si="18"/>
        <v>https://ia800604.us.archive.org/18/items/GADeptofEd1925/GA.pdf#page=26</v>
      </c>
      <c r="AQ20" s="152" t="str">
        <f t="shared" si="18"/>
        <v>https://ia800604.us.archive.org/18/items/GADeptofEd1925/GA.pdf#page=44</v>
      </c>
      <c r="AR20" s="151" t="str">
        <f t="shared" si="18"/>
        <v>https://ia800604.us.archive.org/18/items/GADeptofEd1925/GA.pdf#page=21</v>
      </c>
      <c r="AS20" s="152" t="str">
        <f t="shared" si="13"/>
        <v>https://ia800604.us.archive.org/18/items/GADeptofEd1925/GA.pdf#page=44</v>
      </c>
      <c r="AT20" s="151" t="str">
        <f t="shared" ref="AT20:AW35" si="19">AT19</f>
        <v>https://ia800604.us.archive.org/18/items/GADeptofEd1925/GA.pdf#page=26</v>
      </c>
      <c r="AU20" s="152" t="str">
        <f t="shared" si="19"/>
        <v>https://ia800604.us.archive.org/18/items/GADeptofEd1925/GA.pdf#page=32</v>
      </c>
      <c r="AV20" s="151" t="str">
        <f t="shared" si="19"/>
        <v>https://ia800604.us.archive.org/18/items/GADeptofEd1925/GA.pdf#page=26</v>
      </c>
      <c r="AW20" s="152" t="str">
        <f t="shared" si="19"/>
        <v>https://ia800604.us.archive.org/18/items/GADeptofEd1925/GA.pdf#page=49</v>
      </c>
    </row>
    <row r="21" spans="1:49" x14ac:dyDescent="0.25">
      <c r="A21" s="27" t="s">
        <v>741</v>
      </c>
      <c r="B21" s="27" t="str">
        <f t="shared" si="0"/>
        <v>Georgia</v>
      </c>
      <c r="C21" s="27" t="str">
        <f t="shared" si="1"/>
        <v>Camden</v>
      </c>
      <c r="D21" s="27">
        <f>422+73</f>
        <v>495</v>
      </c>
      <c r="E21" s="27">
        <f>603+85</f>
        <v>688</v>
      </c>
      <c r="F21" s="27">
        <f t="shared" si="2"/>
        <v>1183</v>
      </c>
      <c r="G21" s="27">
        <v>0</v>
      </c>
      <c r="H21" s="27">
        <f>13+3</f>
        <v>16</v>
      </c>
      <c r="I21" s="27">
        <f>2+1</f>
        <v>3</v>
      </c>
      <c r="J21" s="27">
        <f>4+1</f>
        <v>5</v>
      </c>
      <c r="K21" s="13">
        <f>6+1</f>
        <v>7</v>
      </c>
      <c r="L21" s="27">
        <f t="shared" si="3"/>
        <v>31</v>
      </c>
      <c r="M21" s="27">
        <v>130</v>
      </c>
      <c r="N21" s="27">
        <v>120</v>
      </c>
      <c r="O21" s="29">
        <f t="shared" si="4"/>
        <v>124.18427726120034</v>
      </c>
      <c r="P21" s="27">
        <v>1512</v>
      </c>
      <c r="Q21" s="7">
        <f t="shared" si="5"/>
        <v>23289.5</v>
      </c>
      <c r="R21" s="27">
        <f>4332.45+1296.25</f>
        <v>5628.7</v>
      </c>
      <c r="S21" s="27">
        <v>80</v>
      </c>
      <c r="T21" s="27">
        <f>68+65</f>
        <v>133</v>
      </c>
      <c r="U21" s="27">
        <f>110+125</f>
        <v>235</v>
      </c>
      <c r="V21" s="27">
        <f>75+75</f>
        <v>150</v>
      </c>
      <c r="W21" s="89">
        <f t="shared" si="6"/>
        <v>149.29166666666669</v>
      </c>
      <c r="X21" s="89">
        <f t="shared" si="7"/>
        <v>134.01666666666668</v>
      </c>
      <c r="Y21" s="97">
        <f t="shared" si="16"/>
        <v>146.05151515151516</v>
      </c>
      <c r="Z21" s="97">
        <f t="shared" si="8"/>
        <v>145.84247311827957</v>
      </c>
      <c r="AA21" s="27">
        <v>26044</v>
      </c>
      <c r="AB21" s="27">
        <v>29</v>
      </c>
      <c r="AC21" s="27">
        <f>20000+27000</f>
        <v>47000</v>
      </c>
      <c r="AD21" s="27">
        <f>5000</f>
        <v>5000</v>
      </c>
      <c r="AE21" s="29">
        <f t="shared" si="9"/>
        <v>52000</v>
      </c>
      <c r="AF21" s="41">
        <v>1925</v>
      </c>
      <c r="AG21" s="4" t="s">
        <v>567</v>
      </c>
      <c r="AH21" s="151" t="str">
        <f t="shared" si="17"/>
        <v>https://ia800604.us.archive.org/18/items/GADeptofEd1925/GA.pdf#page=9</v>
      </c>
      <c r="AI21" s="152" t="str">
        <f t="shared" si="17"/>
        <v>https://ia800604.us.archive.org/18/items/GADeptofEd1925/GA.pdf#page=32</v>
      </c>
      <c r="AJ21" s="151" t="str">
        <f t="shared" si="17"/>
        <v>https://ia800604.us.archive.org/18/items/GADeptofEd1925/GA.pdf#page=9</v>
      </c>
      <c r="AK21" s="152" t="str">
        <f t="shared" si="17"/>
        <v>https://ia800604.us.archive.org/18/items/GADeptofEd1925/GA.pdf#page=32</v>
      </c>
      <c r="AL21" s="151" t="str">
        <f t="shared" si="17"/>
        <v>https://ia800604.us.archive.org/18/items/GADeptofEd1925/GA.pdf#page=13</v>
      </c>
      <c r="AM21" s="152" t="str">
        <f t="shared" si="17"/>
        <v>https://ia800604.us.archive.org/18/items/GADeptofEd1925/GA.pdf#page=36</v>
      </c>
      <c r="AN21" s="151" t="str">
        <f t="shared" si="12"/>
        <v>https://ia800604.us.archive.org/18/items/GADeptofEd1925/GA.pdf#page=13</v>
      </c>
      <c r="AO21" s="152" t="str">
        <f t="shared" si="18"/>
        <v>https://ia800604.us.archive.org/18/items/GADeptofEd1925/GA.pdf#page=32</v>
      </c>
      <c r="AP21" s="151" t="str">
        <f t="shared" si="18"/>
        <v>https://ia800604.us.archive.org/18/items/GADeptofEd1925/GA.pdf#page=26</v>
      </c>
      <c r="AQ21" s="152" t="str">
        <f t="shared" si="18"/>
        <v>https://ia800604.us.archive.org/18/items/GADeptofEd1925/GA.pdf#page=44</v>
      </c>
      <c r="AR21" s="151" t="str">
        <f t="shared" si="18"/>
        <v>https://ia800604.us.archive.org/18/items/GADeptofEd1925/GA.pdf#page=21</v>
      </c>
      <c r="AS21" s="152" t="str">
        <f t="shared" si="13"/>
        <v>https://ia800604.us.archive.org/18/items/GADeptofEd1925/GA.pdf#page=44</v>
      </c>
      <c r="AT21" s="151" t="str">
        <f t="shared" si="19"/>
        <v>https://ia800604.us.archive.org/18/items/GADeptofEd1925/GA.pdf#page=26</v>
      </c>
      <c r="AU21" s="152" t="str">
        <f t="shared" si="19"/>
        <v>https://ia800604.us.archive.org/18/items/GADeptofEd1925/GA.pdf#page=32</v>
      </c>
      <c r="AV21" s="151" t="str">
        <f t="shared" si="19"/>
        <v>https://ia800604.us.archive.org/18/items/GADeptofEd1925/GA.pdf#page=26</v>
      </c>
      <c r="AW21" s="152" t="str">
        <f t="shared" si="19"/>
        <v>https://ia800604.us.archive.org/18/items/GADeptofEd1925/GA.pdf#page=49</v>
      </c>
    </row>
    <row r="22" spans="1:49" x14ac:dyDescent="0.25">
      <c r="A22" s="27" t="s">
        <v>742</v>
      </c>
      <c r="B22" s="27" t="str">
        <f t="shared" si="0"/>
        <v>Georgia</v>
      </c>
      <c r="C22" s="27" t="str">
        <f t="shared" si="1"/>
        <v>Campbell</v>
      </c>
      <c r="D22" s="27">
        <f>2111+322+208</f>
        <v>2641</v>
      </c>
      <c r="E22" s="27">
        <f>985+93+90</f>
        <v>1168</v>
      </c>
      <c r="F22" s="27">
        <f t="shared" si="2"/>
        <v>3809</v>
      </c>
      <c r="G22" s="27">
        <v>4</v>
      </c>
      <c r="H22" s="27">
        <f>36+6+5</f>
        <v>47</v>
      </c>
      <c r="I22" s="27">
        <f>2+1+1</f>
        <v>4</v>
      </c>
      <c r="J22" s="27">
        <f>4+3+2</f>
        <v>9</v>
      </c>
      <c r="K22" s="13">
        <f>17+3+2+1+1</f>
        <v>24</v>
      </c>
      <c r="L22" s="27">
        <f t="shared" si="3"/>
        <v>88</v>
      </c>
      <c r="M22" s="27">
        <v>120</v>
      </c>
      <c r="N22" s="27">
        <v>120</v>
      </c>
      <c r="O22" s="29">
        <f t="shared" si="4"/>
        <v>120</v>
      </c>
      <c r="P22" s="27">
        <v>4423</v>
      </c>
      <c r="Q22" s="7">
        <f t="shared" si="5"/>
        <v>79002.959999999992</v>
      </c>
      <c r="R22" s="27">
        <f>2009.85+1100+585</f>
        <v>3694.85</v>
      </c>
      <c r="S22" s="27">
        <v>91</v>
      </c>
      <c r="T22" s="27">
        <f>62+69.16+52</f>
        <v>183.16</v>
      </c>
      <c r="U22" s="27">
        <f>187+200+166.66</f>
        <v>553.66</v>
      </c>
      <c r="V22" s="27">
        <f>75+75+70</f>
        <v>220</v>
      </c>
      <c r="W22" s="89">
        <f t="shared" si="6"/>
        <v>205.73687499999997</v>
      </c>
      <c r="X22" s="89">
        <f t="shared" si="7"/>
        <v>25.658680555555552</v>
      </c>
      <c r="Y22" s="97">
        <f t="shared" si="16"/>
        <v>156.62464015151514</v>
      </c>
      <c r="Z22" s="97">
        <f t="shared" si="8"/>
        <v>156.62464015151511</v>
      </c>
      <c r="AA22" s="27">
        <v>45137</v>
      </c>
      <c r="AB22" s="27">
        <v>42</v>
      </c>
      <c r="AC22" s="27">
        <f>22000+10000+30000</f>
        <v>62000</v>
      </c>
      <c r="AD22" s="27">
        <f>9500+6000+2750</f>
        <v>18250</v>
      </c>
      <c r="AE22" s="29">
        <f t="shared" si="9"/>
        <v>80250</v>
      </c>
      <c r="AF22" s="41">
        <v>1925</v>
      </c>
      <c r="AG22" s="4" t="s">
        <v>567</v>
      </c>
      <c r="AH22" s="151" t="str">
        <f t="shared" si="17"/>
        <v>https://ia800604.us.archive.org/18/items/GADeptofEd1925/GA.pdf#page=9</v>
      </c>
      <c r="AI22" s="152" t="str">
        <f t="shared" si="17"/>
        <v>https://ia800604.us.archive.org/18/items/GADeptofEd1925/GA.pdf#page=32</v>
      </c>
      <c r="AJ22" s="151" t="str">
        <f t="shared" si="17"/>
        <v>https://ia800604.us.archive.org/18/items/GADeptofEd1925/GA.pdf#page=9</v>
      </c>
      <c r="AK22" s="152" t="str">
        <f t="shared" si="17"/>
        <v>https://ia800604.us.archive.org/18/items/GADeptofEd1925/GA.pdf#page=32</v>
      </c>
      <c r="AL22" s="151" t="str">
        <f t="shared" si="17"/>
        <v>https://ia800604.us.archive.org/18/items/GADeptofEd1925/GA.pdf#page=13</v>
      </c>
      <c r="AM22" s="152" t="str">
        <f t="shared" si="17"/>
        <v>https://ia800604.us.archive.org/18/items/GADeptofEd1925/GA.pdf#page=36</v>
      </c>
      <c r="AN22" s="151" t="str">
        <f t="shared" si="12"/>
        <v>https://ia800604.us.archive.org/18/items/GADeptofEd1925/GA.pdf#page=13</v>
      </c>
      <c r="AO22" s="152" t="str">
        <f t="shared" si="18"/>
        <v>https://ia800604.us.archive.org/18/items/GADeptofEd1925/GA.pdf#page=32</v>
      </c>
      <c r="AP22" s="151" t="str">
        <f t="shared" si="18"/>
        <v>https://ia800604.us.archive.org/18/items/GADeptofEd1925/GA.pdf#page=26</v>
      </c>
      <c r="AQ22" s="152" t="str">
        <f t="shared" si="18"/>
        <v>https://ia800604.us.archive.org/18/items/GADeptofEd1925/GA.pdf#page=44</v>
      </c>
      <c r="AR22" s="151" t="str">
        <f t="shared" si="18"/>
        <v>https://ia800604.us.archive.org/18/items/GADeptofEd1925/GA.pdf#page=21</v>
      </c>
      <c r="AS22" s="152" t="str">
        <f t="shared" si="13"/>
        <v>https://ia800604.us.archive.org/18/items/GADeptofEd1925/GA.pdf#page=44</v>
      </c>
      <c r="AT22" s="151" t="str">
        <f t="shared" si="19"/>
        <v>https://ia800604.us.archive.org/18/items/GADeptofEd1925/GA.pdf#page=26</v>
      </c>
      <c r="AU22" s="152" t="str">
        <f t="shared" si="19"/>
        <v>https://ia800604.us.archive.org/18/items/GADeptofEd1925/GA.pdf#page=32</v>
      </c>
      <c r="AV22" s="151" t="str">
        <f t="shared" si="19"/>
        <v>https://ia800604.us.archive.org/18/items/GADeptofEd1925/GA.pdf#page=26</v>
      </c>
      <c r="AW22" s="152" t="str">
        <f t="shared" si="19"/>
        <v>https://ia800604.us.archive.org/18/items/GADeptofEd1925/GA.pdf#page=49</v>
      </c>
    </row>
    <row r="23" spans="1:49" x14ac:dyDescent="0.25">
      <c r="A23" s="27" t="s">
        <v>743</v>
      </c>
      <c r="B23" s="27" t="str">
        <f t="shared" si="0"/>
        <v>Georgia</v>
      </c>
      <c r="C23" s="27" t="str">
        <f t="shared" si="1"/>
        <v>Candler</v>
      </c>
      <c r="D23" s="27">
        <v>1365</v>
      </c>
      <c r="E23" s="27">
        <v>583</v>
      </c>
      <c r="F23" s="27">
        <f t="shared" si="2"/>
        <v>1948</v>
      </c>
      <c r="G23" s="27">
        <v>3</v>
      </c>
      <c r="H23" s="27">
        <v>23</v>
      </c>
      <c r="I23" s="27">
        <v>9</v>
      </c>
      <c r="J23" s="27">
        <v>14</v>
      </c>
      <c r="K23" s="13">
        <f>17+2</f>
        <v>19</v>
      </c>
      <c r="L23" s="27">
        <f t="shared" si="3"/>
        <v>68</v>
      </c>
      <c r="M23" s="27">
        <v>133</v>
      </c>
      <c r="N23" s="27">
        <v>120</v>
      </c>
      <c r="O23" s="29">
        <f t="shared" si="4"/>
        <v>129.10934291581108</v>
      </c>
      <c r="P23" s="27">
        <v>3023</v>
      </c>
      <c r="Q23" s="7">
        <f t="shared" si="5"/>
        <v>27430.252500000002</v>
      </c>
      <c r="R23" s="27">
        <v>2964</v>
      </c>
      <c r="S23" s="27">
        <v>67.430000000000007</v>
      </c>
      <c r="T23" s="27">
        <v>59.52</v>
      </c>
      <c r="U23" s="27">
        <v>129.5</v>
      </c>
      <c r="V23" s="27">
        <v>99.15</v>
      </c>
      <c r="W23" s="89">
        <f t="shared" si="6"/>
        <v>84.180612244897972</v>
      </c>
      <c r="X23" s="89">
        <f t="shared" si="7"/>
        <v>26</v>
      </c>
      <c r="Y23" s="97">
        <f t="shared" si="16"/>
        <v>69.101403887688988</v>
      </c>
      <c r="Z23" s="97">
        <f t="shared" si="8"/>
        <v>67.924264705882365</v>
      </c>
      <c r="AA23" s="27">
        <v>46690</v>
      </c>
      <c r="AB23" s="27">
        <v>28</v>
      </c>
      <c r="AC23" s="27">
        <v>82300</v>
      </c>
      <c r="AD23" s="27">
        <v>8650</v>
      </c>
      <c r="AE23" s="29">
        <f t="shared" si="9"/>
        <v>90950</v>
      </c>
      <c r="AF23" s="41">
        <v>1925</v>
      </c>
      <c r="AG23" s="4" t="s">
        <v>567</v>
      </c>
      <c r="AH23" s="151" t="str">
        <f t="shared" si="17"/>
        <v>https://ia800604.us.archive.org/18/items/GADeptofEd1925/GA.pdf#page=9</v>
      </c>
      <c r="AI23" s="152" t="str">
        <f t="shared" si="17"/>
        <v>https://ia800604.us.archive.org/18/items/GADeptofEd1925/GA.pdf#page=32</v>
      </c>
      <c r="AJ23" s="151" t="str">
        <f t="shared" si="17"/>
        <v>https://ia800604.us.archive.org/18/items/GADeptofEd1925/GA.pdf#page=9</v>
      </c>
      <c r="AK23" s="152" t="str">
        <f t="shared" si="17"/>
        <v>https://ia800604.us.archive.org/18/items/GADeptofEd1925/GA.pdf#page=32</v>
      </c>
      <c r="AL23" s="151" t="str">
        <f t="shared" si="17"/>
        <v>https://ia800604.us.archive.org/18/items/GADeptofEd1925/GA.pdf#page=13</v>
      </c>
      <c r="AM23" s="152" t="str">
        <f t="shared" si="17"/>
        <v>https://ia800604.us.archive.org/18/items/GADeptofEd1925/GA.pdf#page=36</v>
      </c>
      <c r="AN23" s="151" t="str">
        <f t="shared" si="12"/>
        <v>https://ia800604.us.archive.org/18/items/GADeptofEd1925/GA.pdf#page=13</v>
      </c>
      <c r="AO23" s="152" t="str">
        <f t="shared" si="18"/>
        <v>https://ia800604.us.archive.org/18/items/GADeptofEd1925/GA.pdf#page=32</v>
      </c>
      <c r="AP23" s="151" t="str">
        <f t="shared" si="18"/>
        <v>https://ia800604.us.archive.org/18/items/GADeptofEd1925/GA.pdf#page=26</v>
      </c>
      <c r="AQ23" s="152" t="str">
        <f t="shared" si="18"/>
        <v>https://ia800604.us.archive.org/18/items/GADeptofEd1925/GA.pdf#page=44</v>
      </c>
      <c r="AR23" s="151" t="str">
        <f t="shared" si="18"/>
        <v>https://ia800604.us.archive.org/18/items/GADeptofEd1925/GA.pdf#page=21</v>
      </c>
      <c r="AS23" s="152" t="str">
        <f t="shared" si="13"/>
        <v>https://ia800604.us.archive.org/18/items/GADeptofEd1925/GA.pdf#page=44</v>
      </c>
      <c r="AT23" s="151" t="str">
        <f t="shared" si="19"/>
        <v>https://ia800604.us.archive.org/18/items/GADeptofEd1925/GA.pdf#page=26</v>
      </c>
      <c r="AU23" s="152" t="str">
        <f t="shared" si="19"/>
        <v>https://ia800604.us.archive.org/18/items/GADeptofEd1925/GA.pdf#page=32</v>
      </c>
      <c r="AV23" s="151" t="str">
        <f t="shared" si="19"/>
        <v>https://ia800604.us.archive.org/18/items/GADeptofEd1925/GA.pdf#page=26</v>
      </c>
      <c r="AW23" s="152" t="str">
        <f t="shared" si="19"/>
        <v>https://ia800604.us.archive.org/18/items/GADeptofEd1925/GA.pdf#page=49</v>
      </c>
    </row>
    <row r="24" spans="1:49" x14ac:dyDescent="0.25">
      <c r="A24" s="27" t="s">
        <v>744</v>
      </c>
      <c r="B24" s="27" t="str">
        <f t="shared" si="0"/>
        <v>Georgia</v>
      </c>
      <c r="C24" s="27" t="str">
        <f t="shared" si="1"/>
        <v>Carroll</v>
      </c>
      <c r="D24" s="27">
        <v>6277</v>
      </c>
      <c r="E24" s="27">
        <v>1453</v>
      </c>
      <c r="F24" s="27">
        <f t="shared" si="2"/>
        <v>7730</v>
      </c>
      <c r="G24" s="27">
        <v>43</v>
      </c>
      <c r="H24" s="27">
        <v>107</v>
      </c>
      <c r="I24" s="27">
        <v>16</v>
      </c>
      <c r="J24" s="27">
        <v>10</v>
      </c>
      <c r="K24" s="13">
        <f>40+1</f>
        <v>41</v>
      </c>
      <c r="L24" s="27">
        <f t="shared" si="3"/>
        <v>217</v>
      </c>
      <c r="M24" s="27">
        <v>160</v>
      </c>
      <c r="N24" s="27">
        <v>115</v>
      </c>
      <c r="O24" s="29">
        <f t="shared" si="4"/>
        <v>151.54139715394567</v>
      </c>
      <c r="P24" s="27">
        <v>10257</v>
      </c>
      <c r="Q24" s="7">
        <f t="shared" si="5"/>
        <v>109192</v>
      </c>
      <c r="R24" s="27">
        <v>5637</v>
      </c>
      <c r="S24" s="27">
        <v>85</v>
      </c>
      <c r="T24" s="27">
        <v>62</v>
      </c>
      <c r="U24" s="27">
        <v>160</v>
      </c>
      <c r="V24" s="27">
        <v>80</v>
      </c>
      <c r="W24" s="89">
        <f t="shared" si="6"/>
        <v>77.55113636363636</v>
      </c>
      <c r="X24" s="89">
        <f t="shared" si="7"/>
        <v>23.910922587486745</v>
      </c>
      <c r="Y24" s="97">
        <f t="shared" si="16"/>
        <v>69.857946768060842</v>
      </c>
      <c r="Z24" s="97">
        <f t="shared" si="8"/>
        <v>67.416349428972154</v>
      </c>
      <c r="AA24" s="27">
        <v>151957</v>
      </c>
      <c r="AB24" s="27">
        <v>107</v>
      </c>
      <c r="AC24" s="27">
        <v>463000</v>
      </c>
      <c r="AD24" s="27">
        <v>10000</v>
      </c>
      <c r="AE24" s="29">
        <f t="shared" si="9"/>
        <v>473000</v>
      </c>
      <c r="AF24" s="41">
        <v>1925</v>
      </c>
      <c r="AG24" s="4" t="s">
        <v>567</v>
      </c>
      <c r="AH24" s="151" t="str">
        <f t="shared" si="17"/>
        <v>https://ia800604.us.archive.org/18/items/GADeptofEd1925/GA.pdf#page=9</v>
      </c>
      <c r="AI24" s="152" t="str">
        <f t="shared" si="17"/>
        <v>https://ia800604.us.archive.org/18/items/GADeptofEd1925/GA.pdf#page=32</v>
      </c>
      <c r="AJ24" s="151" t="str">
        <f t="shared" si="17"/>
        <v>https://ia800604.us.archive.org/18/items/GADeptofEd1925/GA.pdf#page=9</v>
      </c>
      <c r="AK24" s="152" t="str">
        <f t="shared" si="17"/>
        <v>https://ia800604.us.archive.org/18/items/GADeptofEd1925/GA.pdf#page=32</v>
      </c>
      <c r="AL24" s="151" t="str">
        <f t="shared" si="17"/>
        <v>https://ia800604.us.archive.org/18/items/GADeptofEd1925/GA.pdf#page=13</v>
      </c>
      <c r="AM24" s="152" t="str">
        <f t="shared" si="17"/>
        <v>https://ia800604.us.archive.org/18/items/GADeptofEd1925/GA.pdf#page=36</v>
      </c>
      <c r="AN24" s="151" t="str">
        <f t="shared" si="12"/>
        <v>https://ia800604.us.archive.org/18/items/GADeptofEd1925/GA.pdf#page=13</v>
      </c>
      <c r="AO24" s="152" t="str">
        <f t="shared" si="18"/>
        <v>https://ia800604.us.archive.org/18/items/GADeptofEd1925/GA.pdf#page=32</v>
      </c>
      <c r="AP24" s="151" t="str">
        <f t="shared" si="18"/>
        <v>https://ia800604.us.archive.org/18/items/GADeptofEd1925/GA.pdf#page=26</v>
      </c>
      <c r="AQ24" s="152" t="str">
        <f t="shared" si="18"/>
        <v>https://ia800604.us.archive.org/18/items/GADeptofEd1925/GA.pdf#page=44</v>
      </c>
      <c r="AR24" s="151" t="str">
        <f t="shared" si="18"/>
        <v>https://ia800604.us.archive.org/18/items/GADeptofEd1925/GA.pdf#page=21</v>
      </c>
      <c r="AS24" s="152" t="str">
        <f t="shared" si="13"/>
        <v>https://ia800604.us.archive.org/18/items/GADeptofEd1925/GA.pdf#page=44</v>
      </c>
      <c r="AT24" s="151" t="str">
        <f t="shared" si="19"/>
        <v>https://ia800604.us.archive.org/18/items/GADeptofEd1925/GA.pdf#page=26</v>
      </c>
      <c r="AU24" s="152" t="str">
        <f t="shared" si="19"/>
        <v>https://ia800604.us.archive.org/18/items/GADeptofEd1925/GA.pdf#page=32</v>
      </c>
      <c r="AV24" s="151" t="str">
        <f t="shared" si="19"/>
        <v>https://ia800604.us.archive.org/18/items/GADeptofEd1925/GA.pdf#page=26</v>
      </c>
      <c r="AW24" s="152" t="str">
        <f t="shared" si="19"/>
        <v>https://ia800604.us.archive.org/18/items/GADeptofEd1925/GA.pdf#page=49</v>
      </c>
    </row>
    <row r="25" spans="1:49" x14ac:dyDescent="0.25">
      <c r="A25" s="27" t="s">
        <v>745</v>
      </c>
      <c r="B25" s="27" t="str">
        <f t="shared" si="0"/>
        <v>Georgia</v>
      </c>
      <c r="C25" s="27" t="str">
        <f t="shared" si="1"/>
        <v>Catoosa</v>
      </c>
      <c r="D25" s="27">
        <v>1419</v>
      </c>
      <c r="E25" s="27">
        <v>67</v>
      </c>
      <c r="F25" s="27">
        <f t="shared" si="2"/>
        <v>1486</v>
      </c>
      <c r="G25" s="27">
        <v>6</v>
      </c>
      <c r="H25" s="27">
        <v>32</v>
      </c>
      <c r="I25" s="27">
        <v>1</v>
      </c>
      <c r="J25" s="27">
        <v>1</v>
      </c>
      <c r="K25" s="27">
        <v>4</v>
      </c>
      <c r="L25" s="27">
        <f t="shared" si="3"/>
        <v>44</v>
      </c>
      <c r="M25" s="27">
        <v>120</v>
      </c>
      <c r="N25" s="27">
        <v>90</v>
      </c>
      <c r="O25" s="29">
        <f t="shared" si="4"/>
        <v>118.64737550471064</v>
      </c>
      <c r="P25" s="27">
        <v>1879</v>
      </c>
      <c r="Q25" s="7">
        <f t="shared" si="5"/>
        <v>14730</v>
      </c>
      <c r="R25" s="27">
        <v>640</v>
      </c>
      <c r="S25" s="27">
        <v>70</v>
      </c>
      <c r="T25" s="27">
        <v>55</v>
      </c>
      <c r="U25" s="27">
        <v>200</v>
      </c>
      <c r="V25" s="27">
        <v>75</v>
      </c>
      <c r="W25" s="89">
        <f t="shared" si="6"/>
        <v>61.375</v>
      </c>
      <c r="X25" s="89">
        <f t="shared" si="7"/>
        <v>35.555555555555557</v>
      </c>
      <c r="Y25" s="97">
        <f t="shared" si="16"/>
        <v>59.573643410852718</v>
      </c>
      <c r="Z25" s="97">
        <f t="shared" si="8"/>
        <v>59.027777777777779</v>
      </c>
      <c r="AA25" s="27">
        <v>25000</v>
      </c>
      <c r="AB25" s="27">
        <v>23</v>
      </c>
      <c r="AC25" s="27">
        <v>44500</v>
      </c>
      <c r="AD25" s="27">
        <v>300</v>
      </c>
      <c r="AE25" s="29">
        <f t="shared" si="9"/>
        <v>44800</v>
      </c>
      <c r="AF25" s="41">
        <v>1925</v>
      </c>
      <c r="AG25" s="4" t="s">
        <v>567</v>
      </c>
      <c r="AH25" s="151" t="str">
        <f t="shared" si="17"/>
        <v>https://ia800604.us.archive.org/18/items/GADeptofEd1925/GA.pdf#page=9</v>
      </c>
      <c r="AI25" s="152" t="str">
        <f t="shared" si="17"/>
        <v>https://ia800604.us.archive.org/18/items/GADeptofEd1925/GA.pdf#page=32</v>
      </c>
      <c r="AJ25" s="151" t="str">
        <f t="shared" si="17"/>
        <v>https://ia800604.us.archive.org/18/items/GADeptofEd1925/GA.pdf#page=9</v>
      </c>
      <c r="AK25" s="152" t="str">
        <f t="shared" si="17"/>
        <v>https://ia800604.us.archive.org/18/items/GADeptofEd1925/GA.pdf#page=32</v>
      </c>
      <c r="AL25" s="151" t="str">
        <f t="shared" si="17"/>
        <v>https://ia800604.us.archive.org/18/items/GADeptofEd1925/GA.pdf#page=13</v>
      </c>
      <c r="AM25" s="152" t="str">
        <f t="shared" si="17"/>
        <v>https://ia800604.us.archive.org/18/items/GADeptofEd1925/GA.pdf#page=36</v>
      </c>
      <c r="AN25" s="151" t="str">
        <f t="shared" si="12"/>
        <v>https://ia800604.us.archive.org/18/items/GADeptofEd1925/GA.pdf#page=13</v>
      </c>
      <c r="AO25" s="152" t="str">
        <f t="shared" si="18"/>
        <v>https://ia800604.us.archive.org/18/items/GADeptofEd1925/GA.pdf#page=32</v>
      </c>
      <c r="AP25" s="151" t="str">
        <f t="shared" si="18"/>
        <v>https://ia800604.us.archive.org/18/items/GADeptofEd1925/GA.pdf#page=26</v>
      </c>
      <c r="AQ25" s="152" t="str">
        <f t="shared" si="18"/>
        <v>https://ia800604.us.archive.org/18/items/GADeptofEd1925/GA.pdf#page=44</v>
      </c>
      <c r="AR25" s="151" t="str">
        <f t="shared" si="18"/>
        <v>https://ia800604.us.archive.org/18/items/GADeptofEd1925/GA.pdf#page=21</v>
      </c>
      <c r="AS25" s="152" t="str">
        <f t="shared" si="13"/>
        <v>https://ia800604.us.archive.org/18/items/GADeptofEd1925/GA.pdf#page=44</v>
      </c>
      <c r="AT25" s="151" t="str">
        <f t="shared" si="19"/>
        <v>https://ia800604.us.archive.org/18/items/GADeptofEd1925/GA.pdf#page=26</v>
      </c>
      <c r="AU25" s="152" t="str">
        <f t="shared" si="19"/>
        <v>https://ia800604.us.archive.org/18/items/GADeptofEd1925/GA.pdf#page=32</v>
      </c>
      <c r="AV25" s="151" t="str">
        <f t="shared" si="19"/>
        <v>https://ia800604.us.archive.org/18/items/GADeptofEd1925/GA.pdf#page=26</v>
      </c>
      <c r="AW25" s="152" t="str">
        <f t="shared" si="19"/>
        <v>https://ia800604.us.archive.org/18/items/GADeptofEd1925/GA.pdf#page=49</v>
      </c>
    </row>
    <row r="26" spans="1:49" x14ac:dyDescent="0.25">
      <c r="A26" s="27" t="s">
        <v>746</v>
      </c>
      <c r="B26" s="27" t="str">
        <f t="shared" si="0"/>
        <v>Georgia</v>
      </c>
      <c r="C26" s="27" t="str">
        <f t="shared" si="1"/>
        <v>Charlton</v>
      </c>
      <c r="D26" s="27">
        <v>1000</v>
      </c>
      <c r="E26" s="27">
        <v>260</v>
      </c>
      <c r="F26" s="27">
        <f t="shared" si="2"/>
        <v>1260</v>
      </c>
      <c r="G26" s="27">
        <v>4</v>
      </c>
      <c r="H26" s="27">
        <v>24</v>
      </c>
      <c r="I26" s="27">
        <v>3</v>
      </c>
      <c r="J26" s="27">
        <v>2</v>
      </c>
      <c r="K26" s="13">
        <v>4</v>
      </c>
      <c r="L26" s="27">
        <f t="shared" si="3"/>
        <v>37</v>
      </c>
      <c r="M26" s="27">
        <v>140</v>
      </c>
      <c r="N26" s="27">
        <v>80</v>
      </c>
      <c r="O26" s="29">
        <f t="shared" si="4"/>
        <v>127.61904761904762</v>
      </c>
      <c r="P26" s="27">
        <v>1375</v>
      </c>
      <c r="Q26" s="7">
        <f t="shared" si="5"/>
        <v>19509</v>
      </c>
      <c r="R26" s="27">
        <v>400</v>
      </c>
      <c r="S26" s="27">
        <v>100</v>
      </c>
      <c r="T26" s="27">
        <v>72</v>
      </c>
      <c r="U26" s="27">
        <v>158</v>
      </c>
      <c r="V26" s="27">
        <v>92.5</v>
      </c>
      <c r="W26" s="89">
        <f t="shared" si="6"/>
        <v>84.454545454545453</v>
      </c>
      <c r="X26" s="89">
        <f t="shared" si="7"/>
        <v>25</v>
      </c>
      <c r="Y26" s="97">
        <f t="shared" si="16"/>
        <v>80.603238866396751</v>
      </c>
      <c r="Z26" s="97">
        <f t="shared" si="8"/>
        <v>78.027027027027032</v>
      </c>
      <c r="AA26" s="27">
        <v>20726</v>
      </c>
      <c r="AB26" s="27">
        <v>14</v>
      </c>
      <c r="AC26" s="27">
        <v>27700</v>
      </c>
      <c r="AD26" s="27">
        <v>150</v>
      </c>
      <c r="AE26" s="29">
        <f t="shared" si="9"/>
        <v>27850</v>
      </c>
      <c r="AF26" s="41">
        <v>1925</v>
      </c>
      <c r="AG26" s="4" t="s">
        <v>567</v>
      </c>
      <c r="AH26" s="151" t="str">
        <f t="shared" si="17"/>
        <v>https://ia800604.us.archive.org/18/items/GADeptofEd1925/GA.pdf#page=9</v>
      </c>
      <c r="AI26" s="152" t="str">
        <f t="shared" si="17"/>
        <v>https://ia800604.us.archive.org/18/items/GADeptofEd1925/GA.pdf#page=32</v>
      </c>
      <c r="AJ26" s="151" t="str">
        <f t="shared" si="17"/>
        <v>https://ia800604.us.archive.org/18/items/GADeptofEd1925/GA.pdf#page=9</v>
      </c>
      <c r="AK26" s="152" t="str">
        <f t="shared" si="17"/>
        <v>https://ia800604.us.archive.org/18/items/GADeptofEd1925/GA.pdf#page=32</v>
      </c>
      <c r="AL26" s="151" t="str">
        <f t="shared" si="17"/>
        <v>https://ia800604.us.archive.org/18/items/GADeptofEd1925/GA.pdf#page=13</v>
      </c>
      <c r="AM26" s="152" t="str">
        <f t="shared" si="17"/>
        <v>https://ia800604.us.archive.org/18/items/GADeptofEd1925/GA.pdf#page=36</v>
      </c>
      <c r="AN26" s="151" t="str">
        <f t="shared" si="12"/>
        <v>https://ia800604.us.archive.org/18/items/GADeptofEd1925/GA.pdf#page=13</v>
      </c>
      <c r="AO26" s="152" t="str">
        <f t="shared" si="18"/>
        <v>https://ia800604.us.archive.org/18/items/GADeptofEd1925/GA.pdf#page=32</v>
      </c>
      <c r="AP26" s="151" t="str">
        <f t="shared" si="18"/>
        <v>https://ia800604.us.archive.org/18/items/GADeptofEd1925/GA.pdf#page=26</v>
      </c>
      <c r="AQ26" s="152" t="str">
        <f t="shared" si="18"/>
        <v>https://ia800604.us.archive.org/18/items/GADeptofEd1925/GA.pdf#page=44</v>
      </c>
      <c r="AR26" s="151" t="str">
        <f t="shared" si="18"/>
        <v>https://ia800604.us.archive.org/18/items/GADeptofEd1925/GA.pdf#page=21</v>
      </c>
      <c r="AS26" s="152" t="str">
        <f t="shared" si="13"/>
        <v>https://ia800604.us.archive.org/18/items/GADeptofEd1925/GA.pdf#page=44</v>
      </c>
      <c r="AT26" s="151" t="str">
        <f t="shared" si="19"/>
        <v>https://ia800604.us.archive.org/18/items/GADeptofEd1925/GA.pdf#page=26</v>
      </c>
      <c r="AU26" s="152" t="str">
        <f t="shared" si="19"/>
        <v>https://ia800604.us.archive.org/18/items/GADeptofEd1925/GA.pdf#page=32</v>
      </c>
      <c r="AV26" s="151" t="str">
        <f t="shared" si="19"/>
        <v>https://ia800604.us.archive.org/18/items/GADeptofEd1925/GA.pdf#page=26</v>
      </c>
      <c r="AW26" s="152" t="str">
        <f t="shared" si="19"/>
        <v>https://ia800604.us.archive.org/18/items/GADeptofEd1925/GA.pdf#page=49</v>
      </c>
    </row>
    <row r="27" spans="1:49" x14ac:dyDescent="0.25">
      <c r="A27" s="27" t="s">
        <v>747</v>
      </c>
      <c r="B27" s="27" t="str">
        <f t="shared" si="0"/>
        <v>Georgia</v>
      </c>
      <c r="C27" s="27" t="str">
        <f t="shared" si="1"/>
        <v>Chatham</v>
      </c>
      <c r="D27" s="27">
        <v>7818</v>
      </c>
      <c r="E27" s="27">
        <v>5063</v>
      </c>
      <c r="F27" s="27">
        <f t="shared" si="2"/>
        <v>12881</v>
      </c>
      <c r="G27" s="27">
        <v>8</v>
      </c>
      <c r="H27" s="27">
        <v>142</v>
      </c>
      <c r="I27" s="27">
        <v>20</v>
      </c>
      <c r="J27" s="27">
        <v>64</v>
      </c>
      <c r="K27" s="13">
        <f>86+19</f>
        <v>105</v>
      </c>
      <c r="L27" s="27">
        <f t="shared" si="3"/>
        <v>339</v>
      </c>
      <c r="M27" s="27">
        <v>182</v>
      </c>
      <c r="N27" s="27">
        <v>182</v>
      </c>
      <c r="O27" s="29">
        <f t="shared" si="4"/>
        <v>182</v>
      </c>
      <c r="P27" s="27">
        <v>16117</v>
      </c>
      <c r="Q27" s="7">
        <f t="shared" si="5"/>
        <v>169839.48799999998</v>
      </c>
      <c r="R27" s="27">
        <v>92384.4</v>
      </c>
      <c r="S27" s="27">
        <v>99.33</v>
      </c>
      <c r="T27" s="27">
        <v>79.72</v>
      </c>
      <c r="U27" s="27">
        <v>90</v>
      </c>
      <c r="V27" s="27">
        <v>74.2</v>
      </c>
      <c r="W27" s="89">
        <f t="shared" si="6"/>
        <v>79.759316239316234</v>
      </c>
      <c r="X27" s="89">
        <f t="shared" si="7"/>
        <v>96.686970172684454</v>
      </c>
      <c r="Y27" s="97">
        <f t="shared" si="16"/>
        <v>85.00239489124445</v>
      </c>
      <c r="Z27" s="97">
        <f t="shared" si="8"/>
        <v>85.00239489124445</v>
      </c>
      <c r="AA27" s="27">
        <v>838393</v>
      </c>
      <c r="AB27" s="27">
        <v>64</v>
      </c>
      <c r="AC27" s="27">
        <v>1269000</v>
      </c>
      <c r="AD27" s="27">
        <v>151500</v>
      </c>
      <c r="AE27" s="29">
        <f t="shared" si="9"/>
        <v>1420500</v>
      </c>
      <c r="AF27" s="41">
        <v>1925</v>
      </c>
      <c r="AG27" s="4" t="s">
        <v>567</v>
      </c>
      <c r="AH27" s="151" t="str">
        <f t="shared" si="17"/>
        <v>https://ia800604.us.archive.org/18/items/GADeptofEd1925/GA.pdf#page=9</v>
      </c>
      <c r="AI27" s="152" t="str">
        <f t="shared" si="17"/>
        <v>https://ia800604.us.archive.org/18/items/GADeptofEd1925/GA.pdf#page=32</v>
      </c>
      <c r="AJ27" s="151" t="str">
        <f t="shared" si="17"/>
        <v>https://ia800604.us.archive.org/18/items/GADeptofEd1925/GA.pdf#page=9</v>
      </c>
      <c r="AK27" s="152" t="str">
        <f t="shared" si="17"/>
        <v>https://ia800604.us.archive.org/18/items/GADeptofEd1925/GA.pdf#page=32</v>
      </c>
      <c r="AL27" s="151" t="str">
        <f t="shared" si="17"/>
        <v>https://ia800604.us.archive.org/18/items/GADeptofEd1925/GA.pdf#page=13</v>
      </c>
      <c r="AM27" s="152" t="str">
        <f t="shared" si="17"/>
        <v>https://ia800604.us.archive.org/18/items/GADeptofEd1925/GA.pdf#page=36</v>
      </c>
      <c r="AN27" s="151" t="str">
        <f t="shared" si="12"/>
        <v>https://ia800604.us.archive.org/18/items/GADeptofEd1925/GA.pdf#page=13</v>
      </c>
      <c r="AO27" s="152" t="str">
        <f t="shared" si="18"/>
        <v>https://ia800604.us.archive.org/18/items/GADeptofEd1925/GA.pdf#page=32</v>
      </c>
      <c r="AP27" s="151" t="str">
        <f t="shared" si="18"/>
        <v>https://ia800604.us.archive.org/18/items/GADeptofEd1925/GA.pdf#page=26</v>
      </c>
      <c r="AQ27" s="152" t="str">
        <f t="shared" si="18"/>
        <v>https://ia800604.us.archive.org/18/items/GADeptofEd1925/GA.pdf#page=44</v>
      </c>
      <c r="AR27" s="151" t="str">
        <f t="shared" si="18"/>
        <v>https://ia800604.us.archive.org/18/items/GADeptofEd1925/GA.pdf#page=21</v>
      </c>
      <c r="AS27" s="152" t="str">
        <f t="shared" si="13"/>
        <v>https://ia800604.us.archive.org/18/items/GADeptofEd1925/GA.pdf#page=44</v>
      </c>
      <c r="AT27" s="151" t="str">
        <f t="shared" si="19"/>
        <v>https://ia800604.us.archive.org/18/items/GADeptofEd1925/GA.pdf#page=26</v>
      </c>
      <c r="AU27" s="152" t="str">
        <f t="shared" si="19"/>
        <v>https://ia800604.us.archive.org/18/items/GADeptofEd1925/GA.pdf#page=32</v>
      </c>
      <c r="AV27" s="151" t="str">
        <f t="shared" si="19"/>
        <v>https://ia800604.us.archive.org/18/items/GADeptofEd1925/GA.pdf#page=26</v>
      </c>
      <c r="AW27" s="152" t="str">
        <f t="shared" si="19"/>
        <v>https://ia800604.us.archive.org/18/items/GADeptofEd1925/GA.pdf#page=49</v>
      </c>
    </row>
    <row r="28" spans="1:49" x14ac:dyDescent="0.25">
      <c r="A28" s="27" t="s">
        <v>748</v>
      </c>
      <c r="B28" s="27" t="str">
        <f t="shared" si="0"/>
        <v>Georgia</v>
      </c>
      <c r="C28" s="27" t="str">
        <f t="shared" si="1"/>
        <v>Chattahoochee</v>
      </c>
      <c r="D28" s="27">
        <v>185</v>
      </c>
      <c r="E28" s="27">
        <v>274</v>
      </c>
      <c r="F28" s="27">
        <f t="shared" si="2"/>
        <v>459</v>
      </c>
      <c r="G28" s="27">
        <v>2</v>
      </c>
      <c r="H28" s="27">
        <v>10</v>
      </c>
      <c r="I28" s="27">
        <v>0</v>
      </c>
      <c r="J28" s="27">
        <v>0</v>
      </c>
      <c r="K28" s="13">
        <v>10</v>
      </c>
      <c r="L28" s="27">
        <f t="shared" si="3"/>
        <v>22</v>
      </c>
      <c r="M28" s="27">
        <v>160</v>
      </c>
      <c r="N28" s="27">
        <v>160</v>
      </c>
      <c r="O28" s="29">
        <f t="shared" si="4"/>
        <v>160</v>
      </c>
      <c r="P28" s="27">
        <v>795</v>
      </c>
      <c r="Q28" s="7">
        <f t="shared" si="5"/>
        <v>5842.4</v>
      </c>
      <c r="R28" s="27">
        <v>1975</v>
      </c>
      <c r="S28" s="27">
        <v>75</v>
      </c>
      <c r="T28" s="27">
        <v>58.03</v>
      </c>
      <c r="U28" s="27"/>
      <c r="V28" s="27"/>
      <c r="W28" s="89">
        <f t="shared" si="6"/>
        <v>60.858333333333327</v>
      </c>
      <c r="X28" s="89">
        <f t="shared" si="7"/>
        <v>24.6875</v>
      </c>
      <c r="Y28" s="97">
        <f t="shared" si="16"/>
        <v>44.417045454545452</v>
      </c>
      <c r="Z28" s="97">
        <f t="shared" si="8"/>
        <v>44.417045454545452</v>
      </c>
      <c r="AA28" s="27">
        <v>8581</v>
      </c>
      <c r="AB28" s="27">
        <v>18</v>
      </c>
      <c r="AC28" s="27">
        <v>5800</v>
      </c>
      <c r="AD28" s="27">
        <v>1850</v>
      </c>
      <c r="AE28" s="29">
        <f t="shared" si="9"/>
        <v>7650</v>
      </c>
      <c r="AF28" s="41">
        <v>1925</v>
      </c>
      <c r="AG28" s="4" t="s">
        <v>567</v>
      </c>
      <c r="AH28" s="151" t="str">
        <f t="shared" si="17"/>
        <v>https://ia800604.us.archive.org/18/items/GADeptofEd1925/GA.pdf#page=9</v>
      </c>
      <c r="AI28" s="152" t="str">
        <f t="shared" si="17"/>
        <v>https://ia800604.us.archive.org/18/items/GADeptofEd1925/GA.pdf#page=32</v>
      </c>
      <c r="AJ28" s="151" t="str">
        <f t="shared" si="17"/>
        <v>https://ia800604.us.archive.org/18/items/GADeptofEd1925/GA.pdf#page=9</v>
      </c>
      <c r="AK28" s="152" t="str">
        <f t="shared" si="17"/>
        <v>https://ia800604.us.archive.org/18/items/GADeptofEd1925/GA.pdf#page=32</v>
      </c>
      <c r="AL28" s="151" t="str">
        <f t="shared" si="17"/>
        <v>https://ia800604.us.archive.org/18/items/GADeptofEd1925/GA.pdf#page=13</v>
      </c>
      <c r="AM28" s="152" t="str">
        <f t="shared" si="17"/>
        <v>https://ia800604.us.archive.org/18/items/GADeptofEd1925/GA.pdf#page=36</v>
      </c>
      <c r="AN28" s="151" t="str">
        <f t="shared" si="12"/>
        <v>https://ia800604.us.archive.org/18/items/GADeptofEd1925/GA.pdf#page=13</v>
      </c>
      <c r="AO28" s="152" t="str">
        <f t="shared" si="18"/>
        <v>https://ia800604.us.archive.org/18/items/GADeptofEd1925/GA.pdf#page=32</v>
      </c>
      <c r="AP28" s="151" t="str">
        <f t="shared" si="18"/>
        <v>https://ia800604.us.archive.org/18/items/GADeptofEd1925/GA.pdf#page=26</v>
      </c>
      <c r="AQ28" s="152" t="str">
        <f t="shared" si="18"/>
        <v>https://ia800604.us.archive.org/18/items/GADeptofEd1925/GA.pdf#page=44</v>
      </c>
      <c r="AR28" s="151" t="str">
        <f t="shared" si="18"/>
        <v>https://ia800604.us.archive.org/18/items/GADeptofEd1925/GA.pdf#page=21</v>
      </c>
      <c r="AS28" s="152" t="str">
        <f t="shared" si="13"/>
        <v>https://ia800604.us.archive.org/18/items/GADeptofEd1925/GA.pdf#page=44</v>
      </c>
      <c r="AT28" s="151" t="str">
        <f t="shared" si="19"/>
        <v>https://ia800604.us.archive.org/18/items/GADeptofEd1925/GA.pdf#page=26</v>
      </c>
      <c r="AU28" s="152" t="str">
        <f t="shared" si="19"/>
        <v>https://ia800604.us.archive.org/18/items/GADeptofEd1925/GA.pdf#page=32</v>
      </c>
      <c r="AV28" s="151" t="str">
        <f t="shared" si="19"/>
        <v>https://ia800604.us.archive.org/18/items/GADeptofEd1925/GA.pdf#page=26</v>
      </c>
      <c r="AW28" s="152" t="str">
        <f t="shared" si="19"/>
        <v>https://ia800604.us.archive.org/18/items/GADeptofEd1925/GA.pdf#page=49</v>
      </c>
    </row>
    <row r="29" spans="1:49" x14ac:dyDescent="0.25">
      <c r="A29" s="27" t="s">
        <v>749</v>
      </c>
      <c r="B29" s="27" t="str">
        <f t="shared" si="0"/>
        <v>Georgia</v>
      </c>
      <c r="C29" s="27" t="str">
        <f t="shared" si="1"/>
        <v>Chattooga</v>
      </c>
      <c r="D29" s="27">
        <f>1956+171</f>
        <v>2127</v>
      </c>
      <c r="E29" s="27">
        <f>302+36</f>
        <v>338</v>
      </c>
      <c r="F29" s="27">
        <f t="shared" si="2"/>
        <v>2465</v>
      </c>
      <c r="G29" s="27">
        <v>6</v>
      </c>
      <c r="H29" s="27">
        <f>54+3</f>
        <v>57</v>
      </c>
      <c r="I29" s="27">
        <f>8+1</f>
        <v>9</v>
      </c>
      <c r="J29" s="27">
        <f>12+1</f>
        <v>13</v>
      </c>
      <c r="K29" s="13">
        <f>2+2+1</f>
        <v>5</v>
      </c>
      <c r="L29" s="27">
        <f t="shared" si="3"/>
        <v>90</v>
      </c>
      <c r="M29" s="27">
        <v>160</v>
      </c>
      <c r="N29" s="27">
        <v>100</v>
      </c>
      <c r="O29" s="29">
        <f t="shared" si="4"/>
        <v>151.77281947261665</v>
      </c>
      <c r="P29" s="27">
        <v>3515</v>
      </c>
      <c r="Q29" s="7">
        <f t="shared" si="5"/>
        <v>95560</v>
      </c>
      <c r="R29" s="27">
        <f>1925+390</f>
        <v>2315</v>
      </c>
      <c r="S29" s="27">
        <v>80</v>
      </c>
      <c r="T29" s="27">
        <f>65+50</f>
        <v>115</v>
      </c>
      <c r="U29" s="27">
        <f>160+140</f>
        <v>300</v>
      </c>
      <c r="V29" s="27">
        <f>100+70</f>
        <v>170</v>
      </c>
      <c r="W29" s="89">
        <f t="shared" si="6"/>
        <v>140.52941176470588</v>
      </c>
      <c r="X29" s="89">
        <f t="shared" si="7"/>
        <v>92.6</v>
      </c>
      <c r="Y29" s="97">
        <f t="shared" si="16"/>
        <v>138.82978723404256</v>
      </c>
      <c r="Z29" s="97">
        <f t="shared" si="8"/>
        <v>137.86666666666667</v>
      </c>
      <c r="AA29" s="27">
        <v>53529</v>
      </c>
      <c r="AB29" s="27">
        <v>46</v>
      </c>
      <c r="AC29" s="27">
        <f>115000+13000</f>
        <v>128000</v>
      </c>
      <c r="AD29" s="27">
        <f>6500+250</f>
        <v>6750</v>
      </c>
      <c r="AE29" s="29">
        <f t="shared" si="9"/>
        <v>134750</v>
      </c>
      <c r="AF29" s="41">
        <v>1925</v>
      </c>
      <c r="AG29" s="4" t="s">
        <v>567</v>
      </c>
      <c r="AH29" s="151" t="str">
        <f t="shared" si="17"/>
        <v>https://ia800604.us.archive.org/18/items/GADeptofEd1925/GA.pdf#page=9</v>
      </c>
      <c r="AI29" s="152" t="str">
        <f t="shared" si="17"/>
        <v>https://ia800604.us.archive.org/18/items/GADeptofEd1925/GA.pdf#page=32</v>
      </c>
      <c r="AJ29" s="151" t="str">
        <f t="shared" si="17"/>
        <v>https://ia800604.us.archive.org/18/items/GADeptofEd1925/GA.pdf#page=9</v>
      </c>
      <c r="AK29" s="152" t="str">
        <f t="shared" si="17"/>
        <v>https://ia800604.us.archive.org/18/items/GADeptofEd1925/GA.pdf#page=32</v>
      </c>
      <c r="AL29" s="151" t="str">
        <f t="shared" si="17"/>
        <v>https://ia800604.us.archive.org/18/items/GADeptofEd1925/GA.pdf#page=13</v>
      </c>
      <c r="AM29" s="152" t="str">
        <f t="shared" si="17"/>
        <v>https://ia800604.us.archive.org/18/items/GADeptofEd1925/GA.pdf#page=36</v>
      </c>
      <c r="AN29" s="151" t="str">
        <f t="shared" si="12"/>
        <v>https://ia800604.us.archive.org/18/items/GADeptofEd1925/GA.pdf#page=13</v>
      </c>
      <c r="AO29" s="152" t="str">
        <f t="shared" si="18"/>
        <v>https://ia800604.us.archive.org/18/items/GADeptofEd1925/GA.pdf#page=32</v>
      </c>
      <c r="AP29" s="151" t="str">
        <f t="shared" si="18"/>
        <v>https://ia800604.us.archive.org/18/items/GADeptofEd1925/GA.pdf#page=26</v>
      </c>
      <c r="AQ29" s="152" t="str">
        <f t="shared" si="18"/>
        <v>https://ia800604.us.archive.org/18/items/GADeptofEd1925/GA.pdf#page=44</v>
      </c>
      <c r="AR29" s="151" t="str">
        <f t="shared" si="18"/>
        <v>https://ia800604.us.archive.org/18/items/GADeptofEd1925/GA.pdf#page=21</v>
      </c>
      <c r="AS29" s="152" t="str">
        <f t="shared" si="13"/>
        <v>https://ia800604.us.archive.org/18/items/GADeptofEd1925/GA.pdf#page=44</v>
      </c>
      <c r="AT29" s="151" t="str">
        <f t="shared" si="19"/>
        <v>https://ia800604.us.archive.org/18/items/GADeptofEd1925/GA.pdf#page=26</v>
      </c>
      <c r="AU29" s="152" t="str">
        <f t="shared" si="19"/>
        <v>https://ia800604.us.archive.org/18/items/GADeptofEd1925/GA.pdf#page=32</v>
      </c>
      <c r="AV29" s="151" t="str">
        <f t="shared" si="19"/>
        <v>https://ia800604.us.archive.org/18/items/GADeptofEd1925/GA.pdf#page=26</v>
      </c>
      <c r="AW29" s="152" t="str">
        <f t="shared" si="19"/>
        <v>https://ia800604.us.archive.org/18/items/GADeptofEd1925/GA.pdf#page=49</v>
      </c>
    </row>
    <row r="30" spans="1:49" x14ac:dyDescent="0.25">
      <c r="A30" s="27" t="s">
        <v>750</v>
      </c>
      <c r="B30" s="27" t="str">
        <f t="shared" si="0"/>
        <v>Georgia</v>
      </c>
      <c r="C30" s="27" t="str">
        <f t="shared" si="1"/>
        <v>Cherokee</v>
      </c>
      <c r="D30" s="27">
        <v>3916</v>
      </c>
      <c r="E30" s="27">
        <v>297</v>
      </c>
      <c r="F30" s="27">
        <f t="shared" si="2"/>
        <v>4213</v>
      </c>
      <c r="G30" s="27">
        <v>25</v>
      </c>
      <c r="H30" s="27">
        <v>80</v>
      </c>
      <c r="I30" s="27">
        <v>10</v>
      </c>
      <c r="J30" s="27">
        <v>5</v>
      </c>
      <c r="K30" s="13">
        <v>5</v>
      </c>
      <c r="L30" s="27">
        <f t="shared" si="3"/>
        <v>125</v>
      </c>
      <c r="M30" s="27">
        <v>170</v>
      </c>
      <c r="N30" s="27">
        <v>120</v>
      </c>
      <c r="O30" s="29">
        <f t="shared" si="4"/>
        <v>166.47519582245431</v>
      </c>
      <c r="P30" s="27">
        <v>6091</v>
      </c>
      <c r="Q30" s="7">
        <f t="shared" si="5"/>
        <v>66300</v>
      </c>
      <c r="R30" s="27">
        <v>670</v>
      </c>
      <c r="S30" s="27">
        <v>60</v>
      </c>
      <c r="T30" s="27">
        <f>60</f>
        <v>60</v>
      </c>
      <c r="U30" s="27">
        <v>100</v>
      </c>
      <c r="V30" s="27">
        <v>100</v>
      </c>
      <c r="W30" s="89">
        <f t="shared" si="6"/>
        <v>65</v>
      </c>
      <c r="X30" s="89">
        <f t="shared" si="7"/>
        <v>22.333333333333332</v>
      </c>
      <c r="Y30" s="97">
        <f t="shared" si="16"/>
        <v>63.780952380952378</v>
      </c>
      <c r="Z30" s="97">
        <f t="shared" si="8"/>
        <v>63.293333333333337</v>
      </c>
      <c r="AA30" s="27">
        <v>45213</v>
      </c>
      <c r="AB30" s="27">
        <v>56</v>
      </c>
      <c r="AC30" s="27">
        <f>177000</f>
        <v>177000</v>
      </c>
      <c r="AD30" s="27">
        <v>1900</v>
      </c>
      <c r="AE30" s="29">
        <f t="shared" si="9"/>
        <v>178900</v>
      </c>
      <c r="AF30" s="41">
        <v>1925</v>
      </c>
      <c r="AG30" s="4" t="s">
        <v>567</v>
      </c>
      <c r="AH30" s="151" t="str">
        <f t="shared" si="17"/>
        <v>https://ia800604.us.archive.org/18/items/GADeptofEd1925/GA.pdf#page=9</v>
      </c>
      <c r="AI30" s="152" t="str">
        <f t="shared" si="17"/>
        <v>https://ia800604.us.archive.org/18/items/GADeptofEd1925/GA.pdf#page=32</v>
      </c>
      <c r="AJ30" s="151" t="str">
        <f t="shared" si="17"/>
        <v>https://ia800604.us.archive.org/18/items/GADeptofEd1925/GA.pdf#page=9</v>
      </c>
      <c r="AK30" s="152" t="str">
        <f t="shared" si="17"/>
        <v>https://ia800604.us.archive.org/18/items/GADeptofEd1925/GA.pdf#page=32</v>
      </c>
      <c r="AL30" s="151" t="str">
        <f t="shared" si="17"/>
        <v>https://ia800604.us.archive.org/18/items/GADeptofEd1925/GA.pdf#page=13</v>
      </c>
      <c r="AM30" s="152" t="str">
        <f t="shared" si="17"/>
        <v>https://ia800604.us.archive.org/18/items/GADeptofEd1925/GA.pdf#page=36</v>
      </c>
      <c r="AN30" s="151" t="str">
        <f t="shared" si="12"/>
        <v>https://ia800604.us.archive.org/18/items/GADeptofEd1925/GA.pdf#page=13</v>
      </c>
      <c r="AO30" s="152" t="str">
        <f t="shared" si="18"/>
        <v>https://ia800604.us.archive.org/18/items/GADeptofEd1925/GA.pdf#page=32</v>
      </c>
      <c r="AP30" s="151" t="str">
        <f t="shared" si="18"/>
        <v>https://ia800604.us.archive.org/18/items/GADeptofEd1925/GA.pdf#page=26</v>
      </c>
      <c r="AQ30" s="152" t="str">
        <f t="shared" si="18"/>
        <v>https://ia800604.us.archive.org/18/items/GADeptofEd1925/GA.pdf#page=44</v>
      </c>
      <c r="AR30" s="151" t="str">
        <f t="shared" si="18"/>
        <v>https://ia800604.us.archive.org/18/items/GADeptofEd1925/GA.pdf#page=21</v>
      </c>
      <c r="AS30" s="152" t="str">
        <f t="shared" si="13"/>
        <v>https://ia800604.us.archive.org/18/items/GADeptofEd1925/GA.pdf#page=44</v>
      </c>
      <c r="AT30" s="151" t="str">
        <f t="shared" si="19"/>
        <v>https://ia800604.us.archive.org/18/items/GADeptofEd1925/GA.pdf#page=26</v>
      </c>
      <c r="AU30" s="152" t="str">
        <f t="shared" si="19"/>
        <v>https://ia800604.us.archive.org/18/items/GADeptofEd1925/GA.pdf#page=32</v>
      </c>
      <c r="AV30" s="151" t="str">
        <f t="shared" si="19"/>
        <v>https://ia800604.us.archive.org/18/items/GADeptofEd1925/GA.pdf#page=26</v>
      </c>
      <c r="AW30" s="152" t="str">
        <f t="shared" si="19"/>
        <v>https://ia800604.us.archive.org/18/items/GADeptofEd1925/GA.pdf#page=49</v>
      </c>
    </row>
    <row r="31" spans="1:49" x14ac:dyDescent="0.25">
      <c r="A31" s="27" t="s">
        <v>751</v>
      </c>
      <c r="B31" s="27" t="str">
        <f t="shared" si="0"/>
        <v>Georgia</v>
      </c>
      <c r="C31" s="27" t="str">
        <f t="shared" si="1"/>
        <v>Clarke</v>
      </c>
      <c r="D31" s="27">
        <f>826+1769</f>
        <v>2595</v>
      </c>
      <c r="E31" s="27">
        <f>725+1043</f>
        <v>1768</v>
      </c>
      <c r="F31" s="27">
        <f t="shared" si="2"/>
        <v>4363</v>
      </c>
      <c r="G31" s="27">
        <v>0</v>
      </c>
      <c r="H31" s="27">
        <f>28+49</f>
        <v>77</v>
      </c>
      <c r="I31" s="27">
        <f>1+6</f>
        <v>7</v>
      </c>
      <c r="J31" s="27">
        <f>2+22</f>
        <v>24</v>
      </c>
      <c r="K31" s="13">
        <f>15+20+1+11</f>
        <v>47</v>
      </c>
      <c r="L31" s="27">
        <f t="shared" si="3"/>
        <v>155</v>
      </c>
      <c r="M31" s="27">
        <v>180</v>
      </c>
      <c r="N31" s="27">
        <v>140</v>
      </c>
      <c r="O31" s="29">
        <f t="shared" si="4"/>
        <v>163.7909695163878</v>
      </c>
      <c r="P31" s="27">
        <v>5788</v>
      </c>
      <c r="Q31" s="7">
        <f t="shared" si="5"/>
        <v>196817.58</v>
      </c>
      <c r="R31" s="27">
        <f>5047.75+19619.09</f>
        <v>24666.84</v>
      </c>
      <c r="S31" s="27"/>
      <c r="T31" s="27">
        <f>77.08+105</f>
        <v>182.07999999999998</v>
      </c>
      <c r="U31" s="27">
        <f>166.66+150</f>
        <v>316.65999999999997</v>
      </c>
      <c r="V31" s="27">
        <f>96.66+138</f>
        <v>234.66</v>
      </c>
      <c r="W31" s="89">
        <f t="shared" si="6"/>
        <v>202.48722222222221</v>
      </c>
      <c r="X31" s="89">
        <f t="shared" si="7"/>
        <v>74.975197568389049</v>
      </c>
      <c r="Y31" s="97">
        <f t="shared" si="16"/>
        <v>170.2416756341276</v>
      </c>
      <c r="Z31" s="97">
        <f t="shared" si="8"/>
        <v>163.8222857142857</v>
      </c>
      <c r="AA31" s="27">
        <v>194737</v>
      </c>
      <c r="AB31" s="27">
        <v>37</v>
      </c>
      <c r="AC31" s="27">
        <f>31300+408500</f>
        <v>439800</v>
      </c>
      <c r="AD31" s="27">
        <f>6850+34500</f>
        <v>41350</v>
      </c>
      <c r="AE31" s="29">
        <f t="shared" si="9"/>
        <v>481150</v>
      </c>
      <c r="AF31" s="41">
        <v>1925</v>
      </c>
      <c r="AG31" s="4" t="s">
        <v>567</v>
      </c>
      <c r="AH31" s="151" t="str">
        <f t="shared" si="17"/>
        <v>https://ia800604.us.archive.org/18/items/GADeptofEd1925/GA.pdf#page=9</v>
      </c>
      <c r="AI31" s="152" t="str">
        <f t="shared" si="17"/>
        <v>https://ia800604.us.archive.org/18/items/GADeptofEd1925/GA.pdf#page=32</v>
      </c>
      <c r="AJ31" s="151" t="str">
        <f t="shared" si="17"/>
        <v>https://ia800604.us.archive.org/18/items/GADeptofEd1925/GA.pdf#page=9</v>
      </c>
      <c r="AK31" s="152" t="str">
        <f t="shared" si="17"/>
        <v>https://ia800604.us.archive.org/18/items/GADeptofEd1925/GA.pdf#page=32</v>
      </c>
      <c r="AL31" s="151" t="str">
        <f t="shared" si="17"/>
        <v>https://ia800604.us.archive.org/18/items/GADeptofEd1925/GA.pdf#page=13</v>
      </c>
      <c r="AM31" s="152" t="str">
        <f t="shared" si="17"/>
        <v>https://ia800604.us.archive.org/18/items/GADeptofEd1925/GA.pdf#page=36</v>
      </c>
      <c r="AN31" s="151" t="str">
        <f t="shared" si="12"/>
        <v>https://ia800604.us.archive.org/18/items/GADeptofEd1925/GA.pdf#page=13</v>
      </c>
      <c r="AO31" s="152" t="str">
        <f t="shared" si="18"/>
        <v>https://ia800604.us.archive.org/18/items/GADeptofEd1925/GA.pdf#page=32</v>
      </c>
      <c r="AP31" s="151" t="str">
        <f t="shared" si="18"/>
        <v>https://ia800604.us.archive.org/18/items/GADeptofEd1925/GA.pdf#page=26</v>
      </c>
      <c r="AQ31" s="152" t="str">
        <f t="shared" si="18"/>
        <v>https://ia800604.us.archive.org/18/items/GADeptofEd1925/GA.pdf#page=44</v>
      </c>
      <c r="AR31" s="151" t="str">
        <f t="shared" si="18"/>
        <v>https://ia800604.us.archive.org/18/items/GADeptofEd1925/GA.pdf#page=21</v>
      </c>
      <c r="AS31" s="152" t="str">
        <f t="shared" si="13"/>
        <v>https://ia800604.us.archive.org/18/items/GADeptofEd1925/GA.pdf#page=44</v>
      </c>
      <c r="AT31" s="151" t="str">
        <f t="shared" si="19"/>
        <v>https://ia800604.us.archive.org/18/items/GADeptofEd1925/GA.pdf#page=26</v>
      </c>
      <c r="AU31" s="152" t="str">
        <f t="shared" si="19"/>
        <v>https://ia800604.us.archive.org/18/items/GADeptofEd1925/GA.pdf#page=32</v>
      </c>
      <c r="AV31" s="151" t="str">
        <f t="shared" si="19"/>
        <v>https://ia800604.us.archive.org/18/items/GADeptofEd1925/GA.pdf#page=26</v>
      </c>
      <c r="AW31" s="152" t="str">
        <f t="shared" si="19"/>
        <v>https://ia800604.us.archive.org/18/items/GADeptofEd1925/GA.pdf#page=49</v>
      </c>
    </row>
    <row r="32" spans="1:49" x14ac:dyDescent="0.25">
      <c r="A32" s="27" t="s">
        <v>752</v>
      </c>
      <c r="B32" s="27" t="str">
        <f t="shared" si="0"/>
        <v>Georgia</v>
      </c>
      <c r="C32" s="27" t="str">
        <f t="shared" si="1"/>
        <v>Clay</v>
      </c>
      <c r="D32" s="27">
        <f>500+120</f>
        <v>620</v>
      </c>
      <c r="E32" s="27">
        <f>750+90</f>
        <v>840</v>
      </c>
      <c r="F32" s="27">
        <f t="shared" si="2"/>
        <v>1460</v>
      </c>
      <c r="G32" s="27">
        <v>1</v>
      </c>
      <c r="H32" s="27">
        <f>12+4</f>
        <v>16</v>
      </c>
      <c r="I32" s="27">
        <f>2+1</f>
        <v>3</v>
      </c>
      <c r="J32" s="27">
        <f>8+1</f>
        <v>9</v>
      </c>
      <c r="K32" s="13">
        <f>18+1</f>
        <v>19</v>
      </c>
      <c r="L32" s="27">
        <f t="shared" si="3"/>
        <v>48</v>
      </c>
      <c r="M32" s="27">
        <v>160</v>
      </c>
      <c r="N32" s="27">
        <v>100</v>
      </c>
      <c r="O32" s="29">
        <f t="shared" si="4"/>
        <v>125.47945205479452</v>
      </c>
      <c r="P32" s="27">
        <v>1627</v>
      </c>
      <c r="Q32" s="7">
        <f t="shared" si="5"/>
        <v>39412.479999999996</v>
      </c>
      <c r="R32" s="27">
        <f>1220+420</f>
        <v>1640</v>
      </c>
      <c r="S32" s="27">
        <v>150</v>
      </c>
      <c r="T32" s="27">
        <f>75+71.66</f>
        <v>146.66</v>
      </c>
      <c r="U32" s="27">
        <f>150+150</f>
        <v>300</v>
      </c>
      <c r="V32" s="27">
        <f>85+85</f>
        <v>170</v>
      </c>
      <c r="W32" s="89">
        <f t="shared" si="6"/>
        <v>169.88137931034481</v>
      </c>
      <c r="X32" s="89">
        <f t="shared" si="7"/>
        <v>17.263157894736842</v>
      </c>
      <c r="Y32" s="97">
        <f t="shared" si="16"/>
        <v>125.54275229357796</v>
      </c>
      <c r="Z32" s="97">
        <f t="shared" si="8"/>
        <v>109.46999999999998</v>
      </c>
      <c r="AA32" s="27">
        <v>15389</v>
      </c>
      <c r="AB32" s="27">
        <v>24</v>
      </c>
      <c r="AC32" s="27">
        <f>31000+4500</f>
        <v>35500</v>
      </c>
      <c r="AD32" s="27">
        <f>6500+300</f>
        <v>6800</v>
      </c>
      <c r="AE32" s="29">
        <f t="shared" si="9"/>
        <v>42300</v>
      </c>
      <c r="AF32" s="41">
        <v>1925</v>
      </c>
      <c r="AG32" s="4" t="s">
        <v>567</v>
      </c>
      <c r="AH32" s="151" t="str">
        <f t="shared" si="17"/>
        <v>https://ia800604.us.archive.org/18/items/GADeptofEd1925/GA.pdf#page=9</v>
      </c>
      <c r="AI32" s="152" t="str">
        <f t="shared" si="17"/>
        <v>https://ia800604.us.archive.org/18/items/GADeptofEd1925/GA.pdf#page=32</v>
      </c>
      <c r="AJ32" s="151" t="str">
        <f t="shared" si="17"/>
        <v>https://ia800604.us.archive.org/18/items/GADeptofEd1925/GA.pdf#page=9</v>
      </c>
      <c r="AK32" s="152" t="str">
        <f t="shared" si="17"/>
        <v>https://ia800604.us.archive.org/18/items/GADeptofEd1925/GA.pdf#page=32</v>
      </c>
      <c r="AL32" s="151" t="str">
        <f t="shared" si="17"/>
        <v>https://ia800604.us.archive.org/18/items/GADeptofEd1925/GA.pdf#page=13</v>
      </c>
      <c r="AM32" s="152" t="str">
        <f t="shared" si="17"/>
        <v>https://ia800604.us.archive.org/18/items/GADeptofEd1925/GA.pdf#page=36</v>
      </c>
      <c r="AN32" s="151" t="str">
        <f t="shared" si="12"/>
        <v>https://ia800604.us.archive.org/18/items/GADeptofEd1925/GA.pdf#page=13</v>
      </c>
      <c r="AO32" s="152" t="str">
        <f t="shared" si="18"/>
        <v>https://ia800604.us.archive.org/18/items/GADeptofEd1925/GA.pdf#page=32</v>
      </c>
      <c r="AP32" s="151" t="str">
        <f t="shared" si="18"/>
        <v>https://ia800604.us.archive.org/18/items/GADeptofEd1925/GA.pdf#page=26</v>
      </c>
      <c r="AQ32" s="152" t="str">
        <f t="shared" si="18"/>
        <v>https://ia800604.us.archive.org/18/items/GADeptofEd1925/GA.pdf#page=44</v>
      </c>
      <c r="AR32" s="151" t="str">
        <f t="shared" si="18"/>
        <v>https://ia800604.us.archive.org/18/items/GADeptofEd1925/GA.pdf#page=21</v>
      </c>
      <c r="AS32" s="152" t="str">
        <f t="shared" si="13"/>
        <v>https://ia800604.us.archive.org/18/items/GADeptofEd1925/GA.pdf#page=44</v>
      </c>
      <c r="AT32" s="151" t="str">
        <f t="shared" si="19"/>
        <v>https://ia800604.us.archive.org/18/items/GADeptofEd1925/GA.pdf#page=26</v>
      </c>
      <c r="AU32" s="152" t="str">
        <f t="shared" si="19"/>
        <v>https://ia800604.us.archive.org/18/items/GADeptofEd1925/GA.pdf#page=32</v>
      </c>
      <c r="AV32" s="151" t="str">
        <f t="shared" si="19"/>
        <v>https://ia800604.us.archive.org/18/items/GADeptofEd1925/GA.pdf#page=26</v>
      </c>
      <c r="AW32" s="152" t="str">
        <f t="shared" si="19"/>
        <v>https://ia800604.us.archive.org/18/items/GADeptofEd1925/GA.pdf#page=49</v>
      </c>
    </row>
    <row r="33" spans="1:49" x14ac:dyDescent="0.25">
      <c r="A33" s="27" t="s">
        <v>753</v>
      </c>
      <c r="B33" s="27" t="str">
        <f t="shared" si="0"/>
        <v>Georgia</v>
      </c>
      <c r="C33" s="27" t="str">
        <f t="shared" si="1"/>
        <v>Clayton</v>
      </c>
      <c r="D33" s="27">
        <v>1642</v>
      </c>
      <c r="E33" s="27">
        <v>836</v>
      </c>
      <c r="F33" s="27">
        <f t="shared" si="2"/>
        <v>2478</v>
      </c>
      <c r="G33" s="27">
        <v>2</v>
      </c>
      <c r="H33" s="27">
        <v>32</v>
      </c>
      <c r="I33" s="27">
        <v>3</v>
      </c>
      <c r="J33" s="27">
        <v>5</v>
      </c>
      <c r="K33" s="13">
        <f>17+1</f>
        <v>18</v>
      </c>
      <c r="L33" s="27">
        <f t="shared" si="3"/>
        <v>60</v>
      </c>
      <c r="M33" s="27">
        <v>140</v>
      </c>
      <c r="N33" s="27">
        <v>120</v>
      </c>
      <c r="O33" s="29">
        <f t="shared" si="4"/>
        <v>133.25262308313157</v>
      </c>
      <c r="P33" s="27">
        <v>2723</v>
      </c>
      <c r="Q33" s="7">
        <f t="shared" si="5"/>
        <v>22820</v>
      </c>
      <c r="R33" s="27">
        <v>4708.5200000000004</v>
      </c>
      <c r="S33" s="27">
        <v>100</v>
      </c>
      <c r="T33" s="27">
        <v>70</v>
      </c>
      <c r="U33" s="27">
        <v>140</v>
      </c>
      <c r="V33" s="27">
        <v>80</v>
      </c>
      <c r="W33" s="89">
        <f t="shared" si="6"/>
        <v>77.61904761904762</v>
      </c>
      <c r="X33" s="89">
        <f t="shared" si="7"/>
        <v>43.59740740740741</v>
      </c>
      <c r="Y33" s="97">
        <f t="shared" si="16"/>
        <v>68.478905472636811</v>
      </c>
      <c r="Z33" s="97">
        <f t="shared" si="8"/>
        <v>67.412555555555556</v>
      </c>
      <c r="AA33" s="27">
        <v>35182</v>
      </c>
      <c r="AB33" s="27">
        <v>33</v>
      </c>
      <c r="AC33" s="27">
        <v>44800</v>
      </c>
      <c r="AD33" s="27">
        <v>5200</v>
      </c>
      <c r="AE33" s="29">
        <f t="shared" si="9"/>
        <v>50000</v>
      </c>
      <c r="AF33" s="41">
        <v>1925</v>
      </c>
      <c r="AG33" s="4" t="s">
        <v>567</v>
      </c>
      <c r="AH33" s="151" t="str">
        <f t="shared" si="17"/>
        <v>https://ia800604.us.archive.org/18/items/GADeptofEd1925/GA.pdf#page=9</v>
      </c>
      <c r="AI33" s="152" t="str">
        <f t="shared" si="17"/>
        <v>https://ia800604.us.archive.org/18/items/GADeptofEd1925/GA.pdf#page=32</v>
      </c>
      <c r="AJ33" s="151" t="str">
        <f t="shared" si="17"/>
        <v>https://ia800604.us.archive.org/18/items/GADeptofEd1925/GA.pdf#page=9</v>
      </c>
      <c r="AK33" s="152" t="str">
        <f t="shared" si="17"/>
        <v>https://ia800604.us.archive.org/18/items/GADeptofEd1925/GA.pdf#page=32</v>
      </c>
      <c r="AL33" s="151" t="str">
        <f t="shared" si="17"/>
        <v>https://ia800604.us.archive.org/18/items/GADeptofEd1925/GA.pdf#page=13</v>
      </c>
      <c r="AM33" s="152" t="str">
        <f t="shared" si="17"/>
        <v>https://ia800604.us.archive.org/18/items/GADeptofEd1925/GA.pdf#page=36</v>
      </c>
      <c r="AN33" s="151" t="str">
        <f t="shared" si="12"/>
        <v>https://ia800604.us.archive.org/18/items/GADeptofEd1925/GA.pdf#page=13</v>
      </c>
      <c r="AO33" s="152" t="str">
        <f t="shared" si="18"/>
        <v>https://ia800604.us.archive.org/18/items/GADeptofEd1925/GA.pdf#page=32</v>
      </c>
      <c r="AP33" s="151" t="str">
        <f t="shared" si="18"/>
        <v>https://ia800604.us.archive.org/18/items/GADeptofEd1925/GA.pdf#page=26</v>
      </c>
      <c r="AQ33" s="152" t="str">
        <f t="shared" si="18"/>
        <v>https://ia800604.us.archive.org/18/items/GADeptofEd1925/GA.pdf#page=44</v>
      </c>
      <c r="AR33" s="151" t="str">
        <f t="shared" si="18"/>
        <v>https://ia800604.us.archive.org/18/items/GADeptofEd1925/GA.pdf#page=21</v>
      </c>
      <c r="AS33" s="152" t="str">
        <f t="shared" si="13"/>
        <v>https://ia800604.us.archive.org/18/items/GADeptofEd1925/GA.pdf#page=44</v>
      </c>
      <c r="AT33" s="151" t="str">
        <f t="shared" si="19"/>
        <v>https://ia800604.us.archive.org/18/items/GADeptofEd1925/GA.pdf#page=26</v>
      </c>
      <c r="AU33" s="152" t="str">
        <f t="shared" si="19"/>
        <v>https://ia800604.us.archive.org/18/items/GADeptofEd1925/GA.pdf#page=32</v>
      </c>
      <c r="AV33" s="151" t="str">
        <f t="shared" si="19"/>
        <v>https://ia800604.us.archive.org/18/items/GADeptofEd1925/GA.pdf#page=26</v>
      </c>
      <c r="AW33" s="152" t="str">
        <f t="shared" si="19"/>
        <v>https://ia800604.us.archive.org/18/items/GADeptofEd1925/GA.pdf#page=49</v>
      </c>
    </row>
    <row r="34" spans="1:49" x14ac:dyDescent="0.25">
      <c r="A34" s="27" t="s">
        <v>754</v>
      </c>
      <c r="B34" s="27" t="str">
        <f t="shared" si="0"/>
        <v>Georgia</v>
      </c>
      <c r="C34" s="27" t="str">
        <f t="shared" si="1"/>
        <v>Clinch</v>
      </c>
      <c r="D34" s="27">
        <v>1010</v>
      </c>
      <c r="E34" s="27">
        <v>485</v>
      </c>
      <c r="F34" s="27">
        <f t="shared" si="2"/>
        <v>1495</v>
      </c>
      <c r="G34" s="27">
        <v>3</v>
      </c>
      <c r="H34" s="27">
        <v>26</v>
      </c>
      <c r="I34" s="27">
        <v>2</v>
      </c>
      <c r="J34" s="27">
        <v>3</v>
      </c>
      <c r="K34" s="13">
        <v>16</v>
      </c>
      <c r="L34" s="27">
        <f t="shared" ref="L34:L65" si="20">G34+H34+I34+J34+K34</f>
        <v>50</v>
      </c>
      <c r="M34" s="27">
        <v>120</v>
      </c>
      <c r="N34" s="27">
        <v>120</v>
      </c>
      <c r="O34" s="29">
        <f t="shared" si="4"/>
        <v>120</v>
      </c>
      <c r="P34" s="27">
        <v>1808</v>
      </c>
      <c r="Q34" s="7">
        <f t="shared" ref="Q34:Q65" si="21">((G34*S34)+(H34*T34)+(I34*U34)+(J34*V34))*(M34/20)</f>
        <v>14229</v>
      </c>
      <c r="R34" s="27">
        <v>1963.75</v>
      </c>
      <c r="S34" s="27">
        <v>61</v>
      </c>
      <c r="T34" s="27">
        <v>61</v>
      </c>
      <c r="U34" s="27">
        <v>162.5</v>
      </c>
      <c r="V34" s="27">
        <v>92.5</v>
      </c>
      <c r="W34" s="89">
        <f t="shared" ref="W34:W65" si="22">Q34/(G34+H34+I34+J34)/(M34/20)</f>
        <v>69.75</v>
      </c>
      <c r="X34" s="89">
        <f t="shared" si="7"/>
        <v>20.455729166666668</v>
      </c>
      <c r="Y34" s="97">
        <f t="shared" si="16"/>
        <v>53.975833333333334</v>
      </c>
      <c r="Z34" s="97">
        <f t="shared" ref="Z34:Z65" si="23">( (W34*(G34+H34+I34+J34)) + (X34*K34) ) / L34</f>
        <v>53.975833333333327</v>
      </c>
      <c r="AA34" s="27">
        <v>26841</v>
      </c>
      <c r="AB34" s="27">
        <v>39</v>
      </c>
      <c r="AC34" s="27">
        <v>30875</v>
      </c>
      <c r="AD34" s="27">
        <v>3300</v>
      </c>
      <c r="AE34" s="29">
        <f t="shared" ref="AE34:AE65" si="24">AC34+AD34</f>
        <v>34175</v>
      </c>
      <c r="AF34" s="41">
        <v>1925</v>
      </c>
      <c r="AG34" s="4" t="s">
        <v>567</v>
      </c>
      <c r="AH34" s="151" t="str">
        <f t="shared" si="17"/>
        <v>https://ia800604.us.archive.org/18/items/GADeptofEd1925/GA.pdf#page=9</v>
      </c>
      <c r="AI34" s="152" t="str">
        <f t="shared" si="17"/>
        <v>https://ia800604.us.archive.org/18/items/GADeptofEd1925/GA.pdf#page=32</v>
      </c>
      <c r="AJ34" s="151" t="str">
        <f t="shared" si="17"/>
        <v>https://ia800604.us.archive.org/18/items/GADeptofEd1925/GA.pdf#page=9</v>
      </c>
      <c r="AK34" s="152" t="str">
        <f t="shared" si="17"/>
        <v>https://ia800604.us.archive.org/18/items/GADeptofEd1925/GA.pdf#page=32</v>
      </c>
      <c r="AL34" s="151" t="s">
        <v>2649</v>
      </c>
      <c r="AM34" s="152" t="str">
        <f t="shared" si="17"/>
        <v>https://ia800604.us.archive.org/18/items/GADeptofEd1925/GA.pdf#page=36</v>
      </c>
      <c r="AN34" s="151" t="str">
        <f t="shared" si="12"/>
        <v>https://ia800604.us.archive.org/18/items/GADeptofEd1925/GA.pdf#page=14</v>
      </c>
      <c r="AO34" s="152" t="str">
        <f t="shared" si="18"/>
        <v>https://ia800604.us.archive.org/18/items/GADeptofEd1925/GA.pdf#page=32</v>
      </c>
      <c r="AP34" s="151" t="str">
        <f t="shared" si="18"/>
        <v>https://ia800604.us.archive.org/18/items/GADeptofEd1925/GA.pdf#page=26</v>
      </c>
      <c r="AQ34" s="152" t="str">
        <f t="shared" si="18"/>
        <v>https://ia800604.us.archive.org/18/items/GADeptofEd1925/GA.pdf#page=44</v>
      </c>
      <c r="AR34" s="151" t="str">
        <f t="shared" si="18"/>
        <v>https://ia800604.us.archive.org/18/items/GADeptofEd1925/GA.pdf#page=21</v>
      </c>
      <c r="AS34" s="152" t="str">
        <f t="shared" si="13"/>
        <v>https://ia800604.us.archive.org/18/items/GADeptofEd1925/GA.pdf#page=44</v>
      </c>
      <c r="AT34" s="151" t="str">
        <f t="shared" si="19"/>
        <v>https://ia800604.us.archive.org/18/items/GADeptofEd1925/GA.pdf#page=26</v>
      </c>
      <c r="AU34" s="152" t="str">
        <f t="shared" si="19"/>
        <v>https://ia800604.us.archive.org/18/items/GADeptofEd1925/GA.pdf#page=32</v>
      </c>
      <c r="AV34" s="151" t="str">
        <f t="shared" si="19"/>
        <v>https://ia800604.us.archive.org/18/items/GADeptofEd1925/GA.pdf#page=26</v>
      </c>
      <c r="AW34" s="152" t="str">
        <f t="shared" si="19"/>
        <v>https://ia800604.us.archive.org/18/items/GADeptofEd1925/GA.pdf#page=49</v>
      </c>
    </row>
    <row r="35" spans="1:49" x14ac:dyDescent="0.25">
      <c r="A35" s="27" t="s">
        <v>755</v>
      </c>
      <c r="B35" s="27" t="str">
        <f t="shared" si="0"/>
        <v>Georgia</v>
      </c>
      <c r="C35" s="27" t="str">
        <f t="shared" si="1"/>
        <v>Cobb</v>
      </c>
      <c r="D35" s="27">
        <f>4450+1061+251</f>
        <v>5762</v>
      </c>
      <c r="E35" s="27">
        <f>721+304+28</f>
        <v>1053</v>
      </c>
      <c r="F35" s="27">
        <f t="shared" si="2"/>
        <v>6815</v>
      </c>
      <c r="G35" s="27">
        <v>12</v>
      </c>
      <c r="H35" s="27">
        <f>76+22+6</f>
        <v>104</v>
      </c>
      <c r="I35" s="27">
        <f>7+4+1</f>
        <v>12</v>
      </c>
      <c r="J35" s="27">
        <f>3+7+2</f>
        <v>12</v>
      </c>
      <c r="K35" s="13">
        <f>24+8+1</f>
        <v>33</v>
      </c>
      <c r="L35" s="27">
        <f t="shared" si="20"/>
        <v>173</v>
      </c>
      <c r="M35" s="27">
        <v>130</v>
      </c>
      <c r="N35" s="27">
        <v>130</v>
      </c>
      <c r="O35" s="29">
        <f t="shared" si="4"/>
        <v>130</v>
      </c>
      <c r="P35" s="27">
        <v>8368</v>
      </c>
      <c r="Q35" s="7">
        <f t="shared" si="21"/>
        <v>164319.47999999998</v>
      </c>
      <c r="R35" s="27">
        <f>6604+3892+405</f>
        <v>10901</v>
      </c>
      <c r="S35" s="27">
        <v>90</v>
      </c>
      <c r="T35" s="27">
        <f>60+90</f>
        <v>150</v>
      </c>
      <c r="U35" s="27">
        <f>125+140+166.66</f>
        <v>431.65999999999997</v>
      </c>
      <c r="V35" s="27">
        <f>90+120+75</f>
        <v>285</v>
      </c>
      <c r="W35" s="89">
        <f t="shared" si="22"/>
        <v>180.57085714285711</v>
      </c>
      <c r="X35" s="89">
        <f t="shared" si="7"/>
        <v>50.820512820512818</v>
      </c>
      <c r="Y35" s="97">
        <f t="shared" si="16"/>
        <v>155.82079146287236</v>
      </c>
      <c r="Z35" s="97">
        <f t="shared" si="23"/>
        <v>155.82079146287236</v>
      </c>
      <c r="AA35" s="27">
        <v>207375</v>
      </c>
      <c r="AB35" s="27">
        <v>63</v>
      </c>
      <c r="AC35" s="27">
        <f>127500+165000+17000</f>
        <v>309500</v>
      </c>
      <c r="AD35" s="27">
        <f>1000+10000</f>
        <v>11000</v>
      </c>
      <c r="AE35" s="29">
        <f t="shared" si="24"/>
        <v>320500</v>
      </c>
      <c r="AF35" s="41">
        <v>1925</v>
      </c>
      <c r="AG35" s="4" t="s">
        <v>567</v>
      </c>
      <c r="AH35" s="151" t="str">
        <f t="shared" ref="AH35:AM50" si="25">AH34</f>
        <v>https://ia800604.us.archive.org/18/items/GADeptofEd1925/GA.pdf#page=9</v>
      </c>
      <c r="AI35" s="152" t="str">
        <f t="shared" si="25"/>
        <v>https://ia800604.us.archive.org/18/items/GADeptofEd1925/GA.pdf#page=32</v>
      </c>
      <c r="AJ35" s="151" t="str">
        <f t="shared" si="25"/>
        <v>https://ia800604.us.archive.org/18/items/GADeptofEd1925/GA.pdf#page=9</v>
      </c>
      <c r="AK35" s="152" t="str">
        <f t="shared" si="25"/>
        <v>https://ia800604.us.archive.org/18/items/GADeptofEd1925/GA.pdf#page=32</v>
      </c>
      <c r="AL35" s="151" t="str">
        <f>AL34</f>
        <v>https://ia800604.us.archive.org/18/items/GADeptofEd1925/GA.pdf#page=14</v>
      </c>
      <c r="AM35" s="152" t="s">
        <v>2650</v>
      </c>
      <c r="AN35" s="151" t="str">
        <f t="shared" si="12"/>
        <v>https://ia800604.us.archive.org/18/items/GADeptofEd1925/GA.pdf#page=14</v>
      </c>
      <c r="AO35" s="152" t="str">
        <f t="shared" si="18"/>
        <v>https://ia800604.us.archive.org/18/items/GADeptofEd1925/GA.pdf#page=32</v>
      </c>
      <c r="AP35" s="151" t="s">
        <v>2651</v>
      </c>
      <c r="AQ35" s="152" t="str">
        <f t="shared" si="18"/>
        <v>https://ia800604.us.archive.org/18/items/GADeptofEd1925/GA.pdf#page=44</v>
      </c>
      <c r="AR35" s="151" t="s">
        <v>2652</v>
      </c>
      <c r="AS35" s="152" t="str">
        <f t="shared" si="13"/>
        <v>https://ia800604.us.archive.org/18/items/GADeptofEd1925/GA.pdf#page=44</v>
      </c>
      <c r="AT35" s="151" t="s">
        <v>2651</v>
      </c>
      <c r="AU35" s="152" t="str">
        <f t="shared" si="19"/>
        <v>https://ia800604.us.archive.org/18/items/GADeptofEd1925/GA.pdf#page=32</v>
      </c>
      <c r="AV35" s="151" t="s">
        <v>2651</v>
      </c>
      <c r="AW35" s="152" t="s">
        <v>2653</v>
      </c>
    </row>
    <row r="36" spans="1:49" x14ac:dyDescent="0.25">
      <c r="A36" s="27" t="s">
        <v>756</v>
      </c>
      <c r="B36" s="27" t="str">
        <f t="shared" si="0"/>
        <v>Georgia</v>
      </c>
      <c r="C36" s="27" t="str">
        <f t="shared" si="1"/>
        <v>Coffee</v>
      </c>
      <c r="D36" s="27">
        <f>1876+200+513+200</f>
        <v>2789</v>
      </c>
      <c r="E36" s="27">
        <f>317+40+27</f>
        <v>384</v>
      </c>
      <c r="F36" s="27">
        <f t="shared" si="2"/>
        <v>3173</v>
      </c>
      <c r="G36" s="27">
        <f>8+1</f>
        <v>9</v>
      </c>
      <c r="H36" s="27">
        <f>47+5+10+5</f>
        <v>67</v>
      </c>
      <c r="I36" s="27">
        <f>2+1+2+1</f>
        <v>6</v>
      </c>
      <c r="J36" s="27">
        <f>1+2+1</f>
        <v>4</v>
      </c>
      <c r="K36" s="13">
        <f>15+1+7+1</f>
        <v>24</v>
      </c>
      <c r="L36" s="27">
        <f t="shared" si="20"/>
        <v>110</v>
      </c>
      <c r="M36" s="27">
        <v>120</v>
      </c>
      <c r="N36" s="27">
        <v>120</v>
      </c>
      <c r="O36" s="29">
        <f t="shared" si="4"/>
        <v>120</v>
      </c>
      <c r="P36" s="27">
        <v>3794</v>
      </c>
      <c r="Q36" s="7">
        <f t="shared" si="21"/>
        <v>135899.45999999996</v>
      </c>
      <c r="R36" s="27">
        <f>3273.5+300+2125+300</f>
        <v>5998.5</v>
      </c>
      <c r="S36" s="27">
        <v>73.39</v>
      </c>
      <c r="T36" s="27">
        <f>61.2+65+74+70</f>
        <v>270.2</v>
      </c>
      <c r="U36" s="27">
        <f>90+166+100+115</f>
        <v>471</v>
      </c>
      <c r="V36" s="27">
        <f>0+75+100+90</f>
        <v>265</v>
      </c>
      <c r="W36" s="89">
        <f t="shared" si="22"/>
        <v>263.37104651162787</v>
      </c>
      <c r="X36" s="89">
        <f t="shared" si="7"/>
        <v>41.65625</v>
      </c>
      <c r="Y36" s="97">
        <f t="shared" si="16"/>
        <v>214.99690909090904</v>
      </c>
      <c r="Z36" s="97">
        <f t="shared" si="23"/>
        <v>214.99690909090904</v>
      </c>
      <c r="AA36" s="27">
        <v>74456</v>
      </c>
      <c r="AB36" s="27">
        <v>34</v>
      </c>
      <c r="AC36" s="27">
        <f>37950+12000+55000+9000</f>
        <v>113950</v>
      </c>
      <c r="AD36" s="27">
        <f>1000+10000+800</f>
        <v>11800</v>
      </c>
      <c r="AE36" s="29">
        <f t="shared" si="24"/>
        <v>125750</v>
      </c>
      <c r="AF36" s="41">
        <v>1925</v>
      </c>
      <c r="AG36" s="4" t="s">
        <v>567</v>
      </c>
      <c r="AH36" s="151" t="str">
        <f t="shared" si="25"/>
        <v>https://ia800604.us.archive.org/18/items/GADeptofEd1925/GA.pdf#page=9</v>
      </c>
      <c r="AI36" s="152" t="str">
        <f t="shared" si="25"/>
        <v>https://ia800604.us.archive.org/18/items/GADeptofEd1925/GA.pdf#page=32</v>
      </c>
      <c r="AJ36" s="151" t="str">
        <f t="shared" si="25"/>
        <v>https://ia800604.us.archive.org/18/items/GADeptofEd1925/GA.pdf#page=9</v>
      </c>
      <c r="AK36" s="152" t="str">
        <f t="shared" si="25"/>
        <v>https://ia800604.us.archive.org/18/items/GADeptofEd1925/GA.pdf#page=32</v>
      </c>
      <c r="AL36" s="151" t="str">
        <f t="shared" si="25"/>
        <v>https://ia800604.us.archive.org/18/items/GADeptofEd1925/GA.pdf#page=14</v>
      </c>
      <c r="AM36" s="152" t="str">
        <f t="shared" si="25"/>
        <v>https://ia800604.us.archive.org/18/items/GADeptofEd1925/GA.pdf#page=37</v>
      </c>
      <c r="AN36" s="151" t="str">
        <f t="shared" si="12"/>
        <v>https://ia800604.us.archive.org/18/items/GADeptofEd1925/GA.pdf#page=14</v>
      </c>
      <c r="AO36" s="152" t="str">
        <f t="shared" ref="AO36:AR51" si="26">AO35</f>
        <v>https://ia800604.us.archive.org/18/items/GADeptofEd1925/GA.pdf#page=32</v>
      </c>
      <c r="AP36" s="151" t="str">
        <f>AP35</f>
        <v>https://ia800604.us.archive.org/18/items/GADeptofEd1925/GA.pdf#page=28</v>
      </c>
      <c r="AQ36" s="152" t="s">
        <v>2654</v>
      </c>
      <c r="AR36" s="151" t="str">
        <f>AR35</f>
        <v>https://ia800604.us.archive.org/18/items/GADeptofEd1925/GA.pdf#page=22</v>
      </c>
      <c r="AS36" s="152" t="str">
        <f t="shared" si="13"/>
        <v>https://ia800604.us.archive.org/18/items/GADeptofEd1925/GA.pdf#page=45</v>
      </c>
      <c r="AT36" s="151" t="str">
        <f>AT35</f>
        <v>https://ia800604.us.archive.org/18/items/GADeptofEd1925/GA.pdf#page=28</v>
      </c>
      <c r="AU36" s="152" t="str">
        <f t="shared" ref="AU36:AV51" si="27">AU35</f>
        <v>https://ia800604.us.archive.org/18/items/GADeptofEd1925/GA.pdf#page=32</v>
      </c>
      <c r="AV36" s="151" t="str">
        <f>AV35</f>
        <v>https://ia800604.us.archive.org/18/items/GADeptofEd1925/GA.pdf#page=28</v>
      </c>
      <c r="AW36" s="152" t="str">
        <f t="shared" ref="AW36:AW99" si="28">AW35</f>
        <v>https://ia800604.us.archive.org/18/items/GADeptofEd1925/GA.pdf#page=50</v>
      </c>
    </row>
    <row r="37" spans="1:49" x14ac:dyDescent="0.25">
      <c r="A37" s="27" t="s">
        <v>757</v>
      </c>
      <c r="B37" s="27" t="str">
        <f t="shared" si="0"/>
        <v>Georgia</v>
      </c>
      <c r="C37" s="27" t="str">
        <f t="shared" si="1"/>
        <v>Colquitt</v>
      </c>
      <c r="D37" s="27">
        <f>3703+174+909</f>
        <v>4786</v>
      </c>
      <c r="E37" s="27">
        <f>478+500</f>
        <v>978</v>
      </c>
      <c r="F37" s="27">
        <f t="shared" si="2"/>
        <v>5764</v>
      </c>
      <c r="G37" s="27">
        <v>7</v>
      </c>
      <c r="H37" s="27">
        <f>90+5+21</f>
        <v>116</v>
      </c>
      <c r="I37" s="27">
        <f>8+1+2</f>
        <v>11</v>
      </c>
      <c r="J37" s="27">
        <f>5+2+9</f>
        <v>16</v>
      </c>
      <c r="K37" s="27">
        <f>90+9+1</f>
        <v>100</v>
      </c>
      <c r="L37" s="27">
        <f t="shared" si="20"/>
        <v>250</v>
      </c>
      <c r="M37" s="27">
        <v>120</v>
      </c>
      <c r="N37" s="27">
        <v>100</v>
      </c>
      <c r="O37" s="29">
        <f t="shared" si="4"/>
        <v>116.60652324774462</v>
      </c>
      <c r="P37" s="27">
        <v>7045</v>
      </c>
      <c r="Q37" s="7">
        <f t="shared" si="21"/>
        <v>202572.36</v>
      </c>
      <c r="R37" s="27">
        <f>2721.75+387.5+4620</f>
        <v>7729.25</v>
      </c>
      <c r="S37" s="27">
        <v>75</v>
      </c>
      <c r="T37" s="27">
        <f>62.5+75+72.73</f>
        <v>210.23000000000002</v>
      </c>
      <c r="U37" s="27">
        <f>100+166.66+132</f>
        <v>398.65999999999997</v>
      </c>
      <c r="V37" s="27">
        <f>80+100+99.07</f>
        <v>279.07</v>
      </c>
      <c r="W37" s="89">
        <f t="shared" si="22"/>
        <v>225.08039999999997</v>
      </c>
      <c r="X37" s="89">
        <f t="shared" si="7"/>
        <v>15.458500000000001</v>
      </c>
      <c r="Y37" s="97">
        <f t="shared" si="16"/>
        <v>150.21543571428572</v>
      </c>
      <c r="Z37" s="97">
        <f t="shared" si="23"/>
        <v>141.23164</v>
      </c>
      <c r="AA37" s="27">
        <v>147910</v>
      </c>
      <c r="AB37" s="27">
        <v>72</v>
      </c>
      <c r="AC37" s="27">
        <f>140000+20000+118600</f>
        <v>278600</v>
      </c>
      <c r="AD37" s="27">
        <f>2000+7000</f>
        <v>9000</v>
      </c>
      <c r="AE37" s="29">
        <f t="shared" si="24"/>
        <v>287600</v>
      </c>
      <c r="AF37" s="41">
        <v>1925</v>
      </c>
      <c r="AG37" s="4" t="s">
        <v>567</v>
      </c>
      <c r="AH37" s="151" t="str">
        <f t="shared" si="25"/>
        <v>https://ia800604.us.archive.org/18/items/GADeptofEd1925/GA.pdf#page=9</v>
      </c>
      <c r="AI37" s="152" t="str">
        <f t="shared" si="25"/>
        <v>https://ia800604.us.archive.org/18/items/GADeptofEd1925/GA.pdf#page=32</v>
      </c>
      <c r="AJ37" s="151" t="str">
        <f t="shared" si="25"/>
        <v>https://ia800604.us.archive.org/18/items/GADeptofEd1925/GA.pdf#page=9</v>
      </c>
      <c r="AK37" s="152" t="str">
        <f t="shared" si="25"/>
        <v>https://ia800604.us.archive.org/18/items/GADeptofEd1925/GA.pdf#page=32</v>
      </c>
      <c r="AL37" s="151" t="str">
        <f t="shared" si="25"/>
        <v>https://ia800604.us.archive.org/18/items/GADeptofEd1925/GA.pdf#page=14</v>
      </c>
      <c r="AM37" s="152" t="str">
        <f t="shared" si="25"/>
        <v>https://ia800604.us.archive.org/18/items/GADeptofEd1925/GA.pdf#page=37</v>
      </c>
      <c r="AN37" s="151" t="str">
        <f t="shared" si="12"/>
        <v>https://ia800604.us.archive.org/18/items/GADeptofEd1925/GA.pdf#page=14</v>
      </c>
      <c r="AO37" s="152" t="str">
        <f t="shared" si="26"/>
        <v>https://ia800604.us.archive.org/18/items/GADeptofEd1925/GA.pdf#page=32</v>
      </c>
      <c r="AP37" s="151" t="str">
        <f t="shared" si="26"/>
        <v>https://ia800604.us.archive.org/18/items/GADeptofEd1925/GA.pdf#page=28</v>
      </c>
      <c r="AQ37" s="152" t="str">
        <f t="shared" si="26"/>
        <v>https://ia800604.us.archive.org/18/items/GADeptofEd1925/GA.pdf#page=45</v>
      </c>
      <c r="AR37" s="151" t="str">
        <f t="shared" si="26"/>
        <v>https://ia800604.us.archive.org/18/items/GADeptofEd1925/GA.pdf#page=22</v>
      </c>
      <c r="AS37" s="152" t="str">
        <f t="shared" si="13"/>
        <v>https://ia800604.us.archive.org/18/items/GADeptofEd1925/GA.pdf#page=45</v>
      </c>
      <c r="AT37" s="151" t="str">
        <f t="shared" ref="AT37:AV52" si="29">AT36</f>
        <v>https://ia800604.us.archive.org/18/items/GADeptofEd1925/GA.pdf#page=28</v>
      </c>
      <c r="AU37" s="152" t="str">
        <f t="shared" si="27"/>
        <v>https://ia800604.us.archive.org/18/items/GADeptofEd1925/GA.pdf#page=32</v>
      </c>
      <c r="AV37" s="151" t="str">
        <f t="shared" si="27"/>
        <v>https://ia800604.us.archive.org/18/items/GADeptofEd1925/GA.pdf#page=28</v>
      </c>
      <c r="AW37" s="152" t="str">
        <f t="shared" si="28"/>
        <v>https://ia800604.us.archive.org/18/items/GADeptofEd1925/GA.pdf#page=50</v>
      </c>
    </row>
    <row r="38" spans="1:49" x14ac:dyDescent="0.25">
      <c r="A38" s="27" t="s">
        <v>758</v>
      </c>
      <c r="B38" s="27" t="str">
        <f t="shared" si="0"/>
        <v>Georgia</v>
      </c>
      <c r="C38" s="27" t="str">
        <f t="shared" si="1"/>
        <v>Columbia</v>
      </c>
      <c r="D38" s="27">
        <v>631</v>
      </c>
      <c r="E38" s="27">
        <v>768</v>
      </c>
      <c r="F38" s="27">
        <f t="shared" si="2"/>
        <v>1399</v>
      </c>
      <c r="G38" s="27">
        <v>0</v>
      </c>
      <c r="H38" s="27">
        <v>25</v>
      </c>
      <c r="I38" s="27">
        <v>5</v>
      </c>
      <c r="J38" s="27">
        <v>5</v>
      </c>
      <c r="K38" s="13">
        <v>37</v>
      </c>
      <c r="L38" s="27">
        <f t="shared" si="20"/>
        <v>72</v>
      </c>
      <c r="M38" s="27">
        <v>160</v>
      </c>
      <c r="N38" s="27">
        <v>90</v>
      </c>
      <c r="O38" s="29">
        <f t="shared" si="4"/>
        <v>121.57255182273052</v>
      </c>
      <c r="P38" s="27">
        <v>5178</v>
      </c>
      <c r="Q38" s="7">
        <f t="shared" si="21"/>
        <v>19748</v>
      </c>
      <c r="R38" s="27">
        <f>3991.75+1522.5+5043.99+261.6</f>
        <v>10819.84</v>
      </c>
      <c r="S38" s="27"/>
      <c r="T38" s="27">
        <v>54.7</v>
      </c>
      <c r="U38" s="27">
        <v>127.7</v>
      </c>
      <c r="V38" s="27">
        <v>92.5</v>
      </c>
      <c r="W38" s="89">
        <f t="shared" si="22"/>
        <v>70.528571428571425</v>
      </c>
      <c r="X38" s="89">
        <f t="shared" si="7"/>
        <v>64.984024024024023</v>
      </c>
      <c r="Y38" s="97">
        <f t="shared" si="16"/>
        <v>68.4610078387458</v>
      </c>
      <c r="Z38" s="97">
        <f t="shared" si="23"/>
        <v>67.679290123456795</v>
      </c>
      <c r="AA38" s="27">
        <v>75645</v>
      </c>
      <c r="AB38" s="27">
        <v>104</v>
      </c>
      <c r="AC38" s="27">
        <v>73500</v>
      </c>
      <c r="AD38" s="27">
        <f>3000+2000+12500+600</f>
        <v>18100</v>
      </c>
      <c r="AE38" s="29">
        <f t="shared" si="24"/>
        <v>91600</v>
      </c>
      <c r="AF38" s="41">
        <v>1925</v>
      </c>
      <c r="AG38" s="4" t="s">
        <v>567</v>
      </c>
      <c r="AH38" s="151" t="str">
        <f t="shared" si="25"/>
        <v>https://ia800604.us.archive.org/18/items/GADeptofEd1925/GA.pdf#page=9</v>
      </c>
      <c r="AI38" s="152" t="str">
        <f t="shared" si="25"/>
        <v>https://ia800604.us.archive.org/18/items/GADeptofEd1925/GA.pdf#page=32</v>
      </c>
      <c r="AJ38" s="151" t="str">
        <f t="shared" si="25"/>
        <v>https://ia800604.us.archive.org/18/items/GADeptofEd1925/GA.pdf#page=9</v>
      </c>
      <c r="AK38" s="152" t="str">
        <f t="shared" si="25"/>
        <v>https://ia800604.us.archive.org/18/items/GADeptofEd1925/GA.pdf#page=32</v>
      </c>
      <c r="AL38" s="151" t="str">
        <f t="shared" si="25"/>
        <v>https://ia800604.us.archive.org/18/items/GADeptofEd1925/GA.pdf#page=14</v>
      </c>
      <c r="AM38" s="152" t="str">
        <f t="shared" si="25"/>
        <v>https://ia800604.us.archive.org/18/items/GADeptofEd1925/GA.pdf#page=37</v>
      </c>
      <c r="AN38" s="151" t="str">
        <f t="shared" si="12"/>
        <v>https://ia800604.us.archive.org/18/items/GADeptofEd1925/GA.pdf#page=14</v>
      </c>
      <c r="AO38" s="152" t="str">
        <f t="shared" si="26"/>
        <v>https://ia800604.us.archive.org/18/items/GADeptofEd1925/GA.pdf#page=32</v>
      </c>
      <c r="AP38" s="151" t="str">
        <f t="shared" si="26"/>
        <v>https://ia800604.us.archive.org/18/items/GADeptofEd1925/GA.pdf#page=28</v>
      </c>
      <c r="AQ38" s="152" t="str">
        <f t="shared" si="26"/>
        <v>https://ia800604.us.archive.org/18/items/GADeptofEd1925/GA.pdf#page=45</v>
      </c>
      <c r="AR38" s="151" t="str">
        <f t="shared" si="26"/>
        <v>https://ia800604.us.archive.org/18/items/GADeptofEd1925/GA.pdf#page=22</v>
      </c>
      <c r="AS38" s="152" t="str">
        <f t="shared" si="13"/>
        <v>https://ia800604.us.archive.org/18/items/GADeptofEd1925/GA.pdf#page=45</v>
      </c>
      <c r="AT38" s="151" t="str">
        <f t="shared" si="29"/>
        <v>https://ia800604.us.archive.org/18/items/GADeptofEd1925/GA.pdf#page=28</v>
      </c>
      <c r="AU38" s="152" t="str">
        <f t="shared" si="27"/>
        <v>https://ia800604.us.archive.org/18/items/GADeptofEd1925/GA.pdf#page=32</v>
      </c>
      <c r="AV38" s="151" t="str">
        <f t="shared" si="27"/>
        <v>https://ia800604.us.archive.org/18/items/GADeptofEd1925/GA.pdf#page=28</v>
      </c>
      <c r="AW38" s="152" t="str">
        <f t="shared" si="28"/>
        <v>https://ia800604.us.archive.org/18/items/GADeptofEd1925/GA.pdf#page=50</v>
      </c>
    </row>
    <row r="39" spans="1:49" x14ac:dyDescent="0.25">
      <c r="A39" s="27" t="s">
        <v>760</v>
      </c>
      <c r="B39" s="27" t="str">
        <f t="shared" si="0"/>
        <v>Georgia</v>
      </c>
      <c r="C39" s="27" t="str">
        <f t="shared" si="1"/>
        <v>Coweta</v>
      </c>
      <c r="D39" s="27">
        <f>1792+1108+154</f>
        <v>3054</v>
      </c>
      <c r="E39" s="27">
        <f>1365+490+20</f>
        <v>1875</v>
      </c>
      <c r="F39" s="27">
        <f t="shared" si="2"/>
        <v>4929</v>
      </c>
      <c r="G39" s="27">
        <v>0</v>
      </c>
      <c r="H39" s="27">
        <f>43+24+4</f>
        <v>71</v>
      </c>
      <c r="I39" s="27">
        <f>5+3+1</f>
        <v>9</v>
      </c>
      <c r="J39" s="27">
        <f>10+9+2</f>
        <v>21</v>
      </c>
      <c r="K39" s="13">
        <f>45+9+1+1+2</f>
        <v>58</v>
      </c>
      <c r="L39" s="27">
        <f t="shared" si="20"/>
        <v>159</v>
      </c>
      <c r="M39" s="27">
        <v>180</v>
      </c>
      <c r="N39" s="27">
        <v>60</v>
      </c>
      <c r="O39" s="29">
        <f t="shared" si="4"/>
        <v>134.35179549604382</v>
      </c>
      <c r="P39" s="27">
        <v>6630</v>
      </c>
      <c r="Q39" s="7">
        <f t="shared" si="21"/>
        <v>260550</v>
      </c>
      <c r="R39" s="27">
        <f>5599.25+3930+390.62</f>
        <v>9919.8700000000008</v>
      </c>
      <c r="S39" s="27">
        <v>75</v>
      </c>
      <c r="T39" s="27">
        <f>60+111+75</f>
        <v>246</v>
      </c>
      <c r="U39" s="27">
        <f>172+220+177</f>
        <v>569</v>
      </c>
      <c r="V39" s="27">
        <f>86+130+87</f>
        <v>303</v>
      </c>
      <c r="W39" s="89">
        <f t="shared" si="22"/>
        <v>286.63366336633663</v>
      </c>
      <c r="X39" s="89">
        <f t="shared" si="7"/>
        <v>57.01074712643679</v>
      </c>
      <c r="Y39" s="97">
        <f t="shared" si="16"/>
        <v>249.74133887349956</v>
      </c>
      <c r="Z39" s="97">
        <f t="shared" si="23"/>
        <v>202.87184486373167</v>
      </c>
      <c r="AA39" s="27">
        <v>118689</v>
      </c>
      <c r="AB39" s="27">
        <v>61</v>
      </c>
      <c r="AC39" s="27">
        <f>87000+110500+20000</f>
        <v>217500</v>
      </c>
      <c r="AD39" s="27">
        <f>16100+10000+100</f>
        <v>26200</v>
      </c>
      <c r="AE39" s="29">
        <f t="shared" si="24"/>
        <v>243700</v>
      </c>
      <c r="AF39" s="41">
        <v>1925</v>
      </c>
      <c r="AG39" s="4" t="s">
        <v>567</v>
      </c>
      <c r="AH39" s="151" t="str">
        <f t="shared" si="25"/>
        <v>https://ia800604.us.archive.org/18/items/GADeptofEd1925/GA.pdf#page=9</v>
      </c>
      <c r="AI39" s="152" t="str">
        <f t="shared" si="25"/>
        <v>https://ia800604.us.archive.org/18/items/GADeptofEd1925/GA.pdf#page=32</v>
      </c>
      <c r="AJ39" s="151" t="str">
        <f t="shared" si="25"/>
        <v>https://ia800604.us.archive.org/18/items/GADeptofEd1925/GA.pdf#page=9</v>
      </c>
      <c r="AK39" s="152" t="str">
        <f t="shared" si="25"/>
        <v>https://ia800604.us.archive.org/18/items/GADeptofEd1925/GA.pdf#page=32</v>
      </c>
      <c r="AL39" s="151" t="str">
        <f t="shared" si="25"/>
        <v>https://ia800604.us.archive.org/18/items/GADeptofEd1925/GA.pdf#page=14</v>
      </c>
      <c r="AM39" s="152" t="str">
        <f t="shared" si="25"/>
        <v>https://ia800604.us.archive.org/18/items/GADeptofEd1925/GA.pdf#page=37</v>
      </c>
      <c r="AN39" s="151" t="str">
        <f t="shared" si="12"/>
        <v>https://ia800604.us.archive.org/18/items/GADeptofEd1925/GA.pdf#page=14</v>
      </c>
      <c r="AO39" s="152" t="str">
        <f t="shared" si="26"/>
        <v>https://ia800604.us.archive.org/18/items/GADeptofEd1925/GA.pdf#page=32</v>
      </c>
      <c r="AP39" s="151" t="str">
        <f t="shared" si="26"/>
        <v>https://ia800604.us.archive.org/18/items/GADeptofEd1925/GA.pdf#page=28</v>
      </c>
      <c r="AQ39" s="152" t="str">
        <f t="shared" si="26"/>
        <v>https://ia800604.us.archive.org/18/items/GADeptofEd1925/GA.pdf#page=45</v>
      </c>
      <c r="AR39" s="151" t="str">
        <f t="shared" si="26"/>
        <v>https://ia800604.us.archive.org/18/items/GADeptofEd1925/GA.pdf#page=22</v>
      </c>
      <c r="AS39" s="152" t="str">
        <f t="shared" si="13"/>
        <v>https://ia800604.us.archive.org/18/items/GADeptofEd1925/GA.pdf#page=45</v>
      </c>
      <c r="AT39" s="151" t="str">
        <f t="shared" si="29"/>
        <v>https://ia800604.us.archive.org/18/items/GADeptofEd1925/GA.pdf#page=28</v>
      </c>
      <c r="AU39" s="152" t="str">
        <f t="shared" si="27"/>
        <v>https://ia800604.us.archive.org/18/items/GADeptofEd1925/GA.pdf#page=32</v>
      </c>
      <c r="AV39" s="151" t="str">
        <f t="shared" si="27"/>
        <v>https://ia800604.us.archive.org/18/items/GADeptofEd1925/GA.pdf#page=28</v>
      </c>
      <c r="AW39" s="152" t="str">
        <f t="shared" si="28"/>
        <v>https://ia800604.us.archive.org/18/items/GADeptofEd1925/GA.pdf#page=50</v>
      </c>
    </row>
    <row r="40" spans="1:49" x14ac:dyDescent="0.25">
      <c r="A40" s="27" t="s">
        <v>761</v>
      </c>
      <c r="B40" s="27" t="str">
        <f t="shared" si="0"/>
        <v>Georgia</v>
      </c>
      <c r="C40" s="27" t="str">
        <f t="shared" si="1"/>
        <v>Crawford</v>
      </c>
      <c r="D40" s="27">
        <v>662</v>
      </c>
      <c r="E40" s="27">
        <v>669</v>
      </c>
      <c r="F40" s="27">
        <f t="shared" si="2"/>
        <v>1331</v>
      </c>
      <c r="G40" s="27">
        <v>1</v>
      </c>
      <c r="H40" s="27">
        <v>24</v>
      </c>
      <c r="I40" s="27">
        <v>2</v>
      </c>
      <c r="J40" s="27">
        <v>3</v>
      </c>
      <c r="K40" s="13">
        <v>22</v>
      </c>
      <c r="L40" s="27">
        <f t="shared" si="20"/>
        <v>52</v>
      </c>
      <c r="M40" s="27">
        <v>140</v>
      </c>
      <c r="N40" s="27">
        <v>120</v>
      </c>
      <c r="O40" s="29">
        <f t="shared" si="4"/>
        <v>129.94740796393688</v>
      </c>
      <c r="P40" s="27">
        <v>1835</v>
      </c>
      <c r="Q40" s="7">
        <f t="shared" si="21"/>
        <v>14323.119999999999</v>
      </c>
      <c r="R40" s="27">
        <v>1874.75</v>
      </c>
      <c r="S40" s="27">
        <v>75</v>
      </c>
      <c r="T40" s="27">
        <v>58.65</v>
      </c>
      <c r="U40" s="27">
        <v>164</v>
      </c>
      <c r="V40" s="27">
        <v>78.52</v>
      </c>
      <c r="W40" s="89">
        <f t="shared" si="22"/>
        <v>68.205333333333328</v>
      </c>
      <c r="X40" s="89">
        <f t="shared" si="7"/>
        <v>14.202651515151516</v>
      </c>
      <c r="Y40" s="97">
        <f t="shared" si="16"/>
        <v>47.362192982456143</v>
      </c>
      <c r="Z40" s="97">
        <f t="shared" si="23"/>
        <v>45.358044871794874</v>
      </c>
      <c r="AA40" s="27">
        <v>66504</v>
      </c>
      <c r="AB40" s="27">
        <v>66</v>
      </c>
      <c r="AC40" s="27">
        <f>25000</f>
        <v>25000</v>
      </c>
      <c r="AD40" s="27">
        <v>2800</v>
      </c>
      <c r="AE40" s="29">
        <f t="shared" si="24"/>
        <v>27800</v>
      </c>
      <c r="AF40" s="41">
        <v>1925</v>
      </c>
      <c r="AG40" s="4" t="s">
        <v>567</v>
      </c>
      <c r="AH40" s="151" t="str">
        <f t="shared" si="25"/>
        <v>https://ia800604.us.archive.org/18/items/GADeptofEd1925/GA.pdf#page=9</v>
      </c>
      <c r="AI40" s="152" t="str">
        <f t="shared" si="25"/>
        <v>https://ia800604.us.archive.org/18/items/GADeptofEd1925/GA.pdf#page=32</v>
      </c>
      <c r="AJ40" s="151" t="str">
        <f t="shared" si="25"/>
        <v>https://ia800604.us.archive.org/18/items/GADeptofEd1925/GA.pdf#page=9</v>
      </c>
      <c r="AK40" s="152" t="str">
        <f t="shared" si="25"/>
        <v>https://ia800604.us.archive.org/18/items/GADeptofEd1925/GA.pdf#page=32</v>
      </c>
      <c r="AL40" s="151" t="str">
        <f t="shared" si="25"/>
        <v>https://ia800604.us.archive.org/18/items/GADeptofEd1925/GA.pdf#page=14</v>
      </c>
      <c r="AM40" s="152" t="str">
        <f t="shared" si="25"/>
        <v>https://ia800604.us.archive.org/18/items/GADeptofEd1925/GA.pdf#page=37</v>
      </c>
      <c r="AN40" s="151" t="str">
        <f t="shared" si="12"/>
        <v>https://ia800604.us.archive.org/18/items/GADeptofEd1925/GA.pdf#page=14</v>
      </c>
      <c r="AO40" s="152" t="str">
        <f t="shared" si="26"/>
        <v>https://ia800604.us.archive.org/18/items/GADeptofEd1925/GA.pdf#page=32</v>
      </c>
      <c r="AP40" s="151" t="str">
        <f t="shared" si="26"/>
        <v>https://ia800604.us.archive.org/18/items/GADeptofEd1925/GA.pdf#page=28</v>
      </c>
      <c r="AQ40" s="152" t="str">
        <f t="shared" si="26"/>
        <v>https://ia800604.us.archive.org/18/items/GADeptofEd1925/GA.pdf#page=45</v>
      </c>
      <c r="AR40" s="151" t="str">
        <f t="shared" si="26"/>
        <v>https://ia800604.us.archive.org/18/items/GADeptofEd1925/GA.pdf#page=22</v>
      </c>
      <c r="AS40" s="152" t="str">
        <f t="shared" si="13"/>
        <v>https://ia800604.us.archive.org/18/items/GADeptofEd1925/GA.pdf#page=45</v>
      </c>
      <c r="AT40" s="151" t="str">
        <f t="shared" si="29"/>
        <v>https://ia800604.us.archive.org/18/items/GADeptofEd1925/GA.pdf#page=28</v>
      </c>
      <c r="AU40" s="152" t="str">
        <f t="shared" si="27"/>
        <v>https://ia800604.us.archive.org/18/items/GADeptofEd1925/GA.pdf#page=32</v>
      </c>
      <c r="AV40" s="151" t="str">
        <f t="shared" si="27"/>
        <v>https://ia800604.us.archive.org/18/items/GADeptofEd1925/GA.pdf#page=28</v>
      </c>
      <c r="AW40" s="152" t="str">
        <f t="shared" si="28"/>
        <v>https://ia800604.us.archive.org/18/items/GADeptofEd1925/GA.pdf#page=50</v>
      </c>
    </row>
    <row r="41" spans="1:49" x14ac:dyDescent="0.25">
      <c r="A41" s="27" t="s">
        <v>762</v>
      </c>
      <c r="B41" s="27" t="str">
        <f t="shared" si="0"/>
        <v>Georgia</v>
      </c>
      <c r="C41" s="27" t="str">
        <f t="shared" si="1"/>
        <v>Crisp</v>
      </c>
      <c r="D41" s="27">
        <f>1104+790</f>
        <v>1894</v>
      </c>
      <c r="E41" s="27">
        <f>680+133</f>
        <v>813</v>
      </c>
      <c r="F41" s="27">
        <f t="shared" si="2"/>
        <v>2707</v>
      </c>
      <c r="G41" s="27">
        <v>2</v>
      </c>
      <c r="H41" s="27">
        <f>41+21</f>
        <v>62</v>
      </c>
      <c r="I41" s="27">
        <f>2+3</f>
        <v>5</v>
      </c>
      <c r="J41" s="27">
        <f>3+7</f>
        <v>10</v>
      </c>
      <c r="K41" s="27">
        <f>25+3+1</f>
        <v>29</v>
      </c>
      <c r="L41" s="27">
        <f t="shared" si="20"/>
        <v>108</v>
      </c>
      <c r="M41" s="27">
        <v>140</v>
      </c>
      <c r="N41" s="27">
        <v>72</v>
      </c>
      <c r="O41" s="29">
        <f t="shared" si="4"/>
        <v>119.57739194680458</v>
      </c>
      <c r="P41" s="27">
        <v>3647</v>
      </c>
      <c r="Q41" s="7">
        <f t="shared" si="21"/>
        <v>96313.35</v>
      </c>
      <c r="R41" s="27">
        <f>2035+1085</f>
        <v>3120</v>
      </c>
      <c r="S41" s="27">
        <v>86</v>
      </c>
      <c r="T41" s="27">
        <f>72+90</f>
        <v>162</v>
      </c>
      <c r="U41" s="27">
        <f>100+188.77</f>
        <v>288.77</v>
      </c>
      <c r="V41" s="27">
        <f>90+119.92</f>
        <v>209.92000000000002</v>
      </c>
      <c r="W41" s="89">
        <f t="shared" si="22"/>
        <v>174.16518987341775</v>
      </c>
      <c r="X41" s="89">
        <f t="shared" si="7"/>
        <v>29.885057471264368</v>
      </c>
      <c r="Y41" s="97">
        <f t="shared" si="16"/>
        <v>151.25243383024031</v>
      </c>
      <c r="Z41" s="97">
        <f t="shared" si="23"/>
        <v>135.42330246913582</v>
      </c>
      <c r="AA41" s="27">
        <v>72626</v>
      </c>
      <c r="AB41" s="27">
        <v>30</v>
      </c>
      <c r="AC41" s="27">
        <f>26300+97500</f>
        <v>123800</v>
      </c>
      <c r="AD41" s="27">
        <f>1500+5000</f>
        <v>6500</v>
      </c>
      <c r="AE41" s="29">
        <f t="shared" si="24"/>
        <v>130300</v>
      </c>
      <c r="AF41" s="41">
        <v>1925</v>
      </c>
      <c r="AG41" s="4" t="s">
        <v>567</v>
      </c>
      <c r="AH41" s="151" t="s">
        <v>2655</v>
      </c>
      <c r="AI41" s="152" t="str">
        <f t="shared" si="25"/>
        <v>https://ia800604.us.archive.org/18/items/GADeptofEd1925/GA.pdf#page=32</v>
      </c>
      <c r="AJ41" s="151" t="s">
        <v>2655</v>
      </c>
      <c r="AK41" s="152" t="str">
        <f t="shared" si="25"/>
        <v>https://ia800604.us.archive.org/18/items/GADeptofEd1925/GA.pdf#page=32</v>
      </c>
      <c r="AL41" s="151" t="str">
        <f t="shared" si="25"/>
        <v>https://ia800604.us.archive.org/18/items/GADeptofEd1925/GA.pdf#page=14</v>
      </c>
      <c r="AM41" s="152" t="str">
        <f t="shared" si="25"/>
        <v>https://ia800604.us.archive.org/18/items/GADeptofEd1925/GA.pdf#page=37</v>
      </c>
      <c r="AN41" s="151" t="str">
        <f t="shared" si="12"/>
        <v>https://ia800604.us.archive.org/18/items/GADeptofEd1925/GA.pdf#page=14</v>
      </c>
      <c r="AO41" s="152" t="str">
        <f t="shared" si="26"/>
        <v>https://ia800604.us.archive.org/18/items/GADeptofEd1925/GA.pdf#page=32</v>
      </c>
      <c r="AP41" s="151" t="str">
        <f t="shared" si="26"/>
        <v>https://ia800604.us.archive.org/18/items/GADeptofEd1925/GA.pdf#page=28</v>
      </c>
      <c r="AQ41" s="152" t="str">
        <f t="shared" si="26"/>
        <v>https://ia800604.us.archive.org/18/items/GADeptofEd1925/GA.pdf#page=45</v>
      </c>
      <c r="AR41" s="151" t="str">
        <f t="shared" si="26"/>
        <v>https://ia800604.us.archive.org/18/items/GADeptofEd1925/GA.pdf#page=22</v>
      </c>
      <c r="AS41" s="152" t="str">
        <f t="shared" si="13"/>
        <v>https://ia800604.us.archive.org/18/items/GADeptofEd1925/GA.pdf#page=45</v>
      </c>
      <c r="AT41" s="151" t="str">
        <f t="shared" si="29"/>
        <v>https://ia800604.us.archive.org/18/items/GADeptofEd1925/GA.pdf#page=28</v>
      </c>
      <c r="AU41" s="152" t="str">
        <f t="shared" si="27"/>
        <v>https://ia800604.us.archive.org/18/items/GADeptofEd1925/GA.pdf#page=32</v>
      </c>
      <c r="AV41" s="151" t="str">
        <f t="shared" si="27"/>
        <v>https://ia800604.us.archive.org/18/items/GADeptofEd1925/GA.pdf#page=28</v>
      </c>
      <c r="AW41" s="152" t="str">
        <f t="shared" si="28"/>
        <v>https://ia800604.us.archive.org/18/items/GADeptofEd1925/GA.pdf#page=50</v>
      </c>
    </row>
    <row r="42" spans="1:49" x14ac:dyDescent="0.25">
      <c r="A42" s="27" t="s">
        <v>763</v>
      </c>
      <c r="B42" s="27" t="str">
        <f t="shared" si="0"/>
        <v>Georgia</v>
      </c>
      <c r="C42" s="27" t="str">
        <f t="shared" si="1"/>
        <v>Dade</v>
      </c>
      <c r="D42" s="27">
        <v>800</v>
      </c>
      <c r="E42" s="27">
        <v>59</v>
      </c>
      <c r="F42" s="27">
        <f t="shared" si="2"/>
        <v>859</v>
      </c>
      <c r="G42" s="27">
        <v>6</v>
      </c>
      <c r="H42" s="27">
        <v>19</v>
      </c>
      <c r="I42" s="27">
        <v>2</v>
      </c>
      <c r="J42" s="27">
        <v>0</v>
      </c>
      <c r="K42" s="13">
        <v>2</v>
      </c>
      <c r="L42" s="27">
        <f t="shared" si="20"/>
        <v>29</v>
      </c>
      <c r="M42" s="27">
        <v>132</v>
      </c>
      <c r="N42" s="27">
        <v>120</v>
      </c>
      <c r="O42" s="29">
        <f t="shared" si="4"/>
        <v>131.17578579743889</v>
      </c>
      <c r="P42" s="27">
        <v>1005</v>
      </c>
      <c r="Q42" s="7">
        <f t="shared" si="21"/>
        <v>11226.599999999999</v>
      </c>
      <c r="R42" s="27">
        <v>487.5</v>
      </c>
      <c r="S42" s="27">
        <v>76</v>
      </c>
      <c r="T42" s="27">
        <v>55</v>
      </c>
      <c r="U42" s="27">
        <v>100</v>
      </c>
      <c r="V42" s="27"/>
      <c r="W42" s="89">
        <f t="shared" si="22"/>
        <v>63</v>
      </c>
      <c r="X42" s="89">
        <f t="shared" si="7"/>
        <v>40.625</v>
      </c>
      <c r="Y42" s="97">
        <f t="shared" si="16"/>
        <v>61.588328075709761</v>
      </c>
      <c r="Z42" s="97">
        <f t="shared" si="23"/>
        <v>61.456896551724135</v>
      </c>
      <c r="AA42" s="27">
        <v>13787</v>
      </c>
      <c r="AB42" s="27">
        <v>21</v>
      </c>
      <c r="AC42" s="27">
        <f>15300</f>
        <v>15300</v>
      </c>
      <c r="AD42" s="27">
        <v>600</v>
      </c>
      <c r="AE42" s="29">
        <f t="shared" si="24"/>
        <v>15900</v>
      </c>
      <c r="AF42" s="41">
        <v>1925</v>
      </c>
      <c r="AG42" s="4" t="s">
        <v>567</v>
      </c>
      <c r="AH42" s="151" t="str">
        <f>AH41</f>
        <v>https://ia800604.us.archive.org/18/items/GADeptofEd1925/GA.pdf#page=10</v>
      </c>
      <c r="AI42" s="152" t="s">
        <v>2656</v>
      </c>
      <c r="AJ42" s="151" t="str">
        <f>AJ41</f>
        <v>https://ia800604.us.archive.org/18/items/GADeptofEd1925/GA.pdf#page=10</v>
      </c>
      <c r="AK42" s="152" t="str">
        <f t="shared" si="25"/>
        <v>https://ia800604.us.archive.org/18/items/GADeptofEd1925/GA.pdf#page=32</v>
      </c>
      <c r="AL42" s="151" t="str">
        <f t="shared" si="25"/>
        <v>https://ia800604.us.archive.org/18/items/GADeptofEd1925/GA.pdf#page=14</v>
      </c>
      <c r="AM42" s="152" t="str">
        <f t="shared" si="25"/>
        <v>https://ia800604.us.archive.org/18/items/GADeptofEd1925/GA.pdf#page=37</v>
      </c>
      <c r="AN42" s="151" t="str">
        <f t="shared" si="12"/>
        <v>https://ia800604.us.archive.org/18/items/GADeptofEd1925/GA.pdf#page=14</v>
      </c>
      <c r="AO42" s="152" t="str">
        <f t="shared" si="26"/>
        <v>https://ia800604.us.archive.org/18/items/GADeptofEd1925/GA.pdf#page=32</v>
      </c>
      <c r="AP42" s="151" t="str">
        <f t="shared" si="26"/>
        <v>https://ia800604.us.archive.org/18/items/GADeptofEd1925/GA.pdf#page=28</v>
      </c>
      <c r="AQ42" s="152" t="str">
        <f t="shared" si="26"/>
        <v>https://ia800604.us.archive.org/18/items/GADeptofEd1925/GA.pdf#page=45</v>
      </c>
      <c r="AR42" s="151" t="str">
        <f t="shared" si="26"/>
        <v>https://ia800604.us.archive.org/18/items/GADeptofEd1925/GA.pdf#page=22</v>
      </c>
      <c r="AS42" s="152" t="str">
        <f t="shared" si="13"/>
        <v>https://ia800604.us.archive.org/18/items/GADeptofEd1925/GA.pdf#page=45</v>
      </c>
      <c r="AT42" s="151" t="str">
        <f t="shared" si="29"/>
        <v>https://ia800604.us.archive.org/18/items/GADeptofEd1925/GA.pdf#page=28</v>
      </c>
      <c r="AU42" s="152" t="str">
        <f t="shared" si="27"/>
        <v>https://ia800604.us.archive.org/18/items/GADeptofEd1925/GA.pdf#page=32</v>
      </c>
      <c r="AV42" s="151" t="str">
        <f t="shared" si="27"/>
        <v>https://ia800604.us.archive.org/18/items/GADeptofEd1925/GA.pdf#page=28</v>
      </c>
      <c r="AW42" s="152" t="str">
        <f t="shared" si="28"/>
        <v>https://ia800604.us.archive.org/18/items/GADeptofEd1925/GA.pdf#page=50</v>
      </c>
    </row>
    <row r="43" spans="1:49" x14ac:dyDescent="0.25">
      <c r="A43" s="27" t="s">
        <v>764</v>
      </c>
      <c r="B43" s="27" t="str">
        <f t="shared" si="0"/>
        <v>Georgia</v>
      </c>
      <c r="C43" s="27" t="str">
        <f t="shared" si="1"/>
        <v>Dawson</v>
      </c>
      <c r="D43" s="27">
        <v>720</v>
      </c>
      <c r="E43" s="27" t="s">
        <v>2126</v>
      </c>
      <c r="F43" s="27">
        <v>720</v>
      </c>
      <c r="G43" s="27">
        <v>4</v>
      </c>
      <c r="H43" s="27">
        <v>26</v>
      </c>
      <c r="I43" s="27">
        <v>1</v>
      </c>
      <c r="J43" s="27">
        <v>2</v>
      </c>
      <c r="K43" s="13">
        <v>0</v>
      </c>
      <c r="L43" s="27">
        <f t="shared" si="20"/>
        <v>33</v>
      </c>
      <c r="M43" s="27">
        <v>100</v>
      </c>
      <c r="N43" s="27"/>
      <c r="O43" s="29">
        <v>100</v>
      </c>
      <c r="P43" s="27">
        <v>1072</v>
      </c>
      <c r="Q43" s="7">
        <f t="shared" si="21"/>
        <v>8060</v>
      </c>
      <c r="R43" s="27"/>
      <c r="S43" s="27">
        <v>46</v>
      </c>
      <c r="T43" s="27">
        <v>43</v>
      </c>
      <c r="U43" s="27">
        <v>150</v>
      </c>
      <c r="V43" s="27">
        <v>80</v>
      </c>
      <c r="W43" s="89">
        <f t="shared" si="22"/>
        <v>48.848484848484851</v>
      </c>
      <c r="X43" s="89" t="e">
        <f>R43/K43/(M43/20)</f>
        <v>#DIV/0!</v>
      </c>
      <c r="Y43" s="97">
        <f t="shared" si="16"/>
        <v>48.848484848484851</v>
      </c>
      <c r="Z43" s="97" t="e">
        <f t="shared" si="23"/>
        <v>#DIV/0!</v>
      </c>
      <c r="AA43" s="27">
        <v>7212</v>
      </c>
      <c r="AB43" s="27">
        <v>1</v>
      </c>
      <c r="AC43" s="27">
        <f>12700</f>
        <v>12700</v>
      </c>
      <c r="AD43" s="27"/>
      <c r="AE43" s="29">
        <f t="shared" si="24"/>
        <v>12700</v>
      </c>
      <c r="AF43" s="41">
        <v>1925</v>
      </c>
      <c r="AG43" s="4" t="s">
        <v>567</v>
      </c>
      <c r="AH43" s="151" t="str">
        <f t="shared" ref="AH43:AM58" si="30">AH42</f>
        <v>https://ia800604.us.archive.org/18/items/GADeptofEd1925/GA.pdf#page=10</v>
      </c>
      <c r="AI43" s="152" t="str">
        <f t="shared" si="25"/>
        <v>https://ia800604.us.archive.org/18/items/GADeptofEd1925/GA.pdf#page=33</v>
      </c>
      <c r="AJ43" s="151" t="str">
        <f t="shared" si="25"/>
        <v>https://ia800604.us.archive.org/18/items/GADeptofEd1925/GA.pdf#page=10</v>
      </c>
      <c r="AK43" s="152" t="str">
        <f t="shared" si="25"/>
        <v>https://ia800604.us.archive.org/18/items/GADeptofEd1925/GA.pdf#page=32</v>
      </c>
      <c r="AL43" s="151" t="str">
        <f t="shared" si="25"/>
        <v>https://ia800604.us.archive.org/18/items/GADeptofEd1925/GA.pdf#page=14</v>
      </c>
      <c r="AM43" s="152" t="str">
        <f t="shared" si="25"/>
        <v>https://ia800604.us.archive.org/18/items/GADeptofEd1925/GA.pdf#page=37</v>
      </c>
      <c r="AN43" s="151" t="str">
        <f t="shared" si="12"/>
        <v>https://ia800604.us.archive.org/18/items/GADeptofEd1925/GA.pdf#page=14</v>
      </c>
      <c r="AO43" s="152" t="str">
        <f t="shared" si="26"/>
        <v>https://ia800604.us.archive.org/18/items/GADeptofEd1925/GA.pdf#page=32</v>
      </c>
      <c r="AP43" s="151" t="str">
        <f t="shared" si="26"/>
        <v>https://ia800604.us.archive.org/18/items/GADeptofEd1925/GA.pdf#page=28</v>
      </c>
      <c r="AQ43" s="152" t="str">
        <f t="shared" si="26"/>
        <v>https://ia800604.us.archive.org/18/items/GADeptofEd1925/GA.pdf#page=45</v>
      </c>
      <c r="AR43" s="151" t="str">
        <f t="shared" si="26"/>
        <v>https://ia800604.us.archive.org/18/items/GADeptofEd1925/GA.pdf#page=22</v>
      </c>
      <c r="AS43" s="152" t="str">
        <f t="shared" si="13"/>
        <v>https://ia800604.us.archive.org/18/items/GADeptofEd1925/GA.pdf#page=45</v>
      </c>
      <c r="AT43" s="151" t="str">
        <f t="shared" si="29"/>
        <v>https://ia800604.us.archive.org/18/items/GADeptofEd1925/GA.pdf#page=28</v>
      </c>
      <c r="AU43" s="152" t="str">
        <f t="shared" si="27"/>
        <v>https://ia800604.us.archive.org/18/items/GADeptofEd1925/GA.pdf#page=32</v>
      </c>
      <c r="AV43" s="151" t="str">
        <f t="shared" si="27"/>
        <v>https://ia800604.us.archive.org/18/items/GADeptofEd1925/GA.pdf#page=28</v>
      </c>
      <c r="AW43" s="152" t="str">
        <f t="shared" si="28"/>
        <v>https://ia800604.us.archive.org/18/items/GADeptofEd1925/GA.pdf#page=50</v>
      </c>
    </row>
    <row r="44" spans="1:49" x14ac:dyDescent="0.25">
      <c r="A44" s="27" t="s">
        <v>765</v>
      </c>
      <c r="B44" s="27" t="str">
        <f t="shared" si="0"/>
        <v>Georgia</v>
      </c>
      <c r="C44" s="27" t="str">
        <f t="shared" si="1"/>
        <v>Decatur</v>
      </c>
      <c r="D44" s="27">
        <f>1643+725</f>
        <v>2368</v>
      </c>
      <c r="E44" s="27">
        <f>1312+502</f>
        <v>1814</v>
      </c>
      <c r="F44" s="27">
        <f t="shared" ref="F44:F58" si="31">D44+E44</f>
        <v>4182</v>
      </c>
      <c r="G44" s="27">
        <v>1</v>
      </c>
      <c r="H44" s="27">
        <f>46+14</f>
        <v>60</v>
      </c>
      <c r="I44" s="27">
        <f>9+1</f>
        <v>10</v>
      </c>
      <c r="J44" s="27">
        <f>15+5</f>
        <v>20</v>
      </c>
      <c r="K44" s="13">
        <f>39+9+2</f>
        <v>50</v>
      </c>
      <c r="L44" s="27">
        <f t="shared" si="20"/>
        <v>141</v>
      </c>
      <c r="M44" s="27">
        <v>160</v>
      </c>
      <c r="N44" s="27">
        <v>120</v>
      </c>
      <c r="O44" s="29">
        <f>((D44*M44)+(E44*N44))/F44</f>
        <v>142.64945002391201</v>
      </c>
      <c r="P44" s="27">
        <v>5740</v>
      </c>
      <c r="Q44" s="7">
        <f t="shared" si="21"/>
        <v>137600.79999999999</v>
      </c>
      <c r="R44" s="7">
        <f>5817+4269</f>
        <v>10086</v>
      </c>
      <c r="S44" s="27">
        <v>110</v>
      </c>
      <c r="T44" s="27">
        <f>64.18+91.05</f>
        <v>155.23000000000002</v>
      </c>
      <c r="U44" s="27">
        <f>127.33+250</f>
        <v>377.33</v>
      </c>
      <c r="V44" s="27">
        <f>76.15+124</f>
        <v>200.15</v>
      </c>
      <c r="W44" s="89">
        <f t="shared" si="22"/>
        <v>189.01208791208791</v>
      </c>
      <c r="X44" s="89">
        <f t="shared" ref="X44:X75" si="32">R44/K44/(N44/20)</f>
        <v>33.619999999999997</v>
      </c>
      <c r="Y44" s="97">
        <f t="shared" si="16"/>
        <v>143.66420233463032</v>
      </c>
      <c r="Z44" s="97">
        <f t="shared" si="23"/>
        <v>133.90851063829786</v>
      </c>
      <c r="AA44" s="27">
        <v>101110</v>
      </c>
      <c r="AB44" s="27">
        <v>89</v>
      </c>
      <c r="AC44" s="27">
        <f>203500+110000</f>
        <v>313500</v>
      </c>
      <c r="AD44" s="27">
        <f>6300+22000</f>
        <v>28300</v>
      </c>
      <c r="AE44" s="29">
        <f t="shared" si="24"/>
        <v>341800</v>
      </c>
      <c r="AF44" s="41">
        <v>1925</v>
      </c>
      <c r="AG44" s="4" t="s">
        <v>567</v>
      </c>
      <c r="AH44" s="151" t="str">
        <f t="shared" si="30"/>
        <v>https://ia800604.us.archive.org/18/items/GADeptofEd1925/GA.pdf#page=10</v>
      </c>
      <c r="AI44" s="152" t="str">
        <f t="shared" si="25"/>
        <v>https://ia800604.us.archive.org/18/items/GADeptofEd1925/GA.pdf#page=33</v>
      </c>
      <c r="AJ44" s="151" t="str">
        <f t="shared" si="25"/>
        <v>https://ia800604.us.archive.org/18/items/GADeptofEd1925/GA.pdf#page=10</v>
      </c>
      <c r="AK44" s="152" t="str">
        <f t="shared" si="25"/>
        <v>https://ia800604.us.archive.org/18/items/GADeptofEd1925/GA.pdf#page=32</v>
      </c>
      <c r="AL44" s="151" t="str">
        <f t="shared" si="25"/>
        <v>https://ia800604.us.archive.org/18/items/GADeptofEd1925/GA.pdf#page=14</v>
      </c>
      <c r="AM44" s="152" t="str">
        <f t="shared" si="25"/>
        <v>https://ia800604.us.archive.org/18/items/GADeptofEd1925/GA.pdf#page=37</v>
      </c>
      <c r="AN44" s="151" t="str">
        <f t="shared" si="12"/>
        <v>https://ia800604.us.archive.org/18/items/GADeptofEd1925/GA.pdf#page=14</v>
      </c>
      <c r="AO44" s="152" t="str">
        <f t="shared" si="26"/>
        <v>https://ia800604.us.archive.org/18/items/GADeptofEd1925/GA.pdf#page=32</v>
      </c>
      <c r="AP44" s="151" t="str">
        <f t="shared" si="26"/>
        <v>https://ia800604.us.archive.org/18/items/GADeptofEd1925/GA.pdf#page=28</v>
      </c>
      <c r="AQ44" s="152" t="str">
        <f t="shared" si="26"/>
        <v>https://ia800604.us.archive.org/18/items/GADeptofEd1925/GA.pdf#page=45</v>
      </c>
      <c r="AR44" s="151" t="str">
        <f t="shared" si="26"/>
        <v>https://ia800604.us.archive.org/18/items/GADeptofEd1925/GA.pdf#page=22</v>
      </c>
      <c r="AS44" s="152" t="str">
        <f t="shared" si="13"/>
        <v>https://ia800604.us.archive.org/18/items/GADeptofEd1925/GA.pdf#page=45</v>
      </c>
      <c r="AT44" s="151" t="str">
        <f t="shared" si="29"/>
        <v>https://ia800604.us.archive.org/18/items/GADeptofEd1925/GA.pdf#page=28</v>
      </c>
      <c r="AU44" s="152" t="str">
        <f t="shared" si="27"/>
        <v>https://ia800604.us.archive.org/18/items/GADeptofEd1925/GA.pdf#page=32</v>
      </c>
      <c r="AV44" s="151" t="str">
        <f t="shared" si="27"/>
        <v>https://ia800604.us.archive.org/18/items/GADeptofEd1925/GA.pdf#page=28</v>
      </c>
      <c r="AW44" s="152" t="str">
        <f t="shared" si="28"/>
        <v>https://ia800604.us.archive.org/18/items/GADeptofEd1925/GA.pdf#page=50</v>
      </c>
    </row>
    <row r="45" spans="1:49" x14ac:dyDescent="0.25">
      <c r="A45" s="27" t="s">
        <v>766</v>
      </c>
      <c r="B45" s="27" t="str">
        <f t="shared" si="0"/>
        <v>Georgia</v>
      </c>
      <c r="C45" s="27" t="str">
        <f t="shared" si="1"/>
        <v>DeKalb</v>
      </c>
      <c r="D45" s="27">
        <f>4179+1834+113+342</f>
        <v>6468</v>
      </c>
      <c r="E45" s="27">
        <f>1763+428+51</f>
        <v>2242</v>
      </c>
      <c r="F45" s="27">
        <f t="shared" si="31"/>
        <v>8710</v>
      </c>
      <c r="G45" s="27">
        <v>5</v>
      </c>
      <c r="H45" s="27">
        <f>97+33+5+7</f>
        <v>142</v>
      </c>
      <c r="I45" s="27">
        <f>16+6+2</f>
        <v>24</v>
      </c>
      <c r="J45" s="27">
        <f>13+16+2</f>
        <v>31</v>
      </c>
      <c r="K45" s="13">
        <f>27+8+1+1+1</f>
        <v>38</v>
      </c>
      <c r="L45" s="27">
        <f t="shared" si="20"/>
        <v>240</v>
      </c>
      <c r="M45" s="27">
        <v>180</v>
      </c>
      <c r="N45" s="27">
        <v>180</v>
      </c>
      <c r="O45" s="29">
        <f>((D45*M45)+(E45*N45))/F45</f>
        <v>180</v>
      </c>
      <c r="P45" s="27">
        <v>10754</v>
      </c>
      <c r="Q45" s="7">
        <f t="shared" si="21"/>
        <v>589149</v>
      </c>
      <c r="R45" s="27">
        <f>6032+3287.5+0+315</f>
        <v>9634.5</v>
      </c>
      <c r="S45" s="27">
        <v>65</v>
      </c>
      <c r="T45" s="27">
        <f>60+90+106+65</f>
        <v>321</v>
      </c>
      <c r="U45" s="27">
        <f>125+175+166</f>
        <v>466</v>
      </c>
      <c r="V45" s="27">
        <f>80+110+80</f>
        <v>270</v>
      </c>
      <c r="W45" s="89">
        <f t="shared" si="22"/>
        <v>324.06435643564356</v>
      </c>
      <c r="X45" s="89">
        <f t="shared" si="32"/>
        <v>28.171052631578945</v>
      </c>
      <c r="Y45" s="97">
        <f t="shared" si="16"/>
        <v>277.21458333333334</v>
      </c>
      <c r="Z45" s="97">
        <f t="shared" si="23"/>
        <v>277.21458333333334</v>
      </c>
      <c r="AA45" s="27">
        <v>185490</v>
      </c>
      <c r="AB45" s="27">
        <v>98</v>
      </c>
      <c r="AC45" s="27">
        <f>419000+300000+30000+70000</f>
        <v>819000</v>
      </c>
      <c r="AD45" s="27">
        <f>27100+25000</f>
        <v>52100</v>
      </c>
      <c r="AE45" s="29">
        <f t="shared" si="24"/>
        <v>871100</v>
      </c>
      <c r="AF45" s="41">
        <v>1925</v>
      </c>
      <c r="AG45" s="4" t="s">
        <v>567</v>
      </c>
      <c r="AH45" s="151" t="str">
        <f t="shared" si="30"/>
        <v>https://ia800604.us.archive.org/18/items/GADeptofEd1925/GA.pdf#page=10</v>
      </c>
      <c r="AI45" s="152" t="str">
        <f t="shared" si="25"/>
        <v>https://ia800604.us.archive.org/18/items/GADeptofEd1925/GA.pdf#page=33</v>
      </c>
      <c r="AJ45" s="151" t="str">
        <f t="shared" si="25"/>
        <v>https://ia800604.us.archive.org/18/items/GADeptofEd1925/GA.pdf#page=10</v>
      </c>
      <c r="AK45" s="152" t="str">
        <f t="shared" si="25"/>
        <v>https://ia800604.us.archive.org/18/items/GADeptofEd1925/GA.pdf#page=32</v>
      </c>
      <c r="AL45" s="151" t="str">
        <f t="shared" si="25"/>
        <v>https://ia800604.us.archive.org/18/items/GADeptofEd1925/GA.pdf#page=14</v>
      </c>
      <c r="AM45" s="152" t="str">
        <f t="shared" si="25"/>
        <v>https://ia800604.us.archive.org/18/items/GADeptofEd1925/GA.pdf#page=37</v>
      </c>
      <c r="AN45" s="151" t="str">
        <f t="shared" si="12"/>
        <v>https://ia800604.us.archive.org/18/items/GADeptofEd1925/GA.pdf#page=14</v>
      </c>
      <c r="AO45" s="152" t="str">
        <f t="shared" si="26"/>
        <v>https://ia800604.us.archive.org/18/items/GADeptofEd1925/GA.pdf#page=32</v>
      </c>
      <c r="AP45" s="151" t="str">
        <f t="shared" si="26"/>
        <v>https://ia800604.us.archive.org/18/items/GADeptofEd1925/GA.pdf#page=28</v>
      </c>
      <c r="AQ45" s="152" t="str">
        <f t="shared" si="26"/>
        <v>https://ia800604.us.archive.org/18/items/GADeptofEd1925/GA.pdf#page=45</v>
      </c>
      <c r="AR45" s="151" t="str">
        <f t="shared" si="26"/>
        <v>https://ia800604.us.archive.org/18/items/GADeptofEd1925/GA.pdf#page=22</v>
      </c>
      <c r="AS45" s="152" t="str">
        <f t="shared" si="13"/>
        <v>https://ia800604.us.archive.org/18/items/GADeptofEd1925/GA.pdf#page=45</v>
      </c>
      <c r="AT45" s="151" t="str">
        <f t="shared" si="29"/>
        <v>https://ia800604.us.archive.org/18/items/GADeptofEd1925/GA.pdf#page=28</v>
      </c>
      <c r="AU45" s="152" t="str">
        <f t="shared" si="27"/>
        <v>https://ia800604.us.archive.org/18/items/GADeptofEd1925/GA.pdf#page=32</v>
      </c>
      <c r="AV45" s="151" t="str">
        <f t="shared" si="27"/>
        <v>https://ia800604.us.archive.org/18/items/GADeptofEd1925/GA.pdf#page=28</v>
      </c>
      <c r="AW45" s="152" t="str">
        <f t="shared" si="28"/>
        <v>https://ia800604.us.archive.org/18/items/GADeptofEd1925/GA.pdf#page=50</v>
      </c>
    </row>
    <row r="46" spans="1:49" x14ac:dyDescent="0.25">
      <c r="A46" s="27" t="s">
        <v>767</v>
      </c>
      <c r="B46" s="27" t="str">
        <f t="shared" si="0"/>
        <v>Georgia</v>
      </c>
      <c r="C46" s="27" t="str">
        <f t="shared" si="1"/>
        <v>Dodge</v>
      </c>
      <c r="D46" s="27">
        <f>3300+429</f>
        <v>3729</v>
      </c>
      <c r="E46" s="27">
        <f>1950+110</f>
        <v>2060</v>
      </c>
      <c r="F46" s="27">
        <f t="shared" si="31"/>
        <v>5789</v>
      </c>
      <c r="G46" s="27">
        <v>0</v>
      </c>
      <c r="H46" s="27">
        <f>101+8</f>
        <v>109</v>
      </c>
      <c r="I46" s="27">
        <f>10+2</f>
        <v>12</v>
      </c>
      <c r="J46" s="27">
        <f>6+5</f>
        <v>11</v>
      </c>
      <c r="K46" s="27">
        <f>2+1</f>
        <v>3</v>
      </c>
      <c r="L46" s="27">
        <f t="shared" si="20"/>
        <v>135</v>
      </c>
      <c r="M46" s="27">
        <v>100</v>
      </c>
      <c r="N46" s="27"/>
      <c r="O46" s="29">
        <v>100</v>
      </c>
      <c r="P46" s="27">
        <v>6760</v>
      </c>
      <c r="Q46" s="7">
        <f t="shared" si="21"/>
        <v>113327.44999999998</v>
      </c>
      <c r="R46" s="27">
        <f>2574.75+1215</f>
        <v>3789.75</v>
      </c>
      <c r="S46" s="27">
        <v>60</v>
      </c>
      <c r="T46" s="27">
        <f>60+90</f>
        <v>150</v>
      </c>
      <c r="U46" s="27">
        <f>75+294.44</f>
        <v>369.44</v>
      </c>
      <c r="V46" s="27">
        <f>60+111.11</f>
        <v>171.11</v>
      </c>
      <c r="W46" s="89">
        <f t="shared" si="22"/>
        <v>171.70825757575756</v>
      </c>
      <c r="X46" s="89" t="e">
        <f t="shared" si="32"/>
        <v>#DIV/0!</v>
      </c>
      <c r="Y46" s="97">
        <f t="shared" si="16"/>
        <v>177.45030303030299</v>
      </c>
      <c r="Z46" s="97" t="e">
        <f t="shared" si="23"/>
        <v>#DIV/0!</v>
      </c>
      <c r="AA46" s="27">
        <v>149251</v>
      </c>
      <c r="AB46" s="27">
        <v>24</v>
      </c>
      <c r="AC46" s="27">
        <f>121000+60000</f>
        <v>181000</v>
      </c>
      <c r="AD46" s="27">
        <f>3800+2000</f>
        <v>5800</v>
      </c>
      <c r="AE46" s="29">
        <f t="shared" si="24"/>
        <v>186800</v>
      </c>
      <c r="AF46" s="41">
        <v>1925</v>
      </c>
      <c r="AG46" s="4" t="s">
        <v>567</v>
      </c>
      <c r="AH46" s="151" t="str">
        <f t="shared" si="30"/>
        <v>https://ia800604.us.archive.org/18/items/GADeptofEd1925/GA.pdf#page=10</v>
      </c>
      <c r="AI46" s="152" t="str">
        <f t="shared" si="25"/>
        <v>https://ia800604.us.archive.org/18/items/GADeptofEd1925/GA.pdf#page=33</v>
      </c>
      <c r="AJ46" s="151" t="str">
        <f t="shared" si="25"/>
        <v>https://ia800604.us.archive.org/18/items/GADeptofEd1925/GA.pdf#page=10</v>
      </c>
      <c r="AK46" s="152" t="str">
        <f t="shared" si="25"/>
        <v>https://ia800604.us.archive.org/18/items/GADeptofEd1925/GA.pdf#page=32</v>
      </c>
      <c r="AL46" s="151" t="str">
        <f t="shared" si="25"/>
        <v>https://ia800604.us.archive.org/18/items/GADeptofEd1925/GA.pdf#page=14</v>
      </c>
      <c r="AM46" s="152" t="str">
        <f t="shared" si="25"/>
        <v>https://ia800604.us.archive.org/18/items/GADeptofEd1925/GA.pdf#page=37</v>
      </c>
      <c r="AN46" s="151" t="str">
        <f t="shared" si="12"/>
        <v>https://ia800604.us.archive.org/18/items/GADeptofEd1925/GA.pdf#page=14</v>
      </c>
      <c r="AO46" s="152" t="str">
        <f t="shared" si="26"/>
        <v>https://ia800604.us.archive.org/18/items/GADeptofEd1925/GA.pdf#page=32</v>
      </c>
      <c r="AP46" s="151" t="str">
        <f t="shared" si="26"/>
        <v>https://ia800604.us.archive.org/18/items/GADeptofEd1925/GA.pdf#page=28</v>
      </c>
      <c r="AQ46" s="152" t="str">
        <f t="shared" si="26"/>
        <v>https://ia800604.us.archive.org/18/items/GADeptofEd1925/GA.pdf#page=45</v>
      </c>
      <c r="AR46" s="151" t="str">
        <f t="shared" si="26"/>
        <v>https://ia800604.us.archive.org/18/items/GADeptofEd1925/GA.pdf#page=22</v>
      </c>
      <c r="AS46" s="152" t="str">
        <f t="shared" si="13"/>
        <v>https://ia800604.us.archive.org/18/items/GADeptofEd1925/GA.pdf#page=45</v>
      </c>
      <c r="AT46" s="151" t="str">
        <f t="shared" si="29"/>
        <v>https://ia800604.us.archive.org/18/items/GADeptofEd1925/GA.pdf#page=28</v>
      </c>
      <c r="AU46" s="152" t="str">
        <f t="shared" si="27"/>
        <v>https://ia800604.us.archive.org/18/items/GADeptofEd1925/GA.pdf#page=32</v>
      </c>
      <c r="AV46" s="151" t="str">
        <f t="shared" si="27"/>
        <v>https://ia800604.us.archive.org/18/items/GADeptofEd1925/GA.pdf#page=28</v>
      </c>
      <c r="AW46" s="152" t="str">
        <f t="shared" si="28"/>
        <v>https://ia800604.us.archive.org/18/items/GADeptofEd1925/GA.pdf#page=50</v>
      </c>
    </row>
    <row r="47" spans="1:49" x14ac:dyDescent="0.25">
      <c r="A47" s="27" t="s">
        <v>768</v>
      </c>
      <c r="B47" s="27" t="str">
        <f t="shared" si="0"/>
        <v>Georgia</v>
      </c>
      <c r="C47" s="27" t="str">
        <f t="shared" si="1"/>
        <v>Dooly</v>
      </c>
      <c r="D47" s="27">
        <f>987+100</f>
        <v>1087</v>
      </c>
      <c r="E47" s="27">
        <f>1451+50</f>
        <v>1501</v>
      </c>
      <c r="F47" s="27">
        <f t="shared" si="31"/>
        <v>2588</v>
      </c>
      <c r="G47" s="27">
        <v>1</v>
      </c>
      <c r="H47" s="27">
        <f>33+4</f>
        <v>37</v>
      </c>
      <c r="I47" s="27">
        <f>6+1</f>
        <v>7</v>
      </c>
      <c r="J47" s="27">
        <f>3+1</f>
        <v>4</v>
      </c>
      <c r="K47" s="13">
        <f>45+2</f>
        <v>47</v>
      </c>
      <c r="L47" s="27">
        <f t="shared" si="20"/>
        <v>96</v>
      </c>
      <c r="M47" s="27">
        <v>160</v>
      </c>
      <c r="N47" s="27">
        <v>140</v>
      </c>
      <c r="O47" s="29">
        <f t="shared" ref="O47:O58" si="33">((D47*M47)+(E47*N47))/F47</f>
        <v>148.40030911901081</v>
      </c>
      <c r="P47" s="27">
        <v>4318</v>
      </c>
      <c r="Q47" s="7">
        <f t="shared" si="21"/>
        <v>61685.36</v>
      </c>
      <c r="R47" s="27">
        <f>4769+260</f>
        <v>5029</v>
      </c>
      <c r="S47" s="27">
        <v>96.67</v>
      </c>
      <c r="T47" s="27">
        <f>60+80</f>
        <v>140</v>
      </c>
      <c r="U47" s="27">
        <f>112+150</f>
        <v>262</v>
      </c>
      <c r="V47" s="27">
        <f>70+80</f>
        <v>150</v>
      </c>
      <c r="W47" s="89">
        <f t="shared" si="22"/>
        <v>157.36061224489796</v>
      </c>
      <c r="X47" s="89">
        <f t="shared" si="32"/>
        <v>15.285714285714286</v>
      </c>
      <c r="Y47" s="97">
        <f t="shared" si="16"/>
        <v>92.530319001386957</v>
      </c>
      <c r="Z47" s="97">
        <f t="shared" si="23"/>
        <v>87.803110119047616</v>
      </c>
      <c r="AA47" s="27">
        <v>62137</v>
      </c>
      <c r="AB47" s="27">
        <v>43</v>
      </c>
      <c r="AC47" s="27">
        <f>40550+10000</f>
        <v>50550</v>
      </c>
      <c r="AD47" s="27">
        <f>10000+500</f>
        <v>10500</v>
      </c>
      <c r="AE47" s="29">
        <f t="shared" si="24"/>
        <v>61050</v>
      </c>
      <c r="AF47" s="41">
        <v>1925</v>
      </c>
      <c r="AG47" s="4" t="s">
        <v>567</v>
      </c>
      <c r="AH47" s="151" t="str">
        <f t="shared" si="30"/>
        <v>https://ia800604.us.archive.org/18/items/GADeptofEd1925/GA.pdf#page=10</v>
      </c>
      <c r="AI47" s="152" t="str">
        <f t="shared" si="25"/>
        <v>https://ia800604.us.archive.org/18/items/GADeptofEd1925/GA.pdf#page=33</v>
      </c>
      <c r="AJ47" s="151" t="str">
        <f t="shared" si="25"/>
        <v>https://ia800604.us.archive.org/18/items/GADeptofEd1925/GA.pdf#page=10</v>
      </c>
      <c r="AK47" s="152" t="str">
        <f t="shared" si="25"/>
        <v>https://ia800604.us.archive.org/18/items/GADeptofEd1925/GA.pdf#page=32</v>
      </c>
      <c r="AL47" s="151" t="str">
        <f t="shared" si="25"/>
        <v>https://ia800604.us.archive.org/18/items/GADeptofEd1925/GA.pdf#page=14</v>
      </c>
      <c r="AM47" s="152" t="str">
        <f t="shared" si="25"/>
        <v>https://ia800604.us.archive.org/18/items/GADeptofEd1925/GA.pdf#page=37</v>
      </c>
      <c r="AN47" s="151" t="str">
        <f t="shared" si="12"/>
        <v>https://ia800604.us.archive.org/18/items/GADeptofEd1925/GA.pdf#page=14</v>
      </c>
      <c r="AO47" s="152" t="str">
        <f t="shared" si="26"/>
        <v>https://ia800604.us.archive.org/18/items/GADeptofEd1925/GA.pdf#page=32</v>
      </c>
      <c r="AP47" s="151" t="str">
        <f t="shared" si="26"/>
        <v>https://ia800604.us.archive.org/18/items/GADeptofEd1925/GA.pdf#page=28</v>
      </c>
      <c r="AQ47" s="152" t="str">
        <f t="shared" si="26"/>
        <v>https://ia800604.us.archive.org/18/items/GADeptofEd1925/GA.pdf#page=45</v>
      </c>
      <c r="AR47" s="151" t="str">
        <f t="shared" si="26"/>
        <v>https://ia800604.us.archive.org/18/items/GADeptofEd1925/GA.pdf#page=22</v>
      </c>
      <c r="AS47" s="152" t="str">
        <f t="shared" si="13"/>
        <v>https://ia800604.us.archive.org/18/items/GADeptofEd1925/GA.pdf#page=45</v>
      </c>
      <c r="AT47" s="151" t="str">
        <f t="shared" si="29"/>
        <v>https://ia800604.us.archive.org/18/items/GADeptofEd1925/GA.pdf#page=28</v>
      </c>
      <c r="AU47" s="152" t="str">
        <f t="shared" si="27"/>
        <v>https://ia800604.us.archive.org/18/items/GADeptofEd1925/GA.pdf#page=32</v>
      </c>
      <c r="AV47" s="151" t="str">
        <f t="shared" si="27"/>
        <v>https://ia800604.us.archive.org/18/items/GADeptofEd1925/GA.pdf#page=28</v>
      </c>
      <c r="AW47" s="152" t="str">
        <f t="shared" si="28"/>
        <v>https://ia800604.us.archive.org/18/items/GADeptofEd1925/GA.pdf#page=50</v>
      </c>
    </row>
    <row r="48" spans="1:49" x14ac:dyDescent="0.25">
      <c r="A48" s="27" t="s">
        <v>769</v>
      </c>
      <c r="B48" s="27" t="str">
        <f t="shared" si="0"/>
        <v>Georgia</v>
      </c>
      <c r="C48" s="27" t="str">
        <f t="shared" si="1"/>
        <v>Dougherty</v>
      </c>
      <c r="D48" s="27">
        <v>1420</v>
      </c>
      <c r="E48" s="27">
        <v>1845</v>
      </c>
      <c r="F48" s="27">
        <f t="shared" si="31"/>
        <v>3265</v>
      </c>
      <c r="G48" s="27">
        <v>1</v>
      </c>
      <c r="H48" s="27">
        <v>39</v>
      </c>
      <c r="I48" s="27">
        <v>3</v>
      </c>
      <c r="J48" s="27">
        <v>15</v>
      </c>
      <c r="K48" s="13">
        <f>52+2</f>
        <v>54</v>
      </c>
      <c r="L48" s="27">
        <f t="shared" si="20"/>
        <v>112</v>
      </c>
      <c r="M48" s="27">
        <v>176</v>
      </c>
      <c r="N48" s="27">
        <v>120</v>
      </c>
      <c r="O48" s="29">
        <f t="shared" si="33"/>
        <v>144.35528330781011</v>
      </c>
      <c r="P48" s="27">
        <v>4153</v>
      </c>
      <c r="Q48" s="7">
        <f t="shared" si="21"/>
        <v>64812.000000000007</v>
      </c>
      <c r="R48" s="27">
        <v>14923.5</v>
      </c>
      <c r="S48" s="27"/>
      <c r="T48" s="27">
        <v>115</v>
      </c>
      <c r="U48" s="27">
        <v>210</v>
      </c>
      <c r="V48" s="27">
        <v>150</v>
      </c>
      <c r="W48" s="89">
        <f t="shared" si="22"/>
        <v>126.98275862068965</v>
      </c>
      <c r="X48" s="89">
        <f t="shared" si="32"/>
        <v>46.060185185185183</v>
      </c>
      <c r="Y48" s="97">
        <f t="shared" si="16"/>
        <v>95.560282837967378</v>
      </c>
      <c r="Z48" s="97">
        <f t="shared" si="23"/>
        <v>87.966517857142861</v>
      </c>
      <c r="AA48" s="27">
        <v>104469</v>
      </c>
      <c r="AB48" s="27">
        <v>29</v>
      </c>
      <c r="AC48" s="27">
        <f>178000</f>
        <v>178000</v>
      </c>
      <c r="AD48" s="27">
        <v>91000</v>
      </c>
      <c r="AE48" s="29">
        <f t="shared" si="24"/>
        <v>269000</v>
      </c>
      <c r="AF48" s="41">
        <v>1925</v>
      </c>
      <c r="AG48" s="4" t="s">
        <v>567</v>
      </c>
      <c r="AH48" s="151" t="str">
        <f t="shared" si="30"/>
        <v>https://ia800604.us.archive.org/18/items/GADeptofEd1925/GA.pdf#page=10</v>
      </c>
      <c r="AI48" s="152" t="str">
        <f t="shared" si="25"/>
        <v>https://ia800604.us.archive.org/18/items/GADeptofEd1925/GA.pdf#page=33</v>
      </c>
      <c r="AJ48" s="151" t="str">
        <f t="shared" si="25"/>
        <v>https://ia800604.us.archive.org/18/items/GADeptofEd1925/GA.pdf#page=10</v>
      </c>
      <c r="AK48" s="152" t="str">
        <f t="shared" si="25"/>
        <v>https://ia800604.us.archive.org/18/items/GADeptofEd1925/GA.pdf#page=32</v>
      </c>
      <c r="AL48" s="151" t="str">
        <f t="shared" si="25"/>
        <v>https://ia800604.us.archive.org/18/items/GADeptofEd1925/GA.pdf#page=14</v>
      </c>
      <c r="AM48" s="152" t="str">
        <f t="shared" si="25"/>
        <v>https://ia800604.us.archive.org/18/items/GADeptofEd1925/GA.pdf#page=37</v>
      </c>
      <c r="AN48" s="151" t="str">
        <f t="shared" si="12"/>
        <v>https://ia800604.us.archive.org/18/items/GADeptofEd1925/GA.pdf#page=14</v>
      </c>
      <c r="AO48" s="152" t="str">
        <f t="shared" si="26"/>
        <v>https://ia800604.us.archive.org/18/items/GADeptofEd1925/GA.pdf#page=32</v>
      </c>
      <c r="AP48" s="151" t="str">
        <f t="shared" si="26"/>
        <v>https://ia800604.us.archive.org/18/items/GADeptofEd1925/GA.pdf#page=28</v>
      </c>
      <c r="AQ48" s="152" t="str">
        <f t="shared" si="26"/>
        <v>https://ia800604.us.archive.org/18/items/GADeptofEd1925/GA.pdf#page=45</v>
      </c>
      <c r="AR48" s="151" t="str">
        <f t="shared" si="26"/>
        <v>https://ia800604.us.archive.org/18/items/GADeptofEd1925/GA.pdf#page=22</v>
      </c>
      <c r="AS48" s="152" t="str">
        <f t="shared" si="13"/>
        <v>https://ia800604.us.archive.org/18/items/GADeptofEd1925/GA.pdf#page=45</v>
      </c>
      <c r="AT48" s="151" t="str">
        <f t="shared" si="29"/>
        <v>https://ia800604.us.archive.org/18/items/GADeptofEd1925/GA.pdf#page=28</v>
      </c>
      <c r="AU48" s="152" t="str">
        <f t="shared" si="27"/>
        <v>https://ia800604.us.archive.org/18/items/GADeptofEd1925/GA.pdf#page=32</v>
      </c>
      <c r="AV48" s="151" t="str">
        <f t="shared" si="27"/>
        <v>https://ia800604.us.archive.org/18/items/GADeptofEd1925/GA.pdf#page=28</v>
      </c>
      <c r="AW48" s="152" t="str">
        <f t="shared" si="28"/>
        <v>https://ia800604.us.archive.org/18/items/GADeptofEd1925/GA.pdf#page=50</v>
      </c>
    </row>
    <row r="49" spans="1:49" x14ac:dyDescent="0.25">
      <c r="A49" s="27" t="s">
        <v>770</v>
      </c>
      <c r="B49" s="27" t="str">
        <f t="shared" si="0"/>
        <v>Georgia</v>
      </c>
      <c r="C49" s="27" t="str">
        <f t="shared" si="1"/>
        <v>Douglas</v>
      </c>
      <c r="D49" s="27">
        <v>1367</v>
      </c>
      <c r="E49" s="27">
        <v>372</v>
      </c>
      <c r="F49" s="27">
        <f t="shared" si="31"/>
        <v>1739</v>
      </c>
      <c r="G49" s="27">
        <v>6</v>
      </c>
      <c r="H49" s="27">
        <v>40</v>
      </c>
      <c r="I49" s="27">
        <v>2</v>
      </c>
      <c r="J49" s="27">
        <v>6</v>
      </c>
      <c r="K49" s="13">
        <f>10+1</f>
        <v>11</v>
      </c>
      <c r="L49" s="27">
        <f t="shared" si="20"/>
        <v>65</v>
      </c>
      <c r="M49" s="27">
        <v>180</v>
      </c>
      <c r="N49" s="27">
        <v>140</v>
      </c>
      <c r="O49" s="29">
        <f t="shared" si="33"/>
        <v>171.44335825186889</v>
      </c>
      <c r="P49" s="27">
        <v>2722</v>
      </c>
      <c r="Q49" s="7">
        <f t="shared" si="21"/>
        <v>37422</v>
      </c>
      <c r="R49" s="27">
        <v>3940</v>
      </c>
      <c r="S49" s="27">
        <v>83</v>
      </c>
      <c r="T49" s="27">
        <v>70</v>
      </c>
      <c r="U49" s="27">
        <v>175</v>
      </c>
      <c r="V49" s="27">
        <v>85</v>
      </c>
      <c r="W49" s="89">
        <f t="shared" si="22"/>
        <v>77</v>
      </c>
      <c r="X49" s="89">
        <f t="shared" si="32"/>
        <v>51.168831168831169</v>
      </c>
      <c r="Y49" s="97">
        <f t="shared" si="16"/>
        <v>73.46714031971581</v>
      </c>
      <c r="Z49" s="97">
        <f t="shared" si="23"/>
        <v>72.628571428571433</v>
      </c>
      <c r="AA49" s="27">
        <v>39495</v>
      </c>
      <c r="AB49" s="27">
        <v>32</v>
      </c>
      <c r="AC49" s="27">
        <v>81000</v>
      </c>
      <c r="AD49" s="27">
        <v>5300</v>
      </c>
      <c r="AE49" s="29">
        <f t="shared" si="24"/>
        <v>86300</v>
      </c>
      <c r="AF49" s="41">
        <v>1925</v>
      </c>
      <c r="AG49" s="4" t="s">
        <v>567</v>
      </c>
      <c r="AH49" s="151" t="str">
        <f t="shared" si="30"/>
        <v>https://ia800604.us.archive.org/18/items/GADeptofEd1925/GA.pdf#page=10</v>
      </c>
      <c r="AI49" s="152" t="str">
        <f t="shared" si="25"/>
        <v>https://ia800604.us.archive.org/18/items/GADeptofEd1925/GA.pdf#page=33</v>
      </c>
      <c r="AJ49" s="151" t="str">
        <f t="shared" si="25"/>
        <v>https://ia800604.us.archive.org/18/items/GADeptofEd1925/GA.pdf#page=10</v>
      </c>
      <c r="AK49" s="152" t="str">
        <f t="shared" si="25"/>
        <v>https://ia800604.us.archive.org/18/items/GADeptofEd1925/GA.pdf#page=32</v>
      </c>
      <c r="AL49" s="151" t="str">
        <f t="shared" si="25"/>
        <v>https://ia800604.us.archive.org/18/items/GADeptofEd1925/GA.pdf#page=14</v>
      </c>
      <c r="AM49" s="152" t="str">
        <f t="shared" si="25"/>
        <v>https://ia800604.us.archive.org/18/items/GADeptofEd1925/GA.pdf#page=37</v>
      </c>
      <c r="AN49" s="151" t="str">
        <f t="shared" si="12"/>
        <v>https://ia800604.us.archive.org/18/items/GADeptofEd1925/GA.pdf#page=14</v>
      </c>
      <c r="AO49" s="152" t="str">
        <f t="shared" si="26"/>
        <v>https://ia800604.us.archive.org/18/items/GADeptofEd1925/GA.pdf#page=32</v>
      </c>
      <c r="AP49" s="151" t="str">
        <f t="shared" si="26"/>
        <v>https://ia800604.us.archive.org/18/items/GADeptofEd1925/GA.pdf#page=28</v>
      </c>
      <c r="AQ49" s="152" t="str">
        <f t="shared" si="26"/>
        <v>https://ia800604.us.archive.org/18/items/GADeptofEd1925/GA.pdf#page=45</v>
      </c>
      <c r="AR49" s="151" t="str">
        <f t="shared" si="26"/>
        <v>https://ia800604.us.archive.org/18/items/GADeptofEd1925/GA.pdf#page=22</v>
      </c>
      <c r="AS49" s="152" t="str">
        <f t="shared" si="13"/>
        <v>https://ia800604.us.archive.org/18/items/GADeptofEd1925/GA.pdf#page=45</v>
      </c>
      <c r="AT49" s="151" t="str">
        <f t="shared" si="29"/>
        <v>https://ia800604.us.archive.org/18/items/GADeptofEd1925/GA.pdf#page=28</v>
      </c>
      <c r="AU49" s="152" t="str">
        <f t="shared" si="27"/>
        <v>https://ia800604.us.archive.org/18/items/GADeptofEd1925/GA.pdf#page=32</v>
      </c>
      <c r="AV49" s="151" t="str">
        <f t="shared" si="27"/>
        <v>https://ia800604.us.archive.org/18/items/GADeptofEd1925/GA.pdf#page=28</v>
      </c>
      <c r="AW49" s="152" t="str">
        <f t="shared" si="28"/>
        <v>https://ia800604.us.archive.org/18/items/GADeptofEd1925/GA.pdf#page=50</v>
      </c>
    </row>
    <row r="50" spans="1:49" x14ac:dyDescent="0.25">
      <c r="A50" s="27" t="s">
        <v>771</v>
      </c>
      <c r="B50" s="27" t="str">
        <f t="shared" si="0"/>
        <v>Georgia</v>
      </c>
      <c r="C50" s="27" t="str">
        <f t="shared" si="1"/>
        <v>Early</v>
      </c>
      <c r="D50" s="27">
        <f>1308+365</f>
        <v>1673</v>
      </c>
      <c r="E50" s="27">
        <f>1269+115</f>
        <v>1384</v>
      </c>
      <c r="F50" s="27">
        <f t="shared" si="31"/>
        <v>3057</v>
      </c>
      <c r="G50" s="27">
        <v>1</v>
      </c>
      <c r="H50" s="27">
        <f>48+9</f>
        <v>57</v>
      </c>
      <c r="I50" s="27">
        <f>7+2</f>
        <v>9</v>
      </c>
      <c r="J50" s="27">
        <f>3+3</f>
        <v>6</v>
      </c>
      <c r="K50" s="13">
        <f>49+1</f>
        <v>50</v>
      </c>
      <c r="L50" s="27">
        <f t="shared" si="20"/>
        <v>123</v>
      </c>
      <c r="M50" s="27">
        <v>160</v>
      </c>
      <c r="N50" s="27">
        <v>110</v>
      </c>
      <c r="O50" s="29">
        <f t="shared" si="33"/>
        <v>137.36342819757934</v>
      </c>
      <c r="P50" s="27">
        <v>4830</v>
      </c>
      <c r="Q50" s="7">
        <f t="shared" si="21"/>
        <v>106336</v>
      </c>
      <c r="R50" s="27">
        <f>6435+630</f>
        <v>7065</v>
      </c>
      <c r="S50" s="27">
        <v>80</v>
      </c>
      <c r="T50" s="27">
        <f>70+87</f>
        <v>157</v>
      </c>
      <c r="U50" s="27">
        <f>120+227</f>
        <v>347</v>
      </c>
      <c r="V50" s="27">
        <f>90+100</f>
        <v>190</v>
      </c>
      <c r="W50" s="89">
        <f t="shared" si="22"/>
        <v>182.08219178082192</v>
      </c>
      <c r="X50" s="89">
        <f t="shared" si="32"/>
        <v>25.690909090909091</v>
      </c>
      <c r="Y50" s="97">
        <f t="shared" si="16"/>
        <v>132.01513387660071</v>
      </c>
      <c r="Z50" s="97">
        <f t="shared" si="23"/>
        <v>118.50849963045084</v>
      </c>
      <c r="AA50" s="27">
        <v>88776</v>
      </c>
      <c r="AB50" s="27">
        <v>23</v>
      </c>
      <c r="AC50" s="27">
        <f>63500+35000</f>
        <v>98500</v>
      </c>
      <c r="AD50" s="27">
        <v>11500</v>
      </c>
      <c r="AE50" s="29">
        <f t="shared" si="24"/>
        <v>110000</v>
      </c>
      <c r="AF50" s="41">
        <v>1925</v>
      </c>
      <c r="AG50" s="4" t="s">
        <v>567</v>
      </c>
      <c r="AH50" s="151" t="str">
        <f t="shared" si="30"/>
        <v>https://ia800604.us.archive.org/18/items/GADeptofEd1925/GA.pdf#page=10</v>
      </c>
      <c r="AI50" s="152" t="str">
        <f t="shared" si="25"/>
        <v>https://ia800604.us.archive.org/18/items/GADeptofEd1925/GA.pdf#page=33</v>
      </c>
      <c r="AJ50" s="151" t="str">
        <f t="shared" si="25"/>
        <v>https://ia800604.us.archive.org/18/items/GADeptofEd1925/GA.pdf#page=10</v>
      </c>
      <c r="AK50" s="152" t="str">
        <f t="shared" si="25"/>
        <v>https://ia800604.us.archive.org/18/items/GADeptofEd1925/GA.pdf#page=32</v>
      </c>
      <c r="AL50" s="151" t="str">
        <f t="shared" si="25"/>
        <v>https://ia800604.us.archive.org/18/items/GADeptofEd1925/GA.pdf#page=14</v>
      </c>
      <c r="AM50" s="152" t="str">
        <f t="shared" si="25"/>
        <v>https://ia800604.us.archive.org/18/items/GADeptofEd1925/GA.pdf#page=37</v>
      </c>
      <c r="AN50" s="151" t="str">
        <f t="shared" si="12"/>
        <v>https://ia800604.us.archive.org/18/items/GADeptofEd1925/GA.pdf#page=14</v>
      </c>
      <c r="AO50" s="152" t="str">
        <f t="shared" si="26"/>
        <v>https://ia800604.us.archive.org/18/items/GADeptofEd1925/GA.pdf#page=32</v>
      </c>
      <c r="AP50" s="151" t="str">
        <f t="shared" si="26"/>
        <v>https://ia800604.us.archive.org/18/items/GADeptofEd1925/GA.pdf#page=28</v>
      </c>
      <c r="AQ50" s="152" t="str">
        <f t="shared" si="26"/>
        <v>https://ia800604.us.archive.org/18/items/GADeptofEd1925/GA.pdf#page=45</v>
      </c>
      <c r="AR50" s="151" t="str">
        <f t="shared" si="26"/>
        <v>https://ia800604.us.archive.org/18/items/GADeptofEd1925/GA.pdf#page=22</v>
      </c>
      <c r="AS50" s="152" t="str">
        <f t="shared" si="13"/>
        <v>https://ia800604.us.archive.org/18/items/GADeptofEd1925/GA.pdf#page=45</v>
      </c>
      <c r="AT50" s="151" t="str">
        <f t="shared" si="29"/>
        <v>https://ia800604.us.archive.org/18/items/GADeptofEd1925/GA.pdf#page=28</v>
      </c>
      <c r="AU50" s="152" t="str">
        <f t="shared" si="27"/>
        <v>https://ia800604.us.archive.org/18/items/GADeptofEd1925/GA.pdf#page=32</v>
      </c>
      <c r="AV50" s="151" t="str">
        <f t="shared" si="27"/>
        <v>https://ia800604.us.archive.org/18/items/GADeptofEd1925/GA.pdf#page=28</v>
      </c>
      <c r="AW50" s="152" t="str">
        <f t="shared" si="28"/>
        <v>https://ia800604.us.archive.org/18/items/GADeptofEd1925/GA.pdf#page=50</v>
      </c>
    </row>
    <row r="51" spans="1:49" x14ac:dyDescent="0.25">
      <c r="A51" s="27" t="s">
        <v>772</v>
      </c>
      <c r="B51" s="27" t="str">
        <f t="shared" si="0"/>
        <v>Georgia</v>
      </c>
      <c r="C51" s="27" t="str">
        <f t="shared" si="1"/>
        <v>Echols</v>
      </c>
      <c r="D51" s="27">
        <v>582</v>
      </c>
      <c r="E51" s="27">
        <v>130</v>
      </c>
      <c r="F51" s="27">
        <f t="shared" si="31"/>
        <v>712</v>
      </c>
      <c r="G51" s="27">
        <v>3</v>
      </c>
      <c r="H51" s="27">
        <v>16</v>
      </c>
      <c r="I51" s="27">
        <v>2</v>
      </c>
      <c r="J51" s="27">
        <v>1</v>
      </c>
      <c r="K51" s="13">
        <v>8</v>
      </c>
      <c r="L51" s="27">
        <f t="shared" si="20"/>
        <v>30</v>
      </c>
      <c r="M51" s="27">
        <v>120</v>
      </c>
      <c r="N51" s="27">
        <v>120</v>
      </c>
      <c r="O51" s="29">
        <f t="shared" si="33"/>
        <v>120</v>
      </c>
      <c r="P51" s="27">
        <v>897</v>
      </c>
      <c r="Q51" s="7">
        <f t="shared" si="21"/>
        <v>7296</v>
      </c>
      <c r="R51" s="27">
        <v>5165.6499999999996</v>
      </c>
      <c r="S51" s="27">
        <v>79</v>
      </c>
      <c r="T51" s="27">
        <v>49</v>
      </c>
      <c r="U51" s="27">
        <v>97.5</v>
      </c>
      <c r="V51" s="27"/>
      <c r="W51" s="89">
        <f t="shared" si="22"/>
        <v>55.272727272727273</v>
      </c>
      <c r="X51" s="89">
        <f t="shared" si="32"/>
        <v>107.61770833333333</v>
      </c>
      <c r="Y51" s="97">
        <f t="shared" si="16"/>
        <v>69.231388888888887</v>
      </c>
      <c r="Z51" s="97">
        <f t="shared" si="23"/>
        <v>69.231388888888887</v>
      </c>
      <c r="AA51" s="27">
        <v>18113</v>
      </c>
      <c r="AB51" s="27">
        <v>22</v>
      </c>
      <c r="AC51" s="27">
        <f>12000</f>
        <v>12000</v>
      </c>
      <c r="AD51" s="27">
        <v>1600</v>
      </c>
      <c r="AE51" s="29">
        <f t="shared" si="24"/>
        <v>13600</v>
      </c>
      <c r="AF51" s="41">
        <v>1925</v>
      </c>
      <c r="AG51" s="4" t="s">
        <v>567</v>
      </c>
      <c r="AH51" s="151" t="str">
        <f t="shared" si="30"/>
        <v>https://ia800604.us.archive.org/18/items/GADeptofEd1925/GA.pdf#page=10</v>
      </c>
      <c r="AI51" s="152" t="str">
        <f t="shared" si="30"/>
        <v>https://ia800604.us.archive.org/18/items/GADeptofEd1925/GA.pdf#page=33</v>
      </c>
      <c r="AJ51" s="151" t="str">
        <f t="shared" si="30"/>
        <v>https://ia800604.us.archive.org/18/items/GADeptofEd1925/GA.pdf#page=10</v>
      </c>
      <c r="AK51" s="152" t="str">
        <f t="shared" si="30"/>
        <v>https://ia800604.us.archive.org/18/items/GADeptofEd1925/GA.pdf#page=32</v>
      </c>
      <c r="AL51" s="151" t="str">
        <f t="shared" si="30"/>
        <v>https://ia800604.us.archive.org/18/items/GADeptofEd1925/GA.pdf#page=14</v>
      </c>
      <c r="AM51" s="152" t="str">
        <f t="shared" si="30"/>
        <v>https://ia800604.us.archive.org/18/items/GADeptofEd1925/GA.pdf#page=37</v>
      </c>
      <c r="AN51" s="151" t="str">
        <f t="shared" si="12"/>
        <v>https://ia800604.us.archive.org/18/items/GADeptofEd1925/GA.pdf#page=14</v>
      </c>
      <c r="AO51" s="152" t="str">
        <f t="shared" si="26"/>
        <v>https://ia800604.us.archive.org/18/items/GADeptofEd1925/GA.pdf#page=32</v>
      </c>
      <c r="AP51" s="151" t="str">
        <f t="shared" si="26"/>
        <v>https://ia800604.us.archive.org/18/items/GADeptofEd1925/GA.pdf#page=28</v>
      </c>
      <c r="AQ51" s="152" t="str">
        <f t="shared" si="26"/>
        <v>https://ia800604.us.archive.org/18/items/GADeptofEd1925/GA.pdf#page=45</v>
      </c>
      <c r="AR51" s="151" t="str">
        <f t="shared" si="26"/>
        <v>https://ia800604.us.archive.org/18/items/GADeptofEd1925/GA.pdf#page=22</v>
      </c>
      <c r="AS51" s="152" t="str">
        <f t="shared" si="13"/>
        <v>https://ia800604.us.archive.org/18/items/GADeptofEd1925/GA.pdf#page=45</v>
      </c>
      <c r="AT51" s="151" t="str">
        <f t="shared" si="29"/>
        <v>https://ia800604.us.archive.org/18/items/GADeptofEd1925/GA.pdf#page=28</v>
      </c>
      <c r="AU51" s="152" t="str">
        <f t="shared" si="27"/>
        <v>https://ia800604.us.archive.org/18/items/GADeptofEd1925/GA.pdf#page=32</v>
      </c>
      <c r="AV51" s="151" t="str">
        <f t="shared" si="27"/>
        <v>https://ia800604.us.archive.org/18/items/GADeptofEd1925/GA.pdf#page=28</v>
      </c>
      <c r="AW51" s="152" t="str">
        <f t="shared" si="28"/>
        <v>https://ia800604.us.archive.org/18/items/GADeptofEd1925/GA.pdf#page=50</v>
      </c>
    </row>
    <row r="52" spans="1:49" x14ac:dyDescent="0.25">
      <c r="A52" s="27" t="s">
        <v>773</v>
      </c>
      <c r="B52" s="27" t="str">
        <f t="shared" si="0"/>
        <v>Georgia</v>
      </c>
      <c r="C52" s="27" t="str">
        <f t="shared" si="1"/>
        <v>Effingham</v>
      </c>
      <c r="D52" s="27">
        <f>1320+180</f>
        <v>1500</v>
      </c>
      <c r="E52" s="27">
        <v>604</v>
      </c>
      <c r="F52" s="27">
        <f t="shared" si="31"/>
        <v>2104</v>
      </c>
      <c r="G52" s="27">
        <v>3</v>
      </c>
      <c r="H52" s="27">
        <f>42+4</f>
        <v>46</v>
      </c>
      <c r="I52" s="27">
        <f>8+1</f>
        <v>9</v>
      </c>
      <c r="J52" s="27">
        <f>9+2</f>
        <v>11</v>
      </c>
      <c r="K52" s="13">
        <f>24+2</f>
        <v>26</v>
      </c>
      <c r="L52" s="27">
        <f t="shared" si="20"/>
        <v>95</v>
      </c>
      <c r="M52" s="27">
        <v>150</v>
      </c>
      <c r="N52" s="27">
        <v>120</v>
      </c>
      <c r="O52" s="29">
        <f t="shared" si="33"/>
        <v>141.38783269961976</v>
      </c>
      <c r="P52" s="27">
        <v>2683</v>
      </c>
      <c r="Q52" s="7">
        <f t="shared" si="21"/>
        <v>82026.525000000009</v>
      </c>
      <c r="R52" s="27">
        <f>5295+0</f>
        <v>5295</v>
      </c>
      <c r="S52" s="27">
        <v>60</v>
      </c>
      <c r="T52" s="27">
        <f>62.4+75</f>
        <v>137.4</v>
      </c>
      <c r="U52" s="27">
        <f>133.33+150</f>
        <v>283.33000000000004</v>
      </c>
      <c r="V52" s="27">
        <f>86.5+85</f>
        <v>171.5</v>
      </c>
      <c r="W52" s="89">
        <f t="shared" si="22"/>
        <v>158.50536231884058</v>
      </c>
      <c r="X52" s="89">
        <f t="shared" si="32"/>
        <v>33.942307692307693</v>
      </c>
      <c r="Y52" s="97">
        <f t="shared" si="16"/>
        <v>129.65334075723831</v>
      </c>
      <c r="Z52" s="97">
        <f t="shared" si="23"/>
        <v>124.41442105263158</v>
      </c>
      <c r="AA52" s="27">
        <v>58061</v>
      </c>
      <c r="AB52" s="27">
        <v>105</v>
      </c>
      <c r="AC52" s="27">
        <f>51650</f>
        <v>51650</v>
      </c>
      <c r="AD52" s="27">
        <v>2500</v>
      </c>
      <c r="AE52" s="29">
        <f t="shared" si="24"/>
        <v>54150</v>
      </c>
      <c r="AF52" s="41">
        <v>1925</v>
      </c>
      <c r="AG52" s="4" t="s">
        <v>567</v>
      </c>
      <c r="AH52" s="151" t="str">
        <f t="shared" si="30"/>
        <v>https://ia800604.us.archive.org/18/items/GADeptofEd1925/GA.pdf#page=10</v>
      </c>
      <c r="AI52" s="152" t="str">
        <f t="shared" si="30"/>
        <v>https://ia800604.us.archive.org/18/items/GADeptofEd1925/GA.pdf#page=33</v>
      </c>
      <c r="AJ52" s="151" t="str">
        <f t="shared" si="30"/>
        <v>https://ia800604.us.archive.org/18/items/GADeptofEd1925/GA.pdf#page=10</v>
      </c>
      <c r="AK52" s="152" t="str">
        <f t="shared" si="30"/>
        <v>https://ia800604.us.archive.org/18/items/GADeptofEd1925/GA.pdf#page=32</v>
      </c>
      <c r="AL52" s="151" t="str">
        <f t="shared" si="30"/>
        <v>https://ia800604.us.archive.org/18/items/GADeptofEd1925/GA.pdf#page=14</v>
      </c>
      <c r="AM52" s="152" t="str">
        <f t="shared" si="30"/>
        <v>https://ia800604.us.archive.org/18/items/GADeptofEd1925/GA.pdf#page=37</v>
      </c>
      <c r="AN52" s="151" t="str">
        <f t="shared" si="12"/>
        <v>https://ia800604.us.archive.org/18/items/GADeptofEd1925/GA.pdf#page=14</v>
      </c>
      <c r="AO52" s="152" t="str">
        <f t="shared" ref="AO52:AR67" si="34">AO51</f>
        <v>https://ia800604.us.archive.org/18/items/GADeptofEd1925/GA.pdf#page=32</v>
      </c>
      <c r="AP52" s="151" t="str">
        <f t="shared" si="34"/>
        <v>https://ia800604.us.archive.org/18/items/GADeptofEd1925/GA.pdf#page=28</v>
      </c>
      <c r="AQ52" s="152" t="str">
        <f t="shared" si="34"/>
        <v>https://ia800604.us.archive.org/18/items/GADeptofEd1925/GA.pdf#page=45</v>
      </c>
      <c r="AR52" s="151" t="str">
        <f t="shared" si="34"/>
        <v>https://ia800604.us.archive.org/18/items/GADeptofEd1925/GA.pdf#page=22</v>
      </c>
      <c r="AS52" s="152" t="str">
        <f t="shared" si="13"/>
        <v>https://ia800604.us.archive.org/18/items/GADeptofEd1925/GA.pdf#page=45</v>
      </c>
      <c r="AT52" s="151" t="str">
        <f t="shared" si="29"/>
        <v>https://ia800604.us.archive.org/18/items/GADeptofEd1925/GA.pdf#page=28</v>
      </c>
      <c r="AU52" s="152" t="str">
        <f t="shared" si="29"/>
        <v>https://ia800604.us.archive.org/18/items/GADeptofEd1925/GA.pdf#page=32</v>
      </c>
      <c r="AV52" s="151" t="str">
        <f t="shared" si="29"/>
        <v>https://ia800604.us.archive.org/18/items/GADeptofEd1925/GA.pdf#page=28</v>
      </c>
      <c r="AW52" s="152" t="str">
        <f t="shared" si="28"/>
        <v>https://ia800604.us.archive.org/18/items/GADeptofEd1925/GA.pdf#page=50</v>
      </c>
    </row>
    <row r="53" spans="1:49" x14ac:dyDescent="0.25">
      <c r="A53" s="27" t="s">
        <v>774</v>
      </c>
      <c r="B53" s="27" t="str">
        <f t="shared" si="0"/>
        <v>Georgia</v>
      </c>
      <c r="C53" s="27" t="str">
        <f t="shared" si="1"/>
        <v>Elbert</v>
      </c>
      <c r="D53" s="27">
        <f>2000+654</f>
        <v>2654</v>
      </c>
      <c r="E53" s="27">
        <f>1790+263</f>
        <v>2053</v>
      </c>
      <c r="F53" s="27">
        <f t="shared" si="31"/>
        <v>4707</v>
      </c>
      <c r="G53" s="27">
        <f>3+1</f>
        <v>4</v>
      </c>
      <c r="H53" s="27">
        <f>59+16</f>
        <v>75</v>
      </c>
      <c r="I53" s="27">
        <f>6+3</f>
        <v>9</v>
      </c>
      <c r="J53" s="27">
        <f>4+6</f>
        <v>10</v>
      </c>
      <c r="K53" s="13">
        <f>51+5+3</f>
        <v>59</v>
      </c>
      <c r="L53" s="27">
        <f t="shared" si="20"/>
        <v>157</v>
      </c>
      <c r="M53" s="27">
        <v>120</v>
      </c>
      <c r="N53" s="27">
        <v>120</v>
      </c>
      <c r="O53" s="29">
        <f t="shared" si="33"/>
        <v>120</v>
      </c>
      <c r="P53" s="27">
        <v>5335</v>
      </c>
      <c r="Q53" s="7">
        <f t="shared" si="21"/>
        <v>91713</v>
      </c>
      <c r="R53" s="27">
        <f>12937.74+3375</f>
        <v>16312.74</v>
      </c>
      <c r="S53" s="27">
        <v>64</v>
      </c>
      <c r="T53" s="27">
        <f>57+77.06</f>
        <v>134.06</v>
      </c>
      <c r="U53" s="27">
        <f>130+145</f>
        <v>275</v>
      </c>
      <c r="V53" s="27">
        <f>150+100</f>
        <v>250</v>
      </c>
      <c r="W53" s="89">
        <f t="shared" si="22"/>
        <v>155.97448979591837</v>
      </c>
      <c r="X53" s="89">
        <f t="shared" si="32"/>
        <v>46.081186440677961</v>
      </c>
      <c r="Y53" s="97">
        <f t="shared" si="16"/>
        <v>114.67700636942675</v>
      </c>
      <c r="Z53" s="97">
        <f t="shared" si="23"/>
        <v>114.67700636942676</v>
      </c>
      <c r="AA53" s="27">
        <v>110473</v>
      </c>
      <c r="AB53" s="27">
        <v>81</v>
      </c>
      <c r="AC53" s="27">
        <f>209500+18000</f>
        <v>227500</v>
      </c>
      <c r="AD53" s="27">
        <f>30500+28000</f>
        <v>58500</v>
      </c>
      <c r="AE53" s="29">
        <f t="shared" si="24"/>
        <v>286000</v>
      </c>
      <c r="AF53" s="41">
        <v>1925</v>
      </c>
      <c r="AG53" s="4" t="s">
        <v>567</v>
      </c>
      <c r="AH53" s="151" t="str">
        <f t="shared" si="30"/>
        <v>https://ia800604.us.archive.org/18/items/GADeptofEd1925/GA.pdf#page=10</v>
      </c>
      <c r="AI53" s="152" t="str">
        <f t="shared" si="30"/>
        <v>https://ia800604.us.archive.org/18/items/GADeptofEd1925/GA.pdf#page=33</v>
      </c>
      <c r="AJ53" s="151" t="str">
        <f t="shared" si="30"/>
        <v>https://ia800604.us.archive.org/18/items/GADeptofEd1925/GA.pdf#page=10</v>
      </c>
      <c r="AK53" s="152" t="str">
        <f t="shared" si="30"/>
        <v>https://ia800604.us.archive.org/18/items/GADeptofEd1925/GA.pdf#page=32</v>
      </c>
      <c r="AL53" s="151" t="str">
        <f t="shared" si="30"/>
        <v>https://ia800604.us.archive.org/18/items/GADeptofEd1925/GA.pdf#page=14</v>
      </c>
      <c r="AM53" s="152" t="str">
        <f t="shared" si="30"/>
        <v>https://ia800604.us.archive.org/18/items/GADeptofEd1925/GA.pdf#page=37</v>
      </c>
      <c r="AN53" s="151" t="str">
        <f t="shared" si="12"/>
        <v>https://ia800604.us.archive.org/18/items/GADeptofEd1925/GA.pdf#page=14</v>
      </c>
      <c r="AO53" s="152" t="str">
        <f t="shared" si="34"/>
        <v>https://ia800604.us.archive.org/18/items/GADeptofEd1925/GA.pdf#page=32</v>
      </c>
      <c r="AP53" s="151" t="str">
        <f t="shared" si="34"/>
        <v>https://ia800604.us.archive.org/18/items/GADeptofEd1925/GA.pdf#page=28</v>
      </c>
      <c r="AQ53" s="152" t="str">
        <f t="shared" si="34"/>
        <v>https://ia800604.us.archive.org/18/items/GADeptofEd1925/GA.pdf#page=45</v>
      </c>
      <c r="AR53" s="151" t="str">
        <f t="shared" si="34"/>
        <v>https://ia800604.us.archive.org/18/items/GADeptofEd1925/GA.pdf#page=22</v>
      </c>
      <c r="AS53" s="152" t="str">
        <f t="shared" si="13"/>
        <v>https://ia800604.us.archive.org/18/items/GADeptofEd1925/GA.pdf#page=45</v>
      </c>
      <c r="AT53" s="151" t="str">
        <f t="shared" ref="AT53:AV68" si="35">AT52</f>
        <v>https://ia800604.us.archive.org/18/items/GADeptofEd1925/GA.pdf#page=28</v>
      </c>
      <c r="AU53" s="152" t="str">
        <f t="shared" si="35"/>
        <v>https://ia800604.us.archive.org/18/items/GADeptofEd1925/GA.pdf#page=32</v>
      </c>
      <c r="AV53" s="151" t="str">
        <f t="shared" si="35"/>
        <v>https://ia800604.us.archive.org/18/items/GADeptofEd1925/GA.pdf#page=28</v>
      </c>
      <c r="AW53" s="152" t="str">
        <f t="shared" si="28"/>
        <v>https://ia800604.us.archive.org/18/items/GADeptofEd1925/GA.pdf#page=50</v>
      </c>
    </row>
    <row r="54" spans="1:49" x14ac:dyDescent="0.25">
      <c r="A54" s="27" t="s">
        <v>775</v>
      </c>
      <c r="B54" s="27" t="str">
        <f t="shared" si="0"/>
        <v>Georgia</v>
      </c>
      <c r="C54" s="27" t="str">
        <f t="shared" si="1"/>
        <v>Emanuel</v>
      </c>
      <c r="D54" s="27">
        <v>3170</v>
      </c>
      <c r="E54" s="27">
        <v>1595</v>
      </c>
      <c r="F54" s="27">
        <f t="shared" si="31"/>
        <v>4765</v>
      </c>
      <c r="G54" s="27">
        <v>10</v>
      </c>
      <c r="H54" s="27">
        <v>90</v>
      </c>
      <c r="I54" s="27">
        <v>16</v>
      </c>
      <c r="J54" s="27">
        <v>14</v>
      </c>
      <c r="K54" s="27">
        <f>55+1</f>
        <v>56</v>
      </c>
      <c r="L54" s="27">
        <f t="shared" si="20"/>
        <v>186</v>
      </c>
      <c r="M54" s="27">
        <v>160</v>
      </c>
      <c r="N54" s="27">
        <v>110</v>
      </c>
      <c r="O54" s="29">
        <f t="shared" si="33"/>
        <v>143.26337880377756</v>
      </c>
      <c r="P54" s="27">
        <v>7208</v>
      </c>
      <c r="Q54" s="7">
        <f t="shared" si="21"/>
        <v>69920</v>
      </c>
      <c r="R54" s="27">
        <v>8918.7000000000007</v>
      </c>
      <c r="S54" s="27">
        <v>60</v>
      </c>
      <c r="T54" s="27">
        <v>60</v>
      </c>
      <c r="U54" s="27">
        <v>110</v>
      </c>
      <c r="V54" s="27">
        <v>70</v>
      </c>
      <c r="W54" s="89">
        <f t="shared" si="22"/>
        <v>67.230769230769226</v>
      </c>
      <c r="X54" s="89">
        <f t="shared" si="32"/>
        <v>28.956818181818186</v>
      </c>
      <c r="Y54" s="97">
        <f t="shared" si="16"/>
        <v>58.485682492581603</v>
      </c>
      <c r="Z54" s="97">
        <f t="shared" si="23"/>
        <v>55.707429130009771</v>
      </c>
      <c r="AA54" s="27">
        <v>76703</v>
      </c>
      <c r="AB54" s="27">
        <v>23</v>
      </c>
      <c r="AC54" s="27">
        <v>120000</v>
      </c>
      <c r="AD54" s="27">
        <v>10000</v>
      </c>
      <c r="AE54" s="29">
        <f t="shared" si="24"/>
        <v>130000</v>
      </c>
      <c r="AF54" s="41">
        <v>1925</v>
      </c>
      <c r="AG54" s="4" t="s">
        <v>567</v>
      </c>
      <c r="AH54" s="151" t="str">
        <f t="shared" si="30"/>
        <v>https://ia800604.us.archive.org/18/items/GADeptofEd1925/GA.pdf#page=10</v>
      </c>
      <c r="AI54" s="152" t="str">
        <f t="shared" si="30"/>
        <v>https://ia800604.us.archive.org/18/items/GADeptofEd1925/GA.pdf#page=33</v>
      </c>
      <c r="AJ54" s="151" t="str">
        <f t="shared" si="30"/>
        <v>https://ia800604.us.archive.org/18/items/GADeptofEd1925/GA.pdf#page=10</v>
      </c>
      <c r="AK54" s="152" t="str">
        <f t="shared" si="30"/>
        <v>https://ia800604.us.archive.org/18/items/GADeptofEd1925/GA.pdf#page=32</v>
      </c>
      <c r="AL54" s="151" t="str">
        <f t="shared" si="30"/>
        <v>https://ia800604.us.archive.org/18/items/GADeptofEd1925/GA.pdf#page=14</v>
      </c>
      <c r="AM54" s="152" t="str">
        <f t="shared" si="30"/>
        <v>https://ia800604.us.archive.org/18/items/GADeptofEd1925/GA.pdf#page=37</v>
      </c>
      <c r="AN54" s="151" t="str">
        <f t="shared" si="12"/>
        <v>https://ia800604.us.archive.org/18/items/GADeptofEd1925/GA.pdf#page=14</v>
      </c>
      <c r="AO54" s="152" t="str">
        <f t="shared" si="34"/>
        <v>https://ia800604.us.archive.org/18/items/GADeptofEd1925/GA.pdf#page=32</v>
      </c>
      <c r="AP54" s="151" t="str">
        <f t="shared" si="34"/>
        <v>https://ia800604.us.archive.org/18/items/GADeptofEd1925/GA.pdf#page=28</v>
      </c>
      <c r="AQ54" s="152" t="str">
        <f t="shared" si="34"/>
        <v>https://ia800604.us.archive.org/18/items/GADeptofEd1925/GA.pdf#page=45</v>
      </c>
      <c r="AR54" s="151" t="str">
        <f t="shared" si="34"/>
        <v>https://ia800604.us.archive.org/18/items/GADeptofEd1925/GA.pdf#page=22</v>
      </c>
      <c r="AS54" s="152" t="str">
        <f t="shared" si="13"/>
        <v>https://ia800604.us.archive.org/18/items/GADeptofEd1925/GA.pdf#page=45</v>
      </c>
      <c r="AT54" s="151" t="str">
        <f t="shared" si="35"/>
        <v>https://ia800604.us.archive.org/18/items/GADeptofEd1925/GA.pdf#page=28</v>
      </c>
      <c r="AU54" s="152" t="str">
        <f t="shared" si="35"/>
        <v>https://ia800604.us.archive.org/18/items/GADeptofEd1925/GA.pdf#page=32</v>
      </c>
      <c r="AV54" s="151" t="str">
        <f t="shared" si="35"/>
        <v>https://ia800604.us.archive.org/18/items/GADeptofEd1925/GA.pdf#page=28</v>
      </c>
      <c r="AW54" s="152" t="str">
        <f t="shared" si="28"/>
        <v>https://ia800604.us.archive.org/18/items/GADeptofEd1925/GA.pdf#page=50</v>
      </c>
    </row>
    <row r="55" spans="1:49" x14ac:dyDescent="0.25">
      <c r="A55" s="27" t="s">
        <v>776</v>
      </c>
      <c r="B55" s="27" t="str">
        <f t="shared" si="0"/>
        <v>Georgia</v>
      </c>
      <c r="C55" s="27" t="str">
        <f t="shared" si="1"/>
        <v>Evans</v>
      </c>
      <c r="D55" s="27">
        <v>981</v>
      </c>
      <c r="E55" s="27">
        <v>325</v>
      </c>
      <c r="F55" s="27">
        <f t="shared" si="31"/>
        <v>1306</v>
      </c>
      <c r="G55" s="27">
        <v>2</v>
      </c>
      <c r="H55" s="27">
        <v>34</v>
      </c>
      <c r="I55" s="27">
        <v>3</v>
      </c>
      <c r="J55" s="27">
        <v>5</v>
      </c>
      <c r="K55" s="27">
        <f>11+1</f>
        <v>12</v>
      </c>
      <c r="L55" s="27">
        <f t="shared" si="20"/>
        <v>56</v>
      </c>
      <c r="M55" s="27">
        <v>150</v>
      </c>
      <c r="N55" s="27">
        <v>120</v>
      </c>
      <c r="O55" s="29">
        <f t="shared" si="33"/>
        <v>142.53445635528331</v>
      </c>
      <c r="P55" s="27">
        <v>1932</v>
      </c>
      <c r="Q55" s="7">
        <f t="shared" si="21"/>
        <v>23347.5</v>
      </c>
      <c r="R55" s="27">
        <v>1780.22</v>
      </c>
      <c r="S55" s="27">
        <v>75</v>
      </c>
      <c r="T55" s="27">
        <v>60</v>
      </c>
      <c r="U55" s="27">
        <v>166</v>
      </c>
      <c r="V55" s="27">
        <v>85</v>
      </c>
      <c r="W55" s="89">
        <f t="shared" si="22"/>
        <v>70.75</v>
      </c>
      <c r="X55" s="89">
        <f t="shared" si="32"/>
        <v>24.725277777777777</v>
      </c>
      <c r="Y55" s="97">
        <f t="shared" si="16"/>
        <v>62.506766169154226</v>
      </c>
      <c r="Z55" s="97">
        <f t="shared" si="23"/>
        <v>60.887559523809522</v>
      </c>
      <c r="AA55" s="27">
        <v>43514</v>
      </c>
      <c r="AB55" s="27">
        <v>40</v>
      </c>
      <c r="AC55" s="27">
        <v>84500</v>
      </c>
      <c r="AD55" s="27">
        <v>3300</v>
      </c>
      <c r="AE55" s="29">
        <f t="shared" si="24"/>
        <v>87800</v>
      </c>
      <c r="AF55" s="41">
        <v>1925</v>
      </c>
      <c r="AG55" s="4" t="s">
        <v>567</v>
      </c>
      <c r="AH55" s="151" t="str">
        <f t="shared" si="30"/>
        <v>https://ia800604.us.archive.org/18/items/GADeptofEd1925/GA.pdf#page=10</v>
      </c>
      <c r="AI55" s="152" t="str">
        <f t="shared" si="30"/>
        <v>https://ia800604.us.archive.org/18/items/GADeptofEd1925/GA.pdf#page=33</v>
      </c>
      <c r="AJ55" s="151" t="str">
        <f t="shared" si="30"/>
        <v>https://ia800604.us.archive.org/18/items/GADeptofEd1925/GA.pdf#page=10</v>
      </c>
      <c r="AK55" s="152" t="str">
        <f t="shared" si="30"/>
        <v>https://ia800604.us.archive.org/18/items/GADeptofEd1925/GA.pdf#page=32</v>
      </c>
      <c r="AL55" s="151" t="str">
        <f t="shared" si="30"/>
        <v>https://ia800604.us.archive.org/18/items/GADeptofEd1925/GA.pdf#page=14</v>
      </c>
      <c r="AM55" s="152" t="str">
        <f t="shared" si="30"/>
        <v>https://ia800604.us.archive.org/18/items/GADeptofEd1925/GA.pdf#page=37</v>
      </c>
      <c r="AN55" s="151" t="str">
        <f t="shared" si="12"/>
        <v>https://ia800604.us.archive.org/18/items/GADeptofEd1925/GA.pdf#page=14</v>
      </c>
      <c r="AO55" s="152" t="str">
        <f t="shared" si="34"/>
        <v>https://ia800604.us.archive.org/18/items/GADeptofEd1925/GA.pdf#page=32</v>
      </c>
      <c r="AP55" s="151" t="str">
        <f t="shared" si="34"/>
        <v>https://ia800604.us.archive.org/18/items/GADeptofEd1925/GA.pdf#page=28</v>
      </c>
      <c r="AQ55" s="152" t="str">
        <f t="shared" si="34"/>
        <v>https://ia800604.us.archive.org/18/items/GADeptofEd1925/GA.pdf#page=45</v>
      </c>
      <c r="AR55" s="151" t="str">
        <f t="shared" si="34"/>
        <v>https://ia800604.us.archive.org/18/items/GADeptofEd1925/GA.pdf#page=22</v>
      </c>
      <c r="AS55" s="152" t="str">
        <f t="shared" si="13"/>
        <v>https://ia800604.us.archive.org/18/items/GADeptofEd1925/GA.pdf#page=45</v>
      </c>
      <c r="AT55" s="151" t="str">
        <f t="shared" si="35"/>
        <v>https://ia800604.us.archive.org/18/items/GADeptofEd1925/GA.pdf#page=28</v>
      </c>
      <c r="AU55" s="152" t="str">
        <f t="shared" si="35"/>
        <v>https://ia800604.us.archive.org/18/items/GADeptofEd1925/GA.pdf#page=32</v>
      </c>
      <c r="AV55" s="151" t="str">
        <f t="shared" si="35"/>
        <v>https://ia800604.us.archive.org/18/items/GADeptofEd1925/GA.pdf#page=28</v>
      </c>
      <c r="AW55" s="152" t="str">
        <f t="shared" si="28"/>
        <v>https://ia800604.us.archive.org/18/items/GADeptofEd1925/GA.pdf#page=50</v>
      </c>
    </row>
    <row r="56" spans="1:49" x14ac:dyDescent="0.25">
      <c r="A56" s="27" t="s">
        <v>777</v>
      </c>
      <c r="B56" s="27" t="str">
        <f t="shared" si="0"/>
        <v>Georgia</v>
      </c>
      <c r="C56" s="27" t="str">
        <f t="shared" si="1"/>
        <v>Fannin</v>
      </c>
      <c r="D56" s="27">
        <v>2284</v>
      </c>
      <c r="E56" s="27">
        <v>10</v>
      </c>
      <c r="F56" s="27">
        <f t="shared" si="31"/>
        <v>2294</v>
      </c>
      <c r="G56" s="27">
        <v>28</v>
      </c>
      <c r="H56" s="27">
        <v>39</v>
      </c>
      <c r="I56" s="27">
        <v>4</v>
      </c>
      <c r="J56" s="27">
        <v>2</v>
      </c>
      <c r="K56" s="27">
        <v>0</v>
      </c>
      <c r="L56" s="27">
        <f t="shared" si="20"/>
        <v>73</v>
      </c>
      <c r="M56" s="27">
        <v>115</v>
      </c>
      <c r="N56" s="27"/>
      <c r="O56" s="29">
        <v>115</v>
      </c>
      <c r="P56" s="27">
        <v>3266</v>
      </c>
      <c r="Q56" s="7">
        <f t="shared" si="21"/>
        <v>16745.38</v>
      </c>
      <c r="R56" s="27"/>
      <c r="S56" s="27">
        <v>47.96</v>
      </c>
      <c r="T56" s="27">
        <v>40.24</v>
      </c>
      <c r="U56" s="27"/>
      <c r="V56" s="27"/>
      <c r="W56" s="89">
        <f t="shared" si="22"/>
        <v>39.893698630136988</v>
      </c>
      <c r="X56" s="89" t="e">
        <f t="shared" si="32"/>
        <v>#DIV/0!</v>
      </c>
      <c r="Y56" s="97">
        <f t="shared" si="16"/>
        <v>39.893698630136988</v>
      </c>
      <c r="Z56" s="97" t="e">
        <f t="shared" si="23"/>
        <v>#DIV/0!</v>
      </c>
      <c r="AA56" s="27">
        <v>23115</v>
      </c>
      <c r="AB56" s="27">
        <v>1</v>
      </c>
      <c r="AC56" s="27">
        <v>116800</v>
      </c>
      <c r="AD56" s="27"/>
      <c r="AE56" s="29">
        <f t="shared" si="24"/>
        <v>116800</v>
      </c>
      <c r="AF56" s="41">
        <v>1925</v>
      </c>
      <c r="AG56" s="4" t="s">
        <v>567</v>
      </c>
      <c r="AH56" s="151" t="str">
        <f t="shared" si="30"/>
        <v>https://ia800604.us.archive.org/18/items/GADeptofEd1925/GA.pdf#page=10</v>
      </c>
      <c r="AI56" s="152" t="str">
        <f t="shared" si="30"/>
        <v>https://ia800604.us.archive.org/18/items/GADeptofEd1925/GA.pdf#page=33</v>
      </c>
      <c r="AJ56" s="151" t="str">
        <f t="shared" si="30"/>
        <v>https://ia800604.us.archive.org/18/items/GADeptofEd1925/GA.pdf#page=10</v>
      </c>
      <c r="AK56" s="152" t="str">
        <f t="shared" si="30"/>
        <v>https://ia800604.us.archive.org/18/items/GADeptofEd1925/GA.pdf#page=32</v>
      </c>
      <c r="AL56" s="151" t="str">
        <f t="shared" si="30"/>
        <v>https://ia800604.us.archive.org/18/items/GADeptofEd1925/GA.pdf#page=14</v>
      </c>
      <c r="AM56" s="152" t="str">
        <f t="shared" si="30"/>
        <v>https://ia800604.us.archive.org/18/items/GADeptofEd1925/GA.pdf#page=37</v>
      </c>
      <c r="AN56" s="151" t="str">
        <f t="shared" si="12"/>
        <v>https://ia800604.us.archive.org/18/items/GADeptofEd1925/GA.pdf#page=14</v>
      </c>
      <c r="AO56" s="152" t="str">
        <f t="shared" si="34"/>
        <v>https://ia800604.us.archive.org/18/items/GADeptofEd1925/GA.pdf#page=32</v>
      </c>
      <c r="AP56" s="151" t="str">
        <f t="shared" si="34"/>
        <v>https://ia800604.us.archive.org/18/items/GADeptofEd1925/GA.pdf#page=28</v>
      </c>
      <c r="AQ56" s="152" t="str">
        <f t="shared" si="34"/>
        <v>https://ia800604.us.archive.org/18/items/GADeptofEd1925/GA.pdf#page=45</v>
      </c>
      <c r="AR56" s="151" t="str">
        <f t="shared" si="34"/>
        <v>https://ia800604.us.archive.org/18/items/GADeptofEd1925/GA.pdf#page=22</v>
      </c>
      <c r="AS56" s="152" t="str">
        <f t="shared" si="13"/>
        <v>https://ia800604.us.archive.org/18/items/GADeptofEd1925/GA.pdf#page=45</v>
      </c>
      <c r="AT56" s="151" t="str">
        <f t="shared" si="35"/>
        <v>https://ia800604.us.archive.org/18/items/GADeptofEd1925/GA.pdf#page=28</v>
      </c>
      <c r="AU56" s="152" t="str">
        <f t="shared" si="35"/>
        <v>https://ia800604.us.archive.org/18/items/GADeptofEd1925/GA.pdf#page=32</v>
      </c>
      <c r="AV56" s="151" t="str">
        <f t="shared" si="35"/>
        <v>https://ia800604.us.archive.org/18/items/GADeptofEd1925/GA.pdf#page=28</v>
      </c>
      <c r="AW56" s="152" t="str">
        <f t="shared" si="28"/>
        <v>https://ia800604.us.archive.org/18/items/GADeptofEd1925/GA.pdf#page=50</v>
      </c>
    </row>
    <row r="57" spans="1:49" x14ac:dyDescent="0.25">
      <c r="A57" s="27" t="s">
        <v>778</v>
      </c>
      <c r="B57" s="27" t="str">
        <f t="shared" si="0"/>
        <v>Georgia</v>
      </c>
      <c r="C57" s="27" t="str">
        <f t="shared" si="1"/>
        <v>Fayette</v>
      </c>
      <c r="D57" s="27">
        <v>1386</v>
      </c>
      <c r="E57" s="27">
        <v>412</v>
      </c>
      <c r="F57" s="27">
        <f t="shared" si="31"/>
        <v>1798</v>
      </c>
      <c r="G57" s="27">
        <v>3</v>
      </c>
      <c r="H57" s="27">
        <v>37</v>
      </c>
      <c r="I57" s="27">
        <v>5</v>
      </c>
      <c r="J57" s="27">
        <v>5</v>
      </c>
      <c r="K57" s="27">
        <f>13+1</f>
        <v>14</v>
      </c>
      <c r="L57" s="27">
        <f t="shared" si="20"/>
        <v>64</v>
      </c>
      <c r="M57" s="27">
        <v>160</v>
      </c>
      <c r="N57" s="27">
        <v>100</v>
      </c>
      <c r="O57" s="29">
        <f t="shared" si="33"/>
        <v>146.25139043381535</v>
      </c>
      <c r="P57" s="27">
        <v>2601</v>
      </c>
      <c r="Q57" s="7">
        <f t="shared" si="21"/>
        <v>29496.48</v>
      </c>
      <c r="R57" s="27">
        <v>2117</v>
      </c>
      <c r="S57" s="27">
        <v>87.5</v>
      </c>
      <c r="T57" s="27">
        <v>61.33</v>
      </c>
      <c r="U57" s="27">
        <v>149.07</v>
      </c>
      <c r="V57" s="27">
        <v>82</v>
      </c>
      <c r="W57" s="89">
        <f t="shared" si="22"/>
        <v>73.741199999999992</v>
      </c>
      <c r="X57" s="89">
        <f t="shared" si="32"/>
        <v>30.242857142857144</v>
      </c>
      <c r="Y57" s="97">
        <f t="shared" si="16"/>
        <v>67.262723404255311</v>
      </c>
      <c r="Z57" s="97">
        <f t="shared" si="23"/>
        <v>64.225937499999986</v>
      </c>
      <c r="AA57" s="27">
        <v>41892</v>
      </c>
      <c r="AB57" s="27">
        <v>65</v>
      </c>
      <c r="AC57" s="27">
        <v>50000</v>
      </c>
      <c r="AD57" s="27">
        <v>2500</v>
      </c>
      <c r="AE57" s="29">
        <f t="shared" si="24"/>
        <v>52500</v>
      </c>
      <c r="AF57" s="41">
        <v>1925</v>
      </c>
      <c r="AG57" s="4" t="s">
        <v>567</v>
      </c>
      <c r="AH57" s="151" t="str">
        <f t="shared" si="30"/>
        <v>https://ia800604.us.archive.org/18/items/GADeptofEd1925/GA.pdf#page=10</v>
      </c>
      <c r="AI57" s="152" t="str">
        <f t="shared" si="30"/>
        <v>https://ia800604.us.archive.org/18/items/GADeptofEd1925/GA.pdf#page=33</v>
      </c>
      <c r="AJ57" s="151" t="str">
        <f t="shared" si="30"/>
        <v>https://ia800604.us.archive.org/18/items/GADeptofEd1925/GA.pdf#page=10</v>
      </c>
      <c r="AK57" s="152" t="str">
        <f t="shared" si="30"/>
        <v>https://ia800604.us.archive.org/18/items/GADeptofEd1925/GA.pdf#page=32</v>
      </c>
      <c r="AL57" s="151" t="str">
        <f t="shared" si="30"/>
        <v>https://ia800604.us.archive.org/18/items/GADeptofEd1925/GA.pdf#page=14</v>
      </c>
      <c r="AM57" s="152" t="str">
        <f t="shared" si="30"/>
        <v>https://ia800604.us.archive.org/18/items/GADeptofEd1925/GA.pdf#page=37</v>
      </c>
      <c r="AN57" s="151" t="str">
        <f t="shared" si="12"/>
        <v>https://ia800604.us.archive.org/18/items/GADeptofEd1925/GA.pdf#page=14</v>
      </c>
      <c r="AO57" s="152" t="str">
        <f t="shared" si="34"/>
        <v>https://ia800604.us.archive.org/18/items/GADeptofEd1925/GA.pdf#page=32</v>
      </c>
      <c r="AP57" s="151" t="str">
        <f t="shared" si="34"/>
        <v>https://ia800604.us.archive.org/18/items/GADeptofEd1925/GA.pdf#page=28</v>
      </c>
      <c r="AQ57" s="152" t="str">
        <f t="shared" si="34"/>
        <v>https://ia800604.us.archive.org/18/items/GADeptofEd1925/GA.pdf#page=45</v>
      </c>
      <c r="AR57" s="151" t="str">
        <f t="shared" si="34"/>
        <v>https://ia800604.us.archive.org/18/items/GADeptofEd1925/GA.pdf#page=22</v>
      </c>
      <c r="AS57" s="152" t="str">
        <f t="shared" si="13"/>
        <v>https://ia800604.us.archive.org/18/items/GADeptofEd1925/GA.pdf#page=45</v>
      </c>
      <c r="AT57" s="151" t="str">
        <f t="shared" si="35"/>
        <v>https://ia800604.us.archive.org/18/items/GADeptofEd1925/GA.pdf#page=28</v>
      </c>
      <c r="AU57" s="152" t="str">
        <f t="shared" si="35"/>
        <v>https://ia800604.us.archive.org/18/items/GADeptofEd1925/GA.pdf#page=32</v>
      </c>
      <c r="AV57" s="151" t="str">
        <f t="shared" si="35"/>
        <v>https://ia800604.us.archive.org/18/items/GADeptofEd1925/GA.pdf#page=28</v>
      </c>
      <c r="AW57" s="152" t="str">
        <f t="shared" si="28"/>
        <v>https://ia800604.us.archive.org/18/items/GADeptofEd1925/GA.pdf#page=50</v>
      </c>
    </row>
    <row r="58" spans="1:49" x14ac:dyDescent="0.25">
      <c r="A58" s="27" t="s">
        <v>779</v>
      </c>
      <c r="B58" s="27" t="str">
        <f t="shared" si="0"/>
        <v>Georgia</v>
      </c>
      <c r="C58" s="27" t="str">
        <f t="shared" si="1"/>
        <v>Floyd</v>
      </c>
      <c r="D58" s="27">
        <f>3223+2030</f>
        <v>5253</v>
      </c>
      <c r="E58" s="27">
        <f>950+536</f>
        <v>1486</v>
      </c>
      <c r="F58" s="27">
        <f t="shared" si="31"/>
        <v>6739</v>
      </c>
      <c r="G58" s="27">
        <v>11</v>
      </c>
      <c r="H58" s="27">
        <f>105+43</f>
        <v>148</v>
      </c>
      <c r="I58" s="27">
        <f>6+3</f>
        <v>9</v>
      </c>
      <c r="J58" s="27">
        <f>7+11</f>
        <v>18</v>
      </c>
      <c r="K58" s="27">
        <f>26+11+1</f>
        <v>38</v>
      </c>
      <c r="L58" s="27">
        <f t="shared" si="20"/>
        <v>224</v>
      </c>
      <c r="M58" s="27"/>
      <c r="N58" s="27"/>
      <c r="O58" s="29">
        <f t="shared" si="33"/>
        <v>0</v>
      </c>
      <c r="P58" s="27">
        <v>7750</v>
      </c>
      <c r="Q58" s="7">
        <f t="shared" si="21"/>
        <v>0</v>
      </c>
      <c r="R58" s="27">
        <f>3803.75+5811</f>
        <v>9614.75</v>
      </c>
      <c r="S58" s="27">
        <v>90</v>
      </c>
      <c r="T58" s="27">
        <f>70+85</f>
        <v>155</v>
      </c>
      <c r="U58" s="27">
        <f>100+200</f>
        <v>300</v>
      </c>
      <c r="V58" s="27">
        <f>90+99</f>
        <v>189</v>
      </c>
      <c r="W58" s="89" t="e">
        <f t="shared" si="22"/>
        <v>#DIV/0!</v>
      </c>
      <c r="X58" s="89" t="e">
        <f t="shared" si="32"/>
        <v>#DIV/0!</v>
      </c>
      <c r="Y58" s="97" t="e">
        <f t="shared" si="16"/>
        <v>#DIV/0!</v>
      </c>
      <c r="Z58" s="97" t="e">
        <f t="shared" si="23"/>
        <v>#DIV/0!</v>
      </c>
      <c r="AA58" s="27">
        <v>205001</v>
      </c>
      <c r="AB58" s="27">
        <v>46</v>
      </c>
      <c r="AC58" s="27">
        <f>65000+275000</f>
        <v>340000</v>
      </c>
      <c r="AD58" s="27">
        <f>2500+16000</f>
        <v>18500</v>
      </c>
      <c r="AE58" s="29">
        <f t="shared" si="24"/>
        <v>358500</v>
      </c>
      <c r="AF58" s="41">
        <v>1925</v>
      </c>
      <c r="AG58" s="4" t="s">
        <v>567</v>
      </c>
      <c r="AH58" s="151" t="str">
        <f t="shared" si="30"/>
        <v>https://ia800604.us.archive.org/18/items/GADeptofEd1925/GA.pdf#page=10</v>
      </c>
      <c r="AI58" s="152" t="str">
        <f t="shared" si="30"/>
        <v>https://ia800604.us.archive.org/18/items/GADeptofEd1925/GA.pdf#page=33</v>
      </c>
      <c r="AJ58" s="151" t="str">
        <f t="shared" si="30"/>
        <v>https://ia800604.us.archive.org/18/items/GADeptofEd1925/GA.pdf#page=10</v>
      </c>
      <c r="AK58" s="152" t="str">
        <f t="shared" si="30"/>
        <v>https://ia800604.us.archive.org/18/items/GADeptofEd1925/GA.pdf#page=32</v>
      </c>
      <c r="AL58" s="151" t="str">
        <f t="shared" si="30"/>
        <v>https://ia800604.us.archive.org/18/items/GADeptofEd1925/GA.pdf#page=14</v>
      </c>
      <c r="AM58" s="152" t="str">
        <f t="shared" si="30"/>
        <v>https://ia800604.us.archive.org/18/items/GADeptofEd1925/GA.pdf#page=37</v>
      </c>
      <c r="AN58" s="151" t="str">
        <f t="shared" si="12"/>
        <v>https://ia800604.us.archive.org/18/items/GADeptofEd1925/GA.pdf#page=14</v>
      </c>
      <c r="AO58" s="152" t="str">
        <f t="shared" si="34"/>
        <v>https://ia800604.us.archive.org/18/items/GADeptofEd1925/GA.pdf#page=32</v>
      </c>
      <c r="AP58" s="151" t="str">
        <f t="shared" si="34"/>
        <v>https://ia800604.us.archive.org/18/items/GADeptofEd1925/GA.pdf#page=28</v>
      </c>
      <c r="AQ58" s="152" t="str">
        <f t="shared" si="34"/>
        <v>https://ia800604.us.archive.org/18/items/GADeptofEd1925/GA.pdf#page=45</v>
      </c>
      <c r="AR58" s="151" t="str">
        <f t="shared" si="34"/>
        <v>https://ia800604.us.archive.org/18/items/GADeptofEd1925/GA.pdf#page=22</v>
      </c>
      <c r="AS58" s="152" t="str">
        <f t="shared" si="13"/>
        <v>https://ia800604.us.archive.org/18/items/GADeptofEd1925/GA.pdf#page=45</v>
      </c>
      <c r="AT58" s="151" t="str">
        <f t="shared" si="35"/>
        <v>https://ia800604.us.archive.org/18/items/GADeptofEd1925/GA.pdf#page=28</v>
      </c>
      <c r="AU58" s="152" t="str">
        <f t="shared" si="35"/>
        <v>https://ia800604.us.archive.org/18/items/GADeptofEd1925/GA.pdf#page=32</v>
      </c>
      <c r="AV58" s="151" t="str">
        <f t="shared" si="35"/>
        <v>https://ia800604.us.archive.org/18/items/GADeptofEd1925/GA.pdf#page=28</v>
      </c>
      <c r="AW58" s="152" t="str">
        <f t="shared" si="28"/>
        <v>https://ia800604.us.archive.org/18/items/GADeptofEd1925/GA.pdf#page=50</v>
      </c>
    </row>
    <row r="59" spans="1:49" x14ac:dyDescent="0.25">
      <c r="A59" s="27" t="s">
        <v>780</v>
      </c>
      <c r="B59" s="27" t="str">
        <f t="shared" si="0"/>
        <v>Georgia</v>
      </c>
      <c r="C59" s="27" t="str">
        <f t="shared" si="1"/>
        <v>Forsyth</v>
      </c>
      <c r="D59" s="27">
        <v>1520</v>
      </c>
      <c r="E59" s="27" t="s">
        <v>2126</v>
      </c>
      <c r="F59" s="27">
        <v>1520</v>
      </c>
      <c r="G59" s="27">
        <v>21</v>
      </c>
      <c r="H59" s="27">
        <v>53</v>
      </c>
      <c r="I59" s="27">
        <v>5</v>
      </c>
      <c r="J59" s="27">
        <v>2</v>
      </c>
      <c r="K59" s="27">
        <v>0</v>
      </c>
      <c r="L59" s="27">
        <f t="shared" si="20"/>
        <v>81</v>
      </c>
      <c r="M59" s="27">
        <v>120</v>
      </c>
      <c r="N59" s="27"/>
      <c r="O59" s="29">
        <v>120</v>
      </c>
      <c r="P59" s="27">
        <v>3379</v>
      </c>
      <c r="Q59" s="7">
        <f t="shared" si="21"/>
        <v>23250</v>
      </c>
      <c r="R59" s="27"/>
      <c r="S59" s="27">
        <v>55</v>
      </c>
      <c r="T59" s="27">
        <v>40</v>
      </c>
      <c r="U59" s="27">
        <v>90</v>
      </c>
      <c r="V59" s="27">
        <v>75</v>
      </c>
      <c r="W59" s="89">
        <f t="shared" si="22"/>
        <v>47.839506172839499</v>
      </c>
      <c r="X59" s="89" t="e">
        <f t="shared" si="32"/>
        <v>#DIV/0!</v>
      </c>
      <c r="Y59" s="97">
        <f t="shared" si="16"/>
        <v>47.839506172839499</v>
      </c>
      <c r="Z59" s="97" t="e">
        <f t="shared" si="23"/>
        <v>#DIV/0!</v>
      </c>
      <c r="AA59" s="27">
        <v>25605</v>
      </c>
      <c r="AB59" s="27">
        <v>5</v>
      </c>
      <c r="AC59" s="27">
        <v>46500</v>
      </c>
      <c r="AD59" s="27"/>
      <c r="AE59" s="29">
        <f t="shared" si="24"/>
        <v>46500</v>
      </c>
      <c r="AF59" s="41">
        <v>1925</v>
      </c>
      <c r="AG59" s="4" t="s">
        <v>567</v>
      </c>
      <c r="AH59" s="151" t="str">
        <f t="shared" ref="AH59:AL74" si="36">AH58</f>
        <v>https://ia800604.us.archive.org/18/items/GADeptofEd1925/GA.pdf#page=10</v>
      </c>
      <c r="AI59" s="152" t="str">
        <f t="shared" si="36"/>
        <v>https://ia800604.us.archive.org/18/items/GADeptofEd1925/GA.pdf#page=33</v>
      </c>
      <c r="AJ59" s="151" t="str">
        <f t="shared" si="36"/>
        <v>https://ia800604.us.archive.org/18/items/GADeptofEd1925/GA.pdf#page=10</v>
      </c>
      <c r="AK59" s="152" t="str">
        <f t="shared" si="36"/>
        <v>https://ia800604.us.archive.org/18/items/GADeptofEd1925/GA.pdf#page=32</v>
      </c>
      <c r="AL59" s="151" t="s">
        <v>2657</v>
      </c>
      <c r="AM59" s="152" t="str">
        <f t="shared" ref="AM59:AM122" si="37">AM58</f>
        <v>https://ia800604.us.archive.org/18/items/GADeptofEd1925/GA.pdf#page=37</v>
      </c>
      <c r="AN59" s="151" t="str">
        <f t="shared" si="12"/>
        <v>https://ia800604.us.archive.org/18/items/GADeptofEd1925/GA.pdf#page=15</v>
      </c>
      <c r="AO59" s="152" t="str">
        <f t="shared" si="34"/>
        <v>https://ia800604.us.archive.org/18/items/GADeptofEd1925/GA.pdf#page=32</v>
      </c>
      <c r="AP59" s="151" t="str">
        <f t="shared" si="34"/>
        <v>https://ia800604.us.archive.org/18/items/GADeptofEd1925/GA.pdf#page=28</v>
      </c>
      <c r="AQ59" s="152" t="str">
        <f t="shared" si="34"/>
        <v>https://ia800604.us.archive.org/18/items/GADeptofEd1925/GA.pdf#page=45</v>
      </c>
      <c r="AR59" s="151" t="str">
        <f t="shared" si="34"/>
        <v>https://ia800604.us.archive.org/18/items/GADeptofEd1925/GA.pdf#page=22</v>
      </c>
      <c r="AS59" s="152" t="str">
        <f t="shared" si="13"/>
        <v>https://ia800604.us.archive.org/18/items/GADeptofEd1925/GA.pdf#page=45</v>
      </c>
      <c r="AT59" s="151" t="str">
        <f t="shared" si="35"/>
        <v>https://ia800604.us.archive.org/18/items/GADeptofEd1925/GA.pdf#page=28</v>
      </c>
      <c r="AU59" s="152" t="str">
        <f t="shared" si="35"/>
        <v>https://ia800604.us.archive.org/18/items/GADeptofEd1925/GA.pdf#page=32</v>
      </c>
      <c r="AV59" s="151" t="str">
        <f t="shared" si="35"/>
        <v>https://ia800604.us.archive.org/18/items/GADeptofEd1925/GA.pdf#page=28</v>
      </c>
      <c r="AW59" s="152" t="str">
        <f t="shared" si="28"/>
        <v>https://ia800604.us.archive.org/18/items/GADeptofEd1925/GA.pdf#page=50</v>
      </c>
    </row>
    <row r="60" spans="1:49" x14ac:dyDescent="0.25">
      <c r="A60" s="27" t="s">
        <v>781</v>
      </c>
      <c r="B60" s="27" t="str">
        <f t="shared" si="0"/>
        <v>Georgia</v>
      </c>
      <c r="C60" s="27" t="str">
        <f t="shared" si="1"/>
        <v>Franklin</v>
      </c>
      <c r="D60" s="27">
        <f>3200+306+95+398+318</f>
        <v>4317</v>
      </c>
      <c r="E60" s="27">
        <f>610+44+96+135</f>
        <v>885</v>
      </c>
      <c r="F60" s="27">
        <f t="shared" ref="F60:F66" si="38">D60+E60</f>
        <v>5202</v>
      </c>
      <c r="G60" s="27">
        <f>20+1+1</f>
        <v>22</v>
      </c>
      <c r="H60" s="27">
        <f>46+4+3+7+7</f>
        <v>67</v>
      </c>
      <c r="I60" s="27">
        <f>5+3+2+3+2</f>
        <v>15</v>
      </c>
      <c r="J60" s="27">
        <f>5+3+4+2</f>
        <v>14</v>
      </c>
      <c r="K60" s="27">
        <f>9+1+1+1</f>
        <v>12</v>
      </c>
      <c r="L60" s="27">
        <f t="shared" si="20"/>
        <v>130</v>
      </c>
      <c r="M60" s="27">
        <v>120</v>
      </c>
      <c r="N60" s="27">
        <v>120</v>
      </c>
      <c r="O60" s="29">
        <f>((D60*M60)+(E60*N60))/F60</f>
        <v>120</v>
      </c>
      <c r="P60" s="27">
        <v>5952</v>
      </c>
      <c r="Q60" s="7">
        <f t="shared" si="21"/>
        <v>283544.03999999998</v>
      </c>
      <c r="R60" s="27">
        <f>2266+0+280+900+0+635</f>
        <v>4081</v>
      </c>
      <c r="S60" s="27">
        <f>60+80+70+80</f>
        <v>290</v>
      </c>
      <c r="T60" s="27">
        <f>60+75+60+78+73.45</f>
        <v>346.45</v>
      </c>
      <c r="U60" s="27">
        <f>125+150+135+237+155.89</f>
        <v>802.89</v>
      </c>
      <c r="V60" s="27">
        <f>100+100+0+105+96.56</f>
        <v>401.56</v>
      </c>
      <c r="W60" s="89">
        <f t="shared" si="22"/>
        <v>400.48593220338984</v>
      </c>
      <c r="X60" s="89">
        <f t="shared" si="32"/>
        <v>56.68055555555555</v>
      </c>
      <c r="Y60" s="97">
        <f t="shared" si="16"/>
        <v>368.75005128205129</v>
      </c>
      <c r="Z60" s="97">
        <f t="shared" si="23"/>
        <v>368.75005128205129</v>
      </c>
      <c r="AA60" s="27">
        <v>88207</v>
      </c>
      <c r="AB60" s="27">
        <v>60</v>
      </c>
      <c r="AC60" s="27">
        <f>25000+45000+10000+90000+35000</f>
        <v>205000</v>
      </c>
      <c r="AD60" s="27">
        <f>1500+200+3000+3500</f>
        <v>8200</v>
      </c>
      <c r="AE60" s="29">
        <f t="shared" si="24"/>
        <v>213200</v>
      </c>
      <c r="AF60" s="41">
        <v>1925</v>
      </c>
      <c r="AG60" s="4" t="s">
        <v>567</v>
      </c>
      <c r="AH60" s="151" t="str">
        <f t="shared" si="36"/>
        <v>https://ia800604.us.archive.org/18/items/GADeptofEd1925/GA.pdf#page=10</v>
      </c>
      <c r="AI60" s="152" t="str">
        <f t="shared" si="36"/>
        <v>https://ia800604.us.archive.org/18/items/GADeptofEd1925/GA.pdf#page=33</v>
      </c>
      <c r="AJ60" s="151" t="str">
        <f t="shared" si="36"/>
        <v>https://ia800604.us.archive.org/18/items/GADeptofEd1925/GA.pdf#page=10</v>
      </c>
      <c r="AK60" s="152" t="str">
        <f t="shared" si="36"/>
        <v>https://ia800604.us.archive.org/18/items/GADeptofEd1925/GA.pdf#page=32</v>
      </c>
      <c r="AL60" s="151" t="str">
        <f>AL59</f>
        <v>https://ia800604.us.archive.org/18/items/GADeptofEd1925/GA.pdf#page=15</v>
      </c>
      <c r="AM60" s="152" t="str">
        <f t="shared" si="37"/>
        <v>https://ia800604.us.archive.org/18/items/GADeptofEd1925/GA.pdf#page=37</v>
      </c>
      <c r="AN60" s="151" t="str">
        <f t="shared" si="12"/>
        <v>https://ia800604.us.archive.org/18/items/GADeptofEd1925/GA.pdf#page=15</v>
      </c>
      <c r="AO60" s="152" t="str">
        <f t="shared" si="34"/>
        <v>https://ia800604.us.archive.org/18/items/GADeptofEd1925/GA.pdf#page=32</v>
      </c>
      <c r="AP60" s="151" t="str">
        <f t="shared" si="34"/>
        <v>https://ia800604.us.archive.org/18/items/GADeptofEd1925/GA.pdf#page=28</v>
      </c>
      <c r="AQ60" s="152" t="str">
        <f t="shared" si="34"/>
        <v>https://ia800604.us.archive.org/18/items/GADeptofEd1925/GA.pdf#page=45</v>
      </c>
      <c r="AR60" s="151" t="str">
        <f t="shared" si="34"/>
        <v>https://ia800604.us.archive.org/18/items/GADeptofEd1925/GA.pdf#page=22</v>
      </c>
      <c r="AS60" s="152" t="str">
        <f t="shared" si="13"/>
        <v>https://ia800604.us.archive.org/18/items/GADeptofEd1925/GA.pdf#page=45</v>
      </c>
      <c r="AT60" s="151" t="str">
        <f t="shared" si="35"/>
        <v>https://ia800604.us.archive.org/18/items/GADeptofEd1925/GA.pdf#page=28</v>
      </c>
      <c r="AU60" s="152" t="str">
        <f t="shared" si="35"/>
        <v>https://ia800604.us.archive.org/18/items/GADeptofEd1925/GA.pdf#page=32</v>
      </c>
      <c r="AV60" s="151" t="str">
        <f t="shared" si="35"/>
        <v>https://ia800604.us.archive.org/18/items/GADeptofEd1925/GA.pdf#page=28</v>
      </c>
      <c r="AW60" s="152" t="str">
        <f t="shared" si="28"/>
        <v>https://ia800604.us.archive.org/18/items/GADeptofEd1925/GA.pdf#page=50</v>
      </c>
    </row>
    <row r="61" spans="1:49" x14ac:dyDescent="0.25">
      <c r="A61" s="27" t="s">
        <v>782</v>
      </c>
      <c r="B61" s="27" t="str">
        <f t="shared" si="0"/>
        <v>Georgia</v>
      </c>
      <c r="C61" s="27" t="str">
        <f t="shared" si="1"/>
        <v>Fulton</v>
      </c>
      <c r="D61" s="27">
        <f>6400+29000+764+1325</f>
        <v>37489</v>
      </c>
      <c r="E61" s="27">
        <f>1400+13782+233+306</f>
        <v>15721</v>
      </c>
      <c r="F61" s="27">
        <f t="shared" si="38"/>
        <v>53210</v>
      </c>
      <c r="G61" s="27">
        <v>4</v>
      </c>
      <c r="H61" s="27">
        <f>151+713+19+28</f>
        <v>911</v>
      </c>
      <c r="I61" s="27">
        <f>11+100+1+1</f>
        <v>113</v>
      </c>
      <c r="J61" s="27">
        <f>12+130+6+6</f>
        <v>154</v>
      </c>
      <c r="K61" s="27">
        <f>40+4+7</f>
        <v>51</v>
      </c>
      <c r="L61" s="27">
        <f t="shared" si="20"/>
        <v>1233</v>
      </c>
      <c r="M61" s="27">
        <v>180</v>
      </c>
      <c r="N61" s="27">
        <v>180</v>
      </c>
      <c r="O61" s="29">
        <f>((D61*M61)+(E61*N61))/F61</f>
        <v>180</v>
      </c>
      <c r="P61" s="27">
        <v>58392</v>
      </c>
      <c r="Q61" s="7">
        <f t="shared" si="21"/>
        <v>4662801</v>
      </c>
      <c r="R61" s="27">
        <f>18469.55+0+1956.88+2376</f>
        <v>22802.43</v>
      </c>
      <c r="S61" s="27">
        <v>125</v>
      </c>
      <c r="T61" s="27">
        <f>85+118+85+94</f>
        <v>382</v>
      </c>
      <c r="U61" s="27">
        <f>200+168.5+170+187.5</f>
        <v>726</v>
      </c>
      <c r="V61" s="27">
        <f>175+168.5+100+125</f>
        <v>568.5</v>
      </c>
      <c r="W61" s="89">
        <f t="shared" si="22"/>
        <v>438.31556683587144</v>
      </c>
      <c r="X61" s="89">
        <f t="shared" si="32"/>
        <v>49.678496732026147</v>
      </c>
      <c r="Y61" s="97">
        <f t="shared" si="16"/>
        <v>422.24055420383888</v>
      </c>
      <c r="Z61" s="97">
        <f t="shared" si="23"/>
        <v>422.24055420383894</v>
      </c>
      <c r="AA61" s="27">
        <v>4091437</v>
      </c>
      <c r="AB61" s="27">
        <v>125</v>
      </c>
      <c r="AC61" s="27">
        <f>250000+5552749+30000+83000</f>
        <v>5915749</v>
      </c>
      <c r="AD61" s="27">
        <f>10000+1430961+3500+6000</f>
        <v>1450461</v>
      </c>
      <c r="AE61" s="29">
        <f t="shared" si="24"/>
        <v>7366210</v>
      </c>
      <c r="AF61" s="41">
        <v>1925</v>
      </c>
      <c r="AG61" s="4" t="s">
        <v>567</v>
      </c>
      <c r="AH61" s="151" t="str">
        <f t="shared" si="36"/>
        <v>https://ia800604.us.archive.org/18/items/GADeptofEd1925/GA.pdf#page=10</v>
      </c>
      <c r="AI61" s="152" t="str">
        <f t="shared" si="36"/>
        <v>https://ia800604.us.archive.org/18/items/GADeptofEd1925/GA.pdf#page=33</v>
      </c>
      <c r="AJ61" s="151" t="str">
        <f t="shared" si="36"/>
        <v>https://ia800604.us.archive.org/18/items/GADeptofEd1925/GA.pdf#page=10</v>
      </c>
      <c r="AK61" s="152" t="str">
        <f t="shared" si="36"/>
        <v>https://ia800604.us.archive.org/18/items/GADeptofEd1925/GA.pdf#page=32</v>
      </c>
      <c r="AL61" s="151" t="str">
        <f t="shared" si="36"/>
        <v>https://ia800604.us.archive.org/18/items/GADeptofEd1925/GA.pdf#page=15</v>
      </c>
      <c r="AM61" s="152" t="s">
        <v>2658</v>
      </c>
      <c r="AN61" s="151" t="str">
        <f t="shared" si="12"/>
        <v>https://ia800604.us.archive.org/18/items/GADeptofEd1925/GA.pdf#page=15</v>
      </c>
      <c r="AO61" s="152" t="str">
        <f t="shared" si="34"/>
        <v>https://ia800604.us.archive.org/18/items/GADeptofEd1925/GA.pdf#page=32</v>
      </c>
      <c r="AP61" s="151" t="s">
        <v>2659</v>
      </c>
      <c r="AQ61" s="152" t="str">
        <f t="shared" si="34"/>
        <v>https://ia800604.us.archive.org/18/items/GADeptofEd1925/GA.pdf#page=45</v>
      </c>
      <c r="AR61" s="151" t="s">
        <v>2660</v>
      </c>
      <c r="AS61" s="152" t="str">
        <f t="shared" si="13"/>
        <v>https://ia800604.us.archive.org/18/items/GADeptofEd1925/GA.pdf#page=45</v>
      </c>
      <c r="AT61" s="151" t="s">
        <v>2659</v>
      </c>
      <c r="AU61" s="152" t="str">
        <f t="shared" si="35"/>
        <v>https://ia800604.us.archive.org/18/items/GADeptofEd1925/GA.pdf#page=32</v>
      </c>
      <c r="AV61" s="151" t="s">
        <v>2659</v>
      </c>
      <c r="AW61" s="152" t="s">
        <v>2661</v>
      </c>
    </row>
    <row r="62" spans="1:49" x14ac:dyDescent="0.25">
      <c r="A62" s="27" t="s">
        <v>783</v>
      </c>
      <c r="B62" s="27" t="str">
        <f t="shared" si="0"/>
        <v>Georgia</v>
      </c>
      <c r="C62" s="27" t="str">
        <f t="shared" si="1"/>
        <v>Gilmer</v>
      </c>
      <c r="D62" s="27">
        <f>2400</f>
        <v>2400</v>
      </c>
      <c r="E62" s="27">
        <v>6</v>
      </c>
      <c r="F62" s="27">
        <f t="shared" si="38"/>
        <v>2406</v>
      </c>
      <c r="G62" s="27">
        <v>22</v>
      </c>
      <c r="H62" s="27">
        <v>45</v>
      </c>
      <c r="I62" s="27">
        <v>1</v>
      </c>
      <c r="J62" s="27">
        <v>2</v>
      </c>
      <c r="K62" s="27">
        <v>1</v>
      </c>
      <c r="L62" s="27">
        <f t="shared" si="20"/>
        <v>71</v>
      </c>
      <c r="M62" s="27">
        <v>44</v>
      </c>
      <c r="N62" s="27"/>
      <c r="O62" s="29">
        <v>44</v>
      </c>
      <c r="P62" s="27">
        <v>2864</v>
      </c>
      <c r="Q62" s="7">
        <f t="shared" si="21"/>
        <v>7167.6</v>
      </c>
      <c r="R62" s="27">
        <v>30</v>
      </c>
      <c r="S62" s="27">
        <v>54</v>
      </c>
      <c r="T62" s="27">
        <v>46</v>
      </c>
      <c r="U62" s="27"/>
      <c r="V62" s="27"/>
      <c r="W62" s="89">
        <f t="shared" si="22"/>
        <v>46.542857142857137</v>
      </c>
      <c r="X62" s="89" t="e">
        <f t="shared" si="32"/>
        <v>#DIV/0!</v>
      </c>
      <c r="Y62" s="97">
        <f t="shared" si="16"/>
        <v>46.737662337662336</v>
      </c>
      <c r="Z62" s="97" t="e">
        <f t="shared" si="23"/>
        <v>#DIV/0!</v>
      </c>
      <c r="AA62" s="27">
        <v>20286</v>
      </c>
      <c r="AB62" s="27">
        <v>48</v>
      </c>
      <c r="AC62" s="27">
        <v>49000</v>
      </c>
      <c r="AD62" s="27">
        <v>200</v>
      </c>
      <c r="AE62" s="29">
        <f t="shared" si="24"/>
        <v>49200</v>
      </c>
      <c r="AF62" s="41">
        <v>1925</v>
      </c>
      <c r="AG62" s="4" t="s">
        <v>567</v>
      </c>
      <c r="AH62" s="151" t="str">
        <f t="shared" si="36"/>
        <v>https://ia800604.us.archive.org/18/items/GADeptofEd1925/GA.pdf#page=10</v>
      </c>
      <c r="AI62" s="152" t="str">
        <f t="shared" si="36"/>
        <v>https://ia800604.us.archive.org/18/items/GADeptofEd1925/GA.pdf#page=33</v>
      </c>
      <c r="AJ62" s="151" t="str">
        <f t="shared" si="36"/>
        <v>https://ia800604.us.archive.org/18/items/GADeptofEd1925/GA.pdf#page=10</v>
      </c>
      <c r="AK62" s="152" t="str">
        <f t="shared" si="36"/>
        <v>https://ia800604.us.archive.org/18/items/GADeptofEd1925/GA.pdf#page=32</v>
      </c>
      <c r="AL62" s="151" t="str">
        <f t="shared" si="36"/>
        <v>https://ia800604.us.archive.org/18/items/GADeptofEd1925/GA.pdf#page=15</v>
      </c>
      <c r="AM62" s="152" t="str">
        <f t="shared" si="37"/>
        <v>https://ia800604.us.archive.org/18/items/GADeptofEd1925/GA.pdf#page=38</v>
      </c>
      <c r="AN62" s="151" t="str">
        <f t="shared" si="12"/>
        <v>https://ia800604.us.archive.org/18/items/GADeptofEd1925/GA.pdf#page=15</v>
      </c>
      <c r="AO62" s="152" t="str">
        <f t="shared" si="34"/>
        <v>https://ia800604.us.archive.org/18/items/GADeptofEd1925/GA.pdf#page=32</v>
      </c>
      <c r="AP62" s="151" t="str">
        <f>AP61</f>
        <v>https://ia800604.us.archive.org/18/items/GADeptofEd1925/GA.pdf#page=29</v>
      </c>
      <c r="AQ62" s="152" t="s">
        <v>2662</v>
      </c>
      <c r="AR62" s="151" t="str">
        <f>AR61</f>
        <v>https://ia800604.us.archive.org/18/items/GADeptofEd1925/GA.pdf#page=23</v>
      </c>
      <c r="AS62" s="152" t="str">
        <f t="shared" si="13"/>
        <v>https://ia800604.us.archive.org/18/items/GADeptofEd1925/GA.pdf#page=46</v>
      </c>
      <c r="AT62" s="151" t="str">
        <f>AT61</f>
        <v>https://ia800604.us.archive.org/18/items/GADeptofEd1925/GA.pdf#page=29</v>
      </c>
      <c r="AU62" s="152" t="str">
        <f t="shared" si="35"/>
        <v>https://ia800604.us.archive.org/18/items/GADeptofEd1925/GA.pdf#page=32</v>
      </c>
      <c r="AV62" s="151" t="str">
        <f>AV61</f>
        <v>https://ia800604.us.archive.org/18/items/GADeptofEd1925/GA.pdf#page=29</v>
      </c>
      <c r="AW62" s="152" t="str">
        <f t="shared" si="28"/>
        <v>https://ia800604.us.archive.org/18/items/GADeptofEd1925/GA.pdf#page=51</v>
      </c>
    </row>
    <row r="63" spans="1:49" x14ac:dyDescent="0.25">
      <c r="A63" s="27" t="s">
        <v>784</v>
      </c>
      <c r="B63" s="27" t="str">
        <f t="shared" si="0"/>
        <v>Georgia</v>
      </c>
      <c r="C63" s="27" t="str">
        <f t="shared" si="1"/>
        <v>Glascock</v>
      </c>
      <c r="D63" s="27">
        <v>675</v>
      </c>
      <c r="E63" s="27">
        <v>225</v>
      </c>
      <c r="F63" s="27">
        <f t="shared" si="38"/>
        <v>900</v>
      </c>
      <c r="G63" s="27">
        <v>0</v>
      </c>
      <c r="H63" s="27">
        <v>21</v>
      </c>
      <c r="I63" s="27">
        <v>1</v>
      </c>
      <c r="J63" s="27">
        <v>2</v>
      </c>
      <c r="K63" s="27">
        <v>5</v>
      </c>
      <c r="L63" s="27">
        <f t="shared" si="20"/>
        <v>29</v>
      </c>
      <c r="M63" s="27">
        <v>120</v>
      </c>
      <c r="N63" s="27"/>
      <c r="O63" s="29">
        <v>120</v>
      </c>
      <c r="P63" s="27">
        <v>1176</v>
      </c>
      <c r="Q63" s="7">
        <f t="shared" si="21"/>
        <v>8544</v>
      </c>
      <c r="R63" s="27">
        <v>1115.25</v>
      </c>
      <c r="S63" s="27">
        <v>60</v>
      </c>
      <c r="T63" s="27">
        <v>54</v>
      </c>
      <c r="U63" s="27">
        <v>110</v>
      </c>
      <c r="V63" s="27">
        <v>90</v>
      </c>
      <c r="W63" s="89">
        <f t="shared" si="22"/>
        <v>59.333333333333336</v>
      </c>
      <c r="X63" s="89" t="e">
        <f t="shared" si="32"/>
        <v>#DIV/0!</v>
      </c>
      <c r="Y63" s="97">
        <f t="shared" si="16"/>
        <v>67.078125</v>
      </c>
      <c r="Z63" s="97" t="e">
        <f t="shared" si="23"/>
        <v>#DIV/0!</v>
      </c>
      <c r="AA63" s="27">
        <v>19440</v>
      </c>
      <c r="AB63" s="27">
        <v>14</v>
      </c>
      <c r="AC63" s="27">
        <v>31500</v>
      </c>
      <c r="AD63" s="27">
        <v>1500</v>
      </c>
      <c r="AE63" s="29">
        <f t="shared" si="24"/>
        <v>33000</v>
      </c>
      <c r="AF63" s="41">
        <v>1925</v>
      </c>
      <c r="AG63" s="4" t="s">
        <v>567</v>
      </c>
      <c r="AH63" s="151" t="str">
        <f t="shared" si="36"/>
        <v>https://ia800604.us.archive.org/18/items/GADeptofEd1925/GA.pdf#page=10</v>
      </c>
      <c r="AI63" s="152" t="str">
        <f t="shared" si="36"/>
        <v>https://ia800604.us.archive.org/18/items/GADeptofEd1925/GA.pdf#page=33</v>
      </c>
      <c r="AJ63" s="151" t="str">
        <f t="shared" si="36"/>
        <v>https://ia800604.us.archive.org/18/items/GADeptofEd1925/GA.pdf#page=10</v>
      </c>
      <c r="AK63" s="152" t="str">
        <f t="shared" si="36"/>
        <v>https://ia800604.us.archive.org/18/items/GADeptofEd1925/GA.pdf#page=32</v>
      </c>
      <c r="AL63" s="151" t="str">
        <f t="shared" si="36"/>
        <v>https://ia800604.us.archive.org/18/items/GADeptofEd1925/GA.pdf#page=15</v>
      </c>
      <c r="AM63" s="152" t="str">
        <f t="shared" si="37"/>
        <v>https://ia800604.us.archive.org/18/items/GADeptofEd1925/GA.pdf#page=38</v>
      </c>
      <c r="AN63" s="151" t="str">
        <f t="shared" si="12"/>
        <v>https://ia800604.us.archive.org/18/items/GADeptofEd1925/GA.pdf#page=15</v>
      </c>
      <c r="AO63" s="152" t="str">
        <f t="shared" si="34"/>
        <v>https://ia800604.us.archive.org/18/items/GADeptofEd1925/GA.pdf#page=32</v>
      </c>
      <c r="AP63" s="151" t="str">
        <f t="shared" si="34"/>
        <v>https://ia800604.us.archive.org/18/items/GADeptofEd1925/GA.pdf#page=29</v>
      </c>
      <c r="AQ63" s="152" t="str">
        <f t="shared" si="34"/>
        <v>https://ia800604.us.archive.org/18/items/GADeptofEd1925/GA.pdf#page=46</v>
      </c>
      <c r="AR63" s="151" t="str">
        <f t="shared" si="34"/>
        <v>https://ia800604.us.archive.org/18/items/GADeptofEd1925/GA.pdf#page=23</v>
      </c>
      <c r="AS63" s="152" t="str">
        <f t="shared" si="13"/>
        <v>https://ia800604.us.archive.org/18/items/GADeptofEd1925/GA.pdf#page=46</v>
      </c>
      <c r="AT63" s="151" t="str">
        <f t="shared" ref="AT63:AV78" si="39">AT62</f>
        <v>https://ia800604.us.archive.org/18/items/GADeptofEd1925/GA.pdf#page=29</v>
      </c>
      <c r="AU63" s="152" t="str">
        <f t="shared" si="35"/>
        <v>https://ia800604.us.archive.org/18/items/GADeptofEd1925/GA.pdf#page=32</v>
      </c>
      <c r="AV63" s="151" t="str">
        <f t="shared" si="35"/>
        <v>https://ia800604.us.archive.org/18/items/GADeptofEd1925/GA.pdf#page=29</v>
      </c>
      <c r="AW63" s="152" t="str">
        <f t="shared" si="28"/>
        <v>https://ia800604.us.archive.org/18/items/GADeptofEd1925/GA.pdf#page=51</v>
      </c>
    </row>
    <row r="64" spans="1:49" x14ac:dyDescent="0.25">
      <c r="A64" s="27" t="s">
        <v>785</v>
      </c>
      <c r="B64" s="27" t="str">
        <f t="shared" si="0"/>
        <v>Georgia</v>
      </c>
      <c r="C64" s="27" t="str">
        <f t="shared" si="1"/>
        <v>Glynn</v>
      </c>
      <c r="D64" s="27">
        <v>1408</v>
      </c>
      <c r="E64" s="27">
        <v>1004</v>
      </c>
      <c r="F64" s="27">
        <f t="shared" si="38"/>
        <v>2412</v>
      </c>
      <c r="G64" s="27">
        <v>0</v>
      </c>
      <c r="H64" s="27">
        <v>45</v>
      </c>
      <c r="I64" s="27">
        <v>3</v>
      </c>
      <c r="J64" s="27">
        <v>8</v>
      </c>
      <c r="K64" s="27">
        <f>29+4</f>
        <v>33</v>
      </c>
      <c r="L64" s="27">
        <f t="shared" si="20"/>
        <v>89</v>
      </c>
      <c r="M64" s="27">
        <v>180</v>
      </c>
      <c r="N64" s="27">
        <v>180</v>
      </c>
      <c r="O64" s="29">
        <f t="shared" ref="O64:O95" si="40">((D64*M64)+(E64*N64))/F64</f>
        <v>180</v>
      </c>
      <c r="P64" s="27">
        <v>3167</v>
      </c>
      <c r="Q64" s="7">
        <f t="shared" si="21"/>
        <v>52560</v>
      </c>
      <c r="R64" s="27">
        <v>15213.37</v>
      </c>
      <c r="S64" s="27"/>
      <c r="T64" s="27">
        <v>90</v>
      </c>
      <c r="U64" s="27">
        <v>170</v>
      </c>
      <c r="V64" s="27">
        <v>160</v>
      </c>
      <c r="W64" s="89">
        <f t="shared" si="22"/>
        <v>104.28571428571428</v>
      </c>
      <c r="X64" s="89">
        <f t="shared" si="32"/>
        <v>51.223468013468022</v>
      </c>
      <c r="Y64" s="97">
        <f t="shared" si="16"/>
        <v>84.610948813982517</v>
      </c>
      <c r="Z64" s="97">
        <f t="shared" si="23"/>
        <v>84.610948813982517</v>
      </c>
      <c r="AA64" s="27">
        <v>112177</v>
      </c>
      <c r="AB64" s="27">
        <v>24</v>
      </c>
      <c r="AC64" s="27">
        <v>300500</v>
      </c>
      <c r="AD64" s="27">
        <v>51000</v>
      </c>
      <c r="AE64" s="29">
        <f t="shared" si="24"/>
        <v>351500</v>
      </c>
      <c r="AF64" s="41">
        <v>1925</v>
      </c>
      <c r="AG64" s="4" t="s">
        <v>567</v>
      </c>
      <c r="AH64" s="151" t="str">
        <f t="shared" si="36"/>
        <v>https://ia800604.us.archive.org/18/items/GADeptofEd1925/GA.pdf#page=10</v>
      </c>
      <c r="AI64" s="152" t="str">
        <f t="shared" si="36"/>
        <v>https://ia800604.us.archive.org/18/items/GADeptofEd1925/GA.pdf#page=33</v>
      </c>
      <c r="AJ64" s="151" t="str">
        <f t="shared" si="36"/>
        <v>https://ia800604.us.archive.org/18/items/GADeptofEd1925/GA.pdf#page=10</v>
      </c>
      <c r="AK64" s="152" t="str">
        <f t="shared" si="36"/>
        <v>https://ia800604.us.archive.org/18/items/GADeptofEd1925/GA.pdf#page=32</v>
      </c>
      <c r="AL64" s="151" t="str">
        <f t="shared" si="36"/>
        <v>https://ia800604.us.archive.org/18/items/GADeptofEd1925/GA.pdf#page=15</v>
      </c>
      <c r="AM64" s="152" t="str">
        <f t="shared" si="37"/>
        <v>https://ia800604.us.archive.org/18/items/GADeptofEd1925/GA.pdf#page=38</v>
      </c>
      <c r="AN64" s="151" t="str">
        <f t="shared" si="12"/>
        <v>https://ia800604.us.archive.org/18/items/GADeptofEd1925/GA.pdf#page=15</v>
      </c>
      <c r="AO64" s="152" t="str">
        <f t="shared" si="34"/>
        <v>https://ia800604.us.archive.org/18/items/GADeptofEd1925/GA.pdf#page=32</v>
      </c>
      <c r="AP64" s="151" t="str">
        <f t="shared" si="34"/>
        <v>https://ia800604.us.archive.org/18/items/GADeptofEd1925/GA.pdf#page=29</v>
      </c>
      <c r="AQ64" s="152" t="str">
        <f t="shared" si="34"/>
        <v>https://ia800604.us.archive.org/18/items/GADeptofEd1925/GA.pdf#page=46</v>
      </c>
      <c r="AR64" s="151" t="str">
        <f t="shared" si="34"/>
        <v>https://ia800604.us.archive.org/18/items/GADeptofEd1925/GA.pdf#page=23</v>
      </c>
      <c r="AS64" s="152" t="str">
        <f t="shared" si="13"/>
        <v>https://ia800604.us.archive.org/18/items/GADeptofEd1925/GA.pdf#page=46</v>
      </c>
      <c r="AT64" s="151" t="str">
        <f t="shared" si="39"/>
        <v>https://ia800604.us.archive.org/18/items/GADeptofEd1925/GA.pdf#page=29</v>
      </c>
      <c r="AU64" s="152" t="str">
        <f t="shared" si="35"/>
        <v>https://ia800604.us.archive.org/18/items/GADeptofEd1925/GA.pdf#page=32</v>
      </c>
      <c r="AV64" s="151" t="str">
        <f t="shared" si="35"/>
        <v>https://ia800604.us.archive.org/18/items/GADeptofEd1925/GA.pdf#page=29</v>
      </c>
      <c r="AW64" s="152" t="str">
        <f t="shared" si="28"/>
        <v>https://ia800604.us.archive.org/18/items/GADeptofEd1925/GA.pdf#page=51</v>
      </c>
    </row>
    <row r="65" spans="1:49" x14ac:dyDescent="0.25">
      <c r="A65" s="27" t="s">
        <v>786</v>
      </c>
      <c r="B65" s="27" t="str">
        <f t="shared" si="0"/>
        <v>Georgia</v>
      </c>
      <c r="C65" s="27" t="str">
        <f t="shared" si="1"/>
        <v>Gordon</v>
      </c>
      <c r="D65" s="27">
        <f>3015+40</f>
        <v>3055</v>
      </c>
      <c r="E65" s="27">
        <v>210</v>
      </c>
      <c r="F65" s="27">
        <f t="shared" si="38"/>
        <v>3265</v>
      </c>
      <c r="G65" s="27">
        <v>21</v>
      </c>
      <c r="H65" s="27">
        <f>65+1</f>
        <v>66</v>
      </c>
      <c r="I65" s="27">
        <v>2</v>
      </c>
      <c r="J65" s="27">
        <v>3</v>
      </c>
      <c r="K65" s="27">
        <v>5</v>
      </c>
      <c r="L65" s="27">
        <f t="shared" si="20"/>
        <v>97</v>
      </c>
      <c r="M65" s="27">
        <v>120</v>
      </c>
      <c r="N65" s="27">
        <v>120</v>
      </c>
      <c r="O65" s="29">
        <f t="shared" si="40"/>
        <v>120</v>
      </c>
      <c r="P65" s="27">
        <v>3643</v>
      </c>
      <c r="Q65" s="7">
        <f t="shared" si="21"/>
        <v>30210</v>
      </c>
      <c r="R65" s="27">
        <f>548+0</f>
        <v>548</v>
      </c>
      <c r="S65" s="27">
        <v>60</v>
      </c>
      <c r="T65" s="27">
        <v>50</v>
      </c>
      <c r="U65" s="27">
        <v>125</v>
      </c>
      <c r="V65" s="27">
        <v>75</v>
      </c>
      <c r="W65" s="89">
        <f t="shared" si="22"/>
        <v>54.728260869565219</v>
      </c>
      <c r="X65" s="89">
        <f t="shared" si="32"/>
        <v>18.266666666666666</v>
      </c>
      <c r="Y65" s="97">
        <f t="shared" si="16"/>
        <v>52.8487972508591</v>
      </c>
      <c r="Z65" s="97">
        <f t="shared" si="23"/>
        <v>52.8487972508591</v>
      </c>
      <c r="AA65" s="27">
        <v>63083</v>
      </c>
      <c r="AB65" s="27">
        <v>56</v>
      </c>
      <c r="AC65" s="27">
        <f>122000+1000</f>
        <v>123000</v>
      </c>
      <c r="AD65" s="27">
        <v>1500</v>
      </c>
      <c r="AE65" s="29">
        <f t="shared" si="24"/>
        <v>124500</v>
      </c>
      <c r="AF65" s="41">
        <v>1925</v>
      </c>
      <c r="AG65" s="4" t="s">
        <v>567</v>
      </c>
      <c r="AH65" s="151" t="str">
        <f t="shared" si="36"/>
        <v>https://ia800604.us.archive.org/18/items/GADeptofEd1925/GA.pdf#page=10</v>
      </c>
      <c r="AI65" s="152" t="str">
        <f t="shared" si="36"/>
        <v>https://ia800604.us.archive.org/18/items/GADeptofEd1925/GA.pdf#page=33</v>
      </c>
      <c r="AJ65" s="151" t="str">
        <f t="shared" si="36"/>
        <v>https://ia800604.us.archive.org/18/items/GADeptofEd1925/GA.pdf#page=10</v>
      </c>
      <c r="AK65" s="152" t="str">
        <f t="shared" si="36"/>
        <v>https://ia800604.us.archive.org/18/items/GADeptofEd1925/GA.pdf#page=32</v>
      </c>
      <c r="AL65" s="151" t="str">
        <f t="shared" si="36"/>
        <v>https://ia800604.us.archive.org/18/items/GADeptofEd1925/GA.pdf#page=15</v>
      </c>
      <c r="AM65" s="152" t="str">
        <f t="shared" si="37"/>
        <v>https://ia800604.us.archive.org/18/items/GADeptofEd1925/GA.pdf#page=38</v>
      </c>
      <c r="AN65" s="151" t="str">
        <f t="shared" si="12"/>
        <v>https://ia800604.us.archive.org/18/items/GADeptofEd1925/GA.pdf#page=15</v>
      </c>
      <c r="AO65" s="152" t="str">
        <f t="shared" si="34"/>
        <v>https://ia800604.us.archive.org/18/items/GADeptofEd1925/GA.pdf#page=32</v>
      </c>
      <c r="AP65" s="151" t="str">
        <f t="shared" si="34"/>
        <v>https://ia800604.us.archive.org/18/items/GADeptofEd1925/GA.pdf#page=29</v>
      </c>
      <c r="AQ65" s="152" t="str">
        <f t="shared" si="34"/>
        <v>https://ia800604.us.archive.org/18/items/GADeptofEd1925/GA.pdf#page=46</v>
      </c>
      <c r="AR65" s="151" t="str">
        <f t="shared" si="34"/>
        <v>https://ia800604.us.archive.org/18/items/GADeptofEd1925/GA.pdf#page=23</v>
      </c>
      <c r="AS65" s="152" t="str">
        <f t="shared" si="13"/>
        <v>https://ia800604.us.archive.org/18/items/GADeptofEd1925/GA.pdf#page=46</v>
      </c>
      <c r="AT65" s="151" t="str">
        <f t="shared" si="39"/>
        <v>https://ia800604.us.archive.org/18/items/GADeptofEd1925/GA.pdf#page=29</v>
      </c>
      <c r="AU65" s="152" t="str">
        <f t="shared" si="35"/>
        <v>https://ia800604.us.archive.org/18/items/GADeptofEd1925/GA.pdf#page=32</v>
      </c>
      <c r="AV65" s="151" t="str">
        <f t="shared" si="35"/>
        <v>https://ia800604.us.archive.org/18/items/GADeptofEd1925/GA.pdf#page=29</v>
      </c>
      <c r="AW65" s="152" t="str">
        <f t="shared" si="28"/>
        <v>https://ia800604.us.archive.org/18/items/GADeptofEd1925/GA.pdf#page=51</v>
      </c>
    </row>
    <row r="66" spans="1:49" x14ac:dyDescent="0.25">
      <c r="A66" s="27" t="s">
        <v>787</v>
      </c>
      <c r="B66" s="27" t="str">
        <f t="shared" ref="B66:B129" si="41">LEFT(A66,FIND(";",A66)-1)</f>
        <v>Georgia</v>
      </c>
      <c r="C66" s="27" t="str">
        <f t="shared" ref="C66:C129" si="42">MID(A66,FIND(";",A66)+1,100)</f>
        <v>Grady</v>
      </c>
      <c r="D66" s="27">
        <f>2600+20</f>
        <v>2620</v>
      </c>
      <c r="E66" s="27">
        <f>1950+30</f>
        <v>1980</v>
      </c>
      <c r="F66" s="27">
        <f t="shared" si="38"/>
        <v>4600</v>
      </c>
      <c r="G66" s="27">
        <v>1</v>
      </c>
      <c r="H66" s="27">
        <v>52</v>
      </c>
      <c r="I66" s="27">
        <v>10</v>
      </c>
      <c r="J66" s="27">
        <v>32</v>
      </c>
      <c r="K66" s="27">
        <f>27+1+3</f>
        <v>31</v>
      </c>
      <c r="L66" s="27">
        <f t="shared" ref="L66:L97" si="43">G66+H66+I66+J66+K66</f>
        <v>126</v>
      </c>
      <c r="M66" s="27">
        <v>120</v>
      </c>
      <c r="N66" s="27">
        <v>120</v>
      </c>
      <c r="O66" s="29">
        <f t="shared" si="40"/>
        <v>120</v>
      </c>
      <c r="P66" s="27">
        <v>5481</v>
      </c>
      <c r="Q66" s="7">
        <f t="shared" ref="Q66:Q97" si="44">((G66*S66)+(H66*T66)+(I66*U66)+(J66*V66))*(M66/20)</f>
        <v>63293.04</v>
      </c>
      <c r="R66" s="27">
        <f>7700+180</f>
        <v>7880</v>
      </c>
      <c r="S66" s="27">
        <v>75</v>
      </c>
      <c r="T66" s="27">
        <f>50+76.42</f>
        <v>126.42</v>
      </c>
      <c r="U66" s="27">
        <v>150</v>
      </c>
      <c r="V66" s="27">
        <v>75</v>
      </c>
      <c r="W66" s="89">
        <f t="shared" ref="W66:W97" si="45">Q66/(G66+H66+I66+J66)/(M66/20)</f>
        <v>111.04042105263159</v>
      </c>
      <c r="X66" s="89">
        <f t="shared" si="32"/>
        <v>42.365591397849464</v>
      </c>
      <c r="Y66" s="97">
        <f t="shared" si="16"/>
        <v>94.144232804232828</v>
      </c>
      <c r="Z66" s="97">
        <f t="shared" ref="Z66:Z97" si="46">( (W66*(G66+H66+I66+J66)) + (X66*K66) ) / L66</f>
        <v>94.144232804232814</v>
      </c>
      <c r="AA66" s="27">
        <v>77031</v>
      </c>
      <c r="AB66" s="27">
        <v>73</v>
      </c>
      <c r="AC66" s="27">
        <f>127000+1100</f>
        <v>128100</v>
      </c>
      <c r="AD66" s="27">
        <v>6000</v>
      </c>
      <c r="AE66" s="29">
        <f t="shared" ref="AE66:AE97" si="47">AC66+AD66</f>
        <v>134100</v>
      </c>
      <c r="AF66" s="41">
        <v>1925</v>
      </c>
      <c r="AG66" s="4" t="s">
        <v>567</v>
      </c>
      <c r="AH66" s="151" t="str">
        <f t="shared" si="36"/>
        <v>https://ia800604.us.archive.org/18/items/GADeptofEd1925/GA.pdf#page=10</v>
      </c>
      <c r="AI66" s="152" t="str">
        <f t="shared" si="36"/>
        <v>https://ia800604.us.archive.org/18/items/GADeptofEd1925/GA.pdf#page=33</v>
      </c>
      <c r="AJ66" s="151" t="str">
        <f t="shared" si="36"/>
        <v>https://ia800604.us.archive.org/18/items/GADeptofEd1925/GA.pdf#page=10</v>
      </c>
      <c r="AK66" s="152" t="str">
        <f t="shared" si="36"/>
        <v>https://ia800604.us.archive.org/18/items/GADeptofEd1925/GA.pdf#page=32</v>
      </c>
      <c r="AL66" s="151" t="str">
        <f t="shared" si="36"/>
        <v>https://ia800604.us.archive.org/18/items/GADeptofEd1925/GA.pdf#page=15</v>
      </c>
      <c r="AM66" s="152" t="str">
        <f t="shared" si="37"/>
        <v>https://ia800604.us.archive.org/18/items/GADeptofEd1925/GA.pdf#page=38</v>
      </c>
      <c r="AN66" s="151" t="str">
        <f t="shared" si="12"/>
        <v>https://ia800604.us.archive.org/18/items/GADeptofEd1925/GA.pdf#page=15</v>
      </c>
      <c r="AO66" s="152" t="str">
        <f t="shared" si="34"/>
        <v>https://ia800604.us.archive.org/18/items/GADeptofEd1925/GA.pdf#page=32</v>
      </c>
      <c r="AP66" s="151" t="str">
        <f t="shared" si="34"/>
        <v>https://ia800604.us.archive.org/18/items/GADeptofEd1925/GA.pdf#page=29</v>
      </c>
      <c r="AQ66" s="152" t="str">
        <f t="shared" si="34"/>
        <v>https://ia800604.us.archive.org/18/items/GADeptofEd1925/GA.pdf#page=46</v>
      </c>
      <c r="AR66" s="151" t="str">
        <f t="shared" si="34"/>
        <v>https://ia800604.us.archive.org/18/items/GADeptofEd1925/GA.pdf#page=23</v>
      </c>
      <c r="AS66" s="152" t="str">
        <f t="shared" si="13"/>
        <v>https://ia800604.us.archive.org/18/items/GADeptofEd1925/GA.pdf#page=46</v>
      </c>
      <c r="AT66" s="151" t="str">
        <f t="shared" si="39"/>
        <v>https://ia800604.us.archive.org/18/items/GADeptofEd1925/GA.pdf#page=29</v>
      </c>
      <c r="AU66" s="152" t="str">
        <f t="shared" si="35"/>
        <v>https://ia800604.us.archive.org/18/items/GADeptofEd1925/GA.pdf#page=32</v>
      </c>
      <c r="AV66" s="151" t="str">
        <f t="shared" si="35"/>
        <v>https://ia800604.us.archive.org/18/items/GADeptofEd1925/GA.pdf#page=29</v>
      </c>
      <c r="AW66" s="152" t="str">
        <f t="shared" si="28"/>
        <v>https://ia800604.us.archive.org/18/items/GADeptofEd1925/GA.pdf#page=51</v>
      </c>
    </row>
    <row r="67" spans="1:49" x14ac:dyDescent="0.25">
      <c r="A67" s="27" t="s">
        <v>788</v>
      </c>
      <c r="B67" s="27" t="str">
        <f t="shared" si="41"/>
        <v>Georgia</v>
      </c>
      <c r="C67" s="27" t="str">
        <f t="shared" si="42"/>
        <v>Greene</v>
      </c>
      <c r="D67" s="27">
        <f>1177+379</f>
        <v>1556</v>
      </c>
      <c r="E67" s="27">
        <f>1195+51</f>
        <v>1246</v>
      </c>
      <c r="F67" s="27">
        <f t="shared" ref="F67:F130" si="48">D67+E67</f>
        <v>2802</v>
      </c>
      <c r="G67" s="27">
        <v>1</v>
      </c>
      <c r="H67" s="27">
        <f>40+7</f>
        <v>47</v>
      </c>
      <c r="I67" s="27">
        <f>4+2</f>
        <v>6</v>
      </c>
      <c r="J67" s="27">
        <f>5+3</f>
        <v>8</v>
      </c>
      <c r="K67" s="27">
        <f>43+2</f>
        <v>45</v>
      </c>
      <c r="L67" s="27">
        <f t="shared" si="43"/>
        <v>107</v>
      </c>
      <c r="M67" s="27">
        <v>140</v>
      </c>
      <c r="N67" s="27">
        <v>120</v>
      </c>
      <c r="O67" s="29">
        <f t="shared" si="40"/>
        <v>131.10635260528196</v>
      </c>
      <c r="P67" s="27">
        <v>3946</v>
      </c>
      <c r="Q67" s="7">
        <f t="shared" si="44"/>
        <v>74958.099999999991</v>
      </c>
      <c r="R67" s="27">
        <f>5591.7+812.43</f>
        <v>6404.13</v>
      </c>
      <c r="S67" s="27">
        <v>80</v>
      </c>
      <c r="T67" s="27">
        <f>70+80</f>
        <v>150</v>
      </c>
      <c r="U67" s="27">
        <f>110+193.05</f>
        <v>303.05</v>
      </c>
      <c r="V67" s="27">
        <f>110+110</f>
        <v>220</v>
      </c>
      <c r="W67" s="89">
        <f t="shared" si="45"/>
        <v>172.71451612903223</v>
      </c>
      <c r="X67" s="89">
        <f t="shared" si="32"/>
        <v>23.718999999999998</v>
      </c>
      <c r="Y67" s="97">
        <f t="shared" si="16"/>
        <v>115.57134943181818</v>
      </c>
      <c r="Z67" s="97">
        <f t="shared" si="46"/>
        <v>110.05285046728972</v>
      </c>
      <c r="AA67" s="27">
        <v>60437</v>
      </c>
      <c r="AB67" s="27">
        <v>65</v>
      </c>
      <c r="AC67" s="27">
        <f>53000+40000</f>
        <v>93000</v>
      </c>
      <c r="AD67" s="27">
        <f>9000+3500</f>
        <v>12500</v>
      </c>
      <c r="AE67" s="29">
        <f t="shared" si="47"/>
        <v>105500</v>
      </c>
      <c r="AF67" s="41">
        <v>1925</v>
      </c>
      <c r="AG67" s="4" t="s">
        <v>567</v>
      </c>
      <c r="AH67" s="151" t="str">
        <f t="shared" si="36"/>
        <v>https://ia800604.us.archive.org/18/items/GADeptofEd1925/GA.pdf#page=10</v>
      </c>
      <c r="AI67" s="152" t="str">
        <f t="shared" si="36"/>
        <v>https://ia800604.us.archive.org/18/items/GADeptofEd1925/GA.pdf#page=33</v>
      </c>
      <c r="AJ67" s="151" t="str">
        <f t="shared" si="36"/>
        <v>https://ia800604.us.archive.org/18/items/GADeptofEd1925/GA.pdf#page=10</v>
      </c>
      <c r="AK67" s="152" t="str">
        <f t="shared" si="36"/>
        <v>https://ia800604.us.archive.org/18/items/GADeptofEd1925/GA.pdf#page=32</v>
      </c>
      <c r="AL67" s="151" t="str">
        <f t="shared" si="36"/>
        <v>https://ia800604.us.archive.org/18/items/GADeptofEd1925/GA.pdf#page=15</v>
      </c>
      <c r="AM67" s="152" t="str">
        <f t="shared" si="37"/>
        <v>https://ia800604.us.archive.org/18/items/GADeptofEd1925/GA.pdf#page=38</v>
      </c>
      <c r="AN67" s="151" t="str">
        <f t="shared" ref="AN67:AN130" si="49">AL67</f>
        <v>https://ia800604.us.archive.org/18/items/GADeptofEd1925/GA.pdf#page=15</v>
      </c>
      <c r="AO67" s="152" t="str">
        <f t="shared" si="34"/>
        <v>https://ia800604.us.archive.org/18/items/GADeptofEd1925/GA.pdf#page=32</v>
      </c>
      <c r="AP67" s="151" t="str">
        <f t="shared" si="34"/>
        <v>https://ia800604.us.archive.org/18/items/GADeptofEd1925/GA.pdf#page=29</v>
      </c>
      <c r="AQ67" s="152" t="str">
        <f t="shared" si="34"/>
        <v>https://ia800604.us.archive.org/18/items/GADeptofEd1925/GA.pdf#page=46</v>
      </c>
      <c r="AR67" s="151" t="str">
        <f t="shared" si="34"/>
        <v>https://ia800604.us.archive.org/18/items/GADeptofEd1925/GA.pdf#page=23</v>
      </c>
      <c r="AS67" s="152" t="str">
        <f t="shared" ref="AS67:AS130" si="50">AQ67</f>
        <v>https://ia800604.us.archive.org/18/items/GADeptofEd1925/GA.pdf#page=46</v>
      </c>
      <c r="AT67" s="151" t="str">
        <f t="shared" si="39"/>
        <v>https://ia800604.us.archive.org/18/items/GADeptofEd1925/GA.pdf#page=29</v>
      </c>
      <c r="AU67" s="152" t="str">
        <f t="shared" si="35"/>
        <v>https://ia800604.us.archive.org/18/items/GADeptofEd1925/GA.pdf#page=32</v>
      </c>
      <c r="AV67" s="151" t="str">
        <f t="shared" si="35"/>
        <v>https://ia800604.us.archive.org/18/items/GADeptofEd1925/GA.pdf#page=29</v>
      </c>
      <c r="AW67" s="152" t="str">
        <f t="shared" si="28"/>
        <v>https://ia800604.us.archive.org/18/items/GADeptofEd1925/GA.pdf#page=51</v>
      </c>
    </row>
    <row r="68" spans="1:49" x14ac:dyDescent="0.25">
      <c r="A68" s="27" t="s">
        <v>789</v>
      </c>
      <c r="B68" s="27" t="str">
        <f t="shared" si="41"/>
        <v>Georgia</v>
      </c>
      <c r="C68" s="27" t="str">
        <f t="shared" si="42"/>
        <v>Gwinnett</v>
      </c>
      <c r="D68" s="27">
        <f>3738+568+400</f>
        <v>4706</v>
      </c>
      <c r="E68" s="27">
        <f>432+115+30</f>
        <v>577</v>
      </c>
      <c r="F68" s="27">
        <f t="shared" si="48"/>
        <v>5283</v>
      </c>
      <c r="G68" s="27">
        <v>27</v>
      </c>
      <c r="H68" s="27">
        <f>111+13+9</f>
        <v>133</v>
      </c>
      <c r="I68" s="27">
        <f>5+1</f>
        <v>6</v>
      </c>
      <c r="J68" s="27">
        <f>9+3+4</f>
        <v>16</v>
      </c>
      <c r="K68" s="13">
        <f>19+3+9</f>
        <v>31</v>
      </c>
      <c r="L68" s="27">
        <f t="shared" si="43"/>
        <v>213</v>
      </c>
      <c r="M68" s="27">
        <v>145</v>
      </c>
      <c r="N68" s="27">
        <v>135</v>
      </c>
      <c r="O68" s="29">
        <f t="shared" si="40"/>
        <v>143.90781752791975</v>
      </c>
      <c r="P68" s="27">
        <v>6783</v>
      </c>
      <c r="Q68" s="7">
        <f t="shared" si="44"/>
        <v>278581.68500000006</v>
      </c>
      <c r="R68" s="27">
        <f>3307.52+1530+450</f>
        <v>5287.52</v>
      </c>
      <c r="S68" s="27">
        <v>75</v>
      </c>
      <c r="T68" s="27">
        <f>60+90+75</f>
        <v>225</v>
      </c>
      <c r="U68" s="27">
        <f>134+155.55</f>
        <v>289.55</v>
      </c>
      <c r="V68" s="27">
        <f>85+111.11+100</f>
        <v>296.11</v>
      </c>
      <c r="W68" s="89">
        <f t="shared" si="45"/>
        <v>211.12670329670334</v>
      </c>
      <c r="X68" s="89">
        <f t="shared" si="32"/>
        <v>25.268912783751496</v>
      </c>
      <c r="Y68" s="97">
        <f t="shared" si="16"/>
        <v>185.68713327882261</v>
      </c>
      <c r="Z68" s="97">
        <f t="shared" si="46"/>
        <v>184.07697791688403</v>
      </c>
      <c r="AA68" s="27">
        <v>148898</v>
      </c>
      <c r="AB68" s="27">
        <v>85</v>
      </c>
      <c r="AC68" s="27">
        <f>112600+50000+40000</f>
        <v>202600</v>
      </c>
      <c r="AD68" s="27">
        <f>10000+3000+2000</f>
        <v>15000</v>
      </c>
      <c r="AE68" s="29">
        <f t="shared" si="47"/>
        <v>217600</v>
      </c>
      <c r="AF68" s="41">
        <v>1925</v>
      </c>
      <c r="AG68" s="4" t="s">
        <v>567</v>
      </c>
      <c r="AH68" s="151" t="str">
        <f t="shared" si="36"/>
        <v>https://ia800604.us.archive.org/18/items/GADeptofEd1925/GA.pdf#page=10</v>
      </c>
      <c r="AI68" s="152" t="str">
        <f t="shared" si="36"/>
        <v>https://ia800604.us.archive.org/18/items/GADeptofEd1925/GA.pdf#page=33</v>
      </c>
      <c r="AJ68" s="151" t="str">
        <f t="shared" si="36"/>
        <v>https://ia800604.us.archive.org/18/items/GADeptofEd1925/GA.pdf#page=10</v>
      </c>
      <c r="AK68" s="152" t="str">
        <f t="shared" si="36"/>
        <v>https://ia800604.us.archive.org/18/items/GADeptofEd1925/GA.pdf#page=32</v>
      </c>
      <c r="AL68" s="151" t="str">
        <f t="shared" si="36"/>
        <v>https://ia800604.us.archive.org/18/items/GADeptofEd1925/GA.pdf#page=15</v>
      </c>
      <c r="AM68" s="152" t="str">
        <f t="shared" si="37"/>
        <v>https://ia800604.us.archive.org/18/items/GADeptofEd1925/GA.pdf#page=38</v>
      </c>
      <c r="AN68" s="151" t="str">
        <f t="shared" si="49"/>
        <v>https://ia800604.us.archive.org/18/items/GADeptofEd1925/GA.pdf#page=15</v>
      </c>
      <c r="AO68" s="152" t="str">
        <f t="shared" ref="AO68:AR83" si="51">AO67</f>
        <v>https://ia800604.us.archive.org/18/items/GADeptofEd1925/GA.pdf#page=32</v>
      </c>
      <c r="AP68" s="151" t="str">
        <f t="shared" si="51"/>
        <v>https://ia800604.us.archive.org/18/items/GADeptofEd1925/GA.pdf#page=29</v>
      </c>
      <c r="AQ68" s="152" t="str">
        <f t="shared" si="51"/>
        <v>https://ia800604.us.archive.org/18/items/GADeptofEd1925/GA.pdf#page=46</v>
      </c>
      <c r="AR68" s="151" t="str">
        <f t="shared" si="51"/>
        <v>https://ia800604.us.archive.org/18/items/GADeptofEd1925/GA.pdf#page=23</v>
      </c>
      <c r="AS68" s="152" t="str">
        <f t="shared" si="50"/>
        <v>https://ia800604.us.archive.org/18/items/GADeptofEd1925/GA.pdf#page=46</v>
      </c>
      <c r="AT68" s="151" t="str">
        <f t="shared" si="39"/>
        <v>https://ia800604.us.archive.org/18/items/GADeptofEd1925/GA.pdf#page=29</v>
      </c>
      <c r="AU68" s="152" t="str">
        <f t="shared" si="35"/>
        <v>https://ia800604.us.archive.org/18/items/GADeptofEd1925/GA.pdf#page=32</v>
      </c>
      <c r="AV68" s="151" t="str">
        <f t="shared" si="35"/>
        <v>https://ia800604.us.archive.org/18/items/GADeptofEd1925/GA.pdf#page=29</v>
      </c>
      <c r="AW68" s="152" t="str">
        <f t="shared" si="28"/>
        <v>https://ia800604.us.archive.org/18/items/GADeptofEd1925/GA.pdf#page=51</v>
      </c>
    </row>
    <row r="69" spans="1:49" x14ac:dyDescent="0.25">
      <c r="A69" s="27" t="s">
        <v>790</v>
      </c>
      <c r="B69" s="27" t="str">
        <f t="shared" si="41"/>
        <v>Georgia</v>
      </c>
      <c r="C69" s="27" t="str">
        <f t="shared" si="42"/>
        <v>Habersham</v>
      </c>
      <c r="D69" s="27">
        <f>1808+240</f>
        <v>2048</v>
      </c>
      <c r="E69" s="27">
        <f>92+54</f>
        <v>146</v>
      </c>
      <c r="F69" s="27">
        <f t="shared" si="48"/>
        <v>2194</v>
      </c>
      <c r="G69" s="27">
        <v>20</v>
      </c>
      <c r="H69" s="27">
        <f>63+8</f>
        <v>71</v>
      </c>
      <c r="I69" s="27">
        <f>9+2</f>
        <v>11</v>
      </c>
      <c r="J69" s="27">
        <f>1+3</f>
        <v>4</v>
      </c>
      <c r="K69" s="27">
        <f>5+2</f>
        <v>7</v>
      </c>
      <c r="L69" s="27">
        <f t="shared" si="43"/>
        <v>113</v>
      </c>
      <c r="M69" s="27">
        <v>120</v>
      </c>
      <c r="N69" s="27">
        <v>120</v>
      </c>
      <c r="O69" s="29">
        <f t="shared" si="40"/>
        <v>120</v>
      </c>
      <c r="P69" s="27">
        <v>3721</v>
      </c>
      <c r="Q69" s="7">
        <f t="shared" si="44"/>
        <v>45420</v>
      </c>
      <c r="R69" s="7">
        <f>713+622.04</f>
        <v>1335.04</v>
      </c>
      <c r="S69" s="27">
        <v>70</v>
      </c>
      <c r="T69" s="27">
        <v>70</v>
      </c>
      <c r="U69" s="27">
        <v>80</v>
      </c>
      <c r="V69" s="27">
        <v>80</v>
      </c>
      <c r="W69" s="89">
        <f t="shared" si="45"/>
        <v>71.415094339622641</v>
      </c>
      <c r="X69" s="89">
        <f t="shared" si="32"/>
        <v>31.786666666666665</v>
      </c>
      <c r="Y69" s="97">
        <f t="shared" si="16"/>
        <v>68.960235988200594</v>
      </c>
      <c r="Z69" s="97">
        <f t="shared" si="46"/>
        <v>68.96023598820058</v>
      </c>
      <c r="AA69" s="27">
        <v>65291</v>
      </c>
      <c r="AB69" s="27">
        <v>37</v>
      </c>
      <c r="AC69" s="27">
        <f>61000+30000</f>
        <v>91000</v>
      </c>
      <c r="AD69" s="27">
        <f>1300+700</f>
        <v>2000</v>
      </c>
      <c r="AE69" s="29">
        <f t="shared" si="47"/>
        <v>93000</v>
      </c>
      <c r="AF69" s="41">
        <v>1925</v>
      </c>
      <c r="AG69" s="4" t="s">
        <v>567</v>
      </c>
      <c r="AH69" s="151" t="str">
        <f t="shared" si="36"/>
        <v>https://ia800604.us.archive.org/18/items/GADeptofEd1925/GA.pdf#page=10</v>
      </c>
      <c r="AI69" s="152" t="str">
        <f t="shared" si="36"/>
        <v>https://ia800604.us.archive.org/18/items/GADeptofEd1925/GA.pdf#page=33</v>
      </c>
      <c r="AJ69" s="151" t="str">
        <f t="shared" si="36"/>
        <v>https://ia800604.us.archive.org/18/items/GADeptofEd1925/GA.pdf#page=10</v>
      </c>
      <c r="AK69" s="152" t="str">
        <f t="shared" si="36"/>
        <v>https://ia800604.us.archive.org/18/items/GADeptofEd1925/GA.pdf#page=32</v>
      </c>
      <c r="AL69" s="151" t="str">
        <f t="shared" si="36"/>
        <v>https://ia800604.us.archive.org/18/items/GADeptofEd1925/GA.pdf#page=15</v>
      </c>
      <c r="AM69" s="152" t="str">
        <f t="shared" si="37"/>
        <v>https://ia800604.us.archive.org/18/items/GADeptofEd1925/GA.pdf#page=38</v>
      </c>
      <c r="AN69" s="151" t="str">
        <f t="shared" si="49"/>
        <v>https://ia800604.us.archive.org/18/items/GADeptofEd1925/GA.pdf#page=15</v>
      </c>
      <c r="AO69" s="152" t="str">
        <f t="shared" si="51"/>
        <v>https://ia800604.us.archive.org/18/items/GADeptofEd1925/GA.pdf#page=32</v>
      </c>
      <c r="AP69" s="151" t="str">
        <f t="shared" si="51"/>
        <v>https://ia800604.us.archive.org/18/items/GADeptofEd1925/GA.pdf#page=29</v>
      </c>
      <c r="AQ69" s="152" t="str">
        <f t="shared" si="51"/>
        <v>https://ia800604.us.archive.org/18/items/GADeptofEd1925/GA.pdf#page=46</v>
      </c>
      <c r="AR69" s="151" t="str">
        <f t="shared" si="51"/>
        <v>https://ia800604.us.archive.org/18/items/GADeptofEd1925/GA.pdf#page=23</v>
      </c>
      <c r="AS69" s="152" t="str">
        <f t="shared" si="50"/>
        <v>https://ia800604.us.archive.org/18/items/GADeptofEd1925/GA.pdf#page=46</v>
      </c>
      <c r="AT69" s="151" t="str">
        <f t="shared" si="39"/>
        <v>https://ia800604.us.archive.org/18/items/GADeptofEd1925/GA.pdf#page=29</v>
      </c>
      <c r="AU69" s="152" t="str">
        <f t="shared" si="39"/>
        <v>https://ia800604.us.archive.org/18/items/GADeptofEd1925/GA.pdf#page=32</v>
      </c>
      <c r="AV69" s="151" t="str">
        <f t="shared" si="39"/>
        <v>https://ia800604.us.archive.org/18/items/GADeptofEd1925/GA.pdf#page=29</v>
      </c>
      <c r="AW69" s="152" t="str">
        <f t="shared" si="28"/>
        <v>https://ia800604.us.archive.org/18/items/GADeptofEd1925/GA.pdf#page=51</v>
      </c>
    </row>
    <row r="70" spans="1:49" x14ac:dyDescent="0.25">
      <c r="A70" s="27" t="s">
        <v>791</v>
      </c>
      <c r="B70" s="27" t="str">
        <f t="shared" si="41"/>
        <v>Georgia</v>
      </c>
      <c r="C70" s="27" t="str">
        <f t="shared" si="42"/>
        <v>Hall</v>
      </c>
      <c r="D70" s="27">
        <f>3315+925</f>
        <v>4240</v>
      </c>
      <c r="E70" s="27">
        <f>193+349</f>
        <v>542</v>
      </c>
      <c r="F70" s="27">
        <f t="shared" si="48"/>
        <v>4782</v>
      </c>
      <c r="G70" s="27">
        <v>30</v>
      </c>
      <c r="H70" s="27">
        <f>81+24</f>
        <v>105</v>
      </c>
      <c r="I70" s="27">
        <f>12+4</f>
        <v>16</v>
      </c>
      <c r="J70" s="27">
        <f>1+7</f>
        <v>8</v>
      </c>
      <c r="K70" s="27">
        <f>9+8+1</f>
        <v>18</v>
      </c>
      <c r="L70" s="27">
        <f t="shared" si="43"/>
        <v>177</v>
      </c>
      <c r="M70" s="27">
        <v>160</v>
      </c>
      <c r="N70" s="27">
        <v>120</v>
      </c>
      <c r="O70" s="29">
        <f t="shared" si="40"/>
        <v>155.4663320786282</v>
      </c>
      <c r="P70" s="27">
        <v>7921</v>
      </c>
      <c r="Q70" s="7">
        <f t="shared" si="44"/>
        <v>170024</v>
      </c>
      <c r="R70" s="27">
        <f>1514.5+4725</f>
        <v>6239.5</v>
      </c>
      <c r="S70" s="27">
        <v>65</v>
      </c>
      <c r="T70" s="27">
        <f>60+65.4</f>
        <v>125.4</v>
      </c>
      <c r="U70" s="27">
        <f>125+170</f>
        <v>295</v>
      </c>
      <c r="V70" s="27">
        <f>77+100</f>
        <v>177</v>
      </c>
      <c r="W70" s="89">
        <f t="shared" si="45"/>
        <v>133.66666666666666</v>
      </c>
      <c r="X70" s="89">
        <f t="shared" si="32"/>
        <v>57.773148148148152</v>
      </c>
      <c r="Y70" s="97">
        <f t="shared" si="16"/>
        <v>127.72717391304349</v>
      </c>
      <c r="Z70" s="97">
        <f t="shared" si="46"/>
        <v>125.94868173258004</v>
      </c>
      <c r="AA70" s="27">
        <v>163597</v>
      </c>
      <c r="AB70" s="27">
        <v>21</v>
      </c>
      <c r="AC70" s="27">
        <f>321350+193447</f>
        <v>514797</v>
      </c>
      <c r="AD70" s="27">
        <f>5500+7300</f>
        <v>12800</v>
      </c>
      <c r="AE70" s="29">
        <f t="shared" si="47"/>
        <v>527597</v>
      </c>
      <c r="AF70" s="41">
        <v>1925</v>
      </c>
      <c r="AG70" s="4" t="s">
        <v>567</v>
      </c>
      <c r="AH70" s="151" t="str">
        <f t="shared" si="36"/>
        <v>https://ia800604.us.archive.org/18/items/GADeptofEd1925/GA.pdf#page=10</v>
      </c>
      <c r="AI70" s="152" t="str">
        <f t="shared" si="36"/>
        <v>https://ia800604.us.archive.org/18/items/GADeptofEd1925/GA.pdf#page=33</v>
      </c>
      <c r="AJ70" s="151" t="str">
        <f t="shared" si="36"/>
        <v>https://ia800604.us.archive.org/18/items/GADeptofEd1925/GA.pdf#page=10</v>
      </c>
      <c r="AK70" s="152" t="str">
        <f t="shared" si="36"/>
        <v>https://ia800604.us.archive.org/18/items/GADeptofEd1925/GA.pdf#page=32</v>
      </c>
      <c r="AL70" s="151" t="str">
        <f t="shared" si="36"/>
        <v>https://ia800604.us.archive.org/18/items/GADeptofEd1925/GA.pdf#page=15</v>
      </c>
      <c r="AM70" s="152" t="str">
        <f t="shared" si="37"/>
        <v>https://ia800604.us.archive.org/18/items/GADeptofEd1925/GA.pdf#page=38</v>
      </c>
      <c r="AN70" s="151" t="str">
        <f t="shared" si="49"/>
        <v>https://ia800604.us.archive.org/18/items/GADeptofEd1925/GA.pdf#page=15</v>
      </c>
      <c r="AO70" s="152" t="str">
        <f t="shared" si="51"/>
        <v>https://ia800604.us.archive.org/18/items/GADeptofEd1925/GA.pdf#page=32</v>
      </c>
      <c r="AP70" s="151" t="str">
        <f t="shared" si="51"/>
        <v>https://ia800604.us.archive.org/18/items/GADeptofEd1925/GA.pdf#page=29</v>
      </c>
      <c r="AQ70" s="152" t="str">
        <f t="shared" si="51"/>
        <v>https://ia800604.us.archive.org/18/items/GADeptofEd1925/GA.pdf#page=46</v>
      </c>
      <c r="AR70" s="151" t="str">
        <f t="shared" si="51"/>
        <v>https://ia800604.us.archive.org/18/items/GADeptofEd1925/GA.pdf#page=23</v>
      </c>
      <c r="AS70" s="152" t="str">
        <f t="shared" si="50"/>
        <v>https://ia800604.us.archive.org/18/items/GADeptofEd1925/GA.pdf#page=46</v>
      </c>
      <c r="AT70" s="151" t="str">
        <f t="shared" si="39"/>
        <v>https://ia800604.us.archive.org/18/items/GADeptofEd1925/GA.pdf#page=29</v>
      </c>
      <c r="AU70" s="152" t="str">
        <f t="shared" si="39"/>
        <v>https://ia800604.us.archive.org/18/items/GADeptofEd1925/GA.pdf#page=32</v>
      </c>
      <c r="AV70" s="151" t="str">
        <f t="shared" si="39"/>
        <v>https://ia800604.us.archive.org/18/items/GADeptofEd1925/GA.pdf#page=29</v>
      </c>
      <c r="AW70" s="152" t="str">
        <f t="shared" si="28"/>
        <v>https://ia800604.us.archive.org/18/items/GADeptofEd1925/GA.pdf#page=51</v>
      </c>
    </row>
    <row r="71" spans="1:49" x14ac:dyDescent="0.25">
      <c r="A71" s="27" t="s">
        <v>792</v>
      </c>
      <c r="B71" s="27" t="str">
        <f t="shared" si="41"/>
        <v>Georgia</v>
      </c>
      <c r="C71" s="27" t="str">
        <f t="shared" si="42"/>
        <v>Hancock</v>
      </c>
      <c r="D71" s="27">
        <v>715</v>
      </c>
      <c r="E71" s="27">
        <v>2150</v>
      </c>
      <c r="F71" s="27">
        <f t="shared" si="48"/>
        <v>2865</v>
      </c>
      <c r="G71" s="27">
        <v>0</v>
      </c>
      <c r="H71" s="27">
        <v>28</v>
      </c>
      <c r="I71" s="27">
        <v>2</v>
      </c>
      <c r="J71" s="27">
        <v>6</v>
      </c>
      <c r="K71" s="27">
        <f>36+1</f>
        <v>37</v>
      </c>
      <c r="L71" s="27">
        <f t="shared" si="43"/>
        <v>73</v>
      </c>
      <c r="M71" s="27">
        <v>160</v>
      </c>
      <c r="N71" s="27">
        <v>160</v>
      </c>
      <c r="O71" s="29">
        <f t="shared" si="40"/>
        <v>160</v>
      </c>
      <c r="P71" s="27">
        <v>3150</v>
      </c>
      <c r="Q71" s="7">
        <f t="shared" si="44"/>
        <v>19360</v>
      </c>
      <c r="R71" s="27">
        <v>6847.17</v>
      </c>
      <c r="S71" s="27"/>
      <c r="T71" s="27">
        <v>60</v>
      </c>
      <c r="U71" s="27">
        <v>100</v>
      </c>
      <c r="V71" s="27">
        <v>90</v>
      </c>
      <c r="W71" s="89">
        <f t="shared" si="45"/>
        <v>67.222222222222229</v>
      </c>
      <c r="X71" s="89">
        <f t="shared" si="32"/>
        <v>23.13233108108108</v>
      </c>
      <c r="Y71" s="97">
        <f t="shared" ref="Y71:Y134" si="52">(Q71+R71)/L71/(0.05* ( (M71*(G71+H71+I71+J71)) + N71*K71 ) /L71)</f>
        <v>44.875291095890411</v>
      </c>
      <c r="Z71" s="97">
        <f t="shared" si="46"/>
        <v>44.875291095890411</v>
      </c>
      <c r="AA71" s="27">
        <v>58460</v>
      </c>
      <c r="AB71" s="27">
        <v>63</v>
      </c>
      <c r="AC71" s="27">
        <f>133500</f>
        <v>133500</v>
      </c>
      <c r="AD71" s="27">
        <v>26000</v>
      </c>
      <c r="AE71" s="29">
        <f t="shared" si="47"/>
        <v>159500</v>
      </c>
      <c r="AF71" s="41">
        <v>1925</v>
      </c>
      <c r="AG71" s="4" t="s">
        <v>567</v>
      </c>
      <c r="AH71" s="151" t="str">
        <f t="shared" si="36"/>
        <v>https://ia800604.us.archive.org/18/items/GADeptofEd1925/GA.pdf#page=10</v>
      </c>
      <c r="AI71" s="152" t="str">
        <f t="shared" si="36"/>
        <v>https://ia800604.us.archive.org/18/items/GADeptofEd1925/GA.pdf#page=33</v>
      </c>
      <c r="AJ71" s="151" t="str">
        <f t="shared" si="36"/>
        <v>https://ia800604.us.archive.org/18/items/GADeptofEd1925/GA.pdf#page=10</v>
      </c>
      <c r="AK71" s="152" t="str">
        <f t="shared" si="36"/>
        <v>https://ia800604.us.archive.org/18/items/GADeptofEd1925/GA.pdf#page=32</v>
      </c>
      <c r="AL71" s="151" t="str">
        <f t="shared" si="36"/>
        <v>https://ia800604.us.archive.org/18/items/GADeptofEd1925/GA.pdf#page=15</v>
      </c>
      <c r="AM71" s="152" t="str">
        <f t="shared" si="37"/>
        <v>https://ia800604.us.archive.org/18/items/GADeptofEd1925/GA.pdf#page=38</v>
      </c>
      <c r="AN71" s="151" t="str">
        <f t="shared" si="49"/>
        <v>https://ia800604.us.archive.org/18/items/GADeptofEd1925/GA.pdf#page=15</v>
      </c>
      <c r="AO71" s="152" t="str">
        <f t="shared" si="51"/>
        <v>https://ia800604.us.archive.org/18/items/GADeptofEd1925/GA.pdf#page=32</v>
      </c>
      <c r="AP71" s="151" t="str">
        <f t="shared" si="51"/>
        <v>https://ia800604.us.archive.org/18/items/GADeptofEd1925/GA.pdf#page=29</v>
      </c>
      <c r="AQ71" s="152" t="str">
        <f t="shared" si="51"/>
        <v>https://ia800604.us.archive.org/18/items/GADeptofEd1925/GA.pdf#page=46</v>
      </c>
      <c r="AR71" s="151" t="str">
        <f t="shared" si="51"/>
        <v>https://ia800604.us.archive.org/18/items/GADeptofEd1925/GA.pdf#page=23</v>
      </c>
      <c r="AS71" s="152" t="str">
        <f t="shared" si="50"/>
        <v>https://ia800604.us.archive.org/18/items/GADeptofEd1925/GA.pdf#page=46</v>
      </c>
      <c r="AT71" s="151" t="str">
        <f t="shared" si="39"/>
        <v>https://ia800604.us.archive.org/18/items/GADeptofEd1925/GA.pdf#page=29</v>
      </c>
      <c r="AU71" s="152" t="str">
        <f t="shared" si="39"/>
        <v>https://ia800604.us.archive.org/18/items/GADeptofEd1925/GA.pdf#page=32</v>
      </c>
      <c r="AV71" s="151" t="str">
        <f t="shared" si="39"/>
        <v>https://ia800604.us.archive.org/18/items/GADeptofEd1925/GA.pdf#page=29</v>
      </c>
      <c r="AW71" s="152" t="str">
        <f t="shared" si="28"/>
        <v>https://ia800604.us.archive.org/18/items/GADeptofEd1925/GA.pdf#page=51</v>
      </c>
    </row>
    <row r="72" spans="1:49" x14ac:dyDescent="0.25">
      <c r="A72" s="27" t="s">
        <v>793</v>
      </c>
      <c r="B72" s="27" t="str">
        <f t="shared" si="41"/>
        <v>Georgia</v>
      </c>
      <c r="C72" s="27" t="str">
        <f t="shared" si="42"/>
        <v>Haralson</v>
      </c>
      <c r="D72" s="27">
        <v>2681</v>
      </c>
      <c r="E72" s="27">
        <v>285</v>
      </c>
      <c r="F72" s="27">
        <f t="shared" si="48"/>
        <v>2966</v>
      </c>
      <c r="G72" s="27">
        <v>25</v>
      </c>
      <c r="H72" s="27">
        <v>65</v>
      </c>
      <c r="I72" s="27">
        <v>9</v>
      </c>
      <c r="J72" s="27">
        <v>9</v>
      </c>
      <c r="K72" s="27">
        <f>10+1</f>
        <v>11</v>
      </c>
      <c r="L72" s="27">
        <f t="shared" si="43"/>
        <v>119</v>
      </c>
      <c r="M72" s="27">
        <v>120</v>
      </c>
      <c r="N72" s="27">
        <v>120</v>
      </c>
      <c r="O72" s="29">
        <f t="shared" si="40"/>
        <v>120</v>
      </c>
      <c r="P72" s="27">
        <v>4255</v>
      </c>
      <c r="Q72" s="7">
        <f t="shared" si="44"/>
        <v>46650</v>
      </c>
      <c r="R72" s="27">
        <v>2352</v>
      </c>
      <c r="S72" s="27">
        <v>65</v>
      </c>
      <c r="T72" s="27">
        <v>60</v>
      </c>
      <c r="U72" s="27">
        <v>150</v>
      </c>
      <c r="V72" s="27">
        <v>100</v>
      </c>
      <c r="W72" s="89">
        <f t="shared" si="45"/>
        <v>71.990740740740748</v>
      </c>
      <c r="X72" s="89">
        <f t="shared" si="32"/>
        <v>35.636363636363633</v>
      </c>
      <c r="Y72" s="97">
        <f t="shared" si="52"/>
        <v>68.630252100840337</v>
      </c>
      <c r="Z72" s="97">
        <f t="shared" si="46"/>
        <v>68.630252100840337</v>
      </c>
      <c r="AA72" s="27">
        <v>59840</v>
      </c>
      <c r="AB72" s="27">
        <v>38</v>
      </c>
      <c r="AC72" s="27">
        <v>180000</v>
      </c>
      <c r="AD72" s="27">
        <v>1500</v>
      </c>
      <c r="AE72" s="29">
        <f t="shared" si="47"/>
        <v>181500</v>
      </c>
      <c r="AF72" s="41">
        <v>1925</v>
      </c>
      <c r="AG72" s="4" t="s">
        <v>567</v>
      </c>
      <c r="AH72" s="151" t="str">
        <f t="shared" si="36"/>
        <v>https://ia800604.us.archive.org/18/items/GADeptofEd1925/GA.pdf#page=10</v>
      </c>
      <c r="AI72" s="152" t="str">
        <f t="shared" si="36"/>
        <v>https://ia800604.us.archive.org/18/items/GADeptofEd1925/GA.pdf#page=33</v>
      </c>
      <c r="AJ72" s="151" t="str">
        <f t="shared" si="36"/>
        <v>https://ia800604.us.archive.org/18/items/GADeptofEd1925/GA.pdf#page=10</v>
      </c>
      <c r="AK72" s="152" t="str">
        <f t="shared" si="36"/>
        <v>https://ia800604.us.archive.org/18/items/GADeptofEd1925/GA.pdf#page=32</v>
      </c>
      <c r="AL72" s="151" t="str">
        <f t="shared" si="36"/>
        <v>https://ia800604.us.archive.org/18/items/GADeptofEd1925/GA.pdf#page=15</v>
      </c>
      <c r="AM72" s="152" t="str">
        <f t="shared" si="37"/>
        <v>https://ia800604.us.archive.org/18/items/GADeptofEd1925/GA.pdf#page=38</v>
      </c>
      <c r="AN72" s="151" t="str">
        <f t="shared" si="49"/>
        <v>https://ia800604.us.archive.org/18/items/GADeptofEd1925/GA.pdf#page=15</v>
      </c>
      <c r="AO72" s="152" t="str">
        <f t="shared" si="51"/>
        <v>https://ia800604.us.archive.org/18/items/GADeptofEd1925/GA.pdf#page=32</v>
      </c>
      <c r="AP72" s="151" t="str">
        <f t="shared" si="51"/>
        <v>https://ia800604.us.archive.org/18/items/GADeptofEd1925/GA.pdf#page=29</v>
      </c>
      <c r="AQ72" s="152" t="str">
        <f t="shared" si="51"/>
        <v>https://ia800604.us.archive.org/18/items/GADeptofEd1925/GA.pdf#page=46</v>
      </c>
      <c r="AR72" s="151" t="str">
        <f t="shared" si="51"/>
        <v>https://ia800604.us.archive.org/18/items/GADeptofEd1925/GA.pdf#page=23</v>
      </c>
      <c r="AS72" s="152" t="str">
        <f t="shared" si="50"/>
        <v>https://ia800604.us.archive.org/18/items/GADeptofEd1925/GA.pdf#page=46</v>
      </c>
      <c r="AT72" s="151" t="str">
        <f t="shared" si="39"/>
        <v>https://ia800604.us.archive.org/18/items/GADeptofEd1925/GA.pdf#page=29</v>
      </c>
      <c r="AU72" s="152" t="str">
        <f t="shared" si="39"/>
        <v>https://ia800604.us.archive.org/18/items/GADeptofEd1925/GA.pdf#page=32</v>
      </c>
      <c r="AV72" s="151" t="str">
        <f t="shared" si="39"/>
        <v>https://ia800604.us.archive.org/18/items/GADeptofEd1925/GA.pdf#page=29</v>
      </c>
      <c r="AW72" s="152" t="str">
        <f t="shared" si="28"/>
        <v>https://ia800604.us.archive.org/18/items/GADeptofEd1925/GA.pdf#page=51</v>
      </c>
    </row>
    <row r="73" spans="1:49" x14ac:dyDescent="0.25">
      <c r="A73" s="27" t="s">
        <v>794</v>
      </c>
      <c r="B73" s="27" t="str">
        <f t="shared" si="41"/>
        <v>Georgia</v>
      </c>
      <c r="C73" s="27" t="str">
        <f t="shared" si="42"/>
        <v>Harris</v>
      </c>
      <c r="D73" s="27">
        <v>1100</v>
      </c>
      <c r="E73" s="27">
        <v>2505</v>
      </c>
      <c r="F73" s="27">
        <f t="shared" si="48"/>
        <v>3605</v>
      </c>
      <c r="G73" s="27">
        <v>1</v>
      </c>
      <c r="H73" s="27">
        <v>24</v>
      </c>
      <c r="I73" s="27">
        <v>8</v>
      </c>
      <c r="J73" s="27">
        <v>6</v>
      </c>
      <c r="K73" s="27">
        <v>47</v>
      </c>
      <c r="L73" s="27">
        <f t="shared" si="43"/>
        <v>86</v>
      </c>
      <c r="M73" s="27">
        <v>180</v>
      </c>
      <c r="N73" s="27">
        <v>120</v>
      </c>
      <c r="O73" s="29">
        <f t="shared" si="40"/>
        <v>138.30790568654646</v>
      </c>
      <c r="P73" s="27">
        <v>3867</v>
      </c>
      <c r="Q73" s="7">
        <f t="shared" si="44"/>
        <v>29250</v>
      </c>
      <c r="R73" s="27">
        <v>6823.25</v>
      </c>
      <c r="S73" s="27"/>
      <c r="T73" s="27">
        <v>70</v>
      </c>
      <c r="U73" s="27">
        <v>140</v>
      </c>
      <c r="V73" s="27">
        <v>75</v>
      </c>
      <c r="W73" s="89">
        <f t="shared" si="45"/>
        <v>83.333333333333329</v>
      </c>
      <c r="X73" s="89">
        <f t="shared" si="32"/>
        <v>24.195921985815602</v>
      </c>
      <c r="Y73" s="97">
        <f t="shared" si="52"/>
        <v>56.987756714060033</v>
      </c>
      <c r="Z73" s="97">
        <f t="shared" si="46"/>
        <v>51.014050387596896</v>
      </c>
      <c r="AA73" s="27">
        <v>47049</v>
      </c>
      <c r="AB73" s="27">
        <v>60</v>
      </c>
      <c r="AC73" s="27">
        <f>34000</f>
        <v>34000</v>
      </c>
      <c r="AD73" s="27">
        <v>5000</v>
      </c>
      <c r="AE73" s="29">
        <f t="shared" si="47"/>
        <v>39000</v>
      </c>
      <c r="AF73" s="41">
        <v>1925</v>
      </c>
      <c r="AG73" s="4" t="s">
        <v>567</v>
      </c>
      <c r="AH73" s="151" t="str">
        <f t="shared" si="36"/>
        <v>https://ia800604.us.archive.org/18/items/GADeptofEd1925/GA.pdf#page=10</v>
      </c>
      <c r="AI73" s="152" t="str">
        <f t="shared" si="36"/>
        <v>https://ia800604.us.archive.org/18/items/GADeptofEd1925/GA.pdf#page=33</v>
      </c>
      <c r="AJ73" s="151" t="str">
        <f t="shared" si="36"/>
        <v>https://ia800604.us.archive.org/18/items/GADeptofEd1925/GA.pdf#page=10</v>
      </c>
      <c r="AK73" s="152" t="str">
        <f t="shared" si="36"/>
        <v>https://ia800604.us.archive.org/18/items/GADeptofEd1925/GA.pdf#page=32</v>
      </c>
      <c r="AL73" s="151" t="str">
        <f t="shared" si="36"/>
        <v>https://ia800604.us.archive.org/18/items/GADeptofEd1925/GA.pdf#page=15</v>
      </c>
      <c r="AM73" s="152" t="str">
        <f t="shared" si="37"/>
        <v>https://ia800604.us.archive.org/18/items/GADeptofEd1925/GA.pdf#page=38</v>
      </c>
      <c r="AN73" s="151" t="str">
        <f t="shared" si="49"/>
        <v>https://ia800604.us.archive.org/18/items/GADeptofEd1925/GA.pdf#page=15</v>
      </c>
      <c r="AO73" s="152" t="str">
        <f t="shared" si="51"/>
        <v>https://ia800604.us.archive.org/18/items/GADeptofEd1925/GA.pdf#page=32</v>
      </c>
      <c r="AP73" s="151" t="str">
        <f t="shared" si="51"/>
        <v>https://ia800604.us.archive.org/18/items/GADeptofEd1925/GA.pdf#page=29</v>
      </c>
      <c r="AQ73" s="152" t="str">
        <f t="shared" si="51"/>
        <v>https://ia800604.us.archive.org/18/items/GADeptofEd1925/GA.pdf#page=46</v>
      </c>
      <c r="AR73" s="151" t="str">
        <f t="shared" si="51"/>
        <v>https://ia800604.us.archive.org/18/items/GADeptofEd1925/GA.pdf#page=23</v>
      </c>
      <c r="AS73" s="152" t="str">
        <f t="shared" si="50"/>
        <v>https://ia800604.us.archive.org/18/items/GADeptofEd1925/GA.pdf#page=46</v>
      </c>
      <c r="AT73" s="151" t="str">
        <f t="shared" si="39"/>
        <v>https://ia800604.us.archive.org/18/items/GADeptofEd1925/GA.pdf#page=29</v>
      </c>
      <c r="AU73" s="152" t="str">
        <f t="shared" si="39"/>
        <v>https://ia800604.us.archive.org/18/items/GADeptofEd1925/GA.pdf#page=32</v>
      </c>
      <c r="AV73" s="151" t="str">
        <f t="shared" si="39"/>
        <v>https://ia800604.us.archive.org/18/items/GADeptofEd1925/GA.pdf#page=29</v>
      </c>
      <c r="AW73" s="152" t="str">
        <f t="shared" si="28"/>
        <v>https://ia800604.us.archive.org/18/items/GADeptofEd1925/GA.pdf#page=51</v>
      </c>
    </row>
    <row r="74" spans="1:49" x14ac:dyDescent="0.25">
      <c r="A74" s="27" t="s">
        <v>795</v>
      </c>
      <c r="B74" s="27" t="str">
        <f t="shared" si="41"/>
        <v>Georgia</v>
      </c>
      <c r="C74" s="27" t="str">
        <f t="shared" si="42"/>
        <v>Hart</v>
      </c>
      <c r="D74" s="27">
        <f>2720+485</f>
        <v>3205</v>
      </c>
      <c r="E74" s="27">
        <f>800+95</f>
        <v>895</v>
      </c>
      <c r="F74" s="27">
        <f t="shared" si="48"/>
        <v>4100</v>
      </c>
      <c r="G74" s="27">
        <v>12</v>
      </c>
      <c r="H74" s="27">
        <f>58+7</f>
        <v>65</v>
      </c>
      <c r="I74" s="27">
        <f>7+2</f>
        <v>9</v>
      </c>
      <c r="J74" s="27">
        <f>2+6</f>
        <v>8</v>
      </c>
      <c r="K74" s="27">
        <f>17+3+1</f>
        <v>21</v>
      </c>
      <c r="L74" s="27">
        <f t="shared" si="43"/>
        <v>115</v>
      </c>
      <c r="M74" s="27">
        <v>130</v>
      </c>
      <c r="N74" s="27">
        <v>100</v>
      </c>
      <c r="O74" s="29">
        <f t="shared" si="40"/>
        <v>123.45121951219512</v>
      </c>
      <c r="P74" s="27">
        <v>5061</v>
      </c>
      <c r="Q74" s="7">
        <f t="shared" si="44"/>
        <v>94078.660000000018</v>
      </c>
      <c r="R74" s="27">
        <f>2528.87+1747.5</f>
        <v>4276.37</v>
      </c>
      <c r="S74" s="27">
        <v>108.19</v>
      </c>
      <c r="T74" s="27">
        <f>57.93+90</f>
        <v>147.93</v>
      </c>
      <c r="U74" s="27">
        <f>108.19+145</f>
        <v>253.19</v>
      </c>
      <c r="V74" s="27">
        <f>57.93+102.22</f>
        <v>160.15</v>
      </c>
      <c r="W74" s="89">
        <f t="shared" si="45"/>
        <v>153.97489361702131</v>
      </c>
      <c r="X74" s="89">
        <f t="shared" si="32"/>
        <v>40.727333333333334</v>
      </c>
      <c r="Y74" s="97">
        <f t="shared" si="52"/>
        <v>137.36736033519554</v>
      </c>
      <c r="Z74" s="97">
        <f t="shared" si="46"/>
        <v>133.2949043478261</v>
      </c>
      <c r="AA74" s="27">
        <v>71922</v>
      </c>
      <c r="AB74" s="27">
        <v>46</v>
      </c>
      <c r="AC74" s="2">
        <f>99500+102000</f>
        <v>201500</v>
      </c>
      <c r="AD74" s="27">
        <f>17000+7000</f>
        <v>24000</v>
      </c>
      <c r="AE74" s="29">
        <f t="shared" si="47"/>
        <v>225500</v>
      </c>
      <c r="AF74" s="41">
        <v>1925</v>
      </c>
      <c r="AG74" s="4" t="s">
        <v>567</v>
      </c>
      <c r="AH74" s="151" t="str">
        <f t="shared" si="36"/>
        <v>https://ia800604.us.archive.org/18/items/GADeptofEd1925/GA.pdf#page=10</v>
      </c>
      <c r="AI74" s="152" t="str">
        <f t="shared" si="36"/>
        <v>https://ia800604.us.archive.org/18/items/GADeptofEd1925/GA.pdf#page=33</v>
      </c>
      <c r="AJ74" s="151" t="str">
        <f t="shared" si="36"/>
        <v>https://ia800604.us.archive.org/18/items/GADeptofEd1925/GA.pdf#page=10</v>
      </c>
      <c r="AK74" s="152" t="str">
        <f t="shared" si="36"/>
        <v>https://ia800604.us.archive.org/18/items/GADeptofEd1925/GA.pdf#page=32</v>
      </c>
      <c r="AL74" s="151" t="str">
        <f t="shared" si="36"/>
        <v>https://ia800604.us.archive.org/18/items/GADeptofEd1925/GA.pdf#page=15</v>
      </c>
      <c r="AM74" s="152" t="str">
        <f t="shared" si="37"/>
        <v>https://ia800604.us.archive.org/18/items/GADeptofEd1925/GA.pdf#page=38</v>
      </c>
      <c r="AN74" s="151" t="str">
        <f t="shared" si="49"/>
        <v>https://ia800604.us.archive.org/18/items/GADeptofEd1925/GA.pdf#page=15</v>
      </c>
      <c r="AO74" s="152" t="str">
        <f t="shared" si="51"/>
        <v>https://ia800604.us.archive.org/18/items/GADeptofEd1925/GA.pdf#page=32</v>
      </c>
      <c r="AP74" s="151" t="str">
        <f t="shared" si="51"/>
        <v>https://ia800604.us.archive.org/18/items/GADeptofEd1925/GA.pdf#page=29</v>
      </c>
      <c r="AQ74" s="152" t="str">
        <f t="shared" si="51"/>
        <v>https://ia800604.us.archive.org/18/items/GADeptofEd1925/GA.pdf#page=46</v>
      </c>
      <c r="AR74" s="151" t="str">
        <f t="shared" si="51"/>
        <v>https://ia800604.us.archive.org/18/items/GADeptofEd1925/GA.pdf#page=23</v>
      </c>
      <c r="AS74" s="152" t="str">
        <f t="shared" si="50"/>
        <v>https://ia800604.us.archive.org/18/items/GADeptofEd1925/GA.pdf#page=46</v>
      </c>
      <c r="AT74" s="151" t="str">
        <f t="shared" si="39"/>
        <v>https://ia800604.us.archive.org/18/items/GADeptofEd1925/GA.pdf#page=29</v>
      </c>
      <c r="AU74" s="152" t="str">
        <f t="shared" si="39"/>
        <v>https://ia800604.us.archive.org/18/items/GADeptofEd1925/GA.pdf#page=32</v>
      </c>
      <c r="AV74" s="151" t="str">
        <f t="shared" si="39"/>
        <v>https://ia800604.us.archive.org/18/items/GADeptofEd1925/GA.pdf#page=29</v>
      </c>
      <c r="AW74" s="152" t="str">
        <f t="shared" si="28"/>
        <v>https://ia800604.us.archive.org/18/items/GADeptofEd1925/GA.pdf#page=51</v>
      </c>
    </row>
    <row r="75" spans="1:49" x14ac:dyDescent="0.25">
      <c r="A75" s="27" t="s">
        <v>796</v>
      </c>
      <c r="B75" s="27" t="str">
        <f t="shared" si="41"/>
        <v>Georgia</v>
      </c>
      <c r="C75" s="27" t="str">
        <f t="shared" si="42"/>
        <v>Heard</v>
      </c>
      <c r="D75" s="27">
        <v>1960</v>
      </c>
      <c r="E75" s="27">
        <v>900</v>
      </c>
      <c r="F75" s="27">
        <f t="shared" si="48"/>
        <v>2860</v>
      </c>
      <c r="G75" s="27">
        <v>12</v>
      </c>
      <c r="H75" s="27">
        <v>30</v>
      </c>
      <c r="I75" s="27">
        <v>8</v>
      </c>
      <c r="J75" s="27">
        <v>6</v>
      </c>
      <c r="K75" s="27">
        <f>18+1</f>
        <v>19</v>
      </c>
      <c r="L75" s="27">
        <f t="shared" si="43"/>
        <v>75</v>
      </c>
      <c r="M75" s="27">
        <v>120</v>
      </c>
      <c r="N75" s="27">
        <v>100</v>
      </c>
      <c r="O75" s="29">
        <f t="shared" si="40"/>
        <v>113.70629370629371</v>
      </c>
      <c r="P75" s="27">
        <v>3048</v>
      </c>
      <c r="Q75" s="7">
        <f t="shared" si="44"/>
        <v>23040</v>
      </c>
      <c r="R75" s="27">
        <v>1864</v>
      </c>
      <c r="S75" s="27">
        <v>70</v>
      </c>
      <c r="T75" s="27">
        <f>60</f>
        <v>60</v>
      </c>
      <c r="U75" s="27">
        <v>90</v>
      </c>
      <c r="V75" s="27">
        <v>80</v>
      </c>
      <c r="W75" s="89">
        <f t="shared" si="45"/>
        <v>68.571428571428569</v>
      </c>
      <c r="X75" s="89">
        <f t="shared" si="32"/>
        <v>19.621052631578948</v>
      </c>
      <c r="Y75" s="97">
        <f t="shared" si="52"/>
        <v>57.781902552204173</v>
      </c>
      <c r="Z75" s="97">
        <f t="shared" si="46"/>
        <v>56.170666666666669</v>
      </c>
      <c r="AA75" s="27">
        <v>49701</v>
      </c>
      <c r="AB75" s="27">
        <v>51</v>
      </c>
      <c r="AC75" s="27">
        <v>115000</v>
      </c>
      <c r="AD75" s="27">
        <v>7000</v>
      </c>
      <c r="AE75" s="29">
        <f t="shared" si="47"/>
        <v>122000</v>
      </c>
      <c r="AF75" s="41">
        <v>1925</v>
      </c>
      <c r="AG75" s="4" t="s">
        <v>567</v>
      </c>
      <c r="AH75" s="151" t="str">
        <f t="shared" ref="AH75:AL90" si="53">AH74</f>
        <v>https://ia800604.us.archive.org/18/items/GADeptofEd1925/GA.pdf#page=10</v>
      </c>
      <c r="AI75" s="152" t="str">
        <f t="shared" si="53"/>
        <v>https://ia800604.us.archive.org/18/items/GADeptofEd1925/GA.pdf#page=33</v>
      </c>
      <c r="AJ75" s="151" t="str">
        <f t="shared" si="53"/>
        <v>https://ia800604.us.archive.org/18/items/GADeptofEd1925/GA.pdf#page=10</v>
      </c>
      <c r="AK75" s="152" t="str">
        <f t="shared" si="53"/>
        <v>https://ia800604.us.archive.org/18/items/GADeptofEd1925/GA.pdf#page=32</v>
      </c>
      <c r="AL75" s="151" t="str">
        <f t="shared" si="53"/>
        <v>https://ia800604.us.archive.org/18/items/GADeptofEd1925/GA.pdf#page=15</v>
      </c>
      <c r="AM75" s="152" t="str">
        <f t="shared" si="37"/>
        <v>https://ia800604.us.archive.org/18/items/GADeptofEd1925/GA.pdf#page=38</v>
      </c>
      <c r="AN75" s="151" t="str">
        <f t="shared" si="49"/>
        <v>https://ia800604.us.archive.org/18/items/GADeptofEd1925/GA.pdf#page=15</v>
      </c>
      <c r="AO75" s="152" t="str">
        <f t="shared" si="51"/>
        <v>https://ia800604.us.archive.org/18/items/GADeptofEd1925/GA.pdf#page=32</v>
      </c>
      <c r="AP75" s="151" t="str">
        <f t="shared" si="51"/>
        <v>https://ia800604.us.archive.org/18/items/GADeptofEd1925/GA.pdf#page=29</v>
      </c>
      <c r="AQ75" s="152" t="str">
        <f t="shared" si="51"/>
        <v>https://ia800604.us.archive.org/18/items/GADeptofEd1925/GA.pdf#page=46</v>
      </c>
      <c r="AR75" s="151" t="str">
        <f t="shared" si="51"/>
        <v>https://ia800604.us.archive.org/18/items/GADeptofEd1925/GA.pdf#page=23</v>
      </c>
      <c r="AS75" s="152" t="str">
        <f t="shared" si="50"/>
        <v>https://ia800604.us.archive.org/18/items/GADeptofEd1925/GA.pdf#page=46</v>
      </c>
      <c r="AT75" s="151" t="str">
        <f t="shared" si="39"/>
        <v>https://ia800604.us.archive.org/18/items/GADeptofEd1925/GA.pdf#page=29</v>
      </c>
      <c r="AU75" s="152" t="str">
        <f t="shared" si="39"/>
        <v>https://ia800604.us.archive.org/18/items/GADeptofEd1925/GA.pdf#page=32</v>
      </c>
      <c r="AV75" s="151" t="str">
        <f t="shared" si="39"/>
        <v>https://ia800604.us.archive.org/18/items/GADeptofEd1925/GA.pdf#page=29</v>
      </c>
      <c r="AW75" s="152" t="str">
        <f t="shared" si="28"/>
        <v>https://ia800604.us.archive.org/18/items/GADeptofEd1925/GA.pdf#page=51</v>
      </c>
    </row>
    <row r="76" spans="1:49" x14ac:dyDescent="0.25">
      <c r="A76" s="27" t="s">
        <v>797</v>
      </c>
      <c r="B76" s="27" t="str">
        <f t="shared" si="41"/>
        <v>Georgia</v>
      </c>
      <c r="C76" s="27" t="str">
        <f t="shared" si="42"/>
        <v>Henry</v>
      </c>
      <c r="D76" s="27">
        <v>1808</v>
      </c>
      <c r="E76" s="27">
        <v>1300</v>
      </c>
      <c r="F76" s="27">
        <f t="shared" si="48"/>
        <v>3108</v>
      </c>
      <c r="G76" s="27">
        <v>2</v>
      </c>
      <c r="H76" s="27">
        <v>51</v>
      </c>
      <c r="I76" s="27">
        <v>10</v>
      </c>
      <c r="J76" s="27">
        <v>19</v>
      </c>
      <c r="K76" s="27">
        <f>39+4</f>
        <v>43</v>
      </c>
      <c r="L76" s="27">
        <f t="shared" si="43"/>
        <v>125</v>
      </c>
      <c r="M76" s="27">
        <v>130</v>
      </c>
      <c r="N76" s="27">
        <v>97</v>
      </c>
      <c r="O76" s="29">
        <f t="shared" si="40"/>
        <v>116.1969111969112</v>
      </c>
      <c r="P76" s="27">
        <v>2515</v>
      </c>
      <c r="Q76" s="7">
        <f t="shared" si="44"/>
        <v>38245.934999999998</v>
      </c>
      <c r="R76" s="27">
        <v>9247.5</v>
      </c>
      <c r="S76" s="27">
        <v>63.33</v>
      </c>
      <c r="T76" s="27">
        <v>58.33</v>
      </c>
      <c r="U76" s="27">
        <v>126.25</v>
      </c>
      <c r="V76" s="27">
        <v>80</v>
      </c>
      <c r="W76" s="89">
        <f t="shared" si="45"/>
        <v>71.755975609756092</v>
      </c>
      <c r="X76" s="89">
        <f t="shared" ref="X76:X107" si="54">R76/K76/(N76/20)</f>
        <v>44.341884440182213</v>
      </c>
      <c r="Y76" s="97">
        <f t="shared" si="52"/>
        <v>64.04616681275705</v>
      </c>
      <c r="Z76" s="97">
        <f t="shared" si="46"/>
        <v>62.325528247422675</v>
      </c>
      <c r="AA76" s="27">
        <v>76340</v>
      </c>
      <c r="AB76" s="27">
        <v>54</v>
      </c>
      <c r="AC76" s="27">
        <v>87500</v>
      </c>
      <c r="AD76" s="27">
        <v>18000</v>
      </c>
      <c r="AE76" s="29">
        <f t="shared" si="47"/>
        <v>105500</v>
      </c>
      <c r="AF76" s="41">
        <v>1925</v>
      </c>
      <c r="AG76" s="4" t="s">
        <v>567</v>
      </c>
      <c r="AH76" s="151" t="str">
        <f t="shared" si="53"/>
        <v>https://ia800604.us.archive.org/18/items/GADeptofEd1925/GA.pdf#page=10</v>
      </c>
      <c r="AI76" s="152" t="str">
        <f t="shared" si="53"/>
        <v>https://ia800604.us.archive.org/18/items/GADeptofEd1925/GA.pdf#page=33</v>
      </c>
      <c r="AJ76" s="151" t="str">
        <f t="shared" si="53"/>
        <v>https://ia800604.us.archive.org/18/items/GADeptofEd1925/GA.pdf#page=10</v>
      </c>
      <c r="AK76" s="152" t="str">
        <f t="shared" si="53"/>
        <v>https://ia800604.us.archive.org/18/items/GADeptofEd1925/GA.pdf#page=32</v>
      </c>
      <c r="AL76" s="151" t="str">
        <f t="shared" si="53"/>
        <v>https://ia800604.us.archive.org/18/items/GADeptofEd1925/GA.pdf#page=15</v>
      </c>
      <c r="AM76" s="152" t="str">
        <f t="shared" si="37"/>
        <v>https://ia800604.us.archive.org/18/items/GADeptofEd1925/GA.pdf#page=38</v>
      </c>
      <c r="AN76" s="151" t="str">
        <f t="shared" si="49"/>
        <v>https://ia800604.us.archive.org/18/items/GADeptofEd1925/GA.pdf#page=15</v>
      </c>
      <c r="AO76" s="152" t="str">
        <f t="shared" si="51"/>
        <v>https://ia800604.us.archive.org/18/items/GADeptofEd1925/GA.pdf#page=32</v>
      </c>
      <c r="AP76" s="151" t="str">
        <f t="shared" si="51"/>
        <v>https://ia800604.us.archive.org/18/items/GADeptofEd1925/GA.pdf#page=29</v>
      </c>
      <c r="AQ76" s="152" t="str">
        <f t="shared" si="51"/>
        <v>https://ia800604.us.archive.org/18/items/GADeptofEd1925/GA.pdf#page=46</v>
      </c>
      <c r="AR76" s="151" t="str">
        <f t="shared" si="51"/>
        <v>https://ia800604.us.archive.org/18/items/GADeptofEd1925/GA.pdf#page=23</v>
      </c>
      <c r="AS76" s="152" t="str">
        <f t="shared" si="50"/>
        <v>https://ia800604.us.archive.org/18/items/GADeptofEd1925/GA.pdf#page=46</v>
      </c>
      <c r="AT76" s="151" t="str">
        <f t="shared" si="39"/>
        <v>https://ia800604.us.archive.org/18/items/GADeptofEd1925/GA.pdf#page=29</v>
      </c>
      <c r="AU76" s="152" t="str">
        <f t="shared" si="39"/>
        <v>https://ia800604.us.archive.org/18/items/GADeptofEd1925/GA.pdf#page=32</v>
      </c>
      <c r="AV76" s="151" t="str">
        <f t="shared" si="39"/>
        <v>https://ia800604.us.archive.org/18/items/GADeptofEd1925/GA.pdf#page=29</v>
      </c>
      <c r="AW76" s="152" t="str">
        <f t="shared" si="28"/>
        <v>https://ia800604.us.archive.org/18/items/GADeptofEd1925/GA.pdf#page=51</v>
      </c>
    </row>
    <row r="77" spans="1:49" x14ac:dyDescent="0.25">
      <c r="A77" s="27" t="s">
        <v>798</v>
      </c>
      <c r="B77" s="27" t="str">
        <f t="shared" si="41"/>
        <v>Georgia</v>
      </c>
      <c r="C77" s="27" t="str">
        <f t="shared" si="42"/>
        <v>Houston</v>
      </c>
      <c r="D77" s="27">
        <v>1693</v>
      </c>
      <c r="E77" s="27">
        <v>2167</v>
      </c>
      <c r="F77" s="27">
        <f t="shared" si="48"/>
        <v>3860</v>
      </c>
      <c r="G77" s="27">
        <v>0</v>
      </c>
      <c r="H77" s="27">
        <v>48</v>
      </c>
      <c r="I77" s="27">
        <v>4</v>
      </c>
      <c r="J77" s="27">
        <v>11</v>
      </c>
      <c r="K77" s="27">
        <f>56+5</f>
        <v>61</v>
      </c>
      <c r="L77" s="27">
        <f t="shared" si="43"/>
        <v>124</v>
      </c>
      <c r="M77" s="27">
        <v>160</v>
      </c>
      <c r="N77" s="27">
        <v>120</v>
      </c>
      <c r="O77" s="29">
        <f t="shared" si="40"/>
        <v>137.5440414507772</v>
      </c>
      <c r="P77" s="27">
        <v>6018</v>
      </c>
      <c r="Q77" s="7">
        <f t="shared" si="44"/>
        <v>41880</v>
      </c>
      <c r="R77" s="27">
        <v>8940.1200000000008</v>
      </c>
      <c r="S77" s="27"/>
      <c r="T77" s="27">
        <v>72.5</v>
      </c>
      <c r="U77" s="27">
        <v>150</v>
      </c>
      <c r="V77" s="27">
        <v>105</v>
      </c>
      <c r="W77" s="89">
        <f t="shared" si="45"/>
        <v>83.095238095238102</v>
      </c>
      <c r="X77" s="89">
        <f t="shared" si="54"/>
        <v>24.426557377049182</v>
      </c>
      <c r="Y77" s="97">
        <f t="shared" si="52"/>
        <v>58.413931034482758</v>
      </c>
      <c r="Z77" s="97">
        <f t="shared" si="46"/>
        <v>54.234032258064516</v>
      </c>
      <c r="AA77" s="27">
        <v>110014</v>
      </c>
      <c r="AB77" s="27">
        <v>26</v>
      </c>
      <c r="AC77" s="27">
        <v>200000</v>
      </c>
      <c r="AD77" s="27">
        <v>50000</v>
      </c>
      <c r="AE77" s="29">
        <f t="shared" si="47"/>
        <v>250000</v>
      </c>
      <c r="AF77" s="41">
        <v>1925</v>
      </c>
      <c r="AG77" s="4" t="s">
        <v>567</v>
      </c>
      <c r="AH77" s="151" t="str">
        <f t="shared" si="53"/>
        <v>https://ia800604.us.archive.org/18/items/GADeptofEd1925/GA.pdf#page=10</v>
      </c>
      <c r="AI77" s="152" t="str">
        <f t="shared" si="53"/>
        <v>https://ia800604.us.archive.org/18/items/GADeptofEd1925/GA.pdf#page=33</v>
      </c>
      <c r="AJ77" s="151" t="str">
        <f t="shared" si="53"/>
        <v>https://ia800604.us.archive.org/18/items/GADeptofEd1925/GA.pdf#page=10</v>
      </c>
      <c r="AK77" s="152" t="str">
        <f t="shared" si="53"/>
        <v>https://ia800604.us.archive.org/18/items/GADeptofEd1925/GA.pdf#page=32</v>
      </c>
      <c r="AL77" s="151" t="str">
        <f t="shared" si="53"/>
        <v>https://ia800604.us.archive.org/18/items/GADeptofEd1925/GA.pdf#page=15</v>
      </c>
      <c r="AM77" s="152" t="str">
        <f t="shared" si="37"/>
        <v>https://ia800604.us.archive.org/18/items/GADeptofEd1925/GA.pdf#page=38</v>
      </c>
      <c r="AN77" s="151" t="str">
        <f t="shared" si="49"/>
        <v>https://ia800604.us.archive.org/18/items/GADeptofEd1925/GA.pdf#page=15</v>
      </c>
      <c r="AO77" s="152" t="str">
        <f t="shared" si="51"/>
        <v>https://ia800604.us.archive.org/18/items/GADeptofEd1925/GA.pdf#page=32</v>
      </c>
      <c r="AP77" s="151" t="str">
        <f t="shared" si="51"/>
        <v>https://ia800604.us.archive.org/18/items/GADeptofEd1925/GA.pdf#page=29</v>
      </c>
      <c r="AQ77" s="152" t="str">
        <f t="shared" si="51"/>
        <v>https://ia800604.us.archive.org/18/items/GADeptofEd1925/GA.pdf#page=46</v>
      </c>
      <c r="AR77" s="151" t="str">
        <f t="shared" si="51"/>
        <v>https://ia800604.us.archive.org/18/items/GADeptofEd1925/GA.pdf#page=23</v>
      </c>
      <c r="AS77" s="152" t="str">
        <f t="shared" si="50"/>
        <v>https://ia800604.us.archive.org/18/items/GADeptofEd1925/GA.pdf#page=46</v>
      </c>
      <c r="AT77" s="151" t="str">
        <f t="shared" si="39"/>
        <v>https://ia800604.us.archive.org/18/items/GADeptofEd1925/GA.pdf#page=29</v>
      </c>
      <c r="AU77" s="152" t="str">
        <f t="shared" si="39"/>
        <v>https://ia800604.us.archive.org/18/items/GADeptofEd1925/GA.pdf#page=32</v>
      </c>
      <c r="AV77" s="151" t="str">
        <f t="shared" si="39"/>
        <v>https://ia800604.us.archive.org/18/items/GADeptofEd1925/GA.pdf#page=29</v>
      </c>
      <c r="AW77" s="152" t="str">
        <f t="shared" si="28"/>
        <v>https://ia800604.us.archive.org/18/items/GADeptofEd1925/GA.pdf#page=51</v>
      </c>
    </row>
    <row r="78" spans="1:49" x14ac:dyDescent="0.25">
      <c r="A78" s="27" t="s">
        <v>799</v>
      </c>
      <c r="B78" s="27" t="str">
        <f t="shared" si="41"/>
        <v>Georgia</v>
      </c>
      <c r="C78" s="27" t="str">
        <f t="shared" si="42"/>
        <v>Irwin</v>
      </c>
      <c r="D78" s="27">
        <f>1044+299</f>
        <v>1343</v>
      </c>
      <c r="E78" s="27">
        <f>533+170</f>
        <v>703</v>
      </c>
      <c r="F78" s="27">
        <f t="shared" si="48"/>
        <v>2046</v>
      </c>
      <c r="G78" s="27">
        <v>12</v>
      </c>
      <c r="H78" s="27">
        <f>38+7</f>
        <v>45</v>
      </c>
      <c r="I78" s="27">
        <f>1+2</f>
        <v>3</v>
      </c>
      <c r="J78" s="27">
        <v>3</v>
      </c>
      <c r="K78" s="27">
        <f>18+2+1</f>
        <v>21</v>
      </c>
      <c r="L78" s="27">
        <f t="shared" si="43"/>
        <v>84</v>
      </c>
      <c r="M78" s="27">
        <v>100</v>
      </c>
      <c r="N78" s="27">
        <v>80</v>
      </c>
      <c r="O78" s="29">
        <f t="shared" si="40"/>
        <v>93.128054740957964</v>
      </c>
      <c r="P78" s="27">
        <v>3267</v>
      </c>
      <c r="Q78" s="7">
        <f t="shared" si="44"/>
        <v>41150.999999999993</v>
      </c>
      <c r="R78" s="27">
        <f>1745+1395</f>
        <v>3140</v>
      </c>
      <c r="S78" s="27">
        <v>70</v>
      </c>
      <c r="T78" s="27">
        <f>60+75.21</f>
        <v>135.20999999999998</v>
      </c>
      <c r="U78" s="27">
        <f>100+151.75</f>
        <v>251.75</v>
      </c>
      <c r="V78" s="27">
        <f>80+103.5</f>
        <v>183.5</v>
      </c>
      <c r="W78" s="89">
        <f t="shared" si="45"/>
        <v>130.63809523809522</v>
      </c>
      <c r="X78" s="89">
        <f t="shared" si="54"/>
        <v>37.38095238095238</v>
      </c>
      <c r="Y78" s="97">
        <f t="shared" si="52"/>
        <v>111.00501253132829</v>
      </c>
      <c r="Z78" s="97">
        <f t="shared" si="46"/>
        <v>107.32380952380952</v>
      </c>
      <c r="AA78" s="27">
        <v>45007</v>
      </c>
      <c r="AB78" s="27">
        <v>43</v>
      </c>
      <c r="AC78" s="27">
        <f>50000+32000</f>
        <v>82000</v>
      </c>
      <c r="AD78" s="27">
        <f>5000+4000</f>
        <v>9000</v>
      </c>
      <c r="AE78" s="29">
        <f t="shared" si="47"/>
        <v>91000</v>
      </c>
      <c r="AF78" s="41">
        <v>1925</v>
      </c>
      <c r="AG78" s="4" t="s">
        <v>567</v>
      </c>
      <c r="AH78" s="151" t="str">
        <f t="shared" si="53"/>
        <v>https://ia800604.us.archive.org/18/items/GADeptofEd1925/GA.pdf#page=10</v>
      </c>
      <c r="AI78" s="152" t="str">
        <f t="shared" si="53"/>
        <v>https://ia800604.us.archive.org/18/items/GADeptofEd1925/GA.pdf#page=33</v>
      </c>
      <c r="AJ78" s="151" t="str">
        <f t="shared" si="53"/>
        <v>https://ia800604.us.archive.org/18/items/GADeptofEd1925/GA.pdf#page=10</v>
      </c>
      <c r="AK78" s="152" t="str">
        <f t="shared" si="53"/>
        <v>https://ia800604.us.archive.org/18/items/GADeptofEd1925/GA.pdf#page=32</v>
      </c>
      <c r="AL78" s="151" t="str">
        <f t="shared" si="53"/>
        <v>https://ia800604.us.archive.org/18/items/GADeptofEd1925/GA.pdf#page=15</v>
      </c>
      <c r="AM78" s="152" t="str">
        <f t="shared" si="37"/>
        <v>https://ia800604.us.archive.org/18/items/GADeptofEd1925/GA.pdf#page=38</v>
      </c>
      <c r="AN78" s="151" t="str">
        <f t="shared" si="49"/>
        <v>https://ia800604.us.archive.org/18/items/GADeptofEd1925/GA.pdf#page=15</v>
      </c>
      <c r="AO78" s="152" t="str">
        <f t="shared" si="51"/>
        <v>https://ia800604.us.archive.org/18/items/GADeptofEd1925/GA.pdf#page=32</v>
      </c>
      <c r="AP78" s="151" t="str">
        <f t="shared" si="51"/>
        <v>https://ia800604.us.archive.org/18/items/GADeptofEd1925/GA.pdf#page=29</v>
      </c>
      <c r="AQ78" s="152" t="str">
        <f t="shared" si="51"/>
        <v>https://ia800604.us.archive.org/18/items/GADeptofEd1925/GA.pdf#page=46</v>
      </c>
      <c r="AR78" s="151" t="str">
        <f t="shared" si="51"/>
        <v>https://ia800604.us.archive.org/18/items/GADeptofEd1925/GA.pdf#page=23</v>
      </c>
      <c r="AS78" s="152" t="str">
        <f t="shared" si="50"/>
        <v>https://ia800604.us.archive.org/18/items/GADeptofEd1925/GA.pdf#page=46</v>
      </c>
      <c r="AT78" s="151" t="str">
        <f t="shared" si="39"/>
        <v>https://ia800604.us.archive.org/18/items/GADeptofEd1925/GA.pdf#page=29</v>
      </c>
      <c r="AU78" s="152" t="str">
        <f t="shared" si="39"/>
        <v>https://ia800604.us.archive.org/18/items/GADeptofEd1925/GA.pdf#page=32</v>
      </c>
      <c r="AV78" s="151" t="str">
        <f t="shared" si="39"/>
        <v>https://ia800604.us.archive.org/18/items/GADeptofEd1925/GA.pdf#page=29</v>
      </c>
      <c r="AW78" s="152" t="str">
        <f t="shared" si="28"/>
        <v>https://ia800604.us.archive.org/18/items/GADeptofEd1925/GA.pdf#page=51</v>
      </c>
    </row>
    <row r="79" spans="1:49" x14ac:dyDescent="0.25">
      <c r="A79" s="27" t="s">
        <v>800</v>
      </c>
      <c r="B79" s="27" t="str">
        <f t="shared" si="41"/>
        <v>Georgia</v>
      </c>
      <c r="C79" s="27" t="str">
        <f t="shared" si="42"/>
        <v>Jackson</v>
      </c>
      <c r="D79" s="27">
        <f>2339+474</f>
        <v>2813</v>
      </c>
      <c r="E79" s="27">
        <f>551+63</f>
        <v>614</v>
      </c>
      <c r="F79" s="27">
        <f t="shared" si="48"/>
        <v>3427</v>
      </c>
      <c r="G79" s="27">
        <v>8</v>
      </c>
      <c r="H79" s="27">
        <f>79+10</f>
        <v>89</v>
      </c>
      <c r="I79" s="27">
        <f>10+3</f>
        <v>13</v>
      </c>
      <c r="J79" s="27">
        <f>7+4</f>
        <v>11</v>
      </c>
      <c r="K79" s="13">
        <f>18+2+1</f>
        <v>21</v>
      </c>
      <c r="L79" s="27">
        <f t="shared" si="43"/>
        <v>142</v>
      </c>
      <c r="M79" s="27">
        <v>180</v>
      </c>
      <c r="N79" s="27">
        <v>180</v>
      </c>
      <c r="O79" s="29">
        <f t="shared" si="40"/>
        <v>180</v>
      </c>
      <c r="P79" s="27">
        <v>6164</v>
      </c>
      <c r="Q79" s="7">
        <f t="shared" si="44"/>
        <v>184867.83</v>
      </c>
      <c r="R79" s="27">
        <f>4657.46+855</f>
        <v>5512.46</v>
      </c>
      <c r="S79" s="27">
        <v>68.12</v>
      </c>
      <c r="T79" s="27">
        <f>58.39+83</f>
        <v>141.38999999999999</v>
      </c>
      <c r="U79" s="27">
        <f>149.4+260</f>
        <v>409.4</v>
      </c>
      <c r="V79" s="27">
        <f>85+105</f>
        <v>190</v>
      </c>
      <c r="W79" s="89">
        <f t="shared" si="45"/>
        <v>169.75925619834709</v>
      </c>
      <c r="X79" s="89">
        <f t="shared" si="54"/>
        <v>29.166455026455026</v>
      </c>
      <c r="Y79" s="97">
        <f t="shared" si="52"/>
        <v>148.96736306729264</v>
      </c>
      <c r="Z79" s="97">
        <f t="shared" si="46"/>
        <v>148.96736306729264</v>
      </c>
      <c r="AA79" s="27">
        <v>91468</v>
      </c>
      <c r="AB79" s="27">
        <v>65</v>
      </c>
      <c r="AC79" s="27">
        <f>165650+40150</f>
        <v>205800</v>
      </c>
      <c r="AD79" s="27">
        <f>7200+1000</f>
        <v>8200</v>
      </c>
      <c r="AE79" s="29">
        <f t="shared" si="47"/>
        <v>214000</v>
      </c>
      <c r="AF79" s="41">
        <v>1925</v>
      </c>
      <c r="AG79" s="4" t="s">
        <v>567</v>
      </c>
      <c r="AH79" s="151" t="str">
        <f t="shared" si="53"/>
        <v>https://ia800604.us.archive.org/18/items/GADeptofEd1925/GA.pdf#page=10</v>
      </c>
      <c r="AI79" s="152" t="str">
        <f t="shared" si="53"/>
        <v>https://ia800604.us.archive.org/18/items/GADeptofEd1925/GA.pdf#page=33</v>
      </c>
      <c r="AJ79" s="151" t="str">
        <f t="shared" si="53"/>
        <v>https://ia800604.us.archive.org/18/items/GADeptofEd1925/GA.pdf#page=10</v>
      </c>
      <c r="AK79" s="152" t="str">
        <f t="shared" si="53"/>
        <v>https://ia800604.us.archive.org/18/items/GADeptofEd1925/GA.pdf#page=32</v>
      </c>
      <c r="AL79" s="151" t="str">
        <f t="shared" si="53"/>
        <v>https://ia800604.us.archive.org/18/items/GADeptofEd1925/GA.pdf#page=15</v>
      </c>
      <c r="AM79" s="152" t="str">
        <f t="shared" si="37"/>
        <v>https://ia800604.us.archive.org/18/items/GADeptofEd1925/GA.pdf#page=38</v>
      </c>
      <c r="AN79" s="151" t="str">
        <f t="shared" si="49"/>
        <v>https://ia800604.us.archive.org/18/items/GADeptofEd1925/GA.pdf#page=15</v>
      </c>
      <c r="AO79" s="152" t="str">
        <f t="shared" si="51"/>
        <v>https://ia800604.us.archive.org/18/items/GADeptofEd1925/GA.pdf#page=32</v>
      </c>
      <c r="AP79" s="151" t="str">
        <f t="shared" si="51"/>
        <v>https://ia800604.us.archive.org/18/items/GADeptofEd1925/GA.pdf#page=29</v>
      </c>
      <c r="AQ79" s="152" t="str">
        <f t="shared" si="51"/>
        <v>https://ia800604.us.archive.org/18/items/GADeptofEd1925/GA.pdf#page=46</v>
      </c>
      <c r="AR79" s="151" t="str">
        <f t="shared" si="51"/>
        <v>https://ia800604.us.archive.org/18/items/GADeptofEd1925/GA.pdf#page=23</v>
      </c>
      <c r="AS79" s="152" t="str">
        <f t="shared" si="50"/>
        <v>https://ia800604.us.archive.org/18/items/GADeptofEd1925/GA.pdf#page=46</v>
      </c>
      <c r="AT79" s="151" t="str">
        <f t="shared" ref="AT79:AV94" si="55">AT78</f>
        <v>https://ia800604.us.archive.org/18/items/GADeptofEd1925/GA.pdf#page=29</v>
      </c>
      <c r="AU79" s="152" t="str">
        <f t="shared" si="55"/>
        <v>https://ia800604.us.archive.org/18/items/GADeptofEd1925/GA.pdf#page=32</v>
      </c>
      <c r="AV79" s="151" t="str">
        <f t="shared" si="55"/>
        <v>https://ia800604.us.archive.org/18/items/GADeptofEd1925/GA.pdf#page=29</v>
      </c>
      <c r="AW79" s="152" t="str">
        <f t="shared" si="28"/>
        <v>https://ia800604.us.archive.org/18/items/GADeptofEd1925/GA.pdf#page=51</v>
      </c>
    </row>
    <row r="80" spans="1:49" x14ac:dyDescent="0.25">
      <c r="A80" s="27" t="s">
        <v>801</v>
      </c>
      <c r="B80" s="27" t="str">
        <f t="shared" si="41"/>
        <v>Georgia</v>
      </c>
      <c r="C80" s="27" t="str">
        <f t="shared" si="42"/>
        <v>Jasper</v>
      </c>
      <c r="D80" s="27">
        <v>773</v>
      </c>
      <c r="E80" s="27">
        <v>1218</v>
      </c>
      <c r="F80" s="27">
        <f t="shared" si="48"/>
        <v>1991</v>
      </c>
      <c r="G80" s="27">
        <v>1</v>
      </c>
      <c r="H80" s="27">
        <v>29</v>
      </c>
      <c r="I80" s="27">
        <v>5</v>
      </c>
      <c r="J80" s="27">
        <v>3</v>
      </c>
      <c r="K80" s="27">
        <v>43</v>
      </c>
      <c r="L80" s="27">
        <f t="shared" si="43"/>
        <v>81</v>
      </c>
      <c r="M80" s="27">
        <v>180</v>
      </c>
      <c r="N80" s="27">
        <v>120</v>
      </c>
      <c r="O80" s="29">
        <f t="shared" si="40"/>
        <v>143.29482672024108</v>
      </c>
      <c r="P80" s="27">
        <v>6111</v>
      </c>
      <c r="Q80" s="7">
        <f t="shared" si="44"/>
        <v>27299.340000000004</v>
      </c>
      <c r="R80" s="27">
        <v>7566.59</v>
      </c>
      <c r="S80" s="27">
        <v>75</v>
      </c>
      <c r="T80" s="27">
        <v>70.400000000000006</v>
      </c>
      <c r="U80" s="27">
        <v>131.33000000000001</v>
      </c>
      <c r="V80" s="27">
        <v>86.67</v>
      </c>
      <c r="W80" s="89">
        <f t="shared" si="45"/>
        <v>79.82263157894738</v>
      </c>
      <c r="X80" s="89">
        <f t="shared" si="54"/>
        <v>29.327868217054263</v>
      </c>
      <c r="Y80" s="97">
        <f t="shared" si="52"/>
        <v>58.109883333333343</v>
      </c>
      <c r="Z80" s="97">
        <f t="shared" si="46"/>
        <v>53.016769547325104</v>
      </c>
      <c r="AA80" s="27">
        <v>42639</v>
      </c>
      <c r="AB80" s="27">
        <v>51</v>
      </c>
      <c r="AC80" s="27">
        <v>130000</v>
      </c>
      <c r="AD80" s="27">
        <v>42000</v>
      </c>
      <c r="AE80" s="29">
        <f t="shared" si="47"/>
        <v>172000</v>
      </c>
      <c r="AF80" s="41">
        <v>1925</v>
      </c>
      <c r="AG80" s="4" t="s">
        <v>567</v>
      </c>
      <c r="AH80" s="151" t="str">
        <f t="shared" si="53"/>
        <v>https://ia800604.us.archive.org/18/items/GADeptofEd1925/GA.pdf#page=10</v>
      </c>
      <c r="AI80" s="152" t="str">
        <f t="shared" si="53"/>
        <v>https://ia800604.us.archive.org/18/items/GADeptofEd1925/GA.pdf#page=33</v>
      </c>
      <c r="AJ80" s="151" t="str">
        <f t="shared" si="53"/>
        <v>https://ia800604.us.archive.org/18/items/GADeptofEd1925/GA.pdf#page=10</v>
      </c>
      <c r="AK80" s="152" t="str">
        <f t="shared" si="53"/>
        <v>https://ia800604.us.archive.org/18/items/GADeptofEd1925/GA.pdf#page=32</v>
      </c>
      <c r="AL80" s="151" t="str">
        <f t="shared" si="53"/>
        <v>https://ia800604.us.archive.org/18/items/GADeptofEd1925/GA.pdf#page=15</v>
      </c>
      <c r="AM80" s="152" t="str">
        <f t="shared" si="37"/>
        <v>https://ia800604.us.archive.org/18/items/GADeptofEd1925/GA.pdf#page=38</v>
      </c>
      <c r="AN80" s="151" t="str">
        <f t="shared" si="49"/>
        <v>https://ia800604.us.archive.org/18/items/GADeptofEd1925/GA.pdf#page=15</v>
      </c>
      <c r="AO80" s="152" t="str">
        <f t="shared" si="51"/>
        <v>https://ia800604.us.archive.org/18/items/GADeptofEd1925/GA.pdf#page=32</v>
      </c>
      <c r="AP80" s="151" t="str">
        <f t="shared" si="51"/>
        <v>https://ia800604.us.archive.org/18/items/GADeptofEd1925/GA.pdf#page=29</v>
      </c>
      <c r="AQ80" s="152" t="str">
        <f t="shared" si="51"/>
        <v>https://ia800604.us.archive.org/18/items/GADeptofEd1925/GA.pdf#page=46</v>
      </c>
      <c r="AR80" s="151" t="str">
        <f t="shared" si="51"/>
        <v>https://ia800604.us.archive.org/18/items/GADeptofEd1925/GA.pdf#page=23</v>
      </c>
      <c r="AS80" s="152" t="str">
        <f t="shared" si="50"/>
        <v>https://ia800604.us.archive.org/18/items/GADeptofEd1925/GA.pdf#page=46</v>
      </c>
      <c r="AT80" s="151" t="str">
        <f t="shared" si="55"/>
        <v>https://ia800604.us.archive.org/18/items/GADeptofEd1925/GA.pdf#page=29</v>
      </c>
      <c r="AU80" s="152" t="str">
        <f t="shared" si="55"/>
        <v>https://ia800604.us.archive.org/18/items/GADeptofEd1925/GA.pdf#page=32</v>
      </c>
      <c r="AV80" s="151" t="str">
        <f t="shared" si="55"/>
        <v>https://ia800604.us.archive.org/18/items/GADeptofEd1925/GA.pdf#page=29</v>
      </c>
      <c r="AW80" s="152" t="str">
        <f t="shared" si="28"/>
        <v>https://ia800604.us.archive.org/18/items/GADeptofEd1925/GA.pdf#page=51</v>
      </c>
    </row>
    <row r="81" spans="1:49" x14ac:dyDescent="0.25">
      <c r="A81" s="27" t="s">
        <v>802</v>
      </c>
      <c r="B81" s="27" t="str">
        <f t="shared" si="41"/>
        <v>Georgia</v>
      </c>
      <c r="C81" s="27" t="str">
        <f t="shared" si="42"/>
        <v>Jeff Davis</v>
      </c>
      <c r="D81" s="27">
        <f>1770+305</f>
        <v>2075</v>
      </c>
      <c r="E81" s="27">
        <f>300+88</f>
        <v>388</v>
      </c>
      <c r="F81" s="27">
        <f t="shared" si="48"/>
        <v>2463</v>
      </c>
      <c r="G81" s="27">
        <v>6</v>
      </c>
      <c r="H81" s="27">
        <f>23+7</f>
        <v>30</v>
      </c>
      <c r="I81" s="27">
        <f>1+1</f>
        <v>2</v>
      </c>
      <c r="J81" s="27">
        <f>1+3</f>
        <v>4</v>
      </c>
      <c r="K81" s="27">
        <f>7+2</f>
        <v>9</v>
      </c>
      <c r="L81" s="27">
        <f t="shared" si="43"/>
        <v>51</v>
      </c>
      <c r="M81" s="27">
        <v>100</v>
      </c>
      <c r="N81" s="27">
        <v>100</v>
      </c>
      <c r="O81" s="29">
        <f t="shared" si="40"/>
        <v>100</v>
      </c>
      <c r="P81" s="27">
        <v>2288</v>
      </c>
      <c r="Q81" s="7">
        <f t="shared" si="44"/>
        <v>10862.4</v>
      </c>
      <c r="R81" s="27">
        <f>1599.25+780</f>
        <v>2379.25</v>
      </c>
      <c r="S81" s="27">
        <v>70.23</v>
      </c>
      <c r="T81" s="27">
        <v>58.37</v>
      </c>
      <c r="U81" s="27"/>
      <c r="V81" s="27"/>
      <c r="W81" s="89">
        <f t="shared" si="45"/>
        <v>51.72571428571429</v>
      </c>
      <c r="X81" s="89">
        <f t="shared" si="54"/>
        <v>52.87222222222222</v>
      </c>
      <c r="Y81" s="97">
        <f t="shared" si="52"/>
        <v>51.928039215686269</v>
      </c>
      <c r="Z81" s="97">
        <f t="shared" si="46"/>
        <v>51.928039215686276</v>
      </c>
      <c r="AA81" s="27">
        <v>34869</v>
      </c>
      <c r="AB81" s="27">
        <v>32</v>
      </c>
      <c r="AC81" s="27">
        <f>14000+25000</f>
        <v>39000</v>
      </c>
      <c r="AD81" s="27">
        <v>1500</v>
      </c>
      <c r="AE81" s="29">
        <f t="shared" si="47"/>
        <v>40500</v>
      </c>
      <c r="AF81" s="41">
        <v>1925</v>
      </c>
      <c r="AG81" s="4" t="s">
        <v>567</v>
      </c>
      <c r="AH81" s="151" t="str">
        <f t="shared" si="53"/>
        <v>https://ia800604.us.archive.org/18/items/GADeptofEd1925/GA.pdf#page=10</v>
      </c>
      <c r="AI81" s="152" t="str">
        <f t="shared" si="53"/>
        <v>https://ia800604.us.archive.org/18/items/GADeptofEd1925/GA.pdf#page=33</v>
      </c>
      <c r="AJ81" s="151" t="str">
        <f t="shared" si="53"/>
        <v>https://ia800604.us.archive.org/18/items/GADeptofEd1925/GA.pdf#page=10</v>
      </c>
      <c r="AK81" s="152" t="str">
        <f t="shared" si="53"/>
        <v>https://ia800604.us.archive.org/18/items/GADeptofEd1925/GA.pdf#page=32</v>
      </c>
      <c r="AL81" s="151" t="str">
        <f t="shared" si="53"/>
        <v>https://ia800604.us.archive.org/18/items/GADeptofEd1925/GA.pdf#page=15</v>
      </c>
      <c r="AM81" s="152" t="str">
        <f t="shared" si="37"/>
        <v>https://ia800604.us.archive.org/18/items/GADeptofEd1925/GA.pdf#page=38</v>
      </c>
      <c r="AN81" s="151" t="str">
        <f t="shared" si="49"/>
        <v>https://ia800604.us.archive.org/18/items/GADeptofEd1925/GA.pdf#page=15</v>
      </c>
      <c r="AO81" s="152" t="str">
        <f t="shared" si="51"/>
        <v>https://ia800604.us.archive.org/18/items/GADeptofEd1925/GA.pdf#page=32</v>
      </c>
      <c r="AP81" s="151" t="str">
        <f t="shared" si="51"/>
        <v>https://ia800604.us.archive.org/18/items/GADeptofEd1925/GA.pdf#page=29</v>
      </c>
      <c r="AQ81" s="152" t="str">
        <f t="shared" si="51"/>
        <v>https://ia800604.us.archive.org/18/items/GADeptofEd1925/GA.pdf#page=46</v>
      </c>
      <c r="AR81" s="151" t="str">
        <f t="shared" si="51"/>
        <v>https://ia800604.us.archive.org/18/items/GADeptofEd1925/GA.pdf#page=23</v>
      </c>
      <c r="AS81" s="152" t="str">
        <f t="shared" si="50"/>
        <v>https://ia800604.us.archive.org/18/items/GADeptofEd1925/GA.pdf#page=46</v>
      </c>
      <c r="AT81" s="151" t="str">
        <f t="shared" si="55"/>
        <v>https://ia800604.us.archive.org/18/items/GADeptofEd1925/GA.pdf#page=29</v>
      </c>
      <c r="AU81" s="152" t="str">
        <f t="shared" si="55"/>
        <v>https://ia800604.us.archive.org/18/items/GADeptofEd1925/GA.pdf#page=32</v>
      </c>
      <c r="AV81" s="151" t="str">
        <f t="shared" si="55"/>
        <v>https://ia800604.us.archive.org/18/items/GADeptofEd1925/GA.pdf#page=29</v>
      </c>
      <c r="AW81" s="152" t="str">
        <f t="shared" si="28"/>
        <v>https://ia800604.us.archive.org/18/items/GADeptofEd1925/GA.pdf#page=51</v>
      </c>
    </row>
    <row r="82" spans="1:49" x14ac:dyDescent="0.25">
      <c r="A82" s="27" t="s">
        <v>803</v>
      </c>
      <c r="B82" s="27" t="str">
        <f t="shared" si="41"/>
        <v>Georgia</v>
      </c>
      <c r="C82" s="27" t="str">
        <f t="shared" si="42"/>
        <v>Jefferson</v>
      </c>
      <c r="D82" s="27">
        <v>2000</v>
      </c>
      <c r="E82" s="27">
        <f>3450</f>
        <v>3450</v>
      </c>
      <c r="F82" s="27">
        <f t="shared" si="48"/>
        <v>5450</v>
      </c>
      <c r="G82" s="27">
        <v>3</v>
      </c>
      <c r="H82" s="27">
        <v>45</v>
      </c>
      <c r="I82" s="27">
        <v>15</v>
      </c>
      <c r="J82" s="27">
        <v>17</v>
      </c>
      <c r="K82" s="27">
        <f>38+22</f>
        <v>60</v>
      </c>
      <c r="L82" s="27">
        <f t="shared" si="43"/>
        <v>140</v>
      </c>
      <c r="M82" s="27">
        <v>180</v>
      </c>
      <c r="N82" s="27">
        <v>140</v>
      </c>
      <c r="O82" s="29">
        <f t="shared" si="40"/>
        <v>154.67889908256882</v>
      </c>
      <c r="P82" s="27">
        <v>6402</v>
      </c>
      <c r="Q82" s="7">
        <f t="shared" si="44"/>
        <v>63630</v>
      </c>
      <c r="R82" s="27">
        <v>10579.27</v>
      </c>
      <c r="S82" s="27">
        <v>100</v>
      </c>
      <c r="T82" s="27">
        <v>66</v>
      </c>
      <c r="U82" s="27">
        <v>140</v>
      </c>
      <c r="V82" s="27">
        <v>100</v>
      </c>
      <c r="W82" s="89">
        <f t="shared" si="45"/>
        <v>88.375</v>
      </c>
      <c r="X82" s="89">
        <f t="shared" si="54"/>
        <v>25.188738095238097</v>
      </c>
      <c r="Y82" s="97">
        <f t="shared" si="52"/>
        <v>65.095850877192987</v>
      </c>
      <c r="Z82" s="97">
        <f t="shared" si="46"/>
        <v>61.295173469387763</v>
      </c>
      <c r="AA82" s="27">
        <v>223009</v>
      </c>
      <c r="AB82" s="27">
        <v>55</v>
      </c>
      <c r="AC82" s="27">
        <v>500000</v>
      </c>
      <c r="AD82" s="27">
        <v>50000</v>
      </c>
      <c r="AE82" s="29">
        <f t="shared" si="47"/>
        <v>550000</v>
      </c>
      <c r="AF82" s="41">
        <v>1925</v>
      </c>
      <c r="AG82" s="4" t="s">
        <v>567</v>
      </c>
      <c r="AH82" s="151" t="s">
        <v>2663</v>
      </c>
      <c r="AI82" s="152" t="str">
        <f t="shared" si="53"/>
        <v>https://ia800604.us.archive.org/18/items/GADeptofEd1925/GA.pdf#page=33</v>
      </c>
      <c r="AJ82" s="151" t="s">
        <v>2663</v>
      </c>
      <c r="AK82" s="152" t="str">
        <f t="shared" si="53"/>
        <v>https://ia800604.us.archive.org/18/items/GADeptofEd1925/GA.pdf#page=32</v>
      </c>
      <c r="AL82" s="151" t="str">
        <f t="shared" si="53"/>
        <v>https://ia800604.us.archive.org/18/items/GADeptofEd1925/GA.pdf#page=15</v>
      </c>
      <c r="AM82" s="152" t="str">
        <f t="shared" si="37"/>
        <v>https://ia800604.us.archive.org/18/items/GADeptofEd1925/GA.pdf#page=38</v>
      </c>
      <c r="AN82" s="151" t="str">
        <f t="shared" si="49"/>
        <v>https://ia800604.us.archive.org/18/items/GADeptofEd1925/GA.pdf#page=15</v>
      </c>
      <c r="AO82" s="152" t="str">
        <f t="shared" si="51"/>
        <v>https://ia800604.us.archive.org/18/items/GADeptofEd1925/GA.pdf#page=32</v>
      </c>
      <c r="AP82" s="151" t="str">
        <f t="shared" si="51"/>
        <v>https://ia800604.us.archive.org/18/items/GADeptofEd1925/GA.pdf#page=29</v>
      </c>
      <c r="AQ82" s="152" t="str">
        <f t="shared" si="51"/>
        <v>https://ia800604.us.archive.org/18/items/GADeptofEd1925/GA.pdf#page=46</v>
      </c>
      <c r="AR82" s="151" t="str">
        <f t="shared" si="51"/>
        <v>https://ia800604.us.archive.org/18/items/GADeptofEd1925/GA.pdf#page=23</v>
      </c>
      <c r="AS82" s="152" t="str">
        <f t="shared" si="50"/>
        <v>https://ia800604.us.archive.org/18/items/GADeptofEd1925/GA.pdf#page=46</v>
      </c>
      <c r="AT82" s="151" t="str">
        <f t="shared" si="55"/>
        <v>https://ia800604.us.archive.org/18/items/GADeptofEd1925/GA.pdf#page=29</v>
      </c>
      <c r="AU82" s="152" t="str">
        <f t="shared" si="55"/>
        <v>https://ia800604.us.archive.org/18/items/GADeptofEd1925/GA.pdf#page=32</v>
      </c>
      <c r="AV82" s="151" t="str">
        <f t="shared" si="55"/>
        <v>https://ia800604.us.archive.org/18/items/GADeptofEd1925/GA.pdf#page=29</v>
      </c>
      <c r="AW82" s="152" t="str">
        <f t="shared" si="28"/>
        <v>https://ia800604.us.archive.org/18/items/GADeptofEd1925/GA.pdf#page=51</v>
      </c>
    </row>
    <row r="83" spans="1:49" x14ac:dyDescent="0.25">
      <c r="A83" s="27" t="s">
        <v>804</v>
      </c>
      <c r="B83" s="27" t="str">
        <f t="shared" si="41"/>
        <v>Georgia</v>
      </c>
      <c r="C83" s="27" t="str">
        <f t="shared" si="42"/>
        <v>Jenkins</v>
      </c>
      <c r="D83" s="27">
        <v>972</v>
      </c>
      <c r="E83" s="27">
        <v>921</v>
      </c>
      <c r="F83" s="27">
        <f t="shared" si="48"/>
        <v>1893</v>
      </c>
      <c r="G83" s="27">
        <v>5</v>
      </c>
      <c r="H83" s="27">
        <v>29</v>
      </c>
      <c r="I83" s="27">
        <v>4</v>
      </c>
      <c r="J83" s="27">
        <v>5</v>
      </c>
      <c r="K83" s="13">
        <v>26</v>
      </c>
      <c r="L83" s="27">
        <f t="shared" si="43"/>
        <v>69</v>
      </c>
      <c r="M83" s="27">
        <v>160</v>
      </c>
      <c r="N83" s="27">
        <v>140</v>
      </c>
      <c r="O83" s="29">
        <f t="shared" si="40"/>
        <v>150.26941362916006</v>
      </c>
      <c r="P83" s="27">
        <v>2832</v>
      </c>
      <c r="Q83" s="7">
        <f t="shared" si="44"/>
        <v>27614.959999999999</v>
      </c>
      <c r="R83" s="27">
        <v>3001.69</v>
      </c>
      <c r="S83" s="27">
        <v>107.4</v>
      </c>
      <c r="T83" s="27">
        <v>65.33</v>
      </c>
      <c r="U83" s="27">
        <v>148</v>
      </c>
      <c r="V83" s="27">
        <v>85.66</v>
      </c>
      <c r="W83" s="89">
        <f t="shared" si="45"/>
        <v>80.276046511627911</v>
      </c>
      <c r="X83" s="89">
        <f t="shared" si="54"/>
        <v>16.492802197802199</v>
      </c>
      <c r="Y83" s="97">
        <f t="shared" si="52"/>
        <v>58.206558935361215</v>
      </c>
      <c r="Z83" s="97">
        <f t="shared" si="46"/>
        <v>56.241780538302287</v>
      </c>
      <c r="AA83" s="27">
        <v>43736</v>
      </c>
      <c r="AB83" s="27">
        <v>37</v>
      </c>
      <c r="AC83" s="27">
        <v>65900</v>
      </c>
      <c r="AD83" s="27">
        <v>8250</v>
      </c>
      <c r="AE83" s="29">
        <f t="shared" si="47"/>
        <v>74150</v>
      </c>
      <c r="AF83" s="41">
        <v>1925</v>
      </c>
      <c r="AG83" s="4" t="s">
        <v>567</v>
      </c>
      <c r="AH83" s="151" t="str">
        <f>AH82</f>
        <v>https://ia800604.us.archive.org/18/items/GADeptofEd1925/GA.pdf#page=11</v>
      </c>
      <c r="AI83" s="152" t="s">
        <v>2664</v>
      </c>
      <c r="AJ83" s="151" t="str">
        <f>AJ82</f>
        <v>https://ia800604.us.archive.org/18/items/GADeptofEd1925/GA.pdf#page=11</v>
      </c>
      <c r="AK83" s="152" t="str">
        <f t="shared" si="53"/>
        <v>https://ia800604.us.archive.org/18/items/GADeptofEd1925/GA.pdf#page=32</v>
      </c>
      <c r="AL83" s="151" t="str">
        <f t="shared" si="53"/>
        <v>https://ia800604.us.archive.org/18/items/GADeptofEd1925/GA.pdf#page=15</v>
      </c>
      <c r="AM83" s="152" t="str">
        <f t="shared" si="37"/>
        <v>https://ia800604.us.archive.org/18/items/GADeptofEd1925/GA.pdf#page=38</v>
      </c>
      <c r="AN83" s="151" t="str">
        <f t="shared" si="49"/>
        <v>https://ia800604.us.archive.org/18/items/GADeptofEd1925/GA.pdf#page=15</v>
      </c>
      <c r="AO83" s="152" t="str">
        <f t="shared" si="51"/>
        <v>https://ia800604.us.archive.org/18/items/GADeptofEd1925/GA.pdf#page=32</v>
      </c>
      <c r="AP83" s="151" t="str">
        <f t="shared" si="51"/>
        <v>https://ia800604.us.archive.org/18/items/GADeptofEd1925/GA.pdf#page=29</v>
      </c>
      <c r="AQ83" s="152" t="str">
        <f t="shared" si="51"/>
        <v>https://ia800604.us.archive.org/18/items/GADeptofEd1925/GA.pdf#page=46</v>
      </c>
      <c r="AR83" s="151" t="str">
        <f t="shared" si="51"/>
        <v>https://ia800604.us.archive.org/18/items/GADeptofEd1925/GA.pdf#page=23</v>
      </c>
      <c r="AS83" s="152" t="str">
        <f t="shared" si="50"/>
        <v>https://ia800604.us.archive.org/18/items/GADeptofEd1925/GA.pdf#page=46</v>
      </c>
      <c r="AT83" s="151" t="str">
        <f t="shared" si="55"/>
        <v>https://ia800604.us.archive.org/18/items/GADeptofEd1925/GA.pdf#page=29</v>
      </c>
      <c r="AU83" s="152" t="str">
        <f t="shared" si="55"/>
        <v>https://ia800604.us.archive.org/18/items/GADeptofEd1925/GA.pdf#page=32</v>
      </c>
      <c r="AV83" s="151" t="str">
        <f t="shared" si="55"/>
        <v>https://ia800604.us.archive.org/18/items/GADeptofEd1925/GA.pdf#page=29</v>
      </c>
      <c r="AW83" s="152" t="str">
        <f t="shared" si="28"/>
        <v>https://ia800604.us.archive.org/18/items/GADeptofEd1925/GA.pdf#page=51</v>
      </c>
    </row>
    <row r="84" spans="1:49" x14ac:dyDescent="0.25">
      <c r="A84" s="27" t="s">
        <v>805</v>
      </c>
      <c r="B84" s="27" t="str">
        <f t="shared" si="41"/>
        <v>Georgia</v>
      </c>
      <c r="C84" s="27" t="str">
        <f t="shared" si="42"/>
        <v>Johnson</v>
      </c>
      <c r="D84" s="27">
        <v>2015</v>
      </c>
      <c r="E84" s="27">
        <v>920</v>
      </c>
      <c r="F84" s="27">
        <f t="shared" si="48"/>
        <v>2935</v>
      </c>
      <c r="G84" s="27">
        <v>3</v>
      </c>
      <c r="H84" s="27">
        <v>52</v>
      </c>
      <c r="I84" s="27">
        <v>6</v>
      </c>
      <c r="J84" s="27">
        <v>5</v>
      </c>
      <c r="K84" s="27">
        <v>28</v>
      </c>
      <c r="L84" s="27">
        <f t="shared" si="43"/>
        <v>94</v>
      </c>
      <c r="M84" s="27">
        <v>180</v>
      </c>
      <c r="N84" s="27">
        <v>180</v>
      </c>
      <c r="O84" s="29">
        <f t="shared" si="40"/>
        <v>180</v>
      </c>
      <c r="P84" s="27">
        <v>3573</v>
      </c>
      <c r="Q84" s="7">
        <f t="shared" si="44"/>
        <v>42422.31</v>
      </c>
      <c r="R84" s="27">
        <v>3217.14</v>
      </c>
      <c r="S84" s="27">
        <v>68.33</v>
      </c>
      <c r="T84" s="27">
        <v>58.8</v>
      </c>
      <c r="U84" s="27">
        <v>171</v>
      </c>
      <c r="V84" s="27">
        <v>85</v>
      </c>
      <c r="W84" s="89">
        <f t="shared" si="45"/>
        <v>71.418030303030307</v>
      </c>
      <c r="X84" s="89">
        <f t="shared" si="54"/>
        <v>12.76642857142857</v>
      </c>
      <c r="Y84" s="97">
        <f t="shared" si="52"/>
        <v>53.947340425531905</v>
      </c>
      <c r="Z84" s="97">
        <f t="shared" si="46"/>
        <v>53.94734042553192</v>
      </c>
      <c r="AA84" s="27">
        <v>61922</v>
      </c>
      <c r="AB84" s="27">
        <v>54</v>
      </c>
      <c r="AC84" s="27">
        <v>90250</v>
      </c>
      <c r="AD84" s="27">
        <v>80000</v>
      </c>
      <c r="AE84" s="29">
        <f t="shared" si="47"/>
        <v>170250</v>
      </c>
      <c r="AF84" s="41">
        <v>1925</v>
      </c>
      <c r="AG84" s="4" t="s">
        <v>567</v>
      </c>
      <c r="AH84" s="151" t="str">
        <f t="shared" ref="AH84:AI99" si="56">AH83</f>
        <v>https://ia800604.us.archive.org/18/items/GADeptofEd1925/GA.pdf#page=11</v>
      </c>
      <c r="AI84" s="152" t="str">
        <f>AI83</f>
        <v>https://ia800604.us.archive.org/18/items/GADeptofEd1925/GA.pdf#page=34</v>
      </c>
      <c r="AJ84" s="151" t="str">
        <f t="shared" ref="AJ84:AL99" si="57">AJ83</f>
        <v>https://ia800604.us.archive.org/18/items/GADeptofEd1925/GA.pdf#page=11</v>
      </c>
      <c r="AK84" s="152" t="str">
        <f t="shared" si="53"/>
        <v>https://ia800604.us.archive.org/18/items/GADeptofEd1925/GA.pdf#page=32</v>
      </c>
      <c r="AL84" s="151" t="str">
        <f t="shared" si="53"/>
        <v>https://ia800604.us.archive.org/18/items/GADeptofEd1925/GA.pdf#page=15</v>
      </c>
      <c r="AM84" s="152" t="str">
        <f t="shared" si="37"/>
        <v>https://ia800604.us.archive.org/18/items/GADeptofEd1925/GA.pdf#page=38</v>
      </c>
      <c r="AN84" s="151" t="str">
        <f t="shared" si="49"/>
        <v>https://ia800604.us.archive.org/18/items/GADeptofEd1925/GA.pdf#page=15</v>
      </c>
      <c r="AO84" s="152" t="str">
        <f t="shared" ref="AO84:AR99" si="58">AO83</f>
        <v>https://ia800604.us.archive.org/18/items/GADeptofEd1925/GA.pdf#page=32</v>
      </c>
      <c r="AP84" s="151" t="str">
        <f t="shared" si="58"/>
        <v>https://ia800604.us.archive.org/18/items/GADeptofEd1925/GA.pdf#page=29</v>
      </c>
      <c r="AQ84" s="152" t="str">
        <f t="shared" si="58"/>
        <v>https://ia800604.us.archive.org/18/items/GADeptofEd1925/GA.pdf#page=46</v>
      </c>
      <c r="AR84" s="151" t="str">
        <f t="shared" si="58"/>
        <v>https://ia800604.us.archive.org/18/items/GADeptofEd1925/GA.pdf#page=23</v>
      </c>
      <c r="AS84" s="152" t="str">
        <f t="shared" si="50"/>
        <v>https://ia800604.us.archive.org/18/items/GADeptofEd1925/GA.pdf#page=46</v>
      </c>
      <c r="AT84" s="151" t="str">
        <f t="shared" si="55"/>
        <v>https://ia800604.us.archive.org/18/items/GADeptofEd1925/GA.pdf#page=29</v>
      </c>
      <c r="AU84" s="152" t="str">
        <f t="shared" si="55"/>
        <v>https://ia800604.us.archive.org/18/items/GADeptofEd1925/GA.pdf#page=32</v>
      </c>
      <c r="AV84" s="151" t="str">
        <f t="shared" si="55"/>
        <v>https://ia800604.us.archive.org/18/items/GADeptofEd1925/GA.pdf#page=29</v>
      </c>
      <c r="AW84" s="152" t="str">
        <f t="shared" si="28"/>
        <v>https://ia800604.us.archive.org/18/items/GADeptofEd1925/GA.pdf#page=51</v>
      </c>
    </row>
    <row r="85" spans="1:49" x14ac:dyDescent="0.25">
      <c r="A85" s="27" t="s">
        <v>806</v>
      </c>
      <c r="B85" s="27" t="str">
        <f t="shared" si="41"/>
        <v>Georgia</v>
      </c>
      <c r="C85" s="27" t="str">
        <f t="shared" si="42"/>
        <v>Jones</v>
      </c>
      <c r="D85" s="27">
        <v>725</v>
      </c>
      <c r="E85" s="27">
        <v>824</v>
      </c>
      <c r="F85" s="27">
        <f t="shared" si="48"/>
        <v>1549</v>
      </c>
      <c r="G85" s="27">
        <v>0</v>
      </c>
      <c r="H85" s="27">
        <v>30</v>
      </c>
      <c r="I85" s="27">
        <v>7</v>
      </c>
      <c r="J85" s="27">
        <v>3</v>
      </c>
      <c r="K85" s="27">
        <v>38</v>
      </c>
      <c r="L85" s="27">
        <f t="shared" si="43"/>
        <v>78</v>
      </c>
      <c r="M85" s="27">
        <v>160</v>
      </c>
      <c r="N85" s="27">
        <v>120</v>
      </c>
      <c r="O85" s="29">
        <f t="shared" si="40"/>
        <v>138.72175597159458</v>
      </c>
      <c r="P85" s="27">
        <v>2521</v>
      </c>
      <c r="Q85" s="7">
        <f t="shared" si="44"/>
        <v>25170.160000000003</v>
      </c>
      <c r="R85" s="27">
        <v>5573.8</v>
      </c>
      <c r="S85" s="27"/>
      <c r="T85" s="27">
        <v>66.56</v>
      </c>
      <c r="U85" s="27">
        <v>134.21</v>
      </c>
      <c r="V85" s="27">
        <v>70</v>
      </c>
      <c r="W85" s="89">
        <f t="shared" si="45"/>
        <v>78.656750000000017</v>
      </c>
      <c r="X85" s="89">
        <f t="shared" si="54"/>
        <v>24.446491228070176</v>
      </c>
      <c r="Y85" s="97">
        <f t="shared" si="52"/>
        <v>56.102116788321176</v>
      </c>
      <c r="Z85" s="97">
        <f t="shared" si="46"/>
        <v>52.246623931623937</v>
      </c>
      <c r="AA85" s="27">
        <v>48066</v>
      </c>
      <c r="AB85" s="27">
        <v>28</v>
      </c>
      <c r="AC85" s="27">
        <v>50500</v>
      </c>
      <c r="AD85" s="27">
        <v>30000</v>
      </c>
      <c r="AE85" s="29">
        <f t="shared" si="47"/>
        <v>80500</v>
      </c>
      <c r="AF85" s="41">
        <v>1925</v>
      </c>
      <c r="AG85" s="4" t="s">
        <v>567</v>
      </c>
      <c r="AH85" s="151" t="str">
        <f t="shared" si="56"/>
        <v>https://ia800604.us.archive.org/18/items/GADeptofEd1925/GA.pdf#page=11</v>
      </c>
      <c r="AI85" s="152" t="str">
        <f t="shared" si="53"/>
        <v>https://ia800604.us.archive.org/18/items/GADeptofEd1925/GA.pdf#page=34</v>
      </c>
      <c r="AJ85" s="151" t="str">
        <f t="shared" si="57"/>
        <v>https://ia800604.us.archive.org/18/items/GADeptofEd1925/GA.pdf#page=11</v>
      </c>
      <c r="AK85" s="152" t="str">
        <f t="shared" si="53"/>
        <v>https://ia800604.us.archive.org/18/items/GADeptofEd1925/GA.pdf#page=32</v>
      </c>
      <c r="AL85" s="151" t="str">
        <f t="shared" si="53"/>
        <v>https://ia800604.us.archive.org/18/items/GADeptofEd1925/GA.pdf#page=15</v>
      </c>
      <c r="AM85" s="152" t="str">
        <f t="shared" si="37"/>
        <v>https://ia800604.us.archive.org/18/items/GADeptofEd1925/GA.pdf#page=38</v>
      </c>
      <c r="AN85" s="151" t="str">
        <f t="shared" si="49"/>
        <v>https://ia800604.us.archive.org/18/items/GADeptofEd1925/GA.pdf#page=15</v>
      </c>
      <c r="AO85" s="152" t="str">
        <f t="shared" si="58"/>
        <v>https://ia800604.us.archive.org/18/items/GADeptofEd1925/GA.pdf#page=32</v>
      </c>
      <c r="AP85" s="151" t="str">
        <f t="shared" si="58"/>
        <v>https://ia800604.us.archive.org/18/items/GADeptofEd1925/GA.pdf#page=29</v>
      </c>
      <c r="AQ85" s="152" t="str">
        <f t="shared" si="58"/>
        <v>https://ia800604.us.archive.org/18/items/GADeptofEd1925/GA.pdf#page=46</v>
      </c>
      <c r="AR85" s="151" t="str">
        <f t="shared" si="58"/>
        <v>https://ia800604.us.archive.org/18/items/GADeptofEd1925/GA.pdf#page=23</v>
      </c>
      <c r="AS85" s="152" t="str">
        <f t="shared" si="50"/>
        <v>https://ia800604.us.archive.org/18/items/GADeptofEd1925/GA.pdf#page=46</v>
      </c>
      <c r="AT85" s="151" t="str">
        <f t="shared" si="55"/>
        <v>https://ia800604.us.archive.org/18/items/GADeptofEd1925/GA.pdf#page=29</v>
      </c>
      <c r="AU85" s="152" t="str">
        <f t="shared" si="55"/>
        <v>https://ia800604.us.archive.org/18/items/GADeptofEd1925/GA.pdf#page=32</v>
      </c>
      <c r="AV85" s="151" t="str">
        <f t="shared" si="55"/>
        <v>https://ia800604.us.archive.org/18/items/GADeptofEd1925/GA.pdf#page=29</v>
      </c>
      <c r="AW85" s="152" t="str">
        <f t="shared" si="28"/>
        <v>https://ia800604.us.archive.org/18/items/GADeptofEd1925/GA.pdf#page=51</v>
      </c>
    </row>
    <row r="86" spans="1:49" x14ac:dyDescent="0.25">
      <c r="A86" s="27" t="s">
        <v>807</v>
      </c>
      <c r="B86" s="27" t="str">
        <f t="shared" si="41"/>
        <v>Georgia</v>
      </c>
      <c r="C86" s="27" t="str">
        <f t="shared" si="42"/>
        <v>Lamar</v>
      </c>
      <c r="D86" s="27">
        <f>500+400</f>
        <v>900</v>
      </c>
      <c r="E86" s="27">
        <f>487+60</f>
        <v>547</v>
      </c>
      <c r="F86" s="27">
        <f t="shared" si="48"/>
        <v>1447</v>
      </c>
      <c r="G86" s="27">
        <v>0</v>
      </c>
      <c r="H86" s="27">
        <f>14+10</f>
        <v>24</v>
      </c>
      <c r="I86" s="27">
        <f>1+7</f>
        <v>8</v>
      </c>
      <c r="J86" s="27">
        <f>5+1</f>
        <v>6</v>
      </c>
      <c r="K86" s="27">
        <f>18+2+1</f>
        <v>21</v>
      </c>
      <c r="L86" s="27">
        <f t="shared" si="43"/>
        <v>59</v>
      </c>
      <c r="M86" s="27">
        <v>160</v>
      </c>
      <c r="N86" s="27">
        <v>120</v>
      </c>
      <c r="O86" s="29">
        <f t="shared" si="40"/>
        <v>144.87906012439529</v>
      </c>
      <c r="P86" s="27">
        <v>2100</v>
      </c>
      <c r="Q86" s="7">
        <f t="shared" si="44"/>
        <v>53120</v>
      </c>
      <c r="R86" s="27">
        <f>2365+1000</f>
        <v>3365</v>
      </c>
      <c r="S86" s="27"/>
      <c r="T86" s="27">
        <f>65+75</f>
        <v>140</v>
      </c>
      <c r="U86" s="27">
        <f>125+225</f>
        <v>350</v>
      </c>
      <c r="V86" s="27">
        <v>80</v>
      </c>
      <c r="W86" s="89">
        <f t="shared" si="45"/>
        <v>174.73684210526315</v>
      </c>
      <c r="X86" s="89">
        <f t="shared" si="54"/>
        <v>26.706349206349206</v>
      </c>
      <c r="Y86" s="97">
        <f t="shared" si="52"/>
        <v>131.36046511627907</v>
      </c>
      <c r="Z86" s="97">
        <f t="shared" si="46"/>
        <v>122.04802259887005</v>
      </c>
      <c r="AA86" s="27">
        <v>58493</v>
      </c>
      <c r="AB86" s="27">
        <v>30</v>
      </c>
      <c r="AC86" s="27">
        <f>15000+65000</f>
        <v>80000</v>
      </c>
      <c r="AD86" s="27">
        <f>3500+3000</f>
        <v>6500</v>
      </c>
      <c r="AE86" s="29">
        <f t="shared" si="47"/>
        <v>86500</v>
      </c>
      <c r="AF86" s="41">
        <v>1925</v>
      </c>
      <c r="AG86" s="4" t="s">
        <v>567</v>
      </c>
      <c r="AH86" s="151" t="str">
        <f t="shared" si="56"/>
        <v>https://ia800604.us.archive.org/18/items/GADeptofEd1925/GA.pdf#page=11</v>
      </c>
      <c r="AI86" s="152" t="str">
        <f t="shared" si="53"/>
        <v>https://ia800604.us.archive.org/18/items/GADeptofEd1925/GA.pdf#page=34</v>
      </c>
      <c r="AJ86" s="151" t="str">
        <f t="shared" si="57"/>
        <v>https://ia800604.us.archive.org/18/items/GADeptofEd1925/GA.pdf#page=11</v>
      </c>
      <c r="AK86" s="152" t="str">
        <f t="shared" si="53"/>
        <v>https://ia800604.us.archive.org/18/items/GADeptofEd1925/GA.pdf#page=32</v>
      </c>
      <c r="AL86" s="151" t="str">
        <f t="shared" si="53"/>
        <v>https://ia800604.us.archive.org/18/items/GADeptofEd1925/GA.pdf#page=15</v>
      </c>
      <c r="AM86" s="152" t="str">
        <f t="shared" si="37"/>
        <v>https://ia800604.us.archive.org/18/items/GADeptofEd1925/GA.pdf#page=38</v>
      </c>
      <c r="AN86" s="151" t="str">
        <f t="shared" si="49"/>
        <v>https://ia800604.us.archive.org/18/items/GADeptofEd1925/GA.pdf#page=15</v>
      </c>
      <c r="AO86" s="152" t="str">
        <f t="shared" si="58"/>
        <v>https://ia800604.us.archive.org/18/items/GADeptofEd1925/GA.pdf#page=32</v>
      </c>
      <c r="AP86" s="151" t="str">
        <f t="shared" si="58"/>
        <v>https://ia800604.us.archive.org/18/items/GADeptofEd1925/GA.pdf#page=29</v>
      </c>
      <c r="AQ86" s="152" t="str">
        <f t="shared" si="58"/>
        <v>https://ia800604.us.archive.org/18/items/GADeptofEd1925/GA.pdf#page=46</v>
      </c>
      <c r="AR86" s="151" t="str">
        <f t="shared" si="58"/>
        <v>https://ia800604.us.archive.org/18/items/GADeptofEd1925/GA.pdf#page=23</v>
      </c>
      <c r="AS86" s="152" t="str">
        <f t="shared" si="50"/>
        <v>https://ia800604.us.archive.org/18/items/GADeptofEd1925/GA.pdf#page=46</v>
      </c>
      <c r="AT86" s="151" t="str">
        <f t="shared" si="55"/>
        <v>https://ia800604.us.archive.org/18/items/GADeptofEd1925/GA.pdf#page=29</v>
      </c>
      <c r="AU86" s="152" t="str">
        <f t="shared" si="55"/>
        <v>https://ia800604.us.archive.org/18/items/GADeptofEd1925/GA.pdf#page=32</v>
      </c>
      <c r="AV86" s="151" t="str">
        <f t="shared" si="55"/>
        <v>https://ia800604.us.archive.org/18/items/GADeptofEd1925/GA.pdf#page=29</v>
      </c>
      <c r="AW86" s="152" t="str">
        <f t="shared" si="28"/>
        <v>https://ia800604.us.archive.org/18/items/GADeptofEd1925/GA.pdf#page=51</v>
      </c>
    </row>
    <row r="87" spans="1:49" x14ac:dyDescent="0.25">
      <c r="A87" s="27" t="s">
        <v>808</v>
      </c>
      <c r="B87" s="27" t="str">
        <f t="shared" si="41"/>
        <v>Georgia</v>
      </c>
      <c r="C87" s="27" t="str">
        <f t="shared" si="42"/>
        <v>Lanier</v>
      </c>
      <c r="D87" s="27">
        <v>750</v>
      </c>
      <c r="E87" s="27">
        <v>339</v>
      </c>
      <c r="F87" s="27">
        <f t="shared" si="48"/>
        <v>1089</v>
      </c>
      <c r="G87" s="27">
        <v>1</v>
      </c>
      <c r="H87" s="27">
        <v>21</v>
      </c>
      <c r="I87" s="27">
        <v>3</v>
      </c>
      <c r="J87" s="27">
        <v>2</v>
      </c>
      <c r="K87" s="27">
        <v>8</v>
      </c>
      <c r="L87" s="27">
        <f t="shared" si="43"/>
        <v>35</v>
      </c>
      <c r="M87" s="27">
        <v>135</v>
      </c>
      <c r="N87" s="27">
        <v>100</v>
      </c>
      <c r="O87" s="29">
        <f t="shared" si="40"/>
        <v>124.10468319559229</v>
      </c>
      <c r="P87" s="27">
        <v>1301</v>
      </c>
      <c r="Q87" s="7">
        <f t="shared" si="44"/>
        <v>13635.877500000001</v>
      </c>
      <c r="R87" s="27">
        <v>1172.5</v>
      </c>
      <c r="S87" s="27">
        <v>80</v>
      </c>
      <c r="T87" s="27">
        <v>64.53</v>
      </c>
      <c r="U87" s="27">
        <v>145</v>
      </c>
      <c r="V87" s="27">
        <v>75</v>
      </c>
      <c r="W87" s="89">
        <f t="shared" si="45"/>
        <v>74.819629629629631</v>
      </c>
      <c r="X87" s="89">
        <f t="shared" si="54"/>
        <v>29.3125</v>
      </c>
      <c r="Y87" s="97">
        <f t="shared" si="52"/>
        <v>66.629370078740166</v>
      </c>
      <c r="Z87" s="97">
        <f t="shared" si="46"/>
        <v>64.418000000000006</v>
      </c>
      <c r="AA87" s="27">
        <v>32517</v>
      </c>
      <c r="AB87" s="27">
        <v>15</v>
      </c>
      <c r="AC87" s="27">
        <v>29000</v>
      </c>
      <c r="AD87" s="27">
        <v>525</v>
      </c>
      <c r="AE87" s="29">
        <f t="shared" si="47"/>
        <v>29525</v>
      </c>
      <c r="AF87" s="41">
        <v>1925</v>
      </c>
      <c r="AG87" s="4" t="s">
        <v>567</v>
      </c>
      <c r="AH87" s="151" t="str">
        <f t="shared" si="56"/>
        <v>https://ia800604.us.archive.org/18/items/GADeptofEd1925/GA.pdf#page=11</v>
      </c>
      <c r="AI87" s="152" t="str">
        <f t="shared" si="53"/>
        <v>https://ia800604.us.archive.org/18/items/GADeptofEd1925/GA.pdf#page=34</v>
      </c>
      <c r="AJ87" s="151" t="str">
        <f t="shared" si="57"/>
        <v>https://ia800604.us.archive.org/18/items/GADeptofEd1925/GA.pdf#page=11</v>
      </c>
      <c r="AK87" s="152" t="str">
        <f t="shared" si="53"/>
        <v>https://ia800604.us.archive.org/18/items/GADeptofEd1925/GA.pdf#page=32</v>
      </c>
      <c r="AL87" s="151" t="str">
        <f t="shared" si="53"/>
        <v>https://ia800604.us.archive.org/18/items/GADeptofEd1925/GA.pdf#page=15</v>
      </c>
      <c r="AM87" s="152" t="str">
        <f t="shared" si="37"/>
        <v>https://ia800604.us.archive.org/18/items/GADeptofEd1925/GA.pdf#page=38</v>
      </c>
      <c r="AN87" s="151" t="str">
        <f t="shared" si="49"/>
        <v>https://ia800604.us.archive.org/18/items/GADeptofEd1925/GA.pdf#page=15</v>
      </c>
      <c r="AO87" s="152" t="str">
        <f t="shared" si="58"/>
        <v>https://ia800604.us.archive.org/18/items/GADeptofEd1925/GA.pdf#page=32</v>
      </c>
      <c r="AP87" s="151" t="str">
        <f t="shared" si="58"/>
        <v>https://ia800604.us.archive.org/18/items/GADeptofEd1925/GA.pdf#page=29</v>
      </c>
      <c r="AQ87" s="152" t="str">
        <f t="shared" si="58"/>
        <v>https://ia800604.us.archive.org/18/items/GADeptofEd1925/GA.pdf#page=46</v>
      </c>
      <c r="AR87" s="151" t="str">
        <f t="shared" si="58"/>
        <v>https://ia800604.us.archive.org/18/items/GADeptofEd1925/GA.pdf#page=23</v>
      </c>
      <c r="AS87" s="152" t="str">
        <f t="shared" si="50"/>
        <v>https://ia800604.us.archive.org/18/items/GADeptofEd1925/GA.pdf#page=46</v>
      </c>
      <c r="AT87" s="151" t="str">
        <f t="shared" si="55"/>
        <v>https://ia800604.us.archive.org/18/items/GADeptofEd1925/GA.pdf#page=29</v>
      </c>
      <c r="AU87" s="152" t="str">
        <f t="shared" si="55"/>
        <v>https://ia800604.us.archive.org/18/items/GADeptofEd1925/GA.pdf#page=32</v>
      </c>
      <c r="AV87" s="151" t="str">
        <f t="shared" si="55"/>
        <v>https://ia800604.us.archive.org/18/items/GADeptofEd1925/GA.pdf#page=29</v>
      </c>
      <c r="AW87" s="152" t="str">
        <f t="shared" si="28"/>
        <v>https://ia800604.us.archive.org/18/items/GADeptofEd1925/GA.pdf#page=51</v>
      </c>
    </row>
    <row r="88" spans="1:49" x14ac:dyDescent="0.25">
      <c r="A88" s="27" t="s">
        <v>809</v>
      </c>
      <c r="B88" s="27" t="str">
        <f t="shared" si="41"/>
        <v>Georgia</v>
      </c>
      <c r="C88" s="27" t="str">
        <f t="shared" si="42"/>
        <v>Laurens</v>
      </c>
      <c r="D88" s="27">
        <f>3088+30+113+110+1048</f>
        <v>4389</v>
      </c>
      <c r="E88" s="27">
        <f>2400+502</f>
        <v>2902</v>
      </c>
      <c r="F88" s="27">
        <f t="shared" si="48"/>
        <v>7291</v>
      </c>
      <c r="G88" s="27">
        <f>10+1</f>
        <v>11</v>
      </c>
      <c r="H88" s="27">
        <f>102+2+2+3+23</f>
        <v>132</v>
      </c>
      <c r="I88" s="27">
        <f>6+1+2+1+2</f>
        <v>12</v>
      </c>
      <c r="J88" s="27">
        <f>19+1+2+10</f>
        <v>32</v>
      </c>
      <c r="K88" s="13">
        <v>0</v>
      </c>
      <c r="L88" s="27">
        <f t="shared" si="43"/>
        <v>187</v>
      </c>
      <c r="M88" s="27">
        <v>120</v>
      </c>
      <c r="N88" s="27">
        <v>120</v>
      </c>
      <c r="O88" s="29">
        <f t="shared" si="40"/>
        <v>120</v>
      </c>
      <c r="P88" s="27">
        <v>9075</v>
      </c>
      <c r="Q88" s="7">
        <f t="shared" si="44"/>
        <v>233442</v>
      </c>
      <c r="R88" s="27">
        <f>2726+0+0+0+0</f>
        <v>2726</v>
      </c>
      <c r="S88" s="27">
        <v>75</v>
      </c>
      <c r="T88" s="27">
        <f>60+85+55</f>
        <v>200</v>
      </c>
      <c r="U88" s="27">
        <f>98.5+222+133</f>
        <v>453.5</v>
      </c>
      <c r="V88" s="27">
        <f>75+120</f>
        <v>195</v>
      </c>
      <c r="W88" s="89">
        <f t="shared" si="45"/>
        <v>208.05882352941174</v>
      </c>
      <c r="X88" s="89" t="e">
        <f t="shared" si="54"/>
        <v>#DIV/0!</v>
      </c>
      <c r="Y88" s="97">
        <f t="shared" si="52"/>
        <v>210.48841354723709</v>
      </c>
      <c r="Z88" s="97" t="e">
        <f t="shared" si="46"/>
        <v>#DIV/0!</v>
      </c>
      <c r="AA88" s="27">
        <v>150540</v>
      </c>
      <c r="AB88" s="27">
        <v>112</v>
      </c>
      <c r="AC88" s="27">
        <f>305000+5000+2500+173000+6000</f>
        <v>491500</v>
      </c>
      <c r="AD88" s="27">
        <f>11500+31000</f>
        <v>42500</v>
      </c>
      <c r="AE88" s="29">
        <f t="shared" si="47"/>
        <v>534000</v>
      </c>
      <c r="AF88" s="41">
        <v>1925</v>
      </c>
      <c r="AG88" s="4" t="s">
        <v>567</v>
      </c>
      <c r="AH88" s="151" t="str">
        <f t="shared" si="56"/>
        <v>https://ia800604.us.archive.org/18/items/GADeptofEd1925/GA.pdf#page=11</v>
      </c>
      <c r="AI88" s="152" t="str">
        <f t="shared" si="53"/>
        <v>https://ia800604.us.archive.org/18/items/GADeptofEd1925/GA.pdf#page=34</v>
      </c>
      <c r="AJ88" s="151" t="str">
        <f t="shared" si="57"/>
        <v>https://ia800604.us.archive.org/18/items/GADeptofEd1925/GA.pdf#page=11</v>
      </c>
      <c r="AK88" s="152" t="str">
        <f t="shared" si="53"/>
        <v>https://ia800604.us.archive.org/18/items/GADeptofEd1925/GA.pdf#page=32</v>
      </c>
      <c r="AL88" s="151" t="str">
        <f t="shared" si="53"/>
        <v>https://ia800604.us.archive.org/18/items/GADeptofEd1925/GA.pdf#page=15</v>
      </c>
      <c r="AM88" s="152" t="str">
        <f t="shared" si="37"/>
        <v>https://ia800604.us.archive.org/18/items/GADeptofEd1925/GA.pdf#page=38</v>
      </c>
      <c r="AN88" s="151" t="str">
        <f t="shared" si="49"/>
        <v>https://ia800604.us.archive.org/18/items/GADeptofEd1925/GA.pdf#page=15</v>
      </c>
      <c r="AO88" s="152" t="str">
        <f t="shared" si="58"/>
        <v>https://ia800604.us.archive.org/18/items/GADeptofEd1925/GA.pdf#page=32</v>
      </c>
      <c r="AP88" s="151" t="str">
        <f t="shared" si="58"/>
        <v>https://ia800604.us.archive.org/18/items/GADeptofEd1925/GA.pdf#page=29</v>
      </c>
      <c r="AQ88" s="152" t="str">
        <f t="shared" si="58"/>
        <v>https://ia800604.us.archive.org/18/items/GADeptofEd1925/GA.pdf#page=46</v>
      </c>
      <c r="AR88" s="151" t="str">
        <f t="shared" si="58"/>
        <v>https://ia800604.us.archive.org/18/items/GADeptofEd1925/GA.pdf#page=23</v>
      </c>
      <c r="AS88" s="152" t="str">
        <f t="shared" si="50"/>
        <v>https://ia800604.us.archive.org/18/items/GADeptofEd1925/GA.pdf#page=46</v>
      </c>
      <c r="AT88" s="151" t="str">
        <f t="shared" si="55"/>
        <v>https://ia800604.us.archive.org/18/items/GADeptofEd1925/GA.pdf#page=29</v>
      </c>
      <c r="AU88" s="152" t="str">
        <f t="shared" si="55"/>
        <v>https://ia800604.us.archive.org/18/items/GADeptofEd1925/GA.pdf#page=32</v>
      </c>
      <c r="AV88" s="151" t="str">
        <f t="shared" si="55"/>
        <v>https://ia800604.us.archive.org/18/items/GADeptofEd1925/GA.pdf#page=29</v>
      </c>
      <c r="AW88" s="152" t="str">
        <f t="shared" si="28"/>
        <v>https://ia800604.us.archive.org/18/items/GADeptofEd1925/GA.pdf#page=51</v>
      </c>
    </row>
    <row r="89" spans="1:49" x14ac:dyDescent="0.25">
      <c r="A89" s="27" t="s">
        <v>810</v>
      </c>
      <c r="B89" s="27" t="str">
        <f t="shared" si="41"/>
        <v>Georgia</v>
      </c>
      <c r="C89" s="27" t="str">
        <f t="shared" si="42"/>
        <v>Lee</v>
      </c>
      <c r="D89" s="27">
        <v>543</v>
      </c>
      <c r="E89" s="27">
        <v>1790</v>
      </c>
      <c r="F89" s="27">
        <f t="shared" si="48"/>
        <v>2333</v>
      </c>
      <c r="G89" s="27">
        <v>0</v>
      </c>
      <c r="H89" s="27">
        <v>13</v>
      </c>
      <c r="I89" s="27">
        <v>4</v>
      </c>
      <c r="J89" s="27">
        <v>3</v>
      </c>
      <c r="K89" s="27">
        <v>31</v>
      </c>
      <c r="L89" s="27">
        <f t="shared" si="43"/>
        <v>51</v>
      </c>
      <c r="M89" s="27">
        <v>170</v>
      </c>
      <c r="N89" s="27">
        <v>120</v>
      </c>
      <c r="O89" s="29">
        <f t="shared" si="40"/>
        <v>131.63737676810973</v>
      </c>
      <c r="P89" s="27">
        <v>2990</v>
      </c>
      <c r="Q89" s="7">
        <f t="shared" si="44"/>
        <v>14441.5</v>
      </c>
      <c r="R89" s="27">
        <v>3268.55</v>
      </c>
      <c r="S89" s="27"/>
      <c r="T89" s="27">
        <v>70</v>
      </c>
      <c r="U89" s="27">
        <v>133.5</v>
      </c>
      <c r="V89" s="27">
        <v>85</v>
      </c>
      <c r="W89" s="89">
        <f t="shared" si="45"/>
        <v>84.95</v>
      </c>
      <c r="X89" s="89">
        <f t="shared" si="54"/>
        <v>17.572849462365593</v>
      </c>
      <c r="Y89" s="97">
        <f t="shared" si="52"/>
        <v>49.747331460674154</v>
      </c>
      <c r="Z89" s="97">
        <f t="shared" si="46"/>
        <v>43.995261437908496</v>
      </c>
      <c r="AA89" s="27">
        <v>74638</v>
      </c>
      <c r="AB89" s="27">
        <v>19</v>
      </c>
      <c r="AC89" s="27">
        <v>147500</v>
      </c>
      <c r="AD89" s="27">
        <v>5565</v>
      </c>
      <c r="AE89" s="29">
        <f t="shared" si="47"/>
        <v>153065</v>
      </c>
      <c r="AF89" s="41">
        <v>1925</v>
      </c>
      <c r="AG89" s="4" t="s">
        <v>567</v>
      </c>
      <c r="AH89" s="151" t="str">
        <f t="shared" si="56"/>
        <v>https://ia800604.us.archive.org/18/items/GADeptofEd1925/GA.pdf#page=11</v>
      </c>
      <c r="AI89" s="152" t="str">
        <f t="shared" si="53"/>
        <v>https://ia800604.us.archive.org/18/items/GADeptofEd1925/GA.pdf#page=34</v>
      </c>
      <c r="AJ89" s="151" t="str">
        <f t="shared" si="57"/>
        <v>https://ia800604.us.archive.org/18/items/GADeptofEd1925/GA.pdf#page=11</v>
      </c>
      <c r="AK89" s="152" t="str">
        <f t="shared" si="53"/>
        <v>https://ia800604.us.archive.org/18/items/GADeptofEd1925/GA.pdf#page=32</v>
      </c>
      <c r="AL89" s="151" t="s">
        <v>2665</v>
      </c>
      <c r="AM89" s="152" t="str">
        <f t="shared" si="37"/>
        <v>https://ia800604.us.archive.org/18/items/GADeptofEd1925/GA.pdf#page=38</v>
      </c>
      <c r="AN89" s="151" t="str">
        <f t="shared" si="49"/>
        <v>https://ia800604.us.archive.org/18/items/GADeptofEd1925/GA.pdf#page=16</v>
      </c>
      <c r="AO89" s="152" t="str">
        <f t="shared" si="58"/>
        <v>https://ia800604.us.archive.org/18/items/GADeptofEd1925/GA.pdf#page=32</v>
      </c>
      <c r="AP89" s="151" t="str">
        <f t="shared" si="58"/>
        <v>https://ia800604.us.archive.org/18/items/GADeptofEd1925/GA.pdf#page=29</v>
      </c>
      <c r="AQ89" s="152" t="str">
        <f t="shared" si="58"/>
        <v>https://ia800604.us.archive.org/18/items/GADeptofEd1925/GA.pdf#page=46</v>
      </c>
      <c r="AR89" s="151" t="str">
        <f t="shared" si="58"/>
        <v>https://ia800604.us.archive.org/18/items/GADeptofEd1925/GA.pdf#page=23</v>
      </c>
      <c r="AS89" s="152" t="str">
        <f t="shared" si="50"/>
        <v>https://ia800604.us.archive.org/18/items/GADeptofEd1925/GA.pdf#page=46</v>
      </c>
      <c r="AT89" s="151" t="str">
        <f t="shared" si="55"/>
        <v>https://ia800604.us.archive.org/18/items/GADeptofEd1925/GA.pdf#page=29</v>
      </c>
      <c r="AU89" s="152" t="str">
        <f t="shared" si="55"/>
        <v>https://ia800604.us.archive.org/18/items/GADeptofEd1925/GA.pdf#page=32</v>
      </c>
      <c r="AV89" s="151" t="str">
        <f t="shared" si="55"/>
        <v>https://ia800604.us.archive.org/18/items/GADeptofEd1925/GA.pdf#page=29</v>
      </c>
      <c r="AW89" s="152" t="str">
        <f t="shared" si="28"/>
        <v>https://ia800604.us.archive.org/18/items/GADeptofEd1925/GA.pdf#page=51</v>
      </c>
    </row>
    <row r="90" spans="1:49" x14ac:dyDescent="0.25">
      <c r="A90" s="27" t="s">
        <v>811</v>
      </c>
      <c r="B90" s="27" t="str">
        <f t="shared" si="41"/>
        <v>Georgia</v>
      </c>
      <c r="C90" s="27" t="str">
        <f t="shared" si="42"/>
        <v>Liberty</v>
      </c>
      <c r="D90" s="27">
        <v>594</v>
      </c>
      <c r="E90" s="27">
        <v>1205</v>
      </c>
      <c r="F90" s="27">
        <f t="shared" si="48"/>
        <v>1799</v>
      </c>
      <c r="G90" s="27">
        <v>2</v>
      </c>
      <c r="H90" s="27">
        <v>24</v>
      </c>
      <c r="I90" s="27">
        <v>3</v>
      </c>
      <c r="J90" s="27">
        <v>1</v>
      </c>
      <c r="K90" s="27">
        <v>38</v>
      </c>
      <c r="L90" s="27">
        <f t="shared" si="43"/>
        <v>68</v>
      </c>
      <c r="M90" s="27">
        <v>100</v>
      </c>
      <c r="N90" s="27">
        <v>100</v>
      </c>
      <c r="O90" s="29">
        <f t="shared" si="40"/>
        <v>100</v>
      </c>
      <c r="P90" s="27">
        <v>765</v>
      </c>
      <c r="Q90" s="7">
        <f t="shared" si="44"/>
        <v>8401.3000000000011</v>
      </c>
      <c r="R90" s="27">
        <v>3944.55</v>
      </c>
      <c r="S90" s="27">
        <v>73.569999999999993</v>
      </c>
      <c r="T90" s="27">
        <v>48.88</v>
      </c>
      <c r="U90" s="27">
        <v>90</v>
      </c>
      <c r="V90" s="27">
        <v>90</v>
      </c>
      <c r="W90" s="89">
        <f t="shared" si="45"/>
        <v>56.00866666666667</v>
      </c>
      <c r="X90" s="89">
        <f t="shared" si="54"/>
        <v>20.760789473684213</v>
      </c>
      <c r="Y90" s="97">
        <f t="shared" si="52"/>
        <v>36.311323529411773</v>
      </c>
      <c r="Z90" s="97">
        <f t="shared" si="46"/>
        <v>36.311323529411766</v>
      </c>
      <c r="AA90" s="27">
        <v>25486</v>
      </c>
      <c r="AB90" s="27">
        <v>37</v>
      </c>
      <c r="AC90" s="27">
        <v>28000</v>
      </c>
      <c r="AD90" s="27">
        <v>8000</v>
      </c>
      <c r="AE90" s="29">
        <f t="shared" si="47"/>
        <v>36000</v>
      </c>
      <c r="AF90" s="41">
        <v>1925</v>
      </c>
      <c r="AG90" s="4" t="s">
        <v>567</v>
      </c>
      <c r="AH90" s="151" t="str">
        <f t="shared" si="56"/>
        <v>https://ia800604.us.archive.org/18/items/GADeptofEd1925/GA.pdf#page=11</v>
      </c>
      <c r="AI90" s="152" t="str">
        <f t="shared" si="53"/>
        <v>https://ia800604.us.archive.org/18/items/GADeptofEd1925/GA.pdf#page=34</v>
      </c>
      <c r="AJ90" s="151" t="str">
        <f t="shared" si="57"/>
        <v>https://ia800604.us.archive.org/18/items/GADeptofEd1925/GA.pdf#page=11</v>
      </c>
      <c r="AK90" s="152" t="str">
        <f t="shared" si="53"/>
        <v>https://ia800604.us.archive.org/18/items/GADeptofEd1925/GA.pdf#page=32</v>
      </c>
      <c r="AL90" s="151" t="str">
        <f>AL89</f>
        <v>https://ia800604.us.archive.org/18/items/GADeptofEd1925/GA.pdf#page=16</v>
      </c>
      <c r="AM90" s="152" t="str">
        <f t="shared" si="37"/>
        <v>https://ia800604.us.archive.org/18/items/GADeptofEd1925/GA.pdf#page=38</v>
      </c>
      <c r="AN90" s="151" t="str">
        <f t="shared" si="49"/>
        <v>https://ia800604.us.archive.org/18/items/GADeptofEd1925/GA.pdf#page=16</v>
      </c>
      <c r="AO90" s="152" t="str">
        <f t="shared" si="58"/>
        <v>https://ia800604.us.archive.org/18/items/GADeptofEd1925/GA.pdf#page=32</v>
      </c>
      <c r="AP90" s="151" t="str">
        <f t="shared" si="58"/>
        <v>https://ia800604.us.archive.org/18/items/GADeptofEd1925/GA.pdf#page=29</v>
      </c>
      <c r="AQ90" s="152" t="str">
        <f t="shared" si="58"/>
        <v>https://ia800604.us.archive.org/18/items/GADeptofEd1925/GA.pdf#page=46</v>
      </c>
      <c r="AR90" s="151" t="str">
        <f t="shared" si="58"/>
        <v>https://ia800604.us.archive.org/18/items/GADeptofEd1925/GA.pdf#page=23</v>
      </c>
      <c r="AS90" s="152" t="str">
        <f t="shared" si="50"/>
        <v>https://ia800604.us.archive.org/18/items/GADeptofEd1925/GA.pdf#page=46</v>
      </c>
      <c r="AT90" s="151" t="str">
        <f t="shared" si="55"/>
        <v>https://ia800604.us.archive.org/18/items/GADeptofEd1925/GA.pdf#page=29</v>
      </c>
      <c r="AU90" s="152" t="str">
        <f t="shared" si="55"/>
        <v>https://ia800604.us.archive.org/18/items/GADeptofEd1925/GA.pdf#page=32</v>
      </c>
      <c r="AV90" s="151" t="str">
        <f t="shared" si="55"/>
        <v>https://ia800604.us.archive.org/18/items/GADeptofEd1925/GA.pdf#page=29</v>
      </c>
      <c r="AW90" s="152" t="str">
        <f t="shared" si="28"/>
        <v>https://ia800604.us.archive.org/18/items/GADeptofEd1925/GA.pdf#page=51</v>
      </c>
    </row>
    <row r="91" spans="1:49" x14ac:dyDescent="0.25">
      <c r="A91" s="27" t="s">
        <v>812</v>
      </c>
      <c r="B91" s="27" t="str">
        <f t="shared" si="41"/>
        <v>Georgia</v>
      </c>
      <c r="C91" s="27" t="str">
        <f t="shared" si="42"/>
        <v>Lincoln</v>
      </c>
      <c r="D91" s="27">
        <v>983</v>
      </c>
      <c r="E91" s="27">
        <v>896</v>
      </c>
      <c r="F91" s="27">
        <f t="shared" si="48"/>
        <v>1879</v>
      </c>
      <c r="G91" s="27">
        <v>2</v>
      </c>
      <c r="H91" s="27">
        <v>22</v>
      </c>
      <c r="I91" s="27">
        <v>2</v>
      </c>
      <c r="J91" s="27">
        <v>8</v>
      </c>
      <c r="K91" s="27">
        <v>23</v>
      </c>
      <c r="L91" s="27">
        <f t="shared" si="43"/>
        <v>57</v>
      </c>
      <c r="M91" s="27">
        <v>128</v>
      </c>
      <c r="N91" s="27">
        <v>120</v>
      </c>
      <c r="O91" s="29">
        <f t="shared" si="40"/>
        <v>124.18520489622139</v>
      </c>
      <c r="P91" s="27">
        <v>2706</v>
      </c>
      <c r="Q91" s="7">
        <f t="shared" si="44"/>
        <v>14369.791999999999</v>
      </c>
      <c r="R91" s="27">
        <v>4097.6000000000004</v>
      </c>
      <c r="S91" s="27">
        <v>75</v>
      </c>
      <c r="T91" s="27">
        <v>52.24</v>
      </c>
      <c r="U91" s="27">
        <v>125</v>
      </c>
      <c r="V91" s="27">
        <v>87</v>
      </c>
      <c r="W91" s="89">
        <f t="shared" si="45"/>
        <v>66.037647058823524</v>
      </c>
      <c r="X91" s="89">
        <f t="shared" si="54"/>
        <v>29.692753623188409</v>
      </c>
      <c r="Y91" s="97">
        <f t="shared" si="52"/>
        <v>51.93304836895387</v>
      </c>
      <c r="Z91" s="97">
        <f t="shared" si="46"/>
        <v>51.372163742690056</v>
      </c>
      <c r="AA91" s="27">
        <v>29381</v>
      </c>
      <c r="AB91" s="27">
        <v>47</v>
      </c>
      <c r="AC91" s="27">
        <v>58300</v>
      </c>
      <c r="AD91" s="27">
        <v>7600</v>
      </c>
      <c r="AE91" s="29">
        <f t="shared" si="47"/>
        <v>65900</v>
      </c>
      <c r="AF91" s="41">
        <v>1925</v>
      </c>
      <c r="AG91" s="4" t="s">
        <v>567</v>
      </c>
      <c r="AH91" s="151" t="str">
        <f t="shared" si="56"/>
        <v>https://ia800604.us.archive.org/18/items/GADeptofEd1925/GA.pdf#page=11</v>
      </c>
      <c r="AI91" s="152" t="str">
        <f t="shared" si="56"/>
        <v>https://ia800604.us.archive.org/18/items/GADeptofEd1925/GA.pdf#page=34</v>
      </c>
      <c r="AJ91" s="151" t="str">
        <f t="shared" si="57"/>
        <v>https://ia800604.us.archive.org/18/items/GADeptofEd1925/GA.pdf#page=11</v>
      </c>
      <c r="AK91" s="152" t="str">
        <f t="shared" si="57"/>
        <v>https://ia800604.us.archive.org/18/items/GADeptofEd1925/GA.pdf#page=32</v>
      </c>
      <c r="AL91" s="151" t="str">
        <f t="shared" si="57"/>
        <v>https://ia800604.us.archive.org/18/items/GADeptofEd1925/GA.pdf#page=16</v>
      </c>
      <c r="AM91" s="152" t="str">
        <f t="shared" si="37"/>
        <v>https://ia800604.us.archive.org/18/items/GADeptofEd1925/GA.pdf#page=38</v>
      </c>
      <c r="AN91" s="151" t="str">
        <f t="shared" si="49"/>
        <v>https://ia800604.us.archive.org/18/items/GADeptofEd1925/GA.pdf#page=16</v>
      </c>
      <c r="AO91" s="152" t="str">
        <f t="shared" si="58"/>
        <v>https://ia800604.us.archive.org/18/items/GADeptofEd1925/GA.pdf#page=32</v>
      </c>
      <c r="AP91" s="151" t="s">
        <v>2666</v>
      </c>
      <c r="AQ91" s="152" t="str">
        <f t="shared" si="58"/>
        <v>https://ia800604.us.archive.org/18/items/GADeptofEd1925/GA.pdf#page=46</v>
      </c>
      <c r="AR91" s="151" t="s">
        <v>2667</v>
      </c>
      <c r="AS91" s="152" t="str">
        <f t="shared" si="50"/>
        <v>https://ia800604.us.archive.org/18/items/GADeptofEd1925/GA.pdf#page=46</v>
      </c>
      <c r="AT91" s="151" t="s">
        <v>2666</v>
      </c>
      <c r="AU91" s="152" t="str">
        <f t="shared" si="55"/>
        <v>https://ia800604.us.archive.org/18/items/GADeptofEd1925/GA.pdf#page=32</v>
      </c>
      <c r="AV91" s="151" t="s">
        <v>2666</v>
      </c>
      <c r="AW91" s="152" t="s">
        <v>2668</v>
      </c>
    </row>
    <row r="92" spans="1:49" x14ac:dyDescent="0.25">
      <c r="A92" s="27" t="s">
        <v>813</v>
      </c>
      <c r="B92" s="27" t="str">
        <f t="shared" si="41"/>
        <v>Georgia</v>
      </c>
      <c r="C92" s="27" t="str">
        <f t="shared" si="42"/>
        <v>Long</v>
      </c>
      <c r="D92" s="27">
        <v>471</v>
      </c>
      <c r="E92" s="27">
        <v>173</v>
      </c>
      <c r="F92" s="27">
        <f t="shared" si="48"/>
        <v>644</v>
      </c>
      <c r="G92" s="27">
        <v>3</v>
      </c>
      <c r="H92" s="27">
        <v>17</v>
      </c>
      <c r="I92" s="27">
        <v>2</v>
      </c>
      <c r="J92" s="27">
        <v>0</v>
      </c>
      <c r="K92" s="27">
        <v>9</v>
      </c>
      <c r="L92" s="27">
        <f t="shared" si="43"/>
        <v>31</v>
      </c>
      <c r="M92" s="27">
        <v>120</v>
      </c>
      <c r="N92" s="27">
        <v>120</v>
      </c>
      <c r="O92" s="29">
        <f t="shared" si="40"/>
        <v>120</v>
      </c>
      <c r="P92" s="27">
        <v>464</v>
      </c>
      <c r="Q92" s="7">
        <f t="shared" si="44"/>
        <v>7050</v>
      </c>
      <c r="R92" s="27">
        <v>1008</v>
      </c>
      <c r="S92" s="27">
        <v>55</v>
      </c>
      <c r="T92" s="27">
        <v>50</v>
      </c>
      <c r="U92" s="27">
        <v>80</v>
      </c>
      <c r="V92" s="27">
        <v>50</v>
      </c>
      <c r="W92" s="89">
        <f t="shared" si="45"/>
        <v>53.409090909090907</v>
      </c>
      <c r="X92" s="89">
        <f t="shared" si="54"/>
        <v>18.666666666666668</v>
      </c>
      <c r="Y92" s="97">
        <f t="shared" si="52"/>
        <v>43.322580645161288</v>
      </c>
      <c r="Z92" s="97">
        <f t="shared" si="46"/>
        <v>43.322580645161288</v>
      </c>
      <c r="AA92" s="27">
        <v>11274</v>
      </c>
      <c r="AB92" s="27">
        <v>21</v>
      </c>
      <c r="AC92" s="27">
        <v>31550</v>
      </c>
      <c r="AD92" s="27">
        <v>1900</v>
      </c>
      <c r="AE92" s="29">
        <f t="shared" si="47"/>
        <v>33450</v>
      </c>
      <c r="AF92" s="41">
        <v>1925</v>
      </c>
      <c r="AG92" s="4" t="s">
        <v>567</v>
      </c>
      <c r="AH92" s="151" t="str">
        <f t="shared" si="56"/>
        <v>https://ia800604.us.archive.org/18/items/GADeptofEd1925/GA.pdf#page=11</v>
      </c>
      <c r="AI92" s="152" t="str">
        <f t="shared" si="56"/>
        <v>https://ia800604.us.archive.org/18/items/GADeptofEd1925/GA.pdf#page=34</v>
      </c>
      <c r="AJ92" s="151" t="str">
        <f t="shared" si="57"/>
        <v>https://ia800604.us.archive.org/18/items/GADeptofEd1925/GA.pdf#page=11</v>
      </c>
      <c r="AK92" s="152" t="str">
        <f t="shared" si="57"/>
        <v>https://ia800604.us.archive.org/18/items/GADeptofEd1925/GA.pdf#page=32</v>
      </c>
      <c r="AL92" s="151" t="str">
        <f t="shared" si="57"/>
        <v>https://ia800604.us.archive.org/18/items/GADeptofEd1925/GA.pdf#page=16</v>
      </c>
      <c r="AM92" s="152" t="str">
        <f t="shared" si="37"/>
        <v>https://ia800604.us.archive.org/18/items/GADeptofEd1925/GA.pdf#page=38</v>
      </c>
      <c r="AN92" s="151" t="str">
        <f t="shared" si="49"/>
        <v>https://ia800604.us.archive.org/18/items/GADeptofEd1925/GA.pdf#page=16</v>
      </c>
      <c r="AO92" s="152" t="str">
        <f t="shared" si="58"/>
        <v>https://ia800604.us.archive.org/18/items/GADeptofEd1925/GA.pdf#page=32</v>
      </c>
      <c r="AP92" s="151" t="str">
        <f>AP91</f>
        <v>https://ia800604.us.archive.org/18/items/GADeptofEd1925/GA.pdf#page=30</v>
      </c>
      <c r="AQ92" s="152" t="str">
        <f t="shared" si="58"/>
        <v>https://ia800604.us.archive.org/18/items/GADeptofEd1925/GA.pdf#page=46</v>
      </c>
      <c r="AR92" s="151" t="str">
        <f>AR91</f>
        <v>https://ia800604.us.archive.org/18/items/GADeptofEd1925/GA.pdf#page=24</v>
      </c>
      <c r="AS92" s="152" t="str">
        <f t="shared" si="50"/>
        <v>https://ia800604.us.archive.org/18/items/GADeptofEd1925/GA.pdf#page=46</v>
      </c>
      <c r="AT92" s="151" t="str">
        <f>AT91</f>
        <v>https://ia800604.us.archive.org/18/items/GADeptofEd1925/GA.pdf#page=30</v>
      </c>
      <c r="AU92" s="152" t="str">
        <f t="shared" si="55"/>
        <v>https://ia800604.us.archive.org/18/items/GADeptofEd1925/GA.pdf#page=32</v>
      </c>
      <c r="AV92" s="151" t="str">
        <f>AV91</f>
        <v>https://ia800604.us.archive.org/18/items/GADeptofEd1925/GA.pdf#page=30</v>
      </c>
      <c r="AW92" s="152" t="str">
        <f t="shared" si="28"/>
        <v>https://ia800604.us.archive.org/18/items/GADeptofEd1925/GA.pdf#page=52</v>
      </c>
    </row>
    <row r="93" spans="1:49" x14ac:dyDescent="0.25">
      <c r="A93" s="27" t="s">
        <v>814</v>
      </c>
      <c r="B93" s="27" t="str">
        <f t="shared" si="41"/>
        <v>Georgia</v>
      </c>
      <c r="C93" s="27" t="str">
        <f t="shared" si="42"/>
        <v>Lowndes</v>
      </c>
      <c r="D93" s="27">
        <f>1735+1180</f>
        <v>2915</v>
      </c>
      <c r="E93" s="27">
        <f>1404+832</f>
        <v>2236</v>
      </c>
      <c r="F93" s="27">
        <f t="shared" si="48"/>
        <v>5151</v>
      </c>
      <c r="G93" s="27">
        <v>3</v>
      </c>
      <c r="H93" s="27">
        <f>54+41</f>
        <v>95</v>
      </c>
      <c r="I93" s="27">
        <f>7+2</f>
        <v>9</v>
      </c>
      <c r="J93" s="27">
        <f>3+7</f>
        <v>10</v>
      </c>
      <c r="K93" s="27">
        <f>39+12+2</f>
        <v>53</v>
      </c>
      <c r="L93" s="27">
        <f t="shared" si="43"/>
        <v>170</v>
      </c>
      <c r="M93" s="27">
        <v>160</v>
      </c>
      <c r="N93" s="27">
        <v>100</v>
      </c>
      <c r="O93" s="29">
        <f t="shared" si="40"/>
        <v>133.95457192778102</v>
      </c>
      <c r="P93" s="27">
        <v>6449</v>
      </c>
      <c r="Q93" s="7">
        <f t="shared" si="44"/>
        <v>178940</v>
      </c>
      <c r="R93" s="27">
        <f>7405.75+9000</f>
        <v>16405.75</v>
      </c>
      <c r="S93" s="27">
        <v>70</v>
      </c>
      <c r="T93" s="27">
        <f>62.5+108</f>
        <v>170.5</v>
      </c>
      <c r="U93" s="27">
        <f>125+265</f>
        <v>390</v>
      </c>
      <c r="V93" s="27">
        <f>95+150</f>
        <v>245</v>
      </c>
      <c r="W93" s="89">
        <f t="shared" si="45"/>
        <v>191.17521367521368</v>
      </c>
      <c r="X93" s="89">
        <f t="shared" si="54"/>
        <v>61.908490566037734</v>
      </c>
      <c r="Y93" s="97">
        <f t="shared" si="52"/>
        <v>162.65258118234806</v>
      </c>
      <c r="Z93" s="97">
        <f t="shared" si="46"/>
        <v>150.87441176470588</v>
      </c>
      <c r="AA93" s="27">
        <v>177472</v>
      </c>
      <c r="AB93" s="27">
        <v>45</v>
      </c>
      <c r="AC93" s="27">
        <f>71000+200000</f>
        <v>271000</v>
      </c>
      <c r="AD93" s="27">
        <f>1500+40000</f>
        <v>41500</v>
      </c>
      <c r="AE93" s="29">
        <f t="shared" si="47"/>
        <v>312500</v>
      </c>
      <c r="AF93" s="41">
        <v>1925</v>
      </c>
      <c r="AG93" s="4" t="s">
        <v>567</v>
      </c>
      <c r="AH93" s="151" t="str">
        <f t="shared" si="56"/>
        <v>https://ia800604.us.archive.org/18/items/GADeptofEd1925/GA.pdf#page=11</v>
      </c>
      <c r="AI93" s="152" t="str">
        <f t="shared" si="56"/>
        <v>https://ia800604.us.archive.org/18/items/GADeptofEd1925/GA.pdf#page=34</v>
      </c>
      <c r="AJ93" s="151" t="str">
        <f t="shared" si="57"/>
        <v>https://ia800604.us.archive.org/18/items/GADeptofEd1925/GA.pdf#page=11</v>
      </c>
      <c r="AK93" s="152" t="str">
        <f t="shared" si="57"/>
        <v>https://ia800604.us.archive.org/18/items/GADeptofEd1925/GA.pdf#page=32</v>
      </c>
      <c r="AL93" s="151" t="str">
        <f t="shared" si="57"/>
        <v>https://ia800604.us.archive.org/18/items/GADeptofEd1925/GA.pdf#page=16</v>
      </c>
      <c r="AM93" s="152" t="s">
        <v>2669</v>
      </c>
      <c r="AN93" s="151" t="str">
        <f t="shared" si="49"/>
        <v>https://ia800604.us.archive.org/18/items/GADeptofEd1925/GA.pdf#page=16</v>
      </c>
      <c r="AO93" s="152" t="str">
        <f t="shared" si="58"/>
        <v>https://ia800604.us.archive.org/18/items/GADeptofEd1925/GA.pdf#page=32</v>
      </c>
      <c r="AP93" s="151" t="str">
        <f t="shared" si="58"/>
        <v>https://ia800604.us.archive.org/18/items/GADeptofEd1925/GA.pdf#page=30</v>
      </c>
      <c r="AQ93" s="152" t="str">
        <f t="shared" si="58"/>
        <v>https://ia800604.us.archive.org/18/items/GADeptofEd1925/GA.pdf#page=46</v>
      </c>
      <c r="AR93" s="151" t="str">
        <f t="shared" si="58"/>
        <v>https://ia800604.us.archive.org/18/items/GADeptofEd1925/GA.pdf#page=24</v>
      </c>
      <c r="AS93" s="152" t="str">
        <f t="shared" si="50"/>
        <v>https://ia800604.us.archive.org/18/items/GADeptofEd1925/GA.pdf#page=46</v>
      </c>
      <c r="AT93" s="151" t="str">
        <f t="shared" ref="AT93:AW108" si="59">AT92</f>
        <v>https://ia800604.us.archive.org/18/items/GADeptofEd1925/GA.pdf#page=30</v>
      </c>
      <c r="AU93" s="152" t="str">
        <f t="shared" si="55"/>
        <v>https://ia800604.us.archive.org/18/items/GADeptofEd1925/GA.pdf#page=32</v>
      </c>
      <c r="AV93" s="151" t="str">
        <f t="shared" si="55"/>
        <v>https://ia800604.us.archive.org/18/items/GADeptofEd1925/GA.pdf#page=30</v>
      </c>
      <c r="AW93" s="152" t="str">
        <f t="shared" si="28"/>
        <v>https://ia800604.us.archive.org/18/items/GADeptofEd1925/GA.pdf#page=52</v>
      </c>
    </row>
    <row r="94" spans="1:49" x14ac:dyDescent="0.25">
      <c r="A94" s="27" t="s">
        <v>815</v>
      </c>
      <c r="B94" s="27" t="str">
        <f t="shared" si="41"/>
        <v>Georgia</v>
      </c>
      <c r="C94" s="27" t="str">
        <f t="shared" si="42"/>
        <v>Lumpkin</v>
      </c>
      <c r="D94" s="27">
        <f>533+151</f>
        <v>684</v>
      </c>
      <c r="E94" s="27">
        <f>24+18</f>
        <v>42</v>
      </c>
      <c r="F94" s="27">
        <f t="shared" si="48"/>
        <v>726</v>
      </c>
      <c r="G94" s="27">
        <v>12</v>
      </c>
      <c r="H94" s="27">
        <f>28+4</f>
        <v>32</v>
      </c>
      <c r="I94" s="27">
        <v>1</v>
      </c>
      <c r="J94" s="27">
        <v>2</v>
      </c>
      <c r="K94" s="27">
        <f>1+1</f>
        <v>2</v>
      </c>
      <c r="L94" s="27">
        <f t="shared" si="43"/>
        <v>49</v>
      </c>
      <c r="M94" s="27">
        <v>120</v>
      </c>
      <c r="N94" s="27">
        <v>100</v>
      </c>
      <c r="O94" s="29">
        <f t="shared" si="40"/>
        <v>118.84297520661157</v>
      </c>
      <c r="P94" s="27">
        <v>1294</v>
      </c>
      <c r="Q94" s="7">
        <f t="shared" si="44"/>
        <v>22434.720000000001</v>
      </c>
      <c r="R94" s="27">
        <f>175+360</f>
        <v>535</v>
      </c>
      <c r="S94" s="27">
        <v>41.12</v>
      </c>
      <c r="T94" s="27">
        <f>41.88+52.78</f>
        <v>94.66</v>
      </c>
      <c r="U94" s="27">
        <v>111</v>
      </c>
      <c r="V94" s="27">
        <v>52.78</v>
      </c>
      <c r="W94" s="89">
        <f t="shared" si="45"/>
        <v>79.555744680851063</v>
      </c>
      <c r="X94" s="89">
        <f t="shared" si="54"/>
        <v>53.5</v>
      </c>
      <c r="Y94" s="97">
        <f t="shared" si="52"/>
        <v>78.66342465753425</v>
      </c>
      <c r="Z94" s="97">
        <f t="shared" si="46"/>
        <v>78.492244897959182</v>
      </c>
      <c r="AA94" s="27">
        <v>22643</v>
      </c>
      <c r="AB94" s="27">
        <v>35</v>
      </c>
      <c r="AC94" s="27">
        <f>19350+4000</f>
        <v>23350</v>
      </c>
      <c r="AD94" s="27">
        <f>1000+800</f>
        <v>1800</v>
      </c>
      <c r="AE94" s="29">
        <f t="shared" si="47"/>
        <v>25150</v>
      </c>
      <c r="AF94" s="41">
        <v>1925</v>
      </c>
      <c r="AG94" s="4" t="s">
        <v>567</v>
      </c>
      <c r="AH94" s="151" t="str">
        <f t="shared" si="56"/>
        <v>https://ia800604.us.archive.org/18/items/GADeptofEd1925/GA.pdf#page=11</v>
      </c>
      <c r="AI94" s="152" t="str">
        <f t="shared" si="56"/>
        <v>https://ia800604.us.archive.org/18/items/GADeptofEd1925/GA.pdf#page=34</v>
      </c>
      <c r="AJ94" s="151" t="str">
        <f t="shared" si="57"/>
        <v>https://ia800604.us.archive.org/18/items/GADeptofEd1925/GA.pdf#page=11</v>
      </c>
      <c r="AK94" s="152" t="str">
        <f t="shared" si="57"/>
        <v>https://ia800604.us.archive.org/18/items/GADeptofEd1925/GA.pdf#page=32</v>
      </c>
      <c r="AL94" s="151" t="str">
        <f t="shared" si="57"/>
        <v>https://ia800604.us.archive.org/18/items/GADeptofEd1925/GA.pdf#page=16</v>
      </c>
      <c r="AM94" s="152" t="str">
        <f t="shared" si="37"/>
        <v>https://ia800604.us.archive.org/18/items/GADeptofEd1925/GA.pdf#page=41</v>
      </c>
      <c r="AN94" s="151" t="str">
        <f t="shared" si="49"/>
        <v>https://ia800604.us.archive.org/18/items/GADeptofEd1925/GA.pdf#page=16</v>
      </c>
      <c r="AO94" s="152" t="str">
        <f t="shared" si="58"/>
        <v>https://ia800604.us.archive.org/18/items/GADeptofEd1925/GA.pdf#page=32</v>
      </c>
      <c r="AP94" s="151" t="str">
        <f t="shared" si="58"/>
        <v>https://ia800604.us.archive.org/18/items/GADeptofEd1925/GA.pdf#page=30</v>
      </c>
      <c r="AQ94" s="152" t="str">
        <f t="shared" si="58"/>
        <v>https://ia800604.us.archive.org/18/items/GADeptofEd1925/GA.pdf#page=46</v>
      </c>
      <c r="AR94" s="151" t="str">
        <f t="shared" si="58"/>
        <v>https://ia800604.us.archive.org/18/items/GADeptofEd1925/GA.pdf#page=24</v>
      </c>
      <c r="AS94" s="152" t="str">
        <f t="shared" si="50"/>
        <v>https://ia800604.us.archive.org/18/items/GADeptofEd1925/GA.pdf#page=46</v>
      </c>
      <c r="AT94" s="151" t="str">
        <f t="shared" si="59"/>
        <v>https://ia800604.us.archive.org/18/items/GADeptofEd1925/GA.pdf#page=30</v>
      </c>
      <c r="AU94" s="152" t="str">
        <f t="shared" si="55"/>
        <v>https://ia800604.us.archive.org/18/items/GADeptofEd1925/GA.pdf#page=32</v>
      </c>
      <c r="AV94" s="151" t="str">
        <f t="shared" si="55"/>
        <v>https://ia800604.us.archive.org/18/items/GADeptofEd1925/GA.pdf#page=30</v>
      </c>
      <c r="AW94" s="152" t="str">
        <f t="shared" si="28"/>
        <v>https://ia800604.us.archive.org/18/items/GADeptofEd1925/GA.pdf#page=52</v>
      </c>
    </row>
    <row r="95" spans="1:49" x14ac:dyDescent="0.25">
      <c r="A95" s="27" t="s">
        <v>818</v>
      </c>
      <c r="B95" s="27" t="str">
        <f t="shared" si="41"/>
        <v>Georgia</v>
      </c>
      <c r="C95" s="27" t="str">
        <f t="shared" si="42"/>
        <v>Macon</v>
      </c>
      <c r="D95" s="27">
        <v>1085</v>
      </c>
      <c r="E95" s="27">
        <v>1545</v>
      </c>
      <c r="F95" s="27">
        <f t="shared" si="48"/>
        <v>2630</v>
      </c>
      <c r="G95" s="27">
        <v>1</v>
      </c>
      <c r="H95" s="27">
        <v>33</v>
      </c>
      <c r="I95" s="27">
        <v>6</v>
      </c>
      <c r="J95" s="27">
        <v>6</v>
      </c>
      <c r="K95" s="27">
        <f>43+2</f>
        <v>45</v>
      </c>
      <c r="L95" s="27">
        <f t="shared" si="43"/>
        <v>91</v>
      </c>
      <c r="M95" s="27">
        <v>160</v>
      </c>
      <c r="N95" s="27">
        <v>120</v>
      </c>
      <c r="O95" s="29">
        <f t="shared" si="40"/>
        <v>136.50190114068442</v>
      </c>
      <c r="P95" s="27">
        <v>4201</v>
      </c>
      <c r="Q95" s="7">
        <f t="shared" si="44"/>
        <v>34200</v>
      </c>
      <c r="R95" s="27">
        <v>3694.17</v>
      </c>
      <c r="S95" s="27">
        <v>75</v>
      </c>
      <c r="T95" s="27">
        <v>70</v>
      </c>
      <c r="U95" s="27">
        <v>225</v>
      </c>
      <c r="V95" s="27">
        <v>90</v>
      </c>
      <c r="W95" s="89">
        <f t="shared" si="45"/>
        <v>92.934782608695656</v>
      </c>
      <c r="X95" s="89">
        <f t="shared" si="54"/>
        <v>13.682111111111112</v>
      </c>
      <c r="Y95" s="97">
        <f t="shared" si="52"/>
        <v>59.395250783699055</v>
      </c>
      <c r="Z95" s="97">
        <f t="shared" si="46"/>
        <v>53.743901098901098</v>
      </c>
      <c r="AA95" s="27">
        <v>83442</v>
      </c>
      <c r="AB95" s="27">
        <v>32</v>
      </c>
      <c r="AC95" s="27">
        <v>140350</v>
      </c>
      <c r="AD95" s="27">
        <v>10700</v>
      </c>
      <c r="AE95" s="29">
        <f t="shared" si="47"/>
        <v>151050</v>
      </c>
      <c r="AF95" s="41">
        <v>1925</v>
      </c>
      <c r="AG95" s="4" t="s">
        <v>567</v>
      </c>
      <c r="AH95" s="151" t="str">
        <f t="shared" si="56"/>
        <v>https://ia800604.us.archive.org/18/items/GADeptofEd1925/GA.pdf#page=11</v>
      </c>
      <c r="AI95" s="152" t="str">
        <f t="shared" si="56"/>
        <v>https://ia800604.us.archive.org/18/items/GADeptofEd1925/GA.pdf#page=34</v>
      </c>
      <c r="AJ95" s="151" t="str">
        <f t="shared" si="57"/>
        <v>https://ia800604.us.archive.org/18/items/GADeptofEd1925/GA.pdf#page=11</v>
      </c>
      <c r="AK95" s="152" t="str">
        <f t="shared" si="57"/>
        <v>https://ia800604.us.archive.org/18/items/GADeptofEd1925/GA.pdf#page=32</v>
      </c>
      <c r="AL95" s="151" t="str">
        <f t="shared" si="57"/>
        <v>https://ia800604.us.archive.org/18/items/GADeptofEd1925/GA.pdf#page=16</v>
      </c>
      <c r="AM95" s="152" t="str">
        <f t="shared" si="37"/>
        <v>https://ia800604.us.archive.org/18/items/GADeptofEd1925/GA.pdf#page=41</v>
      </c>
      <c r="AN95" s="151" t="str">
        <f t="shared" si="49"/>
        <v>https://ia800604.us.archive.org/18/items/GADeptofEd1925/GA.pdf#page=16</v>
      </c>
      <c r="AO95" s="152" t="str">
        <f t="shared" si="58"/>
        <v>https://ia800604.us.archive.org/18/items/GADeptofEd1925/GA.pdf#page=32</v>
      </c>
      <c r="AP95" s="151" t="str">
        <f t="shared" si="58"/>
        <v>https://ia800604.us.archive.org/18/items/GADeptofEd1925/GA.pdf#page=30</v>
      </c>
      <c r="AQ95" s="152" t="str">
        <f t="shared" si="58"/>
        <v>https://ia800604.us.archive.org/18/items/GADeptofEd1925/GA.pdf#page=46</v>
      </c>
      <c r="AR95" s="151" t="str">
        <f t="shared" si="58"/>
        <v>https://ia800604.us.archive.org/18/items/GADeptofEd1925/GA.pdf#page=24</v>
      </c>
      <c r="AS95" s="152" t="str">
        <f t="shared" si="50"/>
        <v>https://ia800604.us.archive.org/18/items/GADeptofEd1925/GA.pdf#page=46</v>
      </c>
      <c r="AT95" s="151" t="str">
        <f t="shared" si="59"/>
        <v>https://ia800604.us.archive.org/18/items/GADeptofEd1925/GA.pdf#page=30</v>
      </c>
      <c r="AU95" s="152" t="str">
        <f t="shared" si="59"/>
        <v>https://ia800604.us.archive.org/18/items/GADeptofEd1925/GA.pdf#page=32</v>
      </c>
      <c r="AV95" s="151" t="str">
        <f t="shared" si="59"/>
        <v>https://ia800604.us.archive.org/18/items/GADeptofEd1925/GA.pdf#page=30</v>
      </c>
      <c r="AW95" s="152" t="str">
        <f t="shared" si="28"/>
        <v>https://ia800604.us.archive.org/18/items/GADeptofEd1925/GA.pdf#page=52</v>
      </c>
    </row>
    <row r="96" spans="1:49" x14ac:dyDescent="0.25">
      <c r="A96" s="27" t="s">
        <v>819</v>
      </c>
      <c r="B96" s="27" t="str">
        <f t="shared" si="41"/>
        <v>Georgia</v>
      </c>
      <c r="C96" s="27" t="str">
        <f t="shared" si="42"/>
        <v>Madison</v>
      </c>
      <c r="D96" s="27">
        <v>2607</v>
      </c>
      <c r="E96" s="27">
        <v>581</v>
      </c>
      <c r="F96" s="27">
        <f t="shared" si="48"/>
        <v>3188</v>
      </c>
      <c r="G96" s="27">
        <v>7</v>
      </c>
      <c r="H96" s="27">
        <v>69</v>
      </c>
      <c r="I96" s="27">
        <f>9</f>
        <v>9</v>
      </c>
      <c r="J96" s="27">
        <v>10</v>
      </c>
      <c r="K96" s="27">
        <v>15</v>
      </c>
      <c r="L96" s="27">
        <f t="shared" si="43"/>
        <v>110</v>
      </c>
      <c r="M96" s="27">
        <v>150</v>
      </c>
      <c r="N96" s="27">
        <v>110</v>
      </c>
      <c r="O96" s="29">
        <f t="shared" ref="O96:O119" si="60">((D96*M96)+(E96*N96))/F96</f>
        <v>142.71016311166875</v>
      </c>
      <c r="P96" s="27">
        <v>4799</v>
      </c>
      <c r="Q96" s="7">
        <f t="shared" si="44"/>
        <v>46935</v>
      </c>
      <c r="R96" s="27">
        <v>2015</v>
      </c>
      <c r="S96" s="27">
        <v>70</v>
      </c>
      <c r="T96" s="27">
        <v>57</v>
      </c>
      <c r="U96" s="27">
        <v>115</v>
      </c>
      <c r="V96" s="27">
        <v>80</v>
      </c>
      <c r="W96" s="89">
        <f t="shared" si="45"/>
        <v>65.873684210526307</v>
      </c>
      <c r="X96" s="89">
        <f t="shared" si="54"/>
        <v>24.424242424242426</v>
      </c>
      <c r="Y96" s="97">
        <f t="shared" si="52"/>
        <v>61.572327044025158</v>
      </c>
      <c r="Z96" s="97">
        <f t="shared" si="46"/>
        <v>60.221487603305775</v>
      </c>
      <c r="AA96" s="27">
        <v>62624</v>
      </c>
      <c r="AB96" s="27">
        <v>48</v>
      </c>
      <c r="AC96" s="27">
        <v>74450</v>
      </c>
      <c r="AD96" s="27">
        <v>3900</v>
      </c>
      <c r="AE96" s="29">
        <f t="shared" si="47"/>
        <v>78350</v>
      </c>
      <c r="AF96" s="41">
        <v>1925</v>
      </c>
      <c r="AG96" s="4" t="s">
        <v>567</v>
      </c>
      <c r="AH96" s="151" t="str">
        <f t="shared" si="56"/>
        <v>https://ia800604.us.archive.org/18/items/GADeptofEd1925/GA.pdf#page=11</v>
      </c>
      <c r="AI96" s="152" t="str">
        <f t="shared" si="56"/>
        <v>https://ia800604.us.archive.org/18/items/GADeptofEd1925/GA.pdf#page=34</v>
      </c>
      <c r="AJ96" s="151" t="str">
        <f t="shared" si="57"/>
        <v>https://ia800604.us.archive.org/18/items/GADeptofEd1925/GA.pdf#page=11</v>
      </c>
      <c r="AK96" s="152" t="str">
        <f t="shared" si="57"/>
        <v>https://ia800604.us.archive.org/18/items/GADeptofEd1925/GA.pdf#page=32</v>
      </c>
      <c r="AL96" s="151" t="str">
        <f t="shared" si="57"/>
        <v>https://ia800604.us.archive.org/18/items/GADeptofEd1925/GA.pdf#page=16</v>
      </c>
      <c r="AM96" s="152" t="str">
        <f t="shared" si="37"/>
        <v>https://ia800604.us.archive.org/18/items/GADeptofEd1925/GA.pdf#page=41</v>
      </c>
      <c r="AN96" s="151" t="str">
        <f t="shared" si="49"/>
        <v>https://ia800604.us.archive.org/18/items/GADeptofEd1925/GA.pdf#page=16</v>
      </c>
      <c r="AO96" s="152" t="str">
        <f t="shared" si="58"/>
        <v>https://ia800604.us.archive.org/18/items/GADeptofEd1925/GA.pdf#page=32</v>
      </c>
      <c r="AP96" s="151" t="str">
        <f t="shared" si="58"/>
        <v>https://ia800604.us.archive.org/18/items/GADeptofEd1925/GA.pdf#page=30</v>
      </c>
      <c r="AQ96" s="152" t="str">
        <f t="shared" si="58"/>
        <v>https://ia800604.us.archive.org/18/items/GADeptofEd1925/GA.pdf#page=46</v>
      </c>
      <c r="AR96" s="151" t="str">
        <f t="shared" si="58"/>
        <v>https://ia800604.us.archive.org/18/items/GADeptofEd1925/GA.pdf#page=24</v>
      </c>
      <c r="AS96" s="152" t="str">
        <f t="shared" si="50"/>
        <v>https://ia800604.us.archive.org/18/items/GADeptofEd1925/GA.pdf#page=46</v>
      </c>
      <c r="AT96" s="151" t="str">
        <f t="shared" si="59"/>
        <v>https://ia800604.us.archive.org/18/items/GADeptofEd1925/GA.pdf#page=30</v>
      </c>
      <c r="AU96" s="152" t="str">
        <f t="shared" si="59"/>
        <v>https://ia800604.us.archive.org/18/items/GADeptofEd1925/GA.pdf#page=32</v>
      </c>
      <c r="AV96" s="151" t="str">
        <f t="shared" si="59"/>
        <v>https://ia800604.us.archive.org/18/items/GADeptofEd1925/GA.pdf#page=30</v>
      </c>
      <c r="AW96" s="152" t="str">
        <f t="shared" si="28"/>
        <v>https://ia800604.us.archive.org/18/items/GADeptofEd1925/GA.pdf#page=52</v>
      </c>
    </row>
    <row r="97" spans="1:49" x14ac:dyDescent="0.25">
      <c r="A97" s="27" t="s">
        <v>820</v>
      </c>
      <c r="B97" s="27" t="str">
        <f t="shared" si="41"/>
        <v>Georgia</v>
      </c>
      <c r="C97" s="27" t="str">
        <f t="shared" si="42"/>
        <v>Marion</v>
      </c>
      <c r="D97" s="27">
        <v>703</v>
      </c>
      <c r="E97" s="27">
        <v>765</v>
      </c>
      <c r="F97" s="27">
        <f t="shared" si="48"/>
        <v>1468</v>
      </c>
      <c r="G97" s="27">
        <v>0</v>
      </c>
      <c r="H97" s="27">
        <v>18</v>
      </c>
      <c r="I97" s="27">
        <v>2</v>
      </c>
      <c r="J97" s="27">
        <v>5</v>
      </c>
      <c r="K97" s="27">
        <v>22</v>
      </c>
      <c r="L97" s="27">
        <f t="shared" si="43"/>
        <v>47</v>
      </c>
      <c r="M97" s="27">
        <v>120</v>
      </c>
      <c r="N97" s="27">
        <v>100</v>
      </c>
      <c r="O97" s="29">
        <f t="shared" si="60"/>
        <v>109.57765667574932</v>
      </c>
      <c r="P97" s="27">
        <v>2015</v>
      </c>
      <c r="Q97" s="7">
        <f t="shared" si="44"/>
        <v>8670</v>
      </c>
      <c r="R97" s="27">
        <v>2960.5</v>
      </c>
      <c r="S97" s="27"/>
      <c r="T97" s="27">
        <v>52.5</v>
      </c>
      <c r="U97" s="27">
        <v>87.5</v>
      </c>
      <c r="V97" s="27">
        <v>65</v>
      </c>
      <c r="W97" s="89">
        <f t="shared" si="45"/>
        <v>57.800000000000004</v>
      </c>
      <c r="X97" s="89">
        <f t="shared" si="54"/>
        <v>26.913636363636364</v>
      </c>
      <c r="Y97" s="97">
        <f t="shared" si="52"/>
        <v>44.732692307692304</v>
      </c>
      <c r="Z97" s="97">
        <f t="shared" si="46"/>
        <v>43.342553191489358</v>
      </c>
      <c r="AA97" s="27">
        <v>42595</v>
      </c>
      <c r="AB97" s="27">
        <v>45</v>
      </c>
      <c r="AC97" s="27">
        <v>64500</v>
      </c>
      <c r="AD97" s="27">
        <v>7500</v>
      </c>
      <c r="AE97" s="29">
        <f t="shared" si="47"/>
        <v>72000</v>
      </c>
      <c r="AF97" s="41">
        <v>1925</v>
      </c>
      <c r="AG97" s="4" t="s">
        <v>567</v>
      </c>
      <c r="AH97" s="151" t="str">
        <f t="shared" si="56"/>
        <v>https://ia800604.us.archive.org/18/items/GADeptofEd1925/GA.pdf#page=11</v>
      </c>
      <c r="AI97" s="152" t="str">
        <f t="shared" si="56"/>
        <v>https://ia800604.us.archive.org/18/items/GADeptofEd1925/GA.pdf#page=34</v>
      </c>
      <c r="AJ97" s="151" t="str">
        <f t="shared" si="57"/>
        <v>https://ia800604.us.archive.org/18/items/GADeptofEd1925/GA.pdf#page=11</v>
      </c>
      <c r="AK97" s="152" t="str">
        <f t="shared" si="57"/>
        <v>https://ia800604.us.archive.org/18/items/GADeptofEd1925/GA.pdf#page=32</v>
      </c>
      <c r="AL97" s="151" t="str">
        <f t="shared" si="57"/>
        <v>https://ia800604.us.archive.org/18/items/GADeptofEd1925/GA.pdf#page=16</v>
      </c>
      <c r="AM97" s="152" t="str">
        <f t="shared" si="37"/>
        <v>https://ia800604.us.archive.org/18/items/GADeptofEd1925/GA.pdf#page=41</v>
      </c>
      <c r="AN97" s="151" t="str">
        <f t="shared" si="49"/>
        <v>https://ia800604.us.archive.org/18/items/GADeptofEd1925/GA.pdf#page=16</v>
      </c>
      <c r="AO97" s="152" t="str">
        <f t="shared" si="58"/>
        <v>https://ia800604.us.archive.org/18/items/GADeptofEd1925/GA.pdf#page=32</v>
      </c>
      <c r="AP97" s="151" t="str">
        <f t="shared" si="58"/>
        <v>https://ia800604.us.archive.org/18/items/GADeptofEd1925/GA.pdf#page=30</v>
      </c>
      <c r="AQ97" s="152" t="s">
        <v>2670</v>
      </c>
      <c r="AR97" s="151" t="str">
        <f t="shared" si="58"/>
        <v>https://ia800604.us.archive.org/18/items/GADeptofEd1925/GA.pdf#page=24</v>
      </c>
      <c r="AS97" s="152" t="str">
        <f t="shared" si="50"/>
        <v>https://ia800604.us.archive.org/18/items/GADeptofEd1925/GA.pdf#page=47</v>
      </c>
      <c r="AT97" s="151" t="str">
        <f t="shared" si="59"/>
        <v>https://ia800604.us.archive.org/18/items/GADeptofEd1925/GA.pdf#page=30</v>
      </c>
      <c r="AU97" s="152" t="str">
        <f t="shared" si="59"/>
        <v>https://ia800604.us.archive.org/18/items/GADeptofEd1925/GA.pdf#page=32</v>
      </c>
      <c r="AV97" s="151" t="str">
        <f t="shared" si="59"/>
        <v>https://ia800604.us.archive.org/18/items/GADeptofEd1925/GA.pdf#page=30</v>
      </c>
      <c r="AW97" s="152" t="str">
        <f t="shared" si="28"/>
        <v>https://ia800604.us.archive.org/18/items/GADeptofEd1925/GA.pdf#page=52</v>
      </c>
    </row>
    <row r="98" spans="1:49" x14ac:dyDescent="0.25">
      <c r="A98" s="27" t="s">
        <v>821</v>
      </c>
      <c r="B98" s="27" t="str">
        <f t="shared" si="41"/>
        <v>Georgia</v>
      </c>
      <c r="C98" s="27" t="str">
        <f t="shared" si="42"/>
        <v>Meriwether</v>
      </c>
      <c r="D98" s="27">
        <v>2258</v>
      </c>
      <c r="E98" s="27">
        <v>1968</v>
      </c>
      <c r="F98" s="27">
        <f t="shared" si="48"/>
        <v>4226</v>
      </c>
      <c r="G98" s="27">
        <v>0</v>
      </c>
      <c r="H98" s="27">
        <v>64</v>
      </c>
      <c r="I98" s="27">
        <v>14</v>
      </c>
      <c r="J98" s="27">
        <v>12</v>
      </c>
      <c r="K98" s="27">
        <v>48</v>
      </c>
      <c r="L98" s="27">
        <f t="shared" ref="L98:L129" si="61">G98+H98+I98+J98+K98</f>
        <v>138</v>
      </c>
      <c r="M98" s="27">
        <v>180</v>
      </c>
      <c r="N98" s="27">
        <v>180</v>
      </c>
      <c r="O98" s="29">
        <f t="shared" si="60"/>
        <v>180</v>
      </c>
      <c r="P98" s="27">
        <v>5695</v>
      </c>
      <c r="Q98" s="7">
        <f t="shared" ref="Q98:Q129" si="62">((G98*S98)+(H98*T98)+(I98*U98)+(J98*V98))*(M98/20)</f>
        <v>74430</v>
      </c>
      <c r="R98" s="27"/>
      <c r="S98" s="27">
        <v>90</v>
      </c>
      <c r="T98" s="27">
        <v>80</v>
      </c>
      <c r="U98" s="27">
        <v>135</v>
      </c>
      <c r="V98" s="27">
        <v>105</v>
      </c>
      <c r="W98" s="89">
        <f t="shared" ref="W98:W129" si="63">Q98/(G98+H98+I98+J98)/(M98/20)</f>
        <v>91.888888888888886</v>
      </c>
      <c r="X98" s="89">
        <f t="shared" si="54"/>
        <v>0</v>
      </c>
      <c r="Y98" s="97">
        <f t="shared" si="52"/>
        <v>59.927536231884055</v>
      </c>
      <c r="Z98" s="97">
        <f t="shared" ref="Z98:Z129" si="64">( (W98*(G98+H98+I98+J98)) + (X98*K98) ) / L98</f>
        <v>59.927536231884055</v>
      </c>
      <c r="AA98" s="27">
        <v>84794</v>
      </c>
      <c r="AB98" s="27">
        <v>74</v>
      </c>
      <c r="AC98" s="27">
        <v>143107</v>
      </c>
      <c r="AD98" s="27">
        <v>13400</v>
      </c>
      <c r="AE98" s="29">
        <f t="shared" ref="AE98:AE129" si="65">AC98+AD98</f>
        <v>156507</v>
      </c>
      <c r="AF98" s="41">
        <v>1925</v>
      </c>
      <c r="AG98" s="4" t="s">
        <v>567</v>
      </c>
      <c r="AH98" s="151" t="str">
        <f t="shared" si="56"/>
        <v>https://ia800604.us.archive.org/18/items/GADeptofEd1925/GA.pdf#page=11</v>
      </c>
      <c r="AI98" s="152" t="str">
        <f t="shared" si="56"/>
        <v>https://ia800604.us.archive.org/18/items/GADeptofEd1925/GA.pdf#page=34</v>
      </c>
      <c r="AJ98" s="151" t="str">
        <f t="shared" si="57"/>
        <v>https://ia800604.us.archive.org/18/items/GADeptofEd1925/GA.pdf#page=11</v>
      </c>
      <c r="AK98" s="152" t="str">
        <f t="shared" si="57"/>
        <v>https://ia800604.us.archive.org/18/items/GADeptofEd1925/GA.pdf#page=32</v>
      </c>
      <c r="AL98" s="151" t="str">
        <f t="shared" si="57"/>
        <v>https://ia800604.us.archive.org/18/items/GADeptofEd1925/GA.pdf#page=16</v>
      </c>
      <c r="AM98" s="152" t="str">
        <f t="shared" si="37"/>
        <v>https://ia800604.us.archive.org/18/items/GADeptofEd1925/GA.pdf#page=41</v>
      </c>
      <c r="AN98" s="151" t="str">
        <f t="shared" si="49"/>
        <v>https://ia800604.us.archive.org/18/items/GADeptofEd1925/GA.pdf#page=16</v>
      </c>
      <c r="AO98" s="152" t="str">
        <f t="shared" si="58"/>
        <v>https://ia800604.us.archive.org/18/items/GADeptofEd1925/GA.pdf#page=32</v>
      </c>
      <c r="AP98" s="151" t="str">
        <f t="shared" si="58"/>
        <v>https://ia800604.us.archive.org/18/items/GADeptofEd1925/GA.pdf#page=30</v>
      </c>
      <c r="AQ98" s="152" t="str">
        <f t="shared" si="58"/>
        <v>https://ia800604.us.archive.org/18/items/GADeptofEd1925/GA.pdf#page=47</v>
      </c>
      <c r="AR98" s="151" t="str">
        <f t="shared" si="58"/>
        <v>https://ia800604.us.archive.org/18/items/GADeptofEd1925/GA.pdf#page=24</v>
      </c>
      <c r="AS98" s="152" t="str">
        <f t="shared" si="50"/>
        <v>https://ia800604.us.archive.org/18/items/GADeptofEd1925/GA.pdf#page=47</v>
      </c>
      <c r="AT98" s="151" t="str">
        <f t="shared" si="59"/>
        <v>https://ia800604.us.archive.org/18/items/GADeptofEd1925/GA.pdf#page=30</v>
      </c>
      <c r="AU98" s="152" t="str">
        <f t="shared" si="59"/>
        <v>https://ia800604.us.archive.org/18/items/GADeptofEd1925/GA.pdf#page=32</v>
      </c>
      <c r="AV98" s="151" t="str">
        <f t="shared" si="59"/>
        <v>https://ia800604.us.archive.org/18/items/GADeptofEd1925/GA.pdf#page=30</v>
      </c>
      <c r="AW98" s="152" t="str">
        <f t="shared" si="28"/>
        <v>https://ia800604.us.archive.org/18/items/GADeptofEd1925/GA.pdf#page=52</v>
      </c>
    </row>
    <row r="99" spans="1:49" x14ac:dyDescent="0.25">
      <c r="A99" s="27" t="s">
        <v>822</v>
      </c>
      <c r="B99" s="27" t="str">
        <f t="shared" si="41"/>
        <v>Georgia</v>
      </c>
      <c r="C99" s="27" t="str">
        <f t="shared" si="42"/>
        <v>Miller</v>
      </c>
      <c r="D99" s="27">
        <v>1150</v>
      </c>
      <c r="E99" s="27">
        <v>550</v>
      </c>
      <c r="F99" s="27">
        <f t="shared" si="48"/>
        <v>1700</v>
      </c>
      <c r="G99" s="27">
        <v>2</v>
      </c>
      <c r="H99" s="27">
        <v>35</v>
      </c>
      <c r="I99" s="27">
        <v>6</v>
      </c>
      <c r="J99" s="27">
        <v>4</v>
      </c>
      <c r="K99" s="27">
        <v>22</v>
      </c>
      <c r="L99" s="27">
        <f t="shared" si="61"/>
        <v>69</v>
      </c>
      <c r="M99" s="27">
        <v>180</v>
      </c>
      <c r="N99" s="27">
        <v>120</v>
      </c>
      <c r="O99" s="29">
        <f t="shared" si="60"/>
        <v>160.58823529411765</v>
      </c>
      <c r="P99" s="27">
        <v>2272</v>
      </c>
      <c r="Q99" s="7">
        <f t="shared" si="62"/>
        <v>33705</v>
      </c>
      <c r="R99" s="7">
        <v>2657.6</v>
      </c>
      <c r="S99" s="27">
        <v>85</v>
      </c>
      <c r="T99" s="27">
        <v>65</v>
      </c>
      <c r="U99" s="27">
        <v>150</v>
      </c>
      <c r="V99" s="27">
        <v>100</v>
      </c>
      <c r="W99" s="89">
        <f t="shared" si="63"/>
        <v>79.680851063829792</v>
      </c>
      <c r="X99" s="89">
        <f t="shared" si="54"/>
        <v>20.133333333333333</v>
      </c>
      <c r="Y99" s="97">
        <f t="shared" si="52"/>
        <v>65.518198198198206</v>
      </c>
      <c r="Z99" s="97">
        <f t="shared" si="64"/>
        <v>60.694685990338165</v>
      </c>
      <c r="AA99" s="27">
        <v>31570</v>
      </c>
      <c r="AB99" s="27">
        <v>34</v>
      </c>
      <c r="AC99" s="27">
        <v>40000</v>
      </c>
      <c r="AD99" s="27">
        <v>1500</v>
      </c>
      <c r="AE99" s="29">
        <f t="shared" si="65"/>
        <v>41500</v>
      </c>
      <c r="AF99" s="41">
        <v>1925</v>
      </c>
      <c r="AG99" s="4" t="s">
        <v>567</v>
      </c>
      <c r="AH99" s="151" t="str">
        <f t="shared" si="56"/>
        <v>https://ia800604.us.archive.org/18/items/GADeptofEd1925/GA.pdf#page=11</v>
      </c>
      <c r="AI99" s="152" t="str">
        <f t="shared" si="56"/>
        <v>https://ia800604.us.archive.org/18/items/GADeptofEd1925/GA.pdf#page=34</v>
      </c>
      <c r="AJ99" s="151" t="str">
        <f t="shared" si="57"/>
        <v>https://ia800604.us.archive.org/18/items/GADeptofEd1925/GA.pdf#page=11</v>
      </c>
      <c r="AK99" s="152" t="str">
        <f t="shared" si="57"/>
        <v>https://ia800604.us.archive.org/18/items/GADeptofEd1925/GA.pdf#page=32</v>
      </c>
      <c r="AL99" s="151" t="str">
        <f t="shared" si="57"/>
        <v>https://ia800604.us.archive.org/18/items/GADeptofEd1925/GA.pdf#page=16</v>
      </c>
      <c r="AM99" s="152" t="str">
        <f t="shared" si="37"/>
        <v>https://ia800604.us.archive.org/18/items/GADeptofEd1925/GA.pdf#page=41</v>
      </c>
      <c r="AN99" s="151" t="str">
        <f t="shared" si="49"/>
        <v>https://ia800604.us.archive.org/18/items/GADeptofEd1925/GA.pdf#page=16</v>
      </c>
      <c r="AO99" s="152" t="str">
        <f t="shared" si="58"/>
        <v>https://ia800604.us.archive.org/18/items/GADeptofEd1925/GA.pdf#page=32</v>
      </c>
      <c r="AP99" s="151" t="str">
        <f t="shared" si="58"/>
        <v>https://ia800604.us.archive.org/18/items/GADeptofEd1925/GA.pdf#page=30</v>
      </c>
      <c r="AQ99" s="152" t="str">
        <f t="shared" si="58"/>
        <v>https://ia800604.us.archive.org/18/items/GADeptofEd1925/GA.pdf#page=47</v>
      </c>
      <c r="AR99" s="151" t="str">
        <f t="shared" si="58"/>
        <v>https://ia800604.us.archive.org/18/items/GADeptofEd1925/GA.pdf#page=24</v>
      </c>
      <c r="AS99" s="152" t="str">
        <f t="shared" si="50"/>
        <v>https://ia800604.us.archive.org/18/items/GADeptofEd1925/GA.pdf#page=47</v>
      </c>
      <c r="AT99" s="151" t="str">
        <f t="shared" si="59"/>
        <v>https://ia800604.us.archive.org/18/items/GADeptofEd1925/GA.pdf#page=30</v>
      </c>
      <c r="AU99" s="152" t="str">
        <f t="shared" si="59"/>
        <v>https://ia800604.us.archive.org/18/items/GADeptofEd1925/GA.pdf#page=32</v>
      </c>
      <c r="AV99" s="151" t="str">
        <f t="shared" si="59"/>
        <v>https://ia800604.us.archive.org/18/items/GADeptofEd1925/GA.pdf#page=30</v>
      </c>
      <c r="AW99" s="152" t="str">
        <f t="shared" si="28"/>
        <v>https://ia800604.us.archive.org/18/items/GADeptofEd1925/GA.pdf#page=52</v>
      </c>
    </row>
    <row r="100" spans="1:49" x14ac:dyDescent="0.25">
      <c r="A100" s="27" t="s">
        <v>823</v>
      </c>
      <c r="B100" s="27" t="str">
        <f t="shared" si="41"/>
        <v>Georgia</v>
      </c>
      <c r="C100" s="27" t="str">
        <f t="shared" si="42"/>
        <v>Milton</v>
      </c>
      <c r="D100" s="27">
        <v>1198</v>
      </c>
      <c r="E100" s="27">
        <v>61</v>
      </c>
      <c r="F100" s="27">
        <f t="shared" si="48"/>
        <v>1259</v>
      </c>
      <c r="G100" s="27">
        <v>0</v>
      </c>
      <c r="H100" s="27">
        <v>9</v>
      </c>
      <c r="I100" s="27">
        <v>3</v>
      </c>
      <c r="J100" s="27">
        <v>2</v>
      </c>
      <c r="K100" s="27">
        <v>2</v>
      </c>
      <c r="L100" s="27">
        <f t="shared" si="61"/>
        <v>16</v>
      </c>
      <c r="M100" s="27">
        <v>120</v>
      </c>
      <c r="N100" s="27">
        <v>240</v>
      </c>
      <c r="O100" s="29">
        <f t="shared" si="60"/>
        <v>125.81413820492455</v>
      </c>
      <c r="P100" s="27">
        <v>1776</v>
      </c>
      <c r="Q100" s="7">
        <f t="shared" si="62"/>
        <v>5445</v>
      </c>
      <c r="R100" s="27">
        <v>399.25</v>
      </c>
      <c r="S100" s="27"/>
      <c r="T100" s="27">
        <v>62.5</v>
      </c>
      <c r="U100" s="27">
        <v>75</v>
      </c>
      <c r="V100" s="27">
        <v>60</v>
      </c>
      <c r="W100" s="89">
        <f t="shared" si="63"/>
        <v>64.821428571428569</v>
      </c>
      <c r="X100" s="89">
        <f t="shared" si="54"/>
        <v>16.635416666666668</v>
      </c>
      <c r="Y100" s="97">
        <f t="shared" si="52"/>
        <v>54.113425925925924</v>
      </c>
      <c r="Z100" s="97">
        <f t="shared" si="64"/>
        <v>58.798177083333336</v>
      </c>
      <c r="AA100" s="27">
        <v>21791</v>
      </c>
      <c r="AB100" s="27">
        <v>25</v>
      </c>
      <c r="AC100" s="27">
        <v>35000</v>
      </c>
      <c r="AD100" s="27">
        <v>300</v>
      </c>
      <c r="AE100" s="29">
        <f t="shared" si="65"/>
        <v>35300</v>
      </c>
      <c r="AF100" s="41">
        <v>1925</v>
      </c>
      <c r="AG100" s="4" t="s">
        <v>567</v>
      </c>
      <c r="AH100" s="151" t="str">
        <f t="shared" ref="AH100:AL115" si="66">AH99</f>
        <v>https://ia800604.us.archive.org/18/items/GADeptofEd1925/GA.pdf#page=11</v>
      </c>
      <c r="AI100" s="152" t="str">
        <f t="shared" si="66"/>
        <v>https://ia800604.us.archive.org/18/items/GADeptofEd1925/GA.pdf#page=34</v>
      </c>
      <c r="AJ100" s="151" t="str">
        <f t="shared" si="66"/>
        <v>https://ia800604.us.archive.org/18/items/GADeptofEd1925/GA.pdf#page=11</v>
      </c>
      <c r="AK100" s="152" t="str">
        <f t="shared" si="66"/>
        <v>https://ia800604.us.archive.org/18/items/GADeptofEd1925/GA.pdf#page=32</v>
      </c>
      <c r="AL100" s="151" t="str">
        <f t="shared" si="66"/>
        <v>https://ia800604.us.archive.org/18/items/GADeptofEd1925/GA.pdf#page=16</v>
      </c>
      <c r="AM100" s="152" t="str">
        <f t="shared" si="37"/>
        <v>https://ia800604.us.archive.org/18/items/GADeptofEd1925/GA.pdf#page=41</v>
      </c>
      <c r="AN100" s="151" t="str">
        <f t="shared" si="49"/>
        <v>https://ia800604.us.archive.org/18/items/GADeptofEd1925/GA.pdf#page=16</v>
      </c>
      <c r="AO100" s="152" t="str">
        <f t="shared" ref="AO100:AR115" si="67">AO99</f>
        <v>https://ia800604.us.archive.org/18/items/GADeptofEd1925/GA.pdf#page=32</v>
      </c>
      <c r="AP100" s="151" t="str">
        <f t="shared" si="67"/>
        <v>https://ia800604.us.archive.org/18/items/GADeptofEd1925/GA.pdf#page=30</v>
      </c>
      <c r="AQ100" s="152" t="str">
        <f t="shared" si="67"/>
        <v>https://ia800604.us.archive.org/18/items/GADeptofEd1925/GA.pdf#page=47</v>
      </c>
      <c r="AR100" s="151" t="str">
        <f t="shared" si="67"/>
        <v>https://ia800604.us.archive.org/18/items/GADeptofEd1925/GA.pdf#page=24</v>
      </c>
      <c r="AS100" s="152" t="str">
        <f t="shared" si="50"/>
        <v>https://ia800604.us.archive.org/18/items/GADeptofEd1925/GA.pdf#page=47</v>
      </c>
      <c r="AT100" s="151" t="str">
        <f t="shared" si="59"/>
        <v>https://ia800604.us.archive.org/18/items/GADeptofEd1925/GA.pdf#page=30</v>
      </c>
      <c r="AU100" s="152" t="str">
        <f t="shared" si="59"/>
        <v>https://ia800604.us.archive.org/18/items/GADeptofEd1925/GA.pdf#page=32</v>
      </c>
      <c r="AV100" s="151" t="str">
        <f t="shared" si="59"/>
        <v>https://ia800604.us.archive.org/18/items/GADeptofEd1925/GA.pdf#page=30</v>
      </c>
      <c r="AW100" s="152" t="str">
        <f t="shared" si="59"/>
        <v>https://ia800604.us.archive.org/18/items/GADeptofEd1925/GA.pdf#page=52</v>
      </c>
    </row>
    <row r="101" spans="1:49" x14ac:dyDescent="0.25">
      <c r="A101" s="27" t="s">
        <v>824</v>
      </c>
      <c r="B101" s="27" t="str">
        <f t="shared" si="41"/>
        <v>Georgia</v>
      </c>
      <c r="C101" s="27" t="str">
        <f t="shared" si="42"/>
        <v>Mitchell</v>
      </c>
      <c r="D101" s="27">
        <f>2127+352</f>
        <v>2479</v>
      </c>
      <c r="E101" s="27">
        <f>1795+130</f>
        <v>1925</v>
      </c>
      <c r="F101" s="27">
        <f t="shared" si="48"/>
        <v>4404</v>
      </c>
      <c r="G101" s="27">
        <v>2</v>
      </c>
      <c r="H101" s="27">
        <f>86+9</f>
        <v>95</v>
      </c>
      <c r="I101" s="27">
        <f>13+3</f>
        <v>16</v>
      </c>
      <c r="J101" s="27">
        <f>11+3</f>
        <v>14</v>
      </c>
      <c r="K101" s="27">
        <f>49+2+2+1</f>
        <v>54</v>
      </c>
      <c r="L101" s="27">
        <f t="shared" si="61"/>
        <v>181</v>
      </c>
      <c r="M101" s="27">
        <v>140</v>
      </c>
      <c r="N101" s="27">
        <v>140</v>
      </c>
      <c r="O101" s="29">
        <f t="shared" si="60"/>
        <v>140</v>
      </c>
      <c r="P101" s="27">
        <v>6557</v>
      </c>
      <c r="Q101" s="7">
        <f t="shared" si="62"/>
        <v>149862.30000000002</v>
      </c>
      <c r="R101" s="27">
        <f>9300+1215</f>
        <v>10515</v>
      </c>
      <c r="S101" s="27">
        <v>82.5</v>
      </c>
      <c r="T101" s="27">
        <f>63.5+75</f>
        <v>138.5</v>
      </c>
      <c r="U101" s="27">
        <f>163.11+189.62</f>
        <v>352.73</v>
      </c>
      <c r="V101" s="27">
        <f>84.48+90</f>
        <v>174.48000000000002</v>
      </c>
      <c r="W101" s="89">
        <f t="shared" si="63"/>
        <v>168.57401574803151</v>
      </c>
      <c r="X101" s="89">
        <f t="shared" si="54"/>
        <v>27.81746031746032</v>
      </c>
      <c r="Y101" s="97">
        <f t="shared" si="52"/>
        <v>126.58034727703237</v>
      </c>
      <c r="Z101" s="97">
        <f t="shared" si="64"/>
        <v>126.58034727703237</v>
      </c>
      <c r="AA101" s="27">
        <v>116733</v>
      </c>
      <c r="AB101" s="27">
        <v>64</v>
      </c>
      <c r="AC101" s="27">
        <f>159500+23041</f>
        <v>182541</v>
      </c>
      <c r="AD101" s="27">
        <f>23000+1800</f>
        <v>24800</v>
      </c>
      <c r="AE101" s="29">
        <f t="shared" si="65"/>
        <v>207341</v>
      </c>
      <c r="AF101" s="41">
        <v>1925</v>
      </c>
      <c r="AG101" s="4" t="s">
        <v>567</v>
      </c>
      <c r="AH101" s="151" t="str">
        <f t="shared" si="66"/>
        <v>https://ia800604.us.archive.org/18/items/GADeptofEd1925/GA.pdf#page=11</v>
      </c>
      <c r="AI101" s="152" t="str">
        <f t="shared" si="66"/>
        <v>https://ia800604.us.archive.org/18/items/GADeptofEd1925/GA.pdf#page=34</v>
      </c>
      <c r="AJ101" s="151" t="str">
        <f t="shared" si="66"/>
        <v>https://ia800604.us.archive.org/18/items/GADeptofEd1925/GA.pdf#page=11</v>
      </c>
      <c r="AK101" s="152" t="str">
        <f t="shared" si="66"/>
        <v>https://ia800604.us.archive.org/18/items/GADeptofEd1925/GA.pdf#page=32</v>
      </c>
      <c r="AL101" s="151" t="str">
        <f t="shared" si="66"/>
        <v>https://ia800604.us.archive.org/18/items/GADeptofEd1925/GA.pdf#page=16</v>
      </c>
      <c r="AM101" s="152" t="str">
        <f t="shared" si="37"/>
        <v>https://ia800604.us.archive.org/18/items/GADeptofEd1925/GA.pdf#page=41</v>
      </c>
      <c r="AN101" s="151" t="str">
        <f t="shared" si="49"/>
        <v>https://ia800604.us.archive.org/18/items/GADeptofEd1925/GA.pdf#page=16</v>
      </c>
      <c r="AO101" s="152" t="str">
        <f t="shared" si="67"/>
        <v>https://ia800604.us.archive.org/18/items/GADeptofEd1925/GA.pdf#page=32</v>
      </c>
      <c r="AP101" s="151" t="str">
        <f t="shared" si="67"/>
        <v>https://ia800604.us.archive.org/18/items/GADeptofEd1925/GA.pdf#page=30</v>
      </c>
      <c r="AQ101" s="152" t="str">
        <f t="shared" si="67"/>
        <v>https://ia800604.us.archive.org/18/items/GADeptofEd1925/GA.pdf#page=47</v>
      </c>
      <c r="AR101" s="151" t="str">
        <f t="shared" si="67"/>
        <v>https://ia800604.us.archive.org/18/items/GADeptofEd1925/GA.pdf#page=24</v>
      </c>
      <c r="AS101" s="152" t="str">
        <f t="shared" si="50"/>
        <v>https://ia800604.us.archive.org/18/items/GADeptofEd1925/GA.pdf#page=47</v>
      </c>
      <c r="AT101" s="151" t="str">
        <f t="shared" si="59"/>
        <v>https://ia800604.us.archive.org/18/items/GADeptofEd1925/GA.pdf#page=30</v>
      </c>
      <c r="AU101" s="152" t="str">
        <f t="shared" si="59"/>
        <v>https://ia800604.us.archive.org/18/items/GADeptofEd1925/GA.pdf#page=32</v>
      </c>
      <c r="AV101" s="151" t="str">
        <f t="shared" si="59"/>
        <v>https://ia800604.us.archive.org/18/items/GADeptofEd1925/GA.pdf#page=30</v>
      </c>
      <c r="AW101" s="152" t="str">
        <f t="shared" si="59"/>
        <v>https://ia800604.us.archive.org/18/items/GADeptofEd1925/GA.pdf#page=52</v>
      </c>
    </row>
    <row r="102" spans="1:49" x14ac:dyDescent="0.25">
      <c r="A102" s="27" t="s">
        <v>825</v>
      </c>
      <c r="B102" s="27" t="str">
        <f t="shared" si="41"/>
        <v>Georgia</v>
      </c>
      <c r="C102" s="27" t="str">
        <f t="shared" si="42"/>
        <v>Monroe</v>
      </c>
      <c r="D102" s="27">
        <v>1150</v>
      </c>
      <c r="E102" s="27">
        <v>2200</v>
      </c>
      <c r="F102" s="27">
        <f t="shared" si="48"/>
        <v>3350</v>
      </c>
      <c r="G102" s="27">
        <v>0</v>
      </c>
      <c r="H102" s="27">
        <v>18</v>
      </c>
      <c r="I102" s="27">
        <v>1</v>
      </c>
      <c r="J102" s="27">
        <v>12</v>
      </c>
      <c r="K102" s="27">
        <v>0</v>
      </c>
      <c r="L102" s="27">
        <f t="shared" si="61"/>
        <v>31</v>
      </c>
      <c r="M102" s="27" t="s">
        <v>2126</v>
      </c>
      <c r="N102" s="27" t="s">
        <v>2126</v>
      </c>
      <c r="O102" s="29" t="e">
        <f t="shared" si="60"/>
        <v>#VALUE!</v>
      </c>
      <c r="P102" s="27">
        <v>3602</v>
      </c>
      <c r="Q102" s="7" t="e">
        <f t="shared" si="62"/>
        <v>#VALUE!</v>
      </c>
      <c r="R102" s="27">
        <v>3496.85</v>
      </c>
      <c r="S102" s="27">
        <v>70</v>
      </c>
      <c r="T102" s="27">
        <v>62</v>
      </c>
      <c r="U102" s="27">
        <v>129</v>
      </c>
      <c r="V102" s="27">
        <v>85</v>
      </c>
      <c r="W102" s="89" t="e">
        <f t="shared" si="63"/>
        <v>#VALUE!</v>
      </c>
      <c r="X102" s="89" t="e">
        <f t="shared" si="54"/>
        <v>#DIV/0!</v>
      </c>
      <c r="Y102" s="97" t="e">
        <f t="shared" si="52"/>
        <v>#VALUE!</v>
      </c>
      <c r="Z102" s="97" t="e">
        <f t="shared" si="64"/>
        <v>#VALUE!</v>
      </c>
      <c r="AA102" s="27">
        <v>89371</v>
      </c>
      <c r="AB102" s="27">
        <v>33</v>
      </c>
      <c r="AC102" s="27">
        <v>111000</v>
      </c>
      <c r="AD102" s="27">
        <v>5000</v>
      </c>
      <c r="AE102" s="29">
        <f t="shared" si="65"/>
        <v>116000</v>
      </c>
      <c r="AF102" s="41">
        <v>1925</v>
      </c>
      <c r="AG102" s="4" t="s">
        <v>567</v>
      </c>
      <c r="AH102" s="151" t="str">
        <f t="shared" si="66"/>
        <v>https://ia800604.us.archive.org/18/items/GADeptofEd1925/GA.pdf#page=11</v>
      </c>
      <c r="AI102" s="152" t="str">
        <f t="shared" si="66"/>
        <v>https://ia800604.us.archive.org/18/items/GADeptofEd1925/GA.pdf#page=34</v>
      </c>
      <c r="AJ102" s="151" t="str">
        <f t="shared" si="66"/>
        <v>https://ia800604.us.archive.org/18/items/GADeptofEd1925/GA.pdf#page=11</v>
      </c>
      <c r="AK102" s="152" t="str">
        <f t="shared" si="66"/>
        <v>https://ia800604.us.archive.org/18/items/GADeptofEd1925/GA.pdf#page=32</v>
      </c>
      <c r="AL102" s="151" t="str">
        <f t="shared" si="66"/>
        <v>https://ia800604.us.archive.org/18/items/GADeptofEd1925/GA.pdf#page=16</v>
      </c>
      <c r="AM102" s="152" t="str">
        <f t="shared" si="37"/>
        <v>https://ia800604.us.archive.org/18/items/GADeptofEd1925/GA.pdf#page=41</v>
      </c>
      <c r="AN102" s="151" t="str">
        <f t="shared" si="49"/>
        <v>https://ia800604.us.archive.org/18/items/GADeptofEd1925/GA.pdf#page=16</v>
      </c>
      <c r="AO102" s="152" t="str">
        <f t="shared" si="67"/>
        <v>https://ia800604.us.archive.org/18/items/GADeptofEd1925/GA.pdf#page=32</v>
      </c>
      <c r="AP102" s="151" t="str">
        <f t="shared" si="67"/>
        <v>https://ia800604.us.archive.org/18/items/GADeptofEd1925/GA.pdf#page=30</v>
      </c>
      <c r="AQ102" s="152" t="str">
        <f t="shared" si="67"/>
        <v>https://ia800604.us.archive.org/18/items/GADeptofEd1925/GA.pdf#page=47</v>
      </c>
      <c r="AR102" s="151" t="str">
        <f t="shared" si="67"/>
        <v>https://ia800604.us.archive.org/18/items/GADeptofEd1925/GA.pdf#page=24</v>
      </c>
      <c r="AS102" s="152" t="str">
        <f t="shared" si="50"/>
        <v>https://ia800604.us.archive.org/18/items/GADeptofEd1925/GA.pdf#page=47</v>
      </c>
      <c r="AT102" s="151" t="str">
        <f t="shared" si="59"/>
        <v>https://ia800604.us.archive.org/18/items/GADeptofEd1925/GA.pdf#page=30</v>
      </c>
      <c r="AU102" s="152" t="str">
        <f t="shared" si="59"/>
        <v>https://ia800604.us.archive.org/18/items/GADeptofEd1925/GA.pdf#page=32</v>
      </c>
      <c r="AV102" s="151" t="str">
        <f t="shared" si="59"/>
        <v>https://ia800604.us.archive.org/18/items/GADeptofEd1925/GA.pdf#page=30</v>
      </c>
      <c r="AW102" s="152" t="str">
        <f t="shared" si="59"/>
        <v>https://ia800604.us.archive.org/18/items/GADeptofEd1925/GA.pdf#page=52</v>
      </c>
    </row>
    <row r="103" spans="1:49" x14ac:dyDescent="0.25">
      <c r="A103" s="27" t="s">
        <v>826</v>
      </c>
      <c r="B103" s="27" t="str">
        <f t="shared" si="41"/>
        <v>Georgia</v>
      </c>
      <c r="C103" s="27" t="str">
        <f t="shared" si="42"/>
        <v>Montgomery</v>
      </c>
      <c r="D103" s="27">
        <v>1026</v>
      </c>
      <c r="E103" s="27">
        <v>721</v>
      </c>
      <c r="F103" s="27">
        <f t="shared" si="48"/>
        <v>1747</v>
      </c>
      <c r="G103" s="27">
        <v>2</v>
      </c>
      <c r="H103" s="27">
        <v>27</v>
      </c>
      <c r="I103" s="27">
        <v>6</v>
      </c>
      <c r="J103" s="27">
        <v>13</v>
      </c>
      <c r="K103" s="27">
        <v>25</v>
      </c>
      <c r="L103" s="27">
        <f t="shared" si="61"/>
        <v>73</v>
      </c>
      <c r="M103" s="27">
        <v>120</v>
      </c>
      <c r="N103" s="27">
        <v>120</v>
      </c>
      <c r="O103" s="29">
        <f t="shared" si="60"/>
        <v>120</v>
      </c>
      <c r="P103" s="27">
        <v>2844</v>
      </c>
      <c r="Q103" s="7">
        <f t="shared" si="62"/>
        <v>21930</v>
      </c>
      <c r="R103" s="27">
        <v>3680.24</v>
      </c>
      <c r="S103" s="27"/>
      <c r="T103" s="27">
        <v>65</v>
      </c>
      <c r="U103" s="27">
        <v>100</v>
      </c>
      <c r="V103" s="27">
        <v>100</v>
      </c>
      <c r="W103" s="89">
        <f t="shared" si="63"/>
        <v>76.145833333333329</v>
      </c>
      <c r="X103" s="89">
        <f t="shared" si="54"/>
        <v>24.534933333333331</v>
      </c>
      <c r="Y103" s="97">
        <f t="shared" si="52"/>
        <v>58.470867579908678</v>
      </c>
      <c r="Z103" s="97">
        <f t="shared" si="64"/>
        <v>58.470867579908671</v>
      </c>
      <c r="AA103" s="27">
        <v>28821</v>
      </c>
      <c r="AB103" s="27">
        <v>40</v>
      </c>
      <c r="AC103" s="27">
        <v>118300</v>
      </c>
      <c r="AD103" s="27">
        <v>8000</v>
      </c>
      <c r="AE103" s="29">
        <f t="shared" si="65"/>
        <v>126300</v>
      </c>
      <c r="AF103" s="41">
        <v>1925</v>
      </c>
      <c r="AG103" s="4" t="s">
        <v>567</v>
      </c>
      <c r="AH103" s="151" t="str">
        <f t="shared" si="66"/>
        <v>https://ia800604.us.archive.org/18/items/GADeptofEd1925/GA.pdf#page=11</v>
      </c>
      <c r="AI103" s="152" t="str">
        <f t="shared" si="66"/>
        <v>https://ia800604.us.archive.org/18/items/GADeptofEd1925/GA.pdf#page=34</v>
      </c>
      <c r="AJ103" s="151" t="str">
        <f t="shared" si="66"/>
        <v>https://ia800604.us.archive.org/18/items/GADeptofEd1925/GA.pdf#page=11</v>
      </c>
      <c r="AK103" s="152" t="str">
        <f t="shared" si="66"/>
        <v>https://ia800604.us.archive.org/18/items/GADeptofEd1925/GA.pdf#page=32</v>
      </c>
      <c r="AL103" s="151" t="str">
        <f t="shared" si="66"/>
        <v>https://ia800604.us.archive.org/18/items/GADeptofEd1925/GA.pdf#page=16</v>
      </c>
      <c r="AM103" s="152" t="str">
        <f t="shared" si="37"/>
        <v>https://ia800604.us.archive.org/18/items/GADeptofEd1925/GA.pdf#page=41</v>
      </c>
      <c r="AN103" s="151" t="str">
        <f t="shared" si="49"/>
        <v>https://ia800604.us.archive.org/18/items/GADeptofEd1925/GA.pdf#page=16</v>
      </c>
      <c r="AO103" s="152" t="str">
        <f t="shared" si="67"/>
        <v>https://ia800604.us.archive.org/18/items/GADeptofEd1925/GA.pdf#page=32</v>
      </c>
      <c r="AP103" s="151" t="str">
        <f t="shared" si="67"/>
        <v>https://ia800604.us.archive.org/18/items/GADeptofEd1925/GA.pdf#page=30</v>
      </c>
      <c r="AQ103" s="152" t="str">
        <f t="shared" si="67"/>
        <v>https://ia800604.us.archive.org/18/items/GADeptofEd1925/GA.pdf#page=47</v>
      </c>
      <c r="AR103" s="151" t="str">
        <f t="shared" si="67"/>
        <v>https://ia800604.us.archive.org/18/items/GADeptofEd1925/GA.pdf#page=24</v>
      </c>
      <c r="AS103" s="152" t="str">
        <f t="shared" si="50"/>
        <v>https://ia800604.us.archive.org/18/items/GADeptofEd1925/GA.pdf#page=47</v>
      </c>
      <c r="AT103" s="151" t="str">
        <f t="shared" si="59"/>
        <v>https://ia800604.us.archive.org/18/items/GADeptofEd1925/GA.pdf#page=30</v>
      </c>
      <c r="AU103" s="152" t="str">
        <f t="shared" si="59"/>
        <v>https://ia800604.us.archive.org/18/items/GADeptofEd1925/GA.pdf#page=32</v>
      </c>
      <c r="AV103" s="151" t="str">
        <f t="shared" si="59"/>
        <v>https://ia800604.us.archive.org/18/items/GADeptofEd1925/GA.pdf#page=30</v>
      </c>
      <c r="AW103" s="152" t="str">
        <f t="shared" si="59"/>
        <v>https://ia800604.us.archive.org/18/items/GADeptofEd1925/GA.pdf#page=52</v>
      </c>
    </row>
    <row r="104" spans="1:49" x14ac:dyDescent="0.25">
      <c r="A104" s="27" t="s">
        <v>827</v>
      </c>
      <c r="B104" s="27" t="str">
        <f t="shared" si="41"/>
        <v>Georgia</v>
      </c>
      <c r="C104" s="27" t="str">
        <f t="shared" si="42"/>
        <v>Morgan</v>
      </c>
      <c r="D104" s="27">
        <f>980+319</f>
        <v>1299</v>
      </c>
      <c r="E104" s="27">
        <f>1283+210</f>
        <v>1493</v>
      </c>
      <c r="F104" s="27">
        <f t="shared" si="48"/>
        <v>2792</v>
      </c>
      <c r="G104" s="27">
        <v>1</v>
      </c>
      <c r="H104" s="27">
        <f>31+7</f>
        <v>38</v>
      </c>
      <c r="I104" s="27">
        <f>5+1</f>
        <v>6</v>
      </c>
      <c r="J104" s="27">
        <f>3+4</f>
        <v>7</v>
      </c>
      <c r="K104" s="27">
        <f>37+5+1</f>
        <v>43</v>
      </c>
      <c r="L104" s="27">
        <f t="shared" si="61"/>
        <v>95</v>
      </c>
      <c r="M104" s="27">
        <v>165</v>
      </c>
      <c r="N104" s="27">
        <v>120</v>
      </c>
      <c r="O104" s="29">
        <f t="shared" si="60"/>
        <v>140.93660458452723</v>
      </c>
      <c r="P104" s="27">
        <v>4044</v>
      </c>
      <c r="Q104" s="7">
        <f t="shared" si="62"/>
        <v>71541.194999999992</v>
      </c>
      <c r="R104" s="27">
        <f>4623.91+2385</f>
        <v>7008.91</v>
      </c>
      <c r="S104" s="27">
        <v>55</v>
      </c>
      <c r="T104" s="27">
        <f>57.5+90</f>
        <v>147.5</v>
      </c>
      <c r="U104" s="27">
        <f>111.11+175</f>
        <v>286.11</v>
      </c>
      <c r="V104" s="27">
        <f>75+110</f>
        <v>185</v>
      </c>
      <c r="W104" s="89">
        <f t="shared" si="63"/>
        <v>166.76269230769228</v>
      </c>
      <c r="X104" s="89">
        <f t="shared" si="54"/>
        <v>27.166317829457366</v>
      </c>
      <c r="Y104" s="97">
        <f t="shared" si="52"/>
        <v>114.33785298398834</v>
      </c>
      <c r="Z104" s="97">
        <f t="shared" si="64"/>
        <v>103.57696491228069</v>
      </c>
      <c r="AA104" s="27">
        <v>26107</v>
      </c>
      <c r="AB104" s="27">
        <v>65</v>
      </c>
      <c r="AC104" s="27">
        <f>71000+85000</f>
        <v>156000</v>
      </c>
      <c r="AD104" s="27">
        <f>11500+6000</f>
        <v>17500</v>
      </c>
      <c r="AE104" s="29">
        <f t="shared" si="65"/>
        <v>173500</v>
      </c>
      <c r="AF104" s="41">
        <v>1925</v>
      </c>
      <c r="AG104" s="4" t="s">
        <v>567</v>
      </c>
      <c r="AH104" s="151" t="str">
        <f t="shared" si="66"/>
        <v>https://ia800604.us.archive.org/18/items/GADeptofEd1925/GA.pdf#page=11</v>
      </c>
      <c r="AI104" s="152" t="str">
        <f t="shared" si="66"/>
        <v>https://ia800604.us.archive.org/18/items/GADeptofEd1925/GA.pdf#page=34</v>
      </c>
      <c r="AJ104" s="151" t="str">
        <f t="shared" si="66"/>
        <v>https://ia800604.us.archive.org/18/items/GADeptofEd1925/GA.pdf#page=11</v>
      </c>
      <c r="AK104" s="152" t="str">
        <f t="shared" si="66"/>
        <v>https://ia800604.us.archive.org/18/items/GADeptofEd1925/GA.pdf#page=32</v>
      </c>
      <c r="AL104" s="151" t="str">
        <f t="shared" si="66"/>
        <v>https://ia800604.us.archive.org/18/items/GADeptofEd1925/GA.pdf#page=16</v>
      </c>
      <c r="AM104" s="152" t="str">
        <f t="shared" si="37"/>
        <v>https://ia800604.us.archive.org/18/items/GADeptofEd1925/GA.pdf#page=41</v>
      </c>
      <c r="AN104" s="151" t="str">
        <f t="shared" si="49"/>
        <v>https://ia800604.us.archive.org/18/items/GADeptofEd1925/GA.pdf#page=16</v>
      </c>
      <c r="AO104" s="152" t="str">
        <f t="shared" si="67"/>
        <v>https://ia800604.us.archive.org/18/items/GADeptofEd1925/GA.pdf#page=32</v>
      </c>
      <c r="AP104" s="151" t="str">
        <f t="shared" si="67"/>
        <v>https://ia800604.us.archive.org/18/items/GADeptofEd1925/GA.pdf#page=30</v>
      </c>
      <c r="AQ104" s="152" t="str">
        <f t="shared" si="67"/>
        <v>https://ia800604.us.archive.org/18/items/GADeptofEd1925/GA.pdf#page=47</v>
      </c>
      <c r="AR104" s="151" t="str">
        <f t="shared" si="67"/>
        <v>https://ia800604.us.archive.org/18/items/GADeptofEd1925/GA.pdf#page=24</v>
      </c>
      <c r="AS104" s="152" t="str">
        <f t="shared" si="50"/>
        <v>https://ia800604.us.archive.org/18/items/GADeptofEd1925/GA.pdf#page=47</v>
      </c>
      <c r="AT104" s="151" t="str">
        <f t="shared" si="59"/>
        <v>https://ia800604.us.archive.org/18/items/GADeptofEd1925/GA.pdf#page=30</v>
      </c>
      <c r="AU104" s="152" t="str">
        <f t="shared" si="59"/>
        <v>https://ia800604.us.archive.org/18/items/GADeptofEd1925/GA.pdf#page=32</v>
      </c>
      <c r="AV104" s="151" t="str">
        <f t="shared" si="59"/>
        <v>https://ia800604.us.archive.org/18/items/GADeptofEd1925/GA.pdf#page=30</v>
      </c>
      <c r="AW104" s="152" t="str">
        <f t="shared" si="59"/>
        <v>https://ia800604.us.archive.org/18/items/GADeptofEd1925/GA.pdf#page=52</v>
      </c>
    </row>
    <row r="105" spans="1:49" x14ac:dyDescent="0.25">
      <c r="A105" s="27" t="s">
        <v>828</v>
      </c>
      <c r="B105" s="27" t="str">
        <f t="shared" si="41"/>
        <v>Georgia</v>
      </c>
      <c r="C105" s="27" t="str">
        <f t="shared" si="42"/>
        <v>Murray</v>
      </c>
      <c r="D105" s="27">
        <v>1615</v>
      </c>
      <c r="E105" s="27">
        <v>76</v>
      </c>
      <c r="F105" s="27">
        <f t="shared" si="48"/>
        <v>1691</v>
      </c>
      <c r="G105" s="27">
        <v>12</v>
      </c>
      <c r="H105" s="27">
        <v>37</v>
      </c>
      <c r="I105" s="27">
        <v>8</v>
      </c>
      <c r="J105" s="27">
        <v>3</v>
      </c>
      <c r="K105" s="27">
        <v>3</v>
      </c>
      <c r="L105" s="27">
        <f t="shared" si="61"/>
        <v>63</v>
      </c>
      <c r="M105" s="27">
        <v>100</v>
      </c>
      <c r="N105" s="27">
        <v>100</v>
      </c>
      <c r="O105" s="29">
        <f t="shared" si="60"/>
        <v>100</v>
      </c>
      <c r="P105" s="27">
        <v>2688</v>
      </c>
      <c r="Q105" s="7">
        <f t="shared" si="62"/>
        <v>19174.949999999997</v>
      </c>
      <c r="R105" s="27">
        <v>700</v>
      </c>
      <c r="S105" s="27">
        <v>50</v>
      </c>
      <c r="T105" s="27">
        <v>50</v>
      </c>
      <c r="U105" s="27">
        <v>132.5</v>
      </c>
      <c r="V105" s="27">
        <v>108.33</v>
      </c>
      <c r="W105" s="89">
        <f t="shared" si="63"/>
        <v>63.916499999999985</v>
      </c>
      <c r="X105" s="89">
        <f t="shared" si="54"/>
        <v>46.666666666666671</v>
      </c>
      <c r="Y105" s="97">
        <f t="shared" si="52"/>
        <v>63.095079365079357</v>
      </c>
      <c r="Z105" s="97">
        <f t="shared" si="64"/>
        <v>63.09507936507935</v>
      </c>
      <c r="AA105" s="27">
        <v>42809</v>
      </c>
      <c r="AB105" s="27">
        <v>37</v>
      </c>
      <c r="AC105" s="27">
        <v>74950</v>
      </c>
      <c r="AD105" s="27">
        <v>288</v>
      </c>
      <c r="AE105" s="29">
        <f t="shared" si="65"/>
        <v>75238</v>
      </c>
      <c r="AF105" s="41">
        <v>1925</v>
      </c>
      <c r="AG105" s="4" t="s">
        <v>567</v>
      </c>
      <c r="AH105" s="151" t="str">
        <f t="shared" si="66"/>
        <v>https://ia800604.us.archive.org/18/items/GADeptofEd1925/GA.pdf#page=11</v>
      </c>
      <c r="AI105" s="152" t="str">
        <f t="shared" si="66"/>
        <v>https://ia800604.us.archive.org/18/items/GADeptofEd1925/GA.pdf#page=34</v>
      </c>
      <c r="AJ105" s="151" t="str">
        <f t="shared" si="66"/>
        <v>https://ia800604.us.archive.org/18/items/GADeptofEd1925/GA.pdf#page=11</v>
      </c>
      <c r="AK105" s="152" t="str">
        <f t="shared" si="66"/>
        <v>https://ia800604.us.archive.org/18/items/GADeptofEd1925/GA.pdf#page=32</v>
      </c>
      <c r="AL105" s="151" t="str">
        <f t="shared" si="66"/>
        <v>https://ia800604.us.archive.org/18/items/GADeptofEd1925/GA.pdf#page=16</v>
      </c>
      <c r="AM105" s="152" t="str">
        <f t="shared" si="37"/>
        <v>https://ia800604.us.archive.org/18/items/GADeptofEd1925/GA.pdf#page=41</v>
      </c>
      <c r="AN105" s="151" t="str">
        <f t="shared" si="49"/>
        <v>https://ia800604.us.archive.org/18/items/GADeptofEd1925/GA.pdf#page=16</v>
      </c>
      <c r="AO105" s="152" t="str">
        <f t="shared" si="67"/>
        <v>https://ia800604.us.archive.org/18/items/GADeptofEd1925/GA.pdf#page=32</v>
      </c>
      <c r="AP105" s="151" t="str">
        <f t="shared" si="67"/>
        <v>https://ia800604.us.archive.org/18/items/GADeptofEd1925/GA.pdf#page=30</v>
      </c>
      <c r="AQ105" s="152" t="str">
        <f t="shared" si="67"/>
        <v>https://ia800604.us.archive.org/18/items/GADeptofEd1925/GA.pdf#page=47</v>
      </c>
      <c r="AR105" s="151" t="str">
        <f t="shared" si="67"/>
        <v>https://ia800604.us.archive.org/18/items/GADeptofEd1925/GA.pdf#page=24</v>
      </c>
      <c r="AS105" s="152" t="str">
        <f t="shared" si="50"/>
        <v>https://ia800604.us.archive.org/18/items/GADeptofEd1925/GA.pdf#page=47</v>
      </c>
      <c r="AT105" s="151" t="str">
        <f t="shared" si="59"/>
        <v>https://ia800604.us.archive.org/18/items/GADeptofEd1925/GA.pdf#page=30</v>
      </c>
      <c r="AU105" s="152" t="str">
        <f t="shared" si="59"/>
        <v>https://ia800604.us.archive.org/18/items/GADeptofEd1925/GA.pdf#page=32</v>
      </c>
      <c r="AV105" s="151" t="str">
        <f t="shared" si="59"/>
        <v>https://ia800604.us.archive.org/18/items/GADeptofEd1925/GA.pdf#page=30</v>
      </c>
      <c r="AW105" s="152" t="str">
        <f t="shared" si="59"/>
        <v>https://ia800604.us.archive.org/18/items/GADeptofEd1925/GA.pdf#page=52</v>
      </c>
    </row>
    <row r="106" spans="1:49" x14ac:dyDescent="0.25">
      <c r="A106" s="27" t="s">
        <v>829</v>
      </c>
      <c r="B106" s="27" t="str">
        <f t="shared" si="41"/>
        <v>Georgia</v>
      </c>
      <c r="C106" s="27" t="str">
        <f t="shared" si="42"/>
        <v>Muscogee</v>
      </c>
      <c r="D106" s="27">
        <f>1893+4000</f>
        <v>5893</v>
      </c>
      <c r="E106" s="27">
        <f>1510+1500</f>
        <v>3010</v>
      </c>
      <c r="F106" s="27">
        <f t="shared" si="48"/>
        <v>8903</v>
      </c>
      <c r="G106" s="27">
        <f>2+6</f>
        <v>8</v>
      </c>
      <c r="H106" s="27">
        <f>45+81</f>
        <v>126</v>
      </c>
      <c r="I106" s="27">
        <v>9</v>
      </c>
      <c r="J106" s="27">
        <v>19</v>
      </c>
      <c r="K106" s="27">
        <f>31+31+6</f>
        <v>68</v>
      </c>
      <c r="L106" s="27">
        <f t="shared" si="61"/>
        <v>230</v>
      </c>
      <c r="M106" s="27">
        <v>176</v>
      </c>
      <c r="N106" s="27">
        <v>136</v>
      </c>
      <c r="O106" s="29">
        <f t="shared" si="60"/>
        <v>162.47646860608785</v>
      </c>
      <c r="P106" s="27">
        <v>11096</v>
      </c>
      <c r="Q106" s="7">
        <f t="shared" si="62"/>
        <v>257169.26400000002</v>
      </c>
      <c r="R106" s="27">
        <f>7360.85+0</f>
        <v>7360.85</v>
      </c>
      <c r="S106" s="27">
        <f>111.5+172</f>
        <v>283.5</v>
      </c>
      <c r="T106" s="27">
        <f>85.53+97</f>
        <v>182.53</v>
      </c>
      <c r="U106" s="27">
        <v>180</v>
      </c>
      <c r="V106" s="27">
        <v>123</v>
      </c>
      <c r="W106" s="89">
        <f t="shared" si="63"/>
        <v>180.39370370370369</v>
      </c>
      <c r="X106" s="89">
        <f t="shared" si="54"/>
        <v>15.918793252595156</v>
      </c>
      <c r="Y106" s="97">
        <f t="shared" si="52"/>
        <v>140.11128919491526</v>
      </c>
      <c r="Z106" s="97">
        <f t="shared" si="64"/>
        <v>131.76633887468032</v>
      </c>
      <c r="AA106" s="27">
        <v>338622</v>
      </c>
      <c r="AB106" s="27">
        <v>49</v>
      </c>
      <c r="AC106" s="27">
        <f>265000+755000</f>
        <v>1020000</v>
      </c>
      <c r="AD106" s="27">
        <f>10000+100000</f>
        <v>110000</v>
      </c>
      <c r="AE106" s="29">
        <f t="shared" si="65"/>
        <v>1130000</v>
      </c>
      <c r="AF106" s="41">
        <v>1925</v>
      </c>
      <c r="AG106" s="4" t="s">
        <v>567</v>
      </c>
      <c r="AH106" s="151" t="str">
        <f t="shared" si="66"/>
        <v>https://ia800604.us.archive.org/18/items/GADeptofEd1925/GA.pdf#page=11</v>
      </c>
      <c r="AI106" s="152" t="str">
        <f t="shared" si="66"/>
        <v>https://ia800604.us.archive.org/18/items/GADeptofEd1925/GA.pdf#page=34</v>
      </c>
      <c r="AJ106" s="151" t="str">
        <f t="shared" si="66"/>
        <v>https://ia800604.us.archive.org/18/items/GADeptofEd1925/GA.pdf#page=11</v>
      </c>
      <c r="AK106" s="152" t="str">
        <f t="shared" si="66"/>
        <v>https://ia800604.us.archive.org/18/items/GADeptofEd1925/GA.pdf#page=32</v>
      </c>
      <c r="AL106" s="151" t="str">
        <f t="shared" si="66"/>
        <v>https://ia800604.us.archive.org/18/items/GADeptofEd1925/GA.pdf#page=16</v>
      </c>
      <c r="AM106" s="152" t="str">
        <f t="shared" si="37"/>
        <v>https://ia800604.us.archive.org/18/items/GADeptofEd1925/GA.pdf#page=41</v>
      </c>
      <c r="AN106" s="151" t="str">
        <f t="shared" si="49"/>
        <v>https://ia800604.us.archive.org/18/items/GADeptofEd1925/GA.pdf#page=16</v>
      </c>
      <c r="AO106" s="152" t="str">
        <f t="shared" si="67"/>
        <v>https://ia800604.us.archive.org/18/items/GADeptofEd1925/GA.pdf#page=32</v>
      </c>
      <c r="AP106" s="151" t="str">
        <f t="shared" si="67"/>
        <v>https://ia800604.us.archive.org/18/items/GADeptofEd1925/GA.pdf#page=30</v>
      </c>
      <c r="AQ106" s="152" t="str">
        <f t="shared" si="67"/>
        <v>https://ia800604.us.archive.org/18/items/GADeptofEd1925/GA.pdf#page=47</v>
      </c>
      <c r="AR106" s="151" t="str">
        <f t="shared" si="67"/>
        <v>https://ia800604.us.archive.org/18/items/GADeptofEd1925/GA.pdf#page=24</v>
      </c>
      <c r="AS106" s="152" t="str">
        <f t="shared" si="50"/>
        <v>https://ia800604.us.archive.org/18/items/GADeptofEd1925/GA.pdf#page=47</v>
      </c>
      <c r="AT106" s="151" t="str">
        <f t="shared" si="59"/>
        <v>https://ia800604.us.archive.org/18/items/GADeptofEd1925/GA.pdf#page=30</v>
      </c>
      <c r="AU106" s="152" t="str">
        <f t="shared" si="59"/>
        <v>https://ia800604.us.archive.org/18/items/GADeptofEd1925/GA.pdf#page=32</v>
      </c>
      <c r="AV106" s="151" t="str">
        <f t="shared" si="59"/>
        <v>https://ia800604.us.archive.org/18/items/GADeptofEd1925/GA.pdf#page=30</v>
      </c>
      <c r="AW106" s="152" t="str">
        <f t="shared" si="59"/>
        <v>https://ia800604.us.archive.org/18/items/GADeptofEd1925/GA.pdf#page=52</v>
      </c>
    </row>
    <row r="107" spans="1:49" x14ac:dyDescent="0.25">
      <c r="A107" s="27" t="s">
        <v>816</v>
      </c>
      <c r="B107" s="27" t="str">
        <f t="shared" si="41"/>
        <v>Georgia</v>
      </c>
      <c r="C107" s="27" t="str">
        <f t="shared" si="42"/>
        <v>McDuffie</v>
      </c>
      <c r="D107" s="27">
        <f>750+472</f>
        <v>1222</v>
      </c>
      <c r="E107" s="27">
        <f>950+156</f>
        <v>1106</v>
      </c>
      <c r="F107" s="27">
        <f t="shared" si="48"/>
        <v>2328</v>
      </c>
      <c r="G107" s="27">
        <v>1</v>
      </c>
      <c r="H107" s="27">
        <f>17+7</f>
        <v>24</v>
      </c>
      <c r="I107" s="27">
        <f>2+1</f>
        <v>3</v>
      </c>
      <c r="J107" s="27">
        <f>1+3</f>
        <v>4</v>
      </c>
      <c r="K107" s="27">
        <f>18+3</f>
        <v>21</v>
      </c>
      <c r="L107" s="27">
        <f t="shared" si="61"/>
        <v>53</v>
      </c>
      <c r="M107" s="27">
        <v>150</v>
      </c>
      <c r="N107" s="27">
        <v>120</v>
      </c>
      <c r="O107" s="29">
        <f t="shared" si="60"/>
        <v>135.74742268041237</v>
      </c>
      <c r="P107" s="27">
        <v>2775</v>
      </c>
      <c r="Q107" s="7">
        <f t="shared" si="62"/>
        <v>15525</v>
      </c>
      <c r="R107" s="7">
        <f>3804+1219.37</f>
        <v>5023.37</v>
      </c>
      <c r="S107" s="27">
        <v>90</v>
      </c>
      <c r="T107" s="27">
        <v>55</v>
      </c>
      <c r="U107" s="27">
        <v>140</v>
      </c>
      <c r="V107" s="27">
        <v>60</v>
      </c>
      <c r="W107" s="89">
        <f t="shared" si="63"/>
        <v>64.6875</v>
      </c>
      <c r="X107" s="89">
        <f t="shared" si="54"/>
        <v>39.868015873015871</v>
      </c>
      <c r="Y107" s="97">
        <f t="shared" si="52"/>
        <v>56.143087431693992</v>
      </c>
      <c r="Z107" s="97">
        <f t="shared" si="64"/>
        <v>54.853364779874219</v>
      </c>
      <c r="AA107" s="27">
        <v>29204</v>
      </c>
      <c r="AB107" s="27">
        <v>42</v>
      </c>
      <c r="AC107" s="27">
        <f>12000+65000</f>
        <v>77000</v>
      </c>
      <c r="AD107" s="27">
        <f>9000+2000</f>
        <v>11000</v>
      </c>
      <c r="AE107" s="29">
        <f t="shared" si="65"/>
        <v>88000</v>
      </c>
      <c r="AF107" s="41">
        <v>1925</v>
      </c>
      <c r="AG107" s="4" t="s">
        <v>567</v>
      </c>
      <c r="AH107" s="151" t="str">
        <f t="shared" si="66"/>
        <v>https://ia800604.us.archive.org/18/items/GADeptofEd1925/GA.pdf#page=11</v>
      </c>
      <c r="AI107" s="152" t="str">
        <f t="shared" si="66"/>
        <v>https://ia800604.us.archive.org/18/items/GADeptofEd1925/GA.pdf#page=34</v>
      </c>
      <c r="AJ107" s="151" t="str">
        <f t="shared" si="66"/>
        <v>https://ia800604.us.archive.org/18/items/GADeptofEd1925/GA.pdf#page=11</v>
      </c>
      <c r="AK107" s="152" t="str">
        <f t="shared" si="66"/>
        <v>https://ia800604.us.archive.org/18/items/GADeptofEd1925/GA.pdf#page=32</v>
      </c>
      <c r="AL107" s="151" t="str">
        <f t="shared" si="66"/>
        <v>https://ia800604.us.archive.org/18/items/GADeptofEd1925/GA.pdf#page=16</v>
      </c>
      <c r="AM107" s="152" t="str">
        <f t="shared" si="37"/>
        <v>https://ia800604.us.archive.org/18/items/GADeptofEd1925/GA.pdf#page=41</v>
      </c>
      <c r="AN107" s="151" t="str">
        <f t="shared" si="49"/>
        <v>https://ia800604.us.archive.org/18/items/GADeptofEd1925/GA.pdf#page=16</v>
      </c>
      <c r="AO107" s="152" t="str">
        <f t="shared" si="67"/>
        <v>https://ia800604.us.archive.org/18/items/GADeptofEd1925/GA.pdf#page=32</v>
      </c>
      <c r="AP107" s="151" t="str">
        <f t="shared" si="67"/>
        <v>https://ia800604.us.archive.org/18/items/GADeptofEd1925/GA.pdf#page=30</v>
      </c>
      <c r="AQ107" s="152" t="str">
        <f t="shared" si="67"/>
        <v>https://ia800604.us.archive.org/18/items/GADeptofEd1925/GA.pdf#page=47</v>
      </c>
      <c r="AR107" s="151" t="str">
        <f t="shared" si="67"/>
        <v>https://ia800604.us.archive.org/18/items/GADeptofEd1925/GA.pdf#page=24</v>
      </c>
      <c r="AS107" s="152" t="str">
        <f t="shared" si="50"/>
        <v>https://ia800604.us.archive.org/18/items/GADeptofEd1925/GA.pdf#page=47</v>
      </c>
      <c r="AT107" s="151" t="str">
        <f t="shared" si="59"/>
        <v>https://ia800604.us.archive.org/18/items/GADeptofEd1925/GA.pdf#page=30</v>
      </c>
      <c r="AU107" s="152" t="str">
        <f t="shared" si="59"/>
        <v>https://ia800604.us.archive.org/18/items/GADeptofEd1925/GA.pdf#page=32</v>
      </c>
      <c r="AV107" s="151" t="str">
        <f t="shared" si="59"/>
        <v>https://ia800604.us.archive.org/18/items/GADeptofEd1925/GA.pdf#page=30</v>
      </c>
      <c r="AW107" s="152" t="str">
        <f t="shared" si="59"/>
        <v>https://ia800604.us.archive.org/18/items/GADeptofEd1925/GA.pdf#page=52</v>
      </c>
    </row>
    <row r="108" spans="1:49" x14ac:dyDescent="0.25">
      <c r="A108" s="27" t="s">
        <v>817</v>
      </c>
      <c r="B108" s="27" t="str">
        <f t="shared" si="41"/>
        <v>Georgia</v>
      </c>
      <c r="C108" s="27" t="str">
        <f t="shared" si="42"/>
        <v>McIntosh</v>
      </c>
      <c r="D108" s="27">
        <v>375</v>
      </c>
      <c r="E108" s="27">
        <v>977</v>
      </c>
      <c r="F108" s="27">
        <f t="shared" si="48"/>
        <v>1352</v>
      </c>
      <c r="G108" s="27">
        <v>1</v>
      </c>
      <c r="H108" s="27">
        <v>8</v>
      </c>
      <c r="I108" s="27">
        <v>1</v>
      </c>
      <c r="J108" s="27">
        <v>3</v>
      </c>
      <c r="K108" s="27">
        <v>21</v>
      </c>
      <c r="L108" s="27">
        <f t="shared" si="61"/>
        <v>34</v>
      </c>
      <c r="M108" s="27">
        <v>160</v>
      </c>
      <c r="N108" s="27">
        <v>160</v>
      </c>
      <c r="O108" s="29">
        <f t="shared" si="60"/>
        <v>160</v>
      </c>
      <c r="P108" s="27">
        <v>1664</v>
      </c>
      <c r="Q108" s="7">
        <f t="shared" si="62"/>
        <v>9212</v>
      </c>
      <c r="R108" s="27"/>
      <c r="S108" s="27">
        <v>115</v>
      </c>
      <c r="T108" s="27">
        <v>68</v>
      </c>
      <c r="U108" s="27">
        <v>200</v>
      </c>
      <c r="V108" s="27">
        <v>97.5</v>
      </c>
      <c r="W108" s="89">
        <f t="shared" si="63"/>
        <v>88.57692307692308</v>
      </c>
      <c r="X108" s="89">
        <f t="shared" ref="X108:X139" si="68">R108/K108/(N108/20)</f>
        <v>0</v>
      </c>
      <c r="Y108" s="97">
        <f t="shared" si="52"/>
        <v>33.867647058823529</v>
      </c>
      <c r="Z108" s="97">
        <f t="shared" si="64"/>
        <v>33.867647058823529</v>
      </c>
      <c r="AA108" s="27">
        <v>16984</v>
      </c>
      <c r="AB108" s="27">
        <v>10</v>
      </c>
      <c r="AC108" s="27">
        <v>62000</v>
      </c>
      <c r="AD108" s="27">
        <f>15500</f>
        <v>15500</v>
      </c>
      <c r="AE108" s="29">
        <f t="shared" si="65"/>
        <v>77500</v>
      </c>
      <c r="AF108" s="41">
        <v>1925</v>
      </c>
      <c r="AG108" s="4" t="s">
        <v>567</v>
      </c>
      <c r="AH108" s="151" t="str">
        <f t="shared" si="66"/>
        <v>https://ia800604.us.archive.org/18/items/GADeptofEd1925/GA.pdf#page=11</v>
      </c>
      <c r="AI108" s="152" t="str">
        <f t="shared" si="66"/>
        <v>https://ia800604.us.archive.org/18/items/GADeptofEd1925/GA.pdf#page=34</v>
      </c>
      <c r="AJ108" s="151" t="str">
        <f t="shared" si="66"/>
        <v>https://ia800604.us.archive.org/18/items/GADeptofEd1925/GA.pdf#page=11</v>
      </c>
      <c r="AK108" s="152" t="str">
        <f t="shared" si="66"/>
        <v>https://ia800604.us.archive.org/18/items/GADeptofEd1925/GA.pdf#page=32</v>
      </c>
      <c r="AL108" s="151" t="str">
        <f t="shared" si="66"/>
        <v>https://ia800604.us.archive.org/18/items/GADeptofEd1925/GA.pdf#page=16</v>
      </c>
      <c r="AM108" s="152" t="str">
        <f t="shared" si="37"/>
        <v>https://ia800604.us.archive.org/18/items/GADeptofEd1925/GA.pdf#page=41</v>
      </c>
      <c r="AN108" s="151" t="str">
        <f t="shared" si="49"/>
        <v>https://ia800604.us.archive.org/18/items/GADeptofEd1925/GA.pdf#page=16</v>
      </c>
      <c r="AO108" s="152" t="str">
        <f t="shared" si="67"/>
        <v>https://ia800604.us.archive.org/18/items/GADeptofEd1925/GA.pdf#page=32</v>
      </c>
      <c r="AP108" s="151" t="str">
        <f t="shared" si="67"/>
        <v>https://ia800604.us.archive.org/18/items/GADeptofEd1925/GA.pdf#page=30</v>
      </c>
      <c r="AQ108" s="152" t="str">
        <f t="shared" si="67"/>
        <v>https://ia800604.us.archive.org/18/items/GADeptofEd1925/GA.pdf#page=47</v>
      </c>
      <c r="AR108" s="151" t="str">
        <f t="shared" si="67"/>
        <v>https://ia800604.us.archive.org/18/items/GADeptofEd1925/GA.pdf#page=24</v>
      </c>
      <c r="AS108" s="152" t="str">
        <f t="shared" si="50"/>
        <v>https://ia800604.us.archive.org/18/items/GADeptofEd1925/GA.pdf#page=47</v>
      </c>
      <c r="AT108" s="151" t="str">
        <f t="shared" si="59"/>
        <v>https://ia800604.us.archive.org/18/items/GADeptofEd1925/GA.pdf#page=30</v>
      </c>
      <c r="AU108" s="152" t="str">
        <f t="shared" si="59"/>
        <v>https://ia800604.us.archive.org/18/items/GADeptofEd1925/GA.pdf#page=32</v>
      </c>
      <c r="AV108" s="151" t="str">
        <f t="shared" si="59"/>
        <v>https://ia800604.us.archive.org/18/items/GADeptofEd1925/GA.pdf#page=30</v>
      </c>
      <c r="AW108" s="152" t="str">
        <f t="shared" si="59"/>
        <v>https://ia800604.us.archive.org/18/items/GADeptofEd1925/GA.pdf#page=52</v>
      </c>
    </row>
    <row r="109" spans="1:49" x14ac:dyDescent="0.25">
      <c r="A109" s="27" t="s">
        <v>830</v>
      </c>
      <c r="B109" s="27" t="str">
        <f t="shared" si="41"/>
        <v>Georgia</v>
      </c>
      <c r="C109" s="27" t="str">
        <f t="shared" si="42"/>
        <v>Newton</v>
      </c>
      <c r="D109" s="27">
        <f>1782+400</f>
        <v>2182</v>
      </c>
      <c r="E109" s="27">
        <f>1251+300</f>
        <v>1551</v>
      </c>
      <c r="F109" s="27">
        <f t="shared" si="48"/>
        <v>3733</v>
      </c>
      <c r="G109" s="27">
        <v>6</v>
      </c>
      <c r="H109" s="27">
        <f>55+10</f>
        <v>65</v>
      </c>
      <c r="I109" s="27">
        <f>4+3</f>
        <v>7</v>
      </c>
      <c r="J109" s="27">
        <f>4+3</f>
        <v>7</v>
      </c>
      <c r="K109" s="27">
        <f>30+4+1</f>
        <v>35</v>
      </c>
      <c r="L109" s="27">
        <f t="shared" si="61"/>
        <v>120</v>
      </c>
      <c r="M109" s="27">
        <v>140</v>
      </c>
      <c r="N109" s="27">
        <v>140</v>
      </c>
      <c r="O109" s="29">
        <f t="shared" si="60"/>
        <v>140</v>
      </c>
      <c r="P109" s="27">
        <v>5088</v>
      </c>
      <c r="Q109" s="7">
        <f t="shared" si="62"/>
        <v>92785</v>
      </c>
      <c r="R109" s="27">
        <f>4856.94+1665</f>
        <v>6521.94</v>
      </c>
      <c r="S109" s="27">
        <v>75</v>
      </c>
      <c r="T109" s="27">
        <f>65+90</f>
        <v>155</v>
      </c>
      <c r="U109" s="27">
        <f>75+140</f>
        <v>215</v>
      </c>
      <c r="V109" s="27">
        <f>65+110</f>
        <v>175</v>
      </c>
      <c r="W109" s="89">
        <f t="shared" si="63"/>
        <v>155.94117647058823</v>
      </c>
      <c r="X109" s="89">
        <f t="shared" si="68"/>
        <v>26.620163265306122</v>
      </c>
      <c r="Y109" s="97">
        <f t="shared" si="52"/>
        <v>118.22254761904763</v>
      </c>
      <c r="Z109" s="97">
        <f t="shared" si="64"/>
        <v>118.22254761904762</v>
      </c>
      <c r="AA109" s="27">
        <v>66679</v>
      </c>
      <c r="AB109" s="27">
        <v>47</v>
      </c>
      <c r="AC109" s="27">
        <f>120000+70000</f>
        <v>190000</v>
      </c>
      <c r="AD109" s="27">
        <f>12000+8000</f>
        <v>20000</v>
      </c>
      <c r="AE109" s="29">
        <f t="shared" si="65"/>
        <v>210000</v>
      </c>
      <c r="AF109" s="41">
        <v>1925</v>
      </c>
      <c r="AG109" s="4" t="s">
        <v>567</v>
      </c>
      <c r="AH109" s="151" t="str">
        <f t="shared" si="66"/>
        <v>https://ia800604.us.archive.org/18/items/GADeptofEd1925/GA.pdf#page=11</v>
      </c>
      <c r="AI109" s="152" t="str">
        <f t="shared" si="66"/>
        <v>https://ia800604.us.archive.org/18/items/GADeptofEd1925/GA.pdf#page=34</v>
      </c>
      <c r="AJ109" s="151" t="str">
        <f t="shared" si="66"/>
        <v>https://ia800604.us.archive.org/18/items/GADeptofEd1925/GA.pdf#page=11</v>
      </c>
      <c r="AK109" s="152" t="str">
        <f t="shared" si="66"/>
        <v>https://ia800604.us.archive.org/18/items/GADeptofEd1925/GA.pdf#page=32</v>
      </c>
      <c r="AL109" s="151" t="str">
        <f t="shared" si="66"/>
        <v>https://ia800604.us.archive.org/18/items/GADeptofEd1925/GA.pdf#page=16</v>
      </c>
      <c r="AM109" s="152" t="str">
        <f t="shared" si="37"/>
        <v>https://ia800604.us.archive.org/18/items/GADeptofEd1925/GA.pdf#page=41</v>
      </c>
      <c r="AN109" s="151" t="str">
        <f t="shared" si="49"/>
        <v>https://ia800604.us.archive.org/18/items/GADeptofEd1925/GA.pdf#page=16</v>
      </c>
      <c r="AO109" s="152" t="str">
        <f t="shared" si="67"/>
        <v>https://ia800604.us.archive.org/18/items/GADeptofEd1925/GA.pdf#page=32</v>
      </c>
      <c r="AP109" s="151" t="str">
        <f t="shared" si="67"/>
        <v>https://ia800604.us.archive.org/18/items/GADeptofEd1925/GA.pdf#page=30</v>
      </c>
      <c r="AQ109" s="152" t="str">
        <f t="shared" si="67"/>
        <v>https://ia800604.us.archive.org/18/items/GADeptofEd1925/GA.pdf#page=47</v>
      </c>
      <c r="AR109" s="151" t="str">
        <f t="shared" si="67"/>
        <v>https://ia800604.us.archive.org/18/items/GADeptofEd1925/GA.pdf#page=24</v>
      </c>
      <c r="AS109" s="152" t="str">
        <f t="shared" si="50"/>
        <v>https://ia800604.us.archive.org/18/items/GADeptofEd1925/GA.pdf#page=47</v>
      </c>
      <c r="AT109" s="151" t="str">
        <f t="shared" ref="AT109:AW124" si="69">AT108</f>
        <v>https://ia800604.us.archive.org/18/items/GADeptofEd1925/GA.pdf#page=30</v>
      </c>
      <c r="AU109" s="152" t="str">
        <f t="shared" si="69"/>
        <v>https://ia800604.us.archive.org/18/items/GADeptofEd1925/GA.pdf#page=32</v>
      </c>
      <c r="AV109" s="151" t="str">
        <f t="shared" si="69"/>
        <v>https://ia800604.us.archive.org/18/items/GADeptofEd1925/GA.pdf#page=30</v>
      </c>
      <c r="AW109" s="152" t="str">
        <f t="shared" si="69"/>
        <v>https://ia800604.us.archive.org/18/items/GADeptofEd1925/GA.pdf#page=52</v>
      </c>
    </row>
    <row r="110" spans="1:49" x14ac:dyDescent="0.25">
      <c r="A110" s="27" t="s">
        <v>831</v>
      </c>
      <c r="B110" s="27" t="str">
        <f t="shared" si="41"/>
        <v>Georgia</v>
      </c>
      <c r="C110" s="27" t="str">
        <f t="shared" si="42"/>
        <v>Oconee</v>
      </c>
      <c r="D110" s="27">
        <v>1160</v>
      </c>
      <c r="E110" s="27">
        <v>510</v>
      </c>
      <c r="F110" s="27">
        <f t="shared" si="48"/>
        <v>1670</v>
      </c>
      <c r="G110" s="27">
        <v>6</v>
      </c>
      <c r="H110" s="27">
        <v>32</v>
      </c>
      <c r="I110" s="27">
        <v>4</v>
      </c>
      <c r="J110" s="27">
        <v>2</v>
      </c>
      <c r="K110" s="27">
        <v>17</v>
      </c>
      <c r="L110" s="27">
        <f t="shared" si="61"/>
        <v>61</v>
      </c>
      <c r="M110" s="27">
        <v>120</v>
      </c>
      <c r="N110" s="27">
        <v>120</v>
      </c>
      <c r="O110" s="29">
        <f t="shared" si="60"/>
        <v>120</v>
      </c>
      <c r="P110" s="27">
        <v>2020</v>
      </c>
      <c r="Q110" s="7">
        <f t="shared" si="62"/>
        <v>16980</v>
      </c>
      <c r="R110" s="27">
        <v>3280.25</v>
      </c>
      <c r="S110" s="27">
        <v>65</v>
      </c>
      <c r="T110" s="27">
        <v>65</v>
      </c>
      <c r="U110" s="27">
        <v>90</v>
      </c>
      <c r="V110" s="27"/>
      <c r="W110" s="89">
        <f t="shared" si="63"/>
        <v>64.318181818181827</v>
      </c>
      <c r="X110" s="89">
        <f t="shared" si="68"/>
        <v>32.1593137254902</v>
      </c>
      <c r="Y110" s="97">
        <f t="shared" si="52"/>
        <v>55.355874316939889</v>
      </c>
      <c r="Z110" s="97">
        <f t="shared" si="64"/>
        <v>55.355874316939904</v>
      </c>
      <c r="AA110" s="27">
        <v>22288</v>
      </c>
      <c r="AB110" s="27">
        <v>33</v>
      </c>
      <c r="AC110" s="27">
        <v>51600</v>
      </c>
      <c r="AD110" s="27">
        <v>3600</v>
      </c>
      <c r="AE110" s="29">
        <f t="shared" si="65"/>
        <v>55200</v>
      </c>
      <c r="AF110" s="41">
        <v>1925</v>
      </c>
      <c r="AG110" s="4" t="s">
        <v>567</v>
      </c>
      <c r="AH110" s="151" t="str">
        <f t="shared" si="66"/>
        <v>https://ia800604.us.archive.org/18/items/GADeptofEd1925/GA.pdf#page=11</v>
      </c>
      <c r="AI110" s="152" t="str">
        <f t="shared" si="66"/>
        <v>https://ia800604.us.archive.org/18/items/GADeptofEd1925/GA.pdf#page=34</v>
      </c>
      <c r="AJ110" s="151" t="str">
        <f t="shared" si="66"/>
        <v>https://ia800604.us.archive.org/18/items/GADeptofEd1925/GA.pdf#page=11</v>
      </c>
      <c r="AK110" s="152" t="str">
        <f t="shared" si="66"/>
        <v>https://ia800604.us.archive.org/18/items/GADeptofEd1925/GA.pdf#page=32</v>
      </c>
      <c r="AL110" s="151" t="str">
        <f t="shared" si="66"/>
        <v>https://ia800604.us.archive.org/18/items/GADeptofEd1925/GA.pdf#page=16</v>
      </c>
      <c r="AM110" s="152" t="str">
        <f t="shared" si="37"/>
        <v>https://ia800604.us.archive.org/18/items/GADeptofEd1925/GA.pdf#page=41</v>
      </c>
      <c r="AN110" s="151" t="str">
        <f t="shared" si="49"/>
        <v>https://ia800604.us.archive.org/18/items/GADeptofEd1925/GA.pdf#page=16</v>
      </c>
      <c r="AO110" s="152" t="str">
        <f t="shared" si="67"/>
        <v>https://ia800604.us.archive.org/18/items/GADeptofEd1925/GA.pdf#page=32</v>
      </c>
      <c r="AP110" s="151" t="str">
        <f t="shared" si="67"/>
        <v>https://ia800604.us.archive.org/18/items/GADeptofEd1925/GA.pdf#page=30</v>
      </c>
      <c r="AQ110" s="152" t="str">
        <f t="shared" si="67"/>
        <v>https://ia800604.us.archive.org/18/items/GADeptofEd1925/GA.pdf#page=47</v>
      </c>
      <c r="AR110" s="151" t="str">
        <f t="shared" si="67"/>
        <v>https://ia800604.us.archive.org/18/items/GADeptofEd1925/GA.pdf#page=24</v>
      </c>
      <c r="AS110" s="152" t="str">
        <f t="shared" si="50"/>
        <v>https://ia800604.us.archive.org/18/items/GADeptofEd1925/GA.pdf#page=47</v>
      </c>
      <c r="AT110" s="151" t="str">
        <f t="shared" si="69"/>
        <v>https://ia800604.us.archive.org/18/items/GADeptofEd1925/GA.pdf#page=30</v>
      </c>
      <c r="AU110" s="152" t="str">
        <f t="shared" si="69"/>
        <v>https://ia800604.us.archive.org/18/items/GADeptofEd1925/GA.pdf#page=32</v>
      </c>
      <c r="AV110" s="151" t="str">
        <f t="shared" si="69"/>
        <v>https://ia800604.us.archive.org/18/items/GADeptofEd1925/GA.pdf#page=30</v>
      </c>
      <c r="AW110" s="152" t="str">
        <f t="shared" si="69"/>
        <v>https://ia800604.us.archive.org/18/items/GADeptofEd1925/GA.pdf#page=52</v>
      </c>
    </row>
    <row r="111" spans="1:49" x14ac:dyDescent="0.25">
      <c r="A111" s="27" t="s">
        <v>832</v>
      </c>
      <c r="B111" s="27" t="str">
        <f t="shared" si="41"/>
        <v>Georgia</v>
      </c>
      <c r="C111" s="27" t="str">
        <f t="shared" si="42"/>
        <v>Oglethorpe</v>
      </c>
      <c r="D111" s="27">
        <v>1595</v>
      </c>
      <c r="E111" s="27">
        <v>1658</v>
      </c>
      <c r="F111" s="27">
        <f t="shared" si="48"/>
        <v>3253</v>
      </c>
      <c r="G111" s="27">
        <v>6</v>
      </c>
      <c r="H111" s="27">
        <v>49</v>
      </c>
      <c r="I111" s="27">
        <v>7</v>
      </c>
      <c r="J111" s="27">
        <v>8</v>
      </c>
      <c r="K111" s="27">
        <v>41</v>
      </c>
      <c r="L111" s="27">
        <f t="shared" si="61"/>
        <v>111</v>
      </c>
      <c r="M111" s="27">
        <v>120</v>
      </c>
      <c r="N111" s="27">
        <v>120</v>
      </c>
      <c r="O111" s="29">
        <f t="shared" si="60"/>
        <v>120</v>
      </c>
      <c r="P111" s="27">
        <v>4819</v>
      </c>
      <c r="Q111" s="7">
        <f t="shared" si="62"/>
        <v>32280</v>
      </c>
      <c r="R111" s="27">
        <v>6272.5</v>
      </c>
      <c r="S111" s="27">
        <v>100</v>
      </c>
      <c r="T111" s="27">
        <v>65</v>
      </c>
      <c r="U111" s="27">
        <v>125</v>
      </c>
      <c r="V111" s="27">
        <v>90</v>
      </c>
      <c r="W111" s="89">
        <f t="shared" si="63"/>
        <v>76.857142857142861</v>
      </c>
      <c r="X111" s="89">
        <f t="shared" si="68"/>
        <v>25.497967479674799</v>
      </c>
      <c r="Y111" s="97">
        <f t="shared" si="52"/>
        <v>57.886636636636638</v>
      </c>
      <c r="Z111" s="97">
        <f t="shared" si="64"/>
        <v>57.886636636636638</v>
      </c>
      <c r="AA111" s="27">
        <v>38501</v>
      </c>
      <c r="AB111" s="27">
        <v>77</v>
      </c>
      <c r="AC111" s="27">
        <v>57500</v>
      </c>
      <c r="AD111" s="27">
        <v>10000</v>
      </c>
      <c r="AE111" s="29">
        <f t="shared" si="65"/>
        <v>67500</v>
      </c>
      <c r="AF111" s="41">
        <v>1925</v>
      </c>
      <c r="AG111" s="4" t="s">
        <v>567</v>
      </c>
      <c r="AH111" s="151" t="str">
        <f t="shared" si="66"/>
        <v>https://ia800604.us.archive.org/18/items/GADeptofEd1925/GA.pdf#page=11</v>
      </c>
      <c r="AI111" s="152" t="str">
        <f t="shared" si="66"/>
        <v>https://ia800604.us.archive.org/18/items/GADeptofEd1925/GA.pdf#page=34</v>
      </c>
      <c r="AJ111" s="151" t="str">
        <f t="shared" si="66"/>
        <v>https://ia800604.us.archive.org/18/items/GADeptofEd1925/GA.pdf#page=11</v>
      </c>
      <c r="AK111" s="152" t="str">
        <f t="shared" si="66"/>
        <v>https://ia800604.us.archive.org/18/items/GADeptofEd1925/GA.pdf#page=32</v>
      </c>
      <c r="AL111" s="151" t="str">
        <f t="shared" si="66"/>
        <v>https://ia800604.us.archive.org/18/items/GADeptofEd1925/GA.pdf#page=16</v>
      </c>
      <c r="AM111" s="152" t="str">
        <f t="shared" si="37"/>
        <v>https://ia800604.us.archive.org/18/items/GADeptofEd1925/GA.pdf#page=41</v>
      </c>
      <c r="AN111" s="151" t="str">
        <f t="shared" si="49"/>
        <v>https://ia800604.us.archive.org/18/items/GADeptofEd1925/GA.pdf#page=16</v>
      </c>
      <c r="AO111" s="152" t="str">
        <f t="shared" si="67"/>
        <v>https://ia800604.us.archive.org/18/items/GADeptofEd1925/GA.pdf#page=32</v>
      </c>
      <c r="AP111" s="151" t="str">
        <f t="shared" si="67"/>
        <v>https://ia800604.us.archive.org/18/items/GADeptofEd1925/GA.pdf#page=30</v>
      </c>
      <c r="AQ111" s="152" t="str">
        <f t="shared" si="67"/>
        <v>https://ia800604.us.archive.org/18/items/GADeptofEd1925/GA.pdf#page=47</v>
      </c>
      <c r="AR111" s="151" t="str">
        <f t="shared" si="67"/>
        <v>https://ia800604.us.archive.org/18/items/GADeptofEd1925/GA.pdf#page=24</v>
      </c>
      <c r="AS111" s="152" t="str">
        <f t="shared" si="50"/>
        <v>https://ia800604.us.archive.org/18/items/GADeptofEd1925/GA.pdf#page=47</v>
      </c>
      <c r="AT111" s="151" t="str">
        <f t="shared" si="69"/>
        <v>https://ia800604.us.archive.org/18/items/GADeptofEd1925/GA.pdf#page=30</v>
      </c>
      <c r="AU111" s="152" t="str">
        <f t="shared" si="69"/>
        <v>https://ia800604.us.archive.org/18/items/GADeptofEd1925/GA.pdf#page=32</v>
      </c>
      <c r="AV111" s="151" t="str">
        <f t="shared" si="69"/>
        <v>https://ia800604.us.archive.org/18/items/GADeptofEd1925/GA.pdf#page=30</v>
      </c>
      <c r="AW111" s="152" t="str">
        <f t="shared" si="69"/>
        <v>https://ia800604.us.archive.org/18/items/GADeptofEd1925/GA.pdf#page=52</v>
      </c>
    </row>
    <row r="112" spans="1:49" x14ac:dyDescent="0.25">
      <c r="A112" s="27" t="s">
        <v>833</v>
      </c>
      <c r="B112" s="27" t="str">
        <f t="shared" si="41"/>
        <v>Georgia</v>
      </c>
      <c r="C112" s="27" t="str">
        <f t="shared" si="42"/>
        <v>Paulding</v>
      </c>
      <c r="D112" s="27">
        <v>2255</v>
      </c>
      <c r="E112" s="27">
        <v>89</v>
      </c>
      <c r="F112" s="27">
        <f t="shared" si="48"/>
        <v>2344</v>
      </c>
      <c r="G112" s="27">
        <v>28</v>
      </c>
      <c r="H112" s="27">
        <v>38</v>
      </c>
      <c r="I112" s="27">
        <v>4</v>
      </c>
      <c r="J112" s="27">
        <v>6</v>
      </c>
      <c r="K112" s="27">
        <v>10</v>
      </c>
      <c r="L112" s="27">
        <f t="shared" si="61"/>
        <v>86</v>
      </c>
      <c r="M112" s="27">
        <v>120</v>
      </c>
      <c r="N112" s="27">
        <v>120</v>
      </c>
      <c r="O112" s="29">
        <f t="shared" si="60"/>
        <v>120</v>
      </c>
      <c r="P112" s="27">
        <v>3685</v>
      </c>
      <c r="Q112" s="7">
        <f t="shared" si="62"/>
        <v>34632</v>
      </c>
      <c r="R112" s="27">
        <v>2501.31</v>
      </c>
      <c r="S112" s="27">
        <v>76.5</v>
      </c>
      <c r="T112" s="27">
        <v>66</v>
      </c>
      <c r="U112" s="27">
        <v>153</v>
      </c>
      <c r="V112" s="27">
        <v>85</v>
      </c>
      <c r="W112" s="89">
        <f t="shared" si="63"/>
        <v>75.94736842105263</v>
      </c>
      <c r="X112" s="89">
        <f t="shared" si="68"/>
        <v>41.688499999999998</v>
      </c>
      <c r="Y112" s="97">
        <f t="shared" si="52"/>
        <v>71.96377906976744</v>
      </c>
      <c r="Z112" s="97">
        <f t="shared" si="64"/>
        <v>71.96377906976744</v>
      </c>
      <c r="AA112" s="27">
        <v>39584</v>
      </c>
      <c r="AB112" s="27">
        <v>48</v>
      </c>
      <c r="AC112" s="27">
        <v>76000</v>
      </c>
      <c r="AD112" s="27">
        <v>2000</v>
      </c>
      <c r="AE112" s="29">
        <f t="shared" si="65"/>
        <v>78000</v>
      </c>
      <c r="AF112" s="41">
        <v>1925</v>
      </c>
      <c r="AG112" s="4" t="s">
        <v>567</v>
      </c>
      <c r="AH112" s="151" t="str">
        <f t="shared" si="66"/>
        <v>https://ia800604.us.archive.org/18/items/GADeptofEd1925/GA.pdf#page=11</v>
      </c>
      <c r="AI112" s="152" t="str">
        <f t="shared" si="66"/>
        <v>https://ia800604.us.archive.org/18/items/GADeptofEd1925/GA.pdf#page=34</v>
      </c>
      <c r="AJ112" s="151" t="str">
        <f t="shared" si="66"/>
        <v>https://ia800604.us.archive.org/18/items/GADeptofEd1925/GA.pdf#page=11</v>
      </c>
      <c r="AK112" s="152" t="str">
        <f t="shared" si="66"/>
        <v>https://ia800604.us.archive.org/18/items/GADeptofEd1925/GA.pdf#page=32</v>
      </c>
      <c r="AL112" s="151" t="str">
        <f t="shared" si="66"/>
        <v>https://ia800604.us.archive.org/18/items/GADeptofEd1925/GA.pdf#page=16</v>
      </c>
      <c r="AM112" s="152" t="str">
        <f t="shared" si="37"/>
        <v>https://ia800604.us.archive.org/18/items/GADeptofEd1925/GA.pdf#page=41</v>
      </c>
      <c r="AN112" s="151" t="str">
        <f t="shared" si="49"/>
        <v>https://ia800604.us.archive.org/18/items/GADeptofEd1925/GA.pdf#page=16</v>
      </c>
      <c r="AO112" s="152" t="str">
        <f t="shared" si="67"/>
        <v>https://ia800604.us.archive.org/18/items/GADeptofEd1925/GA.pdf#page=32</v>
      </c>
      <c r="AP112" s="151" t="str">
        <f t="shared" si="67"/>
        <v>https://ia800604.us.archive.org/18/items/GADeptofEd1925/GA.pdf#page=30</v>
      </c>
      <c r="AQ112" s="152" t="str">
        <f t="shared" si="67"/>
        <v>https://ia800604.us.archive.org/18/items/GADeptofEd1925/GA.pdf#page=47</v>
      </c>
      <c r="AR112" s="151" t="str">
        <f t="shared" si="67"/>
        <v>https://ia800604.us.archive.org/18/items/GADeptofEd1925/GA.pdf#page=24</v>
      </c>
      <c r="AS112" s="152" t="str">
        <f t="shared" si="50"/>
        <v>https://ia800604.us.archive.org/18/items/GADeptofEd1925/GA.pdf#page=47</v>
      </c>
      <c r="AT112" s="151" t="str">
        <f t="shared" si="69"/>
        <v>https://ia800604.us.archive.org/18/items/GADeptofEd1925/GA.pdf#page=30</v>
      </c>
      <c r="AU112" s="152" t="str">
        <f t="shared" si="69"/>
        <v>https://ia800604.us.archive.org/18/items/GADeptofEd1925/GA.pdf#page=32</v>
      </c>
      <c r="AV112" s="151" t="str">
        <f t="shared" si="69"/>
        <v>https://ia800604.us.archive.org/18/items/GADeptofEd1925/GA.pdf#page=30</v>
      </c>
      <c r="AW112" s="152" t="str">
        <f t="shared" si="69"/>
        <v>https://ia800604.us.archive.org/18/items/GADeptofEd1925/GA.pdf#page=52</v>
      </c>
    </row>
    <row r="113" spans="1:49" x14ac:dyDescent="0.25">
      <c r="A113" s="27" t="s">
        <v>835</v>
      </c>
      <c r="B113" s="27" t="str">
        <f t="shared" si="41"/>
        <v>Georgia</v>
      </c>
      <c r="C113" s="27" t="str">
        <f t="shared" si="42"/>
        <v>Pickens</v>
      </c>
      <c r="D113" s="27">
        <f>1710+260</f>
        <v>1970</v>
      </c>
      <c r="E113" s="27">
        <v>116</v>
      </c>
      <c r="F113" s="27">
        <f t="shared" si="48"/>
        <v>2086</v>
      </c>
      <c r="G113" s="27">
        <f>18+1</f>
        <v>19</v>
      </c>
      <c r="H113" s="27">
        <f>32+5</f>
        <v>37</v>
      </c>
      <c r="I113" s="27">
        <f>3+1</f>
        <v>4</v>
      </c>
      <c r="J113" s="27">
        <f>4+3</f>
        <v>7</v>
      </c>
      <c r="K113" s="27">
        <f>5+1</f>
        <v>6</v>
      </c>
      <c r="L113" s="27">
        <f t="shared" si="61"/>
        <v>73</v>
      </c>
      <c r="M113" s="27">
        <v>140</v>
      </c>
      <c r="N113" s="27">
        <v>130</v>
      </c>
      <c r="O113" s="29">
        <f t="shared" si="60"/>
        <v>139.44391179290508</v>
      </c>
      <c r="P113" s="27">
        <v>2951</v>
      </c>
      <c r="Q113" s="7">
        <f t="shared" si="62"/>
        <v>61530</v>
      </c>
      <c r="R113" s="27">
        <f>2750+612.5</f>
        <v>3362.5</v>
      </c>
      <c r="S113" s="27">
        <v>70</v>
      </c>
      <c r="T113" s="27">
        <f>65+85</f>
        <v>150</v>
      </c>
      <c r="U113" s="27">
        <v>145</v>
      </c>
      <c r="V113" s="27">
        <f>100+90</f>
        <v>190</v>
      </c>
      <c r="W113" s="89">
        <f t="shared" si="63"/>
        <v>131.19402985074626</v>
      </c>
      <c r="X113" s="89">
        <f t="shared" si="68"/>
        <v>86.217948717948715</v>
      </c>
      <c r="Y113" s="97">
        <f t="shared" si="52"/>
        <v>127.74114173228345</v>
      </c>
      <c r="Z113" s="97">
        <f t="shared" si="64"/>
        <v>127.49736564805056</v>
      </c>
      <c r="AA113" s="27">
        <v>44479</v>
      </c>
      <c r="AB113" s="27">
        <v>33</v>
      </c>
      <c r="AC113" s="27">
        <f>51000+30000</f>
        <v>81000</v>
      </c>
      <c r="AD113" s="27">
        <v>6000</v>
      </c>
      <c r="AE113" s="29">
        <f t="shared" si="65"/>
        <v>87000</v>
      </c>
      <c r="AF113" s="41">
        <v>1925</v>
      </c>
      <c r="AG113" s="4" t="s">
        <v>567</v>
      </c>
      <c r="AH113" s="151" t="str">
        <f t="shared" si="66"/>
        <v>https://ia800604.us.archive.org/18/items/GADeptofEd1925/GA.pdf#page=11</v>
      </c>
      <c r="AI113" s="152" t="str">
        <f t="shared" si="66"/>
        <v>https://ia800604.us.archive.org/18/items/GADeptofEd1925/GA.pdf#page=34</v>
      </c>
      <c r="AJ113" s="151" t="str">
        <f t="shared" si="66"/>
        <v>https://ia800604.us.archive.org/18/items/GADeptofEd1925/GA.pdf#page=11</v>
      </c>
      <c r="AK113" s="152" t="str">
        <f t="shared" si="66"/>
        <v>https://ia800604.us.archive.org/18/items/GADeptofEd1925/GA.pdf#page=32</v>
      </c>
      <c r="AL113" s="151" t="str">
        <f t="shared" si="66"/>
        <v>https://ia800604.us.archive.org/18/items/GADeptofEd1925/GA.pdf#page=16</v>
      </c>
      <c r="AM113" s="152" t="str">
        <f t="shared" si="37"/>
        <v>https://ia800604.us.archive.org/18/items/GADeptofEd1925/GA.pdf#page=41</v>
      </c>
      <c r="AN113" s="151" t="str">
        <f t="shared" si="49"/>
        <v>https://ia800604.us.archive.org/18/items/GADeptofEd1925/GA.pdf#page=16</v>
      </c>
      <c r="AO113" s="152" t="str">
        <f t="shared" si="67"/>
        <v>https://ia800604.us.archive.org/18/items/GADeptofEd1925/GA.pdf#page=32</v>
      </c>
      <c r="AP113" s="151" t="str">
        <f t="shared" si="67"/>
        <v>https://ia800604.us.archive.org/18/items/GADeptofEd1925/GA.pdf#page=30</v>
      </c>
      <c r="AQ113" s="152" t="str">
        <f t="shared" si="67"/>
        <v>https://ia800604.us.archive.org/18/items/GADeptofEd1925/GA.pdf#page=47</v>
      </c>
      <c r="AR113" s="151" t="str">
        <f t="shared" si="67"/>
        <v>https://ia800604.us.archive.org/18/items/GADeptofEd1925/GA.pdf#page=24</v>
      </c>
      <c r="AS113" s="152" t="str">
        <f t="shared" si="50"/>
        <v>https://ia800604.us.archive.org/18/items/GADeptofEd1925/GA.pdf#page=47</v>
      </c>
      <c r="AT113" s="151" t="str">
        <f t="shared" si="69"/>
        <v>https://ia800604.us.archive.org/18/items/GADeptofEd1925/GA.pdf#page=30</v>
      </c>
      <c r="AU113" s="152" t="str">
        <f t="shared" si="69"/>
        <v>https://ia800604.us.archive.org/18/items/GADeptofEd1925/GA.pdf#page=32</v>
      </c>
      <c r="AV113" s="151" t="str">
        <f t="shared" si="69"/>
        <v>https://ia800604.us.archive.org/18/items/GADeptofEd1925/GA.pdf#page=30</v>
      </c>
      <c r="AW113" s="152" t="str">
        <f t="shared" si="69"/>
        <v>https://ia800604.us.archive.org/18/items/GADeptofEd1925/GA.pdf#page=52</v>
      </c>
    </row>
    <row r="114" spans="1:49" x14ac:dyDescent="0.25">
      <c r="A114" s="27" t="s">
        <v>836</v>
      </c>
      <c r="B114" s="27" t="str">
        <f t="shared" si="41"/>
        <v>Georgia</v>
      </c>
      <c r="C114" s="27" t="str">
        <f t="shared" si="42"/>
        <v>Pierce</v>
      </c>
      <c r="D114" s="27">
        <f>1548+423</f>
        <v>1971</v>
      </c>
      <c r="E114" s="27">
        <f>586+84</f>
        <v>670</v>
      </c>
      <c r="F114" s="27">
        <f t="shared" si="48"/>
        <v>2641</v>
      </c>
      <c r="G114" s="27">
        <v>3</v>
      </c>
      <c r="H114" s="27">
        <f>35+10</f>
        <v>45</v>
      </c>
      <c r="I114" s="27">
        <f>4+2</f>
        <v>6</v>
      </c>
      <c r="J114" s="27">
        <f>3+3</f>
        <v>6</v>
      </c>
      <c r="K114" s="27">
        <f>13+2</f>
        <v>15</v>
      </c>
      <c r="L114" s="27">
        <f t="shared" si="61"/>
        <v>75</v>
      </c>
      <c r="M114" s="27">
        <v>100</v>
      </c>
      <c r="N114" s="27">
        <v>100</v>
      </c>
      <c r="O114" s="29">
        <f t="shared" si="60"/>
        <v>100</v>
      </c>
      <c r="P114" s="27">
        <v>3255</v>
      </c>
      <c r="Q114" s="7">
        <f t="shared" si="62"/>
        <v>48601.65</v>
      </c>
      <c r="R114" s="27">
        <f>2150+765</f>
        <v>2915</v>
      </c>
      <c r="S114" s="27">
        <v>97.14</v>
      </c>
      <c r="T114" s="27">
        <f>67.56+80.95</f>
        <v>148.51</v>
      </c>
      <c r="U114" s="27">
        <f>102.66+180</f>
        <v>282.65999999999997</v>
      </c>
      <c r="V114" s="27">
        <f>75+100</f>
        <v>175</v>
      </c>
      <c r="W114" s="89">
        <f t="shared" si="63"/>
        <v>162.00550000000001</v>
      </c>
      <c r="X114" s="89">
        <f t="shared" si="68"/>
        <v>38.866666666666667</v>
      </c>
      <c r="Y114" s="97">
        <f t="shared" si="52"/>
        <v>137.37773333333334</v>
      </c>
      <c r="Z114" s="97">
        <f t="shared" si="64"/>
        <v>137.37773333333334</v>
      </c>
      <c r="AA114" s="27">
        <v>21244</v>
      </c>
      <c r="AB114" s="27">
        <v>36</v>
      </c>
      <c r="AC114" s="27">
        <f>69800+60000</f>
        <v>129800</v>
      </c>
      <c r="AD114" s="27">
        <f>2660+500</f>
        <v>3160</v>
      </c>
      <c r="AE114" s="29">
        <f t="shared" si="65"/>
        <v>132960</v>
      </c>
      <c r="AF114" s="41">
        <v>1925</v>
      </c>
      <c r="AG114" s="4" t="s">
        <v>567</v>
      </c>
      <c r="AH114" s="151" t="str">
        <f t="shared" si="66"/>
        <v>https://ia800604.us.archive.org/18/items/GADeptofEd1925/GA.pdf#page=11</v>
      </c>
      <c r="AI114" s="152" t="str">
        <f t="shared" si="66"/>
        <v>https://ia800604.us.archive.org/18/items/GADeptofEd1925/GA.pdf#page=34</v>
      </c>
      <c r="AJ114" s="151" t="str">
        <f t="shared" si="66"/>
        <v>https://ia800604.us.archive.org/18/items/GADeptofEd1925/GA.pdf#page=11</v>
      </c>
      <c r="AK114" s="152" t="str">
        <f t="shared" si="66"/>
        <v>https://ia800604.us.archive.org/18/items/GADeptofEd1925/GA.pdf#page=32</v>
      </c>
      <c r="AL114" s="151" t="str">
        <f t="shared" si="66"/>
        <v>https://ia800604.us.archive.org/18/items/GADeptofEd1925/GA.pdf#page=16</v>
      </c>
      <c r="AM114" s="152" t="str">
        <f t="shared" si="37"/>
        <v>https://ia800604.us.archive.org/18/items/GADeptofEd1925/GA.pdf#page=41</v>
      </c>
      <c r="AN114" s="151" t="str">
        <f t="shared" si="49"/>
        <v>https://ia800604.us.archive.org/18/items/GADeptofEd1925/GA.pdf#page=16</v>
      </c>
      <c r="AO114" s="152" t="str">
        <f t="shared" si="67"/>
        <v>https://ia800604.us.archive.org/18/items/GADeptofEd1925/GA.pdf#page=32</v>
      </c>
      <c r="AP114" s="151" t="str">
        <f t="shared" si="67"/>
        <v>https://ia800604.us.archive.org/18/items/GADeptofEd1925/GA.pdf#page=30</v>
      </c>
      <c r="AQ114" s="152" t="str">
        <f t="shared" si="67"/>
        <v>https://ia800604.us.archive.org/18/items/GADeptofEd1925/GA.pdf#page=47</v>
      </c>
      <c r="AR114" s="151" t="str">
        <f t="shared" si="67"/>
        <v>https://ia800604.us.archive.org/18/items/GADeptofEd1925/GA.pdf#page=24</v>
      </c>
      <c r="AS114" s="152" t="str">
        <f t="shared" si="50"/>
        <v>https://ia800604.us.archive.org/18/items/GADeptofEd1925/GA.pdf#page=47</v>
      </c>
      <c r="AT114" s="151" t="str">
        <f t="shared" si="69"/>
        <v>https://ia800604.us.archive.org/18/items/GADeptofEd1925/GA.pdf#page=30</v>
      </c>
      <c r="AU114" s="152" t="str">
        <f t="shared" si="69"/>
        <v>https://ia800604.us.archive.org/18/items/GADeptofEd1925/GA.pdf#page=32</v>
      </c>
      <c r="AV114" s="151" t="str">
        <f t="shared" si="69"/>
        <v>https://ia800604.us.archive.org/18/items/GADeptofEd1925/GA.pdf#page=30</v>
      </c>
      <c r="AW114" s="152" t="str">
        <f t="shared" si="69"/>
        <v>https://ia800604.us.archive.org/18/items/GADeptofEd1925/GA.pdf#page=52</v>
      </c>
    </row>
    <row r="115" spans="1:49" x14ac:dyDescent="0.25">
      <c r="A115" s="27" t="s">
        <v>837</v>
      </c>
      <c r="B115" s="27" t="str">
        <f t="shared" si="41"/>
        <v>Georgia</v>
      </c>
      <c r="C115" s="27" t="str">
        <f t="shared" si="42"/>
        <v>Pike</v>
      </c>
      <c r="D115" s="27">
        <v>1347</v>
      </c>
      <c r="E115" s="27">
        <v>1030</v>
      </c>
      <c r="F115" s="27">
        <f t="shared" si="48"/>
        <v>2377</v>
      </c>
      <c r="G115" s="27">
        <v>1</v>
      </c>
      <c r="H115" s="27">
        <v>35</v>
      </c>
      <c r="I115" s="27">
        <v>7</v>
      </c>
      <c r="J115" s="27">
        <v>7</v>
      </c>
      <c r="K115" s="27">
        <v>28</v>
      </c>
      <c r="L115" s="27">
        <f t="shared" si="61"/>
        <v>78</v>
      </c>
      <c r="M115" s="27">
        <v>160</v>
      </c>
      <c r="N115" s="27">
        <v>120</v>
      </c>
      <c r="O115" s="29">
        <f t="shared" si="60"/>
        <v>142.66722759781237</v>
      </c>
      <c r="P115" s="27">
        <v>3095</v>
      </c>
      <c r="Q115" s="7">
        <f t="shared" si="62"/>
        <v>33440</v>
      </c>
      <c r="R115" s="27">
        <v>3970</v>
      </c>
      <c r="S115" s="27">
        <v>85</v>
      </c>
      <c r="T115" s="27">
        <v>65</v>
      </c>
      <c r="U115" s="27">
        <v>175</v>
      </c>
      <c r="V115" s="27">
        <v>85</v>
      </c>
      <c r="W115" s="89">
        <f t="shared" si="63"/>
        <v>83.6</v>
      </c>
      <c r="X115" s="89">
        <f t="shared" si="68"/>
        <v>23.63095238095238</v>
      </c>
      <c r="Y115" s="97">
        <f t="shared" si="52"/>
        <v>65.862676056338032</v>
      </c>
      <c r="Z115" s="97">
        <f t="shared" si="64"/>
        <v>62.072649572649574</v>
      </c>
      <c r="AA115" s="27">
        <v>42439</v>
      </c>
      <c r="AB115" s="27">
        <v>39</v>
      </c>
      <c r="AC115" s="27">
        <v>25500</v>
      </c>
      <c r="AD115" s="27">
        <v>6700</v>
      </c>
      <c r="AE115" s="29">
        <f t="shared" si="65"/>
        <v>32200</v>
      </c>
      <c r="AF115" s="41">
        <v>1925</v>
      </c>
      <c r="AG115" s="4" t="s">
        <v>567</v>
      </c>
      <c r="AH115" s="151" t="str">
        <f t="shared" si="66"/>
        <v>https://ia800604.us.archive.org/18/items/GADeptofEd1925/GA.pdf#page=11</v>
      </c>
      <c r="AI115" s="152" t="str">
        <f t="shared" si="66"/>
        <v>https://ia800604.us.archive.org/18/items/GADeptofEd1925/GA.pdf#page=34</v>
      </c>
      <c r="AJ115" s="151" t="str">
        <f t="shared" si="66"/>
        <v>https://ia800604.us.archive.org/18/items/GADeptofEd1925/GA.pdf#page=11</v>
      </c>
      <c r="AK115" s="152" t="str">
        <f t="shared" si="66"/>
        <v>https://ia800604.us.archive.org/18/items/GADeptofEd1925/GA.pdf#page=32</v>
      </c>
      <c r="AL115" s="151" t="str">
        <f t="shared" si="66"/>
        <v>https://ia800604.us.archive.org/18/items/GADeptofEd1925/GA.pdf#page=16</v>
      </c>
      <c r="AM115" s="152" t="str">
        <f t="shared" si="37"/>
        <v>https://ia800604.us.archive.org/18/items/GADeptofEd1925/GA.pdf#page=41</v>
      </c>
      <c r="AN115" s="151" t="str">
        <f t="shared" si="49"/>
        <v>https://ia800604.us.archive.org/18/items/GADeptofEd1925/GA.pdf#page=16</v>
      </c>
      <c r="AO115" s="152" t="str">
        <f t="shared" si="67"/>
        <v>https://ia800604.us.archive.org/18/items/GADeptofEd1925/GA.pdf#page=32</v>
      </c>
      <c r="AP115" s="151" t="str">
        <f t="shared" si="67"/>
        <v>https://ia800604.us.archive.org/18/items/GADeptofEd1925/GA.pdf#page=30</v>
      </c>
      <c r="AQ115" s="152" t="str">
        <f t="shared" si="67"/>
        <v>https://ia800604.us.archive.org/18/items/GADeptofEd1925/GA.pdf#page=47</v>
      </c>
      <c r="AR115" s="151" t="str">
        <f t="shared" si="67"/>
        <v>https://ia800604.us.archive.org/18/items/GADeptofEd1925/GA.pdf#page=24</v>
      </c>
      <c r="AS115" s="152" t="str">
        <f t="shared" si="50"/>
        <v>https://ia800604.us.archive.org/18/items/GADeptofEd1925/GA.pdf#page=47</v>
      </c>
      <c r="AT115" s="151" t="str">
        <f t="shared" si="69"/>
        <v>https://ia800604.us.archive.org/18/items/GADeptofEd1925/GA.pdf#page=30</v>
      </c>
      <c r="AU115" s="152" t="str">
        <f t="shared" si="69"/>
        <v>https://ia800604.us.archive.org/18/items/GADeptofEd1925/GA.pdf#page=32</v>
      </c>
      <c r="AV115" s="151" t="str">
        <f t="shared" si="69"/>
        <v>https://ia800604.us.archive.org/18/items/GADeptofEd1925/GA.pdf#page=30</v>
      </c>
      <c r="AW115" s="152" t="str">
        <f t="shared" si="69"/>
        <v>https://ia800604.us.archive.org/18/items/GADeptofEd1925/GA.pdf#page=52</v>
      </c>
    </row>
    <row r="116" spans="1:49" x14ac:dyDescent="0.25">
      <c r="A116" s="27" t="s">
        <v>838</v>
      </c>
      <c r="B116" s="27" t="str">
        <f t="shared" si="41"/>
        <v>Georgia</v>
      </c>
      <c r="C116" s="27" t="str">
        <f t="shared" si="42"/>
        <v>Polk</v>
      </c>
      <c r="D116" s="27">
        <f>1241+1097</f>
        <v>2338</v>
      </c>
      <c r="E116" s="27">
        <f>456+212</f>
        <v>668</v>
      </c>
      <c r="F116" s="27">
        <f t="shared" si="48"/>
        <v>3006</v>
      </c>
      <c r="G116" s="27">
        <f>5+1</f>
        <v>6</v>
      </c>
      <c r="H116" s="27">
        <f>45+23</f>
        <v>68</v>
      </c>
      <c r="I116" s="27">
        <f>6+3</f>
        <v>9</v>
      </c>
      <c r="J116" s="27">
        <f>2+4</f>
        <v>6</v>
      </c>
      <c r="K116" s="13">
        <f>18+5+2+2</f>
        <v>27</v>
      </c>
      <c r="L116" s="27">
        <f t="shared" si="61"/>
        <v>116</v>
      </c>
      <c r="M116" s="27">
        <v>140</v>
      </c>
      <c r="N116" s="27">
        <v>120</v>
      </c>
      <c r="O116" s="29">
        <f t="shared" si="60"/>
        <v>135.55555555555554</v>
      </c>
      <c r="P116" s="27">
        <v>5055</v>
      </c>
      <c r="Q116" s="7">
        <f t="shared" si="62"/>
        <v>109697</v>
      </c>
      <c r="R116" s="27">
        <f>4088.25+2115</f>
        <v>6203.25</v>
      </c>
      <c r="S116" s="27">
        <f>72+166</f>
        <v>238</v>
      </c>
      <c r="T116" s="27">
        <f>64+90</f>
        <v>154</v>
      </c>
      <c r="U116" s="27">
        <f>125+166</f>
        <v>291</v>
      </c>
      <c r="V116" s="27">
        <f>75+117</f>
        <v>192</v>
      </c>
      <c r="W116" s="89">
        <f t="shared" si="63"/>
        <v>176.07865168539325</v>
      </c>
      <c r="X116" s="89">
        <f t="shared" si="68"/>
        <v>38.291666666666664</v>
      </c>
      <c r="Y116" s="97">
        <f t="shared" si="52"/>
        <v>147.6436305732484</v>
      </c>
      <c r="Z116" s="97">
        <f t="shared" si="64"/>
        <v>144.00754310344828</v>
      </c>
      <c r="AA116" s="27">
        <v>90690</v>
      </c>
      <c r="AB116" s="27">
        <v>48</v>
      </c>
      <c r="AC116" s="27">
        <f>39250+135000</f>
        <v>174250</v>
      </c>
      <c r="AD116" s="27">
        <f>5800+12000</f>
        <v>17800</v>
      </c>
      <c r="AE116" s="29">
        <f t="shared" si="65"/>
        <v>192050</v>
      </c>
      <c r="AF116" s="41">
        <v>1925</v>
      </c>
      <c r="AG116" s="4" t="s">
        <v>567</v>
      </c>
      <c r="AH116" s="151" t="str">
        <f t="shared" ref="AH116:AM131" si="70">AH115</f>
        <v>https://ia800604.us.archive.org/18/items/GADeptofEd1925/GA.pdf#page=11</v>
      </c>
      <c r="AI116" s="152" t="str">
        <f t="shared" si="70"/>
        <v>https://ia800604.us.archive.org/18/items/GADeptofEd1925/GA.pdf#page=34</v>
      </c>
      <c r="AJ116" s="151" t="str">
        <f t="shared" si="70"/>
        <v>https://ia800604.us.archive.org/18/items/GADeptofEd1925/GA.pdf#page=11</v>
      </c>
      <c r="AK116" s="152" t="str">
        <f t="shared" si="70"/>
        <v>https://ia800604.us.archive.org/18/items/GADeptofEd1925/GA.pdf#page=32</v>
      </c>
      <c r="AL116" s="151" t="str">
        <f t="shared" si="70"/>
        <v>https://ia800604.us.archive.org/18/items/GADeptofEd1925/GA.pdf#page=16</v>
      </c>
      <c r="AM116" s="152" t="str">
        <f t="shared" si="37"/>
        <v>https://ia800604.us.archive.org/18/items/GADeptofEd1925/GA.pdf#page=41</v>
      </c>
      <c r="AN116" s="151" t="str">
        <f t="shared" si="49"/>
        <v>https://ia800604.us.archive.org/18/items/GADeptofEd1925/GA.pdf#page=16</v>
      </c>
      <c r="AO116" s="152" t="str">
        <f t="shared" ref="AO116:AR131" si="71">AO115</f>
        <v>https://ia800604.us.archive.org/18/items/GADeptofEd1925/GA.pdf#page=32</v>
      </c>
      <c r="AP116" s="151" t="str">
        <f t="shared" si="71"/>
        <v>https://ia800604.us.archive.org/18/items/GADeptofEd1925/GA.pdf#page=30</v>
      </c>
      <c r="AQ116" s="152" t="str">
        <f t="shared" si="71"/>
        <v>https://ia800604.us.archive.org/18/items/GADeptofEd1925/GA.pdf#page=47</v>
      </c>
      <c r="AR116" s="151" t="str">
        <f t="shared" si="71"/>
        <v>https://ia800604.us.archive.org/18/items/GADeptofEd1925/GA.pdf#page=24</v>
      </c>
      <c r="AS116" s="152" t="str">
        <f t="shared" si="50"/>
        <v>https://ia800604.us.archive.org/18/items/GADeptofEd1925/GA.pdf#page=47</v>
      </c>
      <c r="AT116" s="151" t="str">
        <f t="shared" si="69"/>
        <v>https://ia800604.us.archive.org/18/items/GADeptofEd1925/GA.pdf#page=30</v>
      </c>
      <c r="AU116" s="152" t="str">
        <f t="shared" si="69"/>
        <v>https://ia800604.us.archive.org/18/items/GADeptofEd1925/GA.pdf#page=32</v>
      </c>
      <c r="AV116" s="151" t="str">
        <f t="shared" si="69"/>
        <v>https://ia800604.us.archive.org/18/items/GADeptofEd1925/GA.pdf#page=30</v>
      </c>
      <c r="AW116" s="152" t="str">
        <f t="shared" si="69"/>
        <v>https://ia800604.us.archive.org/18/items/GADeptofEd1925/GA.pdf#page=52</v>
      </c>
    </row>
    <row r="117" spans="1:49" x14ac:dyDescent="0.25">
      <c r="A117" s="27" t="s">
        <v>839</v>
      </c>
      <c r="B117" s="27" t="str">
        <f t="shared" si="41"/>
        <v>Georgia</v>
      </c>
      <c r="C117" s="27" t="str">
        <f t="shared" si="42"/>
        <v>Pulaski</v>
      </c>
      <c r="D117" s="27">
        <f>476+445</f>
        <v>921</v>
      </c>
      <c r="E117" s="27">
        <f>402+250</f>
        <v>652</v>
      </c>
      <c r="F117" s="27">
        <f t="shared" si="48"/>
        <v>1573</v>
      </c>
      <c r="G117" s="27">
        <v>3</v>
      </c>
      <c r="H117" s="27">
        <f>16+7</f>
        <v>23</v>
      </c>
      <c r="I117" s="27">
        <v>2</v>
      </c>
      <c r="J117" s="27">
        <f>3+5</f>
        <v>8</v>
      </c>
      <c r="K117" s="27">
        <f>28+4+1</f>
        <v>33</v>
      </c>
      <c r="L117" s="27">
        <f t="shared" si="61"/>
        <v>69</v>
      </c>
      <c r="M117" s="27">
        <v>140</v>
      </c>
      <c r="N117" s="27">
        <v>100</v>
      </c>
      <c r="O117" s="29">
        <f t="shared" si="60"/>
        <v>123.42021614748887</v>
      </c>
      <c r="P117" s="27">
        <v>2915</v>
      </c>
      <c r="Q117" s="7">
        <f t="shared" si="62"/>
        <v>42186.48</v>
      </c>
      <c r="R117" s="27">
        <f>3212.2+2250</f>
        <v>5462.2</v>
      </c>
      <c r="S117" s="27"/>
      <c r="T117" s="27">
        <f>70+100</f>
        <v>170</v>
      </c>
      <c r="U117" s="27">
        <v>125</v>
      </c>
      <c r="V117" s="27">
        <f>100+133.33</f>
        <v>233.33</v>
      </c>
      <c r="W117" s="89">
        <f t="shared" si="63"/>
        <v>167.40666666666669</v>
      </c>
      <c r="X117" s="89">
        <f t="shared" si="68"/>
        <v>33.104242424242422</v>
      </c>
      <c r="Y117" s="97">
        <f t="shared" si="52"/>
        <v>114.26541966426858</v>
      </c>
      <c r="Z117" s="97">
        <f t="shared" si="64"/>
        <v>103.17507246376813</v>
      </c>
      <c r="AA117" s="27">
        <v>49463</v>
      </c>
      <c r="AB117" s="27">
        <v>26</v>
      </c>
      <c r="AC117" s="27">
        <f>38500+60000</f>
        <v>98500</v>
      </c>
      <c r="AD117" s="27">
        <f>7500+6500</f>
        <v>14000</v>
      </c>
      <c r="AE117" s="29">
        <f t="shared" si="65"/>
        <v>112500</v>
      </c>
      <c r="AF117" s="41">
        <v>1925</v>
      </c>
      <c r="AG117" s="4" t="s">
        <v>567</v>
      </c>
      <c r="AH117" s="151" t="str">
        <f t="shared" si="70"/>
        <v>https://ia800604.us.archive.org/18/items/GADeptofEd1925/GA.pdf#page=11</v>
      </c>
      <c r="AI117" s="152" t="str">
        <f t="shared" si="70"/>
        <v>https://ia800604.us.archive.org/18/items/GADeptofEd1925/GA.pdf#page=34</v>
      </c>
      <c r="AJ117" s="151" t="str">
        <f t="shared" si="70"/>
        <v>https://ia800604.us.archive.org/18/items/GADeptofEd1925/GA.pdf#page=11</v>
      </c>
      <c r="AK117" s="152" t="str">
        <f t="shared" si="70"/>
        <v>https://ia800604.us.archive.org/18/items/GADeptofEd1925/GA.pdf#page=32</v>
      </c>
      <c r="AL117" s="151" t="str">
        <f t="shared" si="70"/>
        <v>https://ia800604.us.archive.org/18/items/GADeptofEd1925/GA.pdf#page=16</v>
      </c>
      <c r="AM117" s="152" t="str">
        <f t="shared" si="37"/>
        <v>https://ia800604.us.archive.org/18/items/GADeptofEd1925/GA.pdf#page=41</v>
      </c>
      <c r="AN117" s="151" t="str">
        <f t="shared" si="49"/>
        <v>https://ia800604.us.archive.org/18/items/GADeptofEd1925/GA.pdf#page=16</v>
      </c>
      <c r="AO117" s="152" t="str">
        <f t="shared" si="71"/>
        <v>https://ia800604.us.archive.org/18/items/GADeptofEd1925/GA.pdf#page=32</v>
      </c>
      <c r="AP117" s="151" t="str">
        <f t="shared" si="71"/>
        <v>https://ia800604.us.archive.org/18/items/GADeptofEd1925/GA.pdf#page=30</v>
      </c>
      <c r="AQ117" s="152" t="str">
        <f t="shared" si="71"/>
        <v>https://ia800604.us.archive.org/18/items/GADeptofEd1925/GA.pdf#page=47</v>
      </c>
      <c r="AR117" s="151" t="str">
        <f t="shared" si="71"/>
        <v>https://ia800604.us.archive.org/18/items/GADeptofEd1925/GA.pdf#page=24</v>
      </c>
      <c r="AS117" s="152" t="str">
        <f t="shared" si="50"/>
        <v>https://ia800604.us.archive.org/18/items/GADeptofEd1925/GA.pdf#page=47</v>
      </c>
      <c r="AT117" s="151" t="str">
        <f t="shared" si="69"/>
        <v>https://ia800604.us.archive.org/18/items/GADeptofEd1925/GA.pdf#page=30</v>
      </c>
      <c r="AU117" s="152" t="str">
        <f t="shared" si="69"/>
        <v>https://ia800604.us.archive.org/18/items/GADeptofEd1925/GA.pdf#page=32</v>
      </c>
      <c r="AV117" s="151" t="str">
        <f t="shared" si="69"/>
        <v>https://ia800604.us.archive.org/18/items/GADeptofEd1925/GA.pdf#page=30</v>
      </c>
      <c r="AW117" s="152" t="str">
        <f t="shared" si="69"/>
        <v>https://ia800604.us.archive.org/18/items/GADeptofEd1925/GA.pdf#page=52</v>
      </c>
    </row>
    <row r="118" spans="1:49" x14ac:dyDescent="0.25">
      <c r="A118" s="27" t="s">
        <v>840</v>
      </c>
      <c r="B118" s="27" t="str">
        <f t="shared" si="41"/>
        <v>Georgia</v>
      </c>
      <c r="C118" s="27" t="str">
        <f t="shared" si="42"/>
        <v>Putnam</v>
      </c>
      <c r="D118" s="27">
        <v>521</v>
      </c>
      <c r="E118" s="27">
        <v>930</v>
      </c>
      <c r="F118" s="27">
        <f t="shared" si="48"/>
        <v>1451</v>
      </c>
      <c r="G118" s="27">
        <v>0</v>
      </c>
      <c r="H118" s="27">
        <v>19</v>
      </c>
      <c r="I118" s="27">
        <v>2</v>
      </c>
      <c r="J118" s="27">
        <v>12</v>
      </c>
      <c r="K118" s="27">
        <v>24</v>
      </c>
      <c r="L118" s="27">
        <f t="shared" si="61"/>
        <v>57</v>
      </c>
      <c r="M118" s="27">
        <v>180</v>
      </c>
      <c r="N118" s="27">
        <v>100</v>
      </c>
      <c r="O118" s="29">
        <f t="shared" si="60"/>
        <v>128.7250172294969</v>
      </c>
      <c r="P118" s="27">
        <v>2235</v>
      </c>
      <c r="Q118" s="7">
        <f t="shared" si="62"/>
        <v>22905</v>
      </c>
      <c r="R118" s="27">
        <v>2046.6</v>
      </c>
      <c r="S118" s="27">
        <v>110</v>
      </c>
      <c r="T118" s="27">
        <v>75</v>
      </c>
      <c r="U118" s="27">
        <v>110</v>
      </c>
      <c r="V118" s="27">
        <v>75</v>
      </c>
      <c r="W118" s="89">
        <f t="shared" si="63"/>
        <v>77.121212121212125</v>
      </c>
      <c r="X118" s="89">
        <f t="shared" si="68"/>
        <v>17.055</v>
      </c>
      <c r="Y118" s="97">
        <f t="shared" si="52"/>
        <v>59.835971223021581</v>
      </c>
      <c r="Z118" s="97">
        <f t="shared" si="64"/>
        <v>51.830175438596491</v>
      </c>
      <c r="AA118" s="27">
        <v>27943</v>
      </c>
      <c r="AB118" s="27">
        <v>43</v>
      </c>
      <c r="AC118" s="27">
        <v>62250</v>
      </c>
      <c r="AD118" s="27">
        <v>8000</v>
      </c>
      <c r="AE118" s="29">
        <f t="shared" si="65"/>
        <v>70250</v>
      </c>
      <c r="AF118" s="41">
        <v>1925</v>
      </c>
      <c r="AG118" s="4" t="s">
        <v>567</v>
      </c>
      <c r="AH118" s="151" t="str">
        <f t="shared" si="70"/>
        <v>https://ia800604.us.archive.org/18/items/GADeptofEd1925/GA.pdf#page=11</v>
      </c>
      <c r="AI118" s="152" t="str">
        <f t="shared" si="70"/>
        <v>https://ia800604.us.archive.org/18/items/GADeptofEd1925/GA.pdf#page=34</v>
      </c>
      <c r="AJ118" s="151" t="str">
        <f t="shared" si="70"/>
        <v>https://ia800604.us.archive.org/18/items/GADeptofEd1925/GA.pdf#page=11</v>
      </c>
      <c r="AK118" s="152" t="str">
        <f t="shared" si="70"/>
        <v>https://ia800604.us.archive.org/18/items/GADeptofEd1925/GA.pdf#page=32</v>
      </c>
      <c r="AL118" s="151" t="str">
        <f t="shared" si="70"/>
        <v>https://ia800604.us.archive.org/18/items/GADeptofEd1925/GA.pdf#page=16</v>
      </c>
      <c r="AM118" s="152" t="str">
        <f t="shared" si="37"/>
        <v>https://ia800604.us.archive.org/18/items/GADeptofEd1925/GA.pdf#page=41</v>
      </c>
      <c r="AN118" s="151" t="str">
        <f t="shared" si="49"/>
        <v>https://ia800604.us.archive.org/18/items/GADeptofEd1925/GA.pdf#page=16</v>
      </c>
      <c r="AO118" s="152" t="str">
        <f t="shared" si="71"/>
        <v>https://ia800604.us.archive.org/18/items/GADeptofEd1925/GA.pdf#page=32</v>
      </c>
      <c r="AP118" s="151" t="str">
        <f t="shared" si="71"/>
        <v>https://ia800604.us.archive.org/18/items/GADeptofEd1925/GA.pdf#page=30</v>
      </c>
      <c r="AQ118" s="152" t="str">
        <f t="shared" si="71"/>
        <v>https://ia800604.us.archive.org/18/items/GADeptofEd1925/GA.pdf#page=47</v>
      </c>
      <c r="AR118" s="151" t="str">
        <f t="shared" si="71"/>
        <v>https://ia800604.us.archive.org/18/items/GADeptofEd1925/GA.pdf#page=24</v>
      </c>
      <c r="AS118" s="152" t="str">
        <f t="shared" si="50"/>
        <v>https://ia800604.us.archive.org/18/items/GADeptofEd1925/GA.pdf#page=47</v>
      </c>
      <c r="AT118" s="151" t="str">
        <f t="shared" si="69"/>
        <v>https://ia800604.us.archive.org/18/items/GADeptofEd1925/GA.pdf#page=30</v>
      </c>
      <c r="AU118" s="152" t="str">
        <f t="shared" si="69"/>
        <v>https://ia800604.us.archive.org/18/items/GADeptofEd1925/GA.pdf#page=32</v>
      </c>
      <c r="AV118" s="151" t="str">
        <f t="shared" si="69"/>
        <v>https://ia800604.us.archive.org/18/items/GADeptofEd1925/GA.pdf#page=30</v>
      </c>
      <c r="AW118" s="152" t="str">
        <f t="shared" si="69"/>
        <v>https://ia800604.us.archive.org/18/items/GADeptofEd1925/GA.pdf#page=52</v>
      </c>
    </row>
    <row r="119" spans="1:49" x14ac:dyDescent="0.25">
      <c r="A119" s="27" t="s">
        <v>841</v>
      </c>
      <c r="B119" s="27" t="str">
        <f t="shared" si="41"/>
        <v>Georgia</v>
      </c>
      <c r="C119" s="27" t="str">
        <f t="shared" si="42"/>
        <v>Quitman</v>
      </c>
      <c r="D119" s="27">
        <v>136</v>
      </c>
      <c r="E119" s="27">
        <v>285</v>
      </c>
      <c r="F119" s="27">
        <f t="shared" si="48"/>
        <v>421</v>
      </c>
      <c r="G119" s="27">
        <v>0</v>
      </c>
      <c r="H119" s="27">
        <v>14</v>
      </c>
      <c r="I119" s="27">
        <v>2</v>
      </c>
      <c r="J119" s="27">
        <v>0</v>
      </c>
      <c r="K119" s="27">
        <v>17</v>
      </c>
      <c r="L119" s="27">
        <f t="shared" si="61"/>
        <v>33</v>
      </c>
      <c r="M119" s="27">
        <v>160</v>
      </c>
      <c r="N119" s="27">
        <v>120</v>
      </c>
      <c r="O119" s="29">
        <f t="shared" si="60"/>
        <v>132.92161520190024</v>
      </c>
      <c r="P119" s="27">
        <v>900</v>
      </c>
      <c r="Q119" s="7">
        <f t="shared" si="62"/>
        <v>9920</v>
      </c>
      <c r="R119" s="27">
        <v>1695.51</v>
      </c>
      <c r="S119" s="27"/>
      <c r="T119" s="27">
        <v>72.5</v>
      </c>
      <c r="U119" s="27">
        <v>112.5</v>
      </c>
      <c r="V119" s="27"/>
      <c r="W119" s="89">
        <f t="shared" si="63"/>
        <v>77.5</v>
      </c>
      <c r="X119" s="89">
        <f t="shared" si="68"/>
        <v>16.622647058823528</v>
      </c>
      <c r="Y119" s="97">
        <f t="shared" si="52"/>
        <v>50.502217391304349</v>
      </c>
      <c r="Z119" s="97">
        <f t="shared" si="64"/>
        <v>46.138939393939395</v>
      </c>
      <c r="AA119" s="27">
        <v>11021</v>
      </c>
      <c r="AB119" s="27">
        <v>16</v>
      </c>
      <c r="AC119" s="27">
        <v>4350</v>
      </c>
      <c r="AD119" s="27">
        <v>1200</v>
      </c>
      <c r="AE119" s="29">
        <f t="shared" si="65"/>
        <v>5550</v>
      </c>
      <c r="AF119" s="41">
        <v>1925</v>
      </c>
      <c r="AG119" s="4" t="s">
        <v>567</v>
      </c>
      <c r="AH119" s="151" t="str">
        <f t="shared" si="70"/>
        <v>https://ia800604.us.archive.org/18/items/GADeptofEd1925/GA.pdf#page=11</v>
      </c>
      <c r="AI119" s="152" t="str">
        <f t="shared" si="70"/>
        <v>https://ia800604.us.archive.org/18/items/GADeptofEd1925/GA.pdf#page=34</v>
      </c>
      <c r="AJ119" s="151" t="str">
        <f t="shared" si="70"/>
        <v>https://ia800604.us.archive.org/18/items/GADeptofEd1925/GA.pdf#page=11</v>
      </c>
      <c r="AK119" s="152" t="str">
        <f t="shared" si="70"/>
        <v>https://ia800604.us.archive.org/18/items/GADeptofEd1925/GA.pdf#page=32</v>
      </c>
      <c r="AL119" s="151" t="str">
        <f t="shared" si="70"/>
        <v>https://ia800604.us.archive.org/18/items/GADeptofEd1925/GA.pdf#page=16</v>
      </c>
      <c r="AM119" s="152" t="str">
        <f t="shared" si="37"/>
        <v>https://ia800604.us.archive.org/18/items/GADeptofEd1925/GA.pdf#page=41</v>
      </c>
      <c r="AN119" s="151" t="str">
        <f t="shared" si="49"/>
        <v>https://ia800604.us.archive.org/18/items/GADeptofEd1925/GA.pdf#page=16</v>
      </c>
      <c r="AO119" s="152" t="str">
        <f t="shared" si="71"/>
        <v>https://ia800604.us.archive.org/18/items/GADeptofEd1925/GA.pdf#page=32</v>
      </c>
      <c r="AP119" s="151" t="str">
        <f t="shared" si="71"/>
        <v>https://ia800604.us.archive.org/18/items/GADeptofEd1925/GA.pdf#page=30</v>
      </c>
      <c r="AQ119" s="152" t="str">
        <f t="shared" si="71"/>
        <v>https://ia800604.us.archive.org/18/items/GADeptofEd1925/GA.pdf#page=47</v>
      </c>
      <c r="AR119" s="151" t="str">
        <f t="shared" si="71"/>
        <v>https://ia800604.us.archive.org/18/items/GADeptofEd1925/GA.pdf#page=24</v>
      </c>
      <c r="AS119" s="152" t="str">
        <f t="shared" si="50"/>
        <v>https://ia800604.us.archive.org/18/items/GADeptofEd1925/GA.pdf#page=47</v>
      </c>
      <c r="AT119" s="151" t="str">
        <f t="shared" si="69"/>
        <v>https://ia800604.us.archive.org/18/items/GADeptofEd1925/GA.pdf#page=30</v>
      </c>
      <c r="AU119" s="152" t="str">
        <f t="shared" si="69"/>
        <v>https://ia800604.us.archive.org/18/items/GADeptofEd1925/GA.pdf#page=32</v>
      </c>
      <c r="AV119" s="151" t="str">
        <f t="shared" si="69"/>
        <v>https://ia800604.us.archive.org/18/items/GADeptofEd1925/GA.pdf#page=30</v>
      </c>
      <c r="AW119" s="152" t="str">
        <f t="shared" si="69"/>
        <v>https://ia800604.us.archive.org/18/items/GADeptofEd1925/GA.pdf#page=52</v>
      </c>
    </row>
    <row r="120" spans="1:49" x14ac:dyDescent="0.25">
      <c r="A120" s="27" t="s">
        <v>842</v>
      </c>
      <c r="B120" s="27" t="str">
        <f t="shared" si="41"/>
        <v>Georgia</v>
      </c>
      <c r="C120" s="27" t="str">
        <f t="shared" si="42"/>
        <v>Rabun</v>
      </c>
      <c r="D120" s="27">
        <v>1222</v>
      </c>
      <c r="E120" s="27">
        <v>15</v>
      </c>
      <c r="F120" s="27">
        <f t="shared" si="48"/>
        <v>1237</v>
      </c>
      <c r="G120" s="27">
        <v>6</v>
      </c>
      <c r="H120" s="27">
        <v>27</v>
      </c>
      <c r="I120" s="27">
        <v>2</v>
      </c>
      <c r="J120" s="27">
        <v>4</v>
      </c>
      <c r="K120" s="27">
        <v>0</v>
      </c>
      <c r="L120" s="27">
        <f t="shared" si="61"/>
        <v>39</v>
      </c>
      <c r="M120" s="27">
        <v>100</v>
      </c>
      <c r="N120" s="27"/>
      <c r="O120" s="29">
        <v>100</v>
      </c>
      <c r="P120" s="27">
        <v>1713</v>
      </c>
      <c r="Q120" s="7">
        <f t="shared" si="62"/>
        <v>12675</v>
      </c>
      <c r="R120" s="27">
        <v>351.84</v>
      </c>
      <c r="S120" s="27">
        <v>65</v>
      </c>
      <c r="T120" s="27">
        <v>65</v>
      </c>
      <c r="U120" s="27">
        <v>65</v>
      </c>
      <c r="V120" s="27">
        <v>65</v>
      </c>
      <c r="W120" s="89">
        <f t="shared" si="63"/>
        <v>65</v>
      </c>
      <c r="X120" s="89" t="e">
        <f t="shared" si="68"/>
        <v>#DIV/0!</v>
      </c>
      <c r="Y120" s="97">
        <f t="shared" si="52"/>
        <v>66.804307692307688</v>
      </c>
      <c r="Z120" s="97" t="e">
        <f t="shared" si="64"/>
        <v>#DIV/0!</v>
      </c>
      <c r="AA120" s="27">
        <v>26252</v>
      </c>
      <c r="AB120" s="27">
        <v>28</v>
      </c>
      <c r="AC120" s="27">
        <v>38000</v>
      </c>
      <c r="AD120" s="27"/>
      <c r="AE120" s="29">
        <f t="shared" si="65"/>
        <v>38000</v>
      </c>
      <c r="AF120" s="41">
        <v>1925</v>
      </c>
      <c r="AG120" s="4" t="s">
        <v>567</v>
      </c>
      <c r="AH120" s="151" t="str">
        <f t="shared" si="70"/>
        <v>https://ia800604.us.archive.org/18/items/GADeptofEd1925/GA.pdf#page=11</v>
      </c>
      <c r="AI120" s="152" t="str">
        <f t="shared" si="70"/>
        <v>https://ia800604.us.archive.org/18/items/GADeptofEd1925/GA.pdf#page=34</v>
      </c>
      <c r="AJ120" s="151" t="str">
        <f t="shared" si="70"/>
        <v>https://ia800604.us.archive.org/18/items/GADeptofEd1925/GA.pdf#page=11</v>
      </c>
      <c r="AK120" s="152" t="str">
        <f t="shared" si="70"/>
        <v>https://ia800604.us.archive.org/18/items/GADeptofEd1925/GA.pdf#page=32</v>
      </c>
      <c r="AL120" s="151" t="str">
        <f t="shared" si="70"/>
        <v>https://ia800604.us.archive.org/18/items/GADeptofEd1925/GA.pdf#page=16</v>
      </c>
      <c r="AM120" s="152" t="str">
        <f t="shared" si="37"/>
        <v>https://ia800604.us.archive.org/18/items/GADeptofEd1925/GA.pdf#page=41</v>
      </c>
      <c r="AN120" s="151" t="str">
        <f t="shared" si="49"/>
        <v>https://ia800604.us.archive.org/18/items/GADeptofEd1925/GA.pdf#page=16</v>
      </c>
      <c r="AO120" s="152" t="str">
        <f t="shared" si="71"/>
        <v>https://ia800604.us.archive.org/18/items/GADeptofEd1925/GA.pdf#page=32</v>
      </c>
      <c r="AP120" s="151" t="str">
        <f t="shared" si="71"/>
        <v>https://ia800604.us.archive.org/18/items/GADeptofEd1925/GA.pdf#page=30</v>
      </c>
      <c r="AQ120" s="152" t="str">
        <f t="shared" si="71"/>
        <v>https://ia800604.us.archive.org/18/items/GADeptofEd1925/GA.pdf#page=47</v>
      </c>
      <c r="AR120" s="151" t="str">
        <f t="shared" si="71"/>
        <v>https://ia800604.us.archive.org/18/items/GADeptofEd1925/GA.pdf#page=24</v>
      </c>
      <c r="AS120" s="152" t="str">
        <f t="shared" si="50"/>
        <v>https://ia800604.us.archive.org/18/items/GADeptofEd1925/GA.pdf#page=47</v>
      </c>
      <c r="AT120" s="151" t="str">
        <f t="shared" si="69"/>
        <v>https://ia800604.us.archive.org/18/items/GADeptofEd1925/GA.pdf#page=30</v>
      </c>
      <c r="AU120" s="152" t="str">
        <f t="shared" si="69"/>
        <v>https://ia800604.us.archive.org/18/items/GADeptofEd1925/GA.pdf#page=32</v>
      </c>
      <c r="AV120" s="151" t="str">
        <f t="shared" si="69"/>
        <v>https://ia800604.us.archive.org/18/items/GADeptofEd1925/GA.pdf#page=30</v>
      </c>
      <c r="AW120" s="152" t="str">
        <f t="shared" si="69"/>
        <v>https://ia800604.us.archive.org/18/items/GADeptofEd1925/GA.pdf#page=52</v>
      </c>
    </row>
    <row r="121" spans="1:49" x14ac:dyDescent="0.25">
      <c r="A121" s="27" t="s">
        <v>843</v>
      </c>
      <c r="B121" s="27" t="str">
        <f t="shared" si="41"/>
        <v>Georgia</v>
      </c>
      <c r="C121" s="27" t="str">
        <f t="shared" si="42"/>
        <v>Randolph</v>
      </c>
      <c r="D121" s="27">
        <v>1094</v>
      </c>
      <c r="E121" s="27">
        <v>1648</v>
      </c>
      <c r="F121" s="27">
        <f t="shared" si="48"/>
        <v>2742</v>
      </c>
      <c r="G121" s="27">
        <v>1</v>
      </c>
      <c r="H121" s="27">
        <v>36</v>
      </c>
      <c r="I121" s="27">
        <v>5</v>
      </c>
      <c r="J121" s="27">
        <v>9</v>
      </c>
      <c r="K121" s="27">
        <f>40+5</f>
        <v>45</v>
      </c>
      <c r="L121" s="27">
        <f t="shared" si="61"/>
        <v>96</v>
      </c>
      <c r="M121" s="27">
        <v>164</v>
      </c>
      <c r="N121" s="27">
        <v>125</v>
      </c>
      <c r="O121" s="29">
        <f t="shared" ref="O121:O138" si="72">((D121*M121)+(E121*N121))/F121</f>
        <v>140.56017505470459</v>
      </c>
      <c r="P121" s="27">
        <v>4442</v>
      </c>
      <c r="Q121" s="7">
        <f t="shared" si="62"/>
        <v>40098</v>
      </c>
      <c r="R121" s="27">
        <v>10609.91</v>
      </c>
      <c r="S121" s="27">
        <v>100</v>
      </c>
      <c r="T121" s="27">
        <v>80</v>
      </c>
      <c r="U121" s="27">
        <v>184</v>
      </c>
      <c r="V121" s="27">
        <v>110</v>
      </c>
      <c r="W121" s="89">
        <f t="shared" si="63"/>
        <v>95.882352941176478</v>
      </c>
      <c r="X121" s="89">
        <f t="shared" si="68"/>
        <v>37.724124444444442</v>
      </c>
      <c r="Y121" s="97">
        <f t="shared" si="52"/>
        <v>72.496833226106233</v>
      </c>
      <c r="Z121" s="97">
        <f t="shared" si="64"/>
        <v>68.620683333333332</v>
      </c>
      <c r="AA121" s="27">
        <v>85270</v>
      </c>
      <c r="AB121" s="27">
        <v>46</v>
      </c>
      <c r="AC121" s="27">
        <v>134700</v>
      </c>
      <c r="AD121" s="27">
        <v>27000</v>
      </c>
      <c r="AE121" s="29">
        <f t="shared" si="65"/>
        <v>161700</v>
      </c>
      <c r="AF121" s="41">
        <v>1925</v>
      </c>
      <c r="AG121" s="4" t="s">
        <v>567</v>
      </c>
      <c r="AH121" s="151" t="str">
        <f t="shared" si="70"/>
        <v>https://ia800604.us.archive.org/18/items/GADeptofEd1925/GA.pdf#page=11</v>
      </c>
      <c r="AI121" s="152" t="str">
        <f t="shared" si="70"/>
        <v>https://ia800604.us.archive.org/18/items/GADeptofEd1925/GA.pdf#page=34</v>
      </c>
      <c r="AJ121" s="151" t="str">
        <f t="shared" si="70"/>
        <v>https://ia800604.us.archive.org/18/items/GADeptofEd1925/GA.pdf#page=11</v>
      </c>
      <c r="AK121" s="152" t="str">
        <f t="shared" si="70"/>
        <v>https://ia800604.us.archive.org/18/items/GADeptofEd1925/GA.pdf#page=32</v>
      </c>
      <c r="AL121" s="151" t="str">
        <f t="shared" si="70"/>
        <v>https://ia800604.us.archive.org/18/items/GADeptofEd1925/GA.pdf#page=16</v>
      </c>
      <c r="AM121" s="152" t="str">
        <f t="shared" si="37"/>
        <v>https://ia800604.us.archive.org/18/items/GADeptofEd1925/GA.pdf#page=41</v>
      </c>
      <c r="AN121" s="151" t="str">
        <f t="shared" si="49"/>
        <v>https://ia800604.us.archive.org/18/items/GADeptofEd1925/GA.pdf#page=16</v>
      </c>
      <c r="AO121" s="152" t="str">
        <f t="shared" si="71"/>
        <v>https://ia800604.us.archive.org/18/items/GADeptofEd1925/GA.pdf#page=32</v>
      </c>
      <c r="AP121" s="151" t="str">
        <f t="shared" si="71"/>
        <v>https://ia800604.us.archive.org/18/items/GADeptofEd1925/GA.pdf#page=30</v>
      </c>
      <c r="AQ121" s="152" t="str">
        <f t="shared" si="71"/>
        <v>https://ia800604.us.archive.org/18/items/GADeptofEd1925/GA.pdf#page=47</v>
      </c>
      <c r="AR121" s="151" t="str">
        <f t="shared" si="71"/>
        <v>https://ia800604.us.archive.org/18/items/GADeptofEd1925/GA.pdf#page=24</v>
      </c>
      <c r="AS121" s="152" t="str">
        <f t="shared" si="50"/>
        <v>https://ia800604.us.archive.org/18/items/GADeptofEd1925/GA.pdf#page=47</v>
      </c>
      <c r="AT121" s="151" t="str">
        <f t="shared" si="69"/>
        <v>https://ia800604.us.archive.org/18/items/GADeptofEd1925/GA.pdf#page=30</v>
      </c>
      <c r="AU121" s="152" t="str">
        <f t="shared" si="69"/>
        <v>https://ia800604.us.archive.org/18/items/GADeptofEd1925/GA.pdf#page=32</v>
      </c>
      <c r="AV121" s="151" t="str">
        <f t="shared" si="69"/>
        <v>https://ia800604.us.archive.org/18/items/GADeptofEd1925/GA.pdf#page=30</v>
      </c>
      <c r="AW121" s="152" t="str">
        <f t="shared" si="69"/>
        <v>https://ia800604.us.archive.org/18/items/GADeptofEd1925/GA.pdf#page=52</v>
      </c>
    </row>
    <row r="122" spans="1:49" x14ac:dyDescent="0.25">
      <c r="A122" s="27" t="s">
        <v>844</v>
      </c>
      <c r="B122" s="27" t="str">
        <f t="shared" si="41"/>
        <v>Georgia</v>
      </c>
      <c r="C122" s="27" t="str">
        <f t="shared" si="42"/>
        <v>Richmond</v>
      </c>
      <c r="D122" s="27">
        <v>6237</v>
      </c>
      <c r="E122" s="27">
        <v>3261</v>
      </c>
      <c r="F122" s="27">
        <f t="shared" si="48"/>
        <v>9498</v>
      </c>
      <c r="G122" s="27">
        <v>9</v>
      </c>
      <c r="H122" s="27">
        <v>205</v>
      </c>
      <c r="I122" s="27">
        <v>30</v>
      </c>
      <c r="J122" s="27">
        <v>43</v>
      </c>
      <c r="K122" s="27">
        <v>81</v>
      </c>
      <c r="L122" s="27">
        <f t="shared" si="61"/>
        <v>368</v>
      </c>
      <c r="M122" s="27">
        <v>183</v>
      </c>
      <c r="N122" s="27">
        <v>140</v>
      </c>
      <c r="O122" s="29">
        <f t="shared" si="72"/>
        <v>168.23657612128869</v>
      </c>
      <c r="P122" s="27">
        <v>13269</v>
      </c>
      <c r="Q122" s="7">
        <f t="shared" si="62"/>
        <v>300590.49300000002</v>
      </c>
      <c r="R122" s="27">
        <v>48888.79</v>
      </c>
      <c r="S122" s="27">
        <v>156.68</v>
      </c>
      <c r="T122" s="27">
        <v>98.97</v>
      </c>
      <c r="U122" s="27">
        <v>184.77</v>
      </c>
      <c r="V122" s="27">
        <v>130.44999999999999</v>
      </c>
      <c r="W122" s="89">
        <f t="shared" si="63"/>
        <v>114.46487804878051</v>
      </c>
      <c r="X122" s="89">
        <f t="shared" si="68"/>
        <v>86.223615520282195</v>
      </c>
      <c r="Y122" s="97">
        <f t="shared" si="52"/>
        <v>109.44998762938258</v>
      </c>
      <c r="Z122" s="97">
        <f t="shared" si="64"/>
        <v>108.24873059006212</v>
      </c>
      <c r="AA122" s="27">
        <v>1053820</v>
      </c>
      <c r="AB122" s="27">
        <v>60</v>
      </c>
      <c r="AC122" s="27">
        <v>1103274</v>
      </c>
      <c r="AD122" s="27">
        <v>51331</v>
      </c>
      <c r="AE122" s="29">
        <f t="shared" si="65"/>
        <v>1154605</v>
      </c>
      <c r="AF122" s="41">
        <v>1925</v>
      </c>
      <c r="AG122" s="4" t="s">
        <v>567</v>
      </c>
      <c r="AH122" s="151" t="str">
        <f t="shared" si="70"/>
        <v>https://ia800604.us.archive.org/18/items/GADeptofEd1925/GA.pdf#page=11</v>
      </c>
      <c r="AI122" s="152" t="str">
        <f t="shared" si="70"/>
        <v>https://ia800604.us.archive.org/18/items/GADeptofEd1925/GA.pdf#page=34</v>
      </c>
      <c r="AJ122" s="151" t="str">
        <f t="shared" si="70"/>
        <v>https://ia800604.us.archive.org/18/items/GADeptofEd1925/GA.pdf#page=11</v>
      </c>
      <c r="AK122" s="152" t="str">
        <f t="shared" si="70"/>
        <v>https://ia800604.us.archive.org/18/items/GADeptofEd1925/GA.pdf#page=32</v>
      </c>
      <c r="AL122" s="151" t="str">
        <f t="shared" si="70"/>
        <v>https://ia800604.us.archive.org/18/items/GADeptofEd1925/GA.pdf#page=16</v>
      </c>
      <c r="AM122" s="152" t="str">
        <f t="shared" si="37"/>
        <v>https://ia800604.us.archive.org/18/items/GADeptofEd1925/GA.pdf#page=41</v>
      </c>
      <c r="AN122" s="151" t="str">
        <f t="shared" si="49"/>
        <v>https://ia800604.us.archive.org/18/items/GADeptofEd1925/GA.pdf#page=16</v>
      </c>
      <c r="AO122" s="152" t="str">
        <f t="shared" si="71"/>
        <v>https://ia800604.us.archive.org/18/items/GADeptofEd1925/GA.pdf#page=32</v>
      </c>
      <c r="AP122" s="151" t="str">
        <f t="shared" si="71"/>
        <v>https://ia800604.us.archive.org/18/items/GADeptofEd1925/GA.pdf#page=30</v>
      </c>
      <c r="AQ122" s="152" t="str">
        <f t="shared" si="71"/>
        <v>https://ia800604.us.archive.org/18/items/GADeptofEd1925/GA.pdf#page=47</v>
      </c>
      <c r="AR122" s="151" t="str">
        <f t="shared" si="71"/>
        <v>https://ia800604.us.archive.org/18/items/GADeptofEd1925/GA.pdf#page=24</v>
      </c>
      <c r="AS122" s="152" t="str">
        <f t="shared" si="50"/>
        <v>https://ia800604.us.archive.org/18/items/GADeptofEd1925/GA.pdf#page=47</v>
      </c>
      <c r="AT122" s="151" t="str">
        <f t="shared" si="69"/>
        <v>https://ia800604.us.archive.org/18/items/GADeptofEd1925/GA.pdf#page=30</v>
      </c>
      <c r="AU122" s="152" t="str">
        <f t="shared" si="69"/>
        <v>https://ia800604.us.archive.org/18/items/GADeptofEd1925/GA.pdf#page=32</v>
      </c>
      <c r="AV122" s="151" t="str">
        <f t="shared" si="69"/>
        <v>https://ia800604.us.archive.org/18/items/GADeptofEd1925/GA.pdf#page=30</v>
      </c>
      <c r="AW122" s="152" t="str">
        <f t="shared" si="69"/>
        <v>https://ia800604.us.archive.org/18/items/GADeptofEd1925/GA.pdf#page=52</v>
      </c>
    </row>
    <row r="123" spans="1:49" x14ac:dyDescent="0.25">
      <c r="A123" s="27" t="s">
        <v>845</v>
      </c>
      <c r="B123" s="27" t="str">
        <f t="shared" si="41"/>
        <v>Georgia</v>
      </c>
      <c r="C123" s="27" t="str">
        <f t="shared" si="42"/>
        <v>Rockdale</v>
      </c>
      <c r="D123" s="27">
        <f>933+251</f>
        <v>1184</v>
      </c>
      <c r="E123" s="27">
        <f>577+83</f>
        <v>660</v>
      </c>
      <c r="F123" s="27">
        <f t="shared" si="48"/>
        <v>1844</v>
      </c>
      <c r="G123" s="27">
        <v>2</v>
      </c>
      <c r="H123" s="27">
        <f>31+7</f>
        <v>38</v>
      </c>
      <c r="I123" s="27">
        <v>2</v>
      </c>
      <c r="J123" s="27">
        <v>3</v>
      </c>
      <c r="K123" s="27">
        <f>14+4</f>
        <v>18</v>
      </c>
      <c r="L123" s="27">
        <f t="shared" si="61"/>
        <v>63</v>
      </c>
      <c r="M123" s="27">
        <v>120</v>
      </c>
      <c r="N123" s="27">
        <v>120</v>
      </c>
      <c r="O123" s="29">
        <f t="shared" si="72"/>
        <v>120</v>
      </c>
      <c r="P123" s="27">
        <v>2884</v>
      </c>
      <c r="Q123" s="7">
        <f t="shared" si="62"/>
        <v>38076.720000000001</v>
      </c>
      <c r="R123" s="27">
        <f>1813.63+1100</f>
        <v>2913.63</v>
      </c>
      <c r="S123" s="27">
        <v>73.62</v>
      </c>
      <c r="T123" s="27">
        <f>70+75</f>
        <v>145</v>
      </c>
      <c r="U123" s="27">
        <v>194.44</v>
      </c>
      <c r="V123" s="27">
        <v>100</v>
      </c>
      <c r="W123" s="89">
        <f t="shared" si="63"/>
        <v>141.02488888888891</v>
      </c>
      <c r="X123" s="89">
        <f t="shared" si="68"/>
        <v>26.978055555555557</v>
      </c>
      <c r="Y123" s="97">
        <f t="shared" si="52"/>
        <v>108.44007936507937</v>
      </c>
      <c r="Z123" s="97">
        <f t="shared" si="64"/>
        <v>108.44007936507937</v>
      </c>
      <c r="AA123" s="27">
        <v>31391</v>
      </c>
      <c r="AB123" s="27">
        <v>20</v>
      </c>
      <c r="AC123" s="27">
        <f>39045+75000</f>
        <v>114045</v>
      </c>
      <c r="AD123" s="27">
        <f>700+1500</f>
        <v>2200</v>
      </c>
      <c r="AE123" s="29">
        <f t="shared" si="65"/>
        <v>116245</v>
      </c>
      <c r="AF123" s="41">
        <v>1925</v>
      </c>
      <c r="AG123" s="4" t="s">
        <v>567</v>
      </c>
      <c r="AH123" s="151" t="str">
        <f t="shared" si="70"/>
        <v>https://ia800604.us.archive.org/18/items/GADeptofEd1925/GA.pdf#page=11</v>
      </c>
      <c r="AI123" s="152" t="str">
        <f t="shared" si="70"/>
        <v>https://ia800604.us.archive.org/18/items/GADeptofEd1925/GA.pdf#page=34</v>
      </c>
      <c r="AJ123" s="151" t="str">
        <f t="shared" si="70"/>
        <v>https://ia800604.us.archive.org/18/items/GADeptofEd1925/GA.pdf#page=11</v>
      </c>
      <c r="AK123" s="152" t="str">
        <f t="shared" si="70"/>
        <v>https://ia800604.us.archive.org/18/items/GADeptofEd1925/GA.pdf#page=32</v>
      </c>
      <c r="AL123" s="151" t="str">
        <f t="shared" si="70"/>
        <v>https://ia800604.us.archive.org/18/items/GADeptofEd1925/GA.pdf#page=16</v>
      </c>
      <c r="AM123" s="152" t="str">
        <f t="shared" si="70"/>
        <v>https://ia800604.us.archive.org/18/items/GADeptofEd1925/GA.pdf#page=41</v>
      </c>
      <c r="AN123" s="151" t="str">
        <f t="shared" si="49"/>
        <v>https://ia800604.us.archive.org/18/items/GADeptofEd1925/GA.pdf#page=16</v>
      </c>
      <c r="AO123" s="152" t="str">
        <f t="shared" si="71"/>
        <v>https://ia800604.us.archive.org/18/items/GADeptofEd1925/GA.pdf#page=32</v>
      </c>
      <c r="AP123" s="151" t="str">
        <f t="shared" si="71"/>
        <v>https://ia800604.us.archive.org/18/items/GADeptofEd1925/GA.pdf#page=30</v>
      </c>
      <c r="AQ123" s="152" t="str">
        <f t="shared" si="71"/>
        <v>https://ia800604.us.archive.org/18/items/GADeptofEd1925/GA.pdf#page=47</v>
      </c>
      <c r="AR123" s="151" t="str">
        <f t="shared" si="71"/>
        <v>https://ia800604.us.archive.org/18/items/GADeptofEd1925/GA.pdf#page=24</v>
      </c>
      <c r="AS123" s="152" t="str">
        <f t="shared" si="50"/>
        <v>https://ia800604.us.archive.org/18/items/GADeptofEd1925/GA.pdf#page=47</v>
      </c>
      <c r="AT123" s="151" t="str">
        <f t="shared" si="69"/>
        <v>https://ia800604.us.archive.org/18/items/GADeptofEd1925/GA.pdf#page=30</v>
      </c>
      <c r="AU123" s="152" t="str">
        <f t="shared" si="69"/>
        <v>https://ia800604.us.archive.org/18/items/GADeptofEd1925/GA.pdf#page=32</v>
      </c>
      <c r="AV123" s="151" t="str">
        <f t="shared" si="69"/>
        <v>https://ia800604.us.archive.org/18/items/GADeptofEd1925/GA.pdf#page=30</v>
      </c>
      <c r="AW123" s="152" t="str">
        <f t="shared" si="69"/>
        <v>https://ia800604.us.archive.org/18/items/GADeptofEd1925/GA.pdf#page=52</v>
      </c>
    </row>
    <row r="124" spans="1:49" x14ac:dyDescent="0.25">
      <c r="A124" s="27" t="s">
        <v>846</v>
      </c>
      <c r="B124" s="27" t="str">
        <f t="shared" si="41"/>
        <v>Georgia</v>
      </c>
      <c r="C124" s="27" t="str">
        <f t="shared" si="42"/>
        <v>Schley</v>
      </c>
      <c r="D124" s="27">
        <v>600</v>
      </c>
      <c r="E124" s="27">
        <v>900</v>
      </c>
      <c r="F124" s="27">
        <f t="shared" si="48"/>
        <v>1500</v>
      </c>
      <c r="G124" s="27">
        <v>0</v>
      </c>
      <c r="H124" s="27">
        <v>11</v>
      </c>
      <c r="I124" s="27">
        <v>1</v>
      </c>
      <c r="J124" s="27">
        <v>9</v>
      </c>
      <c r="K124" s="27">
        <v>16</v>
      </c>
      <c r="L124" s="27">
        <f t="shared" si="61"/>
        <v>37</v>
      </c>
      <c r="M124" s="27">
        <v>140</v>
      </c>
      <c r="N124" s="27">
        <v>120</v>
      </c>
      <c r="O124" s="29">
        <f t="shared" si="72"/>
        <v>128</v>
      </c>
      <c r="P124" s="27">
        <v>1819</v>
      </c>
      <c r="Q124" s="7">
        <f t="shared" si="62"/>
        <v>11410</v>
      </c>
      <c r="R124" s="27">
        <v>4191.08</v>
      </c>
      <c r="S124" s="27">
        <v>85</v>
      </c>
      <c r="T124" s="27">
        <v>65</v>
      </c>
      <c r="U124" s="27">
        <v>150</v>
      </c>
      <c r="V124" s="27">
        <v>85</v>
      </c>
      <c r="W124" s="89">
        <f t="shared" si="63"/>
        <v>77.61904761904762</v>
      </c>
      <c r="X124" s="89">
        <f t="shared" si="68"/>
        <v>43.657083333333333</v>
      </c>
      <c r="Y124" s="97">
        <f t="shared" si="52"/>
        <v>64.201975308641977</v>
      </c>
      <c r="Z124" s="97">
        <f t="shared" si="64"/>
        <v>62.932792792792796</v>
      </c>
      <c r="AA124" s="27">
        <v>24834</v>
      </c>
      <c r="AB124" s="27">
        <v>21</v>
      </c>
      <c r="AC124" s="27">
        <v>23000</v>
      </c>
      <c r="AD124" s="27">
        <v>2700</v>
      </c>
      <c r="AE124" s="29">
        <f t="shared" si="65"/>
        <v>25700</v>
      </c>
      <c r="AF124" s="41">
        <v>1925</v>
      </c>
      <c r="AG124" s="4" t="s">
        <v>567</v>
      </c>
      <c r="AH124" s="151" t="str">
        <f t="shared" si="70"/>
        <v>https://ia800604.us.archive.org/18/items/GADeptofEd1925/GA.pdf#page=11</v>
      </c>
      <c r="AI124" s="152" t="str">
        <f t="shared" si="70"/>
        <v>https://ia800604.us.archive.org/18/items/GADeptofEd1925/GA.pdf#page=34</v>
      </c>
      <c r="AJ124" s="151" t="str">
        <f t="shared" si="70"/>
        <v>https://ia800604.us.archive.org/18/items/GADeptofEd1925/GA.pdf#page=11</v>
      </c>
      <c r="AK124" s="152" t="str">
        <f t="shared" si="70"/>
        <v>https://ia800604.us.archive.org/18/items/GADeptofEd1925/GA.pdf#page=32</v>
      </c>
      <c r="AL124" s="151" t="str">
        <f t="shared" si="70"/>
        <v>https://ia800604.us.archive.org/18/items/GADeptofEd1925/GA.pdf#page=16</v>
      </c>
      <c r="AM124" s="152" t="str">
        <f t="shared" si="70"/>
        <v>https://ia800604.us.archive.org/18/items/GADeptofEd1925/GA.pdf#page=41</v>
      </c>
      <c r="AN124" s="151" t="str">
        <f t="shared" si="49"/>
        <v>https://ia800604.us.archive.org/18/items/GADeptofEd1925/GA.pdf#page=16</v>
      </c>
      <c r="AO124" s="152" t="str">
        <f t="shared" si="71"/>
        <v>https://ia800604.us.archive.org/18/items/GADeptofEd1925/GA.pdf#page=32</v>
      </c>
      <c r="AP124" s="151" t="str">
        <f t="shared" si="71"/>
        <v>https://ia800604.us.archive.org/18/items/GADeptofEd1925/GA.pdf#page=30</v>
      </c>
      <c r="AQ124" s="152" t="str">
        <f t="shared" si="71"/>
        <v>https://ia800604.us.archive.org/18/items/GADeptofEd1925/GA.pdf#page=47</v>
      </c>
      <c r="AR124" s="151" t="str">
        <f t="shared" si="71"/>
        <v>https://ia800604.us.archive.org/18/items/GADeptofEd1925/GA.pdf#page=24</v>
      </c>
      <c r="AS124" s="152" t="str">
        <f t="shared" si="50"/>
        <v>https://ia800604.us.archive.org/18/items/GADeptofEd1925/GA.pdf#page=47</v>
      </c>
      <c r="AT124" s="151" t="str">
        <f t="shared" si="69"/>
        <v>https://ia800604.us.archive.org/18/items/GADeptofEd1925/GA.pdf#page=30</v>
      </c>
      <c r="AU124" s="152" t="str">
        <f t="shared" si="69"/>
        <v>https://ia800604.us.archive.org/18/items/GADeptofEd1925/GA.pdf#page=32</v>
      </c>
      <c r="AV124" s="151" t="str">
        <f t="shared" si="69"/>
        <v>https://ia800604.us.archive.org/18/items/GADeptofEd1925/GA.pdf#page=30</v>
      </c>
      <c r="AW124" s="152" t="str">
        <f t="shared" si="69"/>
        <v>https://ia800604.us.archive.org/18/items/GADeptofEd1925/GA.pdf#page=52</v>
      </c>
    </row>
    <row r="125" spans="1:49" x14ac:dyDescent="0.25">
      <c r="A125" s="27" t="s">
        <v>847</v>
      </c>
      <c r="B125" s="27" t="str">
        <f t="shared" si="41"/>
        <v>Georgia</v>
      </c>
      <c r="C125" s="27" t="str">
        <f t="shared" si="42"/>
        <v>Screven</v>
      </c>
      <c r="D125" s="27">
        <v>1982</v>
      </c>
      <c r="E125" s="27">
        <v>1972</v>
      </c>
      <c r="F125" s="27">
        <f t="shared" si="48"/>
        <v>3954</v>
      </c>
      <c r="G125" s="27">
        <v>4</v>
      </c>
      <c r="H125" s="27">
        <v>63</v>
      </c>
      <c r="I125" s="27">
        <v>11</v>
      </c>
      <c r="J125" s="27">
        <v>9</v>
      </c>
      <c r="K125" s="27">
        <v>62</v>
      </c>
      <c r="L125" s="27">
        <f t="shared" si="61"/>
        <v>149</v>
      </c>
      <c r="M125" s="27">
        <v>160</v>
      </c>
      <c r="N125" s="27">
        <v>125</v>
      </c>
      <c r="O125" s="29">
        <f t="shared" si="72"/>
        <v>142.54425897824987</v>
      </c>
      <c r="P125" s="27">
        <v>6237</v>
      </c>
      <c r="Q125" s="7">
        <f t="shared" si="62"/>
        <v>54736.480000000003</v>
      </c>
      <c r="R125" s="27">
        <v>9152.65</v>
      </c>
      <c r="S125" s="27">
        <v>90</v>
      </c>
      <c r="T125" s="27">
        <v>66.12</v>
      </c>
      <c r="U125" s="27">
        <v>130</v>
      </c>
      <c r="V125" s="27">
        <v>98.5</v>
      </c>
      <c r="W125" s="89">
        <f t="shared" si="63"/>
        <v>78.644367816091957</v>
      </c>
      <c r="X125" s="89">
        <f t="shared" si="68"/>
        <v>23.619741935483873</v>
      </c>
      <c r="Y125" s="97">
        <f t="shared" si="52"/>
        <v>58.965509921550535</v>
      </c>
      <c r="Z125" s="97">
        <f t="shared" si="64"/>
        <v>55.748214765100677</v>
      </c>
      <c r="AA125" s="27">
        <v>130197</v>
      </c>
      <c r="AB125" s="27">
        <v>84</v>
      </c>
      <c r="AC125" s="27">
        <v>176700</v>
      </c>
      <c r="AD125" s="27">
        <v>18850</v>
      </c>
      <c r="AE125" s="29">
        <f t="shared" si="65"/>
        <v>195550</v>
      </c>
      <c r="AF125" s="41">
        <v>1925</v>
      </c>
      <c r="AG125" s="4" t="s">
        <v>567</v>
      </c>
      <c r="AH125" s="151" t="str">
        <f t="shared" si="70"/>
        <v>https://ia800604.us.archive.org/18/items/GADeptofEd1925/GA.pdf#page=11</v>
      </c>
      <c r="AI125" s="152" t="str">
        <f t="shared" si="70"/>
        <v>https://ia800604.us.archive.org/18/items/GADeptofEd1925/GA.pdf#page=34</v>
      </c>
      <c r="AJ125" s="151" t="str">
        <f t="shared" si="70"/>
        <v>https://ia800604.us.archive.org/18/items/GADeptofEd1925/GA.pdf#page=11</v>
      </c>
      <c r="AK125" s="152" t="str">
        <f t="shared" si="70"/>
        <v>https://ia800604.us.archive.org/18/items/GADeptofEd1925/GA.pdf#page=32</v>
      </c>
      <c r="AL125" s="151" t="str">
        <f t="shared" si="70"/>
        <v>https://ia800604.us.archive.org/18/items/GADeptofEd1925/GA.pdf#page=16</v>
      </c>
      <c r="AM125" s="152" t="str">
        <f t="shared" si="70"/>
        <v>https://ia800604.us.archive.org/18/items/GADeptofEd1925/GA.pdf#page=41</v>
      </c>
      <c r="AN125" s="151" t="str">
        <f t="shared" si="49"/>
        <v>https://ia800604.us.archive.org/18/items/GADeptofEd1925/GA.pdf#page=16</v>
      </c>
      <c r="AO125" s="152" t="str">
        <f t="shared" si="71"/>
        <v>https://ia800604.us.archive.org/18/items/GADeptofEd1925/GA.pdf#page=32</v>
      </c>
      <c r="AP125" s="151" t="str">
        <f t="shared" si="71"/>
        <v>https://ia800604.us.archive.org/18/items/GADeptofEd1925/GA.pdf#page=30</v>
      </c>
      <c r="AQ125" s="152" t="str">
        <f t="shared" si="71"/>
        <v>https://ia800604.us.archive.org/18/items/GADeptofEd1925/GA.pdf#page=47</v>
      </c>
      <c r="AR125" s="151" t="str">
        <f t="shared" si="71"/>
        <v>https://ia800604.us.archive.org/18/items/GADeptofEd1925/GA.pdf#page=24</v>
      </c>
      <c r="AS125" s="152" t="str">
        <f t="shared" si="50"/>
        <v>https://ia800604.us.archive.org/18/items/GADeptofEd1925/GA.pdf#page=47</v>
      </c>
      <c r="AT125" s="151" t="str">
        <f t="shared" ref="AT125:AW140" si="73">AT124</f>
        <v>https://ia800604.us.archive.org/18/items/GADeptofEd1925/GA.pdf#page=30</v>
      </c>
      <c r="AU125" s="152" t="str">
        <f t="shared" si="73"/>
        <v>https://ia800604.us.archive.org/18/items/GADeptofEd1925/GA.pdf#page=32</v>
      </c>
      <c r="AV125" s="151" t="str">
        <f t="shared" si="73"/>
        <v>https://ia800604.us.archive.org/18/items/GADeptofEd1925/GA.pdf#page=30</v>
      </c>
      <c r="AW125" s="152" t="str">
        <f t="shared" si="73"/>
        <v>https://ia800604.us.archive.org/18/items/GADeptofEd1925/GA.pdf#page=52</v>
      </c>
    </row>
    <row r="126" spans="1:49" x14ac:dyDescent="0.25">
      <c r="A126" s="27" t="s">
        <v>848</v>
      </c>
      <c r="B126" s="27" t="str">
        <f t="shared" si="41"/>
        <v>Georgia</v>
      </c>
      <c r="C126" s="27" t="str">
        <f t="shared" si="42"/>
        <v>Seminole</v>
      </c>
      <c r="D126" s="27">
        <v>1248</v>
      </c>
      <c r="E126" s="27">
        <v>956</v>
      </c>
      <c r="F126" s="27">
        <f t="shared" si="48"/>
        <v>2204</v>
      </c>
      <c r="G126" s="27">
        <v>4</v>
      </c>
      <c r="H126" s="27">
        <v>24</v>
      </c>
      <c r="I126" s="27">
        <v>4</v>
      </c>
      <c r="J126" s="27">
        <v>4</v>
      </c>
      <c r="K126" s="27">
        <f>16+2</f>
        <v>18</v>
      </c>
      <c r="L126" s="27">
        <f t="shared" si="61"/>
        <v>54</v>
      </c>
      <c r="M126" s="27">
        <v>170</v>
      </c>
      <c r="N126" s="27">
        <v>140</v>
      </c>
      <c r="O126" s="29">
        <f t="shared" si="72"/>
        <v>156.98729582577133</v>
      </c>
      <c r="P126" s="27">
        <v>2403</v>
      </c>
      <c r="Q126" s="7">
        <f t="shared" si="62"/>
        <v>26350</v>
      </c>
      <c r="R126" s="27">
        <v>3031.7</v>
      </c>
      <c r="S126" s="27">
        <v>100</v>
      </c>
      <c r="T126" s="27">
        <v>70</v>
      </c>
      <c r="U126" s="27">
        <v>175</v>
      </c>
      <c r="V126" s="27">
        <v>80</v>
      </c>
      <c r="W126" s="89">
        <f t="shared" si="63"/>
        <v>86.111111111111114</v>
      </c>
      <c r="X126" s="89">
        <f t="shared" si="68"/>
        <v>24.06111111111111</v>
      </c>
      <c r="Y126" s="97">
        <f t="shared" si="52"/>
        <v>68.013194444444451</v>
      </c>
      <c r="Z126" s="97">
        <f t="shared" si="64"/>
        <v>65.427777777777777</v>
      </c>
      <c r="AA126" s="27">
        <v>42122</v>
      </c>
      <c r="AB126" s="27">
        <v>22</v>
      </c>
      <c r="AC126" s="27">
        <v>50000</v>
      </c>
      <c r="AD126" s="27">
        <v>4000</v>
      </c>
      <c r="AE126" s="29">
        <f t="shared" si="65"/>
        <v>54000</v>
      </c>
      <c r="AF126" s="41">
        <v>1925</v>
      </c>
      <c r="AG126" s="4" t="s">
        <v>567</v>
      </c>
      <c r="AH126" s="151" t="str">
        <f t="shared" si="70"/>
        <v>https://ia800604.us.archive.org/18/items/GADeptofEd1925/GA.pdf#page=11</v>
      </c>
      <c r="AI126" s="152" t="str">
        <f t="shared" si="70"/>
        <v>https://ia800604.us.archive.org/18/items/GADeptofEd1925/GA.pdf#page=34</v>
      </c>
      <c r="AJ126" s="151" t="str">
        <f t="shared" si="70"/>
        <v>https://ia800604.us.archive.org/18/items/GADeptofEd1925/GA.pdf#page=11</v>
      </c>
      <c r="AK126" s="152" t="str">
        <f t="shared" si="70"/>
        <v>https://ia800604.us.archive.org/18/items/GADeptofEd1925/GA.pdf#page=32</v>
      </c>
      <c r="AL126" s="151" t="s">
        <v>2671</v>
      </c>
      <c r="AM126" s="152" t="str">
        <f t="shared" si="70"/>
        <v>https://ia800604.us.archive.org/18/items/GADeptofEd1925/GA.pdf#page=41</v>
      </c>
      <c r="AN126" s="151" t="str">
        <f t="shared" si="49"/>
        <v>https://ia800604.us.archive.org/18/items/GADeptofEd1925/GA.pdf#page=17</v>
      </c>
      <c r="AO126" s="152" t="str">
        <f t="shared" si="71"/>
        <v>https://ia800604.us.archive.org/18/items/GADeptofEd1925/GA.pdf#page=32</v>
      </c>
      <c r="AP126" s="151" t="str">
        <f t="shared" si="71"/>
        <v>https://ia800604.us.archive.org/18/items/GADeptofEd1925/GA.pdf#page=30</v>
      </c>
      <c r="AQ126" s="152" t="str">
        <f t="shared" si="71"/>
        <v>https://ia800604.us.archive.org/18/items/GADeptofEd1925/GA.pdf#page=47</v>
      </c>
      <c r="AR126" s="151" t="str">
        <f t="shared" si="71"/>
        <v>https://ia800604.us.archive.org/18/items/GADeptofEd1925/GA.pdf#page=24</v>
      </c>
      <c r="AS126" s="152" t="str">
        <f t="shared" si="50"/>
        <v>https://ia800604.us.archive.org/18/items/GADeptofEd1925/GA.pdf#page=47</v>
      </c>
      <c r="AT126" s="151" t="str">
        <f t="shared" si="73"/>
        <v>https://ia800604.us.archive.org/18/items/GADeptofEd1925/GA.pdf#page=30</v>
      </c>
      <c r="AU126" s="152" t="str">
        <f t="shared" si="73"/>
        <v>https://ia800604.us.archive.org/18/items/GADeptofEd1925/GA.pdf#page=32</v>
      </c>
      <c r="AV126" s="151" t="str">
        <f t="shared" si="73"/>
        <v>https://ia800604.us.archive.org/18/items/GADeptofEd1925/GA.pdf#page=30</v>
      </c>
      <c r="AW126" s="152" t="str">
        <f t="shared" si="73"/>
        <v>https://ia800604.us.archive.org/18/items/GADeptofEd1925/GA.pdf#page=52</v>
      </c>
    </row>
    <row r="127" spans="1:49" x14ac:dyDescent="0.25">
      <c r="A127" s="27" t="s">
        <v>849</v>
      </c>
      <c r="B127" s="27" t="str">
        <f t="shared" si="41"/>
        <v>Georgia</v>
      </c>
      <c r="C127" s="27" t="str">
        <f t="shared" si="42"/>
        <v>Spalding</v>
      </c>
      <c r="D127" s="27">
        <f>1393+1410</f>
        <v>2803</v>
      </c>
      <c r="E127" s="27">
        <f>725+325</f>
        <v>1050</v>
      </c>
      <c r="F127" s="27">
        <f t="shared" si="48"/>
        <v>3853</v>
      </c>
      <c r="G127" s="27">
        <v>2</v>
      </c>
      <c r="H127" s="27">
        <f>22+32</f>
        <v>54</v>
      </c>
      <c r="I127" s="27">
        <f>2+6</f>
        <v>8</v>
      </c>
      <c r="J127" s="27">
        <f>1+8</f>
        <v>9</v>
      </c>
      <c r="K127" s="27">
        <f>25+11</f>
        <v>36</v>
      </c>
      <c r="L127" s="27">
        <f t="shared" si="61"/>
        <v>109</v>
      </c>
      <c r="M127" s="27">
        <v>160</v>
      </c>
      <c r="N127" s="27">
        <v>120</v>
      </c>
      <c r="O127" s="29">
        <f t="shared" si="72"/>
        <v>149.09940306254867</v>
      </c>
      <c r="P127" s="27">
        <v>4504</v>
      </c>
      <c r="Q127" s="7">
        <f t="shared" si="62"/>
        <v>107830.32</v>
      </c>
      <c r="R127" s="27">
        <f>4038.5+5265</f>
        <v>9303.5</v>
      </c>
      <c r="S127" s="27">
        <f>80+150</f>
        <v>230</v>
      </c>
      <c r="T127" s="27">
        <f>65+98.73</f>
        <v>163.73000000000002</v>
      </c>
      <c r="U127" s="27">
        <f>85+193.89</f>
        <v>278.89</v>
      </c>
      <c r="V127" s="27">
        <f>85+131.25</f>
        <v>216.25</v>
      </c>
      <c r="W127" s="89">
        <f t="shared" si="63"/>
        <v>184.6409589041096</v>
      </c>
      <c r="X127" s="89">
        <f t="shared" si="68"/>
        <v>43.07175925925926</v>
      </c>
      <c r="Y127" s="97">
        <f t="shared" si="52"/>
        <v>146.41727499999999</v>
      </c>
      <c r="Z127" s="97">
        <f t="shared" si="64"/>
        <v>137.88415902140673</v>
      </c>
      <c r="AA127" s="27">
        <v>143289</v>
      </c>
      <c r="AB127" s="27">
        <v>45</v>
      </c>
      <c r="AC127" s="27">
        <f>30000+160000</f>
        <v>190000</v>
      </c>
      <c r="AD127" s="27">
        <v>10000</v>
      </c>
      <c r="AE127" s="29">
        <f t="shared" si="65"/>
        <v>200000</v>
      </c>
      <c r="AF127" s="41">
        <v>1925</v>
      </c>
      <c r="AG127" s="4" t="s">
        <v>567</v>
      </c>
      <c r="AH127" s="151" t="str">
        <f t="shared" si="70"/>
        <v>https://ia800604.us.archive.org/18/items/GADeptofEd1925/GA.pdf#page=11</v>
      </c>
      <c r="AI127" s="152" t="str">
        <f t="shared" si="70"/>
        <v>https://ia800604.us.archive.org/18/items/GADeptofEd1925/GA.pdf#page=34</v>
      </c>
      <c r="AJ127" s="151" t="str">
        <f t="shared" si="70"/>
        <v>https://ia800604.us.archive.org/18/items/GADeptofEd1925/GA.pdf#page=11</v>
      </c>
      <c r="AK127" s="152" t="str">
        <f t="shared" si="70"/>
        <v>https://ia800604.us.archive.org/18/items/GADeptofEd1925/GA.pdf#page=32</v>
      </c>
      <c r="AL127" s="151" t="str">
        <f>AL126</f>
        <v>https://ia800604.us.archive.org/18/items/GADeptofEd1925/GA.pdf#page=17</v>
      </c>
      <c r="AM127" s="152" t="str">
        <f t="shared" si="70"/>
        <v>https://ia800604.us.archive.org/18/items/GADeptofEd1925/GA.pdf#page=41</v>
      </c>
      <c r="AN127" s="151" t="str">
        <f t="shared" si="49"/>
        <v>https://ia800604.us.archive.org/18/items/GADeptofEd1925/GA.pdf#page=17</v>
      </c>
      <c r="AO127" s="152" t="str">
        <f t="shared" si="71"/>
        <v>https://ia800604.us.archive.org/18/items/GADeptofEd1925/GA.pdf#page=32</v>
      </c>
      <c r="AP127" s="151" t="str">
        <f t="shared" si="71"/>
        <v>https://ia800604.us.archive.org/18/items/GADeptofEd1925/GA.pdf#page=30</v>
      </c>
      <c r="AQ127" s="152" t="str">
        <f t="shared" si="71"/>
        <v>https://ia800604.us.archive.org/18/items/GADeptofEd1925/GA.pdf#page=47</v>
      </c>
      <c r="AR127" s="151" t="str">
        <f t="shared" si="71"/>
        <v>https://ia800604.us.archive.org/18/items/GADeptofEd1925/GA.pdf#page=24</v>
      </c>
      <c r="AS127" s="152" t="str">
        <f t="shared" si="50"/>
        <v>https://ia800604.us.archive.org/18/items/GADeptofEd1925/GA.pdf#page=47</v>
      </c>
      <c r="AT127" s="151" t="str">
        <f t="shared" si="73"/>
        <v>https://ia800604.us.archive.org/18/items/GADeptofEd1925/GA.pdf#page=30</v>
      </c>
      <c r="AU127" s="152" t="str">
        <f t="shared" si="73"/>
        <v>https://ia800604.us.archive.org/18/items/GADeptofEd1925/GA.pdf#page=32</v>
      </c>
      <c r="AV127" s="151" t="str">
        <f t="shared" si="73"/>
        <v>https://ia800604.us.archive.org/18/items/GADeptofEd1925/GA.pdf#page=30</v>
      </c>
      <c r="AW127" s="152" t="str">
        <f t="shared" si="73"/>
        <v>https://ia800604.us.archive.org/18/items/GADeptofEd1925/GA.pdf#page=52</v>
      </c>
    </row>
    <row r="128" spans="1:49" x14ac:dyDescent="0.25">
      <c r="A128" s="27" t="s">
        <v>850</v>
      </c>
      <c r="B128" s="27" t="str">
        <f t="shared" si="41"/>
        <v>Georgia</v>
      </c>
      <c r="C128" s="27" t="str">
        <f t="shared" si="42"/>
        <v>Stephens</v>
      </c>
      <c r="D128" s="27">
        <f>1275+702</f>
        <v>1977</v>
      </c>
      <c r="E128" s="27">
        <f>165+140</f>
        <v>305</v>
      </c>
      <c r="F128" s="27">
        <f t="shared" si="48"/>
        <v>2282</v>
      </c>
      <c r="G128" s="27">
        <f>6+1</f>
        <v>7</v>
      </c>
      <c r="H128" s="27">
        <f>29+13</f>
        <v>42</v>
      </c>
      <c r="I128" s="27">
        <f>6+3</f>
        <v>9</v>
      </c>
      <c r="J128" s="27">
        <f>7+4</f>
        <v>11</v>
      </c>
      <c r="K128" s="13">
        <f>9+3+1</f>
        <v>13</v>
      </c>
      <c r="L128" s="27">
        <f t="shared" si="61"/>
        <v>82</v>
      </c>
      <c r="M128" s="27">
        <v>170</v>
      </c>
      <c r="N128" s="27">
        <v>110</v>
      </c>
      <c r="O128" s="29">
        <f t="shared" si="72"/>
        <v>161.98071866783522</v>
      </c>
      <c r="P128" s="27">
        <v>2630</v>
      </c>
      <c r="Q128" s="7">
        <f t="shared" si="62"/>
        <v>97938.955000000002</v>
      </c>
      <c r="R128" s="27">
        <f>1399.75+0</f>
        <v>1399.75</v>
      </c>
      <c r="S128" s="27">
        <f>63.75+100</f>
        <v>163.75</v>
      </c>
      <c r="T128" s="27">
        <f>63.75+75</f>
        <v>138.75</v>
      </c>
      <c r="U128" s="27">
        <f>95.72+186.66</f>
        <v>282.38</v>
      </c>
      <c r="V128" s="27">
        <f>82.46+100</f>
        <v>182.45999999999998</v>
      </c>
      <c r="W128" s="89">
        <f t="shared" si="63"/>
        <v>166.98884057971014</v>
      </c>
      <c r="X128" s="89">
        <f t="shared" si="68"/>
        <v>19.576923076923077</v>
      </c>
      <c r="Y128" s="97">
        <f t="shared" si="52"/>
        <v>150.97067629179335</v>
      </c>
      <c r="Z128" s="97">
        <f t="shared" si="64"/>
        <v>143.61865853658537</v>
      </c>
      <c r="AA128" s="27">
        <v>54881</v>
      </c>
      <c r="AB128" s="27">
        <v>37</v>
      </c>
      <c r="AC128" s="27">
        <f>70000+150000</f>
        <v>220000</v>
      </c>
      <c r="AD128" s="27">
        <f>2000+5000</f>
        <v>7000</v>
      </c>
      <c r="AE128" s="29">
        <f t="shared" si="65"/>
        <v>227000</v>
      </c>
      <c r="AF128" s="41">
        <v>1925</v>
      </c>
      <c r="AG128" s="4" t="s">
        <v>567</v>
      </c>
      <c r="AH128" s="151" t="str">
        <f t="shared" si="70"/>
        <v>https://ia800604.us.archive.org/18/items/GADeptofEd1925/GA.pdf#page=11</v>
      </c>
      <c r="AI128" s="152" t="str">
        <f t="shared" si="70"/>
        <v>https://ia800604.us.archive.org/18/items/GADeptofEd1925/GA.pdf#page=34</v>
      </c>
      <c r="AJ128" s="151" t="str">
        <f t="shared" si="70"/>
        <v>https://ia800604.us.archive.org/18/items/GADeptofEd1925/GA.pdf#page=11</v>
      </c>
      <c r="AK128" s="152" t="str">
        <f t="shared" si="70"/>
        <v>https://ia800604.us.archive.org/18/items/GADeptofEd1925/GA.pdf#page=32</v>
      </c>
      <c r="AL128" s="151" t="str">
        <f t="shared" si="70"/>
        <v>https://ia800604.us.archive.org/18/items/GADeptofEd1925/GA.pdf#page=17</v>
      </c>
      <c r="AM128" s="152" t="str">
        <f t="shared" si="70"/>
        <v>https://ia800604.us.archive.org/18/items/GADeptofEd1925/GA.pdf#page=41</v>
      </c>
      <c r="AN128" s="151" t="str">
        <f t="shared" si="49"/>
        <v>https://ia800604.us.archive.org/18/items/GADeptofEd1925/GA.pdf#page=17</v>
      </c>
      <c r="AO128" s="152" t="str">
        <f t="shared" si="71"/>
        <v>https://ia800604.us.archive.org/18/items/GADeptofEd1925/GA.pdf#page=32</v>
      </c>
      <c r="AP128" s="151" t="str">
        <f t="shared" si="71"/>
        <v>https://ia800604.us.archive.org/18/items/GADeptofEd1925/GA.pdf#page=30</v>
      </c>
      <c r="AQ128" s="152" t="str">
        <f t="shared" si="71"/>
        <v>https://ia800604.us.archive.org/18/items/GADeptofEd1925/GA.pdf#page=47</v>
      </c>
      <c r="AR128" s="151" t="str">
        <f t="shared" si="71"/>
        <v>https://ia800604.us.archive.org/18/items/GADeptofEd1925/GA.pdf#page=24</v>
      </c>
      <c r="AS128" s="152" t="str">
        <f t="shared" si="50"/>
        <v>https://ia800604.us.archive.org/18/items/GADeptofEd1925/GA.pdf#page=47</v>
      </c>
      <c r="AT128" s="151" t="str">
        <f t="shared" si="73"/>
        <v>https://ia800604.us.archive.org/18/items/GADeptofEd1925/GA.pdf#page=30</v>
      </c>
      <c r="AU128" s="152" t="str">
        <f t="shared" si="73"/>
        <v>https://ia800604.us.archive.org/18/items/GADeptofEd1925/GA.pdf#page=32</v>
      </c>
      <c r="AV128" s="151" t="str">
        <f t="shared" si="73"/>
        <v>https://ia800604.us.archive.org/18/items/GADeptofEd1925/GA.pdf#page=30</v>
      </c>
      <c r="AW128" s="152" t="str">
        <f t="shared" si="73"/>
        <v>https://ia800604.us.archive.org/18/items/GADeptofEd1925/GA.pdf#page=52</v>
      </c>
    </row>
    <row r="129" spans="1:49" x14ac:dyDescent="0.25">
      <c r="A129" s="27" t="s">
        <v>851</v>
      </c>
      <c r="B129" s="27" t="str">
        <f t="shared" si="41"/>
        <v>Georgia</v>
      </c>
      <c r="C129" s="27" t="str">
        <f t="shared" si="42"/>
        <v>Stewart</v>
      </c>
      <c r="D129" s="27">
        <f>254+298</f>
        <v>552</v>
      </c>
      <c r="E129" s="27">
        <f>1324+157</f>
        <v>1481</v>
      </c>
      <c r="F129" s="27">
        <f t="shared" si="48"/>
        <v>2033</v>
      </c>
      <c r="G129" s="27">
        <v>0</v>
      </c>
      <c r="H129" s="27">
        <f>12+7</f>
        <v>19</v>
      </c>
      <c r="I129" s="27">
        <f>3+3</f>
        <v>6</v>
      </c>
      <c r="J129" s="27">
        <f>1+2</f>
        <v>3</v>
      </c>
      <c r="K129" s="27">
        <f>38+4+1</f>
        <v>43</v>
      </c>
      <c r="L129" s="27">
        <f t="shared" si="61"/>
        <v>71</v>
      </c>
      <c r="M129" s="27">
        <v>163</v>
      </c>
      <c r="N129" s="27">
        <v>107</v>
      </c>
      <c r="O129" s="29">
        <f t="shared" si="72"/>
        <v>122.20511559272012</v>
      </c>
      <c r="P129" s="27">
        <v>3182</v>
      </c>
      <c r="Q129" s="7">
        <f t="shared" si="62"/>
        <v>43137.298000000003</v>
      </c>
      <c r="R129" s="27">
        <f>7183.52+3225</f>
        <v>10408.52</v>
      </c>
      <c r="S129" s="27"/>
      <c r="T129" s="27">
        <f>67.48+82.15</f>
        <v>149.63</v>
      </c>
      <c r="U129" s="27">
        <f>108.33+197.22</f>
        <v>305.55</v>
      </c>
      <c r="V129" s="27">
        <f>100+105.55</f>
        <v>205.55</v>
      </c>
      <c r="W129" s="89">
        <f t="shared" si="63"/>
        <v>189.03285714285715</v>
      </c>
      <c r="X129" s="89">
        <f t="shared" si="68"/>
        <v>45.244599000217349</v>
      </c>
      <c r="Y129" s="97">
        <f t="shared" si="52"/>
        <v>116.84848445171849</v>
      </c>
      <c r="Z129" s="97">
        <f t="shared" si="64"/>
        <v>101.94982756351192</v>
      </c>
      <c r="AA129" s="27">
        <v>83161</v>
      </c>
      <c r="AB129" s="27">
        <v>42</v>
      </c>
      <c r="AC129" s="27">
        <f>7900+32500</f>
        <v>40400</v>
      </c>
      <c r="AD129" s="27">
        <f>10050+8800</f>
        <v>18850</v>
      </c>
      <c r="AE129" s="29">
        <f t="shared" si="65"/>
        <v>59250</v>
      </c>
      <c r="AF129" s="41">
        <v>1925</v>
      </c>
      <c r="AG129" s="4" t="s">
        <v>567</v>
      </c>
      <c r="AH129" s="151" t="str">
        <f t="shared" si="70"/>
        <v>https://ia800604.us.archive.org/18/items/GADeptofEd1925/GA.pdf#page=11</v>
      </c>
      <c r="AI129" s="152" t="str">
        <f t="shared" si="70"/>
        <v>https://ia800604.us.archive.org/18/items/GADeptofEd1925/GA.pdf#page=34</v>
      </c>
      <c r="AJ129" s="151" t="str">
        <f t="shared" si="70"/>
        <v>https://ia800604.us.archive.org/18/items/GADeptofEd1925/GA.pdf#page=11</v>
      </c>
      <c r="AK129" s="152" t="str">
        <f t="shared" si="70"/>
        <v>https://ia800604.us.archive.org/18/items/GADeptofEd1925/GA.pdf#page=32</v>
      </c>
      <c r="AL129" s="151" t="str">
        <f t="shared" si="70"/>
        <v>https://ia800604.us.archive.org/18/items/GADeptofEd1925/GA.pdf#page=17</v>
      </c>
      <c r="AM129" s="152" t="str">
        <f t="shared" si="70"/>
        <v>https://ia800604.us.archive.org/18/items/GADeptofEd1925/GA.pdf#page=41</v>
      </c>
      <c r="AN129" s="151" t="str">
        <f t="shared" si="49"/>
        <v>https://ia800604.us.archive.org/18/items/GADeptofEd1925/GA.pdf#page=17</v>
      </c>
      <c r="AO129" s="152" t="str">
        <f t="shared" si="71"/>
        <v>https://ia800604.us.archive.org/18/items/GADeptofEd1925/GA.pdf#page=32</v>
      </c>
      <c r="AP129" s="151" t="str">
        <f t="shared" si="71"/>
        <v>https://ia800604.us.archive.org/18/items/GADeptofEd1925/GA.pdf#page=30</v>
      </c>
      <c r="AQ129" s="152" t="str">
        <f t="shared" si="71"/>
        <v>https://ia800604.us.archive.org/18/items/GADeptofEd1925/GA.pdf#page=47</v>
      </c>
      <c r="AR129" s="151" t="s">
        <v>2672</v>
      </c>
      <c r="AS129" s="152" t="str">
        <f t="shared" si="50"/>
        <v>https://ia800604.us.archive.org/18/items/GADeptofEd1925/GA.pdf#page=47</v>
      </c>
      <c r="AT129" s="151" t="str">
        <f t="shared" si="73"/>
        <v>https://ia800604.us.archive.org/18/items/GADeptofEd1925/GA.pdf#page=30</v>
      </c>
      <c r="AU129" s="152" t="str">
        <f t="shared" si="73"/>
        <v>https://ia800604.us.archive.org/18/items/GADeptofEd1925/GA.pdf#page=32</v>
      </c>
      <c r="AV129" s="151" t="str">
        <f t="shared" si="73"/>
        <v>https://ia800604.us.archive.org/18/items/GADeptofEd1925/GA.pdf#page=30</v>
      </c>
      <c r="AW129" s="152" t="s">
        <v>2673</v>
      </c>
    </row>
    <row r="130" spans="1:49" x14ac:dyDescent="0.25">
      <c r="A130" s="27" t="s">
        <v>852</v>
      </c>
      <c r="B130" s="27" t="str">
        <f t="shared" ref="B130:B160" si="74">LEFT(A130,FIND(";",A130)-1)</f>
        <v>Georgia</v>
      </c>
      <c r="C130" s="27" t="str">
        <f t="shared" ref="C130:C160" si="75">MID(A130,FIND(";",A130)+1,100)</f>
        <v>Sumter</v>
      </c>
      <c r="D130" s="27">
        <f>1068+851</f>
        <v>1919</v>
      </c>
      <c r="E130" s="27">
        <f>2500+753</f>
        <v>3253</v>
      </c>
      <c r="F130" s="27">
        <f t="shared" si="48"/>
        <v>5172</v>
      </c>
      <c r="G130" s="27">
        <v>0</v>
      </c>
      <c r="H130" s="27">
        <f>31+23</f>
        <v>54</v>
      </c>
      <c r="I130" s="27">
        <f>9+4</f>
        <v>13</v>
      </c>
      <c r="J130" s="27">
        <f>5+6</f>
        <v>11</v>
      </c>
      <c r="K130" s="27">
        <f>50+21+1</f>
        <v>72</v>
      </c>
      <c r="L130" s="27">
        <f t="shared" ref="L130:L160" si="76">G130+H130+I130+J130+K130</f>
        <v>150</v>
      </c>
      <c r="M130" s="27">
        <v>180</v>
      </c>
      <c r="N130" s="27">
        <v>180</v>
      </c>
      <c r="O130" s="29">
        <f t="shared" si="72"/>
        <v>180</v>
      </c>
      <c r="P130" s="27">
        <v>6822</v>
      </c>
      <c r="Q130" s="7">
        <f t="shared" ref="Q130:Q160" si="77">((G130*S130)+(H130*T130)+(I130*U130)+(J130*V130))*(M130/20)</f>
        <v>146348.1</v>
      </c>
      <c r="R130" s="27">
        <f>12185.5+9116.5</f>
        <v>21302</v>
      </c>
      <c r="S130" s="27"/>
      <c r="T130" s="27">
        <f>72+105.42</f>
        <v>177.42000000000002</v>
      </c>
      <c r="U130" s="27">
        <f>125+206.94</f>
        <v>331.94</v>
      </c>
      <c r="V130" s="27">
        <f>90+125</f>
        <v>215</v>
      </c>
      <c r="W130" s="89">
        <f t="shared" ref="W130:W160" si="78">Q130/(G130+H130+I130+J130)/(M130/20)</f>
        <v>208.47307692307695</v>
      </c>
      <c r="X130" s="89">
        <f t="shared" si="68"/>
        <v>32.873456790123456</v>
      </c>
      <c r="Y130" s="97">
        <f t="shared" si="52"/>
        <v>124.18525925925925</v>
      </c>
      <c r="Z130" s="97">
        <f t="shared" ref="Z130:Z160" si="79">( (W130*(G130+H130+I130+J130)) + (X130*K130) ) / L130</f>
        <v>124.18525925925928</v>
      </c>
      <c r="AA130" s="27">
        <v>117867</v>
      </c>
      <c r="AB130" s="27">
        <v>29</v>
      </c>
      <c r="AC130" s="27">
        <f>184500+109000</f>
        <v>293500</v>
      </c>
      <c r="AD130" s="27">
        <f>15725+27500</f>
        <v>43225</v>
      </c>
      <c r="AE130" s="29">
        <f t="shared" ref="AE130:AE160" si="80">AC130+AD130</f>
        <v>336725</v>
      </c>
      <c r="AF130" s="41">
        <v>1925</v>
      </c>
      <c r="AG130" s="4" t="s">
        <v>567</v>
      </c>
      <c r="AH130" s="151" t="s">
        <v>2674</v>
      </c>
      <c r="AI130" s="152" t="str">
        <f t="shared" si="70"/>
        <v>https://ia800604.us.archive.org/18/items/GADeptofEd1925/GA.pdf#page=34</v>
      </c>
      <c r="AJ130" s="151" t="s">
        <v>2674</v>
      </c>
      <c r="AK130" s="152" t="str">
        <f t="shared" si="70"/>
        <v>https://ia800604.us.archive.org/18/items/GADeptofEd1925/GA.pdf#page=32</v>
      </c>
      <c r="AL130" s="151" t="str">
        <f t="shared" si="70"/>
        <v>https://ia800604.us.archive.org/18/items/GADeptofEd1925/GA.pdf#page=17</v>
      </c>
      <c r="AM130" s="152" t="s">
        <v>2675</v>
      </c>
      <c r="AN130" s="151" t="str">
        <f t="shared" si="49"/>
        <v>https://ia800604.us.archive.org/18/items/GADeptofEd1925/GA.pdf#page=17</v>
      </c>
      <c r="AO130" s="152" t="str">
        <f t="shared" si="71"/>
        <v>https://ia800604.us.archive.org/18/items/GADeptofEd1925/GA.pdf#page=32</v>
      </c>
      <c r="AP130" s="151" t="s">
        <v>2676</v>
      </c>
      <c r="AQ130" s="152" t="str">
        <f t="shared" si="71"/>
        <v>https://ia800604.us.archive.org/18/items/GADeptofEd1925/GA.pdf#page=47</v>
      </c>
      <c r="AR130" s="151" t="str">
        <f>AR129</f>
        <v>https://ia800604.us.archive.org/18/items/GADeptofEd1925/GA.pdf#page=25</v>
      </c>
      <c r="AS130" s="152" t="str">
        <f t="shared" si="50"/>
        <v>https://ia800604.us.archive.org/18/items/GADeptofEd1925/GA.pdf#page=47</v>
      </c>
      <c r="AT130" s="151" t="s">
        <v>2676</v>
      </c>
      <c r="AU130" s="152" t="str">
        <f t="shared" si="73"/>
        <v>https://ia800604.us.archive.org/18/items/GADeptofEd1925/GA.pdf#page=32</v>
      </c>
      <c r="AV130" s="151" t="s">
        <v>2676</v>
      </c>
      <c r="AW130" s="152" t="str">
        <f t="shared" si="73"/>
        <v>https://ia800604.us.archive.org/18/items/GADeptofEd1925/GA.pdf#page=54</v>
      </c>
    </row>
    <row r="131" spans="1:49" x14ac:dyDescent="0.25">
      <c r="A131" s="27" t="s">
        <v>853</v>
      </c>
      <c r="B131" s="27" t="str">
        <f t="shared" si="74"/>
        <v>Georgia</v>
      </c>
      <c r="C131" s="27" t="str">
        <f t="shared" si="75"/>
        <v>Talbot</v>
      </c>
      <c r="D131" s="27">
        <v>606</v>
      </c>
      <c r="E131" s="27">
        <v>963</v>
      </c>
      <c r="F131" s="27">
        <f t="shared" ref="F131:F139" si="81">D131+E131</f>
        <v>1569</v>
      </c>
      <c r="G131" s="27">
        <v>0</v>
      </c>
      <c r="H131" s="27">
        <v>18</v>
      </c>
      <c r="I131" s="27">
        <v>5</v>
      </c>
      <c r="J131" s="27">
        <v>2</v>
      </c>
      <c r="K131" s="27">
        <f>20+1</f>
        <v>21</v>
      </c>
      <c r="L131" s="27">
        <f t="shared" si="76"/>
        <v>46</v>
      </c>
      <c r="M131" s="27">
        <v>140</v>
      </c>
      <c r="N131" s="27">
        <v>140</v>
      </c>
      <c r="O131" s="29">
        <f t="shared" si="72"/>
        <v>140</v>
      </c>
      <c r="P131" s="27">
        <v>1999</v>
      </c>
      <c r="Q131" s="7">
        <f t="shared" si="77"/>
        <v>12709.83</v>
      </c>
      <c r="R131" s="27">
        <v>3353</v>
      </c>
      <c r="S131" s="27">
        <v>102.25</v>
      </c>
      <c r="T131" s="27">
        <v>63.58</v>
      </c>
      <c r="U131" s="27">
        <v>102.25</v>
      </c>
      <c r="V131" s="27">
        <v>80</v>
      </c>
      <c r="W131" s="89">
        <f t="shared" si="78"/>
        <v>72.627600000000001</v>
      </c>
      <c r="X131" s="89">
        <f t="shared" si="68"/>
        <v>22.809523809523807</v>
      </c>
      <c r="Y131" s="97">
        <f t="shared" si="52"/>
        <v>49.884565217391305</v>
      </c>
      <c r="Z131" s="97">
        <f t="shared" si="79"/>
        <v>49.884565217391305</v>
      </c>
      <c r="AA131" s="27">
        <v>29448</v>
      </c>
      <c r="AB131" s="27">
        <v>24</v>
      </c>
      <c r="AC131" s="27">
        <v>5000</v>
      </c>
      <c r="AD131" s="27">
        <v>4000</v>
      </c>
      <c r="AE131" s="29">
        <f t="shared" si="80"/>
        <v>9000</v>
      </c>
      <c r="AF131" s="41">
        <v>1925</v>
      </c>
      <c r="AG131" s="4" t="s">
        <v>567</v>
      </c>
      <c r="AH131" s="151" t="str">
        <f>AH130</f>
        <v>https://ia800604.us.archive.org/18/items/GADeptofEd1925/GA.pdf#page=12</v>
      </c>
      <c r="AI131" s="152" t="str">
        <f t="shared" si="70"/>
        <v>https://ia800604.us.archive.org/18/items/GADeptofEd1925/GA.pdf#page=34</v>
      </c>
      <c r="AJ131" s="151" t="str">
        <f>AJ130</f>
        <v>https://ia800604.us.archive.org/18/items/GADeptofEd1925/GA.pdf#page=12</v>
      </c>
      <c r="AK131" s="152" t="str">
        <f t="shared" si="70"/>
        <v>https://ia800604.us.archive.org/18/items/GADeptofEd1925/GA.pdf#page=32</v>
      </c>
      <c r="AL131" s="151" t="str">
        <f t="shared" si="70"/>
        <v>https://ia800604.us.archive.org/18/items/GADeptofEd1925/GA.pdf#page=17</v>
      </c>
      <c r="AM131" s="152" t="str">
        <f t="shared" si="70"/>
        <v>https://ia800604.us.archive.org/18/items/GADeptofEd1925/GA.pdf#page=43</v>
      </c>
      <c r="AN131" s="151" t="str">
        <f t="shared" ref="AN131:AN160" si="82">AL131</f>
        <v>https://ia800604.us.archive.org/18/items/GADeptofEd1925/GA.pdf#page=17</v>
      </c>
      <c r="AO131" s="152" t="str">
        <f t="shared" si="71"/>
        <v>https://ia800604.us.archive.org/18/items/GADeptofEd1925/GA.pdf#page=32</v>
      </c>
      <c r="AP131" s="151" t="str">
        <f>AP130</f>
        <v>https://ia800604.us.archive.org/18/items/GADeptofEd1925/GA.pdf#page=31</v>
      </c>
      <c r="AQ131" s="152" t="str">
        <f t="shared" si="71"/>
        <v>https://ia800604.us.archive.org/18/items/GADeptofEd1925/GA.pdf#page=47</v>
      </c>
      <c r="AR131" s="151" t="str">
        <f t="shared" si="71"/>
        <v>https://ia800604.us.archive.org/18/items/GADeptofEd1925/GA.pdf#page=25</v>
      </c>
      <c r="AS131" s="152" t="str">
        <f t="shared" ref="AS131:AS160" si="83">AQ131</f>
        <v>https://ia800604.us.archive.org/18/items/GADeptofEd1925/GA.pdf#page=47</v>
      </c>
      <c r="AT131" s="151" t="str">
        <f>AT130</f>
        <v>https://ia800604.us.archive.org/18/items/GADeptofEd1925/GA.pdf#page=31</v>
      </c>
      <c r="AU131" s="152" t="str">
        <f t="shared" si="73"/>
        <v>https://ia800604.us.archive.org/18/items/GADeptofEd1925/GA.pdf#page=32</v>
      </c>
      <c r="AV131" s="151" t="str">
        <f>AV130</f>
        <v>https://ia800604.us.archive.org/18/items/GADeptofEd1925/GA.pdf#page=31</v>
      </c>
      <c r="AW131" s="152" t="str">
        <f t="shared" si="73"/>
        <v>https://ia800604.us.archive.org/18/items/GADeptofEd1925/GA.pdf#page=54</v>
      </c>
    </row>
    <row r="132" spans="1:49" x14ac:dyDescent="0.25">
      <c r="A132" s="27" t="s">
        <v>854</v>
      </c>
      <c r="B132" s="27" t="str">
        <f t="shared" si="74"/>
        <v>Georgia</v>
      </c>
      <c r="C132" s="27" t="str">
        <f t="shared" si="75"/>
        <v>Taliaferro</v>
      </c>
      <c r="D132" s="27">
        <f>570+170</f>
        <v>740</v>
      </c>
      <c r="E132" s="27">
        <v>710</v>
      </c>
      <c r="F132" s="27">
        <f t="shared" si="81"/>
        <v>1450</v>
      </c>
      <c r="G132" s="27">
        <v>0</v>
      </c>
      <c r="H132" s="27">
        <f>17+3</f>
        <v>20</v>
      </c>
      <c r="I132" s="27">
        <f>3+1</f>
        <v>4</v>
      </c>
      <c r="J132" s="27">
        <f>3+2</f>
        <v>5</v>
      </c>
      <c r="K132" s="27">
        <v>24</v>
      </c>
      <c r="L132" s="27">
        <f t="shared" si="76"/>
        <v>53</v>
      </c>
      <c r="M132" s="27">
        <v>160</v>
      </c>
      <c r="N132" s="27">
        <v>120</v>
      </c>
      <c r="O132" s="29">
        <f t="shared" si="72"/>
        <v>140.41379310344828</v>
      </c>
      <c r="P132" s="27">
        <v>2149</v>
      </c>
      <c r="Q132" s="7">
        <f t="shared" si="77"/>
        <v>31000</v>
      </c>
      <c r="R132" s="27">
        <v>3757</v>
      </c>
      <c r="S132" s="27"/>
      <c r="T132" s="27">
        <v>75</v>
      </c>
      <c r="U132" s="27">
        <f>150+200</f>
        <v>350</v>
      </c>
      <c r="V132" s="27">
        <f>90+105</f>
        <v>195</v>
      </c>
      <c r="W132" s="89">
        <f t="shared" si="78"/>
        <v>133.62068965517241</v>
      </c>
      <c r="X132" s="89">
        <f t="shared" si="68"/>
        <v>26.090277777777775</v>
      </c>
      <c r="Y132" s="97">
        <f t="shared" si="52"/>
        <v>92.438829787234042</v>
      </c>
      <c r="Z132" s="97">
        <f t="shared" si="79"/>
        <v>84.927672955974842</v>
      </c>
      <c r="AA132" s="27">
        <v>35490</v>
      </c>
      <c r="AB132" s="27">
        <v>36</v>
      </c>
      <c r="AC132" s="27">
        <f>22950+26500</f>
        <v>49450</v>
      </c>
      <c r="AD132" s="27">
        <f>8400</f>
        <v>8400</v>
      </c>
      <c r="AE132" s="29">
        <f t="shared" si="80"/>
        <v>57850</v>
      </c>
      <c r="AF132" s="41">
        <v>1925</v>
      </c>
      <c r="AG132" s="4" t="s">
        <v>567</v>
      </c>
      <c r="AH132" s="151" t="str">
        <f t="shared" ref="AH132:AI147" si="84">AH131</f>
        <v>https://ia800604.us.archive.org/18/items/GADeptofEd1925/GA.pdf#page=12</v>
      </c>
      <c r="AI132" s="152" t="s">
        <v>2677</v>
      </c>
      <c r="AJ132" s="151" t="str">
        <f t="shared" ref="AJ132:AM147" si="85">AJ131</f>
        <v>https://ia800604.us.archive.org/18/items/GADeptofEd1925/GA.pdf#page=12</v>
      </c>
      <c r="AK132" s="152" t="str">
        <f t="shared" si="85"/>
        <v>https://ia800604.us.archive.org/18/items/GADeptofEd1925/GA.pdf#page=32</v>
      </c>
      <c r="AL132" s="151" t="str">
        <f t="shared" si="85"/>
        <v>https://ia800604.us.archive.org/18/items/GADeptofEd1925/GA.pdf#page=17</v>
      </c>
      <c r="AM132" s="152" t="str">
        <f t="shared" si="85"/>
        <v>https://ia800604.us.archive.org/18/items/GADeptofEd1925/GA.pdf#page=43</v>
      </c>
      <c r="AN132" s="151" t="str">
        <f t="shared" si="82"/>
        <v>https://ia800604.us.archive.org/18/items/GADeptofEd1925/GA.pdf#page=17</v>
      </c>
      <c r="AO132" s="152" t="str">
        <f t="shared" ref="AO132:AR147" si="86">AO131</f>
        <v>https://ia800604.us.archive.org/18/items/GADeptofEd1925/GA.pdf#page=32</v>
      </c>
      <c r="AP132" s="151" t="str">
        <f t="shared" si="86"/>
        <v>https://ia800604.us.archive.org/18/items/GADeptofEd1925/GA.pdf#page=31</v>
      </c>
      <c r="AQ132" s="152" t="str">
        <f t="shared" si="86"/>
        <v>https://ia800604.us.archive.org/18/items/GADeptofEd1925/GA.pdf#page=47</v>
      </c>
      <c r="AR132" s="151" t="str">
        <f t="shared" si="86"/>
        <v>https://ia800604.us.archive.org/18/items/GADeptofEd1925/GA.pdf#page=25</v>
      </c>
      <c r="AS132" s="152" t="str">
        <f t="shared" si="83"/>
        <v>https://ia800604.us.archive.org/18/items/GADeptofEd1925/GA.pdf#page=47</v>
      </c>
      <c r="AT132" s="151" t="str">
        <f t="shared" ref="AT132:AW147" si="87">AT131</f>
        <v>https://ia800604.us.archive.org/18/items/GADeptofEd1925/GA.pdf#page=31</v>
      </c>
      <c r="AU132" s="152" t="str">
        <f t="shared" si="73"/>
        <v>https://ia800604.us.archive.org/18/items/GADeptofEd1925/GA.pdf#page=32</v>
      </c>
      <c r="AV132" s="151" t="str">
        <f t="shared" si="73"/>
        <v>https://ia800604.us.archive.org/18/items/GADeptofEd1925/GA.pdf#page=31</v>
      </c>
      <c r="AW132" s="152" t="str">
        <f t="shared" si="73"/>
        <v>https://ia800604.us.archive.org/18/items/GADeptofEd1925/GA.pdf#page=54</v>
      </c>
    </row>
    <row r="133" spans="1:49" x14ac:dyDescent="0.25">
      <c r="A133" s="27" t="s">
        <v>855</v>
      </c>
      <c r="B133" s="27" t="str">
        <f t="shared" si="74"/>
        <v>Georgia</v>
      </c>
      <c r="C133" s="27" t="str">
        <f t="shared" si="75"/>
        <v>Tattnall</v>
      </c>
      <c r="D133" s="27">
        <v>3191</v>
      </c>
      <c r="E133" s="27">
        <v>1300</v>
      </c>
      <c r="F133" s="27">
        <f t="shared" si="81"/>
        <v>4491</v>
      </c>
      <c r="G133" s="27">
        <v>8</v>
      </c>
      <c r="H133" s="27">
        <v>72</v>
      </c>
      <c r="I133" s="27">
        <v>10</v>
      </c>
      <c r="J133" s="27">
        <v>7</v>
      </c>
      <c r="K133" s="27">
        <v>22</v>
      </c>
      <c r="L133" s="27">
        <f t="shared" si="76"/>
        <v>119</v>
      </c>
      <c r="M133" s="27">
        <v>100</v>
      </c>
      <c r="N133" s="27">
        <v>100</v>
      </c>
      <c r="O133" s="29">
        <f t="shared" si="72"/>
        <v>100</v>
      </c>
      <c r="P133" s="27">
        <v>5009</v>
      </c>
      <c r="Q133" s="7">
        <f t="shared" si="77"/>
        <v>28480</v>
      </c>
      <c r="R133" s="27">
        <v>3120.26</v>
      </c>
      <c r="S133" s="27">
        <v>70</v>
      </c>
      <c r="T133" s="27">
        <v>55</v>
      </c>
      <c r="U133" s="27">
        <v>70</v>
      </c>
      <c r="V133" s="27">
        <v>68</v>
      </c>
      <c r="W133" s="89">
        <f t="shared" si="78"/>
        <v>58.72164948453608</v>
      </c>
      <c r="X133" s="89">
        <f t="shared" si="68"/>
        <v>28.366000000000003</v>
      </c>
      <c r="Y133" s="97">
        <f t="shared" si="52"/>
        <v>53.109680672268915</v>
      </c>
      <c r="Z133" s="97">
        <f t="shared" si="79"/>
        <v>53.109680672268908</v>
      </c>
      <c r="AA133" s="27">
        <v>48650</v>
      </c>
      <c r="AB133" s="27">
        <v>49</v>
      </c>
      <c r="AC133" s="27">
        <v>147000</v>
      </c>
      <c r="AD133" s="27">
        <v>14000</v>
      </c>
      <c r="AE133" s="29">
        <f t="shared" si="80"/>
        <v>161000</v>
      </c>
      <c r="AF133" s="41">
        <v>1925</v>
      </c>
      <c r="AG133" s="4" t="s">
        <v>567</v>
      </c>
      <c r="AH133" s="151" t="str">
        <f t="shared" si="84"/>
        <v>https://ia800604.us.archive.org/18/items/GADeptofEd1925/GA.pdf#page=12</v>
      </c>
      <c r="AI133" s="152" t="str">
        <f t="shared" si="84"/>
        <v>https://ia800604.us.archive.org/18/items/GADeptofEd1925/GA.pdf#page=35</v>
      </c>
      <c r="AJ133" s="151" t="str">
        <f t="shared" si="85"/>
        <v>https://ia800604.us.archive.org/18/items/GADeptofEd1925/GA.pdf#page=12</v>
      </c>
      <c r="AK133" s="152" t="str">
        <f t="shared" si="85"/>
        <v>https://ia800604.us.archive.org/18/items/GADeptofEd1925/GA.pdf#page=32</v>
      </c>
      <c r="AL133" s="151" t="str">
        <f t="shared" si="85"/>
        <v>https://ia800604.us.archive.org/18/items/GADeptofEd1925/GA.pdf#page=17</v>
      </c>
      <c r="AM133" s="152" t="str">
        <f t="shared" si="85"/>
        <v>https://ia800604.us.archive.org/18/items/GADeptofEd1925/GA.pdf#page=43</v>
      </c>
      <c r="AN133" s="151" t="str">
        <f t="shared" si="82"/>
        <v>https://ia800604.us.archive.org/18/items/GADeptofEd1925/GA.pdf#page=17</v>
      </c>
      <c r="AO133" s="152" t="str">
        <f t="shared" si="86"/>
        <v>https://ia800604.us.archive.org/18/items/GADeptofEd1925/GA.pdf#page=32</v>
      </c>
      <c r="AP133" s="151" t="str">
        <f t="shared" si="86"/>
        <v>https://ia800604.us.archive.org/18/items/GADeptofEd1925/GA.pdf#page=31</v>
      </c>
      <c r="AQ133" s="152" t="str">
        <f t="shared" si="86"/>
        <v>https://ia800604.us.archive.org/18/items/GADeptofEd1925/GA.pdf#page=47</v>
      </c>
      <c r="AR133" s="151" t="str">
        <f t="shared" si="86"/>
        <v>https://ia800604.us.archive.org/18/items/GADeptofEd1925/GA.pdf#page=25</v>
      </c>
      <c r="AS133" s="152" t="str">
        <f t="shared" si="83"/>
        <v>https://ia800604.us.archive.org/18/items/GADeptofEd1925/GA.pdf#page=47</v>
      </c>
      <c r="AT133" s="151" t="str">
        <f t="shared" si="87"/>
        <v>https://ia800604.us.archive.org/18/items/GADeptofEd1925/GA.pdf#page=31</v>
      </c>
      <c r="AU133" s="152" t="str">
        <f t="shared" si="73"/>
        <v>https://ia800604.us.archive.org/18/items/GADeptofEd1925/GA.pdf#page=32</v>
      </c>
      <c r="AV133" s="151" t="str">
        <f t="shared" si="73"/>
        <v>https://ia800604.us.archive.org/18/items/GADeptofEd1925/GA.pdf#page=31</v>
      </c>
      <c r="AW133" s="152" t="str">
        <f t="shared" si="73"/>
        <v>https://ia800604.us.archive.org/18/items/GADeptofEd1925/GA.pdf#page=54</v>
      </c>
    </row>
    <row r="134" spans="1:49" x14ac:dyDescent="0.25">
      <c r="A134" s="27" t="s">
        <v>856</v>
      </c>
      <c r="B134" s="27" t="str">
        <f t="shared" si="74"/>
        <v>Georgia</v>
      </c>
      <c r="C134" s="27" t="str">
        <f t="shared" si="75"/>
        <v>Taylor</v>
      </c>
      <c r="D134" s="27">
        <f>720+275</f>
        <v>995</v>
      </c>
      <c r="E134" s="27">
        <f>1400+300</f>
        <v>1700</v>
      </c>
      <c r="F134" s="27">
        <f t="shared" si="81"/>
        <v>2695</v>
      </c>
      <c r="G134" s="27">
        <v>3</v>
      </c>
      <c r="H134" s="27">
        <f>38+5</f>
        <v>43</v>
      </c>
      <c r="I134" s="27">
        <f>3+1</f>
        <v>4</v>
      </c>
      <c r="J134" s="27">
        <f>6+2</f>
        <v>8</v>
      </c>
      <c r="K134" s="27">
        <f>30+6+2+1</f>
        <v>39</v>
      </c>
      <c r="L134" s="27">
        <f t="shared" si="76"/>
        <v>97</v>
      </c>
      <c r="M134" s="27">
        <v>140</v>
      </c>
      <c r="N134" s="27">
        <v>120</v>
      </c>
      <c r="O134" s="29">
        <f t="shared" si="72"/>
        <v>127.38404452690168</v>
      </c>
      <c r="P134" s="27">
        <v>4096</v>
      </c>
      <c r="Q134" s="7">
        <f t="shared" si="77"/>
        <v>58546.74</v>
      </c>
      <c r="R134" s="27">
        <f>5539.09+1395</f>
        <v>6934.09</v>
      </c>
      <c r="S134" s="27">
        <v>75</v>
      </c>
      <c r="T134" s="27">
        <f>57.5+65</f>
        <v>122.5</v>
      </c>
      <c r="U134" s="27">
        <f>201.5+170.33</f>
        <v>371.83000000000004</v>
      </c>
      <c r="V134" s="27">
        <f>85+88</f>
        <v>173</v>
      </c>
      <c r="W134" s="89">
        <f t="shared" si="78"/>
        <v>144.20379310344828</v>
      </c>
      <c r="X134" s="89">
        <f t="shared" si="68"/>
        <v>29.632863247863245</v>
      </c>
      <c r="Y134" s="97">
        <f t="shared" si="52"/>
        <v>102.31379687500001</v>
      </c>
      <c r="Z134" s="97">
        <f t="shared" si="79"/>
        <v>98.139192439862541</v>
      </c>
      <c r="AA134" s="27">
        <v>90333</v>
      </c>
      <c r="AB134" s="27">
        <v>53</v>
      </c>
      <c r="AC134" s="27">
        <f>75000+30000</f>
        <v>105000</v>
      </c>
      <c r="AD134" s="27">
        <f>8000+4000</f>
        <v>12000</v>
      </c>
      <c r="AE134" s="29">
        <f t="shared" si="80"/>
        <v>117000</v>
      </c>
      <c r="AF134" s="41">
        <v>1925</v>
      </c>
      <c r="AG134" s="4" t="s">
        <v>567</v>
      </c>
      <c r="AH134" s="151" t="str">
        <f t="shared" si="84"/>
        <v>https://ia800604.us.archive.org/18/items/GADeptofEd1925/GA.pdf#page=12</v>
      </c>
      <c r="AI134" s="152" t="str">
        <f t="shared" si="84"/>
        <v>https://ia800604.us.archive.org/18/items/GADeptofEd1925/GA.pdf#page=35</v>
      </c>
      <c r="AJ134" s="151" t="str">
        <f t="shared" si="85"/>
        <v>https://ia800604.us.archive.org/18/items/GADeptofEd1925/GA.pdf#page=12</v>
      </c>
      <c r="AK134" s="152" t="str">
        <f t="shared" si="85"/>
        <v>https://ia800604.us.archive.org/18/items/GADeptofEd1925/GA.pdf#page=32</v>
      </c>
      <c r="AL134" s="151" t="str">
        <f t="shared" si="85"/>
        <v>https://ia800604.us.archive.org/18/items/GADeptofEd1925/GA.pdf#page=17</v>
      </c>
      <c r="AM134" s="152" t="str">
        <f t="shared" si="85"/>
        <v>https://ia800604.us.archive.org/18/items/GADeptofEd1925/GA.pdf#page=43</v>
      </c>
      <c r="AN134" s="151" t="str">
        <f t="shared" si="82"/>
        <v>https://ia800604.us.archive.org/18/items/GADeptofEd1925/GA.pdf#page=17</v>
      </c>
      <c r="AO134" s="152" t="str">
        <f t="shared" si="86"/>
        <v>https://ia800604.us.archive.org/18/items/GADeptofEd1925/GA.pdf#page=32</v>
      </c>
      <c r="AP134" s="151" t="str">
        <f t="shared" si="86"/>
        <v>https://ia800604.us.archive.org/18/items/GADeptofEd1925/GA.pdf#page=31</v>
      </c>
      <c r="AQ134" s="152" t="str">
        <f t="shared" si="86"/>
        <v>https://ia800604.us.archive.org/18/items/GADeptofEd1925/GA.pdf#page=47</v>
      </c>
      <c r="AR134" s="151" t="str">
        <f t="shared" si="86"/>
        <v>https://ia800604.us.archive.org/18/items/GADeptofEd1925/GA.pdf#page=25</v>
      </c>
      <c r="AS134" s="152" t="str">
        <f t="shared" si="83"/>
        <v>https://ia800604.us.archive.org/18/items/GADeptofEd1925/GA.pdf#page=47</v>
      </c>
      <c r="AT134" s="151" t="str">
        <f t="shared" si="87"/>
        <v>https://ia800604.us.archive.org/18/items/GADeptofEd1925/GA.pdf#page=31</v>
      </c>
      <c r="AU134" s="152" t="str">
        <f t="shared" si="73"/>
        <v>https://ia800604.us.archive.org/18/items/GADeptofEd1925/GA.pdf#page=32</v>
      </c>
      <c r="AV134" s="151" t="str">
        <f t="shared" si="73"/>
        <v>https://ia800604.us.archive.org/18/items/GADeptofEd1925/GA.pdf#page=31</v>
      </c>
      <c r="AW134" s="152" t="str">
        <f t="shared" si="73"/>
        <v>https://ia800604.us.archive.org/18/items/GADeptofEd1925/GA.pdf#page=54</v>
      </c>
    </row>
    <row r="135" spans="1:49" x14ac:dyDescent="0.25">
      <c r="A135" s="27" t="s">
        <v>857</v>
      </c>
      <c r="B135" s="27" t="str">
        <f t="shared" si="74"/>
        <v>Georgia</v>
      </c>
      <c r="C135" s="27" t="str">
        <f t="shared" si="75"/>
        <v>Telfair</v>
      </c>
      <c r="D135" s="27">
        <f>2157+120</f>
        <v>2277</v>
      </c>
      <c r="E135" s="27">
        <f>923+75</f>
        <v>998</v>
      </c>
      <c r="F135" s="27">
        <f t="shared" si="81"/>
        <v>3275</v>
      </c>
      <c r="G135" s="27">
        <v>4</v>
      </c>
      <c r="H135" s="27">
        <f>67+3</f>
        <v>70</v>
      </c>
      <c r="I135" s="27">
        <f>4+1</f>
        <v>5</v>
      </c>
      <c r="J135" s="27">
        <v>1</v>
      </c>
      <c r="K135" s="27">
        <f>26+2</f>
        <v>28</v>
      </c>
      <c r="L135" s="27">
        <f t="shared" si="76"/>
        <v>108</v>
      </c>
      <c r="M135" s="27">
        <v>120</v>
      </c>
      <c r="N135" s="27">
        <v>120</v>
      </c>
      <c r="O135" s="29">
        <f t="shared" si="72"/>
        <v>120</v>
      </c>
      <c r="P135" s="27">
        <v>3700</v>
      </c>
      <c r="Q135" s="7">
        <f t="shared" si="77"/>
        <v>63473.399999999994</v>
      </c>
      <c r="R135" s="27">
        <f>4087.25+540</f>
        <v>4627.25</v>
      </c>
      <c r="S135" s="27">
        <v>72</v>
      </c>
      <c r="T135" s="27">
        <f>57.54+68.33</f>
        <v>125.87</v>
      </c>
      <c r="U135" s="27">
        <f>131+150</f>
        <v>281</v>
      </c>
      <c r="V135" s="27">
        <v>75</v>
      </c>
      <c r="W135" s="89">
        <f t="shared" si="78"/>
        <v>132.23624999999998</v>
      </c>
      <c r="X135" s="89">
        <f t="shared" si="68"/>
        <v>27.543154761904763</v>
      </c>
      <c r="Y135" s="97">
        <f t="shared" ref="Y135:Y160" si="88">(Q135+R135)/L135/(0.05* ( (M135*(G135+H135+I135+J135)) + N135*K135 ) /L135)</f>
        <v>105.09359567901232</v>
      </c>
      <c r="Z135" s="97">
        <f t="shared" si="79"/>
        <v>105.09359567901232</v>
      </c>
      <c r="AA135" s="27">
        <v>80371</v>
      </c>
      <c r="AB135" s="27">
        <v>41</v>
      </c>
      <c r="AC135" s="27">
        <f>66500+8000</f>
        <v>74500</v>
      </c>
      <c r="AD135" s="27">
        <v>10500</v>
      </c>
      <c r="AE135" s="29">
        <f t="shared" si="80"/>
        <v>85000</v>
      </c>
      <c r="AF135" s="41">
        <v>1925</v>
      </c>
      <c r="AG135" s="4" t="s">
        <v>567</v>
      </c>
      <c r="AH135" s="151" t="str">
        <f t="shared" si="84"/>
        <v>https://ia800604.us.archive.org/18/items/GADeptofEd1925/GA.pdf#page=12</v>
      </c>
      <c r="AI135" s="152" t="str">
        <f t="shared" si="84"/>
        <v>https://ia800604.us.archive.org/18/items/GADeptofEd1925/GA.pdf#page=35</v>
      </c>
      <c r="AJ135" s="151" t="str">
        <f t="shared" si="85"/>
        <v>https://ia800604.us.archive.org/18/items/GADeptofEd1925/GA.pdf#page=12</v>
      </c>
      <c r="AK135" s="152" t="str">
        <f t="shared" si="85"/>
        <v>https://ia800604.us.archive.org/18/items/GADeptofEd1925/GA.pdf#page=32</v>
      </c>
      <c r="AL135" s="151" t="str">
        <f t="shared" si="85"/>
        <v>https://ia800604.us.archive.org/18/items/GADeptofEd1925/GA.pdf#page=17</v>
      </c>
      <c r="AM135" s="152" t="str">
        <f t="shared" si="85"/>
        <v>https://ia800604.us.archive.org/18/items/GADeptofEd1925/GA.pdf#page=43</v>
      </c>
      <c r="AN135" s="151" t="str">
        <f t="shared" si="82"/>
        <v>https://ia800604.us.archive.org/18/items/GADeptofEd1925/GA.pdf#page=17</v>
      </c>
      <c r="AO135" s="152" t="str">
        <f t="shared" si="86"/>
        <v>https://ia800604.us.archive.org/18/items/GADeptofEd1925/GA.pdf#page=32</v>
      </c>
      <c r="AP135" s="151" t="str">
        <f t="shared" si="86"/>
        <v>https://ia800604.us.archive.org/18/items/GADeptofEd1925/GA.pdf#page=31</v>
      </c>
      <c r="AQ135" s="152" t="s">
        <v>2678</v>
      </c>
      <c r="AR135" s="151" t="str">
        <f t="shared" si="86"/>
        <v>https://ia800604.us.archive.org/18/items/GADeptofEd1925/GA.pdf#page=25</v>
      </c>
      <c r="AS135" s="152" t="str">
        <f t="shared" si="83"/>
        <v>https://ia800604.us.archive.org/18/items/GADeptofEd1925/GA.pdf#page=48</v>
      </c>
      <c r="AT135" s="151" t="str">
        <f t="shared" si="87"/>
        <v>https://ia800604.us.archive.org/18/items/GADeptofEd1925/GA.pdf#page=31</v>
      </c>
      <c r="AU135" s="152" t="str">
        <f t="shared" si="73"/>
        <v>https://ia800604.us.archive.org/18/items/GADeptofEd1925/GA.pdf#page=32</v>
      </c>
      <c r="AV135" s="151" t="str">
        <f t="shared" si="73"/>
        <v>https://ia800604.us.archive.org/18/items/GADeptofEd1925/GA.pdf#page=31</v>
      </c>
      <c r="AW135" s="152" t="str">
        <f t="shared" si="73"/>
        <v>https://ia800604.us.archive.org/18/items/GADeptofEd1925/GA.pdf#page=54</v>
      </c>
    </row>
    <row r="136" spans="1:49" x14ac:dyDescent="0.25">
      <c r="A136" s="27" t="s">
        <v>858</v>
      </c>
      <c r="B136" s="27" t="str">
        <f t="shared" si="74"/>
        <v>Georgia</v>
      </c>
      <c r="C136" s="27" t="str">
        <f t="shared" si="75"/>
        <v>Terrell</v>
      </c>
      <c r="D136" s="27">
        <f>744+370</f>
        <v>1114</v>
      </c>
      <c r="E136" s="27">
        <f>1578+290</f>
        <v>1868</v>
      </c>
      <c r="F136" s="27">
        <f t="shared" si="81"/>
        <v>2982</v>
      </c>
      <c r="G136" s="27">
        <v>0</v>
      </c>
      <c r="H136" s="27">
        <f>22+7</f>
        <v>29</v>
      </c>
      <c r="I136" s="27">
        <f>5+3</f>
        <v>8</v>
      </c>
      <c r="J136" s="27">
        <f>7+3</f>
        <v>10</v>
      </c>
      <c r="K136" s="27">
        <f>45+5+1</f>
        <v>51</v>
      </c>
      <c r="L136" s="27">
        <f t="shared" si="76"/>
        <v>98</v>
      </c>
      <c r="M136" s="27">
        <v>150</v>
      </c>
      <c r="N136" s="27">
        <v>100</v>
      </c>
      <c r="O136" s="29">
        <f t="shared" si="72"/>
        <v>118.67873910127432</v>
      </c>
      <c r="P136" s="27">
        <v>4681</v>
      </c>
      <c r="Q136" s="7">
        <f t="shared" si="77"/>
        <v>71316.75</v>
      </c>
      <c r="R136" s="27">
        <f>5187.88+2700</f>
        <v>7887.88</v>
      </c>
      <c r="S136" s="27"/>
      <c r="T136" s="27">
        <f>70+100.34</f>
        <v>170.34</v>
      </c>
      <c r="U136" s="27">
        <f>115+199.88</f>
        <v>314.88</v>
      </c>
      <c r="V136" s="27">
        <f>80+125</f>
        <v>205</v>
      </c>
      <c r="W136" s="89">
        <f t="shared" si="78"/>
        <v>202.31702127659574</v>
      </c>
      <c r="X136" s="89">
        <f t="shared" si="68"/>
        <v>30.932862745098038</v>
      </c>
      <c r="Y136" s="97">
        <f t="shared" si="88"/>
        <v>130.37799176954732</v>
      </c>
      <c r="Z136" s="97">
        <f t="shared" si="79"/>
        <v>113.12730612244897</v>
      </c>
      <c r="AA136" s="27">
        <v>92505</v>
      </c>
      <c r="AB136" s="27">
        <v>36</v>
      </c>
      <c r="AC136" s="27">
        <f>100000+50000</f>
        <v>150000</v>
      </c>
      <c r="AD136" s="27">
        <f>3500+4000</f>
        <v>7500</v>
      </c>
      <c r="AE136" s="29">
        <f t="shared" si="80"/>
        <v>157500</v>
      </c>
      <c r="AF136" s="41">
        <v>1925</v>
      </c>
      <c r="AG136" s="4" t="s">
        <v>567</v>
      </c>
      <c r="AH136" s="151" t="str">
        <f t="shared" si="84"/>
        <v>https://ia800604.us.archive.org/18/items/GADeptofEd1925/GA.pdf#page=12</v>
      </c>
      <c r="AI136" s="152" t="str">
        <f t="shared" si="84"/>
        <v>https://ia800604.us.archive.org/18/items/GADeptofEd1925/GA.pdf#page=35</v>
      </c>
      <c r="AJ136" s="151" t="str">
        <f t="shared" si="85"/>
        <v>https://ia800604.us.archive.org/18/items/GADeptofEd1925/GA.pdf#page=12</v>
      </c>
      <c r="AK136" s="152" t="str">
        <f t="shared" si="85"/>
        <v>https://ia800604.us.archive.org/18/items/GADeptofEd1925/GA.pdf#page=32</v>
      </c>
      <c r="AL136" s="151" t="str">
        <f t="shared" si="85"/>
        <v>https://ia800604.us.archive.org/18/items/GADeptofEd1925/GA.pdf#page=17</v>
      </c>
      <c r="AM136" s="152" t="str">
        <f t="shared" si="85"/>
        <v>https://ia800604.us.archive.org/18/items/GADeptofEd1925/GA.pdf#page=43</v>
      </c>
      <c r="AN136" s="151" t="str">
        <f t="shared" si="82"/>
        <v>https://ia800604.us.archive.org/18/items/GADeptofEd1925/GA.pdf#page=17</v>
      </c>
      <c r="AO136" s="152" t="str">
        <f t="shared" si="86"/>
        <v>https://ia800604.us.archive.org/18/items/GADeptofEd1925/GA.pdf#page=32</v>
      </c>
      <c r="AP136" s="151" t="str">
        <f t="shared" si="86"/>
        <v>https://ia800604.us.archive.org/18/items/GADeptofEd1925/GA.pdf#page=31</v>
      </c>
      <c r="AQ136" s="152" t="str">
        <f t="shared" si="86"/>
        <v>https://ia800604.us.archive.org/18/items/GADeptofEd1925/GA.pdf#page=48</v>
      </c>
      <c r="AR136" s="151" t="str">
        <f t="shared" si="86"/>
        <v>https://ia800604.us.archive.org/18/items/GADeptofEd1925/GA.pdf#page=25</v>
      </c>
      <c r="AS136" s="152" t="str">
        <f t="shared" si="83"/>
        <v>https://ia800604.us.archive.org/18/items/GADeptofEd1925/GA.pdf#page=48</v>
      </c>
      <c r="AT136" s="151" t="str">
        <f t="shared" si="87"/>
        <v>https://ia800604.us.archive.org/18/items/GADeptofEd1925/GA.pdf#page=31</v>
      </c>
      <c r="AU136" s="152" t="str">
        <f t="shared" si="73"/>
        <v>https://ia800604.us.archive.org/18/items/GADeptofEd1925/GA.pdf#page=32</v>
      </c>
      <c r="AV136" s="151" t="str">
        <f t="shared" si="73"/>
        <v>https://ia800604.us.archive.org/18/items/GADeptofEd1925/GA.pdf#page=31</v>
      </c>
      <c r="AW136" s="152" t="str">
        <f t="shared" si="73"/>
        <v>https://ia800604.us.archive.org/18/items/GADeptofEd1925/GA.pdf#page=54</v>
      </c>
    </row>
    <row r="137" spans="1:49" x14ac:dyDescent="0.25">
      <c r="A137" s="27" t="s">
        <v>859</v>
      </c>
      <c r="B137" s="27" t="str">
        <f t="shared" si="74"/>
        <v>Georgia</v>
      </c>
      <c r="C137" s="27" t="str">
        <f t="shared" si="75"/>
        <v>Thomas</v>
      </c>
      <c r="D137" s="27">
        <f>1630+94+961</f>
        <v>2685</v>
      </c>
      <c r="E137" s="27">
        <f>2848+91+536</f>
        <v>3475</v>
      </c>
      <c r="F137" s="27">
        <f t="shared" si="81"/>
        <v>6160</v>
      </c>
      <c r="G137" s="27">
        <v>1</v>
      </c>
      <c r="H137" s="27">
        <f>50+6+25</f>
        <v>81</v>
      </c>
      <c r="I137" s="27">
        <f>8+3+4</f>
        <v>15</v>
      </c>
      <c r="J137" s="27">
        <f>12+1+5</f>
        <v>18</v>
      </c>
      <c r="K137" s="27">
        <f>50+2+13+1+3</f>
        <v>69</v>
      </c>
      <c r="L137" s="27">
        <f t="shared" si="76"/>
        <v>184</v>
      </c>
      <c r="M137" s="27">
        <v>180</v>
      </c>
      <c r="N137" s="27">
        <v>120</v>
      </c>
      <c r="O137" s="29">
        <f t="shared" si="72"/>
        <v>146.15259740259739</v>
      </c>
      <c r="P137" s="27">
        <v>8128</v>
      </c>
      <c r="Q137" s="7">
        <f t="shared" si="77"/>
        <v>302096.97000000003</v>
      </c>
      <c r="R137" s="27">
        <f>9228+1025</f>
        <v>10253</v>
      </c>
      <c r="S137" s="27">
        <f>100+166.66</f>
        <v>266.65999999999997</v>
      </c>
      <c r="T137" s="27">
        <f>65+75+106.79</f>
        <v>246.79000000000002</v>
      </c>
      <c r="U137" s="27">
        <f>175+131.04+187</f>
        <v>493.03999999999996</v>
      </c>
      <c r="V137" s="27">
        <f>75+101.12+152.44</f>
        <v>328.56</v>
      </c>
      <c r="W137" s="89">
        <f t="shared" si="78"/>
        <v>291.88113043478262</v>
      </c>
      <c r="X137" s="89">
        <f t="shared" si="68"/>
        <v>24.765700483091788</v>
      </c>
      <c r="Y137" s="97">
        <f t="shared" si="88"/>
        <v>215.56243616287097</v>
      </c>
      <c r="Z137" s="97">
        <f t="shared" si="79"/>
        <v>191.71284420289857</v>
      </c>
      <c r="AA137" s="27">
        <v>263941</v>
      </c>
      <c r="AB137" s="27">
        <v>88</v>
      </c>
      <c r="AC137" s="27">
        <f>45000+30000+175000</f>
        <v>250000</v>
      </c>
      <c r="AD137" s="27">
        <f>8000+10000</f>
        <v>18000</v>
      </c>
      <c r="AE137" s="29">
        <f t="shared" si="80"/>
        <v>268000</v>
      </c>
      <c r="AF137" s="41">
        <v>1925</v>
      </c>
      <c r="AG137" s="4" t="s">
        <v>567</v>
      </c>
      <c r="AH137" s="151" t="str">
        <f t="shared" si="84"/>
        <v>https://ia800604.us.archive.org/18/items/GADeptofEd1925/GA.pdf#page=12</v>
      </c>
      <c r="AI137" s="152" t="str">
        <f t="shared" si="84"/>
        <v>https://ia800604.us.archive.org/18/items/GADeptofEd1925/GA.pdf#page=35</v>
      </c>
      <c r="AJ137" s="151" t="str">
        <f t="shared" si="85"/>
        <v>https://ia800604.us.archive.org/18/items/GADeptofEd1925/GA.pdf#page=12</v>
      </c>
      <c r="AK137" s="152" t="str">
        <f t="shared" si="85"/>
        <v>https://ia800604.us.archive.org/18/items/GADeptofEd1925/GA.pdf#page=32</v>
      </c>
      <c r="AL137" s="151" t="str">
        <f t="shared" si="85"/>
        <v>https://ia800604.us.archive.org/18/items/GADeptofEd1925/GA.pdf#page=17</v>
      </c>
      <c r="AM137" s="152" t="str">
        <f t="shared" si="85"/>
        <v>https://ia800604.us.archive.org/18/items/GADeptofEd1925/GA.pdf#page=43</v>
      </c>
      <c r="AN137" s="151" t="str">
        <f t="shared" si="82"/>
        <v>https://ia800604.us.archive.org/18/items/GADeptofEd1925/GA.pdf#page=17</v>
      </c>
      <c r="AO137" s="152" t="str">
        <f t="shared" si="86"/>
        <v>https://ia800604.us.archive.org/18/items/GADeptofEd1925/GA.pdf#page=32</v>
      </c>
      <c r="AP137" s="151" t="str">
        <f t="shared" si="86"/>
        <v>https://ia800604.us.archive.org/18/items/GADeptofEd1925/GA.pdf#page=31</v>
      </c>
      <c r="AQ137" s="152" t="str">
        <f t="shared" si="86"/>
        <v>https://ia800604.us.archive.org/18/items/GADeptofEd1925/GA.pdf#page=48</v>
      </c>
      <c r="AR137" s="151" t="str">
        <f t="shared" si="86"/>
        <v>https://ia800604.us.archive.org/18/items/GADeptofEd1925/GA.pdf#page=25</v>
      </c>
      <c r="AS137" s="152" t="str">
        <f t="shared" si="83"/>
        <v>https://ia800604.us.archive.org/18/items/GADeptofEd1925/GA.pdf#page=48</v>
      </c>
      <c r="AT137" s="151" t="str">
        <f t="shared" si="87"/>
        <v>https://ia800604.us.archive.org/18/items/GADeptofEd1925/GA.pdf#page=31</v>
      </c>
      <c r="AU137" s="152" t="str">
        <f t="shared" si="73"/>
        <v>https://ia800604.us.archive.org/18/items/GADeptofEd1925/GA.pdf#page=32</v>
      </c>
      <c r="AV137" s="151" t="str">
        <f t="shared" si="73"/>
        <v>https://ia800604.us.archive.org/18/items/GADeptofEd1925/GA.pdf#page=31</v>
      </c>
      <c r="AW137" s="152" t="str">
        <f t="shared" si="73"/>
        <v>https://ia800604.us.archive.org/18/items/GADeptofEd1925/GA.pdf#page=54</v>
      </c>
    </row>
    <row r="138" spans="1:49" x14ac:dyDescent="0.25">
      <c r="A138" s="27" t="s">
        <v>860</v>
      </c>
      <c r="B138" s="27" t="str">
        <f t="shared" si="74"/>
        <v>Georgia</v>
      </c>
      <c r="C138" s="27" t="str">
        <f t="shared" si="75"/>
        <v>Tift</v>
      </c>
      <c r="D138" s="27">
        <f>1601+692</f>
        <v>2293</v>
      </c>
      <c r="E138" s="27">
        <v>569</v>
      </c>
      <c r="F138" s="27">
        <f t="shared" si="81"/>
        <v>2862</v>
      </c>
      <c r="G138" s="27">
        <v>1</v>
      </c>
      <c r="H138" s="27">
        <f>47+15</f>
        <v>62</v>
      </c>
      <c r="I138" s="27">
        <f>5+2</f>
        <v>7</v>
      </c>
      <c r="J138" s="27">
        <f>5+6</f>
        <v>11</v>
      </c>
      <c r="K138" s="27">
        <v>21</v>
      </c>
      <c r="L138" s="27">
        <f t="shared" si="76"/>
        <v>102</v>
      </c>
      <c r="M138" s="27">
        <v>125</v>
      </c>
      <c r="N138" s="27">
        <v>125</v>
      </c>
      <c r="O138" s="29">
        <f t="shared" si="72"/>
        <v>125</v>
      </c>
      <c r="P138" s="27">
        <v>4123</v>
      </c>
      <c r="Q138" s="7">
        <f t="shared" si="77"/>
        <v>89900.5625</v>
      </c>
      <c r="R138" s="27">
        <v>3524.63</v>
      </c>
      <c r="S138" s="27">
        <v>82.16</v>
      </c>
      <c r="T138" s="27">
        <f>63.55+97.5</f>
        <v>161.05000000000001</v>
      </c>
      <c r="U138" s="27">
        <f>146.25+149.9</f>
        <v>296.14999999999998</v>
      </c>
      <c r="V138" s="27">
        <f>76.67+127.31</f>
        <v>203.98000000000002</v>
      </c>
      <c r="W138" s="89">
        <f t="shared" si="78"/>
        <v>177.58135802469135</v>
      </c>
      <c r="X138" s="89">
        <f t="shared" si="68"/>
        <v>26.854323809523812</v>
      </c>
      <c r="Y138" s="97">
        <f t="shared" si="88"/>
        <v>146.54932156862745</v>
      </c>
      <c r="Z138" s="97">
        <f t="shared" si="79"/>
        <v>146.54932156862745</v>
      </c>
      <c r="AA138" s="27">
        <v>92986</v>
      </c>
      <c r="AB138" s="27">
        <v>36</v>
      </c>
      <c r="AC138" s="27">
        <f>67000+75313</f>
        <v>142313</v>
      </c>
      <c r="AD138" s="27">
        <v>7500</v>
      </c>
      <c r="AE138" s="29">
        <f t="shared" si="80"/>
        <v>149813</v>
      </c>
      <c r="AF138" s="41">
        <v>1925</v>
      </c>
      <c r="AG138" s="4" t="s">
        <v>567</v>
      </c>
      <c r="AH138" s="151" t="str">
        <f t="shared" si="84"/>
        <v>https://ia800604.us.archive.org/18/items/GADeptofEd1925/GA.pdf#page=12</v>
      </c>
      <c r="AI138" s="152" t="str">
        <f t="shared" si="84"/>
        <v>https://ia800604.us.archive.org/18/items/GADeptofEd1925/GA.pdf#page=35</v>
      </c>
      <c r="AJ138" s="151" t="str">
        <f t="shared" si="85"/>
        <v>https://ia800604.us.archive.org/18/items/GADeptofEd1925/GA.pdf#page=12</v>
      </c>
      <c r="AK138" s="152" t="str">
        <f t="shared" si="85"/>
        <v>https://ia800604.us.archive.org/18/items/GADeptofEd1925/GA.pdf#page=32</v>
      </c>
      <c r="AL138" s="151" t="str">
        <f t="shared" si="85"/>
        <v>https://ia800604.us.archive.org/18/items/GADeptofEd1925/GA.pdf#page=17</v>
      </c>
      <c r="AM138" s="152" t="str">
        <f t="shared" si="85"/>
        <v>https://ia800604.us.archive.org/18/items/GADeptofEd1925/GA.pdf#page=43</v>
      </c>
      <c r="AN138" s="151" t="str">
        <f t="shared" si="82"/>
        <v>https://ia800604.us.archive.org/18/items/GADeptofEd1925/GA.pdf#page=17</v>
      </c>
      <c r="AO138" s="152" t="str">
        <f t="shared" si="86"/>
        <v>https://ia800604.us.archive.org/18/items/GADeptofEd1925/GA.pdf#page=32</v>
      </c>
      <c r="AP138" s="151" t="str">
        <f t="shared" si="86"/>
        <v>https://ia800604.us.archive.org/18/items/GADeptofEd1925/GA.pdf#page=31</v>
      </c>
      <c r="AQ138" s="152" t="str">
        <f t="shared" si="86"/>
        <v>https://ia800604.us.archive.org/18/items/GADeptofEd1925/GA.pdf#page=48</v>
      </c>
      <c r="AR138" s="151" t="str">
        <f t="shared" si="86"/>
        <v>https://ia800604.us.archive.org/18/items/GADeptofEd1925/GA.pdf#page=25</v>
      </c>
      <c r="AS138" s="152" t="str">
        <f t="shared" si="83"/>
        <v>https://ia800604.us.archive.org/18/items/GADeptofEd1925/GA.pdf#page=48</v>
      </c>
      <c r="AT138" s="151" t="str">
        <f t="shared" si="87"/>
        <v>https://ia800604.us.archive.org/18/items/GADeptofEd1925/GA.pdf#page=31</v>
      </c>
      <c r="AU138" s="152" t="str">
        <f t="shared" si="73"/>
        <v>https://ia800604.us.archive.org/18/items/GADeptofEd1925/GA.pdf#page=32</v>
      </c>
      <c r="AV138" s="151" t="str">
        <f t="shared" si="73"/>
        <v>https://ia800604.us.archive.org/18/items/GADeptofEd1925/GA.pdf#page=31</v>
      </c>
      <c r="AW138" s="152" t="str">
        <f t="shared" si="73"/>
        <v>https://ia800604.us.archive.org/18/items/GADeptofEd1925/GA.pdf#page=54</v>
      </c>
    </row>
    <row r="139" spans="1:49" x14ac:dyDescent="0.25">
      <c r="A139" s="27" t="s">
        <v>861</v>
      </c>
      <c r="B139" s="27" t="str">
        <f t="shared" si="74"/>
        <v>Georgia</v>
      </c>
      <c r="C139" s="27" t="str">
        <f t="shared" si="75"/>
        <v>Toombs</v>
      </c>
      <c r="D139" s="27">
        <f>1322+281</f>
        <v>1603</v>
      </c>
      <c r="E139" s="27">
        <f>246+16</f>
        <v>262</v>
      </c>
      <c r="F139" s="27">
        <f t="shared" si="81"/>
        <v>1865</v>
      </c>
      <c r="G139" s="27">
        <v>5</v>
      </c>
      <c r="H139" s="27">
        <f>43+7</f>
        <v>50</v>
      </c>
      <c r="I139" s="27">
        <f>3+2</f>
        <v>5</v>
      </c>
      <c r="J139" s="27">
        <v>1</v>
      </c>
      <c r="K139" s="27">
        <f>14+1</f>
        <v>15</v>
      </c>
      <c r="L139" s="27">
        <f t="shared" si="76"/>
        <v>76</v>
      </c>
      <c r="M139" s="27"/>
      <c r="N139" s="27">
        <v>120</v>
      </c>
      <c r="O139" s="29">
        <v>120</v>
      </c>
      <c r="P139" s="27">
        <v>2300</v>
      </c>
      <c r="Q139" s="7">
        <f t="shared" si="77"/>
        <v>0</v>
      </c>
      <c r="R139" s="27">
        <f>1427.25+400</f>
        <v>1827.25</v>
      </c>
      <c r="S139" s="27">
        <v>88.44</v>
      </c>
      <c r="T139" s="27">
        <f>60+75</f>
        <v>135</v>
      </c>
      <c r="U139" s="27">
        <v>187</v>
      </c>
      <c r="V139" s="27">
        <v>100</v>
      </c>
      <c r="W139" s="89" t="e">
        <f t="shared" si="78"/>
        <v>#DIV/0!</v>
      </c>
      <c r="X139" s="89">
        <f t="shared" si="68"/>
        <v>20.302777777777777</v>
      </c>
      <c r="Y139" s="97">
        <f t="shared" si="88"/>
        <v>20.302777777777777</v>
      </c>
      <c r="Z139" s="97" t="e">
        <f t="shared" si="79"/>
        <v>#DIV/0!</v>
      </c>
      <c r="AA139" s="27">
        <v>38141</v>
      </c>
      <c r="AB139" s="27">
        <v>41</v>
      </c>
      <c r="AC139" s="27">
        <f>21900+25000</f>
        <v>46900</v>
      </c>
      <c r="AD139" s="27">
        <v>2800</v>
      </c>
      <c r="AE139" s="29">
        <f t="shared" si="80"/>
        <v>49700</v>
      </c>
      <c r="AF139" s="41">
        <v>1925</v>
      </c>
      <c r="AG139" s="4" t="s">
        <v>567</v>
      </c>
      <c r="AH139" s="151" t="str">
        <f t="shared" si="84"/>
        <v>https://ia800604.us.archive.org/18/items/GADeptofEd1925/GA.pdf#page=12</v>
      </c>
      <c r="AI139" s="152" t="str">
        <f t="shared" si="84"/>
        <v>https://ia800604.us.archive.org/18/items/GADeptofEd1925/GA.pdf#page=35</v>
      </c>
      <c r="AJ139" s="151" t="str">
        <f t="shared" si="85"/>
        <v>https://ia800604.us.archive.org/18/items/GADeptofEd1925/GA.pdf#page=12</v>
      </c>
      <c r="AK139" s="152" t="str">
        <f t="shared" si="85"/>
        <v>https://ia800604.us.archive.org/18/items/GADeptofEd1925/GA.pdf#page=32</v>
      </c>
      <c r="AL139" s="151" t="str">
        <f t="shared" si="85"/>
        <v>https://ia800604.us.archive.org/18/items/GADeptofEd1925/GA.pdf#page=17</v>
      </c>
      <c r="AM139" s="152" t="str">
        <f t="shared" si="85"/>
        <v>https://ia800604.us.archive.org/18/items/GADeptofEd1925/GA.pdf#page=43</v>
      </c>
      <c r="AN139" s="151" t="str">
        <f t="shared" si="82"/>
        <v>https://ia800604.us.archive.org/18/items/GADeptofEd1925/GA.pdf#page=17</v>
      </c>
      <c r="AO139" s="152" t="str">
        <f t="shared" si="86"/>
        <v>https://ia800604.us.archive.org/18/items/GADeptofEd1925/GA.pdf#page=32</v>
      </c>
      <c r="AP139" s="151" t="str">
        <f t="shared" si="86"/>
        <v>https://ia800604.us.archive.org/18/items/GADeptofEd1925/GA.pdf#page=31</v>
      </c>
      <c r="AQ139" s="152" t="str">
        <f t="shared" si="86"/>
        <v>https://ia800604.us.archive.org/18/items/GADeptofEd1925/GA.pdf#page=48</v>
      </c>
      <c r="AR139" s="151" t="str">
        <f t="shared" si="86"/>
        <v>https://ia800604.us.archive.org/18/items/GADeptofEd1925/GA.pdf#page=25</v>
      </c>
      <c r="AS139" s="152" t="str">
        <f t="shared" si="83"/>
        <v>https://ia800604.us.archive.org/18/items/GADeptofEd1925/GA.pdf#page=48</v>
      </c>
      <c r="AT139" s="151" t="str">
        <f t="shared" si="87"/>
        <v>https://ia800604.us.archive.org/18/items/GADeptofEd1925/GA.pdf#page=31</v>
      </c>
      <c r="AU139" s="152" t="str">
        <f t="shared" si="73"/>
        <v>https://ia800604.us.archive.org/18/items/GADeptofEd1925/GA.pdf#page=32</v>
      </c>
      <c r="AV139" s="151" t="str">
        <f t="shared" si="73"/>
        <v>https://ia800604.us.archive.org/18/items/GADeptofEd1925/GA.pdf#page=31</v>
      </c>
      <c r="AW139" s="152" t="str">
        <f t="shared" si="73"/>
        <v>https://ia800604.us.archive.org/18/items/GADeptofEd1925/GA.pdf#page=54</v>
      </c>
    </row>
    <row r="140" spans="1:49" x14ac:dyDescent="0.25">
      <c r="A140" s="27" t="s">
        <v>862</v>
      </c>
      <c r="B140" s="27" t="str">
        <f t="shared" si="74"/>
        <v>Georgia</v>
      </c>
      <c r="C140" s="27" t="str">
        <f t="shared" si="75"/>
        <v>Towns</v>
      </c>
      <c r="D140" s="27">
        <v>761</v>
      </c>
      <c r="E140" s="27" t="s">
        <v>2126</v>
      </c>
      <c r="F140" s="27">
        <v>761</v>
      </c>
      <c r="G140" s="27">
        <v>11</v>
      </c>
      <c r="H140" s="27">
        <v>12</v>
      </c>
      <c r="I140" s="27">
        <v>0</v>
      </c>
      <c r="J140" s="27">
        <v>0</v>
      </c>
      <c r="K140" s="27">
        <v>0</v>
      </c>
      <c r="L140" s="27">
        <f t="shared" si="76"/>
        <v>23</v>
      </c>
      <c r="M140" s="27">
        <v>140</v>
      </c>
      <c r="N140" s="27"/>
      <c r="O140" s="29">
        <v>140</v>
      </c>
      <c r="P140" s="27">
        <v>1244</v>
      </c>
      <c r="Q140" s="7">
        <f t="shared" si="77"/>
        <v>9307.48</v>
      </c>
      <c r="R140" s="27"/>
      <c r="S140" s="27">
        <v>59</v>
      </c>
      <c r="T140" s="27">
        <v>56.72</v>
      </c>
      <c r="U140" s="27"/>
      <c r="V140" s="27"/>
      <c r="W140" s="89">
        <f t="shared" si="78"/>
        <v>57.810434782608695</v>
      </c>
      <c r="X140" s="89" t="e">
        <f t="shared" ref="X140:X160" si="89">R140/K140/(N140/20)</f>
        <v>#DIV/0!</v>
      </c>
      <c r="Y140" s="97">
        <f t="shared" si="88"/>
        <v>57.810434782608695</v>
      </c>
      <c r="Z140" s="97" t="e">
        <f t="shared" si="79"/>
        <v>#DIV/0!</v>
      </c>
      <c r="AA140" s="27">
        <v>13691</v>
      </c>
      <c r="AB140" s="27">
        <v>17</v>
      </c>
      <c r="AC140" s="27">
        <v>16250</v>
      </c>
      <c r="AD140" s="27"/>
      <c r="AE140" s="29">
        <f t="shared" si="80"/>
        <v>16250</v>
      </c>
      <c r="AF140" s="41">
        <v>1925</v>
      </c>
      <c r="AG140" s="4" t="s">
        <v>567</v>
      </c>
      <c r="AH140" s="151" t="str">
        <f t="shared" si="84"/>
        <v>https://ia800604.us.archive.org/18/items/GADeptofEd1925/GA.pdf#page=12</v>
      </c>
      <c r="AI140" s="152" t="str">
        <f t="shared" si="84"/>
        <v>https://ia800604.us.archive.org/18/items/GADeptofEd1925/GA.pdf#page=35</v>
      </c>
      <c r="AJ140" s="151" t="str">
        <f t="shared" si="85"/>
        <v>https://ia800604.us.archive.org/18/items/GADeptofEd1925/GA.pdf#page=12</v>
      </c>
      <c r="AK140" s="152" t="str">
        <f t="shared" si="85"/>
        <v>https://ia800604.us.archive.org/18/items/GADeptofEd1925/GA.pdf#page=32</v>
      </c>
      <c r="AL140" s="151" t="str">
        <f t="shared" si="85"/>
        <v>https://ia800604.us.archive.org/18/items/GADeptofEd1925/GA.pdf#page=17</v>
      </c>
      <c r="AM140" s="152" t="str">
        <f t="shared" si="85"/>
        <v>https://ia800604.us.archive.org/18/items/GADeptofEd1925/GA.pdf#page=43</v>
      </c>
      <c r="AN140" s="151" t="str">
        <f t="shared" si="82"/>
        <v>https://ia800604.us.archive.org/18/items/GADeptofEd1925/GA.pdf#page=17</v>
      </c>
      <c r="AO140" s="152" t="str">
        <f t="shared" si="86"/>
        <v>https://ia800604.us.archive.org/18/items/GADeptofEd1925/GA.pdf#page=32</v>
      </c>
      <c r="AP140" s="151" t="str">
        <f t="shared" si="86"/>
        <v>https://ia800604.us.archive.org/18/items/GADeptofEd1925/GA.pdf#page=31</v>
      </c>
      <c r="AQ140" s="152" t="str">
        <f t="shared" si="86"/>
        <v>https://ia800604.us.archive.org/18/items/GADeptofEd1925/GA.pdf#page=48</v>
      </c>
      <c r="AR140" s="151" t="str">
        <f t="shared" si="86"/>
        <v>https://ia800604.us.archive.org/18/items/GADeptofEd1925/GA.pdf#page=25</v>
      </c>
      <c r="AS140" s="152" t="str">
        <f t="shared" si="83"/>
        <v>https://ia800604.us.archive.org/18/items/GADeptofEd1925/GA.pdf#page=48</v>
      </c>
      <c r="AT140" s="151" t="str">
        <f t="shared" si="87"/>
        <v>https://ia800604.us.archive.org/18/items/GADeptofEd1925/GA.pdf#page=31</v>
      </c>
      <c r="AU140" s="152" t="str">
        <f t="shared" si="73"/>
        <v>https://ia800604.us.archive.org/18/items/GADeptofEd1925/GA.pdf#page=32</v>
      </c>
      <c r="AV140" s="151" t="str">
        <f t="shared" si="73"/>
        <v>https://ia800604.us.archive.org/18/items/GADeptofEd1925/GA.pdf#page=31</v>
      </c>
      <c r="AW140" s="152" t="str">
        <f t="shared" si="73"/>
        <v>https://ia800604.us.archive.org/18/items/GADeptofEd1925/GA.pdf#page=54</v>
      </c>
    </row>
    <row r="141" spans="1:49" x14ac:dyDescent="0.25">
      <c r="A141" s="27" t="s">
        <v>864</v>
      </c>
      <c r="B141" s="27" t="str">
        <f t="shared" si="74"/>
        <v>Georgia</v>
      </c>
      <c r="C141" s="27" t="str">
        <f t="shared" si="75"/>
        <v>Troup</v>
      </c>
      <c r="D141" s="27">
        <f>800+425+2101+300</f>
        <v>3626</v>
      </c>
      <c r="E141" s="27">
        <f>1648+70+529+275</f>
        <v>2522</v>
      </c>
      <c r="F141" s="27">
        <f t="shared" ref="F141:F160" si="90">D141+E141</f>
        <v>6148</v>
      </c>
      <c r="G141" s="27">
        <v>1</v>
      </c>
      <c r="H141" s="27">
        <f>23+8+68+7</f>
        <v>106</v>
      </c>
      <c r="I141" s="27">
        <f>7+1+3+3</f>
        <v>14</v>
      </c>
      <c r="J141" s="27">
        <f>2+3+19+3</f>
        <v>27</v>
      </c>
      <c r="K141" s="27">
        <f>40+2+14+5+3</f>
        <v>64</v>
      </c>
      <c r="L141" s="27">
        <f t="shared" si="76"/>
        <v>212</v>
      </c>
      <c r="M141" s="27">
        <v>160</v>
      </c>
      <c r="N141" s="27">
        <v>100</v>
      </c>
      <c r="O141" s="29">
        <f t="shared" ref="O141:O160" si="91">((D141*M141)+(E141*N141))/F141</f>
        <v>135.38711776187378</v>
      </c>
      <c r="P141" s="27">
        <v>8067</v>
      </c>
      <c r="Q141" s="7">
        <f t="shared" si="77"/>
        <v>479113.68</v>
      </c>
      <c r="R141" s="27">
        <f>5449.24+927+8430+2002.5</f>
        <v>16808.739999999998</v>
      </c>
      <c r="S141" s="27"/>
      <c r="T141" s="27">
        <f>75+75+112.77+90</f>
        <v>352.77</v>
      </c>
      <c r="U141" s="27">
        <f>130+150+183.33+260</f>
        <v>723.33</v>
      </c>
      <c r="V141" s="27">
        <f>85+85+153.11+135</f>
        <v>458.11</v>
      </c>
      <c r="W141" s="89">
        <f t="shared" si="78"/>
        <v>404.6568243243243</v>
      </c>
      <c r="X141" s="89">
        <f t="shared" si="89"/>
        <v>52.527312499999994</v>
      </c>
      <c r="Y141" s="97">
        <f t="shared" si="88"/>
        <v>329.73565159574468</v>
      </c>
      <c r="Z141" s="97">
        <f t="shared" si="79"/>
        <v>298.35357547169809</v>
      </c>
      <c r="AA141" s="27">
        <v>230364</v>
      </c>
      <c r="AB141" s="27">
        <v>66</v>
      </c>
      <c r="AC141" s="27">
        <f>45000+75000+350000+50000</f>
        <v>520000</v>
      </c>
      <c r="AD141" s="27">
        <f>12000+4000+25500+2500</f>
        <v>44000</v>
      </c>
      <c r="AE141" s="29">
        <f t="shared" si="80"/>
        <v>564000</v>
      </c>
      <c r="AF141" s="41">
        <v>1925</v>
      </c>
      <c r="AG141" s="4" t="s">
        <v>567</v>
      </c>
      <c r="AH141" s="151" t="str">
        <f t="shared" si="84"/>
        <v>https://ia800604.us.archive.org/18/items/GADeptofEd1925/GA.pdf#page=12</v>
      </c>
      <c r="AI141" s="152" t="str">
        <f t="shared" si="84"/>
        <v>https://ia800604.us.archive.org/18/items/GADeptofEd1925/GA.pdf#page=35</v>
      </c>
      <c r="AJ141" s="151" t="str">
        <f t="shared" si="85"/>
        <v>https://ia800604.us.archive.org/18/items/GADeptofEd1925/GA.pdf#page=12</v>
      </c>
      <c r="AK141" s="152" t="str">
        <f t="shared" si="85"/>
        <v>https://ia800604.us.archive.org/18/items/GADeptofEd1925/GA.pdf#page=32</v>
      </c>
      <c r="AL141" s="151" t="str">
        <f t="shared" si="85"/>
        <v>https://ia800604.us.archive.org/18/items/GADeptofEd1925/GA.pdf#page=17</v>
      </c>
      <c r="AM141" s="152" t="str">
        <f t="shared" si="85"/>
        <v>https://ia800604.us.archive.org/18/items/GADeptofEd1925/GA.pdf#page=43</v>
      </c>
      <c r="AN141" s="151" t="str">
        <f t="shared" si="82"/>
        <v>https://ia800604.us.archive.org/18/items/GADeptofEd1925/GA.pdf#page=17</v>
      </c>
      <c r="AO141" s="152" t="str">
        <f t="shared" si="86"/>
        <v>https://ia800604.us.archive.org/18/items/GADeptofEd1925/GA.pdf#page=32</v>
      </c>
      <c r="AP141" s="151" t="str">
        <f t="shared" si="86"/>
        <v>https://ia800604.us.archive.org/18/items/GADeptofEd1925/GA.pdf#page=31</v>
      </c>
      <c r="AQ141" s="152" t="str">
        <f t="shared" si="86"/>
        <v>https://ia800604.us.archive.org/18/items/GADeptofEd1925/GA.pdf#page=48</v>
      </c>
      <c r="AR141" s="151" t="str">
        <f t="shared" si="86"/>
        <v>https://ia800604.us.archive.org/18/items/GADeptofEd1925/GA.pdf#page=25</v>
      </c>
      <c r="AS141" s="152" t="str">
        <f t="shared" si="83"/>
        <v>https://ia800604.us.archive.org/18/items/GADeptofEd1925/GA.pdf#page=48</v>
      </c>
      <c r="AT141" s="151" t="str">
        <f t="shared" si="87"/>
        <v>https://ia800604.us.archive.org/18/items/GADeptofEd1925/GA.pdf#page=31</v>
      </c>
      <c r="AU141" s="152" t="str">
        <f t="shared" si="87"/>
        <v>https://ia800604.us.archive.org/18/items/GADeptofEd1925/GA.pdf#page=32</v>
      </c>
      <c r="AV141" s="151" t="str">
        <f t="shared" si="87"/>
        <v>https://ia800604.us.archive.org/18/items/GADeptofEd1925/GA.pdf#page=31</v>
      </c>
      <c r="AW141" s="152" t="str">
        <f t="shared" si="87"/>
        <v>https://ia800604.us.archive.org/18/items/GADeptofEd1925/GA.pdf#page=54</v>
      </c>
    </row>
    <row r="142" spans="1:49" x14ac:dyDescent="0.25">
      <c r="A142" s="27" t="s">
        <v>863</v>
      </c>
      <c r="B142" s="27" t="str">
        <f t="shared" si="74"/>
        <v>Georgia</v>
      </c>
      <c r="C142" s="27" t="str">
        <f t="shared" si="75"/>
        <v>Treutlen</v>
      </c>
      <c r="D142" s="27">
        <v>966</v>
      </c>
      <c r="E142" s="27">
        <v>463</v>
      </c>
      <c r="F142" s="27">
        <f t="shared" si="90"/>
        <v>1429</v>
      </c>
      <c r="G142" s="27">
        <v>2</v>
      </c>
      <c r="H142" s="27">
        <v>32</v>
      </c>
      <c r="I142" s="27">
        <v>6</v>
      </c>
      <c r="J142" s="27">
        <v>1</v>
      </c>
      <c r="K142" s="27">
        <f>10+1</f>
        <v>11</v>
      </c>
      <c r="L142" s="27">
        <f t="shared" si="76"/>
        <v>52</v>
      </c>
      <c r="M142" s="27">
        <v>100</v>
      </c>
      <c r="N142" s="27">
        <v>100</v>
      </c>
      <c r="O142" s="29">
        <f t="shared" si="91"/>
        <v>100</v>
      </c>
      <c r="P142" s="27">
        <v>2382</v>
      </c>
      <c r="Q142" s="7">
        <f t="shared" si="77"/>
        <v>13017.5</v>
      </c>
      <c r="R142" s="27">
        <v>1818.13</v>
      </c>
      <c r="S142" s="27">
        <v>65</v>
      </c>
      <c r="T142" s="27">
        <v>54.5</v>
      </c>
      <c r="U142" s="27">
        <v>112.5</v>
      </c>
      <c r="V142" s="27">
        <v>54.5</v>
      </c>
      <c r="W142" s="89">
        <f t="shared" si="78"/>
        <v>63.5</v>
      </c>
      <c r="X142" s="89">
        <f t="shared" si="89"/>
        <v>33.056909090909087</v>
      </c>
      <c r="Y142" s="97">
        <f t="shared" si="88"/>
        <v>57.060115384615393</v>
      </c>
      <c r="Z142" s="97">
        <f t="shared" si="79"/>
        <v>57.060115384615386</v>
      </c>
      <c r="AA142" s="27">
        <v>42874</v>
      </c>
      <c r="AB142" s="27">
        <v>24</v>
      </c>
      <c r="AC142" s="27">
        <v>65000</v>
      </c>
      <c r="AD142" s="27">
        <v>6000</v>
      </c>
      <c r="AE142" s="29">
        <f t="shared" si="80"/>
        <v>71000</v>
      </c>
      <c r="AF142" s="41">
        <v>1925</v>
      </c>
      <c r="AG142" s="4" t="s">
        <v>567</v>
      </c>
      <c r="AH142" s="151" t="str">
        <f t="shared" si="84"/>
        <v>https://ia800604.us.archive.org/18/items/GADeptofEd1925/GA.pdf#page=12</v>
      </c>
      <c r="AI142" s="152" t="str">
        <f t="shared" si="84"/>
        <v>https://ia800604.us.archive.org/18/items/GADeptofEd1925/GA.pdf#page=35</v>
      </c>
      <c r="AJ142" s="151" t="str">
        <f t="shared" si="85"/>
        <v>https://ia800604.us.archive.org/18/items/GADeptofEd1925/GA.pdf#page=12</v>
      </c>
      <c r="AK142" s="152" t="str">
        <f t="shared" si="85"/>
        <v>https://ia800604.us.archive.org/18/items/GADeptofEd1925/GA.pdf#page=32</v>
      </c>
      <c r="AL142" s="151" t="str">
        <f t="shared" si="85"/>
        <v>https://ia800604.us.archive.org/18/items/GADeptofEd1925/GA.pdf#page=17</v>
      </c>
      <c r="AM142" s="152" t="str">
        <f t="shared" si="85"/>
        <v>https://ia800604.us.archive.org/18/items/GADeptofEd1925/GA.pdf#page=43</v>
      </c>
      <c r="AN142" s="151" t="str">
        <f t="shared" si="82"/>
        <v>https://ia800604.us.archive.org/18/items/GADeptofEd1925/GA.pdf#page=17</v>
      </c>
      <c r="AO142" s="152" t="str">
        <f t="shared" si="86"/>
        <v>https://ia800604.us.archive.org/18/items/GADeptofEd1925/GA.pdf#page=32</v>
      </c>
      <c r="AP142" s="151" t="str">
        <f t="shared" si="86"/>
        <v>https://ia800604.us.archive.org/18/items/GADeptofEd1925/GA.pdf#page=31</v>
      </c>
      <c r="AQ142" s="152" t="str">
        <f t="shared" si="86"/>
        <v>https://ia800604.us.archive.org/18/items/GADeptofEd1925/GA.pdf#page=48</v>
      </c>
      <c r="AR142" s="151" t="str">
        <f t="shared" si="86"/>
        <v>https://ia800604.us.archive.org/18/items/GADeptofEd1925/GA.pdf#page=25</v>
      </c>
      <c r="AS142" s="152" t="str">
        <f t="shared" si="83"/>
        <v>https://ia800604.us.archive.org/18/items/GADeptofEd1925/GA.pdf#page=48</v>
      </c>
      <c r="AT142" s="151" t="str">
        <f t="shared" si="87"/>
        <v>https://ia800604.us.archive.org/18/items/GADeptofEd1925/GA.pdf#page=31</v>
      </c>
      <c r="AU142" s="152" t="str">
        <f t="shared" si="87"/>
        <v>https://ia800604.us.archive.org/18/items/GADeptofEd1925/GA.pdf#page=32</v>
      </c>
      <c r="AV142" s="151" t="str">
        <f t="shared" si="87"/>
        <v>https://ia800604.us.archive.org/18/items/GADeptofEd1925/GA.pdf#page=31</v>
      </c>
      <c r="AW142" s="152" t="str">
        <f t="shared" si="87"/>
        <v>https://ia800604.us.archive.org/18/items/GADeptofEd1925/GA.pdf#page=54</v>
      </c>
    </row>
    <row r="143" spans="1:49" x14ac:dyDescent="0.25">
      <c r="A143" s="27" t="s">
        <v>865</v>
      </c>
      <c r="B143" s="27" t="str">
        <f t="shared" si="74"/>
        <v>Georgia</v>
      </c>
      <c r="C143" s="27" t="str">
        <f t="shared" si="75"/>
        <v>Turner</v>
      </c>
      <c r="D143" s="27">
        <f>1500+440</f>
        <v>1940</v>
      </c>
      <c r="E143" s="27">
        <f>500+160</f>
        <v>660</v>
      </c>
      <c r="F143" s="27">
        <f t="shared" si="90"/>
        <v>2600</v>
      </c>
      <c r="G143" s="27">
        <f>8+1</f>
        <v>9</v>
      </c>
      <c r="H143" s="27">
        <f>34+6</f>
        <v>40</v>
      </c>
      <c r="I143" s="27">
        <f>2+3</f>
        <v>5</v>
      </c>
      <c r="J143" s="27">
        <f>1+3</f>
        <v>4</v>
      </c>
      <c r="K143" s="27">
        <f>15+3</f>
        <v>18</v>
      </c>
      <c r="L143" s="27">
        <f t="shared" si="76"/>
        <v>76</v>
      </c>
      <c r="M143" s="27">
        <v>120</v>
      </c>
      <c r="N143" s="27">
        <v>100</v>
      </c>
      <c r="O143" s="29">
        <f t="shared" si="91"/>
        <v>114.92307692307692</v>
      </c>
      <c r="P143" s="27">
        <v>3127</v>
      </c>
      <c r="Q143" s="7">
        <f t="shared" si="77"/>
        <v>65266.5</v>
      </c>
      <c r="R143" s="27">
        <f>1003+1440</f>
        <v>2443</v>
      </c>
      <c r="S143" s="27">
        <f>85+125</f>
        <v>210</v>
      </c>
      <c r="T143" s="27">
        <f>75+80</f>
        <v>155</v>
      </c>
      <c r="U143" s="27">
        <f>175+230.55</f>
        <v>405.55</v>
      </c>
      <c r="V143" s="27">
        <f>90+100</f>
        <v>190</v>
      </c>
      <c r="W143" s="89">
        <f t="shared" si="78"/>
        <v>187.54741379310346</v>
      </c>
      <c r="X143" s="89">
        <f t="shared" si="89"/>
        <v>27.144444444444446</v>
      </c>
      <c r="Y143" s="97">
        <f t="shared" si="88"/>
        <v>154.587899543379</v>
      </c>
      <c r="Z143" s="97">
        <f t="shared" si="79"/>
        <v>149.55723684210525</v>
      </c>
      <c r="AA143" s="27">
        <v>46294</v>
      </c>
      <c r="AB143" s="27">
        <v>44</v>
      </c>
      <c r="AC143" s="27">
        <f>28700+45000</f>
        <v>73700</v>
      </c>
      <c r="AD143" s="27">
        <v>1800</v>
      </c>
      <c r="AE143" s="29">
        <f t="shared" si="80"/>
        <v>75500</v>
      </c>
      <c r="AF143" s="41">
        <v>1925</v>
      </c>
      <c r="AG143" s="4" t="s">
        <v>567</v>
      </c>
      <c r="AH143" s="151" t="str">
        <f t="shared" si="84"/>
        <v>https://ia800604.us.archive.org/18/items/GADeptofEd1925/GA.pdf#page=12</v>
      </c>
      <c r="AI143" s="152" t="str">
        <f t="shared" si="84"/>
        <v>https://ia800604.us.archive.org/18/items/GADeptofEd1925/GA.pdf#page=35</v>
      </c>
      <c r="AJ143" s="151" t="str">
        <f t="shared" si="85"/>
        <v>https://ia800604.us.archive.org/18/items/GADeptofEd1925/GA.pdf#page=12</v>
      </c>
      <c r="AK143" s="152" t="str">
        <f t="shared" si="85"/>
        <v>https://ia800604.us.archive.org/18/items/GADeptofEd1925/GA.pdf#page=32</v>
      </c>
      <c r="AL143" s="151" t="str">
        <f t="shared" si="85"/>
        <v>https://ia800604.us.archive.org/18/items/GADeptofEd1925/GA.pdf#page=17</v>
      </c>
      <c r="AM143" s="152" t="str">
        <f t="shared" si="85"/>
        <v>https://ia800604.us.archive.org/18/items/GADeptofEd1925/GA.pdf#page=43</v>
      </c>
      <c r="AN143" s="151" t="str">
        <f t="shared" si="82"/>
        <v>https://ia800604.us.archive.org/18/items/GADeptofEd1925/GA.pdf#page=17</v>
      </c>
      <c r="AO143" s="152" t="str">
        <f t="shared" si="86"/>
        <v>https://ia800604.us.archive.org/18/items/GADeptofEd1925/GA.pdf#page=32</v>
      </c>
      <c r="AP143" s="151" t="str">
        <f t="shared" si="86"/>
        <v>https://ia800604.us.archive.org/18/items/GADeptofEd1925/GA.pdf#page=31</v>
      </c>
      <c r="AQ143" s="152" t="str">
        <f t="shared" si="86"/>
        <v>https://ia800604.us.archive.org/18/items/GADeptofEd1925/GA.pdf#page=48</v>
      </c>
      <c r="AR143" s="151" t="str">
        <f t="shared" si="86"/>
        <v>https://ia800604.us.archive.org/18/items/GADeptofEd1925/GA.pdf#page=25</v>
      </c>
      <c r="AS143" s="152" t="str">
        <f t="shared" si="83"/>
        <v>https://ia800604.us.archive.org/18/items/GADeptofEd1925/GA.pdf#page=48</v>
      </c>
      <c r="AT143" s="151" t="str">
        <f t="shared" si="87"/>
        <v>https://ia800604.us.archive.org/18/items/GADeptofEd1925/GA.pdf#page=31</v>
      </c>
      <c r="AU143" s="152" t="str">
        <f t="shared" si="87"/>
        <v>https://ia800604.us.archive.org/18/items/GADeptofEd1925/GA.pdf#page=32</v>
      </c>
      <c r="AV143" s="151" t="str">
        <f t="shared" si="87"/>
        <v>https://ia800604.us.archive.org/18/items/GADeptofEd1925/GA.pdf#page=31</v>
      </c>
      <c r="AW143" s="152" t="str">
        <f t="shared" si="87"/>
        <v>https://ia800604.us.archive.org/18/items/GADeptofEd1925/GA.pdf#page=54</v>
      </c>
    </row>
    <row r="144" spans="1:49" x14ac:dyDescent="0.25">
      <c r="A144" s="27" t="s">
        <v>866</v>
      </c>
      <c r="B144" s="27" t="str">
        <f t="shared" si="74"/>
        <v>Georgia</v>
      </c>
      <c r="C144" s="27" t="str">
        <f t="shared" si="75"/>
        <v>Twiggs</v>
      </c>
      <c r="D144" s="27">
        <v>620</v>
      </c>
      <c r="E144" s="27">
        <v>785</v>
      </c>
      <c r="F144" s="27">
        <f t="shared" si="90"/>
        <v>1405</v>
      </c>
      <c r="G144" s="27">
        <v>0</v>
      </c>
      <c r="H144" s="27">
        <v>27</v>
      </c>
      <c r="I144" s="27">
        <v>1</v>
      </c>
      <c r="J144" s="27">
        <v>3</v>
      </c>
      <c r="K144" s="27">
        <v>23</v>
      </c>
      <c r="L144" s="27">
        <f t="shared" si="76"/>
        <v>54</v>
      </c>
      <c r="M144" s="27">
        <v>160</v>
      </c>
      <c r="N144" s="27">
        <v>120</v>
      </c>
      <c r="O144" s="29">
        <f t="shared" si="91"/>
        <v>137.65124555160142</v>
      </c>
      <c r="P144" s="27">
        <v>2541</v>
      </c>
      <c r="Q144" s="7">
        <f t="shared" si="77"/>
        <v>17040</v>
      </c>
      <c r="R144" s="27">
        <v>3296.49</v>
      </c>
      <c r="S144" s="27">
        <v>150</v>
      </c>
      <c r="T144" s="27">
        <v>65</v>
      </c>
      <c r="U144" s="27">
        <v>150</v>
      </c>
      <c r="V144" s="27">
        <v>75</v>
      </c>
      <c r="W144" s="89">
        <f t="shared" si="78"/>
        <v>68.709677419354833</v>
      </c>
      <c r="X144" s="89">
        <f t="shared" si="89"/>
        <v>23.887608695652172</v>
      </c>
      <c r="Y144" s="97">
        <f t="shared" si="88"/>
        <v>52.685207253886006</v>
      </c>
      <c r="Z144" s="97">
        <f t="shared" si="79"/>
        <v>49.618796296296296</v>
      </c>
      <c r="AA144" s="27">
        <v>34712</v>
      </c>
      <c r="AB144" s="27">
        <v>37</v>
      </c>
      <c r="AC144" s="27">
        <v>42200</v>
      </c>
      <c r="AD144" s="27">
        <v>9750</v>
      </c>
      <c r="AE144" s="29">
        <f t="shared" si="80"/>
        <v>51950</v>
      </c>
      <c r="AF144" s="41">
        <v>1925</v>
      </c>
      <c r="AG144" s="4" t="s">
        <v>567</v>
      </c>
      <c r="AH144" s="151" t="str">
        <f t="shared" si="84"/>
        <v>https://ia800604.us.archive.org/18/items/GADeptofEd1925/GA.pdf#page=12</v>
      </c>
      <c r="AI144" s="152" t="str">
        <f t="shared" si="84"/>
        <v>https://ia800604.us.archive.org/18/items/GADeptofEd1925/GA.pdf#page=35</v>
      </c>
      <c r="AJ144" s="151" t="str">
        <f t="shared" si="85"/>
        <v>https://ia800604.us.archive.org/18/items/GADeptofEd1925/GA.pdf#page=12</v>
      </c>
      <c r="AK144" s="152" t="str">
        <f t="shared" si="85"/>
        <v>https://ia800604.us.archive.org/18/items/GADeptofEd1925/GA.pdf#page=32</v>
      </c>
      <c r="AL144" s="151" t="str">
        <f t="shared" si="85"/>
        <v>https://ia800604.us.archive.org/18/items/GADeptofEd1925/GA.pdf#page=17</v>
      </c>
      <c r="AM144" s="152" t="str">
        <f t="shared" si="85"/>
        <v>https://ia800604.us.archive.org/18/items/GADeptofEd1925/GA.pdf#page=43</v>
      </c>
      <c r="AN144" s="151" t="str">
        <f t="shared" si="82"/>
        <v>https://ia800604.us.archive.org/18/items/GADeptofEd1925/GA.pdf#page=17</v>
      </c>
      <c r="AO144" s="152" t="str">
        <f t="shared" si="86"/>
        <v>https://ia800604.us.archive.org/18/items/GADeptofEd1925/GA.pdf#page=32</v>
      </c>
      <c r="AP144" s="151" t="str">
        <f t="shared" si="86"/>
        <v>https://ia800604.us.archive.org/18/items/GADeptofEd1925/GA.pdf#page=31</v>
      </c>
      <c r="AQ144" s="152" t="str">
        <f t="shared" si="86"/>
        <v>https://ia800604.us.archive.org/18/items/GADeptofEd1925/GA.pdf#page=48</v>
      </c>
      <c r="AR144" s="151" t="str">
        <f t="shared" si="86"/>
        <v>https://ia800604.us.archive.org/18/items/GADeptofEd1925/GA.pdf#page=25</v>
      </c>
      <c r="AS144" s="152" t="str">
        <f t="shared" si="83"/>
        <v>https://ia800604.us.archive.org/18/items/GADeptofEd1925/GA.pdf#page=48</v>
      </c>
      <c r="AT144" s="151" t="str">
        <f t="shared" si="87"/>
        <v>https://ia800604.us.archive.org/18/items/GADeptofEd1925/GA.pdf#page=31</v>
      </c>
      <c r="AU144" s="152" t="str">
        <f t="shared" si="87"/>
        <v>https://ia800604.us.archive.org/18/items/GADeptofEd1925/GA.pdf#page=32</v>
      </c>
      <c r="AV144" s="151" t="str">
        <f t="shared" si="87"/>
        <v>https://ia800604.us.archive.org/18/items/GADeptofEd1925/GA.pdf#page=31</v>
      </c>
      <c r="AW144" s="152" t="str">
        <f t="shared" si="87"/>
        <v>https://ia800604.us.archive.org/18/items/GADeptofEd1925/GA.pdf#page=54</v>
      </c>
    </row>
    <row r="145" spans="1:49" x14ac:dyDescent="0.25">
      <c r="A145" s="27" t="s">
        <v>867</v>
      </c>
      <c r="B145" s="27" t="str">
        <f t="shared" si="74"/>
        <v>Georgia</v>
      </c>
      <c r="C145" s="27" t="str">
        <f t="shared" si="75"/>
        <v>Union</v>
      </c>
      <c r="D145" s="27">
        <v>1100</v>
      </c>
      <c r="E145" s="27">
        <v>10</v>
      </c>
      <c r="F145" s="27">
        <f t="shared" si="90"/>
        <v>1110</v>
      </c>
      <c r="G145" s="27">
        <v>17</v>
      </c>
      <c r="H145" s="27">
        <v>27</v>
      </c>
      <c r="I145" s="27">
        <v>0</v>
      </c>
      <c r="J145" s="27">
        <v>0</v>
      </c>
      <c r="K145" s="27">
        <v>0</v>
      </c>
      <c r="L145" s="27">
        <f t="shared" si="76"/>
        <v>44</v>
      </c>
      <c r="M145" s="27">
        <v>100</v>
      </c>
      <c r="N145" s="27">
        <v>90</v>
      </c>
      <c r="O145" s="29">
        <f t="shared" si="91"/>
        <v>99.909909909909913</v>
      </c>
      <c r="P145" s="27">
        <v>1785</v>
      </c>
      <c r="Q145" s="7">
        <f t="shared" si="77"/>
        <v>9165.2000000000007</v>
      </c>
      <c r="R145" s="27"/>
      <c r="S145" s="27">
        <v>41.66</v>
      </c>
      <c r="T145" s="27">
        <v>41.66</v>
      </c>
      <c r="U145" s="27"/>
      <c r="V145" s="27"/>
      <c r="W145" s="89">
        <f t="shared" si="78"/>
        <v>41.660000000000004</v>
      </c>
      <c r="X145" s="89" t="e">
        <f t="shared" si="89"/>
        <v>#DIV/0!</v>
      </c>
      <c r="Y145" s="97">
        <f t="shared" si="88"/>
        <v>41.660000000000004</v>
      </c>
      <c r="Z145" s="97" t="e">
        <f t="shared" si="79"/>
        <v>#DIV/0!</v>
      </c>
      <c r="AA145" s="27">
        <v>19637</v>
      </c>
      <c r="AB145" s="27">
        <v>34</v>
      </c>
      <c r="AC145" s="27">
        <v>17000</v>
      </c>
      <c r="AD145" s="27"/>
      <c r="AE145" s="29">
        <f t="shared" si="80"/>
        <v>17000</v>
      </c>
      <c r="AF145" s="41">
        <v>1925</v>
      </c>
      <c r="AG145" s="4" t="s">
        <v>567</v>
      </c>
      <c r="AH145" s="151" t="str">
        <f t="shared" si="84"/>
        <v>https://ia800604.us.archive.org/18/items/GADeptofEd1925/GA.pdf#page=12</v>
      </c>
      <c r="AI145" s="152" t="str">
        <f t="shared" si="84"/>
        <v>https://ia800604.us.archive.org/18/items/GADeptofEd1925/GA.pdf#page=35</v>
      </c>
      <c r="AJ145" s="151" t="str">
        <f t="shared" si="85"/>
        <v>https://ia800604.us.archive.org/18/items/GADeptofEd1925/GA.pdf#page=12</v>
      </c>
      <c r="AK145" s="152" t="str">
        <f t="shared" si="85"/>
        <v>https://ia800604.us.archive.org/18/items/GADeptofEd1925/GA.pdf#page=32</v>
      </c>
      <c r="AL145" s="151" t="str">
        <f t="shared" si="85"/>
        <v>https://ia800604.us.archive.org/18/items/GADeptofEd1925/GA.pdf#page=17</v>
      </c>
      <c r="AM145" s="152" t="str">
        <f t="shared" si="85"/>
        <v>https://ia800604.us.archive.org/18/items/GADeptofEd1925/GA.pdf#page=43</v>
      </c>
      <c r="AN145" s="151" t="str">
        <f t="shared" si="82"/>
        <v>https://ia800604.us.archive.org/18/items/GADeptofEd1925/GA.pdf#page=17</v>
      </c>
      <c r="AO145" s="152" t="str">
        <f t="shared" si="86"/>
        <v>https://ia800604.us.archive.org/18/items/GADeptofEd1925/GA.pdf#page=32</v>
      </c>
      <c r="AP145" s="151" t="str">
        <f t="shared" si="86"/>
        <v>https://ia800604.us.archive.org/18/items/GADeptofEd1925/GA.pdf#page=31</v>
      </c>
      <c r="AQ145" s="152" t="str">
        <f t="shared" si="86"/>
        <v>https://ia800604.us.archive.org/18/items/GADeptofEd1925/GA.pdf#page=48</v>
      </c>
      <c r="AR145" s="151" t="str">
        <f t="shared" si="86"/>
        <v>https://ia800604.us.archive.org/18/items/GADeptofEd1925/GA.pdf#page=25</v>
      </c>
      <c r="AS145" s="152" t="str">
        <f t="shared" si="83"/>
        <v>https://ia800604.us.archive.org/18/items/GADeptofEd1925/GA.pdf#page=48</v>
      </c>
      <c r="AT145" s="151" t="str">
        <f t="shared" si="87"/>
        <v>https://ia800604.us.archive.org/18/items/GADeptofEd1925/GA.pdf#page=31</v>
      </c>
      <c r="AU145" s="152" t="str">
        <f t="shared" si="87"/>
        <v>https://ia800604.us.archive.org/18/items/GADeptofEd1925/GA.pdf#page=32</v>
      </c>
      <c r="AV145" s="151" t="str">
        <f t="shared" si="87"/>
        <v>https://ia800604.us.archive.org/18/items/GADeptofEd1925/GA.pdf#page=31</v>
      </c>
      <c r="AW145" s="152" t="str">
        <f t="shared" si="87"/>
        <v>https://ia800604.us.archive.org/18/items/GADeptofEd1925/GA.pdf#page=54</v>
      </c>
    </row>
    <row r="146" spans="1:49" x14ac:dyDescent="0.25">
      <c r="A146" s="27" t="s">
        <v>868</v>
      </c>
      <c r="B146" s="27" t="str">
        <f t="shared" si="74"/>
        <v>Georgia</v>
      </c>
      <c r="C146" s="27" t="str">
        <f t="shared" si="75"/>
        <v>Upson</v>
      </c>
      <c r="D146" s="27">
        <v>1382</v>
      </c>
      <c r="E146" s="27">
        <v>1261</v>
      </c>
      <c r="F146" s="27">
        <f t="shared" si="90"/>
        <v>2643</v>
      </c>
      <c r="G146" s="27">
        <v>2</v>
      </c>
      <c r="H146" s="27">
        <v>30</v>
      </c>
      <c r="I146" s="27">
        <v>3</v>
      </c>
      <c r="J146" s="27">
        <v>1</v>
      </c>
      <c r="K146" s="27">
        <v>34</v>
      </c>
      <c r="L146" s="27">
        <f t="shared" si="76"/>
        <v>70</v>
      </c>
      <c r="M146" s="27">
        <v>140</v>
      </c>
      <c r="N146" s="27">
        <v>120</v>
      </c>
      <c r="O146" s="29">
        <f t="shared" si="91"/>
        <v>130.45781309118425</v>
      </c>
      <c r="P146" s="27">
        <v>3683</v>
      </c>
      <c r="Q146" s="7">
        <f t="shared" si="77"/>
        <v>19355</v>
      </c>
      <c r="R146" s="27">
        <v>5527.75</v>
      </c>
      <c r="S146" s="27">
        <v>100</v>
      </c>
      <c r="T146" s="27">
        <v>70</v>
      </c>
      <c r="U146" s="27">
        <v>125</v>
      </c>
      <c r="V146" s="27">
        <v>90</v>
      </c>
      <c r="W146" s="89">
        <f t="shared" si="78"/>
        <v>76.805555555555557</v>
      </c>
      <c r="X146" s="89">
        <f t="shared" si="89"/>
        <v>27.096813725490197</v>
      </c>
      <c r="Y146" s="97">
        <f t="shared" si="88"/>
        <v>54.567434210526315</v>
      </c>
      <c r="Z146" s="97">
        <f t="shared" si="79"/>
        <v>52.661309523809528</v>
      </c>
      <c r="AA146" s="27">
        <v>42068</v>
      </c>
      <c r="AB146" s="27">
        <v>48</v>
      </c>
      <c r="AC146" s="27">
        <v>164000</v>
      </c>
      <c r="AD146" s="27">
        <v>25000</v>
      </c>
      <c r="AE146" s="29">
        <f t="shared" si="80"/>
        <v>189000</v>
      </c>
      <c r="AF146" s="41">
        <v>1925</v>
      </c>
      <c r="AG146" s="4" t="s">
        <v>567</v>
      </c>
      <c r="AH146" s="151" t="str">
        <f t="shared" si="84"/>
        <v>https://ia800604.us.archive.org/18/items/GADeptofEd1925/GA.pdf#page=12</v>
      </c>
      <c r="AI146" s="152" t="str">
        <f t="shared" si="84"/>
        <v>https://ia800604.us.archive.org/18/items/GADeptofEd1925/GA.pdf#page=35</v>
      </c>
      <c r="AJ146" s="151" t="str">
        <f t="shared" si="85"/>
        <v>https://ia800604.us.archive.org/18/items/GADeptofEd1925/GA.pdf#page=12</v>
      </c>
      <c r="AK146" s="152" t="str">
        <f t="shared" si="85"/>
        <v>https://ia800604.us.archive.org/18/items/GADeptofEd1925/GA.pdf#page=32</v>
      </c>
      <c r="AL146" s="151" t="str">
        <f t="shared" si="85"/>
        <v>https://ia800604.us.archive.org/18/items/GADeptofEd1925/GA.pdf#page=17</v>
      </c>
      <c r="AM146" s="152" t="str">
        <f t="shared" si="85"/>
        <v>https://ia800604.us.archive.org/18/items/GADeptofEd1925/GA.pdf#page=43</v>
      </c>
      <c r="AN146" s="151" t="str">
        <f t="shared" si="82"/>
        <v>https://ia800604.us.archive.org/18/items/GADeptofEd1925/GA.pdf#page=17</v>
      </c>
      <c r="AO146" s="152" t="str">
        <f t="shared" si="86"/>
        <v>https://ia800604.us.archive.org/18/items/GADeptofEd1925/GA.pdf#page=32</v>
      </c>
      <c r="AP146" s="151" t="str">
        <f t="shared" si="86"/>
        <v>https://ia800604.us.archive.org/18/items/GADeptofEd1925/GA.pdf#page=31</v>
      </c>
      <c r="AQ146" s="152" t="str">
        <f t="shared" si="86"/>
        <v>https://ia800604.us.archive.org/18/items/GADeptofEd1925/GA.pdf#page=48</v>
      </c>
      <c r="AR146" s="151" t="str">
        <f t="shared" si="86"/>
        <v>https://ia800604.us.archive.org/18/items/GADeptofEd1925/GA.pdf#page=25</v>
      </c>
      <c r="AS146" s="152" t="str">
        <f t="shared" si="83"/>
        <v>https://ia800604.us.archive.org/18/items/GADeptofEd1925/GA.pdf#page=48</v>
      </c>
      <c r="AT146" s="151" t="str">
        <f t="shared" si="87"/>
        <v>https://ia800604.us.archive.org/18/items/GADeptofEd1925/GA.pdf#page=31</v>
      </c>
      <c r="AU146" s="152" t="str">
        <f t="shared" si="87"/>
        <v>https://ia800604.us.archive.org/18/items/GADeptofEd1925/GA.pdf#page=32</v>
      </c>
      <c r="AV146" s="151" t="str">
        <f t="shared" si="87"/>
        <v>https://ia800604.us.archive.org/18/items/GADeptofEd1925/GA.pdf#page=31</v>
      </c>
      <c r="AW146" s="152" t="str">
        <f t="shared" si="87"/>
        <v>https://ia800604.us.archive.org/18/items/GADeptofEd1925/GA.pdf#page=54</v>
      </c>
    </row>
    <row r="147" spans="1:49" x14ac:dyDescent="0.25">
      <c r="A147" s="27" t="s">
        <v>869</v>
      </c>
      <c r="B147" s="27" t="str">
        <f t="shared" si="74"/>
        <v>Georgia</v>
      </c>
      <c r="C147" s="27" t="str">
        <f t="shared" si="75"/>
        <v>Walker</v>
      </c>
      <c r="D147" s="27">
        <f>3400+421+593</f>
        <v>4414</v>
      </c>
      <c r="E147" s="27">
        <f>300+37</f>
        <v>337</v>
      </c>
      <c r="F147" s="27">
        <f t="shared" si="90"/>
        <v>4751</v>
      </c>
      <c r="G147" s="27">
        <f>20+1</f>
        <v>21</v>
      </c>
      <c r="H147" s="27">
        <f>59+9+10</f>
        <v>78</v>
      </c>
      <c r="I147" s="27">
        <f>4+2+1</f>
        <v>7</v>
      </c>
      <c r="J147" s="27">
        <f>2+2+4</f>
        <v>8</v>
      </c>
      <c r="K147" s="27">
        <f>11+2</f>
        <v>13</v>
      </c>
      <c r="L147" s="27">
        <f t="shared" si="76"/>
        <v>127</v>
      </c>
      <c r="M147" s="27">
        <v>120</v>
      </c>
      <c r="N147" s="27">
        <v>120</v>
      </c>
      <c r="O147" s="29">
        <f t="shared" si="91"/>
        <v>120</v>
      </c>
      <c r="P147" s="27">
        <v>5520</v>
      </c>
      <c r="Q147" s="7">
        <f t="shared" si="77"/>
        <v>159997.91999999998</v>
      </c>
      <c r="R147" s="27">
        <f>2250+0+740.25</f>
        <v>2990.25</v>
      </c>
      <c r="S147" s="27">
        <f>85+125</f>
        <v>210</v>
      </c>
      <c r="T147" s="27">
        <f>65+74.72+75</f>
        <v>214.72</v>
      </c>
      <c r="U147" s="27">
        <f>125+188.88+133</f>
        <v>446.88</v>
      </c>
      <c r="V147" s="27">
        <f>85+107.5+105</f>
        <v>297.5</v>
      </c>
      <c r="W147" s="89">
        <f t="shared" si="78"/>
        <v>233.91508771929821</v>
      </c>
      <c r="X147" s="89">
        <f t="shared" si="89"/>
        <v>38.33653846153846</v>
      </c>
      <c r="Y147" s="97">
        <f t="shared" si="88"/>
        <v>213.89523622047241</v>
      </c>
      <c r="Z147" s="97">
        <f t="shared" si="79"/>
        <v>213.89523622047241</v>
      </c>
      <c r="AA147" s="27">
        <v>116787</v>
      </c>
      <c r="AB147" s="27">
        <v>67</v>
      </c>
      <c r="AC147" s="27">
        <f>115000+80000+80000</f>
        <v>275000</v>
      </c>
      <c r="AD147" s="27">
        <f>4000+4000</f>
        <v>8000</v>
      </c>
      <c r="AE147" s="29">
        <f t="shared" si="80"/>
        <v>283000</v>
      </c>
      <c r="AF147" s="41">
        <v>1925</v>
      </c>
      <c r="AG147" s="4" t="s">
        <v>567</v>
      </c>
      <c r="AH147" s="151" t="str">
        <f t="shared" si="84"/>
        <v>https://ia800604.us.archive.org/18/items/GADeptofEd1925/GA.pdf#page=12</v>
      </c>
      <c r="AI147" s="152" t="str">
        <f t="shared" si="84"/>
        <v>https://ia800604.us.archive.org/18/items/GADeptofEd1925/GA.pdf#page=35</v>
      </c>
      <c r="AJ147" s="151" t="str">
        <f t="shared" si="85"/>
        <v>https://ia800604.us.archive.org/18/items/GADeptofEd1925/GA.pdf#page=12</v>
      </c>
      <c r="AK147" s="152" t="str">
        <f t="shared" si="85"/>
        <v>https://ia800604.us.archive.org/18/items/GADeptofEd1925/GA.pdf#page=32</v>
      </c>
      <c r="AL147" s="151" t="str">
        <f t="shared" si="85"/>
        <v>https://ia800604.us.archive.org/18/items/GADeptofEd1925/GA.pdf#page=17</v>
      </c>
      <c r="AM147" s="152" t="str">
        <f t="shared" si="85"/>
        <v>https://ia800604.us.archive.org/18/items/GADeptofEd1925/GA.pdf#page=43</v>
      </c>
      <c r="AN147" s="151" t="str">
        <f t="shared" si="82"/>
        <v>https://ia800604.us.archive.org/18/items/GADeptofEd1925/GA.pdf#page=17</v>
      </c>
      <c r="AO147" s="152" t="str">
        <f t="shared" si="86"/>
        <v>https://ia800604.us.archive.org/18/items/GADeptofEd1925/GA.pdf#page=32</v>
      </c>
      <c r="AP147" s="151" t="str">
        <f t="shared" si="86"/>
        <v>https://ia800604.us.archive.org/18/items/GADeptofEd1925/GA.pdf#page=31</v>
      </c>
      <c r="AQ147" s="152" t="str">
        <f t="shared" si="86"/>
        <v>https://ia800604.us.archive.org/18/items/GADeptofEd1925/GA.pdf#page=48</v>
      </c>
      <c r="AR147" s="151" t="str">
        <f t="shared" si="86"/>
        <v>https://ia800604.us.archive.org/18/items/GADeptofEd1925/GA.pdf#page=25</v>
      </c>
      <c r="AS147" s="152" t="str">
        <f t="shared" si="83"/>
        <v>https://ia800604.us.archive.org/18/items/GADeptofEd1925/GA.pdf#page=48</v>
      </c>
      <c r="AT147" s="151" t="str">
        <f t="shared" si="87"/>
        <v>https://ia800604.us.archive.org/18/items/GADeptofEd1925/GA.pdf#page=31</v>
      </c>
      <c r="AU147" s="152" t="str">
        <f t="shared" si="87"/>
        <v>https://ia800604.us.archive.org/18/items/GADeptofEd1925/GA.pdf#page=32</v>
      </c>
      <c r="AV147" s="151" t="str">
        <f t="shared" si="87"/>
        <v>https://ia800604.us.archive.org/18/items/GADeptofEd1925/GA.pdf#page=31</v>
      </c>
      <c r="AW147" s="152" t="str">
        <f t="shared" si="87"/>
        <v>https://ia800604.us.archive.org/18/items/GADeptofEd1925/GA.pdf#page=54</v>
      </c>
    </row>
    <row r="148" spans="1:49" x14ac:dyDescent="0.25">
      <c r="A148" s="27" t="s">
        <v>870</v>
      </c>
      <c r="B148" s="27" t="str">
        <f t="shared" si="74"/>
        <v>Georgia</v>
      </c>
      <c r="C148" s="27" t="str">
        <f t="shared" si="75"/>
        <v>Walton</v>
      </c>
      <c r="D148" s="27">
        <f>2413+160</f>
        <v>2573</v>
      </c>
      <c r="E148" s="27">
        <v>973</v>
      </c>
      <c r="F148" s="27">
        <f t="shared" si="90"/>
        <v>3546</v>
      </c>
      <c r="G148" s="27">
        <f>4+1</f>
        <v>5</v>
      </c>
      <c r="H148" s="27">
        <f>65+6</f>
        <v>71</v>
      </c>
      <c r="I148" s="27">
        <f>8+1</f>
        <v>9</v>
      </c>
      <c r="J148" s="27">
        <f>5+2</f>
        <v>7</v>
      </c>
      <c r="K148" s="27">
        <f>30+2</f>
        <v>32</v>
      </c>
      <c r="L148" s="27">
        <f t="shared" si="76"/>
        <v>124</v>
      </c>
      <c r="M148" s="27">
        <v>160</v>
      </c>
      <c r="N148" s="27">
        <v>120</v>
      </c>
      <c r="O148" s="29">
        <f t="shared" si="91"/>
        <v>149.024252679075</v>
      </c>
      <c r="P148" s="27">
        <v>5361</v>
      </c>
      <c r="Q148" s="7">
        <f t="shared" si="77"/>
        <v>101839.76000000001</v>
      </c>
      <c r="R148" s="27">
        <v>4437.5</v>
      </c>
      <c r="S148" s="27">
        <v>70</v>
      </c>
      <c r="T148" s="27">
        <f>60+70</f>
        <v>130</v>
      </c>
      <c r="U148" s="27">
        <f>100+133.33</f>
        <v>233.33</v>
      </c>
      <c r="V148" s="27">
        <f>75+75</f>
        <v>150</v>
      </c>
      <c r="W148" s="89">
        <f t="shared" si="78"/>
        <v>138.36923913043481</v>
      </c>
      <c r="X148" s="89">
        <f t="shared" si="89"/>
        <v>23.111979166666668</v>
      </c>
      <c r="Y148" s="97">
        <f t="shared" si="88"/>
        <v>114.52290948275864</v>
      </c>
      <c r="Z148" s="97">
        <f t="shared" si="79"/>
        <v>108.62543010752691</v>
      </c>
      <c r="AA148" s="27">
        <v>75706</v>
      </c>
      <c r="AB148" s="27">
        <v>63</v>
      </c>
      <c r="AC148" s="27">
        <f>190000+30000</f>
        <v>220000</v>
      </c>
      <c r="AD148" s="27">
        <v>35000</v>
      </c>
      <c r="AE148" s="29">
        <f t="shared" si="80"/>
        <v>255000</v>
      </c>
      <c r="AF148" s="41">
        <v>1925</v>
      </c>
      <c r="AG148" s="4" t="s">
        <v>567</v>
      </c>
      <c r="AH148" s="151" t="str">
        <f t="shared" ref="AH148:AM160" si="92">AH147</f>
        <v>https://ia800604.us.archive.org/18/items/GADeptofEd1925/GA.pdf#page=12</v>
      </c>
      <c r="AI148" s="152" t="str">
        <f t="shared" si="92"/>
        <v>https://ia800604.us.archive.org/18/items/GADeptofEd1925/GA.pdf#page=35</v>
      </c>
      <c r="AJ148" s="151" t="str">
        <f t="shared" si="92"/>
        <v>https://ia800604.us.archive.org/18/items/GADeptofEd1925/GA.pdf#page=12</v>
      </c>
      <c r="AK148" s="152" t="str">
        <f t="shared" si="92"/>
        <v>https://ia800604.us.archive.org/18/items/GADeptofEd1925/GA.pdf#page=32</v>
      </c>
      <c r="AL148" s="151" t="str">
        <f t="shared" si="92"/>
        <v>https://ia800604.us.archive.org/18/items/GADeptofEd1925/GA.pdf#page=17</v>
      </c>
      <c r="AM148" s="152" t="str">
        <f t="shared" si="92"/>
        <v>https://ia800604.us.archive.org/18/items/GADeptofEd1925/GA.pdf#page=43</v>
      </c>
      <c r="AN148" s="151" t="str">
        <f t="shared" si="82"/>
        <v>https://ia800604.us.archive.org/18/items/GADeptofEd1925/GA.pdf#page=17</v>
      </c>
      <c r="AO148" s="152" t="str">
        <f t="shared" ref="AO148:AR160" si="93">AO147</f>
        <v>https://ia800604.us.archive.org/18/items/GADeptofEd1925/GA.pdf#page=32</v>
      </c>
      <c r="AP148" s="151" t="str">
        <f t="shared" si="93"/>
        <v>https://ia800604.us.archive.org/18/items/GADeptofEd1925/GA.pdf#page=31</v>
      </c>
      <c r="AQ148" s="152" t="str">
        <f t="shared" si="93"/>
        <v>https://ia800604.us.archive.org/18/items/GADeptofEd1925/GA.pdf#page=48</v>
      </c>
      <c r="AR148" s="151" t="str">
        <f t="shared" si="93"/>
        <v>https://ia800604.us.archive.org/18/items/GADeptofEd1925/GA.pdf#page=25</v>
      </c>
      <c r="AS148" s="152" t="str">
        <f t="shared" si="83"/>
        <v>https://ia800604.us.archive.org/18/items/GADeptofEd1925/GA.pdf#page=48</v>
      </c>
      <c r="AT148" s="151" t="str">
        <f t="shared" ref="AT148:AW160" si="94">AT147</f>
        <v>https://ia800604.us.archive.org/18/items/GADeptofEd1925/GA.pdf#page=31</v>
      </c>
      <c r="AU148" s="152" t="str">
        <f t="shared" si="94"/>
        <v>https://ia800604.us.archive.org/18/items/GADeptofEd1925/GA.pdf#page=32</v>
      </c>
      <c r="AV148" s="151" t="str">
        <f t="shared" si="94"/>
        <v>https://ia800604.us.archive.org/18/items/GADeptofEd1925/GA.pdf#page=31</v>
      </c>
      <c r="AW148" s="152" t="str">
        <f t="shared" si="94"/>
        <v>https://ia800604.us.archive.org/18/items/GADeptofEd1925/GA.pdf#page=54</v>
      </c>
    </row>
    <row r="149" spans="1:49" x14ac:dyDescent="0.25">
      <c r="A149" s="27" t="s">
        <v>871</v>
      </c>
      <c r="B149" s="27" t="str">
        <f t="shared" si="74"/>
        <v>Georgia</v>
      </c>
      <c r="C149" s="27" t="str">
        <f t="shared" si="75"/>
        <v>Ware</v>
      </c>
      <c r="D149" s="27">
        <f>790+18+1948</f>
        <v>2756</v>
      </c>
      <c r="E149" s="27">
        <f>300+15+1028</f>
        <v>1343</v>
      </c>
      <c r="F149" s="27">
        <f t="shared" si="90"/>
        <v>4099</v>
      </c>
      <c r="G149" s="27">
        <v>3</v>
      </c>
      <c r="H149" s="27">
        <f>52+1+41</f>
        <v>94</v>
      </c>
      <c r="I149" s="27">
        <f>5+3</f>
        <v>8</v>
      </c>
      <c r="J149" s="27">
        <f>5+5</f>
        <v>10</v>
      </c>
      <c r="K149" s="13">
        <f>19+1+20+1</f>
        <v>41</v>
      </c>
      <c r="L149" s="27">
        <f t="shared" si="76"/>
        <v>156</v>
      </c>
      <c r="M149" s="27">
        <v>120</v>
      </c>
      <c r="N149" s="27">
        <v>120</v>
      </c>
      <c r="O149" s="29">
        <f t="shared" si="91"/>
        <v>120</v>
      </c>
      <c r="P149" s="27">
        <v>5822</v>
      </c>
      <c r="Q149" s="7">
        <f t="shared" si="77"/>
        <v>140683.31999999998</v>
      </c>
      <c r="R149" s="27">
        <f>3106.6+180+10584.99</f>
        <v>13871.59</v>
      </c>
      <c r="S149" s="27">
        <v>116.66</v>
      </c>
      <c r="T149" s="27">
        <f>58+50+93.41</f>
        <v>201.41</v>
      </c>
      <c r="U149" s="27">
        <f>125+162.95</f>
        <v>287.95</v>
      </c>
      <c r="V149" s="27">
        <f>75+111.11</f>
        <v>186.11</v>
      </c>
      <c r="W149" s="89">
        <f t="shared" si="78"/>
        <v>203.88886956521733</v>
      </c>
      <c r="X149" s="89">
        <f t="shared" si="89"/>
        <v>56.388577235772352</v>
      </c>
      <c r="Y149" s="97">
        <f t="shared" si="88"/>
        <v>165.12276709401706</v>
      </c>
      <c r="Z149" s="97">
        <f t="shared" si="79"/>
        <v>165.12276709401706</v>
      </c>
      <c r="AA149" s="27">
        <v>122823</v>
      </c>
      <c r="AB149" s="27">
        <v>56</v>
      </c>
      <c r="AC149" s="27">
        <f>196500+500+118000</f>
        <v>315000</v>
      </c>
      <c r="AD149" s="27">
        <f>3500+200+15000</f>
        <v>18700</v>
      </c>
      <c r="AE149" s="29">
        <f t="shared" si="80"/>
        <v>333700</v>
      </c>
      <c r="AF149" s="41">
        <v>1925</v>
      </c>
      <c r="AG149" s="4" t="s">
        <v>567</v>
      </c>
      <c r="AH149" s="151" t="str">
        <f t="shared" si="92"/>
        <v>https://ia800604.us.archive.org/18/items/GADeptofEd1925/GA.pdf#page=12</v>
      </c>
      <c r="AI149" s="152" t="str">
        <f t="shared" si="92"/>
        <v>https://ia800604.us.archive.org/18/items/GADeptofEd1925/GA.pdf#page=35</v>
      </c>
      <c r="AJ149" s="151" t="str">
        <f t="shared" si="92"/>
        <v>https://ia800604.us.archive.org/18/items/GADeptofEd1925/GA.pdf#page=12</v>
      </c>
      <c r="AK149" s="152" t="str">
        <f t="shared" si="92"/>
        <v>https://ia800604.us.archive.org/18/items/GADeptofEd1925/GA.pdf#page=32</v>
      </c>
      <c r="AL149" s="151" t="str">
        <f t="shared" si="92"/>
        <v>https://ia800604.us.archive.org/18/items/GADeptofEd1925/GA.pdf#page=17</v>
      </c>
      <c r="AM149" s="152" t="str">
        <f t="shared" si="92"/>
        <v>https://ia800604.us.archive.org/18/items/GADeptofEd1925/GA.pdf#page=43</v>
      </c>
      <c r="AN149" s="151" t="str">
        <f t="shared" si="82"/>
        <v>https://ia800604.us.archive.org/18/items/GADeptofEd1925/GA.pdf#page=17</v>
      </c>
      <c r="AO149" s="152" t="str">
        <f t="shared" si="93"/>
        <v>https://ia800604.us.archive.org/18/items/GADeptofEd1925/GA.pdf#page=32</v>
      </c>
      <c r="AP149" s="151" t="str">
        <f t="shared" si="93"/>
        <v>https://ia800604.us.archive.org/18/items/GADeptofEd1925/GA.pdf#page=31</v>
      </c>
      <c r="AQ149" s="152" t="str">
        <f t="shared" si="93"/>
        <v>https://ia800604.us.archive.org/18/items/GADeptofEd1925/GA.pdf#page=48</v>
      </c>
      <c r="AR149" s="151" t="str">
        <f t="shared" si="93"/>
        <v>https://ia800604.us.archive.org/18/items/GADeptofEd1925/GA.pdf#page=25</v>
      </c>
      <c r="AS149" s="152" t="str">
        <f t="shared" si="83"/>
        <v>https://ia800604.us.archive.org/18/items/GADeptofEd1925/GA.pdf#page=48</v>
      </c>
      <c r="AT149" s="151" t="str">
        <f t="shared" si="94"/>
        <v>https://ia800604.us.archive.org/18/items/GADeptofEd1925/GA.pdf#page=31</v>
      </c>
      <c r="AU149" s="152" t="str">
        <f t="shared" si="94"/>
        <v>https://ia800604.us.archive.org/18/items/GADeptofEd1925/GA.pdf#page=32</v>
      </c>
      <c r="AV149" s="151" t="str">
        <f t="shared" si="94"/>
        <v>https://ia800604.us.archive.org/18/items/GADeptofEd1925/GA.pdf#page=31</v>
      </c>
      <c r="AW149" s="152" t="str">
        <f t="shared" si="94"/>
        <v>https://ia800604.us.archive.org/18/items/GADeptofEd1925/GA.pdf#page=54</v>
      </c>
    </row>
    <row r="150" spans="1:49" x14ac:dyDescent="0.25">
      <c r="A150" s="27" t="s">
        <v>872</v>
      </c>
      <c r="B150" s="27" t="str">
        <f t="shared" si="74"/>
        <v>Georgia</v>
      </c>
      <c r="C150" s="27" t="str">
        <f t="shared" si="75"/>
        <v>Warren</v>
      </c>
      <c r="D150" s="27">
        <v>960</v>
      </c>
      <c r="E150" s="27">
        <v>1864</v>
      </c>
      <c r="F150" s="27">
        <f t="shared" si="90"/>
        <v>2824</v>
      </c>
      <c r="G150" s="27">
        <v>1</v>
      </c>
      <c r="H150" s="27">
        <v>24</v>
      </c>
      <c r="I150" s="27">
        <v>6</v>
      </c>
      <c r="J150" s="27">
        <v>3</v>
      </c>
      <c r="K150" s="13">
        <f>30+2</f>
        <v>32</v>
      </c>
      <c r="L150" s="27">
        <f t="shared" si="76"/>
        <v>66</v>
      </c>
      <c r="M150" s="27">
        <v>140</v>
      </c>
      <c r="N150" s="27">
        <v>120</v>
      </c>
      <c r="O150" s="29">
        <f t="shared" si="91"/>
        <v>126.79886685552408</v>
      </c>
      <c r="P150" s="27">
        <v>3655</v>
      </c>
      <c r="Q150" s="7">
        <f t="shared" si="77"/>
        <v>21070</v>
      </c>
      <c r="R150" s="27">
        <v>3873</v>
      </c>
      <c r="S150" s="27">
        <v>100</v>
      </c>
      <c r="T150" s="27">
        <v>75</v>
      </c>
      <c r="U150" s="27">
        <v>130</v>
      </c>
      <c r="V150" s="27">
        <v>110</v>
      </c>
      <c r="W150" s="89">
        <f t="shared" si="78"/>
        <v>88.529411764705884</v>
      </c>
      <c r="X150" s="89">
        <f t="shared" si="89"/>
        <v>20.171875</v>
      </c>
      <c r="Y150" s="97">
        <f t="shared" si="88"/>
        <v>58.006976744186048</v>
      </c>
      <c r="Z150" s="97">
        <f t="shared" si="79"/>
        <v>55.386363636363633</v>
      </c>
      <c r="AA150" s="27">
        <v>33214</v>
      </c>
      <c r="AB150" s="27">
        <v>44</v>
      </c>
      <c r="AC150" s="27">
        <f>38500</f>
        <v>38500</v>
      </c>
      <c r="AD150" s="27">
        <v>3500</v>
      </c>
      <c r="AE150" s="29">
        <f t="shared" si="80"/>
        <v>42000</v>
      </c>
      <c r="AF150" s="41">
        <v>1925</v>
      </c>
      <c r="AG150" s="4" t="s">
        <v>567</v>
      </c>
      <c r="AH150" s="151" t="str">
        <f t="shared" si="92"/>
        <v>https://ia800604.us.archive.org/18/items/GADeptofEd1925/GA.pdf#page=12</v>
      </c>
      <c r="AI150" s="152" t="str">
        <f t="shared" si="92"/>
        <v>https://ia800604.us.archive.org/18/items/GADeptofEd1925/GA.pdf#page=35</v>
      </c>
      <c r="AJ150" s="151" t="str">
        <f t="shared" si="92"/>
        <v>https://ia800604.us.archive.org/18/items/GADeptofEd1925/GA.pdf#page=12</v>
      </c>
      <c r="AK150" s="152" t="str">
        <f t="shared" si="92"/>
        <v>https://ia800604.us.archive.org/18/items/GADeptofEd1925/GA.pdf#page=32</v>
      </c>
      <c r="AL150" s="151" t="str">
        <f t="shared" si="92"/>
        <v>https://ia800604.us.archive.org/18/items/GADeptofEd1925/GA.pdf#page=17</v>
      </c>
      <c r="AM150" s="152" t="str">
        <f t="shared" si="92"/>
        <v>https://ia800604.us.archive.org/18/items/GADeptofEd1925/GA.pdf#page=43</v>
      </c>
      <c r="AN150" s="151" t="str">
        <f t="shared" si="82"/>
        <v>https://ia800604.us.archive.org/18/items/GADeptofEd1925/GA.pdf#page=17</v>
      </c>
      <c r="AO150" s="152" t="str">
        <f t="shared" si="93"/>
        <v>https://ia800604.us.archive.org/18/items/GADeptofEd1925/GA.pdf#page=32</v>
      </c>
      <c r="AP150" s="151" t="str">
        <f t="shared" si="93"/>
        <v>https://ia800604.us.archive.org/18/items/GADeptofEd1925/GA.pdf#page=31</v>
      </c>
      <c r="AQ150" s="152" t="str">
        <f t="shared" si="93"/>
        <v>https://ia800604.us.archive.org/18/items/GADeptofEd1925/GA.pdf#page=48</v>
      </c>
      <c r="AR150" s="151" t="str">
        <f t="shared" si="93"/>
        <v>https://ia800604.us.archive.org/18/items/GADeptofEd1925/GA.pdf#page=25</v>
      </c>
      <c r="AS150" s="152" t="str">
        <f t="shared" si="83"/>
        <v>https://ia800604.us.archive.org/18/items/GADeptofEd1925/GA.pdf#page=48</v>
      </c>
      <c r="AT150" s="151" t="str">
        <f t="shared" si="94"/>
        <v>https://ia800604.us.archive.org/18/items/GADeptofEd1925/GA.pdf#page=31</v>
      </c>
      <c r="AU150" s="152" t="str">
        <f t="shared" si="94"/>
        <v>https://ia800604.us.archive.org/18/items/GADeptofEd1925/GA.pdf#page=32</v>
      </c>
      <c r="AV150" s="151" t="str">
        <f t="shared" si="94"/>
        <v>https://ia800604.us.archive.org/18/items/GADeptofEd1925/GA.pdf#page=31</v>
      </c>
      <c r="AW150" s="152" t="str">
        <f t="shared" si="94"/>
        <v>https://ia800604.us.archive.org/18/items/GADeptofEd1925/GA.pdf#page=54</v>
      </c>
    </row>
    <row r="151" spans="1:49" x14ac:dyDescent="0.25">
      <c r="A151" s="27" t="s">
        <v>873</v>
      </c>
      <c r="B151" s="27" t="str">
        <f t="shared" si="74"/>
        <v>Georgia</v>
      </c>
      <c r="C151" s="27" t="str">
        <f t="shared" si="75"/>
        <v>Washington</v>
      </c>
      <c r="D151" s="27">
        <v>2550</v>
      </c>
      <c r="E151" s="27">
        <v>3500</v>
      </c>
      <c r="F151" s="27">
        <f t="shared" si="90"/>
        <v>6050</v>
      </c>
      <c r="G151" s="27">
        <v>6</v>
      </c>
      <c r="H151" s="27">
        <v>40</v>
      </c>
      <c r="I151" s="27">
        <v>8</v>
      </c>
      <c r="J151" s="27">
        <v>24</v>
      </c>
      <c r="K151" s="13">
        <f>47+11</f>
        <v>58</v>
      </c>
      <c r="L151" s="27">
        <f t="shared" si="76"/>
        <v>136</v>
      </c>
      <c r="M151" s="27">
        <v>120</v>
      </c>
      <c r="N151" s="27">
        <v>120</v>
      </c>
      <c r="O151" s="29">
        <f t="shared" si="91"/>
        <v>120</v>
      </c>
      <c r="P151" s="27">
        <v>6692</v>
      </c>
      <c r="Q151" s="7">
        <f t="shared" si="77"/>
        <v>28320</v>
      </c>
      <c r="R151" s="27">
        <v>7774.18</v>
      </c>
      <c r="S151" s="27">
        <v>60</v>
      </c>
      <c r="T151" s="27">
        <v>55</v>
      </c>
      <c r="U151" s="27">
        <v>75</v>
      </c>
      <c r="V151" s="27">
        <v>65</v>
      </c>
      <c r="W151" s="89">
        <f t="shared" si="78"/>
        <v>60.512820512820518</v>
      </c>
      <c r="X151" s="89">
        <f t="shared" si="89"/>
        <v>22.339597701149426</v>
      </c>
      <c r="Y151" s="97">
        <f t="shared" si="88"/>
        <v>44.23306372549019</v>
      </c>
      <c r="Z151" s="97">
        <f t="shared" si="79"/>
        <v>44.233063725490197</v>
      </c>
      <c r="AA151" s="27">
        <v>83697</v>
      </c>
      <c r="AB151" s="27">
        <v>83</v>
      </c>
      <c r="AC151" s="27">
        <f>74000</f>
        <v>74000</v>
      </c>
      <c r="AD151" s="27">
        <v>11000</v>
      </c>
      <c r="AE151" s="29">
        <f t="shared" si="80"/>
        <v>85000</v>
      </c>
      <c r="AF151" s="41">
        <v>1925</v>
      </c>
      <c r="AG151" s="4" t="s">
        <v>567</v>
      </c>
      <c r="AH151" s="151" t="str">
        <f t="shared" si="92"/>
        <v>https://ia800604.us.archive.org/18/items/GADeptofEd1925/GA.pdf#page=12</v>
      </c>
      <c r="AI151" s="152" t="str">
        <f t="shared" si="92"/>
        <v>https://ia800604.us.archive.org/18/items/GADeptofEd1925/GA.pdf#page=35</v>
      </c>
      <c r="AJ151" s="151" t="str">
        <f t="shared" si="92"/>
        <v>https://ia800604.us.archive.org/18/items/GADeptofEd1925/GA.pdf#page=12</v>
      </c>
      <c r="AK151" s="152" t="str">
        <f t="shared" si="92"/>
        <v>https://ia800604.us.archive.org/18/items/GADeptofEd1925/GA.pdf#page=32</v>
      </c>
      <c r="AL151" s="151" t="str">
        <f t="shared" si="92"/>
        <v>https://ia800604.us.archive.org/18/items/GADeptofEd1925/GA.pdf#page=17</v>
      </c>
      <c r="AM151" s="152" t="str">
        <f t="shared" si="92"/>
        <v>https://ia800604.us.archive.org/18/items/GADeptofEd1925/GA.pdf#page=43</v>
      </c>
      <c r="AN151" s="151" t="str">
        <f t="shared" si="82"/>
        <v>https://ia800604.us.archive.org/18/items/GADeptofEd1925/GA.pdf#page=17</v>
      </c>
      <c r="AO151" s="152" t="str">
        <f t="shared" si="93"/>
        <v>https://ia800604.us.archive.org/18/items/GADeptofEd1925/GA.pdf#page=32</v>
      </c>
      <c r="AP151" s="151" t="str">
        <f t="shared" si="93"/>
        <v>https://ia800604.us.archive.org/18/items/GADeptofEd1925/GA.pdf#page=31</v>
      </c>
      <c r="AQ151" s="152" t="str">
        <f t="shared" si="93"/>
        <v>https://ia800604.us.archive.org/18/items/GADeptofEd1925/GA.pdf#page=48</v>
      </c>
      <c r="AR151" s="151" t="str">
        <f t="shared" si="93"/>
        <v>https://ia800604.us.archive.org/18/items/GADeptofEd1925/GA.pdf#page=25</v>
      </c>
      <c r="AS151" s="152" t="str">
        <f t="shared" si="83"/>
        <v>https://ia800604.us.archive.org/18/items/GADeptofEd1925/GA.pdf#page=48</v>
      </c>
      <c r="AT151" s="151" t="str">
        <f t="shared" si="94"/>
        <v>https://ia800604.us.archive.org/18/items/GADeptofEd1925/GA.pdf#page=31</v>
      </c>
      <c r="AU151" s="152" t="str">
        <f t="shared" si="94"/>
        <v>https://ia800604.us.archive.org/18/items/GADeptofEd1925/GA.pdf#page=32</v>
      </c>
      <c r="AV151" s="151" t="str">
        <f t="shared" si="94"/>
        <v>https://ia800604.us.archive.org/18/items/GADeptofEd1925/GA.pdf#page=31</v>
      </c>
      <c r="AW151" s="152" t="str">
        <f t="shared" si="94"/>
        <v>https://ia800604.us.archive.org/18/items/GADeptofEd1925/GA.pdf#page=54</v>
      </c>
    </row>
    <row r="152" spans="1:49" x14ac:dyDescent="0.25">
      <c r="A152" s="27" t="s">
        <v>874</v>
      </c>
      <c r="B152" s="27" t="str">
        <f t="shared" si="74"/>
        <v>Georgia</v>
      </c>
      <c r="C152" s="27" t="str">
        <f t="shared" si="75"/>
        <v>Wayne</v>
      </c>
      <c r="D152" s="27">
        <v>1951</v>
      </c>
      <c r="E152" s="27">
        <v>470</v>
      </c>
      <c r="F152" s="27">
        <f t="shared" si="90"/>
        <v>2421</v>
      </c>
      <c r="G152" s="27">
        <v>5</v>
      </c>
      <c r="H152" s="27">
        <v>61</v>
      </c>
      <c r="I152" s="27">
        <v>2</v>
      </c>
      <c r="J152" s="27">
        <v>6</v>
      </c>
      <c r="K152" s="27">
        <v>19</v>
      </c>
      <c r="L152" s="27">
        <f t="shared" si="76"/>
        <v>93</v>
      </c>
      <c r="M152" s="27">
        <v>125</v>
      </c>
      <c r="N152" s="27">
        <v>123</v>
      </c>
      <c r="O152" s="29">
        <f t="shared" si="91"/>
        <v>124.61173068979761</v>
      </c>
      <c r="P152" s="27">
        <v>3706</v>
      </c>
      <c r="Q152" s="7">
        <f t="shared" si="77"/>
        <v>31802.125</v>
      </c>
      <c r="R152" s="27">
        <v>5458.58</v>
      </c>
      <c r="S152" s="27">
        <v>82.5</v>
      </c>
      <c r="T152" s="27">
        <v>61.08</v>
      </c>
      <c r="U152" s="27">
        <v>170</v>
      </c>
      <c r="V152" s="27">
        <v>101.66</v>
      </c>
      <c r="W152" s="89">
        <f t="shared" si="78"/>
        <v>68.761351351351351</v>
      </c>
      <c r="X152" s="89">
        <f t="shared" si="89"/>
        <v>46.714420196833544</v>
      </c>
      <c r="Y152" s="97">
        <f t="shared" si="88"/>
        <v>64.314671614740661</v>
      </c>
      <c r="Z152" s="97">
        <f t="shared" si="79"/>
        <v>64.257139610105781</v>
      </c>
      <c r="AA152" s="27">
        <v>64253</v>
      </c>
      <c r="AB152" s="27">
        <v>45</v>
      </c>
      <c r="AC152" s="27">
        <v>105650</v>
      </c>
      <c r="AD152" s="27">
        <v>13650</v>
      </c>
      <c r="AE152" s="29">
        <f t="shared" si="80"/>
        <v>119300</v>
      </c>
      <c r="AF152" s="41">
        <v>1925</v>
      </c>
      <c r="AG152" s="4" t="s">
        <v>567</v>
      </c>
      <c r="AH152" s="151" t="str">
        <f t="shared" si="92"/>
        <v>https://ia800604.us.archive.org/18/items/GADeptofEd1925/GA.pdf#page=12</v>
      </c>
      <c r="AI152" s="152" t="str">
        <f t="shared" si="92"/>
        <v>https://ia800604.us.archive.org/18/items/GADeptofEd1925/GA.pdf#page=35</v>
      </c>
      <c r="AJ152" s="151" t="str">
        <f t="shared" si="92"/>
        <v>https://ia800604.us.archive.org/18/items/GADeptofEd1925/GA.pdf#page=12</v>
      </c>
      <c r="AK152" s="152" t="str">
        <f t="shared" si="92"/>
        <v>https://ia800604.us.archive.org/18/items/GADeptofEd1925/GA.pdf#page=32</v>
      </c>
      <c r="AL152" s="151" t="str">
        <f t="shared" si="92"/>
        <v>https://ia800604.us.archive.org/18/items/GADeptofEd1925/GA.pdf#page=17</v>
      </c>
      <c r="AM152" s="152" t="str">
        <f t="shared" si="92"/>
        <v>https://ia800604.us.archive.org/18/items/GADeptofEd1925/GA.pdf#page=43</v>
      </c>
      <c r="AN152" s="151" t="str">
        <f t="shared" si="82"/>
        <v>https://ia800604.us.archive.org/18/items/GADeptofEd1925/GA.pdf#page=17</v>
      </c>
      <c r="AO152" s="152" t="str">
        <f t="shared" si="93"/>
        <v>https://ia800604.us.archive.org/18/items/GADeptofEd1925/GA.pdf#page=32</v>
      </c>
      <c r="AP152" s="151" t="str">
        <f t="shared" si="93"/>
        <v>https://ia800604.us.archive.org/18/items/GADeptofEd1925/GA.pdf#page=31</v>
      </c>
      <c r="AQ152" s="152" t="str">
        <f t="shared" si="93"/>
        <v>https://ia800604.us.archive.org/18/items/GADeptofEd1925/GA.pdf#page=48</v>
      </c>
      <c r="AR152" s="151" t="str">
        <f t="shared" si="93"/>
        <v>https://ia800604.us.archive.org/18/items/GADeptofEd1925/GA.pdf#page=25</v>
      </c>
      <c r="AS152" s="152" t="str">
        <f t="shared" si="83"/>
        <v>https://ia800604.us.archive.org/18/items/GADeptofEd1925/GA.pdf#page=48</v>
      </c>
      <c r="AT152" s="151" t="str">
        <f t="shared" si="94"/>
        <v>https://ia800604.us.archive.org/18/items/GADeptofEd1925/GA.pdf#page=31</v>
      </c>
      <c r="AU152" s="152" t="str">
        <f t="shared" si="94"/>
        <v>https://ia800604.us.archive.org/18/items/GADeptofEd1925/GA.pdf#page=32</v>
      </c>
      <c r="AV152" s="151" t="str">
        <f t="shared" si="94"/>
        <v>https://ia800604.us.archive.org/18/items/GADeptofEd1925/GA.pdf#page=31</v>
      </c>
      <c r="AW152" s="152" t="str">
        <f t="shared" si="94"/>
        <v>https://ia800604.us.archive.org/18/items/GADeptofEd1925/GA.pdf#page=54</v>
      </c>
    </row>
    <row r="153" spans="1:49" x14ac:dyDescent="0.25">
      <c r="A153" s="27" t="s">
        <v>875</v>
      </c>
      <c r="B153" s="27" t="str">
        <f t="shared" si="74"/>
        <v>Georgia</v>
      </c>
      <c r="C153" s="27" t="str">
        <f t="shared" si="75"/>
        <v>Webster</v>
      </c>
      <c r="D153" s="27">
        <v>343</v>
      </c>
      <c r="E153" s="27">
        <v>321</v>
      </c>
      <c r="F153" s="27">
        <f t="shared" si="90"/>
        <v>664</v>
      </c>
      <c r="G153" s="27">
        <v>0</v>
      </c>
      <c r="H153" s="27">
        <v>16</v>
      </c>
      <c r="I153" s="27">
        <v>2</v>
      </c>
      <c r="J153" s="27">
        <v>4</v>
      </c>
      <c r="K153" s="27">
        <v>15</v>
      </c>
      <c r="L153" s="27">
        <f t="shared" si="76"/>
        <v>37</v>
      </c>
      <c r="M153" s="27">
        <v>180</v>
      </c>
      <c r="N153" s="27">
        <v>120</v>
      </c>
      <c r="O153" s="29">
        <f t="shared" si="91"/>
        <v>150.99397590361446</v>
      </c>
      <c r="P153" s="27">
        <v>1217</v>
      </c>
      <c r="Q153" s="7">
        <f t="shared" si="77"/>
        <v>13698</v>
      </c>
      <c r="R153" s="27">
        <v>2506.62</v>
      </c>
      <c r="S153" s="27"/>
      <c r="T153" s="27">
        <v>60</v>
      </c>
      <c r="U153" s="27">
        <v>131</v>
      </c>
      <c r="V153" s="27">
        <v>75</v>
      </c>
      <c r="W153" s="89">
        <f t="shared" si="78"/>
        <v>69.181818181818187</v>
      </c>
      <c r="X153" s="89">
        <f t="shared" si="89"/>
        <v>27.851333333333333</v>
      </c>
      <c r="Y153" s="97">
        <f t="shared" si="88"/>
        <v>56.266041666666666</v>
      </c>
      <c r="Z153" s="97">
        <f t="shared" si="79"/>
        <v>52.426216216216218</v>
      </c>
      <c r="AA153" s="27">
        <v>27871</v>
      </c>
      <c r="AB153" s="27">
        <v>20</v>
      </c>
      <c r="AC153" s="27">
        <v>50000</v>
      </c>
      <c r="AD153" s="27">
        <v>7600</v>
      </c>
      <c r="AE153" s="29">
        <f t="shared" si="80"/>
        <v>57600</v>
      </c>
      <c r="AF153" s="41">
        <v>1925</v>
      </c>
      <c r="AG153" s="4" t="s">
        <v>567</v>
      </c>
      <c r="AH153" s="151" t="str">
        <f t="shared" si="92"/>
        <v>https://ia800604.us.archive.org/18/items/GADeptofEd1925/GA.pdf#page=12</v>
      </c>
      <c r="AI153" s="152" t="str">
        <f t="shared" si="92"/>
        <v>https://ia800604.us.archive.org/18/items/GADeptofEd1925/GA.pdf#page=35</v>
      </c>
      <c r="AJ153" s="151" t="str">
        <f t="shared" si="92"/>
        <v>https://ia800604.us.archive.org/18/items/GADeptofEd1925/GA.pdf#page=12</v>
      </c>
      <c r="AK153" s="152" t="str">
        <f t="shared" si="92"/>
        <v>https://ia800604.us.archive.org/18/items/GADeptofEd1925/GA.pdf#page=32</v>
      </c>
      <c r="AL153" s="151" t="str">
        <f t="shared" si="92"/>
        <v>https://ia800604.us.archive.org/18/items/GADeptofEd1925/GA.pdf#page=17</v>
      </c>
      <c r="AM153" s="152" t="str">
        <f t="shared" si="92"/>
        <v>https://ia800604.us.archive.org/18/items/GADeptofEd1925/GA.pdf#page=43</v>
      </c>
      <c r="AN153" s="151" t="str">
        <f t="shared" si="82"/>
        <v>https://ia800604.us.archive.org/18/items/GADeptofEd1925/GA.pdf#page=17</v>
      </c>
      <c r="AO153" s="152" t="str">
        <f t="shared" si="93"/>
        <v>https://ia800604.us.archive.org/18/items/GADeptofEd1925/GA.pdf#page=32</v>
      </c>
      <c r="AP153" s="151" t="str">
        <f t="shared" si="93"/>
        <v>https://ia800604.us.archive.org/18/items/GADeptofEd1925/GA.pdf#page=31</v>
      </c>
      <c r="AQ153" s="152" t="str">
        <f t="shared" si="93"/>
        <v>https://ia800604.us.archive.org/18/items/GADeptofEd1925/GA.pdf#page=48</v>
      </c>
      <c r="AR153" s="151" t="str">
        <f t="shared" si="93"/>
        <v>https://ia800604.us.archive.org/18/items/GADeptofEd1925/GA.pdf#page=25</v>
      </c>
      <c r="AS153" s="152" t="str">
        <f t="shared" si="83"/>
        <v>https://ia800604.us.archive.org/18/items/GADeptofEd1925/GA.pdf#page=48</v>
      </c>
      <c r="AT153" s="151" t="str">
        <f t="shared" si="94"/>
        <v>https://ia800604.us.archive.org/18/items/GADeptofEd1925/GA.pdf#page=31</v>
      </c>
      <c r="AU153" s="152" t="str">
        <f t="shared" si="94"/>
        <v>https://ia800604.us.archive.org/18/items/GADeptofEd1925/GA.pdf#page=32</v>
      </c>
      <c r="AV153" s="151" t="str">
        <f t="shared" si="94"/>
        <v>https://ia800604.us.archive.org/18/items/GADeptofEd1925/GA.pdf#page=31</v>
      </c>
      <c r="AW153" s="152" t="str">
        <f t="shared" si="94"/>
        <v>https://ia800604.us.archive.org/18/items/GADeptofEd1925/GA.pdf#page=54</v>
      </c>
    </row>
    <row r="154" spans="1:49" x14ac:dyDescent="0.25">
      <c r="A154" s="27" t="s">
        <v>876</v>
      </c>
      <c r="B154" s="27" t="str">
        <f t="shared" si="74"/>
        <v>Georgia</v>
      </c>
      <c r="C154" s="27" t="str">
        <f t="shared" si="75"/>
        <v>Wheeler</v>
      </c>
      <c r="D154" s="27">
        <v>1056</v>
      </c>
      <c r="E154" s="27">
        <v>370</v>
      </c>
      <c r="F154" s="27">
        <f t="shared" si="90"/>
        <v>1426</v>
      </c>
      <c r="G154" s="27">
        <v>3</v>
      </c>
      <c r="H154" s="27">
        <v>36</v>
      </c>
      <c r="I154" s="96">
        <v>6</v>
      </c>
      <c r="J154" s="27">
        <v>5</v>
      </c>
      <c r="K154" s="27">
        <v>19</v>
      </c>
      <c r="L154" s="27">
        <f t="shared" si="76"/>
        <v>69</v>
      </c>
      <c r="M154" s="27">
        <v>120</v>
      </c>
      <c r="N154" s="27">
        <v>120</v>
      </c>
      <c r="O154" s="29">
        <f t="shared" si="91"/>
        <v>120</v>
      </c>
      <c r="P154" s="27">
        <v>1869</v>
      </c>
      <c r="Q154" s="7">
        <f t="shared" si="77"/>
        <v>19212.96</v>
      </c>
      <c r="R154" s="27">
        <v>2163.65</v>
      </c>
      <c r="S154" s="27">
        <v>90</v>
      </c>
      <c r="T154" s="27">
        <v>50.06</v>
      </c>
      <c r="U154" s="27">
        <v>132.5</v>
      </c>
      <c r="V154" s="27">
        <v>67</v>
      </c>
      <c r="W154" s="89">
        <f t="shared" si="78"/>
        <v>64.043199999999999</v>
      </c>
      <c r="X154" s="89">
        <f t="shared" si="89"/>
        <v>18.979385964912282</v>
      </c>
      <c r="Y154" s="97">
        <f t="shared" si="88"/>
        <v>51.634323671497583</v>
      </c>
      <c r="Z154" s="97">
        <f t="shared" si="79"/>
        <v>51.634323671497583</v>
      </c>
      <c r="AA154" s="27">
        <v>37994</v>
      </c>
      <c r="AB154" s="27">
        <v>30</v>
      </c>
      <c r="AC154" s="27">
        <v>50000</v>
      </c>
      <c r="AD154" s="27">
        <v>3000</v>
      </c>
      <c r="AE154" s="29">
        <f t="shared" si="80"/>
        <v>53000</v>
      </c>
      <c r="AF154" s="41">
        <v>1925</v>
      </c>
      <c r="AG154" s="4" t="s">
        <v>567</v>
      </c>
      <c r="AH154" s="151" t="str">
        <f t="shared" si="92"/>
        <v>https://ia800604.us.archive.org/18/items/GADeptofEd1925/GA.pdf#page=12</v>
      </c>
      <c r="AI154" s="152" t="str">
        <f t="shared" si="92"/>
        <v>https://ia800604.us.archive.org/18/items/GADeptofEd1925/GA.pdf#page=35</v>
      </c>
      <c r="AJ154" s="151" t="str">
        <f t="shared" si="92"/>
        <v>https://ia800604.us.archive.org/18/items/GADeptofEd1925/GA.pdf#page=12</v>
      </c>
      <c r="AK154" s="152" t="str">
        <f t="shared" si="92"/>
        <v>https://ia800604.us.archive.org/18/items/GADeptofEd1925/GA.pdf#page=32</v>
      </c>
      <c r="AL154" s="151" t="str">
        <f t="shared" si="92"/>
        <v>https://ia800604.us.archive.org/18/items/GADeptofEd1925/GA.pdf#page=17</v>
      </c>
      <c r="AM154" s="152" t="str">
        <f t="shared" si="92"/>
        <v>https://ia800604.us.archive.org/18/items/GADeptofEd1925/GA.pdf#page=43</v>
      </c>
      <c r="AN154" s="151" t="str">
        <f t="shared" si="82"/>
        <v>https://ia800604.us.archive.org/18/items/GADeptofEd1925/GA.pdf#page=17</v>
      </c>
      <c r="AO154" s="152" t="str">
        <f t="shared" si="93"/>
        <v>https://ia800604.us.archive.org/18/items/GADeptofEd1925/GA.pdf#page=32</v>
      </c>
      <c r="AP154" s="151" t="str">
        <f t="shared" si="93"/>
        <v>https://ia800604.us.archive.org/18/items/GADeptofEd1925/GA.pdf#page=31</v>
      </c>
      <c r="AQ154" s="152" t="str">
        <f t="shared" si="93"/>
        <v>https://ia800604.us.archive.org/18/items/GADeptofEd1925/GA.pdf#page=48</v>
      </c>
      <c r="AR154" s="151" t="str">
        <f t="shared" si="93"/>
        <v>https://ia800604.us.archive.org/18/items/GADeptofEd1925/GA.pdf#page=25</v>
      </c>
      <c r="AS154" s="152" t="str">
        <f t="shared" si="83"/>
        <v>https://ia800604.us.archive.org/18/items/GADeptofEd1925/GA.pdf#page=48</v>
      </c>
      <c r="AT154" s="151" t="str">
        <f t="shared" si="94"/>
        <v>https://ia800604.us.archive.org/18/items/GADeptofEd1925/GA.pdf#page=31</v>
      </c>
      <c r="AU154" s="152" t="str">
        <f t="shared" si="94"/>
        <v>https://ia800604.us.archive.org/18/items/GADeptofEd1925/GA.pdf#page=32</v>
      </c>
      <c r="AV154" s="151" t="str">
        <f t="shared" si="94"/>
        <v>https://ia800604.us.archive.org/18/items/GADeptofEd1925/GA.pdf#page=31</v>
      </c>
      <c r="AW154" s="152" t="str">
        <f t="shared" si="94"/>
        <v>https://ia800604.us.archive.org/18/items/GADeptofEd1925/GA.pdf#page=54</v>
      </c>
    </row>
    <row r="155" spans="1:49" x14ac:dyDescent="0.25">
      <c r="A155" s="27" t="s">
        <v>877</v>
      </c>
      <c r="B155" s="27" t="str">
        <f t="shared" si="74"/>
        <v>Georgia</v>
      </c>
      <c r="C155" s="27" t="str">
        <f t="shared" si="75"/>
        <v>White</v>
      </c>
      <c r="D155" s="27">
        <v>1186</v>
      </c>
      <c r="E155" s="27">
        <v>70</v>
      </c>
      <c r="F155" s="27">
        <f t="shared" si="90"/>
        <v>1256</v>
      </c>
      <c r="G155" s="27">
        <v>5</v>
      </c>
      <c r="H155" s="27">
        <v>27</v>
      </c>
      <c r="I155" s="96">
        <v>4</v>
      </c>
      <c r="J155" s="27">
        <v>8</v>
      </c>
      <c r="K155" s="27">
        <v>3</v>
      </c>
      <c r="L155" s="27">
        <f t="shared" si="76"/>
        <v>47</v>
      </c>
      <c r="M155" s="27">
        <v>120</v>
      </c>
      <c r="N155" s="27">
        <v>120</v>
      </c>
      <c r="O155" s="29">
        <f t="shared" si="91"/>
        <v>120</v>
      </c>
      <c r="P155" s="27">
        <v>1878</v>
      </c>
      <c r="Q155" s="7">
        <f t="shared" si="77"/>
        <v>13440</v>
      </c>
      <c r="R155" s="27">
        <v>630</v>
      </c>
      <c r="S155" s="27">
        <v>47.5</v>
      </c>
      <c r="T155" s="27">
        <v>47.5</v>
      </c>
      <c r="U155" s="27">
        <v>60</v>
      </c>
      <c r="V155" s="27">
        <v>60</v>
      </c>
      <c r="W155" s="89">
        <f t="shared" si="78"/>
        <v>50.909090909090907</v>
      </c>
      <c r="X155" s="89">
        <f t="shared" si="89"/>
        <v>35</v>
      </c>
      <c r="Y155" s="97">
        <f t="shared" si="88"/>
        <v>49.89361702127659</v>
      </c>
      <c r="Z155" s="97">
        <f t="shared" si="79"/>
        <v>49.893617021276597</v>
      </c>
      <c r="AA155" s="27">
        <v>19700</v>
      </c>
      <c r="AB155" s="27">
        <v>27</v>
      </c>
      <c r="AC155" s="27">
        <v>60000</v>
      </c>
      <c r="AD155" s="27">
        <v>600</v>
      </c>
      <c r="AE155" s="29">
        <f t="shared" si="80"/>
        <v>60600</v>
      </c>
      <c r="AF155" s="41">
        <v>1925</v>
      </c>
      <c r="AG155" s="4" t="s">
        <v>567</v>
      </c>
      <c r="AH155" s="151" t="str">
        <f t="shared" si="92"/>
        <v>https://ia800604.us.archive.org/18/items/GADeptofEd1925/GA.pdf#page=12</v>
      </c>
      <c r="AI155" s="152" t="str">
        <f t="shared" si="92"/>
        <v>https://ia800604.us.archive.org/18/items/GADeptofEd1925/GA.pdf#page=35</v>
      </c>
      <c r="AJ155" s="151" t="str">
        <f t="shared" si="92"/>
        <v>https://ia800604.us.archive.org/18/items/GADeptofEd1925/GA.pdf#page=12</v>
      </c>
      <c r="AK155" s="152" t="str">
        <f t="shared" si="92"/>
        <v>https://ia800604.us.archive.org/18/items/GADeptofEd1925/GA.pdf#page=32</v>
      </c>
      <c r="AL155" s="151" t="str">
        <f t="shared" si="92"/>
        <v>https://ia800604.us.archive.org/18/items/GADeptofEd1925/GA.pdf#page=17</v>
      </c>
      <c r="AM155" s="152" t="str">
        <f t="shared" si="92"/>
        <v>https://ia800604.us.archive.org/18/items/GADeptofEd1925/GA.pdf#page=43</v>
      </c>
      <c r="AN155" s="151" t="str">
        <f t="shared" si="82"/>
        <v>https://ia800604.us.archive.org/18/items/GADeptofEd1925/GA.pdf#page=17</v>
      </c>
      <c r="AO155" s="152" t="str">
        <f t="shared" si="93"/>
        <v>https://ia800604.us.archive.org/18/items/GADeptofEd1925/GA.pdf#page=32</v>
      </c>
      <c r="AP155" s="151" t="str">
        <f t="shared" si="93"/>
        <v>https://ia800604.us.archive.org/18/items/GADeptofEd1925/GA.pdf#page=31</v>
      </c>
      <c r="AQ155" s="152" t="str">
        <f t="shared" si="93"/>
        <v>https://ia800604.us.archive.org/18/items/GADeptofEd1925/GA.pdf#page=48</v>
      </c>
      <c r="AR155" s="151" t="str">
        <f t="shared" si="93"/>
        <v>https://ia800604.us.archive.org/18/items/GADeptofEd1925/GA.pdf#page=25</v>
      </c>
      <c r="AS155" s="152" t="str">
        <f t="shared" si="83"/>
        <v>https://ia800604.us.archive.org/18/items/GADeptofEd1925/GA.pdf#page=48</v>
      </c>
      <c r="AT155" s="151" t="str">
        <f t="shared" si="94"/>
        <v>https://ia800604.us.archive.org/18/items/GADeptofEd1925/GA.pdf#page=31</v>
      </c>
      <c r="AU155" s="152" t="str">
        <f t="shared" si="94"/>
        <v>https://ia800604.us.archive.org/18/items/GADeptofEd1925/GA.pdf#page=32</v>
      </c>
      <c r="AV155" s="151" t="str">
        <f t="shared" si="94"/>
        <v>https://ia800604.us.archive.org/18/items/GADeptofEd1925/GA.pdf#page=31</v>
      </c>
      <c r="AW155" s="152" t="str">
        <f t="shared" si="94"/>
        <v>https://ia800604.us.archive.org/18/items/GADeptofEd1925/GA.pdf#page=54</v>
      </c>
    </row>
    <row r="156" spans="1:49" x14ac:dyDescent="0.25">
      <c r="A156" s="27" t="s">
        <v>878</v>
      </c>
      <c r="B156" s="27" t="str">
        <f t="shared" si="74"/>
        <v>Georgia</v>
      </c>
      <c r="C156" s="27" t="str">
        <f t="shared" si="75"/>
        <v>Whitfield</v>
      </c>
      <c r="D156" s="27">
        <f>2500+1101</f>
        <v>3601</v>
      </c>
      <c r="E156" s="27">
        <f>140+180</f>
        <v>320</v>
      </c>
      <c r="F156" s="27">
        <f t="shared" si="90"/>
        <v>3921</v>
      </c>
      <c r="G156" s="27">
        <v>0</v>
      </c>
      <c r="H156" s="27">
        <f>66+26</f>
        <v>92</v>
      </c>
      <c r="I156" s="96">
        <f>2+2</f>
        <v>4</v>
      </c>
      <c r="J156" s="27">
        <f>2+4</f>
        <v>6</v>
      </c>
      <c r="K156" s="27">
        <f>4+5</f>
        <v>9</v>
      </c>
      <c r="L156" s="27">
        <f t="shared" si="76"/>
        <v>111</v>
      </c>
      <c r="M156" s="27">
        <v>100</v>
      </c>
      <c r="N156" s="27">
        <v>100</v>
      </c>
      <c r="O156" s="29">
        <f t="shared" si="91"/>
        <v>100</v>
      </c>
      <c r="P156" s="27">
        <v>4921</v>
      </c>
      <c r="Q156" s="7">
        <f t="shared" si="77"/>
        <v>72263.199999999997</v>
      </c>
      <c r="R156" s="27">
        <f>795+2430</f>
        <v>3225</v>
      </c>
      <c r="S156" s="27">
        <v>62</v>
      </c>
      <c r="T156" s="27">
        <f>55+75.85</f>
        <v>130.85</v>
      </c>
      <c r="U156" s="27">
        <f>125+186.11</f>
        <v>311.11</v>
      </c>
      <c r="V156" s="27">
        <f>75+120</f>
        <v>195</v>
      </c>
      <c r="W156" s="89">
        <f t="shared" si="78"/>
        <v>141.69254901960784</v>
      </c>
      <c r="X156" s="89">
        <f t="shared" si="89"/>
        <v>71.666666666666657</v>
      </c>
      <c r="Y156" s="97">
        <f t="shared" si="88"/>
        <v>136.01477477477476</v>
      </c>
      <c r="Z156" s="97">
        <f t="shared" si="79"/>
        <v>136.01477477477476</v>
      </c>
      <c r="AA156" s="27">
        <v>98589</v>
      </c>
      <c r="AB156" s="27">
        <v>51</v>
      </c>
      <c r="AC156" s="27">
        <f>50000+145000</f>
        <v>195000</v>
      </c>
      <c r="AD156" s="27">
        <f>3000+5000</f>
        <v>8000</v>
      </c>
      <c r="AE156" s="29">
        <f t="shared" si="80"/>
        <v>203000</v>
      </c>
      <c r="AF156" s="41">
        <v>1925</v>
      </c>
      <c r="AG156" s="4" t="s">
        <v>567</v>
      </c>
      <c r="AH156" s="151" t="str">
        <f t="shared" si="92"/>
        <v>https://ia800604.us.archive.org/18/items/GADeptofEd1925/GA.pdf#page=12</v>
      </c>
      <c r="AI156" s="152" t="str">
        <f t="shared" si="92"/>
        <v>https://ia800604.us.archive.org/18/items/GADeptofEd1925/GA.pdf#page=35</v>
      </c>
      <c r="AJ156" s="151" t="str">
        <f t="shared" si="92"/>
        <v>https://ia800604.us.archive.org/18/items/GADeptofEd1925/GA.pdf#page=12</v>
      </c>
      <c r="AK156" s="152" t="str">
        <f t="shared" si="92"/>
        <v>https://ia800604.us.archive.org/18/items/GADeptofEd1925/GA.pdf#page=32</v>
      </c>
      <c r="AL156" s="151" t="s">
        <v>2679</v>
      </c>
      <c r="AM156" s="152" t="str">
        <f t="shared" si="92"/>
        <v>https://ia800604.us.archive.org/18/items/GADeptofEd1925/GA.pdf#page=43</v>
      </c>
      <c r="AN156" s="151" t="str">
        <f t="shared" si="82"/>
        <v>https://ia800604.us.archive.org/18/items/GADeptofEd1925/GA.pdf#page=19</v>
      </c>
      <c r="AO156" s="152" t="str">
        <f t="shared" si="93"/>
        <v>https://ia800604.us.archive.org/18/items/GADeptofEd1925/GA.pdf#page=32</v>
      </c>
      <c r="AP156" s="151" t="str">
        <f t="shared" si="93"/>
        <v>https://ia800604.us.archive.org/18/items/GADeptofEd1925/GA.pdf#page=31</v>
      </c>
      <c r="AQ156" s="152" t="str">
        <f t="shared" si="93"/>
        <v>https://ia800604.us.archive.org/18/items/GADeptofEd1925/GA.pdf#page=48</v>
      </c>
      <c r="AR156" s="151" t="str">
        <f t="shared" si="93"/>
        <v>https://ia800604.us.archive.org/18/items/GADeptofEd1925/GA.pdf#page=25</v>
      </c>
      <c r="AS156" s="152" t="str">
        <f t="shared" si="83"/>
        <v>https://ia800604.us.archive.org/18/items/GADeptofEd1925/GA.pdf#page=48</v>
      </c>
      <c r="AT156" s="151" t="str">
        <f t="shared" si="94"/>
        <v>https://ia800604.us.archive.org/18/items/GADeptofEd1925/GA.pdf#page=31</v>
      </c>
      <c r="AU156" s="152" t="str">
        <f t="shared" si="94"/>
        <v>https://ia800604.us.archive.org/18/items/GADeptofEd1925/GA.pdf#page=32</v>
      </c>
      <c r="AV156" s="151" t="str">
        <f t="shared" si="94"/>
        <v>https://ia800604.us.archive.org/18/items/GADeptofEd1925/GA.pdf#page=31</v>
      </c>
      <c r="AW156" s="152" t="str">
        <f t="shared" si="94"/>
        <v>https://ia800604.us.archive.org/18/items/GADeptofEd1925/GA.pdf#page=54</v>
      </c>
    </row>
    <row r="157" spans="1:49" x14ac:dyDescent="0.25">
      <c r="A157" s="27" t="s">
        <v>879</v>
      </c>
      <c r="B157" s="27" t="str">
        <f t="shared" si="74"/>
        <v>Georgia</v>
      </c>
      <c r="C157" s="27" t="str">
        <f t="shared" si="75"/>
        <v>Wilcox</v>
      </c>
      <c r="D157" s="27">
        <v>1584</v>
      </c>
      <c r="E157" s="27">
        <v>872</v>
      </c>
      <c r="F157" s="27">
        <f t="shared" si="90"/>
        <v>2456</v>
      </c>
      <c r="G157" s="27">
        <v>0</v>
      </c>
      <c r="H157" s="27">
        <v>35</v>
      </c>
      <c r="I157" s="96">
        <v>11</v>
      </c>
      <c r="J157" s="27">
        <v>14</v>
      </c>
      <c r="K157" s="27">
        <f>25+2</f>
        <v>27</v>
      </c>
      <c r="L157" s="27">
        <f t="shared" si="76"/>
        <v>87</v>
      </c>
      <c r="M157" s="27">
        <v>160</v>
      </c>
      <c r="N157" s="27">
        <v>120</v>
      </c>
      <c r="O157" s="29">
        <f t="shared" si="91"/>
        <v>145.79804560260587</v>
      </c>
      <c r="P157" s="27">
        <v>3378</v>
      </c>
      <c r="Q157" s="7">
        <f t="shared" si="77"/>
        <v>38150</v>
      </c>
      <c r="R157" s="27">
        <v>3783.15</v>
      </c>
      <c r="S157" s="27">
        <v>144.19999999999999</v>
      </c>
      <c r="T157" s="27">
        <v>85.85</v>
      </c>
      <c r="U157" s="27">
        <v>84</v>
      </c>
      <c r="V157" s="27">
        <v>60</v>
      </c>
      <c r="W157" s="89">
        <f t="shared" si="78"/>
        <v>79.479166666666671</v>
      </c>
      <c r="X157" s="89">
        <f t="shared" si="89"/>
        <v>23.352777777777778</v>
      </c>
      <c r="Y157" s="97">
        <f t="shared" si="88"/>
        <v>65.316433021806859</v>
      </c>
      <c r="Z157" s="97">
        <f t="shared" si="79"/>
        <v>62.060632183908041</v>
      </c>
      <c r="AA157" s="27">
        <v>102381</v>
      </c>
      <c r="AB157" s="27">
        <v>39</v>
      </c>
      <c r="AC157" s="27">
        <v>149650</v>
      </c>
      <c r="AD157" s="27">
        <v>4750</v>
      </c>
      <c r="AE157" s="29">
        <f t="shared" si="80"/>
        <v>154400</v>
      </c>
      <c r="AF157" s="41">
        <v>1925</v>
      </c>
      <c r="AG157" s="4" t="s">
        <v>567</v>
      </c>
      <c r="AH157" s="151" t="str">
        <f t="shared" si="92"/>
        <v>https://ia800604.us.archive.org/18/items/GADeptofEd1925/GA.pdf#page=12</v>
      </c>
      <c r="AI157" s="152" t="str">
        <f t="shared" si="92"/>
        <v>https://ia800604.us.archive.org/18/items/GADeptofEd1925/GA.pdf#page=35</v>
      </c>
      <c r="AJ157" s="151" t="str">
        <f t="shared" si="92"/>
        <v>https://ia800604.us.archive.org/18/items/GADeptofEd1925/GA.pdf#page=12</v>
      </c>
      <c r="AK157" s="152" t="str">
        <f t="shared" si="92"/>
        <v>https://ia800604.us.archive.org/18/items/GADeptofEd1925/GA.pdf#page=32</v>
      </c>
      <c r="AL157" s="151" t="str">
        <f>AL156</f>
        <v>https://ia800604.us.archive.org/18/items/GADeptofEd1925/GA.pdf#page=19</v>
      </c>
      <c r="AM157" s="152" t="str">
        <f t="shared" si="92"/>
        <v>https://ia800604.us.archive.org/18/items/GADeptofEd1925/GA.pdf#page=43</v>
      </c>
      <c r="AN157" s="151" t="str">
        <f t="shared" si="82"/>
        <v>https://ia800604.us.archive.org/18/items/GADeptofEd1925/GA.pdf#page=19</v>
      </c>
      <c r="AO157" s="152" t="str">
        <f t="shared" si="93"/>
        <v>https://ia800604.us.archive.org/18/items/GADeptofEd1925/GA.pdf#page=32</v>
      </c>
      <c r="AP157" s="151" t="str">
        <f t="shared" si="93"/>
        <v>https://ia800604.us.archive.org/18/items/GADeptofEd1925/GA.pdf#page=31</v>
      </c>
      <c r="AQ157" s="152" t="str">
        <f t="shared" si="93"/>
        <v>https://ia800604.us.archive.org/18/items/GADeptofEd1925/GA.pdf#page=48</v>
      </c>
      <c r="AR157" s="151" t="str">
        <f t="shared" si="93"/>
        <v>https://ia800604.us.archive.org/18/items/GADeptofEd1925/GA.pdf#page=25</v>
      </c>
      <c r="AS157" s="152" t="str">
        <f t="shared" si="83"/>
        <v>https://ia800604.us.archive.org/18/items/GADeptofEd1925/GA.pdf#page=48</v>
      </c>
      <c r="AT157" s="151" t="str">
        <f t="shared" si="94"/>
        <v>https://ia800604.us.archive.org/18/items/GADeptofEd1925/GA.pdf#page=31</v>
      </c>
      <c r="AU157" s="152" t="str">
        <f t="shared" si="94"/>
        <v>https://ia800604.us.archive.org/18/items/GADeptofEd1925/GA.pdf#page=32</v>
      </c>
      <c r="AV157" s="151" t="str">
        <f t="shared" si="94"/>
        <v>https://ia800604.us.archive.org/18/items/GADeptofEd1925/GA.pdf#page=31</v>
      </c>
      <c r="AW157" s="152" t="str">
        <f t="shared" si="94"/>
        <v>https://ia800604.us.archive.org/18/items/GADeptofEd1925/GA.pdf#page=54</v>
      </c>
    </row>
    <row r="158" spans="1:49" x14ac:dyDescent="0.25">
      <c r="A158" s="27" t="s">
        <v>880</v>
      </c>
      <c r="B158" s="27" t="str">
        <f t="shared" si="74"/>
        <v>Georgia</v>
      </c>
      <c r="C158" s="27" t="str">
        <f t="shared" si="75"/>
        <v>Wilkes</v>
      </c>
      <c r="D158" s="27">
        <v>1014</v>
      </c>
      <c r="E158" s="27">
        <v>1622</v>
      </c>
      <c r="F158" s="27">
        <f t="shared" si="90"/>
        <v>2636</v>
      </c>
      <c r="G158" s="27">
        <v>0</v>
      </c>
      <c r="H158" s="27">
        <v>37</v>
      </c>
      <c r="I158" s="96">
        <v>5</v>
      </c>
      <c r="J158" s="27">
        <v>11</v>
      </c>
      <c r="K158" s="27">
        <v>43</v>
      </c>
      <c r="L158" s="27">
        <f t="shared" si="76"/>
        <v>96</v>
      </c>
      <c r="M158" s="27">
        <v>160</v>
      </c>
      <c r="N158" s="27">
        <v>120</v>
      </c>
      <c r="O158" s="29">
        <f t="shared" si="91"/>
        <v>135.38694992412746</v>
      </c>
      <c r="P158" s="27">
        <v>4234</v>
      </c>
      <c r="Q158" s="7">
        <f t="shared" si="77"/>
        <v>34275.919999999998</v>
      </c>
      <c r="R158" s="27">
        <v>6330</v>
      </c>
      <c r="S158" s="27">
        <v>72</v>
      </c>
      <c r="T158" s="27">
        <v>69.7</v>
      </c>
      <c r="U158" s="27">
        <v>143.36000000000001</v>
      </c>
      <c r="V158" s="27">
        <v>89.89</v>
      </c>
      <c r="W158" s="89">
        <f t="shared" si="78"/>
        <v>80.839433962264152</v>
      </c>
      <c r="X158" s="89">
        <f t="shared" si="89"/>
        <v>24.534883720930235</v>
      </c>
      <c r="Y158" s="97">
        <f t="shared" si="88"/>
        <v>59.539472140762456</v>
      </c>
      <c r="Z158" s="97">
        <f t="shared" si="79"/>
        <v>55.619687499999998</v>
      </c>
      <c r="AA158" s="27">
        <v>60093</v>
      </c>
      <c r="AB158" s="27">
        <v>70</v>
      </c>
      <c r="AC158" s="27">
        <v>34500</v>
      </c>
      <c r="AD158" s="27">
        <v>5600</v>
      </c>
      <c r="AE158" s="29">
        <f t="shared" si="80"/>
        <v>40100</v>
      </c>
      <c r="AF158" s="41">
        <v>1925</v>
      </c>
      <c r="AG158" s="4" t="s">
        <v>567</v>
      </c>
      <c r="AH158" s="151" t="str">
        <f t="shared" si="92"/>
        <v>https://ia800604.us.archive.org/18/items/GADeptofEd1925/GA.pdf#page=12</v>
      </c>
      <c r="AI158" s="152" t="str">
        <f t="shared" si="92"/>
        <v>https://ia800604.us.archive.org/18/items/GADeptofEd1925/GA.pdf#page=35</v>
      </c>
      <c r="AJ158" s="151" t="str">
        <f t="shared" si="92"/>
        <v>https://ia800604.us.archive.org/18/items/GADeptofEd1925/GA.pdf#page=12</v>
      </c>
      <c r="AK158" s="152" t="str">
        <f t="shared" si="92"/>
        <v>https://ia800604.us.archive.org/18/items/GADeptofEd1925/GA.pdf#page=32</v>
      </c>
      <c r="AL158" s="151" t="str">
        <f t="shared" si="92"/>
        <v>https://ia800604.us.archive.org/18/items/GADeptofEd1925/GA.pdf#page=19</v>
      </c>
      <c r="AM158" s="152" t="str">
        <f t="shared" si="92"/>
        <v>https://ia800604.us.archive.org/18/items/GADeptofEd1925/GA.pdf#page=43</v>
      </c>
      <c r="AN158" s="151" t="str">
        <f t="shared" si="82"/>
        <v>https://ia800604.us.archive.org/18/items/GADeptofEd1925/GA.pdf#page=19</v>
      </c>
      <c r="AO158" s="152" t="str">
        <f t="shared" si="93"/>
        <v>https://ia800604.us.archive.org/18/items/GADeptofEd1925/GA.pdf#page=32</v>
      </c>
      <c r="AP158" s="151" t="str">
        <f t="shared" si="93"/>
        <v>https://ia800604.us.archive.org/18/items/GADeptofEd1925/GA.pdf#page=31</v>
      </c>
      <c r="AQ158" s="152" t="str">
        <f t="shared" si="93"/>
        <v>https://ia800604.us.archive.org/18/items/GADeptofEd1925/GA.pdf#page=48</v>
      </c>
      <c r="AR158" s="151" t="str">
        <f t="shared" si="93"/>
        <v>https://ia800604.us.archive.org/18/items/GADeptofEd1925/GA.pdf#page=25</v>
      </c>
      <c r="AS158" s="152" t="str">
        <f t="shared" si="83"/>
        <v>https://ia800604.us.archive.org/18/items/GADeptofEd1925/GA.pdf#page=48</v>
      </c>
      <c r="AT158" s="151" t="str">
        <f t="shared" si="94"/>
        <v>https://ia800604.us.archive.org/18/items/GADeptofEd1925/GA.pdf#page=31</v>
      </c>
      <c r="AU158" s="152" t="str">
        <f t="shared" si="94"/>
        <v>https://ia800604.us.archive.org/18/items/GADeptofEd1925/GA.pdf#page=32</v>
      </c>
      <c r="AV158" s="151" t="str">
        <f t="shared" si="94"/>
        <v>https://ia800604.us.archive.org/18/items/GADeptofEd1925/GA.pdf#page=31</v>
      </c>
      <c r="AW158" s="152" t="str">
        <f t="shared" si="94"/>
        <v>https://ia800604.us.archive.org/18/items/GADeptofEd1925/GA.pdf#page=54</v>
      </c>
    </row>
    <row r="159" spans="1:49" x14ac:dyDescent="0.25">
      <c r="A159" s="27" t="s">
        <v>881</v>
      </c>
      <c r="B159" s="27" t="str">
        <f t="shared" si="74"/>
        <v>Georgia</v>
      </c>
      <c r="C159" s="27" t="str">
        <f t="shared" si="75"/>
        <v>Wilkinson</v>
      </c>
      <c r="D159" s="27">
        <v>1500</v>
      </c>
      <c r="E159" s="27">
        <v>1200</v>
      </c>
      <c r="F159" s="27">
        <f t="shared" si="90"/>
        <v>2700</v>
      </c>
      <c r="G159" s="27">
        <v>0</v>
      </c>
      <c r="H159" s="27">
        <v>42</v>
      </c>
      <c r="I159" s="96">
        <v>4</v>
      </c>
      <c r="J159" s="27">
        <v>17</v>
      </c>
      <c r="K159" s="27">
        <f>19+2</f>
        <v>21</v>
      </c>
      <c r="L159" s="27">
        <f t="shared" si="76"/>
        <v>84</v>
      </c>
      <c r="M159" s="27">
        <v>158</v>
      </c>
      <c r="N159" s="27">
        <v>120</v>
      </c>
      <c r="O159" s="29">
        <f t="shared" si="91"/>
        <v>141.11111111111111</v>
      </c>
      <c r="P159" s="27">
        <v>3122</v>
      </c>
      <c r="Q159" s="7">
        <f t="shared" si="77"/>
        <v>30454.5</v>
      </c>
      <c r="R159" s="27">
        <v>3193.75</v>
      </c>
      <c r="S159" s="27"/>
      <c r="T159" s="27">
        <v>55</v>
      </c>
      <c r="U159" s="27">
        <v>110</v>
      </c>
      <c r="V159" s="27">
        <v>65</v>
      </c>
      <c r="W159" s="89">
        <f t="shared" si="78"/>
        <v>61.19047619047619</v>
      </c>
      <c r="X159" s="89">
        <f t="shared" si="89"/>
        <v>25.347222222222225</v>
      </c>
      <c r="Y159" s="97">
        <f t="shared" si="88"/>
        <v>53.949414782748107</v>
      </c>
      <c r="Z159" s="97">
        <f t="shared" si="79"/>
        <v>52.229662698412703</v>
      </c>
      <c r="AA159" s="27">
        <v>71324</v>
      </c>
      <c r="AB159" s="27">
        <v>39</v>
      </c>
      <c r="AC159" s="27">
        <v>140000</v>
      </c>
      <c r="AD159" s="27">
        <v>12500</v>
      </c>
      <c r="AE159" s="29">
        <f t="shared" si="80"/>
        <v>152500</v>
      </c>
      <c r="AF159" s="41">
        <v>1925</v>
      </c>
      <c r="AG159" s="4" t="s">
        <v>567</v>
      </c>
      <c r="AH159" s="151" t="str">
        <f t="shared" si="92"/>
        <v>https://ia800604.us.archive.org/18/items/GADeptofEd1925/GA.pdf#page=12</v>
      </c>
      <c r="AI159" s="152" t="str">
        <f t="shared" si="92"/>
        <v>https://ia800604.us.archive.org/18/items/GADeptofEd1925/GA.pdf#page=35</v>
      </c>
      <c r="AJ159" s="151" t="str">
        <f t="shared" si="92"/>
        <v>https://ia800604.us.archive.org/18/items/GADeptofEd1925/GA.pdf#page=12</v>
      </c>
      <c r="AK159" s="152" t="str">
        <f t="shared" si="92"/>
        <v>https://ia800604.us.archive.org/18/items/GADeptofEd1925/GA.pdf#page=32</v>
      </c>
      <c r="AL159" s="151" t="str">
        <f t="shared" si="92"/>
        <v>https://ia800604.us.archive.org/18/items/GADeptofEd1925/GA.pdf#page=19</v>
      </c>
      <c r="AM159" s="152" t="str">
        <f t="shared" si="92"/>
        <v>https://ia800604.us.archive.org/18/items/GADeptofEd1925/GA.pdf#page=43</v>
      </c>
      <c r="AN159" s="151" t="str">
        <f t="shared" si="82"/>
        <v>https://ia800604.us.archive.org/18/items/GADeptofEd1925/GA.pdf#page=19</v>
      </c>
      <c r="AO159" s="152" t="str">
        <f t="shared" si="93"/>
        <v>https://ia800604.us.archive.org/18/items/GADeptofEd1925/GA.pdf#page=32</v>
      </c>
      <c r="AP159" s="151" t="str">
        <f t="shared" si="93"/>
        <v>https://ia800604.us.archive.org/18/items/GADeptofEd1925/GA.pdf#page=31</v>
      </c>
      <c r="AQ159" s="152" t="str">
        <f t="shared" si="93"/>
        <v>https://ia800604.us.archive.org/18/items/GADeptofEd1925/GA.pdf#page=48</v>
      </c>
      <c r="AR159" s="151" t="str">
        <f t="shared" si="93"/>
        <v>https://ia800604.us.archive.org/18/items/GADeptofEd1925/GA.pdf#page=25</v>
      </c>
      <c r="AS159" s="152" t="str">
        <f t="shared" si="83"/>
        <v>https://ia800604.us.archive.org/18/items/GADeptofEd1925/GA.pdf#page=48</v>
      </c>
      <c r="AT159" s="151" t="str">
        <f t="shared" si="94"/>
        <v>https://ia800604.us.archive.org/18/items/GADeptofEd1925/GA.pdf#page=31</v>
      </c>
      <c r="AU159" s="152" t="str">
        <f t="shared" si="94"/>
        <v>https://ia800604.us.archive.org/18/items/GADeptofEd1925/GA.pdf#page=32</v>
      </c>
      <c r="AV159" s="151" t="str">
        <f t="shared" si="94"/>
        <v>https://ia800604.us.archive.org/18/items/GADeptofEd1925/GA.pdf#page=31</v>
      </c>
      <c r="AW159" s="152" t="str">
        <f t="shared" si="94"/>
        <v>https://ia800604.us.archive.org/18/items/GADeptofEd1925/GA.pdf#page=54</v>
      </c>
    </row>
    <row r="160" spans="1:49" x14ac:dyDescent="0.25">
      <c r="A160" s="27" t="s">
        <v>882</v>
      </c>
      <c r="B160" s="27" t="str">
        <f t="shared" si="74"/>
        <v>Georgia</v>
      </c>
      <c r="C160" s="27" t="str">
        <f t="shared" si="75"/>
        <v>Worth</v>
      </c>
      <c r="D160" s="27">
        <v>2438</v>
      </c>
      <c r="E160" s="27">
        <v>2533</v>
      </c>
      <c r="F160" s="27">
        <f t="shared" si="90"/>
        <v>4971</v>
      </c>
      <c r="G160" s="27">
        <v>10</v>
      </c>
      <c r="H160" s="27">
        <v>66</v>
      </c>
      <c r="I160" s="96">
        <v>13</v>
      </c>
      <c r="J160" s="27">
        <v>8</v>
      </c>
      <c r="K160" s="27">
        <v>36</v>
      </c>
      <c r="L160" s="27">
        <f t="shared" si="76"/>
        <v>133</v>
      </c>
      <c r="M160" s="27">
        <v>130</v>
      </c>
      <c r="N160" s="27">
        <v>100</v>
      </c>
      <c r="O160" s="29">
        <f t="shared" si="91"/>
        <v>114.71333735666867</v>
      </c>
      <c r="P160" s="27">
        <v>6036</v>
      </c>
      <c r="Q160" s="7">
        <f t="shared" si="77"/>
        <v>52884.78</v>
      </c>
      <c r="R160" s="27">
        <v>4232</v>
      </c>
      <c r="S160" s="27">
        <v>80</v>
      </c>
      <c r="T160" s="27">
        <v>69.319999999999993</v>
      </c>
      <c r="U160" s="27">
        <v>157</v>
      </c>
      <c r="V160" s="27">
        <v>90</v>
      </c>
      <c r="W160" s="89">
        <f t="shared" si="78"/>
        <v>83.87752577319587</v>
      </c>
      <c r="X160" s="89">
        <f t="shared" si="89"/>
        <v>23.511111111111113</v>
      </c>
      <c r="Y160" s="97">
        <f t="shared" si="88"/>
        <v>70.471042566317095</v>
      </c>
      <c r="Z160" s="97">
        <f t="shared" si="79"/>
        <v>67.537744360902252</v>
      </c>
      <c r="AA160" s="27">
        <v>62700</v>
      </c>
      <c r="AB160" s="27">
        <v>59</v>
      </c>
      <c r="AC160" s="27">
        <v>145000</v>
      </c>
      <c r="AD160" s="27">
        <v>18000</v>
      </c>
      <c r="AE160" s="29">
        <f t="shared" si="80"/>
        <v>163000</v>
      </c>
      <c r="AF160" s="41">
        <v>1925</v>
      </c>
      <c r="AG160" s="4" t="s">
        <v>567</v>
      </c>
      <c r="AH160" s="151" t="str">
        <f t="shared" si="92"/>
        <v>https://ia800604.us.archive.org/18/items/GADeptofEd1925/GA.pdf#page=12</v>
      </c>
      <c r="AI160" s="152" t="str">
        <f t="shared" si="92"/>
        <v>https://ia800604.us.archive.org/18/items/GADeptofEd1925/GA.pdf#page=35</v>
      </c>
      <c r="AJ160" s="151" t="str">
        <f t="shared" si="92"/>
        <v>https://ia800604.us.archive.org/18/items/GADeptofEd1925/GA.pdf#page=12</v>
      </c>
      <c r="AK160" s="152" t="str">
        <f>AK159</f>
        <v>https://ia800604.us.archive.org/18/items/GADeptofEd1925/GA.pdf#page=32</v>
      </c>
      <c r="AL160" s="151" t="str">
        <f t="shared" si="92"/>
        <v>https://ia800604.us.archive.org/18/items/GADeptofEd1925/GA.pdf#page=19</v>
      </c>
      <c r="AM160" s="152" t="str">
        <f t="shared" si="92"/>
        <v>https://ia800604.us.archive.org/18/items/GADeptofEd1925/GA.pdf#page=43</v>
      </c>
      <c r="AN160" s="151" t="str">
        <f t="shared" si="82"/>
        <v>https://ia800604.us.archive.org/18/items/GADeptofEd1925/GA.pdf#page=19</v>
      </c>
      <c r="AO160" s="152" t="str">
        <f t="shared" si="93"/>
        <v>https://ia800604.us.archive.org/18/items/GADeptofEd1925/GA.pdf#page=32</v>
      </c>
      <c r="AP160" s="151" t="str">
        <f t="shared" si="93"/>
        <v>https://ia800604.us.archive.org/18/items/GADeptofEd1925/GA.pdf#page=31</v>
      </c>
      <c r="AQ160" s="152" t="str">
        <f t="shared" si="93"/>
        <v>https://ia800604.us.archive.org/18/items/GADeptofEd1925/GA.pdf#page=48</v>
      </c>
      <c r="AR160" s="151" t="str">
        <f t="shared" si="93"/>
        <v>https://ia800604.us.archive.org/18/items/GADeptofEd1925/GA.pdf#page=25</v>
      </c>
      <c r="AS160" s="152" t="str">
        <f t="shared" si="83"/>
        <v>https://ia800604.us.archive.org/18/items/GADeptofEd1925/GA.pdf#page=48</v>
      </c>
      <c r="AT160" s="151" t="str">
        <f t="shared" si="94"/>
        <v>https://ia800604.us.archive.org/18/items/GADeptofEd1925/GA.pdf#page=31</v>
      </c>
      <c r="AU160" s="152" t="str">
        <f t="shared" si="94"/>
        <v>https://ia800604.us.archive.org/18/items/GADeptofEd1925/GA.pdf#page=32</v>
      </c>
      <c r="AV160" s="151" t="str">
        <f t="shared" si="94"/>
        <v>https://ia800604.us.archive.org/18/items/GADeptofEd1925/GA.pdf#page=31</v>
      </c>
      <c r="AW160" s="152" t="str">
        <f t="shared" si="94"/>
        <v>https://ia800604.us.archive.org/18/items/GADeptofEd1925/GA.pdf#page=54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D122"/>
  <sheetViews>
    <sheetView workbookViewId="0"/>
  </sheetViews>
  <sheetFormatPr defaultColWidth="11.42578125" defaultRowHeight="15" x14ac:dyDescent="0.25"/>
  <cols>
    <col min="1" max="1" width="18" customWidth="1"/>
    <col min="8" max="8" width="11.42578125" style="27"/>
    <col min="14" max="15" width="11.42578125" style="27"/>
    <col min="22" max="22" width="11.42578125" style="27"/>
  </cols>
  <sheetData>
    <row r="1" spans="1:30" s="20" customFormat="1" ht="75" x14ac:dyDescent="0.25">
      <c r="B1" s="20" t="s">
        <v>2</v>
      </c>
      <c r="C1" s="20" t="s">
        <v>0</v>
      </c>
      <c r="D1" s="92" t="s">
        <v>1956</v>
      </c>
      <c r="E1" s="92" t="s">
        <v>372</v>
      </c>
      <c r="F1" s="83" t="s">
        <v>2360</v>
      </c>
      <c r="G1" s="94" t="s">
        <v>357</v>
      </c>
      <c r="H1" s="94" t="s">
        <v>377</v>
      </c>
      <c r="I1" s="83" t="s">
        <v>546</v>
      </c>
      <c r="J1" s="83" t="s">
        <v>2032</v>
      </c>
      <c r="K1" s="92" t="s">
        <v>358</v>
      </c>
      <c r="L1" s="93" t="s">
        <v>360</v>
      </c>
      <c r="M1" s="92" t="s">
        <v>374</v>
      </c>
      <c r="N1" s="84" t="s">
        <v>2600</v>
      </c>
      <c r="O1" s="84" t="s">
        <v>2601</v>
      </c>
      <c r="P1" s="91" t="s">
        <v>375</v>
      </c>
      <c r="Q1" s="81" t="s">
        <v>1</v>
      </c>
      <c r="R1" s="20" t="s">
        <v>1960</v>
      </c>
      <c r="S1" s="20" t="s">
        <v>1957</v>
      </c>
      <c r="T1" s="20" t="s">
        <v>1949</v>
      </c>
      <c r="U1" s="20" t="s">
        <v>1955</v>
      </c>
      <c r="V1" s="20" t="s">
        <v>2774</v>
      </c>
      <c r="W1" s="20" t="s">
        <v>2775</v>
      </c>
      <c r="X1" s="20" t="s">
        <v>1954</v>
      </c>
      <c r="Y1" s="20" t="s">
        <v>1952</v>
      </c>
      <c r="Z1" s="20" t="s">
        <v>1953</v>
      </c>
      <c r="AA1" s="20" t="s">
        <v>1948</v>
      </c>
    </row>
    <row r="2" spans="1:30" x14ac:dyDescent="0.25">
      <c r="A2" s="27" t="s">
        <v>883</v>
      </c>
      <c r="B2" s="27" t="str">
        <f t="shared" ref="B2:B65" si="0">LEFT(A2,FIND(";",A2)-1)</f>
        <v>Kentucky</v>
      </c>
      <c r="C2" s="27" t="str">
        <f t="shared" ref="C2:C65" si="1">MID(A2,FIND(";",A2)+1,100)</f>
        <v>Adair</v>
      </c>
      <c r="D2" s="96">
        <f>2465+224+235</f>
        <v>2924</v>
      </c>
      <c r="E2" s="41">
        <f>29+76+4+3</f>
        <v>112</v>
      </c>
      <c r="F2" s="127">
        <v>8</v>
      </c>
      <c r="G2" s="7">
        <f>F2*20</f>
        <v>160</v>
      </c>
      <c r="H2" s="41">
        <f>3869+360+228+52</f>
        <v>4509</v>
      </c>
      <c r="I2" s="24"/>
      <c r="J2" s="24">
        <f>37762.13+5600</f>
        <v>43362.13</v>
      </c>
      <c r="K2" s="126">
        <f t="shared" ref="K2:K33" si="2">J2/E2/(G2/20)</f>
        <v>48.395234374999994</v>
      </c>
      <c r="L2" s="2">
        <f>48064.4+7746.61</f>
        <v>55811.01</v>
      </c>
      <c r="M2" s="27">
        <f>87+10+1</f>
        <v>98</v>
      </c>
      <c r="N2" s="27">
        <v>22750</v>
      </c>
      <c r="O2" s="27">
        <v>5500</v>
      </c>
      <c r="P2" s="29">
        <f>N2+O2</f>
        <v>28250</v>
      </c>
      <c r="Q2" s="41">
        <v>1922</v>
      </c>
      <c r="R2" s="27"/>
      <c r="S2" s="27" t="s">
        <v>2576</v>
      </c>
      <c r="T2" s="27" t="s">
        <v>2580</v>
      </c>
      <c r="U2" s="27" t="str">
        <f>Z2</f>
        <v>https://babel.hathitrust.org/cgi/pt?id=njp.32101060099841;view=1up;seq=224</v>
      </c>
      <c r="V2" s="27" t="str">
        <f>S2</f>
        <v>https://babel.hathitrust.org/cgi/pt?id=njp.32101060099841;view=1up;seq=242</v>
      </c>
      <c r="W2" s="27" t="s">
        <v>2776</v>
      </c>
      <c r="X2" s="27" t="s">
        <v>2777</v>
      </c>
      <c r="Y2" s="27" t="s">
        <v>2578</v>
      </c>
      <c r="Z2" s="27" t="s">
        <v>2577</v>
      </c>
      <c r="AA2" s="27" t="s">
        <v>2602</v>
      </c>
      <c r="AB2" s="27"/>
      <c r="AC2" s="27"/>
      <c r="AD2" s="27"/>
    </row>
    <row r="3" spans="1:30" x14ac:dyDescent="0.25">
      <c r="A3" s="27" t="s">
        <v>884</v>
      </c>
      <c r="B3" s="27" t="str">
        <f t="shared" si="0"/>
        <v>Kentucky</v>
      </c>
      <c r="C3" s="27" t="str">
        <f t="shared" si="1"/>
        <v>Allen</v>
      </c>
      <c r="D3" s="96">
        <f>1964+57+413+71</f>
        <v>2505</v>
      </c>
      <c r="E3" s="41">
        <f>73+1+9+0+1+4+1</f>
        <v>89</v>
      </c>
      <c r="F3" s="41">
        <v>8</v>
      </c>
      <c r="G3" s="7">
        <f t="shared" ref="G3:G66" si="3">F3*20</f>
        <v>160</v>
      </c>
      <c r="H3" s="41">
        <f>3375+139+540+97+23+196+5</f>
        <v>4375</v>
      </c>
      <c r="I3" s="25"/>
      <c r="J3" s="25">
        <f>38612.75+14445</f>
        <v>53057.75</v>
      </c>
      <c r="K3" s="115">
        <f t="shared" si="2"/>
        <v>74.519311797752806</v>
      </c>
      <c r="L3" s="2">
        <f>56720.01+17522.88</f>
        <v>74242.89</v>
      </c>
      <c r="M3" s="27">
        <f>71+1+1+1</f>
        <v>74</v>
      </c>
      <c r="N3" s="27">
        <v>53900</v>
      </c>
      <c r="O3" s="27">
        <v>3100</v>
      </c>
      <c r="P3" s="29">
        <f t="shared" ref="P3:P66" si="4">N3+O3</f>
        <v>57000</v>
      </c>
      <c r="Q3" s="41">
        <v>1922</v>
      </c>
      <c r="R3" s="27"/>
      <c r="S3" s="27" t="str">
        <f>S2</f>
        <v>https://babel.hathitrust.org/cgi/pt?id=njp.32101060099841;view=1up;seq=242</v>
      </c>
      <c r="T3" s="27" t="str">
        <f>T2</f>
        <v>https://babel.hathitrust.org/cgi/pt?id=njp.32101060099841;view=1up;seq=180</v>
      </c>
      <c r="U3" s="27" t="str">
        <f t="shared" ref="U3:U66" si="5">Z3</f>
        <v>https://babel.hathitrust.org/cgi/pt?id=njp.32101060099841;view=1up;seq=224</v>
      </c>
      <c r="V3" s="27" t="str">
        <f t="shared" ref="V3:V66" si="6">S3</f>
        <v>https://babel.hathitrust.org/cgi/pt?id=njp.32101060099841;view=1up;seq=242</v>
      </c>
      <c r="W3" s="27" t="str">
        <f>W2</f>
        <v>https://babel.hathitrust.org/cgi/pt?id=njp.32101060099841;view=1up;seq=150</v>
      </c>
      <c r="X3" s="27" t="str">
        <f>X2</f>
        <v>https://babel.hathitrust.org/cgi/pt?id=njp.32101060099841;view=1up;seq=274</v>
      </c>
      <c r="Y3" s="27" t="str">
        <f>Y2</f>
        <v>https://babel.hathitrust.org/cgi/pt?id=njp.32101060099841;view=1up;seq=275</v>
      </c>
      <c r="Z3" s="27" t="str">
        <f>Z2</f>
        <v>https://babel.hathitrust.org/cgi/pt?id=njp.32101060099841;view=1up;seq=224</v>
      </c>
      <c r="AA3" s="27" t="str">
        <f>AA2</f>
        <v>https://babel.hathitrust.org/cgi/pt?id=njp.32101060099833;view=1up;seq=584</v>
      </c>
      <c r="AB3" s="27"/>
      <c r="AC3" s="27"/>
      <c r="AD3" s="27"/>
    </row>
    <row r="4" spans="1:30" x14ac:dyDescent="0.25">
      <c r="A4" s="27" t="s">
        <v>885</v>
      </c>
      <c r="B4" s="27" t="str">
        <f t="shared" si="0"/>
        <v>Kentucky</v>
      </c>
      <c r="C4" s="27" t="str">
        <f t="shared" si="1"/>
        <v>Anderson</v>
      </c>
      <c r="D4" s="96">
        <f>1300+31+389+72+59</f>
        <v>1851</v>
      </c>
      <c r="E4" s="41">
        <f>46+11+1+2+0+0+5+1+4</f>
        <v>70</v>
      </c>
      <c r="F4" s="41">
        <v>9</v>
      </c>
      <c r="G4" s="7">
        <f t="shared" si="3"/>
        <v>180</v>
      </c>
      <c r="H4" s="41">
        <f>1588+55+354+91+64+85+128+6+81</f>
        <v>2452</v>
      </c>
      <c r="I4" s="25"/>
      <c r="J4" s="25">
        <f>25788.91+14225+1140+2690</f>
        <v>43843.91</v>
      </c>
      <c r="K4" s="115">
        <f t="shared" si="2"/>
        <v>69.593507936507933</v>
      </c>
      <c r="L4" s="2">
        <f>34732.41+16409.52+210.61+3125.25</f>
        <v>54477.790000000008</v>
      </c>
      <c r="M4" s="27">
        <f>36+5+2+1+1</f>
        <v>45</v>
      </c>
      <c r="N4" s="27">
        <v>28000</v>
      </c>
      <c r="O4" s="27">
        <v>4200</v>
      </c>
      <c r="P4" s="29">
        <f t="shared" si="4"/>
        <v>32200</v>
      </c>
      <c r="Q4" s="41">
        <v>1922</v>
      </c>
      <c r="R4" s="27"/>
      <c r="S4" s="27" t="str">
        <f t="shared" ref="S4:T19" si="7">S3</f>
        <v>https://babel.hathitrust.org/cgi/pt?id=njp.32101060099841;view=1up;seq=242</v>
      </c>
      <c r="T4" s="27" t="str">
        <f t="shared" si="7"/>
        <v>https://babel.hathitrust.org/cgi/pt?id=njp.32101060099841;view=1up;seq=180</v>
      </c>
      <c r="U4" s="27" t="str">
        <f t="shared" si="5"/>
        <v>https://babel.hathitrust.org/cgi/pt?id=njp.32101060099841;view=1up;seq=224</v>
      </c>
      <c r="V4" s="27" t="str">
        <f t="shared" si="6"/>
        <v>https://babel.hathitrust.org/cgi/pt?id=njp.32101060099841;view=1up;seq=242</v>
      </c>
      <c r="W4" s="27" t="str">
        <f t="shared" ref="W4:W67" si="8">W3</f>
        <v>https://babel.hathitrust.org/cgi/pt?id=njp.32101060099841;view=1up;seq=150</v>
      </c>
      <c r="X4" s="27" t="str">
        <f t="shared" ref="X4:AA19" si="9">X3</f>
        <v>https://babel.hathitrust.org/cgi/pt?id=njp.32101060099841;view=1up;seq=274</v>
      </c>
      <c r="Y4" s="27" t="str">
        <f t="shared" si="9"/>
        <v>https://babel.hathitrust.org/cgi/pt?id=njp.32101060099841;view=1up;seq=275</v>
      </c>
      <c r="Z4" s="27" t="str">
        <f t="shared" si="9"/>
        <v>https://babel.hathitrust.org/cgi/pt?id=njp.32101060099841;view=1up;seq=224</v>
      </c>
      <c r="AA4" s="27" t="str">
        <f t="shared" si="9"/>
        <v>https://babel.hathitrust.org/cgi/pt?id=njp.32101060099833;view=1up;seq=584</v>
      </c>
      <c r="AB4" s="27"/>
      <c r="AC4" s="27"/>
      <c r="AD4" s="27"/>
    </row>
    <row r="5" spans="1:30" x14ac:dyDescent="0.25">
      <c r="A5" s="27" t="s">
        <v>886</v>
      </c>
      <c r="B5" s="27" t="str">
        <f t="shared" si="0"/>
        <v>Kentucky</v>
      </c>
      <c r="C5" s="27" t="str">
        <f t="shared" si="1"/>
        <v>Ballard</v>
      </c>
      <c r="D5" s="96">
        <f>2579+308</f>
        <v>2887</v>
      </c>
      <c r="E5" s="41">
        <f>78+0+4+2+4+2+2+2+3</f>
        <v>97</v>
      </c>
      <c r="F5" s="41">
        <v>7</v>
      </c>
      <c r="G5" s="7">
        <f t="shared" si="3"/>
        <v>140</v>
      </c>
      <c r="H5" s="41">
        <f>2862+430+94+63+78+16+43+19+67</f>
        <v>3672</v>
      </c>
      <c r="I5" s="25"/>
      <c r="J5" s="25">
        <v>57893.72</v>
      </c>
      <c r="K5" s="115">
        <f t="shared" si="2"/>
        <v>85.263210603829165</v>
      </c>
      <c r="L5" s="2">
        <v>124186.47</v>
      </c>
      <c r="M5" s="27">
        <f>34+11</f>
        <v>45</v>
      </c>
      <c r="N5" s="27">
        <v>89485</v>
      </c>
      <c r="O5" s="27">
        <v>10900</v>
      </c>
      <c r="P5" s="29">
        <f t="shared" si="4"/>
        <v>100385</v>
      </c>
      <c r="Q5" s="41">
        <v>1922</v>
      </c>
      <c r="R5" s="27"/>
      <c r="S5" s="27" t="str">
        <f t="shared" si="7"/>
        <v>https://babel.hathitrust.org/cgi/pt?id=njp.32101060099841;view=1up;seq=242</v>
      </c>
      <c r="T5" s="27" t="str">
        <f t="shared" si="7"/>
        <v>https://babel.hathitrust.org/cgi/pt?id=njp.32101060099841;view=1up;seq=180</v>
      </c>
      <c r="U5" s="27" t="str">
        <f t="shared" si="5"/>
        <v>https://babel.hathitrust.org/cgi/pt?id=njp.32101060099841;view=1up;seq=224</v>
      </c>
      <c r="V5" s="27" t="str">
        <f t="shared" si="6"/>
        <v>https://babel.hathitrust.org/cgi/pt?id=njp.32101060099841;view=1up;seq=242</v>
      </c>
      <c r="W5" s="27" t="str">
        <f t="shared" si="8"/>
        <v>https://babel.hathitrust.org/cgi/pt?id=njp.32101060099841;view=1up;seq=150</v>
      </c>
      <c r="X5" s="27" t="str">
        <f t="shared" si="9"/>
        <v>https://babel.hathitrust.org/cgi/pt?id=njp.32101060099841;view=1up;seq=274</v>
      </c>
      <c r="Y5" s="27" t="str">
        <f t="shared" si="9"/>
        <v>https://babel.hathitrust.org/cgi/pt?id=njp.32101060099841;view=1up;seq=275</v>
      </c>
      <c r="Z5" s="27" t="str">
        <f t="shared" si="9"/>
        <v>https://babel.hathitrust.org/cgi/pt?id=njp.32101060099841;view=1up;seq=224</v>
      </c>
      <c r="AA5" s="27" t="str">
        <f t="shared" si="9"/>
        <v>https://babel.hathitrust.org/cgi/pt?id=njp.32101060099833;view=1up;seq=584</v>
      </c>
      <c r="AB5" s="27"/>
      <c r="AC5" s="27"/>
      <c r="AD5" s="27"/>
    </row>
    <row r="6" spans="1:30" x14ac:dyDescent="0.25">
      <c r="A6" s="27" t="s">
        <v>887</v>
      </c>
      <c r="B6" s="27" t="str">
        <f t="shared" si="0"/>
        <v>Kentucky</v>
      </c>
      <c r="C6" s="27" t="str">
        <f t="shared" si="1"/>
        <v>Barren</v>
      </c>
      <c r="D6" s="96">
        <f>2497+420+208+863+70+117</f>
        <v>4175</v>
      </c>
      <c r="E6" s="41">
        <f>113+4+12+2+2+0+3+5+1+2</f>
        <v>144</v>
      </c>
      <c r="F6" s="41">
        <v>8</v>
      </c>
      <c r="G6" s="7">
        <f t="shared" si="3"/>
        <v>160</v>
      </c>
      <c r="H6" s="41">
        <f>4540+873+193+765+58+89+75+120+8+30</f>
        <v>6751</v>
      </c>
      <c r="I6" s="25"/>
      <c r="J6" s="25">
        <f>57295.2+4616.4+15732+2040+2583</f>
        <v>82266.600000000006</v>
      </c>
      <c r="K6" s="115">
        <f t="shared" si="2"/>
        <v>71.411979166666669</v>
      </c>
      <c r="L6" s="2">
        <f>81423.13+15461.7+24506.52+2371.95+2947.81</f>
        <v>126711.11</v>
      </c>
      <c r="M6" s="27">
        <f>104+3+1+1+1+1</f>
        <v>111</v>
      </c>
      <c r="N6" s="27">
        <v>135000</v>
      </c>
      <c r="O6" s="27">
        <v>14850</v>
      </c>
      <c r="P6" s="29">
        <f t="shared" si="4"/>
        <v>149850</v>
      </c>
      <c r="Q6" s="41">
        <v>1922</v>
      </c>
      <c r="R6" s="27"/>
      <c r="S6" s="27" t="str">
        <f t="shared" si="7"/>
        <v>https://babel.hathitrust.org/cgi/pt?id=njp.32101060099841;view=1up;seq=242</v>
      </c>
      <c r="T6" s="27" t="str">
        <f t="shared" si="7"/>
        <v>https://babel.hathitrust.org/cgi/pt?id=njp.32101060099841;view=1up;seq=180</v>
      </c>
      <c r="U6" s="27" t="str">
        <f t="shared" si="5"/>
        <v>https://babel.hathitrust.org/cgi/pt?id=njp.32101060099841;view=1up;seq=224</v>
      </c>
      <c r="V6" s="27" t="str">
        <f t="shared" si="6"/>
        <v>https://babel.hathitrust.org/cgi/pt?id=njp.32101060099841;view=1up;seq=242</v>
      </c>
      <c r="W6" s="27" t="str">
        <f t="shared" si="8"/>
        <v>https://babel.hathitrust.org/cgi/pt?id=njp.32101060099841;view=1up;seq=150</v>
      </c>
      <c r="X6" s="27" t="str">
        <f t="shared" si="9"/>
        <v>https://babel.hathitrust.org/cgi/pt?id=njp.32101060099841;view=1up;seq=274</v>
      </c>
      <c r="Y6" s="27" t="str">
        <f t="shared" si="9"/>
        <v>https://babel.hathitrust.org/cgi/pt?id=njp.32101060099841;view=1up;seq=275</v>
      </c>
      <c r="Z6" s="27" t="str">
        <f t="shared" si="9"/>
        <v>https://babel.hathitrust.org/cgi/pt?id=njp.32101060099841;view=1up;seq=224</v>
      </c>
      <c r="AA6" s="27" t="str">
        <f t="shared" si="9"/>
        <v>https://babel.hathitrust.org/cgi/pt?id=njp.32101060099833;view=1up;seq=584</v>
      </c>
      <c r="AB6" s="27"/>
      <c r="AC6" s="27"/>
      <c r="AD6" s="27"/>
    </row>
    <row r="7" spans="1:30" x14ac:dyDescent="0.25">
      <c r="A7" s="27" t="s">
        <v>888</v>
      </c>
      <c r="B7" s="27" t="str">
        <f t="shared" si="0"/>
        <v>Kentucky</v>
      </c>
      <c r="C7" s="27" t="str">
        <f t="shared" si="1"/>
        <v>Bath</v>
      </c>
      <c r="D7" s="96">
        <f>1769+191+83+220+160+128</f>
        <v>2551</v>
      </c>
      <c r="E7" s="41">
        <f>58+3+5+3+4+0+2+3+2+2</f>
        <v>82</v>
      </c>
      <c r="F7" s="41">
        <v>9</v>
      </c>
      <c r="G7" s="7">
        <f t="shared" si="3"/>
        <v>180</v>
      </c>
      <c r="H7" s="41">
        <f>2354+263+97+214+180+161+21+80+31+22</f>
        <v>3423</v>
      </c>
      <c r="I7" s="25"/>
      <c r="J7" s="25">
        <f>30663+3510+7725+3825+5885</f>
        <v>51608</v>
      </c>
      <c r="K7" s="115">
        <f t="shared" si="2"/>
        <v>69.929539295392956</v>
      </c>
      <c r="L7" s="2">
        <f>52029.79+7543.28+14032.61+4518.74+8637.9</f>
        <v>86762.319999999992</v>
      </c>
      <c r="M7" s="27">
        <f>46+6+1+1+1+1</f>
        <v>56</v>
      </c>
      <c r="N7" s="27">
        <v>81610</v>
      </c>
      <c r="O7" s="27">
        <v>8120</v>
      </c>
      <c r="P7" s="29">
        <f t="shared" si="4"/>
        <v>89730</v>
      </c>
      <c r="Q7" s="41">
        <v>1922</v>
      </c>
      <c r="R7" s="27"/>
      <c r="S7" s="27" t="str">
        <f t="shared" si="7"/>
        <v>https://babel.hathitrust.org/cgi/pt?id=njp.32101060099841;view=1up;seq=242</v>
      </c>
      <c r="T7" s="27" t="str">
        <f t="shared" si="7"/>
        <v>https://babel.hathitrust.org/cgi/pt?id=njp.32101060099841;view=1up;seq=180</v>
      </c>
      <c r="U7" s="27" t="str">
        <f t="shared" si="5"/>
        <v>https://babel.hathitrust.org/cgi/pt?id=njp.32101060099841;view=1up;seq=224</v>
      </c>
      <c r="V7" s="27" t="str">
        <f t="shared" si="6"/>
        <v>https://babel.hathitrust.org/cgi/pt?id=njp.32101060099841;view=1up;seq=242</v>
      </c>
      <c r="W7" s="27" t="str">
        <f t="shared" si="8"/>
        <v>https://babel.hathitrust.org/cgi/pt?id=njp.32101060099841;view=1up;seq=150</v>
      </c>
      <c r="X7" s="27" t="str">
        <f t="shared" si="9"/>
        <v>https://babel.hathitrust.org/cgi/pt?id=njp.32101060099841;view=1up;seq=274</v>
      </c>
      <c r="Y7" s="27" t="str">
        <f t="shared" si="9"/>
        <v>https://babel.hathitrust.org/cgi/pt?id=njp.32101060099841;view=1up;seq=275</v>
      </c>
      <c r="Z7" s="27" t="str">
        <f t="shared" si="9"/>
        <v>https://babel.hathitrust.org/cgi/pt?id=njp.32101060099841;view=1up;seq=224</v>
      </c>
      <c r="AA7" s="27" t="str">
        <f t="shared" si="9"/>
        <v>https://babel.hathitrust.org/cgi/pt?id=njp.32101060099833;view=1up;seq=584</v>
      </c>
      <c r="AB7" s="27"/>
      <c r="AC7" s="27"/>
      <c r="AD7" s="27"/>
    </row>
    <row r="8" spans="1:30" x14ac:dyDescent="0.25">
      <c r="A8" s="27" t="s">
        <v>889</v>
      </c>
      <c r="B8" s="27" t="str">
        <f t="shared" si="0"/>
        <v>Kentucky</v>
      </c>
      <c r="C8" s="27" t="str">
        <f t="shared" si="1"/>
        <v>Bell</v>
      </c>
      <c r="D8" s="96">
        <f>5132+255+1507+188+613+98+131+156+167+235</f>
        <v>8482</v>
      </c>
      <c r="E8" s="41">
        <f>133+35+15+2+3+5+0+0+0+0+8+5+1</f>
        <v>207</v>
      </c>
      <c r="F8" s="41">
        <v>9</v>
      </c>
      <c r="G8" s="7">
        <f t="shared" si="3"/>
        <v>180</v>
      </c>
      <c r="H8" s="41">
        <f>5318+252+1656+240+796+81+106+241+170+354+184+121+34</f>
        <v>9553</v>
      </c>
      <c r="I8" s="25"/>
      <c r="J8" s="25">
        <f>55087.03+32604.9+21774.22+2080+2799+2106+5905.5</f>
        <v>122356.65</v>
      </c>
      <c r="K8" s="115">
        <f t="shared" si="2"/>
        <v>65.677214170692423</v>
      </c>
      <c r="L8" s="2">
        <f>73607.33+55475.29+43366.69+2240.18+2988.5+3442.05+6844.67</f>
        <v>187964.71</v>
      </c>
      <c r="M8" s="27">
        <f>64+15+2+2+1+1+1+1</f>
        <v>87</v>
      </c>
      <c r="N8" s="27">
        <v>57800</v>
      </c>
      <c r="O8" s="27">
        <v>13800</v>
      </c>
      <c r="P8" s="29">
        <f t="shared" si="4"/>
        <v>71600</v>
      </c>
      <c r="Q8" s="41">
        <v>1922</v>
      </c>
      <c r="R8" s="27"/>
      <c r="S8" s="27" t="str">
        <f t="shared" si="7"/>
        <v>https://babel.hathitrust.org/cgi/pt?id=njp.32101060099841;view=1up;seq=242</v>
      </c>
      <c r="T8" s="27" t="str">
        <f t="shared" si="7"/>
        <v>https://babel.hathitrust.org/cgi/pt?id=njp.32101060099841;view=1up;seq=180</v>
      </c>
      <c r="U8" s="27" t="str">
        <f t="shared" si="5"/>
        <v>https://babel.hathitrust.org/cgi/pt?id=njp.32101060099841;view=1up;seq=224</v>
      </c>
      <c r="V8" s="27" t="str">
        <f t="shared" si="6"/>
        <v>https://babel.hathitrust.org/cgi/pt?id=njp.32101060099841;view=1up;seq=242</v>
      </c>
      <c r="W8" s="27" t="str">
        <f t="shared" si="8"/>
        <v>https://babel.hathitrust.org/cgi/pt?id=njp.32101060099841;view=1up;seq=150</v>
      </c>
      <c r="X8" s="27" t="str">
        <f t="shared" si="9"/>
        <v>https://babel.hathitrust.org/cgi/pt?id=njp.32101060099841;view=1up;seq=274</v>
      </c>
      <c r="Y8" s="27" t="str">
        <f t="shared" si="9"/>
        <v>https://babel.hathitrust.org/cgi/pt?id=njp.32101060099841;view=1up;seq=275</v>
      </c>
      <c r="Z8" s="27" t="str">
        <f t="shared" si="9"/>
        <v>https://babel.hathitrust.org/cgi/pt?id=njp.32101060099841;view=1up;seq=224</v>
      </c>
      <c r="AA8" s="27" t="str">
        <f t="shared" si="9"/>
        <v>https://babel.hathitrust.org/cgi/pt?id=njp.32101060099833;view=1up;seq=584</v>
      </c>
      <c r="AB8" s="27"/>
      <c r="AC8" s="27"/>
      <c r="AD8" s="27"/>
    </row>
    <row r="9" spans="1:30" x14ac:dyDescent="0.25">
      <c r="A9" s="27" t="s">
        <v>890</v>
      </c>
      <c r="B9" s="27" t="str">
        <f t="shared" si="0"/>
        <v>Kentucky</v>
      </c>
      <c r="C9" s="27" t="str">
        <f t="shared" si="1"/>
        <v>Boone</v>
      </c>
      <c r="D9" s="96">
        <f>779+63+71+105+150+76+123+169</f>
        <v>1536</v>
      </c>
      <c r="E9" s="41">
        <f>57+2+3+3+2+4+4+0+3+3+1+2+2+3</f>
        <v>89</v>
      </c>
      <c r="F9" s="41">
        <v>8</v>
      </c>
      <c r="G9" s="7">
        <f t="shared" si="3"/>
        <v>160</v>
      </c>
      <c r="H9" s="41">
        <f>1132+73+60+124+144+84+117+135+22+31+31+16+28+3+22+40+52</f>
        <v>2114</v>
      </c>
      <c r="I9" s="25"/>
      <c r="J9" s="25">
        <f>30473.11+2080+4081.5+3225+3250+3324.46+7019.99</f>
        <v>53454.06</v>
      </c>
      <c r="K9" s="115">
        <f t="shared" si="2"/>
        <v>75.07592696629213</v>
      </c>
      <c r="L9" s="2">
        <f>42211.26+2720.34+5521.56+6262.59+5434.34+5641.57+10849.87</f>
        <v>78641.53</v>
      </c>
      <c r="M9" s="27">
        <f>29+11+1+1+1+1+1+1</f>
        <v>46</v>
      </c>
      <c r="N9" s="27">
        <v>56300</v>
      </c>
      <c r="O9" s="27">
        <v>6900</v>
      </c>
      <c r="P9" s="29">
        <f t="shared" si="4"/>
        <v>63200</v>
      </c>
      <c r="Q9" s="41">
        <v>1922</v>
      </c>
      <c r="R9" s="27"/>
      <c r="S9" s="27" t="str">
        <f t="shared" si="7"/>
        <v>https://babel.hathitrust.org/cgi/pt?id=njp.32101060099841;view=1up;seq=242</v>
      </c>
      <c r="T9" s="27" t="str">
        <f t="shared" si="7"/>
        <v>https://babel.hathitrust.org/cgi/pt?id=njp.32101060099841;view=1up;seq=180</v>
      </c>
      <c r="U9" s="27" t="str">
        <f t="shared" si="5"/>
        <v>https://babel.hathitrust.org/cgi/pt?id=njp.32101060099841;view=1up;seq=224</v>
      </c>
      <c r="V9" s="27" t="str">
        <f t="shared" si="6"/>
        <v>https://babel.hathitrust.org/cgi/pt?id=njp.32101060099841;view=1up;seq=242</v>
      </c>
      <c r="W9" s="27" t="str">
        <f t="shared" si="8"/>
        <v>https://babel.hathitrust.org/cgi/pt?id=njp.32101060099841;view=1up;seq=150</v>
      </c>
      <c r="X9" s="27" t="str">
        <f t="shared" si="9"/>
        <v>https://babel.hathitrust.org/cgi/pt?id=njp.32101060099841;view=1up;seq=274</v>
      </c>
      <c r="Y9" s="27" t="str">
        <f t="shared" si="9"/>
        <v>https://babel.hathitrust.org/cgi/pt?id=njp.32101060099841;view=1up;seq=275</v>
      </c>
      <c r="Z9" s="27" t="str">
        <f t="shared" si="9"/>
        <v>https://babel.hathitrust.org/cgi/pt?id=njp.32101060099841;view=1up;seq=224</v>
      </c>
      <c r="AA9" s="27" t="str">
        <f t="shared" si="9"/>
        <v>https://babel.hathitrust.org/cgi/pt?id=njp.32101060099833;view=1up;seq=584</v>
      </c>
      <c r="AB9" s="27"/>
      <c r="AC9" s="27"/>
      <c r="AD9" s="27"/>
    </row>
    <row r="10" spans="1:30" x14ac:dyDescent="0.25">
      <c r="A10" s="27" t="s">
        <v>891</v>
      </c>
      <c r="B10" s="27" t="str">
        <f t="shared" si="0"/>
        <v>Kentucky</v>
      </c>
      <c r="C10" s="27" t="str">
        <f t="shared" si="1"/>
        <v>Bourbon</v>
      </c>
      <c r="D10" s="96">
        <f>1375+525+1002+621+102+167</f>
        <v>3792</v>
      </c>
      <c r="E10" s="41">
        <f>50+2+26+2+7+0+4+2+3+4+18+4+1</f>
        <v>123</v>
      </c>
      <c r="F10" s="41">
        <v>9</v>
      </c>
      <c r="G10" s="7">
        <f t="shared" si="3"/>
        <v>180</v>
      </c>
      <c r="H10" s="41">
        <f>1454+577+776+431+103+189+66+21+26+33+340+20+5+106</f>
        <v>4147</v>
      </c>
      <c r="I10" s="25"/>
      <c r="J10" s="25">
        <f>59266+44461.58+4642.5+7892</f>
        <v>116262.08</v>
      </c>
      <c r="K10" s="115">
        <f t="shared" si="2"/>
        <v>105.02446251129179</v>
      </c>
      <c r="L10" s="2">
        <f>106448.51+80337.42+5769.56+9733.46</f>
        <v>202288.94999999998</v>
      </c>
      <c r="M10" s="27">
        <f>27+7+2+1+1</f>
        <v>38</v>
      </c>
      <c r="N10" s="27">
        <v>67500</v>
      </c>
      <c r="O10" s="27">
        <v>8400</v>
      </c>
      <c r="P10" s="29">
        <f t="shared" si="4"/>
        <v>75900</v>
      </c>
      <c r="Q10" s="41">
        <v>1922</v>
      </c>
      <c r="R10" s="27"/>
      <c r="S10" s="27" t="str">
        <f t="shared" si="7"/>
        <v>https://babel.hathitrust.org/cgi/pt?id=njp.32101060099841;view=1up;seq=242</v>
      </c>
      <c r="T10" s="27" t="str">
        <f t="shared" si="7"/>
        <v>https://babel.hathitrust.org/cgi/pt?id=njp.32101060099841;view=1up;seq=180</v>
      </c>
      <c r="U10" s="27" t="str">
        <f t="shared" si="5"/>
        <v>https://babel.hathitrust.org/cgi/pt?id=njp.32101060099841;view=1up;seq=224</v>
      </c>
      <c r="V10" s="27" t="str">
        <f t="shared" si="6"/>
        <v>https://babel.hathitrust.org/cgi/pt?id=njp.32101060099841;view=1up;seq=242</v>
      </c>
      <c r="W10" s="27" t="str">
        <f t="shared" si="8"/>
        <v>https://babel.hathitrust.org/cgi/pt?id=njp.32101060099841;view=1up;seq=150</v>
      </c>
      <c r="X10" s="27" t="str">
        <f t="shared" si="9"/>
        <v>https://babel.hathitrust.org/cgi/pt?id=njp.32101060099841;view=1up;seq=274</v>
      </c>
      <c r="Y10" s="27" t="str">
        <f t="shared" si="9"/>
        <v>https://babel.hathitrust.org/cgi/pt?id=njp.32101060099841;view=1up;seq=275</v>
      </c>
      <c r="Z10" s="27" t="str">
        <f t="shared" si="9"/>
        <v>https://babel.hathitrust.org/cgi/pt?id=njp.32101060099841;view=1up;seq=224</v>
      </c>
      <c r="AA10" s="27" t="str">
        <f t="shared" si="9"/>
        <v>https://babel.hathitrust.org/cgi/pt?id=njp.32101060099833;view=1up;seq=584</v>
      </c>
      <c r="AB10" s="27"/>
      <c r="AC10" s="27"/>
      <c r="AD10" s="27"/>
    </row>
    <row r="11" spans="1:30" x14ac:dyDescent="0.25">
      <c r="A11" s="27" t="s">
        <v>892</v>
      </c>
      <c r="B11" s="27" t="str">
        <f t="shared" si="0"/>
        <v>Kentucky</v>
      </c>
      <c r="C11" s="27" t="str">
        <f t="shared" si="1"/>
        <v>Boyd</v>
      </c>
      <c r="D11" s="96">
        <f>1297+3625+84+906+26+156</f>
        <v>6094</v>
      </c>
      <c r="E11" s="41">
        <f>35+90+20+4+0+0+0+28+6+1</f>
        <v>184</v>
      </c>
      <c r="F11" s="41">
        <v>9</v>
      </c>
      <c r="G11" s="7">
        <f t="shared" si="3"/>
        <v>180</v>
      </c>
      <c r="H11" s="41">
        <f>1788+3707+99+1023+28+231+582+142+9</f>
        <v>7609</v>
      </c>
      <c r="I11" s="25"/>
      <c r="J11" s="25">
        <f>16155.5+126505+23263.1+2604.99</f>
        <v>168528.59</v>
      </c>
      <c r="K11" s="115">
        <f t="shared" si="2"/>
        <v>101.76847222222221</v>
      </c>
      <c r="L11" s="2">
        <f>34071.17+224971.64+71416.84+3198.27</f>
        <v>333657.92000000004</v>
      </c>
      <c r="M11" s="27">
        <f>31+2+1+1+1</f>
        <v>36</v>
      </c>
      <c r="N11" s="27">
        <v>53400</v>
      </c>
      <c r="O11" s="27">
        <v>10200</v>
      </c>
      <c r="P11" s="29">
        <f t="shared" si="4"/>
        <v>63600</v>
      </c>
      <c r="Q11" s="41">
        <v>1922</v>
      </c>
      <c r="R11" s="27"/>
      <c r="S11" s="27" t="str">
        <f t="shared" si="7"/>
        <v>https://babel.hathitrust.org/cgi/pt?id=njp.32101060099841;view=1up;seq=242</v>
      </c>
      <c r="T11" s="27" t="str">
        <f t="shared" si="7"/>
        <v>https://babel.hathitrust.org/cgi/pt?id=njp.32101060099841;view=1up;seq=180</v>
      </c>
      <c r="U11" s="27" t="str">
        <f t="shared" si="5"/>
        <v>https://babel.hathitrust.org/cgi/pt?id=njp.32101060099841;view=1up;seq=224</v>
      </c>
      <c r="V11" s="27" t="str">
        <f t="shared" si="6"/>
        <v>https://babel.hathitrust.org/cgi/pt?id=njp.32101060099841;view=1up;seq=242</v>
      </c>
      <c r="W11" s="27" t="str">
        <f t="shared" si="8"/>
        <v>https://babel.hathitrust.org/cgi/pt?id=njp.32101060099841;view=1up;seq=150</v>
      </c>
      <c r="X11" s="27" t="str">
        <f t="shared" si="9"/>
        <v>https://babel.hathitrust.org/cgi/pt?id=njp.32101060099841;view=1up;seq=274</v>
      </c>
      <c r="Y11" s="27" t="str">
        <f t="shared" si="9"/>
        <v>https://babel.hathitrust.org/cgi/pt?id=njp.32101060099841;view=1up;seq=275</v>
      </c>
      <c r="Z11" s="27" t="str">
        <f t="shared" si="9"/>
        <v>https://babel.hathitrust.org/cgi/pt?id=njp.32101060099841;view=1up;seq=224</v>
      </c>
      <c r="AA11" s="27" t="str">
        <f t="shared" si="9"/>
        <v>https://babel.hathitrust.org/cgi/pt?id=njp.32101060099833;view=1up;seq=584</v>
      </c>
      <c r="AB11" s="27"/>
      <c r="AC11" s="27"/>
      <c r="AD11" s="27"/>
    </row>
    <row r="12" spans="1:30" x14ac:dyDescent="0.25">
      <c r="A12" s="27" t="s">
        <v>893</v>
      </c>
      <c r="B12" s="27" t="str">
        <f t="shared" si="0"/>
        <v>Kentucky</v>
      </c>
      <c r="C12" s="27" t="str">
        <f t="shared" si="1"/>
        <v>Boyle</v>
      </c>
      <c r="D12" s="96">
        <f>11359+252+840+298</f>
        <v>12749</v>
      </c>
      <c r="E12" s="41">
        <f>49+28+0+0+6+3+3+5</f>
        <v>94</v>
      </c>
      <c r="F12" s="41">
        <v>8</v>
      </c>
      <c r="G12" s="7">
        <f t="shared" si="3"/>
        <v>160</v>
      </c>
      <c r="H12" s="41">
        <f>1787+355+31+392+163+47+22+51+14+33</f>
        <v>2895</v>
      </c>
      <c r="I12" s="25"/>
      <c r="J12" s="25">
        <f>35882.64+34476.75</f>
        <v>70359.39</v>
      </c>
      <c r="K12" s="115">
        <f t="shared" si="2"/>
        <v>93.563018617021271</v>
      </c>
      <c r="L12" s="2">
        <f>71756.91+51996.81</f>
        <v>123753.72</v>
      </c>
      <c r="M12" s="27">
        <f>31+6+1+1</f>
        <v>39</v>
      </c>
      <c r="N12" s="27">
        <v>140000</v>
      </c>
      <c r="O12" s="27">
        <v>14000</v>
      </c>
      <c r="P12" s="29">
        <f t="shared" si="4"/>
        <v>154000</v>
      </c>
      <c r="Q12" s="41">
        <v>1922</v>
      </c>
      <c r="R12" s="27"/>
      <c r="S12" s="27" t="str">
        <f t="shared" si="7"/>
        <v>https://babel.hathitrust.org/cgi/pt?id=njp.32101060099841;view=1up;seq=242</v>
      </c>
      <c r="T12" s="27" t="str">
        <f t="shared" si="7"/>
        <v>https://babel.hathitrust.org/cgi/pt?id=njp.32101060099841;view=1up;seq=180</v>
      </c>
      <c r="U12" s="27" t="str">
        <f t="shared" si="5"/>
        <v>https://babel.hathitrust.org/cgi/pt?id=njp.32101060099841;view=1up;seq=224</v>
      </c>
      <c r="V12" s="27" t="str">
        <f t="shared" si="6"/>
        <v>https://babel.hathitrust.org/cgi/pt?id=njp.32101060099841;view=1up;seq=242</v>
      </c>
      <c r="W12" s="27" t="str">
        <f t="shared" si="8"/>
        <v>https://babel.hathitrust.org/cgi/pt?id=njp.32101060099841;view=1up;seq=150</v>
      </c>
      <c r="X12" s="27" t="str">
        <f t="shared" si="9"/>
        <v>https://babel.hathitrust.org/cgi/pt?id=njp.32101060099841;view=1up;seq=274</v>
      </c>
      <c r="Y12" s="27" t="str">
        <f t="shared" si="9"/>
        <v>https://babel.hathitrust.org/cgi/pt?id=njp.32101060099841;view=1up;seq=275</v>
      </c>
      <c r="Z12" s="27" t="str">
        <f t="shared" si="9"/>
        <v>https://babel.hathitrust.org/cgi/pt?id=njp.32101060099841;view=1up;seq=224</v>
      </c>
      <c r="AA12" s="27" t="str">
        <f t="shared" si="9"/>
        <v>https://babel.hathitrust.org/cgi/pt?id=njp.32101060099833;view=1up;seq=584</v>
      </c>
      <c r="AB12" s="27"/>
      <c r="AC12" s="27"/>
      <c r="AD12" s="27"/>
    </row>
    <row r="13" spans="1:30" x14ac:dyDescent="0.25">
      <c r="A13" s="27" t="s">
        <v>894</v>
      </c>
      <c r="B13" s="27" t="str">
        <f t="shared" si="0"/>
        <v>Kentucky</v>
      </c>
      <c r="C13" s="27" t="str">
        <f t="shared" si="1"/>
        <v>Bracken</v>
      </c>
      <c r="D13" s="96">
        <f>910+44+293+160+106</f>
        <v>1513</v>
      </c>
      <c r="E13" s="41">
        <f>42+6+4+3+0+4+4+2</f>
        <v>65</v>
      </c>
      <c r="F13" s="41">
        <v>8</v>
      </c>
      <c r="G13" s="7">
        <f t="shared" si="3"/>
        <v>160</v>
      </c>
      <c r="H13" s="41">
        <f>1573+63+165+132+97+76+69+36</f>
        <v>2211</v>
      </c>
      <c r="I13" s="25"/>
      <c r="J13" s="25">
        <f>26126.49+8289.99+6894+4140</f>
        <v>45450.48</v>
      </c>
      <c r="K13" s="115">
        <f t="shared" si="2"/>
        <v>87.404769230769233</v>
      </c>
      <c r="L13" s="2">
        <f>40200.14+12929.05+8790.1+7829.94</f>
        <v>69749.23</v>
      </c>
      <c r="M13" s="27">
        <f>38+3+1+1+1</f>
        <v>44</v>
      </c>
      <c r="N13" s="27">
        <v>72000</v>
      </c>
      <c r="O13" s="27">
        <v>15200</v>
      </c>
      <c r="P13" s="29">
        <f t="shared" si="4"/>
        <v>87200</v>
      </c>
      <c r="Q13" s="41">
        <v>1922</v>
      </c>
      <c r="R13" s="27"/>
      <c r="S13" s="27" t="str">
        <f t="shared" si="7"/>
        <v>https://babel.hathitrust.org/cgi/pt?id=njp.32101060099841;view=1up;seq=242</v>
      </c>
      <c r="T13" s="27" t="str">
        <f t="shared" si="7"/>
        <v>https://babel.hathitrust.org/cgi/pt?id=njp.32101060099841;view=1up;seq=180</v>
      </c>
      <c r="U13" s="27" t="str">
        <f t="shared" si="5"/>
        <v>https://babel.hathitrust.org/cgi/pt?id=njp.32101060099841;view=1up;seq=224</v>
      </c>
      <c r="V13" s="27" t="str">
        <f t="shared" si="6"/>
        <v>https://babel.hathitrust.org/cgi/pt?id=njp.32101060099841;view=1up;seq=242</v>
      </c>
      <c r="W13" s="27" t="str">
        <f t="shared" si="8"/>
        <v>https://babel.hathitrust.org/cgi/pt?id=njp.32101060099841;view=1up;seq=150</v>
      </c>
      <c r="X13" s="27" t="str">
        <f t="shared" si="9"/>
        <v>https://babel.hathitrust.org/cgi/pt?id=njp.32101060099841;view=1up;seq=274</v>
      </c>
      <c r="Y13" s="27" t="str">
        <f t="shared" si="9"/>
        <v>https://babel.hathitrust.org/cgi/pt?id=njp.32101060099841;view=1up;seq=275</v>
      </c>
      <c r="Z13" s="27" t="str">
        <f t="shared" si="9"/>
        <v>https://babel.hathitrust.org/cgi/pt?id=njp.32101060099841;view=1up;seq=224</v>
      </c>
      <c r="AA13" s="27" t="str">
        <f t="shared" si="9"/>
        <v>https://babel.hathitrust.org/cgi/pt?id=njp.32101060099833;view=1up;seq=584</v>
      </c>
      <c r="AB13" s="27"/>
      <c r="AC13" s="27"/>
      <c r="AD13" s="27"/>
    </row>
    <row r="14" spans="1:30" x14ac:dyDescent="0.25">
      <c r="A14" s="27" t="s">
        <v>895</v>
      </c>
      <c r="B14" s="27" t="str">
        <f t="shared" si="0"/>
        <v>Kentucky</v>
      </c>
      <c r="C14" s="27" t="str">
        <f t="shared" si="1"/>
        <v>Breathitt</v>
      </c>
      <c r="D14" s="96">
        <f>3623+312+50+170</f>
        <v>4155</v>
      </c>
      <c r="E14" s="41">
        <f>126+8+6+0+2+3</f>
        <v>145</v>
      </c>
      <c r="F14" s="41">
        <v>8</v>
      </c>
      <c r="G14" s="7">
        <f t="shared" si="3"/>
        <v>160</v>
      </c>
      <c r="H14" s="41">
        <f>5304+473+306+42+22</f>
        <v>6147</v>
      </c>
      <c r="I14" s="25"/>
      <c r="J14" s="25">
        <f>49726.2+7710.42+7734</f>
        <v>65170.619999999995</v>
      </c>
      <c r="K14" s="115">
        <f t="shared" si="2"/>
        <v>56.181568965517236</v>
      </c>
      <c r="L14" s="2">
        <f>71616.6+11088.71+7734</f>
        <v>90439.31</v>
      </c>
      <c r="M14" s="27">
        <f>101+3+1+1+1</f>
        <v>107</v>
      </c>
      <c r="N14" s="27">
        <v>80000</v>
      </c>
      <c r="O14" s="27">
        <v>7000</v>
      </c>
      <c r="P14" s="29">
        <f t="shared" si="4"/>
        <v>87000</v>
      </c>
      <c r="Q14" s="41">
        <v>1922</v>
      </c>
      <c r="R14" s="27"/>
      <c r="S14" s="27" t="str">
        <f t="shared" si="7"/>
        <v>https://babel.hathitrust.org/cgi/pt?id=njp.32101060099841;view=1up;seq=242</v>
      </c>
      <c r="T14" s="27" t="str">
        <f t="shared" si="7"/>
        <v>https://babel.hathitrust.org/cgi/pt?id=njp.32101060099841;view=1up;seq=180</v>
      </c>
      <c r="U14" s="27" t="str">
        <f t="shared" si="5"/>
        <v>https://babel.hathitrust.org/cgi/pt?id=njp.32101060099841;view=1up;seq=224</v>
      </c>
      <c r="V14" s="27" t="str">
        <f t="shared" si="6"/>
        <v>https://babel.hathitrust.org/cgi/pt?id=njp.32101060099841;view=1up;seq=242</v>
      </c>
      <c r="W14" s="27" t="str">
        <f t="shared" si="8"/>
        <v>https://babel.hathitrust.org/cgi/pt?id=njp.32101060099841;view=1up;seq=150</v>
      </c>
      <c r="X14" s="27" t="str">
        <f t="shared" si="9"/>
        <v>https://babel.hathitrust.org/cgi/pt?id=njp.32101060099841;view=1up;seq=274</v>
      </c>
      <c r="Y14" s="27" t="str">
        <f t="shared" si="9"/>
        <v>https://babel.hathitrust.org/cgi/pt?id=njp.32101060099841;view=1up;seq=275</v>
      </c>
      <c r="Z14" s="27" t="str">
        <f t="shared" si="9"/>
        <v>https://babel.hathitrust.org/cgi/pt?id=njp.32101060099841;view=1up;seq=224</v>
      </c>
      <c r="AA14" s="27" t="str">
        <f t="shared" si="9"/>
        <v>https://babel.hathitrust.org/cgi/pt?id=njp.32101060099833;view=1up;seq=584</v>
      </c>
      <c r="AB14" s="27"/>
      <c r="AC14" s="27"/>
      <c r="AD14" s="27"/>
    </row>
    <row r="15" spans="1:30" x14ac:dyDescent="0.25">
      <c r="A15" s="27" t="s">
        <v>896</v>
      </c>
      <c r="B15" s="27" t="str">
        <f t="shared" si="0"/>
        <v>Kentucky</v>
      </c>
      <c r="C15" s="27" t="str">
        <f t="shared" si="1"/>
        <v>Breckinridge</v>
      </c>
      <c r="D15" s="96">
        <f>2152+276+266+206+127+55</f>
        <v>3082</v>
      </c>
      <c r="E15" s="41">
        <f>105+5+4+3+2+0+2+3+2</f>
        <v>126</v>
      </c>
      <c r="F15" s="41">
        <v>8</v>
      </c>
      <c r="G15" s="7">
        <f t="shared" si="3"/>
        <v>160</v>
      </c>
      <c r="H15" s="41">
        <f>4284+314+276+196+125+88+55+85+30</f>
        <v>5453</v>
      </c>
      <c r="I15" s="25"/>
      <c r="J15" s="25">
        <f>52595.05+5860.54+8049.99+4160+1260</f>
        <v>71925.58</v>
      </c>
      <c r="K15" s="115">
        <f t="shared" si="2"/>
        <v>71.354742063492068</v>
      </c>
      <c r="L15" s="2">
        <f>58796.73+7540.24+12374.16+5224.58+1504.15</f>
        <v>85439.86</v>
      </c>
      <c r="M15" s="27">
        <f>92+6+1+1+1+1</f>
        <v>102</v>
      </c>
      <c r="N15" s="27">
        <v>30000</v>
      </c>
      <c r="O15" s="27">
        <v>9500</v>
      </c>
      <c r="P15" s="29">
        <f t="shared" si="4"/>
        <v>39500</v>
      </c>
      <c r="Q15" s="41">
        <v>1922</v>
      </c>
      <c r="R15" s="27"/>
      <c r="S15" s="27" t="str">
        <f t="shared" si="7"/>
        <v>https://babel.hathitrust.org/cgi/pt?id=njp.32101060099841;view=1up;seq=242</v>
      </c>
      <c r="T15" s="27" t="str">
        <f t="shared" si="7"/>
        <v>https://babel.hathitrust.org/cgi/pt?id=njp.32101060099841;view=1up;seq=180</v>
      </c>
      <c r="U15" s="27" t="str">
        <f t="shared" si="5"/>
        <v>https://babel.hathitrust.org/cgi/pt?id=njp.32101060099841;view=1up;seq=224</v>
      </c>
      <c r="V15" s="27" t="str">
        <f t="shared" si="6"/>
        <v>https://babel.hathitrust.org/cgi/pt?id=njp.32101060099841;view=1up;seq=242</v>
      </c>
      <c r="W15" s="27" t="str">
        <f t="shared" si="8"/>
        <v>https://babel.hathitrust.org/cgi/pt?id=njp.32101060099841;view=1up;seq=150</v>
      </c>
      <c r="X15" s="27" t="str">
        <f t="shared" si="9"/>
        <v>https://babel.hathitrust.org/cgi/pt?id=njp.32101060099841;view=1up;seq=274</v>
      </c>
      <c r="Y15" s="27" t="str">
        <f t="shared" si="9"/>
        <v>https://babel.hathitrust.org/cgi/pt?id=njp.32101060099841;view=1up;seq=275</v>
      </c>
      <c r="Z15" s="27" t="str">
        <f t="shared" si="9"/>
        <v>https://babel.hathitrust.org/cgi/pt?id=njp.32101060099841;view=1up;seq=224</v>
      </c>
      <c r="AA15" s="27" t="str">
        <f t="shared" si="9"/>
        <v>https://babel.hathitrust.org/cgi/pt?id=njp.32101060099833;view=1up;seq=584</v>
      </c>
      <c r="AB15" s="27"/>
      <c r="AC15" s="27"/>
      <c r="AD15" s="27"/>
    </row>
    <row r="16" spans="1:30" x14ac:dyDescent="0.25">
      <c r="A16" s="27" t="s">
        <v>897</v>
      </c>
      <c r="B16" s="27" t="str">
        <f t="shared" si="0"/>
        <v>Kentucky</v>
      </c>
      <c r="C16" s="27" t="str">
        <f t="shared" si="1"/>
        <v>Bullitt</v>
      </c>
      <c r="D16" s="96">
        <f>908+44+297+150</f>
        <v>1399</v>
      </c>
      <c r="E16" s="41">
        <f>41+2+2+6+4+0+2+4</f>
        <v>61</v>
      </c>
      <c r="F16" s="41">
        <v>8</v>
      </c>
      <c r="G16" s="7">
        <f t="shared" si="3"/>
        <v>160</v>
      </c>
      <c r="H16" s="41">
        <f>1485+130+49+60+329+184+56+131</f>
        <v>2424</v>
      </c>
      <c r="I16" s="25"/>
      <c r="J16" s="25">
        <f>22817.8+1440+1240+6165+8669.97</f>
        <v>40332.769999999997</v>
      </c>
      <c r="K16" s="115">
        <f t="shared" si="2"/>
        <v>82.649118852459011</v>
      </c>
      <c r="L16" s="2">
        <f>29156.85+1695.2+1719.84+7637.58+11159.81</f>
        <v>51369.279999999999</v>
      </c>
      <c r="M16" s="27">
        <f>33+4+1+1+1+1</f>
        <v>41</v>
      </c>
      <c r="N16" s="27">
        <v>31000</v>
      </c>
      <c r="O16" s="27">
        <v>4650</v>
      </c>
      <c r="P16" s="29">
        <f t="shared" si="4"/>
        <v>35650</v>
      </c>
      <c r="Q16" s="41">
        <v>1922</v>
      </c>
      <c r="R16" s="27"/>
      <c r="S16" s="27" t="str">
        <f t="shared" si="7"/>
        <v>https://babel.hathitrust.org/cgi/pt?id=njp.32101060099841;view=1up;seq=242</v>
      </c>
      <c r="T16" s="27" t="str">
        <f t="shared" si="7"/>
        <v>https://babel.hathitrust.org/cgi/pt?id=njp.32101060099841;view=1up;seq=180</v>
      </c>
      <c r="U16" s="27" t="str">
        <f t="shared" si="5"/>
        <v>https://babel.hathitrust.org/cgi/pt?id=njp.32101060099841;view=1up;seq=224</v>
      </c>
      <c r="V16" s="27" t="str">
        <f t="shared" si="6"/>
        <v>https://babel.hathitrust.org/cgi/pt?id=njp.32101060099841;view=1up;seq=242</v>
      </c>
      <c r="W16" s="27" t="str">
        <f t="shared" si="8"/>
        <v>https://babel.hathitrust.org/cgi/pt?id=njp.32101060099841;view=1up;seq=150</v>
      </c>
      <c r="X16" s="27" t="str">
        <f t="shared" si="9"/>
        <v>https://babel.hathitrust.org/cgi/pt?id=njp.32101060099841;view=1up;seq=274</v>
      </c>
      <c r="Y16" s="27" t="str">
        <f t="shared" si="9"/>
        <v>https://babel.hathitrust.org/cgi/pt?id=njp.32101060099841;view=1up;seq=275</v>
      </c>
      <c r="Z16" s="27" t="str">
        <f t="shared" si="9"/>
        <v>https://babel.hathitrust.org/cgi/pt?id=njp.32101060099841;view=1up;seq=224</v>
      </c>
      <c r="AA16" s="27" t="str">
        <f t="shared" si="9"/>
        <v>https://babel.hathitrust.org/cgi/pt?id=njp.32101060099833;view=1up;seq=584</v>
      </c>
      <c r="AB16" s="27"/>
      <c r="AC16" s="27"/>
      <c r="AD16" s="27"/>
    </row>
    <row r="17" spans="1:30" x14ac:dyDescent="0.25">
      <c r="A17" s="27" t="s">
        <v>898</v>
      </c>
      <c r="B17" s="27" t="str">
        <f t="shared" si="0"/>
        <v>Kentucky</v>
      </c>
      <c r="C17" s="27" t="str">
        <f t="shared" si="1"/>
        <v>Butler</v>
      </c>
      <c r="D17" s="96">
        <f>2062+59+116</f>
        <v>2237</v>
      </c>
      <c r="E17" s="41">
        <f>89+2+0+3+2</f>
        <v>96</v>
      </c>
      <c r="F17" s="41">
        <v>8</v>
      </c>
      <c r="G17" s="7">
        <f t="shared" si="3"/>
        <v>160</v>
      </c>
      <c r="H17" s="41">
        <f>3297+97+146+104+60</f>
        <v>3704</v>
      </c>
      <c r="I17" s="25"/>
      <c r="J17" s="25">
        <f>41057.5+2738.5</f>
        <v>43796</v>
      </c>
      <c r="K17" s="115">
        <f t="shared" si="2"/>
        <v>57.026041666666664</v>
      </c>
      <c r="L17" s="2">
        <f>55314.48+2921.9</f>
        <v>58236.380000000005</v>
      </c>
      <c r="M17" s="27">
        <f>83+2+1</f>
        <v>86</v>
      </c>
      <c r="N17" s="27">
        <v>52320</v>
      </c>
      <c r="O17" s="27">
        <v>3500</v>
      </c>
      <c r="P17" s="29">
        <f t="shared" si="4"/>
        <v>55820</v>
      </c>
      <c r="Q17" s="41">
        <v>1922</v>
      </c>
      <c r="R17" s="27"/>
      <c r="S17" s="27" t="str">
        <f t="shared" si="7"/>
        <v>https://babel.hathitrust.org/cgi/pt?id=njp.32101060099841;view=1up;seq=242</v>
      </c>
      <c r="T17" s="27" t="str">
        <f t="shared" si="7"/>
        <v>https://babel.hathitrust.org/cgi/pt?id=njp.32101060099841;view=1up;seq=180</v>
      </c>
      <c r="U17" s="27" t="str">
        <f t="shared" si="5"/>
        <v>https://babel.hathitrust.org/cgi/pt?id=njp.32101060099841;view=1up;seq=224</v>
      </c>
      <c r="V17" s="27" t="str">
        <f t="shared" si="6"/>
        <v>https://babel.hathitrust.org/cgi/pt?id=njp.32101060099841;view=1up;seq=242</v>
      </c>
      <c r="W17" s="27" t="str">
        <f t="shared" si="8"/>
        <v>https://babel.hathitrust.org/cgi/pt?id=njp.32101060099841;view=1up;seq=150</v>
      </c>
      <c r="X17" s="27" t="str">
        <f t="shared" si="9"/>
        <v>https://babel.hathitrust.org/cgi/pt?id=njp.32101060099841;view=1up;seq=274</v>
      </c>
      <c r="Y17" s="27" t="str">
        <f t="shared" si="9"/>
        <v>https://babel.hathitrust.org/cgi/pt?id=njp.32101060099841;view=1up;seq=275</v>
      </c>
      <c r="Z17" s="27" t="str">
        <f t="shared" si="9"/>
        <v>https://babel.hathitrust.org/cgi/pt?id=njp.32101060099841;view=1up;seq=224</v>
      </c>
      <c r="AA17" s="27" t="str">
        <f t="shared" si="9"/>
        <v>https://babel.hathitrust.org/cgi/pt?id=njp.32101060099833;view=1up;seq=584</v>
      </c>
      <c r="AB17" s="27"/>
      <c r="AC17" s="27"/>
      <c r="AD17" s="27"/>
    </row>
    <row r="18" spans="1:30" x14ac:dyDescent="0.25">
      <c r="A18" s="27" t="s">
        <v>899</v>
      </c>
      <c r="B18" s="27" t="str">
        <f t="shared" si="0"/>
        <v>Kentucky</v>
      </c>
      <c r="C18" s="27" t="str">
        <f t="shared" si="1"/>
        <v>Caldwell</v>
      </c>
      <c r="D18" s="96">
        <f>1955+179+919+134+124</f>
        <v>3311</v>
      </c>
      <c r="E18" s="41">
        <f>54+14+3+3+0+2+2+2+2+2+1+7+2</f>
        <v>94</v>
      </c>
      <c r="F18" s="41">
        <v>8.5</v>
      </c>
      <c r="G18" s="7">
        <f t="shared" si="3"/>
        <v>170</v>
      </c>
      <c r="H18" s="41">
        <f>2151+255+708+226+112+43+26+38+58+26+16+178+40</f>
        <v>3877</v>
      </c>
      <c r="I18" s="25"/>
      <c r="J18" s="25">
        <f>28025+18911.25+3312.42+3020</f>
        <v>53268.67</v>
      </c>
      <c r="K18" s="115">
        <f t="shared" si="2"/>
        <v>66.669173967459329</v>
      </c>
      <c r="L18" s="2">
        <f>46230.76+33067.46+3869.47+4627.06</f>
        <v>87794.75</v>
      </c>
      <c r="M18" s="27">
        <f>54+1+1+1</f>
        <v>57</v>
      </c>
      <c r="N18" s="27">
        <v>46000</v>
      </c>
      <c r="O18" s="27">
        <v>6600</v>
      </c>
      <c r="P18" s="29">
        <f t="shared" si="4"/>
        <v>52600</v>
      </c>
      <c r="Q18" s="41">
        <v>1922</v>
      </c>
      <c r="R18" s="27"/>
      <c r="S18" s="27" t="str">
        <f t="shared" si="7"/>
        <v>https://babel.hathitrust.org/cgi/pt?id=njp.32101060099841;view=1up;seq=242</v>
      </c>
      <c r="T18" s="27" t="str">
        <f t="shared" si="7"/>
        <v>https://babel.hathitrust.org/cgi/pt?id=njp.32101060099841;view=1up;seq=180</v>
      </c>
      <c r="U18" s="27" t="str">
        <f t="shared" si="5"/>
        <v>https://babel.hathitrust.org/cgi/pt?id=njp.32101060099841;view=1up;seq=224</v>
      </c>
      <c r="V18" s="27" t="str">
        <f t="shared" si="6"/>
        <v>https://babel.hathitrust.org/cgi/pt?id=njp.32101060099841;view=1up;seq=242</v>
      </c>
      <c r="W18" s="27" t="str">
        <f t="shared" si="8"/>
        <v>https://babel.hathitrust.org/cgi/pt?id=njp.32101060099841;view=1up;seq=150</v>
      </c>
      <c r="X18" s="27" t="str">
        <f t="shared" si="9"/>
        <v>https://babel.hathitrust.org/cgi/pt?id=njp.32101060099841;view=1up;seq=274</v>
      </c>
      <c r="Y18" s="27" t="str">
        <f t="shared" si="9"/>
        <v>https://babel.hathitrust.org/cgi/pt?id=njp.32101060099841;view=1up;seq=275</v>
      </c>
      <c r="Z18" s="27" t="str">
        <f t="shared" si="9"/>
        <v>https://babel.hathitrust.org/cgi/pt?id=njp.32101060099841;view=1up;seq=224</v>
      </c>
      <c r="AA18" s="27" t="str">
        <f t="shared" si="9"/>
        <v>https://babel.hathitrust.org/cgi/pt?id=njp.32101060099833;view=1up;seq=584</v>
      </c>
      <c r="AB18" s="27"/>
      <c r="AC18" s="27"/>
      <c r="AD18" s="27"/>
    </row>
    <row r="19" spans="1:30" x14ac:dyDescent="0.25">
      <c r="A19" s="27" t="s">
        <v>900</v>
      </c>
      <c r="B19" s="27" t="str">
        <f t="shared" si="0"/>
        <v>Kentucky</v>
      </c>
      <c r="C19" s="27" t="str">
        <f t="shared" si="1"/>
        <v>Calloway</v>
      </c>
      <c r="D19" s="96">
        <f>4111+36+699+99+189</f>
        <v>5134</v>
      </c>
      <c r="E19" s="41">
        <f>32+72+8+4+2+2+2+3+2+2+2+3+9+2+1</f>
        <v>146</v>
      </c>
      <c r="F19" s="41">
        <v>8.5</v>
      </c>
      <c r="G19" s="7">
        <f t="shared" si="3"/>
        <v>170</v>
      </c>
      <c r="H19" s="41">
        <f>4687+151+474+172+118+98+107+151+38+71+45+64+342+40+7</f>
        <v>6565</v>
      </c>
      <c r="I19" s="25"/>
      <c r="J19" s="25">
        <f>55077.84+12714.89+2011.19+1825+1224+1140+3929.5</f>
        <v>77922.42</v>
      </c>
      <c r="K19" s="115">
        <f t="shared" si="2"/>
        <v>62.79002417405318</v>
      </c>
      <c r="L19" s="2">
        <f>822318.14+52185.7+2011.19+2164.96+1586+89+1246.58+5204.49</f>
        <v>886806.05999999982</v>
      </c>
      <c r="M19" s="27">
        <f>54+21+1+1+1+1+1+1</f>
        <v>81</v>
      </c>
      <c r="N19" s="27">
        <v>80000</v>
      </c>
      <c r="O19" s="27">
        <v>13000</v>
      </c>
      <c r="P19" s="29">
        <f t="shared" si="4"/>
        <v>93000</v>
      </c>
      <c r="Q19" s="41">
        <v>1922</v>
      </c>
      <c r="R19" s="27"/>
      <c r="S19" s="27" t="str">
        <f t="shared" si="7"/>
        <v>https://babel.hathitrust.org/cgi/pt?id=njp.32101060099841;view=1up;seq=242</v>
      </c>
      <c r="T19" s="27" t="str">
        <f t="shared" si="7"/>
        <v>https://babel.hathitrust.org/cgi/pt?id=njp.32101060099841;view=1up;seq=180</v>
      </c>
      <c r="U19" s="27" t="str">
        <f t="shared" si="5"/>
        <v>https://babel.hathitrust.org/cgi/pt?id=njp.32101060099841;view=1up;seq=224</v>
      </c>
      <c r="V19" s="27" t="str">
        <f t="shared" si="6"/>
        <v>https://babel.hathitrust.org/cgi/pt?id=njp.32101060099841;view=1up;seq=242</v>
      </c>
      <c r="W19" s="27" t="str">
        <f t="shared" si="8"/>
        <v>https://babel.hathitrust.org/cgi/pt?id=njp.32101060099841;view=1up;seq=150</v>
      </c>
      <c r="X19" s="27" t="str">
        <f t="shared" si="9"/>
        <v>https://babel.hathitrust.org/cgi/pt?id=njp.32101060099841;view=1up;seq=274</v>
      </c>
      <c r="Y19" s="27" t="str">
        <f t="shared" si="9"/>
        <v>https://babel.hathitrust.org/cgi/pt?id=njp.32101060099841;view=1up;seq=275</v>
      </c>
      <c r="Z19" s="27" t="str">
        <f t="shared" si="9"/>
        <v>https://babel.hathitrust.org/cgi/pt?id=njp.32101060099841;view=1up;seq=224</v>
      </c>
      <c r="AA19" s="27" t="str">
        <f t="shared" si="9"/>
        <v>https://babel.hathitrust.org/cgi/pt?id=njp.32101060099833;view=1up;seq=584</v>
      </c>
      <c r="AB19" s="27"/>
      <c r="AC19" s="27"/>
      <c r="AD19" s="27"/>
    </row>
    <row r="20" spans="1:30" x14ac:dyDescent="0.25">
      <c r="A20" s="27" t="s">
        <v>901</v>
      </c>
      <c r="B20" s="27" t="str">
        <f t="shared" si="0"/>
        <v>Kentucky</v>
      </c>
      <c r="C20" s="27" t="str">
        <f t="shared" si="1"/>
        <v>Campbell</v>
      </c>
      <c r="D20" s="96">
        <f>777+633+298+1193+626+2646+100+55+55+115+75+137</f>
        <v>6710</v>
      </c>
      <c r="E20" s="41">
        <f>33+17+9+23+17+84+2+2+2+4+3+4+0+0+3+5+8+11+17</f>
        <v>244</v>
      </c>
      <c r="F20" s="41">
        <v>8.5</v>
      </c>
      <c r="G20" s="7">
        <f t="shared" si="3"/>
        <v>170</v>
      </c>
      <c r="H20" s="41">
        <f>889+604+292+958+0+490+2695+122+58+88+64+103+93+140+61+131+9+161+193+459+7</f>
        <v>7617</v>
      </c>
      <c r="I20" s="27"/>
      <c r="J20" s="26">
        <f>23095.2+26338.5+9807.36+31459.93+35340.76+120330+1775+1765+2812.5+5107.75+3103.88+5675</f>
        <v>266610.88</v>
      </c>
      <c r="K20" s="115">
        <f t="shared" si="2"/>
        <v>128.54912246865959</v>
      </c>
      <c r="L20" s="2">
        <f>62292.95+35745.48+19555.54+52280.31+84365.44+192650.03+1968.78+2423.74+5273.28+6369.76+4218.29+8372.59</f>
        <v>475516.19000000006</v>
      </c>
      <c r="M20" s="27">
        <f>29+2+3+2+3+2+1+1+1+1+1+1</f>
        <v>47</v>
      </c>
      <c r="N20" s="27">
        <v>250000</v>
      </c>
      <c r="O20" s="27">
        <v>25000</v>
      </c>
      <c r="P20" s="29">
        <f t="shared" si="4"/>
        <v>275000</v>
      </c>
      <c r="Q20" s="41">
        <v>1922</v>
      </c>
      <c r="R20" s="27"/>
      <c r="S20" s="27" t="str">
        <f t="shared" ref="S20:T35" si="10">S19</f>
        <v>https://babel.hathitrust.org/cgi/pt?id=njp.32101060099841;view=1up;seq=242</v>
      </c>
      <c r="T20" s="27" t="str">
        <f t="shared" si="10"/>
        <v>https://babel.hathitrust.org/cgi/pt?id=njp.32101060099841;view=1up;seq=180</v>
      </c>
      <c r="U20" s="27" t="str">
        <f t="shared" si="5"/>
        <v>https://babel.hathitrust.org/cgi/pt?id=njp.32101060099841;view=1up;seq=224</v>
      </c>
      <c r="V20" s="27" t="str">
        <f t="shared" si="6"/>
        <v>https://babel.hathitrust.org/cgi/pt?id=njp.32101060099841;view=1up;seq=242</v>
      </c>
      <c r="W20" s="27" t="str">
        <f t="shared" si="8"/>
        <v>https://babel.hathitrust.org/cgi/pt?id=njp.32101060099841;view=1up;seq=150</v>
      </c>
      <c r="X20" s="27" t="str">
        <f t="shared" ref="X20:AA35" si="11">X19</f>
        <v>https://babel.hathitrust.org/cgi/pt?id=njp.32101060099841;view=1up;seq=274</v>
      </c>
      <c r="Y20" s="27" t="str">
        <f t="shared" si="11"/>
        <v>https://babel.hathitrust.org/cgi/pt?id=njp.32101060099841;view=1up;seq=275</v>
      </c>
      <c r="Z20" s="27" t="str">
        <f t="shared" si="11"/>
        <v>https://babel.hathitrust.org/cgi/pt?id=njp.32101060099841;view=1up;seq=224</v>
      </c>
      <c r="AA20" s="27" t="str">
        <f t="shared" si="11"/>
        <v>https://babel.hathitrust.org/cgi/pt?id=njp.32101060099833;view=1up;seq=584</v>
      </c>
      <c r="AB20" s="27"/>
      <c r="AC20" s="27"/>
      <c r="AD20" s="27"/>
    </row>
    <row r="21" spans="1:30" x14ac:dyDescent="0.25">
      <c r="A21" s="27" t="s">
        <v>902</v>
      </c>
      <c r="B21" s="27" t="str">
        <f t="shared" si="0"/>
        <v>Kentucky</v>
      </c>
      <c r="C21" s="27" t="str">
        <f t="shared" si="1"/>
        <v>Carlisle</v>
      </c>
      <c r="D21" s="96">
        <f>1061+73+173+232</f>
        <v>1539</v>
      </c>
      <c r="E21" s="41">
        <f>13+32+4+0+2+3+2</f>
        <v>56</v>
      </c>
      <c r="F21" s="41">
        <v>10</v>
      </c>
      <c r="G21" s="7">
        <f t="shared" si="3"/>
        <v>200</v>
      </c>
      <c r="H21" s="41">
        <f>1450+97+175+251+52+144+38+44</f>
        <v>2251</v>
      </c>
      <c r="I21" s="25"/>
      <c r="J21" s="25">
        <f>25420.87+5749.18+6511.66</f>
        <v>37681.71</v>
      </c>
      <c r="K21" s="115">
        <f t="shared" si="2"/>
        <v>67.288767857142858</v>
      </c>
      <c r="L21" s="2">
        <f>44613.27+7058.98+8375.32</f>
        <v>60047.57</v>
      </c>
      <c r="M21" s="27">
        <f>30+4+1+1</f>
        <v>36</v>
      </c>
      <c r="N21" s="27">
        <v>66300</v>
      </c>
      <c r="O21" s="27">
        <v>6194</v>
      </c>
      <c r="P21" s="29">
        <f t="shared" si="4"/>
        <v>72494</v>
      </c>
      <c r="Q21" s="41">
        <v>1922</v>
      </c>
      <c r="R21" s="27"/>
      <c r="S21" s="27" t="str">
        <f t="shared" si="10"/>
        <v>https://babel.hathitrust.org/cgi/pt?id=njp.32101060099841;view=1up;seq=242</v>
      </c>
      <c r="T21" s="27" t="str">
        <f t="shared" si="10"/>
        <v>https://babel.hathitrust.org/cgi/pt?id=njp.32101060099841;view=1up;seq=180</v>
      </c>
      <c r="U21" s="27" t="str">
        <f t="shared" si="5"/>
        <v>https://babel.hathitrust.org/cgi/pt?id=njp.32101060099841;view=1up;seq=224</v>
      </c>
      <c r="V21" s="27" t="str">
        <f t="shared" si="6"/>
        <v>https://babel.hathitrust.org/cgi/pt?id=njp.32101060099841;view=1up;seq=242</v>
      </c>
      <c r="W21" s="27" t="str">
        <f t="shared" si="8"/>
        <v>https://babel.hathitrust.org/cgi/pt?id=njp.32101060099841;view=1up;seq=150</v>
      </c>
      <c r="X21" s="27" t="str">
        <f t="shared" si="11"/>
        <v>https://babel.hathitrust.org/cgi/pt?id=njp.32101060099841;view=1up;seq=274</v>
      </c>
      <c r="Y21" s="27" t="str">
        <f t="shared" si="11"/>
        <v>https://babel.hathitrust.org/cgi/pt?id=njp.32101060099841;view=1up;seq=275</v>
      </c>
      <c r="Z21" s="27" t="str">
        <f t="shared" si="11"/>
        <v>https://babel.hathitrust.org/cgi/pt?id=njp.32101060099841;view=1up;seq=224</v>
      </c>
      <c r="AA21" s="27" t="str">
        <f t="shared" si="11"/>
        <v>https://babel.hathitrust.org/cgi/pt?id=njp.32101060099833;view=1up;seq=584</v>
      </c>
      <c r="AB21" s="27"/>
      <c r="AC21" s="27"/>
      <c r="AD21" s="27"/>
    </row>
    <row r="22" spans="1:30" x14ac:dyDescent="0.25">
      <c r="A22" s="27" t="s">
        <v>903</v>
      </c>
      <c r="B22" s="27" t="str">
        <f t="shared" si="0"/>
        <v>Kentucky</v>
      </c>
      <c r="C22" s="27" t="str">
        <f t="shared" si="1"/>
        <v>Carroll</v>
      </c>
      <c r="D22" s="96">
        <f>582+28+368+31+60+109+87</f>
        <v>1265</v>
      </c>
      <c r="E22" s="41">
        <f>32+7+2+3+2+0+0+4+2+1+2</f>
        <v>55</v>
      </c>
      <c r="F22" s="41">
        <v>9</v>
      </c>
      <c r="G22" s="7">
        <f t="shared" si="3"/>
        <v>180</v>
      </c>
      <c r="H22" s="41">
        <f>873+48+373+48+81+130+110+109+26+16+32</f>
        <v>1846</v>
      </c>
      <c r="I22" s="25"/>
      <c r="J22" s="25">
        <f>17482.99+12096.5+1440+4320+2410</f>
        <v>37749.490000000005</v>
      </c>
      <c r="K22" s="115">
        <f t="shared" si="2"/>
        <v>76.261595959595965</v>
      </c>
      <c r="L22" s="108">
        <v>60170</v>
      </c>
      <c r="M22" s="27">
        <f>24+3+2+1+1+1</f>
        <v>32</v>
      </c>
      <c r="N22" s="27">
        <v>51800</v>
      </c>
      <c r="O22" s="27">
        <v>3900</v>
      </c>
      <c r="P22" s="29">
        <f t="shared" si="4"/>
        <v>55700</v>
      </c>
      <c r="Q22" s="41">
        <v>1922</v>
      </c>
      <c r="R22" s="27"/>
      <c r="S22" s="27" t="str">
        <f t="shared" si="10"/>
        <v>https://babel.hathitrust.org/cgi/pt?id=njp.32101060099841;view=1up;seq=242</v>
      </c>
      <c r="T22" s="27" t="str">
        <f t="shared" si="10"/>
        <v>https://babel.hathitrust.org/cgi/pt?id=njp.32101060099841;view=1up;seq=180</v>
      </c>
      <c r="U22" s="27" t="str">
        <f t="shared" si="5"/>
        <v>https://babel.hathitrust.org/cgi/pt?id=njp.32101060099841;view=1up;seq=224</v>
      </c>
      <c r="V22" s="27" t="str">
        <f t="shared" si="6"/>
        <v>https://babel.hathitrust.org/cgi/pt?id=njp.32101060099841;view=1up;seq=242</v>
      </c>
      <c r="W22" s="27" t="str">
        <f t="shared" si="8"/>
        <v>https://babel.hathitrust.org/cgi/pt?id=njp.32101060099841;view=1up;seq=150</v>
      </c>
      <c r="X22" s="27" t="str">
        <f t="shared" si="11"/>
        <v>https://babel.hathitrust.org/cgi/pt?id=njp.32101060099841;view=1up;seq=274</v>
      </c>
      <c r="Y22" s="27" t="str">
        <f t="shared" si="11"/>
        <v>https://babel.hathitrust.org/cgi/pt?id=njp.32101060099841;view=1up;seq=275</v>
      </c>
      <c r="Z22" s="27" t="str">
        <f t="shared" si="11"/>
        <v>https://babel.hathitrust.org/cgi/pt?id=njp.32101060099841;view=1up;seq=224</v>
      </c>
      <c r="AA22" s="27" t="str">
        <f t="shared" si="11"/>
        <v>https://babel.hathitrust.org/cgi/pt?id=njp.32101060099833;view=1up;seq=584</v>
      </c>
      <c r="AB22" s="27"/>
      <c r="AC22" s="27"/>
      <c r="AD22" s="27"/>
    </row>
    <row r="23" spans="1:30" x14ac:dyDescent="0.25">
      <c r="A23" s="27" t="s">
        <v>904</v>
      </c>
      <c r="B23" s="27" t="str">
        <f t="shared" si="0"/>
        <v>Kentucky</v>
      </c>
      <c r="C23" s="27" t="str">
        <f t="shared" si="1"/>
        <v>Carter</v>
      </c>
      <c r="D23" s="96">
        <f>3167+4+324+80+61+91+182+293+221+131+72</f>
        <v>4626</v>
      </c>
      <c r="E23" s="41">
        <f>101+7+1+2+2+3+7+5+2+2+0+0+1+3+2+3</f>
        <v>141</v>
      </c>
      <c r="F23" s="41">
        <v>8</v>
      </c>
      <c r="G23" s="7">
        <f t="shared" si="3"/>
        <v>160</v>
      </c>
      <c r="H23" s="41">
        <f>3511+17+388+86+75+122+194+271+217+123+89+3+73+10+50</f>
        <v>5229</v>
      </c>
      <c r="I23" s="25"/>
      <c r="J23" s="25">
        <f>43685.45+9270+600+960+1120+2065+7973.75+3585+1400+1170</f>
        <v>71829.2</v>
      </c>
      <c r="K23" s="115">
        <f t="shared" si="2"/>
        <v>63.678368794326239</v>
      </c>
      <c r="L23" s="108">
        <v>94972</v>
      </c>
      <c r="M23" s="27">
        <f>97+1+1+1+1+1+1+1+1+1+1</f>
        <v>107</v>
      </c>
      <c r="N23" s="27">
        <v>64500</v>
      </c>
      <c r="O23" s="27">
        <v>14500</v>
      </c>
      <c r="P23" s="29">
        <f t="shared" si="4"/>
        <v>79000</v>
      </c>
      <c r="Q23" s="41">
        <v>1922</v>
      </c>
      <c r="R23" s="27"/>
      <c r="S23" s="27" t="str">
        <f t="shared" si="10"/>
        <v>https://babel.hathitrust.org/cgi/pt?id=njp.32101060099841;view=1up;seq=242</v>
      </c>
      <c r="T23" s="27" t="str">
        <f t="shared" si="10"/>
        <v>https://babel.hathitrust.org/cgi/pt?id=njp.32101060099841;view=1up;seq=180</v>
      </c>
      <c r="U23" s="27" t="str">
        <f t="shared" si="5"/>
        <v>https://babel.hathitrust.org/cgi/pt?id=njp.32101060099841;view=1up;seq=224</v>
      </c>
      <c r="V23" s="27" t="str">
        <f t="shared" si="6"/>
        <v>https://babel.hathitrust.org/cgi/pt?id=njp.32101060099841;view=1up;seq=242</v>
      </c>
      <c r="W23" s="27" t="str">
        <f t="shared" si="8"/>
        <v>https://babel.hathitrust.org/cgi/pt?id=njp.32101060099841;view=1up;seq=150</v>
      </c>
      <c r="X23" s="27" t="str">
        <f t="shared" si="11"/>
        <v>https://babel.hathitrust.org/cgi/pt?id=njp.32101060099841;view=1up;seq=274</v>
      </c>
      <c r="Y23" s="27" t="str">
        <f t="shared" si="11"/>
        <v>https://babel.hathitrust.org/cgi/pt?id=njp.32101060099841;view=1up;seq=275</v>
      </c>
      <c r="Z23" s="27" t="str">
        <f t="shared" si="11"/>
        <v>https://babel.hathitrust.org/cgi/pt?id=njp.32101060099841;view=1up;seq=224</v>
      </c>
      <c r="AA23" s="27" t="str">
        <f t="shared" si="11"/>
        <v>https://babel.hathitrust.org/cgi/pt?id=njp.32101060099833;view=1up;seq=584</v>
      </c>
      <c r="AB23" s="27"/>
      <c r="AC23" s="27"/>
      <c r="AD23" s="27"/>
    </row>
    <row r="24" spans="1:30" x14ac:dyDescent="0.25">
      <c r="A24" s="27" t="s">
        <v>905</v>
      </c>
      <c r="B24" s="27" t="str">
        <f t="shared" si="0"/>
        <v>Kentucky</v>
      </c>
      <c r="C24" s="27" t="str">
        <f t="shared" si="1"/>
        <v>Casey</v>
      </c>
      <c r="D24" s="96">
        <f>2979+32+92+49+136+164</f>
        <v>3452</v>
      </c>
      <c r="E24" s="41">
        <f>91+2+2+4+4+0+1+1+2+2</f>
        <v>109</v>
      </c>
      <c r="F24" s="41">
        <v>8</v>
      </c>
      <c r="G24" s="7">
        <f t="shared" si="3"/>
        <v>160</v>
      </c>
      <c r="H24" s="41">
        <f>4565+25+112+84+195+195+15+6+77+40</f>
        <v>5314</v>
      </c>
      <c r="I24" s="25"/>
      <c r="J24" s="25">
        <f>37277.29+900+1020+5919.66+3600</f>
        <v>48716.95</v>
      </c>
      <c r="K24" s="115">
        <f t="shared" si="2"/>
        <v>55.868061926605499</v>
      </c>
      <c r="L24" s="108">
        <v>74264</v>
      </c>
      <c r="M24" s="27">
        <f>75+7+1+1+1+1</f>
        <v>86</v>
      </c>
      <c r="N24" s="27">
        <v>48750</v>
      </c>
      <c r="O24" s="27">
        <v>15150</v>
      </c>
      <c r="P24" s="29">
        <f t="shared" si="4"/>
        <v>63900</v>
      </c>
      <c r="Q24" s="41">
        <v>1922</v>
      </c>
      <c r="R24" s="27"/>
      <c r="S24" s="27" t="str">
        <f t="shared" si="10"/>
        <v>https://babel.hathitrust.org/cgi/pt?id=njp.32101060099841;view=1up;seq=242</v>
      </c>
      <c r="T24" s="27" t="str">
        <f t="shared" si="10"/>
        <v>https://babel.hathitrust.org/cgi/pt?id=njp.32101060099841;view=1up;seq=180</v>
      </c>
      <c r="U24" s="27" t="str">
        <f t="shared" si="5"/>
        <v>https://babel.hathitrust.org/cgi/pt?id=njp.32101060099841;view=1up;seq=224</v>
      </c>
      <c r="V24" s="27" t="str">
        <f t="shared" si="6"/>
        <v>https://babel.hathitrust.org/cgi/pt?id=njp.32101060099841;view=1up;seq=242</v>
      </c>
      <c r="W24" s="27" t="str">
        <f t="shared" si="8"/>
        <v>https://babel.hathitrust.org/cgi/pt?id=njp.32101060099841;view=1up;seq=150</v>
      </c>
      <c r="X24" s="27" t="str">
        <f t="shared" si="11"/>
        <v>https://babel.hathitrust.org/cgi/pt?id=njp.32101060099841;view=1up;seq=274</v>
      </c>
      <c r="Y24" s="27" t="str">
        <f t="shared" si="11"/>
        <v>https://babel.hathitrust.org/cgi/pt?id=njp.32101060099841;view=1up;seq=275</v>
      </c>
      <c r="Z24" s="27" t="str">
        <f t="shared" si="11"/>
        <v>https://babel.hathitrust.org/cgi/pt?id=njp.32101060099841;view=1up;seq=224</v>
      </c>
      <c r="AA24" s="27" t="str">
        <f t="shared" si="11"/>
        <v>https://babel.hathitrust.org/cgi/pt?id=njp.32101060099833;view=1up;seq=584</v>
      </c>
      <c r="AB24" s="27"/>
      <c r="AC24" s="27"/>
      <c r="AD24" s="27"/>
    </row>
    <row r="25" spans="1:30" x14ac:dyDescent="0.25">
      <c r="A25" s="27" t="s">
        <v>906</v>
      </c>
      <c r="B25" s="27" t="str">
        <f t="shared" si="0"/>
        <v>Kentucky</v>
      </c>
      <c r="C25" s="27" t="str">
        <f t="shared" si="1"/>
        <v>Christian</v>
      </c>
      <c r="D25" s="96">
        <f>2100+1800+1271+1004+135+50+122+197</f>
        <v>6679</v>
      </c>
      <c r="E25" s="41">
        <f>0+26+19+4+2+3+5+2+0+1+1+14+2+1+2+4+9+1</f>
        <v>96</v>
      </c>
      <c r="F25" s="41">
        <v>9</v>
      </c>
      <c r="G25" s="7">
        <f t="shared" si="3"/>
        <v>180</v>
      </c>
      <c r="H25" s="41">
        <f>2175+1553+1141+887+226+56+100+174+168+16+20+14+340+23+42+20+66+25+170+17</f>
        <v>7233</v>
      </c>
      <c r="I25" s="25"/>
      <c r="J25" s="25">
        <f>93343.45+49660.16+21105+4800+2542.5+4000+6630+1449</f>
        <v>183530.11</v>
      </c>
      <c r="K25" s="115">
        <f t="shared" si="2"/>
        <v>212.41910879629629</v>
      </c>
      <c r="L25" s="2">
        <f>163497.5+77476.67+26786.68+6953.66+3384.92+5907.44+14563.87+2424.89</f>
        <v>300995.62999999995</v>
      </c>
      <c r="M25" s="27">
        <f>1+1+1+1+1+1</f>
        <v>6</v>
      </c>
      <c r="N25" s="27">
        <v>124700</v>
      </c>
      <c r="O25" s="27">
        <v>24000</v>
      </c>
      <c r="P25" s="29">
        <f t="shared" si="4"/>
        <v>148700</v>
      </c>
      <c r="Q25" s="41">
        <v>1922</v>
      </c>
      <c r="R25" s="27"/>
      <c r="S25" s="27" t="str">
        <f t="shared" si="10"/>
        <v>https://babel.hathitrust.org/cgi/pt?id=njp.32101060099841;view=1up;seq=242</v>
      </c>
      <c r="T25" s="27" t="str">
        <f t="shared" si="10"/>
        <v>https://babel.hathitrust.org/cgi/pt?id=njp.32101060099841;view=1up;seq=180</v>
      </c>
      <c r="U25" s="27" t="str">
        <f t="shared" si="5"/>
        <v>https://babel.hathitrust.org/cgi/pt?id=njp.32101060099841;view=1up;seq=224</v>
      </c>
      <c r="V25" s="27" t="str">
        <f t="shared" si="6"/>
        <v>https://babel.hathitrust.org/cgi/pt?id=njp.32101060099841;view=1up;seq=242</v>
      </c>
      <c r="W25" s="27" t="str">
        <f t="shared" si="8"/>
        <v>https://babel.hathitrust.org/cgi/pt?id=njp.32101060099841;view=1up;seq=150</v>
      </c>
      <c r="X25" s="27" t="str">
        <f t="shared" si="11"/>
        <v>https://babel.hathitrust.org/cgi/pt?id=njp.32101060099841;view=1up;seq=274</v>
      </c>
      <c r="Y25" s="27" t="str">
        <f t="shared" si="11"/>
        <v>https://babel.hathitrust.org/cgi/pt?id=njp.32101060099841;view=1up;seq=275</v>
      </c>
      <c r="Z25" s="27" t="str">
        <f t="shared" si="11"/>
        <v>https://babel.hathitrust.org/cgi/pt?id=njp.32101060099841;view=1up;seq=224</v>
      </c>
      <c r="AA25" s="27" t="str">
        <f t="shared" si="11"/>
        <v>https://babel.hathitrust.org/cgi/pt?id=njp.32101060099833;view=1up;seq=584</v>
      </c>
      <c r="AB25" s="27"/>
      <c r="AC25" s="27"/>
      <c r="AD25" s="27"/>
    </row>
    <row r="26" spans="1:30" x14ac:dyDescent="0.25">
      <c r="A26" s="27" t="s">
        <v>907</v>
      </c>
      <c r="B26" s="27" t="str">
        <f t="shared" si="0"/>
        <v>Kentucky</v>
      </c>
      <c r="C26" s="27" t="str">
        <f t="shared" si="1"/>
        <v>Clark</v>
      </c>
      <c r="D26" s="96">
        <f>1239+193+530+286+44+103</f>
        <v>2395</v>
      </c>
      <c r="E26" s="41">
        <f>45+42+1+1+2+0+0+8+1+11+4</f>
        <v>115</v>
      </c>
      <c r="F26" s="41">
        <v>8.1999999999999993</v>
      </c>
      <c r="G26" s="7">
        <f t="shared" si="3"/>
        <v>164</v>
      </c>
      <c r="H26" s="41">
        <f>1667+272+909+325+94+73+126+150+12+13+190+52</f>
        <v>3883</v>
      </c>
      <c r="I26" s="25"/>
      <c r="J26" s="25">
        <f>41365.98+58047.01+1200+1635+2610</f>
        <v>104857.99</v>
      </c>
      <c r="K26" s="115">
        <f t="shared" si="2"/>
        <v>111.19617179215271</v>
      </c>
      <c r="L26" s="2">
        <f>93088.46+90599.55+1284.95+1740.13+2830.49</f>
        <v>189543.58000000002</v>
      </c>
      <c r="M26" s="27">
        <f>42+3+3+1+1+1</f>
        <v>51</v>
      </c>
      <c r="N26" s="27">
        <v>56500</v>
      </c>
      <c r="O26" s="27">
        <v>15150</v>
      </c>
      <c r="P26" s="29">
        <f t="shared" si="4"/>
        <v>71650</v>
      </c>
      <c r="Q26" s="41">
        <v>1922</v>
      </c>
      <c r="R26" s="27"/>
      <c r="S26" s="27" t="str">
        <f t="shared" si="10"/>
        <v>https://babel.hathitrust.org/cgi/pt?id=njp.32101060099841;view=1up;seq=242</v>
      </c>
      <c r="T26" s="27" t="str">
        <f t="shared" si="10"/>
        <v>https://babel.hathitrust.org/cgi/pt?id=njp.32101060099841;view=1up;seq=180</v>
      </c>
      <c r="U26" s="27" t="str">
        <f t="shared" si="5"/>
        <v>https://babel.hathitrust.org/cgi/pt?id=njp.32101060099841;view=1up;seq=224</v>
      </c>
      <c r="V26" s="27" t="str">
        <f t="shared" si="6"/>
        <v>https://babel.hathitrust.org/cgi/pt?id=njp.32101060099841;view=1up;seq=242</v>
      </c>
      <c r="W26" s="27" t="str">
        <f t="shared" si="8"/>
        <v>https://babel.hathitrust.org/cgi/pt?id=njp.32101060099841;view=1up;seq=150</v>
      </c>
      <c r="X26" s="27" t="str">
        <f t="shared" si="11"/>
        <v>https://babel.hathitrust.org/cgi/pt?id=njp.32101060099841;view=1up;seq=274</v>
      </c>
      <c r="Y26" s="27" t="str">
        <f t="shared" si="11"/>
        <v>https://babel.hathitrust.org/cgi/pt?id=njp.32101060099841;view=1up;seq=275</v>
      </c>
      <c r="Z26" s="27" t="str">
        <f t="shared" si="11"/>
        <v>https://babel.hathitrust.org/cgi/pt?id=njp.32101060099841;view=1up;seq=224</v>
      </c>
      <c r="AA26" s="27" t="str">
        <f t="shared" si="11"/>
        <v>https://babel.hathitrust.org/cgi/pt?id=njp.32101060099833;view=1up;seq=584</v>
      </c>
      <c r="AB26" s="27"/>
      <c r="AC26" s="27"/>
      <c r="AD26" s="27"/>
    </row>
    <row r="27" spans="1:30" x14ac:dyDescent="0.25">
      <c r="A27" s="27" t="s">
        <v>908</v>
      </c>
      <c r="B27" s="27" t="str">
        <f t="shared" si="0"/>
        <v>Kentucky</v>
      </c>
      <c r="C27" s="27" t="str">
        <f t="shared" si="1"/>
        <v>Clay</v>
      </c>
      <c r="D27" s="96">
        <f>4940+144+158</f>
        <v>5242</v>
      </c>
      <c r="E27" s="41">
        <f>131+4+0+1</f>
        <v>136</v>
      </c>
      <c r="F27" s="41">
        <v>8</v>
      </c>
      <c r="G27" s="7">
        <f t="shared" si="3"/>
        <v>160</v>
      </c>
      <c r="H27" s="41">
        <f>7154+198+195+26+36</f>
        <v>7609</v>
      </c>
      <c r="I27" s="25"/>
      <c r="J27" s="25">
        <f>55680.28+3049.82</f>
        <v>58730.1</v>
      </c>
      <c r="K27" s="115">
        <f t="shared" si="2"/>
        <v>53.979871323529409</v>
      </c>
      <c r="L27" s="2">
        <f>79723.73+4330.4</f>
        <v>84054.12999999999</v>
      </c>
      <c r="M27" s="27">
        <f>101+10+1</f>
        <v>112</v>
      </c>
      <c r="N27" s="27">
        <v>47500</v>
      </c>
      <c r="O27" s="27">
        <v>5400</v>
      </c>
      <c r="P27" s="29">
        <f t="shared" si="4"/>
        <v>52900</v>
      </c>
      <c r="Q27" s="41">
        <v>1922</v>
      </c>
      <c r="R27" s="27"/>
      <c r="S27" s="27" t="str">
        <f t="shared" si="10"/>
        <v>https://babel.hathitrust.org/cgi/pt?id=njp.32101060099841;view=1up;seq=242</v>
      </c>
      <c r="T27" s="27" t="str">
        <f t="shared" si="10"/>
        <v>https://babel.hathitrust.org/cgi/pt?id=njp.32101060099841;view=1up;seq=180</v>
      </c>
      <c r="U27" s="27" t="str">
        <f t="shared" si="5"/>
        <v>https://babel.hathitrust.org/cgi/pt?id=njp.32101060099841;view=1up;seq=224</v>
      </c>
      <c r="V27" s="27" t="str">
        <f t="shared" si="6"/>
        <v>https://babel.hathitrust.org/cgi/pt?id=njp.32101060099841;view=1up;seq=242</v>
      </c>
      <c r="W27" s="27" t="str">
        <f t="shared" si="8"/>
        <v>https://babel.hathitrust.org/cgi/pt?id=njp.32101060099841;view=1up;seq=150</v>
      </c>
      <c r="X27" s="27" t="str">
        <f t="shared" si="11"/>
        <v>https://babel.hathitrust.org/cgi/pt?id=njp.32101060099841;view=1up;seq=274</v>
      </c>
      <c r="Y27" s="27" t="str">
        <f t="shared" si="11"/>
        <v>https://babel.hathitrust.org/cgi/pt?id=njp.32101060099841;view=1up;seq=275</v>
      </c>
      <c r="Z27" s="27" t="str">
        <f t="shared" si="11"/>
        <v>https://babel.hathitrust.org/cgi/pt?id=njp.32101060099841;view=1up;seq=224</v>
      </c>
      <c r="AA27" s="27" t="str">
        <f t="shared" si="11"/>
        <v>https://babel.hathitrust.org/cgi/pt?id=njp.32101060099833;view=1up;seq=584</v>
      </c>
      <c r="AB27" s="27"/>
      <c r="AC27" s="27"/>
      <c r="AD27" s="27"/>
    </row>
    <row r="28" spans="1:30" x14ac:dyDescent="0.25">
      <c r="A28" s="27" t="s">
        <v>909</v>
      </c>
      <c r="B28" s="27" t="str">
        <f t="shared" si="0"/>
        <v>Kentucky</v>
      </c>
      <c r="C28" s="27" t="str">
        <f t="shared" si="1"/>
        <v>Clinton</v>
      </c>
      <c r="D28" s="96">
        <f>1317+14+130</f>
        <v>1461</v>
      </c>
      <c r="E28" s="41">
        <f>51+3+0+2</f>
        <v>56</v>
      </c>
      <c r="F28" s="41">
        <v>7.5</v>
      </c>
      <c r="G28" s="7">
        <f t="shared" si="3"/>
        <v>150</v>
      </c>
      <c r="H28" s="41">
        <f>2354+20+250+107</f>
        <v>2731</v>
      </c>
      <c r="I28" s="25"/>
      <c r="J28" s="25">
        <f>21592.25+4787.76</f>
        <v>26380.010000000002</v>
      </c>
      <c r="K28" s="115">
        <f t="shared" si="2"/>
        <v>62.809547619047628</v>
      </c>
      <c r="L28" s="2">
        <f>34328.82+9878.07</f>
        <v>44206.89</v>
      </c>
      <c r="M28" s="27">
        <f>49+1+1</f>
        <v>51</v>
      </c>
      <c r="N28" s="27">
        <v>20500</v>
      </c>
      <c r="O28" s="27">
        <v>3200</v>
      </c>
      <c r="P28" s="29">
        <f t="shared" si="4"/>
        <v>23700</v>
      </c>
      <c r="Q28" s="41">
        <v>1922</v>
      </c>
      <c r="R28" s="27"/>
      <c r="S28" s="27" t="str">
        <f t="shared" si="10"/>
        <v>https://babel.hathitrust.org/cgi/pt?id=njp.32101060099841;view=1up;seq=242</v>
      </c>
      <c r="T28" s="27" t="str">
        <f t="shared" si="10"/>
        <v>https://babel.hathitrust.org/cgi/pt?id=njp.32101060099841;view=1up;seq=180</v>
      </c>
      <c r="U28" s="27" t="str">
        <f t="shared" si="5"/>
        <v>https://babel.hathitrust.org/cgi/pt?id=njp.32101060099841;view=1up;seq=224</v>
      </c>
      <c r="V28" s="27" t="str">
        <f t="shared" si="6"/>
        <v>https://babel.hathitrust.org/cgi/pt?id=njp.32101060099841;view=1up;seq=242</v>
      </c>
      <c r="W28" s="27" t="str">
        <f t="shared" si="8"/>
        <v>https://babel.hathitrust.org/cgi/pt?id=njp.32101060099841;view=1up;seq=150</v>
      </c>
      <c r="X28" s="27" t="str">
        <f t="shared" si="11"/>
        <v>https://babel.hathitrust.org/cgi/pt?id=njp.32101060099841;view=1up;seq=274</v>
      </c>
      <c r="Y28" s="27" t="str">
        <f t="shared" si="11"/>
        <v>https://babel.hathitrust.org/cgi/pt?id=njp.32101060099841;view=1up;seq=275</v>
      </c>
      <c r="Z28" s="27" t="str">
        <f t="shared" si="11"/>
        <v>https://babel.hathitrust.org/cgi/pt?id=njp.32101060099841;view=1up;seq=224</v>
      </c>
      <c r="AA28" s="27" t="str">
        <f t="shared" si="11"/>
        <v>https://babel.hathitrust.org/cgi/pt?id=njp.32101060099833;view=1up;seq=584</v>
      </c>
      <c r="AB28" s="27"/>
      <c r="AC28" s="27"/>
      <c r="AD28" s="27"/>
    </row>
    <row r="29" spans="1:30" x14ac:dyDescent="0.25">
      <c r="A29" s="27" t="s">
        <v>910</v>
      </c>
      <c r="B29" s="27" t="str">
        <f t="shared" si="0"/>
        <v>Kentucky</v>
      </c>
      <c r="C29" s="27" t="str">
        <f t="shared" si="1"/>
        <v>Crittenden</v>
      </c>
      <c r="D29" s="96">
        <f>1974+22+410+40+49+80</f>
        <v>2575</v>
      </c>
      <c r="E29" s="41">
        <f>73+10+2+2+2+0+2+6+2</f>
        <v>99</v>
      </c>
      <c r="F29" s="41">
        <v>8</v>
      </c>
      <c r="G29" s="7">
        <f t="shared" si="3"/>
        <v>160</v>
      </c>
      <c r="H29" s="41">
        <f>2720+37+368+73+94+116+39+155+37</f>
        <v>3639</v>
      </c>
      <c r="I29" s="25"/>
      <c r="J29" s="25">
        <f>36587.65+14803.84+780+840+2775</f>
        <v>55786.490000000005</v>
      </c>
      <c r="K29" s="115">
        <f t="shared" si="2"/>
        <v>70.437487373737383</v>
      </c>
      <c r="L29" s="2">
        <f>49887.44+47449.09+989.258+1024.35+3212.43</f>
        <v>102562.568</v>
      </c>
      <c r="M29" s="27">
        <f>60+4+1+1+1+1</f>
        <v>68</v>
      </c>
      <c r="N29" s="27">
        <v>41000</v>
      </c>
      <c r="O29" s="27">
        <v>8150</v>
      </c>
      <c r="P29" s="29">
        <f t="shared" si="4"/>
        <v>49150</v>
      </c>
      <c r="Q29" s="41">
        <v>1922</v>
      </c>
      <c r="R29" s="27"/>
      <c r="S29" s="27" t="str">
        <f t="shared" si="10"/>
        <v>https://babel.hathitrust.org/cgi/pt?id=njp.32101060099841;view=1up;seq=242</v>
      </c>
      <c r="T29" s="27" t="str">
        <f t="shared" si="10"/>
        <v>https://babel.hathitrust.org/cgi/pt?id=njp.32101060099841;view=1up;seq=180</v>
      </c>
      <c r="U29" s="27" t="str">
        <f t="shared" si="5"/>
        <v>https://babel.hathitrust.org/cgi/pt?id=njp.32101060099841;view=1up;seq=224</v>
      </c>
      <c r="V29" s="27" t="str">
        <f t="shared" si="6"/>
        <v>https://babel.hathitrust.org/cgi/pt?id=njp.32101060099841;view=1up;seq=242</v>
      </c>
      <c r="W29" s="27" t="str">
        <f t="shared" si="8"/>
        <v>https://babel.hathitrust.org/cgi/pt?id=njp.32101060099841;view=1up;seq=150</v>
      </c>
      <c r="X29" s="27" t="str">
        <f t="shared" si="11"/>
        <v>https://babel.hathitrust.org/cgi/pt?id=njp.32101060099841;view=1up;seq=274</v>
      </c>
      <c r="Y29" s="27" t="str">
        <f t="shared" si="11"/>
        <v>https://babel.hathitrust.org/cgi/pt?id=njp.32101060099841;view=1up;seq=275</v>
      </c>
      <c r="Z29" s="27" t="str">
        <f t="shared" si="11"/>
        <v>https://babel.hathitrust.org/cgi/pt?id=njp.32101060099841;view=1up;seq=224</v>
      </c>
      <c r="AA29" s="27" t="str">
        <f t="shared" si="11"/>
        <v>https://babel.hathitrust.org/cgi/pt?id=njp.32101060099833;view=1up;seq=584</v>
      </c>
      <c r="AB29" s="27"/>
      <c r="AC29" s="27"/>
      <c r="AD29" s="27"/>
    </row>
    <row r="30" spans="1:30" x14ac:dyDescent="0.25">
      <c r="A30" s="27" t="s">
        <v>911</v>
      </c>
      <c r="B30" s="27" t="str">
        <f t="shared" si="0"/>
        <v>Kentucky</v>
      </c>
      <c r="C30" s="27" t="str">
        <f t="shared" si="1"/>
        <v>Cumberland</v>
      </c>
      <c r="D30" s="96">
        <f>1200+147+157+80</f>
        <v>1584</v>
      </c>
      <c r="E30" s="41">
        <f>56+3+2+0+4+2</f>
        <v>67</v>
      </c>
      <c r="F30" s="41">
        <v>8</v>
      </c>
      <c r="G30" s="7">
        <f t="shared" si="3"/>
        <v>160</v>
      </c>
      <c r="H30" s="41">
        <f>2334+281+155+57+32+17</f>
        <v>2876</v>
      </c>
      <c r="I30" s="27"/>
      <c r="J30" s="90">
        <f>19701.96+3185+1647.25</f>
        <v>24534.21</v>
      </c>
      <c r="K30" s="115">
        <f t="shared" si="2"/>
        <v>45.772779850746268</v>
      </c>
      <c r="L30" s="2">
        <f>29373.26+4129.48+1821.83</f>
        <v>35324.57</v>
      </c>
      <c r="M30" s="27">
        <f>50+2+1+1</f>
        <v>54</v>
      </c>
      <c r="N30" s="27">
        <v>37200</v>
      </c>
      <c r="O30" s="27">
        <v>5550</v>
      </c>
      <c r="P30" s="29">
        <f t="shared" si="4"/>
        <v>42750</v>
      </c>
      <c r="Q30" s="41">
        <v>1922</v>
      </c>
      <c r="R30" s="27"/>
      <c r="S30" s="27" t="str">
        <f t="shared" si="10"/>
        <v>https://babel.hathitrust.org/cgi/pt?id=njp.32101060099841;view=1up;seq=242</v>
      </c>
      <c r="T30" s="27" t="str">
        <f t="shared" si="10"/>
        <v>https://babel.hathitrust.org/cgi/pt?id=njp.32101060099841;view=1up;seq=180</v>
      </c>
      <c r="U30" s="27" t="str">
        <f t="shared" si="5"/>
        <v>https://babel.hathitrust.org/cgi/pt?id=njp.32101060099841;view=1up;seq=224</v>
      </c>
      <c r="V30" s="27" t="str">
        <f t="shared" si="6"/>
        <v>https://babel.hathitrust.org/cgi/pt?id=njp.32101060099841;view=1up;seq=242</v>
      </c>
      <c r="W30" s="27" t="str">
        <f t="shared" si="8"/>
        <v>https://babel.hathitrust.org/cgi/pt?id=njp.32101060099841;view=1up;seq=150</v>
      </c>
      <c r="X30" s="27" t="str">
        <f t="shared" si="11"/>
        <v>https://babel.hathitrust.org/cgi/pt?id=njp.32101060099841;view=1up;seq=274</v>
      </c>
      <c r="Y30" s="27" t="str">
        <f t="shared" si="11"/>
        <v>https://babel.hathitrust.org/cgi/pt?id=njp.32101060099841;view=1up;seq=275</v>
      </c>
      <c r="Z30" s="27" t="str">
        <f t="shared" si="11"/>
        <v>https://babel.hathitrust.org/cgi/pt?id=njp.32101060099841;view=1up;seq=224</v>
      </c>
      <c r="AA30" s="27" t="str">
        <f t="shared" si="11"/>
        <v>https://babel.hathitrust.org/cgi/pt?id=njp.32101060099833;view=1up;seq=584</v>
      </c>
      <c r="AB30" s="27"/>
      <c r="AC30" s="27"/>
      <c r="AD30" s="27"/>
    </row>
    <row r="31" spans="1:30" x14ac:dyDescent="0.25">
      <c r="A31" s="27" t="s">
        <v>1748</v>
      </c>
      <c r="B31" s="27" t="str">
        <f t="shared" si="0"/>
        <v>Kentucky</v>
      </c>
      <c r="C31" s="27" t="str">
        <f t="shared" si="1"/>
        <v>Daviess</v>
      </c>
      <c r="D31" s="96">
        <f>2641+261+2440+474+58+75</f>
        <v>5949</v>
      </c>
      <c r="E31" s="41">
        <f>99+80+1+1+0+0+5+1+23+3+4+5+5</f>
        <v>227</v>
      </c>
      <c r="F31" s="41">
        <v>8</v>
      </c>
      <c r="G31" s="7">
        <f t="shared" si="3"/>
        <v>160</v>
      </c>
      <c r="H31" s="41">
        <f>4060+354+2549+521+67+81+167+11+611+31+77+45+85+100</f>
        <v>8759</v>
      </c>
      <c r="I31" s="25"/>
      <c r="J31" s="25">
        <f>93313.96+113051.15+1190+1516.77</f>
        <v>209071.87999999998</v>
      </c>
      <c r="K31" s="115">
        <f t="shared" si="2"/>
        <v>115.12768722466959</v>
      </c>
      <c r="L31" s="2">
        <f>174527.99+164843.23+2253.07+1585.65</f>
        <v>343209.94</v>
      </c>
      <c r="M31" s="27">
        <f>87+8+1+1</f>
        <v>97</v>
      </c>
      <c r="N31" s="27">
        <v>154066.54999999999</v>
      </c>
      <c r="O31" s="27">
        <v>20513.400000000001</v>
      </c>
      <c r="P31" s="29">
        <f t="shared" si="4"/>
        <v>174579.94999999998</v>
      </c>
      <c r="Q31" s="41">
        <v>1922</v>
      </c>
      <c r="R31" s="27"/>
      <c r="S31" s="27" t="str">
        <f t="shared" si="10"/>
        <v>https://babel.hathitrust.org/cgi/pt?id=njp.32101060099841;view=1up;seq=242</v>
      </c>
      <c r="T31" s="27" t="str">
        <f t="shared" si="10"/>
        <v>https://babel.hathitrust.org/cgi/pt?id=njp.32101060099841;view=1up;seq=180</v>
      </c>
      <c r="U31" s="27" t="str">
        <f t="shared" si="5"/>
        <v>https://babel.hathitrust.org/cgi/pt?id=njp.32101060099841;view=1up;seq=224</v>
      </c>
      <c r="V31" s="27" t="str">
        <f t="shared" si="6"/>
        <v>https://babel.hathitrust.org/cgi/pt?id=njp.32101060099841;view=1up;seq=242</v>
      </c>
      <c r="W31" s="27" t="str">
        <f t="shared" si="8"/>
        <v>https://babel.hathitrust.org/cgi/pt?id=njp.32101060099841;view=1up;seq=150</v>
      </c>
      <c r="X31" s="27" t="str">
        <f t="shared" si="11"/>
        <v>https://babel.hathitrust.org/cgi/pt?id=njp.32101060099841;view=1up;seq=274</v>
      </c>
      <c r="Y31" s="27" t="str">
        <f t="shared" si="11"/>
        <v>https://babel.hathitrust.org/cgi/pt?id=njp.32101060099841;view=1up;seq=275</v>
      </c>
      <c r="Z31" s="27" t="str">
        <f t="shared" si="11"/>
        <v>https://babel.hathitrust.org/cgi/pt?id=njp.32101060099841;view=1up;seq=224</v>
      </c>
      <c r="AA31" s="27" t="str">
        <f t="shared" si="11"/>
        <v>https://babel.hathitrust.org/cgi/pt?id=njp.32101060099833;view=1up;seq=584</v>
      </c>
      <c r="AB31" s="27"/>
      <c r="AC31" s="27"/>
      <c r="AD31" s="27"/>
    </row>
    <row r="32" spans="1:30" x14ac:dyDescent="0.25">
      <c r="A32" s="27" t="s">
        <v>912</v>
      </c>
      <c r="B32" s="27" t="str">
        <f t="shared" si="0"/>
        <v>Kentucky</v>
      </c>
      <c r="C32" s="27" t="str">
        <f t="shared" si="1"/>
        <v>Edmonson</v>
      </c>
      <c r="D32" s="96">
        <f>1625+68+105</f>
        <v>1798</v>
      </c>
      <c r="E32" s="41">
        <f>59+2+0+2</f>
        <v>63</v>
      </c>
      <c r="F32" s="41">
        <v>7.5</v>
      </c>
      <c r="G32" s="7">
        <f t="shared" si="3"/>
        <v>150</v>
      </c>
      <c r="H32" s="41">
        <f>3142+120+73+45</f>
        <v>3380</v>
      </c>
      <c r="I32" s="25"/>
      <c r="J32" s="25">
        <f>28674.5+3580</f>
        <v>32254.5</v>
      </c>
      <c r="K32" s="115">
        <f t="shared" si="2"/>
        <v>68.263492063492066</v>
      </c>
      <c r="L32" s="2">
        <f>34224.5+4074.07</f>
        <v>38298.57</v>
      </c>
      <c r="M32" s="27">
        <f>55+2+1</f>
        <v>58</v>
      </c>
      <c r="N32" s="27">
        <v>30000</v>
      </c>
      <c r="O32" s="27">
        <v>4900</v>
      </c>
      <c r="P32" s="29">
        <f t="shared" si="4"/>
        <v>34900</v>
      </c>
      <c r="Q32" s="41">
        <v>1922</v>
      </c>
      <c r="R32" s="27"/>
      <c r="S32" s="27" t="str">
        <f t="shared" si="10"/>
        <v>https://babel.hathitrust.org/cgi/pt?id=njp.32101060099841;view=1up;seq=242</v>
      </c>
      <c r="T32" s="27" t="str">
        <f t="shared" si="10"/>
        <v>https://babel.hathitrust.org/cgi/pt?id=njp.32101060099841;view=1up;seq=180</v>
      </c>
      <c r="U32" s="27" t="str">
        <f t="shared" si="5"/>
        <v>https://babel.hathitrust.org/cgi/pt?id=njp.32101060099841;view=1up;seq=224</v>
      </c>
      <c r="V32" s="27" t="str">
        <f t="shared" si="6"/>
        <v>https://babel.hathitrust.org/cgi/pt?id=njp.32101060099841;view=1up;seq=242</v>
      </c>
      <c r="W32" s="27" t="str">
        <f t="shared" si="8"/>
        <v>https://babel.hathitrust.org/cgi/pt?id=njp.32101060099841;view=1up;seq=150</v>
      </c>
      <c r="X32" s="27" t="str">
        <f t="shared" si="11"/>
        <v>https://babel.hathitrust.org/cgi/pt?id=njp.32101060099841;view=1up;seq=274</v>
      </c>
      <c r="Y32" s="27" t="str">
        <f t="shared" si="11"/>
        <v>https://babel.hathitrust.org/cgi/pt?id=njp.32101060099841;view=1up;seq=275</v>
      </c>
      <c r="Z32" s="27" t="str">
        <f t="shared" si="11"/>
        <v>https://babel.hathitrust.org/cgi/pt?id=njp.32101060099841;view=1up;seq=224</v>
      </c>
      <c r="AA32" s="27" t="str">
        <f t="shared" si="11"/>
        <v>https://babel.hathitrust.org/cgi/pt?id=njp.32101060099833;view=1up;seq=584</v>
      </c>
      <c r="AB32" s="27"/>
      <c r="AC32" s="27"/>
      <c r="AD32" s="27"/>
    </row>
    <row r="33" spans="1:30" x14ac:dyDescent="0.25">
      <c r="A33" s="27" t="s">
        <v>913</v>
      </c>
      <c r="B33" s="27" t="str">
        <f t="shared" si="0"/>
        <v>Kentucky</v>
      </c>
      <c r="C33" s="27" t="str">
        <f t="shared" si="1"/>
        <v>Elliott</v>
      </c>
      <c r="D33" s="96">
        <v>2666</v>
      </c>
      <c r="E33" s="41">
        <f>60</f>
        <v>60</v>
      </c>
      <c r="F33" s="41">
        <v>7</v>
      </c>
      <c r="G33" s="7">
        <f t="shared" si="3"/>
        <v>140</v>
      </c>
      <c r="H33" s="41">
        <f>3920</f>
        <v>3920</v>
      </c>
      <c r="I33" s="27"/>
      <c r="J33" s="27">
        <v>19733.5</v>
      </c>
      <c r="K33" s="115">
        <f t="shared" si="2"/>
        <v>46.984523809523807</v>
      </c>
      <c r="L33" s="2">
        <v>25003.5</v>
      </c>
      <c r="M33" s="27">
        <f>55+3</f>
        <v>58</v>
      </c>
      <c r="N33" s="27">
        <v>2000</v>
      </c>
      <c r="P33" s="29">
        <f t="shared" si="4"/>
        <v>2000</v>
      </c>
      <c r="Q33" s="41">
        <v>1922</v>
      </c>
      <c r="R33" s="27"/>
      <c r="S33" s="27" t="str">
        <f t="shared" si="10"/>
        <v>https://babel.hathitrust.org/cgi/pt?id=njp.32101060099841;view=1up;seq=242</v>
      </c>
      <c r="T33" s="27" t="str">
        <f t="shared" si="10"/>
        <v>https://babel.hathitrust.org/cgi/pt?id=njp.32101060099841;view=1up;seq=180</v>
      </c>
      <c r="U33" s="27" t="str">
        <f t="shared" si="5"/>
        <v>https://babel.hathitrust.org/cgi/pt?id=njp.32101060099841;view=1up;seq=224</v>
      </c>
      <c r="V33" s="27" t="str">
        <f t="shared" si="6"/>
        <v>https://babel.hathitrust.org/cgi/pt?id=njp.32101060099841;view=1up;seq=242</v>
      </c>
      <c r="W33" s="27" t="str">
        <f t="shared" si="8"/>
        <v>https://babel.hathitrust.org/cgi/pt?id=njp.32101060099841;view=1up;seq=150</v>
      </c>
      <c r="X33" s="27" t="str">
        <f t="shared" si="11"/>
        <v>https://babel.hathitrust.org/cgi/pt?id=njp.32101060099841;view=1up;seq=274</v>
      </c>
      <c r="Y33" s="27" t="str">
        <f t="shared" si="11"/>
        <v>https://babel.hathitrust.org/cgi/pt?id=njp.32101060099841;view=1up;seq=275</v>
      </c>
      <c r="Z33" s="27" t="str">
        <f t="shared" si="11"/>
        <v>https://babel.hathitrust.org/cgi/pt?id=njp.32101060099841;view=1up;seq=224</v>
      </c>
      <c r="AA33" s="27" t="str">
        <f t="shared" si="11"/>
        <v>https://babel.hathitrust.org/cgi/pt?id=njp.32101060099833;view=1up;seq=584</v>
      </c>
      <c r="AB33" s="27"/>
      <c r="AC33" s="27"/>
      <c r="AD33" s="27"/>
    </row>
    <row r="34" spans="1:30" x14ac:dyDescent="0.25">
      <c r="A34" s="27" t="s">
        <v>914</v>
      </c>
      <c r="B34" s="27" t="str">
        <f t="shared" si="0"/>
        <v>Kentucky</v>
      </c>
      <c r="C34" s="27" t="str">
        <f t="shared" si="1"/>
        <v>Estill</v>
      </c>
      <c r="D34" s="96">
        <f>2132+643+34+160</f>
        <v>2969</v>
      </c>
      <c r="E34" s="41">
        <f>75+13+3+0+0+4</f>
        <v>95</v>
      </c>
      <c r="F34" s="41">
        <v>8</v>
      </c>
      <c r="G34" s="7">
        <f t="shared" si="3"/>
        <v>160</v>
      </c>
      <c r="H34" s="41">
        <f>3370+30+682+186+114</f>
        <v>4382</v>
      </c>
      <c r="I34" s="25"/>
      <c r="J34" s="25">
        <f>39241.4+11929.96+765</f>
        <v>51936.36</v>
      </c>
      <c r="K34" s="115">
        <f t="shared" ref="K34:K65" si="12">J34/E34/(G34/20)</f>
        <v>68.337315789473692</v>
      </c>
      <c r="L34" s="2">
        <f>57000.03+25456.2+1862.67</f>
        <v>84318.9</v>
      </c>
      <c r="M34" s="27">
        <f>70+2+1+1</f>
        <v>74</v>
      </c>
      <c r="N34" s="27">
        <v>40300</v>
      </c>
      <c r="O34" s="27">
        <v>7100</v>
      </c>
      <c r="P34" s="29">
        <f t="shared" si="4"/>
        <v>47400</v>
      </c>
      <c r="Q34" s="41">
        <v>1922</v>
      </c>
      <c r="R34" s="27"/>
      <c r="S34" s="27" t="str">
        <f t="shared" si="10"/>
        <v>https://babel.hathitrust.org/cgi/pt?id=njp.32101060099841;view=1up;seq=242</v>
      </c>
      <c r="T34" s="27" t="str">
        <f t="shared" si="10"/>
        <v>https://babel.hathitrust.org/cgi/pt?id=njp.32101060099841;view=1up;seq=180</v>
      </c>
      <c r="U34" s="27" t="str">
        <f t="shared" si="5"/>
        <v>https://babel.hathitrust.org/cgi/pt?id=njp.32101060099841;view=1up;seq=224</v>
      </c>
      <c r="V34" s="27" t="str">
        <f t="shared" si="6"/>
        <v>https://babel.hathitrust.org/cgi/pt?id=njp.32101060099841;view=1up;seq=242</v>
      </c>
      <c r="W34" s="27" t="str">
        <f t="shared" si="8"/>
        <v>https://babel.hathitrust.org/cgi/pt?id=njp.32101060099841;view=1up;seq=150</v>
      </c>
      <c r="X34" s="27" t="str">
        <f t="shared" si="11"/>
        <v>https://babel.hathitrust.org/cgi/pt?id=njp.32101060099841;view=1up;seq=274</v>
      </c>
      <c r="Y34" s="27" t="str">
        <f t="shared" si="11"/>
        <v>https://babel.hathitrust.org/cgi/pt?id=njp.32101060099841;view=1up;seq=275</v>
      </c>
      <c r="Z34" s="27" t="str">
        <f t="shared" si="11"/>
        <v>https://babel.hathitrust.org/cgi/pt?id=njp.32101060099841;view=1up;seq=224</v>
      </c>
      <c r="AA34" s="27" t="str">
        <f t="shared" si="11"/>
        <v>https://babel.hathitrust.org/cgi/pt?id=njp.32101060099833;view=1up;seq=584</v>
      </c>
      <c r="AB34" s="27"/>
      <c r="AC34" s="27"/>
      <c r="AD34" s="27"/>
    </row>
    <row r="35" spans="1:30" x14ac:dyDescent="0.25">
      <c r="A35" s="27" t="s">
        <v>915</v>
      </c>
      <c r="B35" s="27" t="str">
        <f t="shared" si="0"/>
        <v>Kentucky</v>
      </c>
      <c r="C35" s="27" t="str">
        <f t="shared" si="1"/>
        <v>Fayette</v>
      </c>
      <c r="D35" s="96">
        <f>1651+467+4192+1488</f>
        <v>7798</v>
      </c>
      <c r="E35" s="41">
        <f>72+122+0+0+4+26+8+32+4+5+11+4+1</f>
        <v>289</v>
      </c>
      <c r="F35" s="41">
        <v>9.5</v>
      </c>
      <c r="G35" s="7">
        <f t="shared" si="3"/>
        <v>190</v>
      </c>
      <c r="H35" s="41">
        <f>2329+687+4076+1572+43+528+98+93+24+178+7+10</f>
        <v>9645</v>
      </c>
      <c r="I35" s="25"/>
      <c r="J35" s="25">
        <f>93205.63+254732.17</f>
        <v>347937.80000000005</v>
      </c>
      <c r="K35" s="115">
        <f t="shared" si="12"/>
        <v>126.73021307594246</v>
      </c>
      <c r="L35" s="2">
        <f>289679.71+721991.05</f>
        <v>1011670.76</v>
      </c>
      <c r="M35" s="27">
        <f>17+19</f>
        <v>36</v>
      </c>
      <c r="N35" s="27">
        <v>15000</v>
      </c>
      <c r="O35" s="27">
        <v>42250</v>
      </c>
      <c r="P35" s="29">
        <f t="shared" si="4"/>
        <v>57250</v>
      </c>
      <c r="Q35" s="41">
        <v>1922</v>
      </c>
      <c r="R35" s="27"/>
      <c r="S35" s="27" t="str">
        <f t="shared" si="10"/>
        <v>https://babel.hathitrust.org/cgi/pt?id=njp.32101060099841;view=1up;seq=242</v>
      </c>
      <c r="T35" s="27" t="str">
        <f t="shared" si="10"/>
        <v>https://babel.hathitrust.org/cgi/pt?id=njp.32101060099841;view=1up;seq=180</v>
      </c>
      <c r="U35" s="27" t="str">
        <f t="shared" si="5"/>
        <v>https://babel.hathitrust.org/cgi/pt?id=njp.32101060099841;view=1up;seq=224</v>
      </c>
      <c r="V35" s="27" t="str">
        <f t="shared" si="6"/>
        <v>https://babel.hathitrust.org/cgi/pt?id=njp.32101060099841;view=1up;seq=242</v>
      </c>
      <c r="W35" s="27" t="str">
        <f t="shared" si="8"/>
        <v>https://babel.hathitrust.org/cgi/pt?id=njp.32101060099841;view=1up;seq=150</v>
      </c>
      <c r="X35" s="27" t="str">
        <f t="shared" si="11"/>
        <v>https://babel.hathitrust.org/cgi/pt?id=njp.32101060099841;view=1up;seq=274</v>
      </c>
      <c r="Y35" s="27" t="str">
        <f t="shared" si="11"/>
        <v>https://babel.hathitrust.org/cgi/pt?id=njp.32101060099841;view=1up;seq=275</v>
      </c>
      <c r="Z35" s="27" t="str">
        <f t="shared" si="11"/>
        <v>https://babel.hathitrust.org/cgi/pt?id=njp.32101060099841;view=1up;seq=224</v>
      </c>
      <c r="AA35" s="27" t="str">
        <f t="shared" si="11"/>
        <v>https://babel.hathitrust.org/cgi/pt?id=njp.32101060099833;view=1up;seq=584</v>
      </c>
      <c r="AB35" s="27"/>
      <c r="AC35" s="27"/>
      <c r="AD35" s="27"/>
    </row>
    <row r="36" spans="1:30" x14ac:dyDescent="0.25">
      <c r="A36" s="27" t="s">
        <v>916</v>
      </c>
      <c r="B36" s="27" t="str">
        <f t="shared" si="0"/>
        <v>Kentucky</v>
      </c>
      <c r="C36" s="27" t="str">
        <f t="shared" si="1"/>
        <v>Fleming</v>
      </c>
      <c r="D36" s="96">
        <f>1957+175+120+125+355</f>
        <v>2732</v>
      </c>
      <c r="E36" s="41">
        <f>74+3+4+8+0+2+2+6+3</f>
        <v>102</v>
      </c>
      <c r="F36" s="41">
        <v>8.5</v>
      </c>
      <c r="G36" s="7">
        <f t="shared" si="3"/>
        <v>170</v>
      </c>
      <c r="H36" s="41">
        <f>2803+233+113+105+291+27+35+147+17</f>
        <v>3771</v>
      </c>
      <c r="I36" s="25"/>
      <c r="J36" s="25">
        <f>40039+4890+10651.63</f>
        <v>55580.63</v>
      </c>
      <c r="K36" s="115">
        <f t="shared" si="12"/>
        <v>64.10683967704729</v>
      </c>
      <c r="L36" s="2">
        <f>55189.63+6295.93+18454.78</f>
        <v>79940.34</v>
      </c>
      <c r="M36" s="27">
        <f>56+8+1+1+1</f>
        <v>67</v>
      </c>
      <c r="N36" s="27">
        <v>92500</v>
      </c>
      <c r="O36" s="27">
        <v>8800</v>
      </c>
      <c r="P36" s="29">
        <f t="shared" si="4"/>
        <v>101300</v>
      </c>
      <c r="Q36" s="41">
        <v>1922</v>
      </c>
      <c r="R36" s="27"/>
      <c r="S36" s="27" t="str">
        <f t="shared" ref="S36:T51" si="13">S35</f>
        <v>https://babel.hathitrust.org/cgi/pt?id=njp.32101060099841;view=1up;seq=242</v>
      </c>
      <c r="T36" s="27" t="str">
        <f t="shared" si="13"/>
        <v>https://babel.hathitrust.org/cgi/pt?id=njp.32101060099841;view=1up;seq=180</v>
      </c>
      <c r="U36" s="27" t="str">
        <f t="shared" si="5"/>
        <v>https://babel.hathitrust.org/cgi/pt?id=njp.32101060099841;view=1up;seq=224</v>
      </c>
      <c r="V36" s="27" t="str">
        <f t="shared" si="6"/>
        <v>https://babel.hathitrust.org/cgi/pt?id=njp.32101060099841;view=1up;seq=242</v>
      </c>
      <c r="W36" s="27" t="str">
        <f t="shared" si="8"/>
        <v>https://babel.hathitrust.org/cgi/pt?id=njp.32101060099841;view=1up;seq=150</v>
      </c>
      <c r="X36" s="27" t="str">
        <f t="shared" ref="X36:AA51" si="14">X35</f>
        <v>https://babel.hathitrust.org/cgi/pt?id=njp.32101060099841;view=1up;seq=274</v>
      </c>
      <c r="Y36" s="27" t="str">
        <f t="shared" si="14"/>
        <v>https://babel.hathitrust.org/cgi/pt?id=njp.32101060099841;view=1up;seq=275</v>
      </c>
      <c r="Z36" s="27" t="str">
        <f t="shared" si="14"/>
        <v>https://babel.hathitrust.org/cgi/pt?id=njp.32101060099841;view=1up;seq=224</v>
      </c>
      <c r="AA36" s="27" t="str">
        <f t="shared" si="14"/>
        <v>https://babel.hathitrust.org/cgi/pt?id=njp.32101060099833;view=1up;seq=584</v>
      </c>
      <c r="AB36" s="27"/>
      <c r="AC36" s="27"/>
      <c r="AD36" s="27"/>
    </row>
    <row r="37" spans="1:30" x14ac:dyDescent="0.25">
      <c r="A37" s="27" t="s">
        <v>917</v>
      </c>
      <c r="B37" s="27" t="str">
        <f t="shared" si="0"/>
        <v>Kentucky</v>
      </c>
      <c r="C37" s="27" t="str">
        <f t="shared" si="1"/>
        <v>Floyd</v>
      </c>
      <c r="D37" s="96">
        <f>4441+30+365+334+262+113</f>
        <v>5545</v>
      </c>
      <c r="E37" s="41">
        <f>121+8+6+3+0+0+3+1+1</f>
        <v>143</v>
      </c>
      <c r="F37" s="41">
        <v>8.1999999999999993</v>
      </c>
      <c r="G37" s="7">
        <f t="shared" si="3"/>
        <v>164</v>
      </c>
      <c r="H37" s="41">
        <f>7131+35+396+378+109+109+84+16+6</f>
        <v>8264</v>
      </c>
      <c r="I37" s="25"/>
      <c r="J37" s="25">
        <f>63583.8+4987.5+5922.25+3966.25+1920</f>
        <v>80379.8</v>
      </c>
      <c r="K37" s="115">
        <f t="shared" si="12"/>
        <v>68.548354084939461</v>
      </c>
      <c r="L37" s="2">
        <f>81246.73+7473.96+6822.1+4495.99+2005</f>
        <v>102043.78000000001</v>
      </c>
      <c r="M37" s="27">
        <f>104+13+1+1+1+1</f>
        <v>121</v>
      </c>
      <c r="N37" s="27">
        <v>86900</v>
      </c>
      <c r="O37" s="27">
        <v>16325</v>
      </c>
      <c r="P37" s="29">
        <f t="shared" si="4"/>
        <v>103225</v>
      </c>
      <c r="Q37" s="41">
        <v>1922</v>
      </c>
      <c r="R37" s="27"/>
      <c r="S37" s="27" t="str">
        <f t="shared" si="13"/>
        <v>https://babel.hathitrust.org/cgi/pt?id=njp.32101060099841;view=1up;seq=242</v>
      </c>
      <c r="T37" s="27" t="str">
        <f t="shared" si="13"/>
        <v>https://babel.hathitrust.org/cgi/pt?id=njp.32101060099841;view=1up;seq=180</v>
      </c>
      <c r="U37" s="27" t="str">
        <f t="shared" si="5"/>
        <v>https://babel.hathitrust.org/cgi/pt?id=njp.32101060099841;view=1up;seq=224</v>
      </c>
      <c r="V37" s="27" t="str">
        <f t="shared" si="6"/>
        <v>https://babel.hathitrust.org/cgi/pt?id=njp.32101060099841;view=1up;seq=242</v>
      </c>
      <c r="W37" s="27" t="str">
        <f t="shared" si="8"/>
        <v>https://babel.hathitrust.org/cgi/pt?id=njp.32101060099841;view=1up;seq=150</v>
      </c>
      <c r="X37" s="27" t="str">
        <f t="shared" si="14"/>
        <v>https://babel.hathitrust.org/cgi/pt?id=njp.32101060099841;view=1up;seq=274</v>
      </c>
      <c r="Y37" s="27" t="str">
        <f t="shared" si="14"/>
        <v>https://babel.hathitrust.org/cgi/pt?id=njp.32101060099841;view=1up;seq=275</v>
      </c>
      <c r="Z37" s="27" t="str">
        <f t="shared" si="14"/>
        <v>https://babel.hathitrust.org/cgi/pt?id=njp.32101060099841;view=1up;seq=224</v>
      </c>
      <c r="AA37" s="27" t="str">
        <f t="shared" si="14"/>
        <v>https://babel.hathitrust.org/cgi/pt?id=njp.32101060099833;view=1up;seq=584</v>
      </c>
      <c r="AB37" s="27"/>
      <c r="AC37" s="27"/>
      <c r="AD37" s="27"/>
    </row>
    <row r="38" spans="1:30" x14ac:dyDescent="0.25">
      <c r="A38" s="27" t="s">
        <v>918</v>
      </c>
      <c r="B38" s="27" t="str">
        <f t="shared" si="0"/>
        <v>Kentucky</v>
      </c>
      <c r="C38" s="27" t="str">
        <f t="shared" si="1"/>
        <v>Franklin</v>
      </c>
      <c r="D38" s="96">
        <f>1912+97+1017+291</f>
        <v>3317</v>
      </c>
      <c r="E38" s="41">
        <f>57+33+0+0+2+2+2+12+2+6</f>
        <v>116</v>
      </c>
      <c r="F38" s="41">
        <v>8.5</v>
      </c>
      <c r="G38" s="7">
        <f t="shared" si="3"/>
        <v>170</v>
      </c>
      <c r="H38" s="41">
        <f>1938+123+981+265+37+38+35+264+29+67</f>
        <v>3777</v>
      </c>
      <c r="I38" s="25"/>
      <c r="J38" s="25">
        <f>40858.87+51380.38</f>
        <v>92239.25</v>
      </c>
      <c r="K38" s="115">
        <f t="shared" si="12"/>
        <v>93.548935091277897</v>
      </c>
      <c r="L38" s="2">
        <f>56933.76+80791.87</f>
        <v>137725.63</v>
      </c>
      <c r="M38" s="27">
        <f>32+8+5</f>
        <v>45</v>
      </c>
      <c r="N38" s="27">
        <v>41600</v>
      </c>
      <c r="O38" s="27">
        <v>7300</v>
      </c>
      <c r="P38" s="29">
        <f t="shared" si="4"/>
        <v>48900</v>
      </c>
      <c r="Q38" s="41">
        <v>1922</v>
      </c>
      <c r="R38" s="27"/>
      <c r="S38" s="27" t="str">
        <f t="shared" si="13"/>
        <v>https://babel.hathitrust.org/cgi/pt?id=njp.32101060099841;view=1up;seq=242</v>
      </c>
      <c r="T38" s="27" t="str">
        <f t="shared" si="13"/>
        <v>https://babel.hathitrust.org/cgi/pt?id=njp.32101060099841;view=1up;seq=180</v>
      </c>
      <c r="U38" s="27" t="str">
        <f t="shared" si="5"/>
        <v>https://babel.hathitrust.org/cgi/pt?id=njp.32101060099841;view=1up;seq=224</v>
      </c>
      <c r="V38" s="27" t="str">
        <f t="shared" si="6"/>
        <v>https://babel.hathitrust.org/cgi/pt?id=njp.32101060099841;view=1up;seq=242</v>
      </c>
      <c r="W38" s="27" t="str">
        <f t="shared" si="8"/>
        <v>https://babel.hathitrust.org/cgi/pt?id=njp.32101060099841;view=1up;seq=150</v>
      </c>
      <c r="X38" s="27" t="str">
        <f t="shared" si="14"/>
        <v>https://babel.hathitrust.org/cgi/pt?id=njp.32101060099841;view=1up;seq=274</v>
      </c>
      <c r="Y38" s="27" t="str">
        <f t="shared" si="14"/>
        <v>https://babel.hathitrust.org/cgi/pt?id=njp.32101060099841;view=1up;seq=275</v>
      </c>
      <c r="Z38" s="27" t="str">
        <f t="shared" si="14"/>
        <v>https://babel.hathitrust.org/cgi/pt?id=njp.32101060099841;view=1up;seq=224</v>
      </c>
      <c r="AA38" s="27" t="str">
        <f t="shared" si="14"/>
        <v>https://babel.hathitrust.org/cgi/pt?id=njp.32101060099833;view=1up;seq=584</v>
      </c>
      <c r="AB38" s="27"/>
      <c r="AC38" s="27"/>
      <c r="AD38" s="27"/>
    </row>
    <row r="39" spans="1:30" x14ac:dyDescent="0.25">
      <c r="A39" s="27" t="s">
        <v>919</v>
      </c>
      <c r="B39" s="27" t="str">
        <f t="shared" si="0"/>
        <v>Kentucky</v>
      </c>
      <c r="C39" s="27" t="str">
        <f t="shared" si="1"/>
        <v>Fulton</v>
      </c>
      <c r="D39" s="96">
        <f>769+171+710+98+681+100</f>
        <v>2529</v>
      </c>
      <c r="E39" s="41">
        <f>39+15+15+3+0+0+2+2+10+5+3+2+1</f>
        <v>97</v>
      </c>
      <c r="F39" s="41">
        <v>8.8000000000000007</v>
      </c>
      <c r="G39" s="7">
        <f t="shared" si="3"/>
        <v>176</v>
      </c>
      <c r="H39" s="41">
        <f>1265+404+691+137+900+192+40+21+249+95+16+21+10</f>
        <v>4041</v>
      </c>
      <c r="I39" s="25"/>
      <c r="J39" s="25">
        <f>34094.74+20536.7+15918.74+2770</f>
        <v>73320.180000000008</v>
      </c>
      <c r="K39" s="115">
        <f t="shared" si="12"/>
        <v>85.895243673851922</v>
      </c>
      <c r="L39" s="2">
        <f>47041.97+58155.53+30978.67+3370.85</f>
        <v>139547.01999999999</v>
      </c>
      <c r="M39" s="27">
        <f>24+6+2+1+2</f>
        <v>35</v>
      </c>
      <c r="N39" s="27">
        <v>111550</v>
      </c>
      <c r="O39" s="27">
        <v>8370</v>
      </c>
      <c r="P39" s="29">
        <f t="shared" si="4"/>
        <v>119920</v>
      </c>
      <c r="Q39" s="41">
        <v>1922</v>
      </c>
      <c r="R39" s="27"/>
      <c r="S39" s="27" t="str">
        <f t="shared" si="13"/>
        <v>https://babel.hathitrust.org/cgi/pt?id=njp.32101060099841;view=1up;seq=242</v>
      </c>
      <c r="T39" s="27" t="str">
        <f t="shared" si="13"/>
        <v>https://babel.hathitrust.org/cgi/pt?id=njp.32101060099841;view=1up;seq=180</v>
      </c>
      <c r="U39" s="27" t="str">
        <f t="shared" si="5"/>
        <v>https://babel.hathitrust.org/cgi/pt?id=njp.32101060099841;view=1up;seq=224</v>
      </c>
      <c r="V39" s="27" t="str">
        <f t="shared" si="6"/>
        <v>https://babel.hathitrust.org/cgi/pt?id=njp.32101060099841;view=1up;seq=242</v>
      </c>
      <c r="W39" s="27" t="str">
        <f t="shared" si="8"/>
        <v>https://babel.hathitrust.org/cgi/pt?id=njp.32101060099841;view=1up;seq=150</v>
      </c>
      <c r="X39" s="27" t="str">
        <f t="shared" si="14"/>
        <v>https://babel.hathitrust.org/cgi/pt?id=njp.32101060099841;view=1up;seq=274</v>
      </c>
      <c r="Y39" s="27" t="str">
        <f t="shared" si="14"/>
        <v>https://babel.hathitrust.org/cgi/pt?id=njp.32101060099841;view=1up;seq=275</v>
      </c>
      <c r="Z39" s="27" t="str">
        <f t="shared" si="14"/>
        <v>https://babel.hathitrust.org/cgi/pt?id=njp.32101060099841;view=1up;seq=224</v>
      </c>
      <c r="AA39" s="27" t="str">
        <f t="shared" si="14"/>
        <v>https://babel.hathitrust.org/cgi/pt?id=njp.32101060099833;view=1up;seq=584</v>
      </c>
      <c r="AB39" s="27"/>
      <c r="AC39" s="27"/>
      <c r="AD39" s="27"/>
    </row>
    <row r="40" spans="1:30" x14ac:dyDescent="0.25">
      <c r="A40" s="27" t="s">
        <v>920</v>
      </c>
      <c r="B40" s="27" t="str">
        <f t="shared" si="0"/>
        <v>Kentucky</v>
      </c>
      <c r="C40" s="27" t="str">
        <f t="shared" si="1"/>
        <v>Gallatin</v>
      </c>
      <c r="D40" s="96">
        <f>379+43+133+155</f>
        <v>710</v>
      </c>
      <c r="E40" s="41">
        <f>22+3+4+0+2+3</f>
        <v>34</v>
      </c>
      <c r="F40" s="41">
        <v>8.3000000000000007</v>
      </c>
      <c r="G40" s="7">
        <f t="shared" si="3"/>
        <v>166</v>
      </c>
      <c r="H40" s="41">
        <f>634+60+129+130+30+55</f>
        <v>1038</v>
      </c>
      <c r="I40" s="25"/>
      <c r="J40" s="25">
        <f>9215.2+3435+4815</f>
        <v>17465.2</v>
      </c>
      <c r="K40" s="115">
        <f t="shared" si="12"/>
        <v>61.889440113394755</v>
      </c>
      <c r="L40" s="2">
        <f>14595.56+4247.35+5940.25</f>
        <v>24783.16</v>
      </c>
      <c r="M40" s="27">
        <f>22+1+1</f>
        <v>24</v>
      </c>
      <c r="N40" s="27">
        <v>36100</v>
      </c>
      <c r="O40" s="27">
        <v>4200</v>
      </c>
      <c r="P40" s="29">
        <f t="shared" si="4"/>
        <v>40300</v>
      </c>
      <c r="Q40" s="41">
        <v>1922</v>
      </c>
      <c r="R40" s="27"/>
      <c r="S40" s="27" t="str">
        <f t="shared" si="13"/>
        <v>https://babel.hathitrust.org/cgi/pt?id=njp.32101060099841;view=1up;seq=242</v>
      </c>
      <c r="T40" s="27" t="str">
        <f t="shared" si="13"/>
        <v>https://babel.hathitrust.org/cgi/pt?id=njp.32101060099841;view=1up;seq=180</v>
      </c>
      <c r="U40" s="27" t="str">
        <f t="shared" si="5"/>
        <v>https://babel.hathitrust.org/cgi/pt?id=njp.32101060099841;view=1up;seq=224</v>
      </c>
      <c r="V40" s="27" t="str">
        <f t="shared" si="6"/>
        <v>https://babel.hathitrust.org/cgi/pt?id=njp.32101060099841;view=1up;seq=242</v>
      </c>
      <c r="W40" s="27" t="str">
        <f t="shared" si="8"/>
        <v>https://babel.hathitrust.org/cgi/pt?id=njp.32101060099841;view=1up;seq=150</v>
      </c>
      <c r="X40" s="27" t="str">
        <f t="shared" si="14"/>
        <v>https://babel.hathitrust.org/cgi/pt?id=njp.32101060099841;view=1up;seq=274</v>
      </c>
      <c r="Y40" s="27" t="str">
        <f t="shared" si="14"/>
        <v>https://babel.hathitrust.org/cgi/pt?id=njp.32101060099841;view=1up;seq=275</v>
      </c>
      <c r="Z40" s="27" t="str">
        <f t="shared" si="14"/>
        <v>https://babel.hathitrust.org/cgi/pt?id=njp.32101060099841;view=1up;seq=224</v>
      </c>
      <c r="AA40" s="27" t="str">
        <f t="shared" si="14"/>
        <v>https://babel.hathitrust.org/cgi/pt?id=njp.32101060099833;view=1up;seq=584</v>
      </c>
      <c r="AB40" s="27"/>
      <c r="AC40" s="27"/>
      <c r="AD40" s="27"/>
    </row>
    <row r="41" spans="1:30" x14ac:dyDescent="0.25">
      <c r="A41" s="27" t="s">
        <v>921</v>
      </c>
      <c r="B41" s="27" t="str">
        <f t="shared" si="0"/>
        <v>Kentucky</v>
      </c>
      <c r="C41" s="27" t="str">
        <f t="shared" si="1"/>
        <v>Garrard</v>
      </c>
      <c r="D41" s="96">
        <f>2034+343+386</f>
        <v>2763</v>
      </c>
      <c r="E41" s="41">
        <f>68+10+0+2+2+4+1+1</f>
        <v>88</v>
      </c>
      <c r="F41" s="41">
        <v>8</v>
      </c>
      <c r="G41" s="7">
        <f t="shared" si="3"/>
        <v>160</v>
      </c>
      <c r="H41" s="41">
        <f>2518+440+378+3+18+20+90+5+6+33+2</f>
        <v>3513</v>
      </c>
      <c r="I41" s="25"/>
      <c r="J41" s="25">
        <f>59106.1+15108.4</f>
        <v>74214.5</v>
      </c>
      <c r="K41" s="115">
        <f t="shared" si="12"/>
        <v>105.41832386363636</v>
      </c>
      <c r="L41" s="2">
        <f>90192.39+21642.69</f>
        <v>111835.08</v>
      </c>
      <c r="M41" s="27">
        <f>31+13+1</f>
        <v>45</v>
      </c>
      <c r="N41" s="27">
        <v>103265</v>
      </c>
      <c r="O41" s="27">
        <v>6381</v>
      </c>
      <c r="P41" s="29">
        <f t="shared" si="4"/>
        <v>109646</v>
      </c>
      <c r="Q41" s="41">
        <v>1922</v>
      </c>
      <c r="R41" s="27"/>
      <c r="S41" s="27" t="str">
        <f t="shared" si="13"/>
        <v>https://babel.hathitrust.org/cgi/pt?id=njp.32101060099841;view=1up;seq=242</v>
      </c>
      <c r="T41" s="27" t="str">
        <f t="shared" si="13"/>
        <v>https://babel.hathitrust.org/cgi/pt?id=njp.32101060099841;view=1up;seq=180</v>
      </c>
      <c r="U41" s="27" t="str">
        <f t="shared" si="5"/>
        <v>https://babel.hathitrust.org/cgi/pt?id=njp.32101060099841;view=1up;seq=224</v>
      </c>
      <c r="V41" s="27" t="str">
        <f t="shared" si="6"/>
        <v>https://babel.hathitrust.org/cgi/pt?id=njp.32101060099841;view=1up;seq=242</v>
      </c>
      <c r="W41" s="27" t="str">
        <f t="shared" si="8"/>
        <v>https://babel.hathitrust.org/cgi/pt?id=njp.32101060099841;view=1up;seq=150</v>
      </c>
      <c r="X41" s="27" t="str">
        <f t="shared" si="14"/>
        <v>https://babel.hathitrust.org/cgi/pt?id=njp.32101060099841;view=1up;seq=274</v>
      </c>
      <c r="Y41" s="27" t="str">
        <f t="shared" si="14"/>
        <v>https://babel.hathitrust.org/cgi/pt?id=njp.32101060099841;view=1up;seq=275</v>
      </c>
      <c r="Z41" s="27" t="str">
        <f t="shared" si="14"/>
        <v>https://babel.hathitrust.org/cgi/pt?id=njp.32101060099841;view=1up;seq=224</v>
      </c>
      <c r="AA41" s="27" t="str">
        <f t="shared" si="14"/>
        <v>https://babel.hathitrust.org/cgi/pt?id=njp.32101060099833;view=1up;seq=584</v>
      </c>
      <c r="AB41" s="27"/>
      <c r="AC41" s="27"/>
      <c r="AD41" s="27"/>
    </row>
    <row r="42" spans="1:30" x14ac:dyDescent="0.25">
      <c r="A42" s="27" t="s">
        <v>922</v>
      </c>
      <c r="B42" s="27" t="str">
        <f t="shared" si="0"/>
        <v>Kentucky</v>
      </c>
      <c r="C42" s="27" t="str">
        <f t="shared" si="1"/>
        <v>Grant</v>
      </c>
      <c r="D42" s="96">
        <f>1490+37+121+241</f>
        <v>1889</v>
      </c>
      <c r="E42" s="41">
        <f>53+3+5+0+2+2+3+2+2</f>
        <v>72</v>
      </c>
      <c r="F42" s="41">
        <v>8.3000000000000007</v>
      </c>
      <c r="G42" s="7">
        <f t="shared" si="3"/>
        <v>166</v>
      </c>
      <c r="H42" s="41">
        <f>1851+49+121+130+50+24+83+20+52</f>
        <v>2380</v>
      </c>
      <c r="I42" s="25"/>
      <c r="J42" s="25">
        <f>36817.09+4545+6785.75</f>
        <v>48147.839999999997</v>
      </c>
      <c r="K42" s="115">
        <f t="shared" si="12"/>
        <v>80.568674698795164</v>
      </c>
      <c r="L42" s="2">
        <f>70242.29+5753.53+8817.87</f>
        <v>84813.689999999988</v>
      </c>
      <c r="M42" s="27">
        <f>32+3+1+1</f>
        <v>37</v>
      </c>
      <c r="N42" s="27">
        <v>52000</v>
      </c>
      <c r="O42" s="27">
        <v>5000</v>
      </c>
      <c r="P42" s="29">
        <f t="shared" si="4"/>
        <v>57000</v>
      </c>
      <c r="Q42" s="41">
        <v>1922</v>
      </c>
      <c r="R42" s="27"/>
      <c r="S42" s="27" t="str">
        <f t="shared" si="13"/>
        <v>https://babel.hathitrust.org/cgi/pt?id=njp.32101060099841;view=1up;seq=242</v>
      </c>
      <c r="T42" s="27" t="str">
        <f t="shared" si="13"/>
        <v>https://babel.hathitrust.org/cgi/pt?id=njp.32101060099841;view=1up;seq=180</v>
      </c>
      <c r="U42" s="27" t="str">
        <f t="shared" si="5"/>
        <v>https://babel.hathitrust.org/cgi/pt?id=njp.32101060099841;view=1up;seq=224</v>
      </c>
      <c r="V42" s="27" t="str">
        <f t="shared" si="6"/>
        <v>https://babel.hathitrust.org/cgi/pt?id=njp.32101060099841;view=1up;seq=242</v>
      </c>
      <c r="W42" s="27" t="str">
        <f t="shared" si="8"/>
        <v>https://babel.hathitrust.org/cgi/pt?id=njp.32101060099841;view=1up;seq=150</v>
      </c>
      <c r="X42" s="27" t="str">
        <f t="shared" si="14"/>
        <v>https://babel.hathitrust.org/cgi/pt?id=njp.32101060099841;view=1up;seq=274</v>
      </c>
      <c r="Y42" s="27" t="str">
        <f t="shared" si="14"/>
        <v>https://babel.hathitrust.org/cgi/pt?id=njp.32101060099841;view=1up;seq=275</v>
      </c>
      <c r="Z42" s="27" t="str">
        <f t="shared" si="14"/>
        <v>https://babel.hathitrust.org/cgi/pt?id=njp.32101060099841;view=1up;seq=224</v>
      </c>
      <c r="AA42" s="27" t="str">
        <f t="shared" si="14"/>
        <v>https://babel.hathitrust.org/cgi/pt?id=njp.32101060099833;view=1up;seq=584</v>
      </c>
      <c r="AB42" s="27"/>
      <c r="AC42" s="27"/>
      <c r="AD42" s="27"/>
    </row>
    <row r="43" spans="1:30" x14ac:dyDescent="0.25">
      <c r="A43" s="27" t="s">
        <v>923</v>
      </c>
      <c r="B43" s="27" t="str">
        <f t="shared" si="0"/>
        <v>Kentucky</v>
      </c>
      <c r="C43" s="27" t="str">
        <f t="shared" si="1"/>
        <v>Graves</v>
      </c>
      <c r="D43" s="96">
        <f>4554+266+1239+238+191+89+149+356</f>
        <v>7082</v>
      </c>
      <c r="E43" s="41">
        <f>139+32+3+4+4+0+0+0+2+4+1+3+3+9+3+1+2+4+4</f>
        <v>218</v>
      </c>
      <c r="F43" s="41">
        <v>8.5</v>
      </c>
      <c r="G43" s="7">
        <f t="shared" si="3"/>
        <v>170</v>
      </c>
      <c r="H43" s="41">
        <f>5538+386+1056+302+144+102+186+207+48+100+30+97+98+309+67+33+67+155+32</f>
        <v>8957</v>
      </c>
      <c r="I43" s="25"/>
      <c r="J43" s="25">
        <f>80189.65+44005.8+4380+2056.75+4768+6725</f>
        <v>142125.20000000001</v>
      </c>
      <c r="K43" s="115">
        <f t="shared" si="12"/>
        <v>76.70005396654075</v>
      </c>
      <c r="L43" s="2">
        <f>147259.46+154607.28+5051.01+2495.03+6816.45+13754.13</f>
        <v>329983.36000000004</v>
      </c>
      <c r="M43" s="27">
        <f>87+24+2+1+1+1+1</f>
        <v>117</v>
      </c>
      <c r="N43" s="27">
        <v>90000</v>
      </c>
      <c r="O43" s="27">
        <v>10000</v>
      </c>
      <c r="P43" s="29">
        <f t="shared" si="4"/>
        <v>100000</v>
      </c>
      <c r="Q43" s="41">
        <v>1922</v>
      </c>
      <c r="R43" s="27"/>
      <c r="S43" s="27" t="str">
        <f t="shared" si="13"/>
        <v>https://babel.hathitrust.org/cgi/pt?id=njp.32101060099841;view=1up;seq=242</v>
      </c>
      <c r="T43" s="27" t="str">
        <f t="shared" si="13"/>
        <v>https://babel.hathitrust.org/cgi/pt?id=njp.32101060099841;view=1up;seq=180</v>
      </c>
      <c r="U43" s="27" t="str">
        <f t="shared" si="5"/>
        <v>https://babel.hathitrust.org/cgi/pt?id=njp.32101060099841;view=1up;seq=224</v>
      </c>
      <c r="V43" s="27" t="str">
        <f t="shared" si="6"/>
        <v>https://babel.hathitrust.org/cgi/pt?id=njp.32101060099841;view=1up;seq=242</v>
      </c>
      <c r="W43" s="27" t="str">
        <f t="shared" si="8"/>
        <v>https://babel.hathitrust.org/cgi/pt?id=njp.32101060099841;view=1up;seq=150</v>
      </c>
      <c r="X43" s="27" t="str">
        <f t="shared" si="14"/>
        <v>https://babel.hathitrust.org/cgi/pt?id=njp.32101060099841;view=1up;seq=274</v>
      </c>
      <c r="Y43" s="27" t="str">
        <f t="shared" si="14"/>
        <v>https://babel.hathitrust.org/cgi/pt?id=njp.32101060099841;view=1up;seq=275</v>
      </c>
      <c r="Z43" s="27" t="str">
        <f t="shared" si="14"/>
        <v>https://babel.hathitrust.org/cgi/pt?id=njp.32101060099841;view=1up;seq=224</v>
      </c>
      <c r="AA43" s="27" t="str">
        <f t="shared" si="14"/>
        <v>https://babel.hathitrust.org/cgi/pt?id=njp.32101060099833;view=1up;seq=584</v>
      </c>
      <c r="AB43" s="27"/>
      <c r="AC43" s="27"/>
      <c r="AD43" s="27"/>
    </row>
    <row r="44" spans="1:30" x14ac:dyDescent="0.25">
      <c r="A44" s="27" t="s">
        <v>924</v>
      </c>
      <c r="B44" s="27" t="str">
        <f t="shared" si="0"/>
        <v>Kentucky</v>
      </c>
      <c r="C44" s="27" t="str">
        <f t="shared" si="1"/>
        <v>Grayson</v>
      </c>
      <c r="D44" s="96">
        <f>3041+33+192+284+349</f>
        <v>3899</v>
      </c>
      <c r="E44" s="41">
        <f>91+3+4+8+0+3+3+3+1+1+1</f>
        <v>118</v>
      </c>
      <c r="F44" s="41">
        <v>8.6</v>
      </c>
      <c r="G44" s="7">
        <f t="shared" si="3"/>
        <v>172</v>
      </c>
      <c r="H44" s="41">
        <f>4144+51+207+246+415+45+103+93+19+12+21</f>
        <v>5356</v>
      </c>
      <c r="I44" s="25"/>
      <c r="J44" s="25">
        <f>49903.62+4428.2+3540+8783.95</f>
        <v>66655.77</v>
      </c>
      <c r="K44" s="115">
        <f t="shared" si="12"/>
        <v>65.68365195112338</v>
      </c>
      <c r="L44" s="2">
        <f>56869.91+7443.17+5590.2+13754.55</f>
        <v>83657.83</v>
      </c>
      <c r="M44" s="27">
        <f>86+5+1+1+1</f>
        <v>94</v>
      </c>
      <c r="N44" s="27">
        <v>75800</v>
      </c>
      <c r="O44" s="27">
        <v>8575</v>
      </c>
      <c r="P44" s="29">
        <f t="shared" si="4"/>
        <v>84375</v>
      </c>
      <c r="Q44" s="41">
        <v>1922</v>
      </c>
      <c r="R44" s="27"/>
      <c r="S44" s="27" t="str">
        <f t="shared" si="13"/>
        <v>https://babel.hathitrust.org/cgi/pt?id=njp.32101060099841;view=1up;seq=242</v>
      </c>
      <c r="T44" s="27" t="str">
        <f t="shared" si="13"/>
        <v>https://babel.hathitrust.org/cgi/pt?id=njp.32101060099841;view=1up;seq=180</v>
      </c>
      <c r="U44" s="27" t="str">
        <f t="shared" si="5"/>
        <v>https://babel.hathitrust.org/cgi/pt?id=njp.32101060099841;view=1up;seq=224</v>
      </c>
      <c r="V44" s="27" t="str">
        <f t="shared" si="6"/>
        <v>https://babel.hathitrust.org/cgi/pt?id=njp.32101060099841;view=1up;seq=242</v>
      </c>
      <c r="W44" s="27" t="str">
        <f t="shared" si="8"/>
        <v>https://babel.hathitrust.org/cgi/pt?id=njp.32101060099841;view=1up;seq=150</v>
      </c>
      <c r="X44" s="27" t="str">
        <f t="shared" si="14"/>
        <v>https://babel.hathitrust.org/cgi/pt?id=njp.32101060099841;view=1up;seq=274</v>
      </c>
      <c r="Y44" s="27" t="str">
        <f t="shared" si="14"/>
        <v>https://babel.hathitrust.org/cgi/pt?id=njp.32101060099841;view=1up;seq=275</v>
      </c>
      <c r="Z44" s="27" t="str">
        <f t="shared" si="14"/>
        <v>https://babel.hathitrust.org/cgi/pt?id=njp.32101060099841;view=1up;seq=224</v>
      </c>
      <c r="AA44" s="27" t="str">
        <f t="shared" si="14"/>
        <v>https://babel.hathitrust.org/cgi/pt?id=njp.32101060099833;view=1up;seq=584</v>
      </c>
      <c r="AB44" s="27"/>
      <c r="AC44" s="27"/>
      <c r="AD44" s="27"/>
    </row>
    <row r="45" spans="1:30" x14ac:dyDescent="0.25">
      <c r="A45" s="27" t="s">
        <v>925</v>
      </c>
      <c r="B45" s="27" t="str">
        <f t="shared" si="0"/>
        <v>Kentucky</v>
      </c>
      <c r="C45" s="27" t="str">
        <f t="shared" si="1"/>
        <v>Green</v>
      </c>
      <c r="D45" s="96">
        <f>1244+159+181</f>
        <v>1584</v>
      </c>
      <c r="E45" s="41">
        <f>75+4+0</f>
        <v>79</v>
      </c>
      <c r="F45" s="41">
        <v>8</v>
      </c>
      <c r="G45" s="7">
        <f t="shared" si="3"/>
        <v>160</v>
      </c>
      <c r="H45" s="41">
        <f>2437+286+183</f>
        <v>2906</v>
      </c>
      <c r="I45" s="25"/>
      <c r="J45" s="25">
        <f>25982.37+4470</f>
        <v>30452.37</v>
      </c>
      <c r="K45" s="115">
        <f t="shared" si="12"/>
        <v>48.184129746835438</v>
      </c>
      <c r="L45" s="2">
        <f>34015.21+16010.24</f>
        <v>50025.45</v>
      </c>
      <c r="M45" s="27">
        <f>69+3+1</f>
        <v>73</v>
      </c>
      <c r="N45" s="27">
        <v>25000</v>
      </c>
      <c r="O45" s="27">
        <v>2100</v>
      </c>
      <c r="P45" s="29">
        <f t="shared" si="4"/>
        <v>27100</v>
      </c>
      <c r="Q45" s="41">
        <v>1922</v>
      </c>
      <c r="R45" s="27"/>
      <c r="S45" s="27" t="str">
        <f t="shared" si="13"/>
        <v>https://babel.hathitrust.org/cgi/pt?id=njp.32101060099841;view=1up;seq=242</v>
      </c>
      <c r="T45" s="27" t="str">
        <f t="shared" si="13"/>
        <v>https://babel.hathitrust.org/cgi/pt?id=njp.32101060099841;view=1up;seq=180</v>
      </c>
      <c r="U45" s="27" t="str">
        <f t="shared" si="5"/>
        <v>https://babel.hathitrust.org/cgi/pt?id=njp.32101060099841;view=1up;seq=224</v>
      </c>
      <c r="V45" s="27" t="str">
        <f t="shared" si="6"/>
        <v>https://babel.hathitrust.org/cgi/pt?id=njp.32101060099841;view=1up;seq=242</v>
      </c>
      <c r="W45" s="27" t="str">
        <f t="shared" si="8"/>
        <v>https://babel.hathitrust.org/cgi/pt?id=njp.32101060099841;view=1up;seq=150</v>
      </c>
      <c r="X45" s="27" t="str">
        <f t="shared" si="14"/>
        <v>https://babel.hathitrust.org/cgi/pt?id=njp.32101060099841;view=1up;seq=274</v>
      </c>
      <c r="Y45" s="27" t="str">
        <f t="shared" si="14"/>
        <v>https://babel.hathitrust.org/cgi/pt?id=njp.32101060099841;view=1up;seq=275</v>
      </c>
      <c r="Z45" s="27" t="str">
        <f t="shared" si="14"/>
        <v>https://babel.hathitrust.org/cgi/pt?id=njp.32101060099841;view=1up;seq=224</v>
      </c>
      <c r="AA45" s="27" t="str">
        <f t="shared" si="14"/>
        <v>https://babel.hathitrust.org/cgi/pt?id=njp.32101060099833;view=1up;seq=584</v>
      </c>
      <c r="AB45" s="27"/>
      <c r="AC45" s="27"/>
      <c r="AD45" s="27"/>
    </row>
    <row r="46" spans="1:30" x14ac:dyDescent="0.25">
      <c r="A46" s="27" t="s">
        <v>926</v>
      </c>
      <c r="B46" s="27" t="str">
        <f t="shared" si="0"/>
        <v>Kentucky</v>
      </c>
      <c r="C46" s="27" t="str">
        <f t="shared" si="1"/>
        <v>Greenup</v>
      </c>
      <c r="D46" s="96">
        <f>2490+28+179+209+282+54+239+549+195+89</f>
        <v>4314</v>
      </c>
      <c r="E46" s="41">
        <f>78+3+4+5+5+7+4+2+0+1+3+3+1+3+1</f>
        <v>120</v>
      </c>
      <c r="F46" s="41">
        <v>8</v>
      </c>
      <c r="G46" s="7">
        <f t="shared" si="3"/>
        <v>160</v>
      </c>
      <c r="H46" s="41">
        <f>3931+35+275+357+242+328+472+274+116+19+95+82+20+85+15</f>
        <v>6346</v>
      </c>
      <c r="I46" s="25"/>
      <c r="J46" s="25">
        <f>34936.5+2100+3255+5730+4452+8239.75+3519.12+1470</f>
        <v>63702.37</v>
      </c>
      <c r="K46" s="115">
        <f t="shared" si="12"/>
        <v>66.356635416666663</v>
      </c>
      <c r="L46" s="2">
        <f>43204.85+7906.8+4698.92+6484.68+5073.55+12409.46+4557.79+3123.2</f>
        <v>87459.25</v>
      </c>
      <c r="M46" s="27">
        <f>73+2+1+1+1+1+1+1+1</f>
        <v>82</v>
      </c>
      <c r="N46" s="27">
        <v>37200</v>
      </c>
      <c r="O46" s="27">
        <v>8560</v>
      </c>
      <c r="P46" s="29">
        <f t="shared" si="4"/>
        <v>45760</v>
      </c>
      <c r="Q46" s="41">
        <v>1922</v>
      </c>
      <c r="R46" s="27"/>
      <c r="S46" s="27" t="str">
        <f t="shared" si="13"/>
        <v>https://babel.hathitrust.org/cgi/pt?id=njp.32101060099841;view=1up;seq=242</v>
      </c>
      <c r="T46" s="27" t="str">
        <f t="shared" si="13"/>
        <v>https://babel.hathitrust.org/cgi/pt?id=njp.32101060099841;view=1up;seq=180</v>
      </c>
      <c r="U46" s="27" t="str">
        <f t="shared" si="5"/>
        <v>https://babel.hathitrust.org/cgi/pt?id=njp.32101060099841;view=1up;seq=224</v>
      </c>
      <c r="V46" s="27" t="str">
        <f t="shared" si="6"/>
        <v>https://babel.hathitrust.org/cgi/pt?id=njp.32101060099841;view=1up;seq=242</v>
      </c>
      <c r="W46" s="27" t="str">
        <f t="shared" si="8"/>
        <v>https://babel.hathitrust.org/cgi/pt?id=njp.32101060099841;view=1up;seq=150</v>
      </c>
      <c r="X46" s="27" t="str">
        <f t="shared" si="14"/>
        <v>https://babel.hathitrust.org/cgi/pt?id=njp.32101060099841;view=1up;seq=274</v>
      </c>
      <c r="Y46" s="27" t="str">
        <f t="shared" si="14"/>
        <v>https://babel.hathitrust.org/cgi/pt?id=njp.32101060099841;view=1up;seq=275</v>
      </c>
      <c r="Z46" s="27" t="str">
        <f t="shared" si="14"/>
        <v>https://babel.hathitrust.org/cgi/pt?id=njp.32101060099841;view=1up;seq=224</v>
      </c>
      <c r="AA46" s="27" t="str">
        <f t="shared" si="14"/>
        <v>https://babel.hathitrust.org/cgi/pt?id=njp.32101060099833;view=1up;seq=584</v>
      </c>
      <c r="AB46" s="27"/>
      <c r="AC46" s="27"/>
      <c r="AD46" s="27"/>
    </row>
    <row r="47" spans="1:30" x14ac:dyDescent="0.25">
      <c r="A47" s="27" t="s">
        <v>927</v>
      </c>
      <c r="B47" s="27" t="str">
        <f t="shared" si="0"/>
        <v>Kentucky</v>
      </c>
      <c r="C47" s="27" t="str">
        <f t="shared" si="1"/>
        <v>Hancock</v>
      </c>
      <c r="D47" s="96">
        <f>1003+54</f>
        <v>1057</v>
      </c>
      <c r="E47" s="41">
        <f>46+0+2+2</f>
        <v>50</v>
      </c>
      <c r="F47" s="41">
        <v>7</v>
      </c>
      <c r="G47" s="7">
        <f t="shared" si="3"/>
        <v>140</v>
      </c>
      <c r="H47" s="41">
        <f>1665+67+46+68</f>
        <v>1846</v>
      </c>
      <c r="I47" s="25"/>
      <c r="J47" s="25">
        <v>26461.5</v>
      </c>
      <c r="K47" s="115">
        <f t="shared" si="12"/>
        <v>75.604285714285723</v>
      </c>
      <c r="L47" s="2">
        <f>33113.49</f>
        <v>33113.49</v>
      </c>
      <c r="M47" s="27">
        <f>38+2</f>
        <v>40</v>
      </c>
      <c r="N47" s="27">
        <v>29000</v>
      </c>
      <c r="O47" s="27">
        <v>4500</v>
      </c>
      <c r="P47" s="29">
        <f t="shared" si="4"/>
        <v>33500</v>
      </c>
      <c r="Q47" s="41">
        <v>1922</v>
      </c>
      <c r="R47" s="27"/>
      <c r="S47" s="27" t="str">
        <f t="shared" si="13"/>
        <v>https://babel.hathitrust.org/cgi/pt?id=njp.32101060099841;view=1up;seq=242</v>
      </c>
      <c r="T47" s="27" t="str">
        <f t="shared" si="13"/>
        <v>https://babel.hathitrust.org/cgi/pt?id=njp.32101060099841;view=1up;seq=180</v>
      </c>
      <c r="U47" s="27" t="str">
        <f t="shared" si="5"/>
        <v>https://babel.hathitrust.org/cgi/pt?id=njp.32101060099841;view=1up;seq=224</v>
      </c>
      <c r="V47" s="27" t="str">
        <f t="shared" si="6"/>
        <v>https://babel.hathitrust.org/cgi/pt?id=njp.32101060099841;view=1up;seq=242</v>
      </c>
      <c r="W47" s="27" t="str">
        <f t="shared" si="8"/>
        <v>https://babel.hathitrust.org/cgi/pt?id=njp.32101060099841;view=1up;seq=150</v>
      </c>
      <c r="X47" s="27" t="str">
        <f t="shared" si="14"/>
        <v>https://babel.hathitrust.org/cgi/pt?id=njp.32101060099841;view=1up;seq=274</v>
      </c>
      <c r="Y47" s="27" t="str">
        <f t="shared" si="14"/>
        <v>https://babel.hathitrust.org/cgi/pt?id=njp.32101060099841;view=1up;seq=275</v>
      </c>
      <c r="Z47" s="27" t="str">
        <f t="shared" si="14"/>
        <v>https://babel.hathitrust.org/cgi/pt?id=njp.32101060099841;view=1up;seq=224</v>
      </c>
      <c r="AA47" s="27" t="str">
        <f t="shared" si="14"/>
        <v>https://babel.hathitrust.org/cgi/pt?id=njp.32101060099833;view=1up;seq=584</v>
      </c>
      <c r="AB47" s="27"/>
      <c r="AC47" s="27"/>
      <c r="AD47" s="27"/>
    </row>
    <row r="48" spans="1:30" x14ac:dyDescent="0.25">
      <c r="A48" s="27" t="s">
        <v>928</v>
      </c>
      <c r="B48" s="27" t="str">
        <f t="shared" si="0"/>
        <v>Kentucky</v>
      </c>
      <c r="C48" s="27" t="str">
        <f t="shared" si="1"/>
        <v>Hardin</v>
      </c>
      <c r="D48" s="96">
        <f>2300+253+481+272+70+134+93+180+173</f>
        <v>3956</v>
      </c>
      <c r="E48" s="41">
        <f>99+10+4+2+4+3+4+4+0+5+3+2+1+1+2+2+2+2+2</f>
        <v>152</v>
      </c>
      <c r="F48" s="41">
        <v>8.4</v>
      </c>
      <c r="G48" s="7">
        <f t="shared" si="3"/>
        <v>168</v>
      </c>
      <c r="H48" s="41">
        <f>3741+354+477+246+86+118+172+177+167+166+58+20+16+10+76+43+78+47+11</f>
        <v>6063</v>
      </c>
      <c r="I48" s="25"/>
      <c r="J48" s="25">
        <f>58000.7+12162.5+5280+1293+5321.87+5351.5+4600</f>
        <v>92009.569999999992</v>
      </c>
      <c r="K48" s="115">
        <f t="shared" si="12"/>
        <v>72.062633145363392</v>
      </c>
      <c r="L48" s="2">
        <f>88117.31+19264.8+7003.55+1593.75+6289.13+6074.01+5891.57</f>
        <v>134234.12</v>
      </c>
      <c r="M48" s="27">
        <f>93+5+1+1+1+1+1+1+1</f>
        <v>105</v>
      </c>
      <c r="N48" s="27">
        <v>154300</v>
      </c>
      <c r="O48" s="27">
        <v>12620</v>
      </c>
      <c r="P48" s="29">
        <f t="shared" si="4"/>
        <v>166920</v>
      </c>
      <c r="Q48" s="41">
        <v>1922</v>
      </c>
      <c r="R48" s="27"/>
      <c r="S48" s="27" t="str">
        <f t="shared" si="13"/>
        <v>https://babel.hathitrust.org/cgi/pt?id=njp.32101060099841;view=1up;seq=242</v>
      </c>
      <c r="T48" s="27" t="str">
        <f t="shared" si="13"/>
        <v>https://babel.hathitrust.org/cgi/pt?id=njp.32101060099841;view=1up;seq=180</v>
      </c>
      <c r="U48" s="27" t="str">
        <f t="shared" si="5"/>
        <v>https://babel.hathitrust.org/cgi/pt?id=njp.32101060099841;view=1up;seq=224</v>
      </c>
      <c r="V48" s="27" t="str">
        <f t="shared" si="6"/>
        <v>https://babel.hathitrust.org/cgi/pt?id=njp.32101060099841;view=1up;seq=242</v>
      </c>
      <c r="W48" s="27" t="str">
        <f t="shared" si="8"/>
        <v>https://babel.hathitrust.org/cgi/pt?id=njp.32101060099841;view=1up;seq=150</v>
      </c>
      <c r="X48" s="27" t="str">
        <f t="shared" si="14"/>
        <v>https://babel.hathitrust.org/cgi/pt?id=njp.32101060099841;view=1up;seq=274</v>
      </c>
      <c r="Y48" s="27" t="str">
        <f t="shared" si="14"/>
        <v>https://babel.hathitrust.org/cgi/pt?id=njp.32101060099841;view=1up;seq=275</v>
      </c>
      <c r="Z48" s="27" t="str">
        <f t="shared" si="14"/>
        <v>https://babel.hathitrust.org/cgi/pt?id=njp.32101060099841;view=1up;seq=224</v>
      </c>
      <c r="AA48" s="27" t="str">
        <f t="shared" si="14"/>
        <v>https://babel.hathitrust.org/cgi/pt?id=njp.32101060099833;view=1up;seq=584</v>
      </c>
      <c r="AB48" s="27"/>
      <c r="AC48" s="27"/>
      <c r="AD48" s="27"/>
    </row>
    <row r="49" spans="1:30" x14ac:dyDescent="0.25">
      <c r="A49" s="27" t="s">
        <v>929</v>
      </c>
      <c r="B49" s="27" t="str">
        <f t="shared" si="0"/>
        <v>Kentucky</v>
      </c>
      <c r="C49" s="27" t="str">
        <f t="shared" si="1"/>
        <v>Harlan</v>
      </c>
      <c r="D49" s="96">
        <f>4302+166+1059+68+393+516+174+362</f>
        <v>7040</v>
      </c>
      <c r="E49" s="41">
        <f>97+23+7+15+4+4+0+0+2+2+7+4</f>
        <v>165</v>
      </c>
      <c r="F49" s="41">
        <v>8.6</v>
      </c>
      <c r="G49" s="7">
        <f t="shared" si="3"/>
        <v>172</v>
      </c>
      <c r="H49" s="41">
        <f>5684+243+1257+90+542+704+227+331+30+22+138+15+5</f>
        <v>9288</v>
      </c>
      <c r="I49" s="25"/>
      <c r="J49" s="25">
        <f>57282.36+27229.51+6113.75+20795+3827.5</f>
        <v>115248.12</v>
      </c>
      <c r="K49" s="115">
        <f t="shared" si="12"/>
        <v>81.217843551797031</v>
      </c>
      <c r="L49" s="2">
        <f>95845.47+54516.99+7401.37+34943.98+4649.58</f>
        <v>197357.38999999998</v>
      </c>
      <c r="M49" s="27">
        <f>39+22+1+1+1+1+1+1</f>
        <v>67</v>
      </c>
      <c r="N49" s="27">
        <v>44500</v>
      </c>
      <c r="O49" s="27">
        <v>6200</v>
      </c>
      <c r="P49" s="29">
        <f t="shared" si="4"/>
        <v>50700</v>
      </c>
      <c r="Q49" s="41">
        <v>1922</v>
      </c>
      <c r="R49" s="27"/>
      <c r="S49" s="27" t="str">
        <f t="shared" si="13"/>
        <v>https://babel.hathitrust.org/cgi/pt?id=njp.32101060099841;view=1up;seq=242</v>
      </c>
      <c r="T49" s="27" t="str">
        <f t="shared" si="13"/>
        <v>https://babel.hathitrust.org/cgi/pt?id=njp.32101060099841;view=1up;seq=180</v>
      </c>
      <c r="U49" s="27" t="str">
        <f t="shared" si="5"/>
        <v>https://babel.hathitrust.org/cgi/pt?id=njp.32101060099841;view=1up;seq=224</v>
      </c>
      <c r="V49" s="27" t="str">
        <f t="shared" si="6"/>
        <v>https://babel.hathitrust.org/cgi/pt?id=njp.32101060099841;view=1up;seq=242</v>
      </c>
      <c r="W49" s="27" t="str">
        <f t="shared" si="8"/>
        <v>https://babel.hathitrust.org/cgi/pt?id=njp.32101060099841;view=1up;seq=150</v>
      </c>
      <c r="X49" s="27" t="str">
        <f t="shared" si="14"/>
        <v>https://babel.hathitrust.org/cgi/pt?id=njp.32101060099841;view=1up;seq=274</v>
      </c>
      <c r="Y49" s="27" t="str">
        <f t="shared" si="14"/>
        <v>https://babel.hathitrust.org/cgi/pt?id=njp.32101060099841;view=1up;seq=275</v>
      </c>
      <c r="Z49" s="27" t="str">
        <f t="shared" si="14"/>
        <v>https://babel.hathitrust.org/cgi/pt?id=njp.32101060099841;view=1up;seq=224</v>
      </c>
      <c r="AA49" s="27" t="str">
        <f t="shared" si="14"/>
        <v>https://babel.hathitrust.org/cgi/pt?id=njp.32101060099833;view=1up;seq=584</v>
      </c>
      <c r="AB49" s="27"/>
      <c r="AC49" s="27"/>
      <c r="AD49" s="27"/>
    </row>
    <row r="50" spans="1:30" x14ac:dyDescent="0.25">
      <c r="A50" s="27" t="s">
        <v>930</v>
      </c>
      <c r="B50" s="27" t="str">
        <f t="shared" si="0"/>
        <v>Kentucky</v>
      </c>
      <c r="C50" s="27" t="str">
        <f t="shared" si="1"/>
        <v>Harrison</v>
      </c>
      <c r="D50" s="96">
        <f>1810+87+511+70</f>
        <v>2478</v>
      </c>
      <c r="E50" s="41">
        <f>78+18+0+0+2+2+2+7+2+1+1</f>
        <v>113</v>
      </c>
      <c r="F50" s="41">
        <v>8.5</v>
      </c>
      <c r="G50" s="7">
        <f t="shared" si="3"/>
        <v>170</v>
      </c>
      <c r="H50" s="41">
        <f>2498+173+480+128+53+38+17+201+30+9+18</f>
        <v>3645</v>
      </c>
      <c r="I50" s="25"/>
      <c r="J50" s="25">
        <f>56045.86+25150.01</f>
        <v>81195.87</v>
      </c>
      <c r="K50" s="115">
        <f t="shared" si="12"/>
        <v>84.535002602811019</v>
      </c>
      <c r="L50" s="2">
        <f>100395.72+71824.71</f>
        <v>172220.43</v>
      </c>
      <c r="M50" s="27">
        <f>43+16+2</f>
        <v>61</v>
      </c>
      <c r="N50" s="27">
        <v>60000</v>
      </c>
      <c r="O50" s="27">
        <v>3200</v>
      </c>
      <c r="P50" s="29">
        <f t="shared" si="4"/>
        <v>63200</v>
      </c>
      <c r="Q50" s="41">
        <v>1922</v>
      </c>
      <c r="R50" s="27"/>
      <c r="S50" s="27" t="str">
        <f t="shared" si="13"/>
        <v>https://babel.hathitrust.org/cgi/pt?id=njp.32101060099841;view=1up;seq=242</v>
      </c>
      <c r="T50" s="27" t="str">
        <f t="shared" si="13"/>
        <v>https://babel.hathitrust.org/cgi/pt?id=njp.32101060099841;view=1up;seq=180</v>
      </c>
      <c r="U50" s="27" t="str">
        <f t="shared" si="5"/>
        <v>https://babel.hathitrust.org/cgi/pt?id=njp.32101060099841;view=1up;seq=224</v>
      </c>
      <c r="V50" s="27" t="str">
        <f t="shared" si="6"/>
        <v>https://babel.hathitrust.org/cgi/pt?id=njp.32101060099841;view=1up;seq=242</v>
      </c>
      <c r="W50" s="27" t="str">
        <f t="shared" si="8"/>
        <v>https://babel.hathitrust.org/cgi/pt?id=njp.32101060099841;view=1up;seq=150</v>
      </c>
      <c r="X50" s="27" t="str">
        <f t="shared" si="14"/>
        <v>https://babel.hathitrust.org/cgi/pt?id=njp.32101060099841;view=1up;seq=274</v>
      </c>
      <c r="Y50" s="27" t="str">
        <f t="shared" si="14"/>
        <v>https://babel.hathitrust.org/cgi/pt?id=njp.32101060099841;view=1up;seq=275</v>
      </c>
      <c r="Z50" s="27" t="str">
        <f t="shared" si="14"/>
        <v>https://babel.hathitrust.org/cgi/pt?id=njp.32101060099841;view=1up;seq=224</v>
      </c>
      <c r="AA50" s="27" t="str">
        <f t="shared" si="14"/>
        <v>https://babel.hathitrust.org/cgi/pt?id=njp.32101060099833;view=1up;seq=584</v>
      </c>
      <c r="AB50" s="27"/>
      <c r="AC50" s="27"/>
      <c r="AD50" s="27"/>
    </row>
    <row r="51" spans="1:30" x14ac:dyDescent="0.25">
      <c r="A51" s="27" t="s">
        <v>931</v>
      </c>
      <c r="B51" s="27" t="str">
        <f t="shared" si="0"/>
        <v>Kentucky</v>
      </c>
      <c r="C51" s="27" t="str">
        <f t="shared" si="1"/>
        <v>Hart</v>
      </c>
      <c r="D51" s="96">
        <f>3358+414+231+184</f>
        <v>4187</v>
      </c>
      <c r="E51" s="41">
        <f>96+5+4+0+1+3+1+4+3+1</f>
        <v>118</v>
      </c>
      <c r="F51" s="41">
        <v>8.3000000000000007</v>
      </c>
      <c r="G51" s="7">
        <f t="shared" si="3"/>
        <v>166</v>
      </c>
      <c r="H51" s="41">
        <f>4024+490+240+157+22+62+13+72+71+11</f>
        <v>5162</v>
      </c>
      <c r="I51" s="25"/>
      <c r="J51" s="25">
        <f>43717.26+8325+6750</f>
        <v>58792.26</v>
      </c>
      <c r="K51" s="115">
        <f t="shared" si="12"/>
        <v>60.028854400653465</v>
      </c>
      <c r="L51" s="2">
        <f>87374.12+13578.53+9142.56</f>
        <v>110095.20999999999</v>
      </c>
      <c r="M51" s="27">
        <f>91+7+1+1</f>
        <v>100</v>
      </c>
      <c r="N51" s="27">
        <v>85000</v>
      </c>
      <c r="O51" s="27">
        <v>5100</v>
      </c>
      <c r="P51" s="29">
        <f t="shared" si="4"/>
        <v>90100</v>
      </c>
      <c r="Q51" s="41">
        <v>1922</v>
      </c>
      <c r="R51" s="27"/>
      <c r="S51" s="27" t="str">
        <f t="shared" si="13"/>
        <v>https://babel.hathitrust.org/cgi/pt?id=njp.32101060099841;view=1up;seq=242</v>
      </c>
      <c r="T51" s="27" t="str">
        <f t="shared" si="13"/>
        <v>https://babel.hathitrust.org/cgi/pt?id=njp.32101060099841;view=1up;seq=180</v>
      </c>
      <c r="U51" s="27" t="str">
        <f t="shared" si="5"/>
        <v>https://babel.hathitrust.org/cgi/pt?id=njp.32101060099841;view=1up;seq=224</v>
      </c>
      <c r="V51" s="27" t="str">
        <f t="shared" si="6"/>
        <v>https://babel.hathitrust.org/cgi/pt?id=njp.32101060099841;view=1up;seq=242</v>
      </c>
      <c r="W51" s="27" t="str">
        <f t="shared" si="8"/>
        <v>https://babel.hathitrust.org/cgi/pt?id=njp.32101060099841;view=1up;seq=150</v>
      </c>
      <c r="X51" s="27" t="str">
        <f t="shared" si="14"/>
        <v>https://babel.hathitrust.org/cgi/pt?id=njp.32101060099841;view=1up;seq=274</v>
      </c>
      <c r="Y51" s="27" t="str">
        <f t="shared" si="14"/>
        <v>https://babel.hathitrust.org/cgi/pt?id=njp.32101060099841;view=1up;seq=275</v>
      </c>
      <c r="Z51" s="27" t="str">
        <f t="shared" si="14"/>
        <v>https://babel.hathitrust.org/cgi/pt?id=njp.32101060099841;view=1up;seq=224</v>
      </c>
      <c r="AA51" s="27" t="str">
        <f t="shared" si="14"/>
        <v>https://babel.hathitrust.org/cgi/pt?id=njp.32101060099833;view=1up;seq=584</v>
      </c>
      <c r="AB51" s="27"/>
      <c r="AC51" s="27"/>
      <c r="AD51" s="27"/>
    </row>
    <row r="52" spans="1:30" x14ac:dyDescent="0.25">
      <c r="A52" s="27" t="s">
        <v>932</v>
      </c>
      <c r="B52" s="27" t="str">
        <f t="shared" si="0"/>
        <v>Kentucky</v>
      </c>
      <c r="C52" s="27" t="str">
        <f t="shared" si="1"/>
        <v>Henderson</v>
      </c>
      <c r="D52" s="96">
        <f>1826+681+1538+470+178</f>
        <v>4693</v>
      </c>
      <c r="E52" s="41">
        <f>97+57+4+3+2+0+0+3+1+2+15+3+1+3+1+7</f>
        <v>199</v>
      </c>
      <c r="F52" s="41">
        <v>8.8000000000000007</v>
      </c>
      <c r="G52" s="7">
        <f t="shared" si="3"/>
        <v>176</v>
      </c>
      <c r="H52" s="41">
        <f>2541+807+1620+583+211+107+105+44+21+40+313+42+26+22+64+4+73</f>
        <v>6623</v>
      </c>
      <c r="I52" s="25"/>
      <c r="J52" s="25">
        <f>51015.83+74769+5795+2920+2278.75</f>
        <v>136778.58000000002</v>
      </c>
      <c r="K52" s="115">
        <f t="shared" si="12"/>
        <v>78.10563042485154</v>
      </c>
      <c r="L52" s="2">
        <f>103879.64+103633.98+6875.28+3864.06+2571.95</f>
        <v>220824.91</v>
      </c>
      <c r="M52" s="27">
        <f>63+13+1+1+1</f>
        <v>79</v>
      </c>
      <c r="N52" s="27">
        <v>60000</v>
      </c>
      <c r="O52" s="27">
        <v>5000</v>
      </c>
      <c r="P52" s="29">
        <f t="shared" si="4"/>
        <v>65000</v>
      </c>
      <c r="Q52" s="41">
        <v>1922</v>
      </c>
      <c r="R52" s="27"/>
      <c r="S52" s="27" t="str">
        <f t="shared" ref="S52:T67" si="15">S51</f>
        <v>https://babel.hathitrust.org/cgi/pt?id=njp.32101060099841;view=1up;seq=242</v>
      </c>
      <c r="T52" s="27" t="str">
        <f t="shared" si="15"/>
        <v>https://babel.hathitrust.org/cgi/pt?id=njp.32101060099841;view=1up;seq=180</v>
      </c>
      <c r="U52" s="27" t="str">
        <f t="shared" si="5"/>
        <v>https://babel.hathitrust.org/cgi/pt?id=njp.32101060099841;view=1up;seq=224</v>
      </c>
      <c r="V52" s="27" t="str">
        <f t="shared" si="6"/>
        <v>https://babel.hathitrust.org/cgi/pt?id=njp.32101060099841;view=1up;seq=242</v>
      </c>
      <c r="W52" s="27" t="str">
        <f t="shared" si="8"/>
        <v>https://babel.hathitrust.org/cgi/pt?id=njp.32101060099841;view=1up;seq=150</v>
      </c>
      <c r="X52" s="27" t="str">
        <f t="shared" ref="X52:AA67" si="16">X51</f>
        <v>https://babel.hathitrust.org/cgi/pt?id=njp.32101060099841;view=1up;seq=274</v>
      </c>
      <c r="Y52" s="27" t="str">
        <f t="shared" si="16"/>
        <v>https://babel.hathitrust.org/cgi/pt?id=njp.32101060099841;view=1up;seq=275</v>
      </c>
      <c r="Z52" s="27" t="str">
        <f t="shared" si="16"/>
        <v>https://babel.hathitrust.org/cgi/pt?id=njp.32101060099841;view=1up;seq=224</v>
      </c>
      <c r="AA52" s="27" t="str">
        <f t="shared" si="16"/>
        <v>https://babel.hathitrust.org/cgi/pt?id=njp.32101060099833;view=1up;seq=584</v>
      </c>
      <c r="AB52" s="27"/>
      <c r="AC52" s="27"/>
      <c r="AD52" s="27"/>
    </row>
    <row r="53" spans="1:30" x14ac:dyDescent="0.25">
      <c r="A53" s="27" t="s">
        <v>933</v>
      </c>
      <c r="B53" s="27" t="str">
        <f t="shared" si="0"/>
        <v>Kentucky</v>
      </c>
      <c r="C53" s="27" t="str">
        <f t="shared" si="1"/>
        <v>Henry</v>
      </c>
      <c r="D53" s="96">
        <f>1226+152+91+42+219+87+75+60+170+75+85</f>
        <v>2282</v>
      </c>
      <c r="E53" s="41">
        <f>47+2+2+5+2+1+2+2+4+2+2+0+0+2+2+3+1+2+2+1+2+2+1</f>
        <v>89</v>
      </c>
      <c r="F53" s="41">
        <v>8</v>
      </c>
      <c r="G53" s="7">
        <f t="shared" si="3"/>
        <v>160</v>
      </c>
      <c r="H53" s="41">
        <f>1293+219+87+66+222+102+5+63+59+185+97+94+58+23+45+50+12+47+42+2+21+24+6</f>
        <v>2822</v>
      </c>
      <c r="I53" s="25"/>
      <c r="J53" s="25">
        <f>38459.43+3375+1722.5+7196.6+1342+1440+1999.98+5310+2080+3770</f>
        <v>66695.510000000009</v>
      </c>
      <c r="K53" s="115">
        <f t="shared" si="12"/>
        <v>93.673469101123615</v>
      </c>
      <c r="L53" s="2">
        <f>54844.21+4001.48+1839.39+11750.34+1494.55+1654.32+2163.27+10179.54+2794.34+4177.44</f>
        <v>94898.880000000005</v>
      </c>
      <c r="M53" s="27">
        <f>37+7+1+1+1+1+1+1+1+1+1+1+1</f>
        <v>55</v>
      </c>
      <c r="N53" s="27">
        <v>85000</v>
      </c>
      <c r="O53" s="27">
        <v>15500</v>
      </c>
      <c r="P53" s="29">
        <f t="shared" si="4"/>
        <v>100500</v>
      </c>
      <c r="Q53" s="41">
        <v>1922</v>
      </c>
      <c r="R53" s="27"/>
      <c r="S53" s="27" t="str">
        <f t="shared" si="15"/>
        <v>https://babel.hathitrust.org/cgi/pt?id=njp.32101060099841;view=1up;seq=242</v>
      </c>
      <c r="T53" s="27" t="str">
        <f t="shared" si="15"/>
        <v>https://babel.hathitrust.org/cgi/pt?id=njp.32101060099841;view=1up;seq=180</v>
      </c>
      <c r="U53" s="27" t="str">
        <f t="shared" si="5"/>
        <v>https://babel.hathitrust.org/cgi/pt?id=njp.32101060099841;view=1up;seq=224</v>
      </c>
      <c r="V53" s="27" t="str">
        <f t="shared" si="6"/>
        <v>https://babel.hathitrust.org/cgi/pt?id=njp.32101060099841;view=1up;seq=242</v>
      </c>
      <c r="W53" s="27" t="str">
        <f t="shared" si="8"/>
        <v>https://babel.hathitrust.org/cgi/pt?id=njp.32101060099841;view=1up;seq=150</v>
      </c>
      <c r="X53" s="27" t="str">
        <f t="shared" si="16"/>
        <v>https://babel.hathitrust.org/cgi/pt?id=njp.32101060099841;view=1up;seq=274</v>
      </c>
      <c r="Y53" s="27" t="str">
        <f t="shared" si="16"/>
        <v>https://babel.hathitrust.org/cgi/pt?id=njp.32101060099841;view=1up;seq=275</v>
      </c>
      <c r="Z53" s="27" t="str">
        <f t="shared" si="16"/>
        <v>https://babel.hathitrust.org/cgi/pt?id=njp.32101060099841;view=1up;seq=224</v>
      </c>
      <c r="AA53" s="27" t="str">
        <f t="shared" si="16"/>
        <v>https://babel.hathitrust.org/cgi/pt?id=njp.32101060099833;view=1up;seq=584</v>
      </c>
      <c r="AB53" s="27"/>
      <c r="AC53" s="27"/>
      <c r="AD53" s="27"/>
    </row>
    <row r="54" spans="1:30" x14ac:dyDescent="0.25">
      <c r="A54" s="27" t="s">
        <v>934</v>
      </c>
      <c r="B54" s="27" t="str">
        <f t="shared" si="0"/>
        <v>Kentucky</v>
      </c>
      <c r="C54" s="27" t="str">
        <f t="shared" si="1"/>
        <v>Hickman</v>
      </c>
      <c r="D54" s="96">
        <f>1731+138</f>
        <v>1869</v>
      </c>
      <c r="E54" s="41">
        <f>51+3+2+5+2+2+2</f>
        <v>67</v>
      </c>
      <c r="F54" s="41">
        <v>7</v>
      </c>
      <c r="G54" s="7">
        <f t="shared" si="3"/>
        <v>140</v>
      </c>
      <c r="H54" s="41">
        <f>1961+240+35+164+28+66+15</f>
        <v>2509</v>
      </c>
      <c r="I54" s="25"/>
      <c r="J54" s="25">
        <v>36707.43</v>
      </c>
      <c r="K54" s="115">
        <f t="shared" si="12"/>
        <v>78.267441364605546</v>
      </c>
      <c r="L54" s="2">
        <v>58769.85</v>
      </c>
      <c r="M54" s="27">
        <f>38+5+1</f>
        <v>44</v>
      </c>
      <c r="N54" s="27">
        <v>72700</v>
      </c>
      <c r="O54" s="27">
        <v>9925</v>
      </c>
      <c r="P54" s="29">
        <f t="shared" si="4"/>
        <v>82625</v>
      </c>
      <c r="Q54" s="41">
        <v>1922</v>
      </c>
      <c r="R54" s="27"/>
      <c r="S54" s="27" t="str">
        <f t="shared" si="15"/>
        <v>https://babel.hathitrust.org/cgi/pt?id=njp.32101060099841;view=1up;seq=242</v>
      </c>
      <c r="T54" s="27" t="str">
        <f t="shared" si="15"/>
        <v>https://babel.hathitrust.org/cgi/pt?id=njp.32101060099841;view=1up;seq=180</v>
      </c>
      <c r="U54" s="27" t="str">
        <f t="shared" si="5"/>
        <v>https://babel.hathitrust.org/cgi/pt?id=njp.32101060099841;view=1up;seq=224</v>
      </c>
      <c r="V54" s="27" t="str">
        <f t="shared" si="6"/>
        <v>https://babel.hathitrust.org/cgi/pt?id=njp.32101060099841;view=1up;seq=242</v>
      </c>
      <c r="W54" s="27" t="str">
        <f t="shared" si="8"/>
        <v>https://babel.hathitrust.org/cgi/pt?id=njp.32101060099841;view=1up;seq=150</v>
      </c>
      <c r="X54" s="27" t="str">
        <f t="shared" si="16"/>
        <v>https://babel.hathitrust.org/cgi/pt?id=njp.32101060099841;view=1up;seq=274</v>
      </c>
      <c r="Y54" s="27" t="str">
        <f t="shared" si="16"/>
        <v>https://babel.hathitrust.org/cgi/pt?id=njp.32101060099841;view=1up;seq=275</v>
      </c>
      <c r="Z54" s="27" t="str">
        <f t="shared" si="16"/>
        <v>https://babel.hathitrust.org/cgi/pt?id=njp.32101060099841;view=1up;seq=224</v>
      </c>
      <c r="AA54" s="27" t="str">
        <f t="shared" si="16"/>
        <v>https://babel.hathitrust.org/cgi/pt?id=njp.32101060099833;view=1up;seq=584</v>
      </c>
      <c r="AB54" s="27"/>
      <c r="AC54" s="27"/>
      <c r="AD54" s="27"/>
    </row>
    <row r="55" spans="1:30" x14ac:dyDescent="0.25">
      <c r="A55" s="27" t="s">
        <v>935</v>
      </c>
      <c r="B55" s="27" t="str">
        <f t="shared" si="0"/>
        <v>Kentucky</v>
      </c>
      <c r="C55" s="27" t="str">
        <f t="shared" si="1"/>
        <v>Hopkins</v>
      </c>
      <c r="D55" s="96">
        <f>2789+296+412+382+1053+300+332+95</f>
        <v>5659</v>
      </c>
      <c r="E55" s="41">
        <f>120+9+6+27+7+2+0+0+4+3+2+10+1+3</f>
        <v>194</v>
      </c>
      <c r="F55" s="41">
        <v>8.8000000000000007</v>
      </c>
      <c r="G55" s="7">
        <f t="shared" si="3"/>
        <v>176</v>
      </c>
      <c r="H55" s="41">
        <f>4977+491+455+417+871+482+416+99+90+63+32+238+6+41</f>
        <v>8678</v>
      </c>
      <c r="I55" s="25"/>
      <c r="J55" s="25">
        <f>68425.03+11682.93+4369.09+27175.47+6762.4+11075.99+2000</f>
        <v>131490.90999999997</v>
      </c>
      <c r="K55" s="115">
        <f t="shared" si="12"/>
        <v>77.021385895032779</v>
      </c>
      <c r="L55" s="2">
        <f>88175.04+15285.35+6503.06+60789.97+11715.47+12955.42+2669.33</f>
        <v>198093.63999999998</v>
      </c>
      <c r="M55" s="27">
        <f>94+11+1+1+2+1+1</f>
        <v>111</v>
      </c>
      <c r="N55" s="27">
        <v>177370</v>
      </c>
      <c r="O55" s="27">
        <v>17500</v>
      </c>
      <c r="P55" s="29">
        <f t="shared" si="4"/>
        <v>194870</v>
      </c>
      <c r="Q55" s="41">
        <v>1922</v>
      </c>
      <c r="R55" s="27"/>
      <c r="S55" s="27" t="str">
        <f t="shared" si="15"/>
        <v>https://babel.hathitrust.org/cgi/pt?id=njp.32101060099841;view=1up;seq=242</v>
      </c>
      <c r="T55" s="27" t="str">
        <f t="shared" si="15"/>
        <v>https://babel.hathitrust.org/cgi/pt?id=njp.32101060099841;view=1up;seq=180</v>
      </c>
      <c r="U55" s="27" t="str">
        <f t="shared" si="5"/>
        <v>https://babel.hathitrust.org/cgi/pt?id=njp.32101060099841;view=1up;seq=224</v>
      </c>
      <c r="V55" s="27" t="str">
        <f t="shared" si="6"/>
        <v>https://babel.hathitrust.org/cgi/pt?id=njp.32101060099841;view=1up;seq=242</v>
      </c>
      <c r="W55" s="27" t="str">
        <f t="shared" si="8"/>
        <v>https://babel.hathitrust.org/cgi/pt?id=njp.32101060099841;view=1up;seq=150</v>
      </c>
      <c r="X55" s="27" t="str">
        <f t="shared" si="16"/>
        <v>https://babel.hathitrust.org/cgi/pt?id=njp.32101060099841;view=1up;seq=274</v>
      </c>
      <c r="Y55" s="27" t="str">
        <f t="shared" si="16"/>
        <v>https://babel.hathitrust.org/cgi/pt?id=njp.32101060099841;view=1up;seq=275</v>
      </c>
      <c r="Z55" s="27" t="str">
        <f t="shared" si="16"/>
        <v>https://babel.hathitrust.org/cgi/pt?id=njp.32101060099841;view=1up;seq=224</v>
      </c>
      <c r="AA55" s="27" t="str">
        <f t="shared" si="16"/>
        <v>https://babel.hathitrust.org/cgi/pt?id=njp.32101060099833;view=1up;seq=584</v>
      </c>
      <c r="AB55" s="27"/>
      <c r="AC55" s="27"/>
      <c r="AD55" s="27"/>
    </row>
    <row r="56" spans="1:30" x14ac:dyDescent="0.25">
      <c r="A56" s="27" t="s">
        <v>936</v>
      </c>
      <c r="B56" s="27" t="str">
        <f t="shared" si="0"/>
        <v>Kentucky</v>
      </c>
      <c r="C56" s="27" t="str">
        <f t="shared" si="1"/>
        <v>Jackson</v>
      </c>
      <c r="D56" s="96">
        <v>2011</v>
      </c>
      <c r="E56" s="41">
        <f>76+2</f>
        <v>78</v>
      </c>
      <c r="F56" s="41">
        <v>7</v>
      </c>
      <c r="G56" s="7">
        <f t="shared" si="3"/>
        <v>140</v>
      </c>
      <c r="H56" s="41">
        <f>2580+23</f>
        <v>2603</v>
      </c>
      <c r="I56" s="27"/>
      <c r="J56" s="27">
        <v>31788.25</v>
      </c>
      <c r="K56" s="115">
        <f t="shared" si="12"/>
        <v>58.220238095238095</v>
      </c>
      <c r="L56" s="2">
        <v>45279.67</v>
      </c>
      <c r="M56" s="27">
        <f>74+2</f>
        <v>76</v>
      </c>
      <c r="N56" s="27">
        <v>29600</v>
      </c>
      <c r="O56" s="27">
        <v>6560</v>
      </c>
      <c r="P56" s="29">
        <f t="shared" si="4"/>
        <v>36160</v>
      </c>
      <c r="Q56" s="41">
        <v>1922</v>
      </c>
      <c r="R56" s="27"/>
      <c r="S56" s="27" t="str">
        <f t="shared" si="15"/>
        <v>https://babel.hathitrust.org/cgi/pt?id=njp.32101060099841;view=1up;seq=242</v>
      </c>
      <c r="T56" s="27" t="str">
        <f t="shared" si="15"/>
        <v>https://babel.hathitrust.org/cgi/pt?id=njp.32101060099841;view=1up;seq=180</v>
      </c>
      <c r="U56" s="27" t="str">
        <f t="shared" si="5"/>
        <v>https://babel.hathitrust.org/cgi/pt?id=njp.32101060099841;view=1up;seq=224</v>
      </c>
      <c r="V56" s="27" t="str">
        <f t="shared" si="6"/>
        <v>https://babel.hathitrust.org/cgi/pt?id=njp.32101060099841;view=1up;seq=242</v>
      </c>
      <c r="W56" s="27" t="str">
        <f t="shared" si="8"/>
        <v>https://babel.hathitrust.org/cgi/pt?id=njp.32101060099841;view=1up;seq=150</v>
      </c>
      <c r="X56" s="27" t="str">
        <f t="shared" si="16"/>
        <v>https://babel.hathitrust.org/cgi/pt?id=njp.32101060099841;view=1up;seq=274</v>
      </c>
      <c r="Y56" s="27" t="str">
        <f t="shared" si="16"/>
        <v>https://babel.hathitrust.org/cgi/pt?id=njp.32101060099841;view=1up;seq=275</v>
      </c>
      <c r="Z56" s="27" t="str">
        <f t="shared" si="16"/>
        <v>https://babel.hathitrust.org/cgi/pt?id=njp.32101060099841;view=1up;seq=224</v>
      </c>
      <c r="AA56" s="27" t="str">
        <f t="shared" si="16"/>
        <v>https://babel.hathitrust.org/cgi/pt?id=njp.32101060099833;view=1up;seq=584</v>
      </c>
      <c r="AB56" s="27"/>
      <c r="AC56" s="27"/>
      <c r="AD56" s="27"/>
    </row>
    <row r="57" spans="1:30" x14ac:dyDescent="0.25">
      <c r="A57" s="27" t="s">
        <v>937</v>
      </c>
      <c r="B57" s="27" t="str">
        <f t="shared" si="0"/>
        <v>Kentucky</v>
      </c>
      <c r="C57" s="27" t="str">
        <f t="shared" si="1"/>
        <v>Jefferson</v>
      </c>
      <c r="D57" s="96">
        <f>3323+406+22540+5004+177+129</f>
        <v>31579</v>
      </c>
      <c r="E57" s="41">
        <f>159+813+4+4+7+1+51+78+33+27</f>
        <v>1177</v>
      </c>
      <c r="F57" s="41">
        <v>9.6999999999999993</v>
      </c>
      <c r="G57" s="7">
        <f t="shared" si="3"/>
        <v>194</v>
      </c>
      <c r="H57" s="41">
        <f>4515+917+21027+5433+72+19+2616+1533+1009+796</f>
        <v>37937</v>
      </c>
      <c r="I57" s="25"/>
      <c r="J57" s="25">
        <f>177230.65+1598338.82+12155.33+7690.25</f>
        <v>1795415.05</v>
      </c>
      <c r="K57" s="115">
        <f t="shared" si="12"/>
        <v>157.25941805568937</v>
      </c>
      <c r="L57" s="2">
        <f>253027.82+2366050.27+46642.78+8633.55</f>
        <v>2674354.4199999995</v>
      </c>
      <c r="M57" s="27">
        <f>42+2+1+1</f>
        <v>46</v>
      </c>
      <c r="N57" s="27">
        <v>341000</v>
      </c>
      <c r="O57" s="27">
        <v>29300</v>
      </c>
      <c r="P57" s="29">
        <f t="shared" si="4"/>
        <v>370300</v>
      </c>
      <c r="Q57" s="41">
        <v>1922</v>
      </c>
      <c r="R57" s="27"/>
      <c r="S57" s="27" t="str">
        <f t="shared" si="15"/>
        <v>https://babel.hathitrust.org/cgi/pt?id=njp.32101060099841;view=1up;seq=242</v>
      </c>
      <c r="T57" s="27" t="str">
        <f t="shared" si="15"/>
        <v>https://babel.hathitrust.org/cgi/pt?id=njp.32101060099841;view=1up;seq=180</v>
      </c>
      <c r="U57" s="27" t="str">
        <f t="shared" si="5"/>
        <v>https://babel.hathitrust.org/cgi/pt?id=njp.32101060099841;view=1up;seq=224</v>
      </c>
      <c r="V57" s="27" t="str">
        <f t="shared" si="6"/>
        <v>https://babel.hathitrust.org/cgi/pt?id=njp.32101060099841;view=1up;seq=242</v>
      </c>
      <c r="W57" s="27" t="str">
        <f t="shared" si="8"/>
        <v>https://babel.hathitrust.org/cgi/pt?id=njp.32101060099841;view=1up;seq=150</v>
      </c>
      <c r="X57" s="27" t="str">
        <f t="shared" si="16"/>
        <v>https://babel.hathitrust.org/cgi/pt?id=njp.32101060099841;view=1up;seq=274</v>
      </c>
      <c r="Y57" s="27" t="str">
        <f t="shared" si="16"/>
        <v>https://babel.hathitrust.org/cgi/pt?id=njp.32101060099841;view=1up;seq=275</v>
      </c>
      <c r="Z57" s="27" t="str">
        <f t="shared" si="16"/>
        <v>https://babel.hathitrust.org/cgi/pt?id=njp.32101060099841;view=1up;seq=224</v>
      </c>
      <c r="AA57" s="27" t="str">
        <f t="shared" si="16"/>
        <v>https://babel.hathitrust.org/cgi/pt?id=njp.32101060099833;view=1up;seq=584</v>
      </c>
      <c r="AB57" s="27"/>
      <c r="AC57" s="27"/>
      <c r="AD57" s="27"/>
    </row>
    <row r="58" spans="1:30" x14ac:dyDescent="0.25">
      <c r="A58" s="27" t="s">
        <v>938</v>
      </c>
      <c r="B58" s="27" t="str">
        <f t="shared" si="0"/>
        <v>Kentucky</v>
      </c>
      <c r="C58" s="27" t="str">
        <f t="shared" si="1"/>
        <v>Jessamine</v>
      </c>
      <c r="D58" s="96">
        <f>1257+227+511+147</f>
        <v>2142</v>
      </c>
      <c r="E58" s="41">
        <f>43+14+0+0+0+0+6+2+2</f>
        <v>67</v>
      </c>
      <c r="F58" s="41">
        <v>9.5</v>
      </c>
      <c r="G58" s="7">
        <f t="shared" si="3"/>
        <v>190</v>
      </c>
      <c r="H58" s="41">
        <f>130+142+1735+388+458+128+139+40+13</f>
        <v>3173</v>
      </c>
      <c r="I58" s="25"/>
      <c r="J58" s="25">
        <f>34254+15595.21</f>
        <v>49849.21</v>
      </c>
      <c r="K58" s="115">
        <f t="shared" si="12"/>
        <v>78.317690494893952</v>
      </c>
      <c r="L58" s="2">
        <f>72799.54+23417.24</f>
        <v>96216.78</v>
      </c>
      <c r="M58" s="27">
        <f>24+7+2</f>
        <v>33</v>
      </c>
      <c r="N58" s="27">
        <v>45000</v>
      </c>
      <c r="O58" s="27">
        <v>5700</v>
      </c>
      <c r="P58" s="29">
        <f t="shared" si="4"/>
        <v>50700</v>
      </c>
      <c r="Q58" s="41">
        <v>1922</v>
      </c>
      <c r="R58" s="27"/>
      <c r="S58" s="27" t="str">
        <f t="shared" si="15"/>
        <v>https://babel.hathitrust.org/cgi/pt?id=njp.32101060099841;view=1up;seq=242</v>
      </c>
      <c r="T58" s="27" t="str">
        <f t="shared" si="15"/>
        <v>https://babel.hathitrust.org/cgi/pt?id=njp.32101060099841;view=1up;seq=180</v>
      </c>
      <c r="U58" s="27" t="str">
        <f t="shared" si="5"/>
        <v>https://babel.hathitrust.org/cgi/pt?id=njp.32101060099841;view=1up;seq=224</v>
      </c>
      <c r="V58" s="27" t="str">
        <f t="shared" si="6"/>
        <v>https://babel.hathitrust.org/cgi/pt?id=njp.32101060099841;view=1up;seq=242</v>
      </c>
      <c r="W58" s="27" t="str">
        <f t="shared" si="8"/>
        <v>https://babel.hathitrust.org/cgi/pt?id=njp.32101060099841;view=1up;seq=150</v>
      </c>
      <c r="X58" s="27" t="str">
        <f t="shared" si="16"/>
        <v>https://babel.hathitrust.org/cgi/pt?id=njp.32101060099841;view=1up;seq=274</v>
      </c>
      <c r="Y58" s="27" t="str">
        <f t="shared" si="16"/>
        <v>https://babel.hathitrust.org/cgi/pt?id=njp.32101060099841;view=1up;seq=275</v>
      </c>
      <c r="Z58" s="27" t="str">
        <f t="shared" si="16"/>
        <v>https://babel.hathitrust.org/cgi/pt?id=njp.32101060099841;view=1up;seq=224</v>
      </c>
      <c r="AA58" s="27" t="str">
        <f t="shared" si="16"/>
        <v>https://babel.hathitrust.org/cgi/pt?id=njp.32101060099833;view=1up;seq=584</v>
      </c>
      <c r="AB58" s="27"/>
      <c r="AC58" s="27"/>
      <c r="AD58" s="27"/>
    </row>
    <row r="59" spans="1:30" x14ac:dyDescent="0.25">
      <c r="A59" s="27" t="s">
        <v>939</v>
      </c>
      <c r="B59" s="27" t="str">
        <f t="shared" si="0"/>
        <v>Kentucky</v>
      </c>
      <c r="C59" s="27" t="str">
        <f t="shared" si="1"/>
        <v>Johnson</v>
      </c>
      <c r="D59" s="96">
        <f>3781+604+277</f>
        <v>4662</v>
      </c>
      <c r="E59" s="41">
        <f>86+2+10+10+4+3</f>
        <v>115</v>
      </c>
      <c r="F59" s="41">
        <v>8.3000000000000007</v>
      </c>
      <c r="G59" s="7">
        <f t="shared" si="3"/>
        <v>166</v>
      </c>
      <c r="H59" s="41">
        <f>4704+98+633+566+123+52</f>
        <v>6176</v>
      </c>
      <c r="I59" s="27"/>
      <c r="J59" s="27">
        <f>38615.68+1075+11932.5+9640</f>
        <v>61263.18</v>
      </c>
      <c r="K59" s="115">
        <f t="shared" si="12"/>
        <v>64.183530644316392</v>
      </c>
      <c r="L59" s="2">
        <f>71207.06+1138.6+18837.58+16458.46</f>
        <v>107641.70000000001</v>
      </c>
      <c r="M59" s="27">
        <f>67+9+1+1+1</f>
        <v>79</v>
      </c>
      <c r="N59" s="27">
        <v>130000</v>
      </c>
      <c r="O59" s="27">
        <v>11000</v>
      </c>
      <c r="P59" s="29">
        <f t="shared" si="4"/>
        <v>141000</v>
      </c>
      <c r="Q59" s="41">
        <v>1922</v>
      </c>
      <c r="R59" s="27"/>
      <c r="S59" s="27" t="str">
        <f t="shared" si="15"/>
        <v>https://babel.hathitrust.org/cgi/pt?id=njp.32101060099841;view=1up;seq=242</v>
      </c>
      <c r="T59" s="27" t="str">
        <f t="shared" si="15"/>
        <v>https://babel.hathitrust.org/cgi/pt?id=njp.32101060099841;view=1up;seq=180</v>
      </c>
      <c r="U59" s="27" t="str">
        <f t="shared" si="5"/>
        <v>https://babel.hathitrust.org/cgi/pt?id=njp.32101060099841;view=1up;seq=224</v>
      </c>
      <c r="V59" s="27" t="str">
        <f t="shared" si="6"/>
        <v>https://babel.hathitrust.org/cgi/pt?id=njp.32101060099841;view=1up;seq=242</v>
      </c>
      <c r="W59" s="27" t="str">
        <f t="shared" si="8"/>
        <v>https://babel.hathitrust.org/cgi/pt?id=njp.32101060099841;view=1up;seq=150</v>
      </c>
      <c r="X59" s="27" t="str">
        <f t="shared" si="16"/>
        <v>https://babel.hathitrust.org/cgi/pt?id=njp.32101060099841;view=1up;seq=274</v>
      </c>
      <c r="Y59" s="27" t="str">
        <f t="shared" si="16"/>
        <v>https://babel.hathitrust.org/cgi/pt?id=njp.32101060099841;view=1up;seq=275</v>
      </c>
      <c r="Z59" s="27" t="str">
        <f t="shared" si="16"/>
        <v>https://babel.hathitrust.org/cgi/pt?id=njp.32101060099841;view=1up;seq=224</v>
      </c>
      <c r="AA59" s="27" t="str">
        <f t="shared" si="16"/>
        <v>https://babel.hathitrust.org/cgi/pt?id=njp.32101060099833;view=1up;seq=584</v>
      </c>
      <c r="AB59" s="27"/>
      <c r="AC59" s="27"/>
      <c r="AD59" s="27"/>
    </row>
    <row r="60" spans="1:30" x14ac:dyDescent="0.25">
      <c r="A60" s="27" t="s">
        <v>940</v>
      </c>
      <c r="B60" s="27" t="str">
        <f t="shared" si="0"/>
        <v>Kentucky</v>
      </c>
      <c r="C60" s="27" t="str">
        <f t="shared" si="1"/>
        <v>Kenton</v>
      </c>
      <c r="D60" s="96">
        <f>1158+21+4949+384+543+91+112+176+176+169+53</f>
        <v>7832</v>
      </c>
      <c r="E60" s="41">
        <f>34+153+13+3+3+4+4+3+2+0+0+0+3+29+3+1+2+3+5+2+5</f>
        <v>272</v>
      </c>
      <c r="F60" s="41">
        <v>8.9</v>
      </c>
      <c r="G60" s="7">
        <f t="shared" si="3"/>
        <v>178</v>
      </c>
      <c r="H60" s="41">
        <f>1168+43+4753+495+524+3+65+122+172+154+103+60+6+903+36+22+49+73+103+55+3+48</f>
        <v>8960</v>
      </c>
      <c r="I60" s="25"/>
      <c r="J60" s="25">
        <f>33195+209643.89+18796.76+3675+2115+4740+5535+2589+1449.5</f>
        <v>281739.15000000002</v>
      </c>
      <c r="K60" s="115">
        <f t="shared" si="12"/>
        <v>116.38266275611367</v>
      </c>
      <c r="L60" s="2">
        <f>61007.57+658119.4+31251.2+5177.81+3072.1+6710.73+9671.19+4138.55+2215.9</f>
        <v>781364.45</v>
      </c>
      <c r="M60" s="27">
        <f>29+2+1+1+1+1+1+1+1</f>
        <v>38</v>
      </c>
      <c r="N60" s="27">
        <v>176500</v>
      </c>
      <c r="O60" s="27">
        <v>10500</v>
      </c>
      <c r="P60" s="29">
        <f t="shared" si="4"/>
        <v>187000</v>
      </c>
      <c r="Q60" s="41">
        <v>1922</v>
      </c>
      <c r="R60" s="27"/>
      <c r="S60" s="27" t="str">
        <f t="shared" si="15"/>
        <v>https://babel.hathitrust.org/cgi/pt?id=njp.32101060099841;view=1up;seq=242</v>
      </c>
      <c r="T60" s="27" t="str">
        <f t="shared" si="15"/>
        <v>https://babel.hathitrust.org/cgi/pt?id=njp.32101060099841;view=1up;seq=180</v>
      </c>
      <c r="U60" s="27" t="str">
        <f t="shared" si="5"/>
        <v>https://babel.hathitrust.org/cgi/pt?id=njp.32101060099841;view=1up;seq=224</v>
      </c>
      <c r="V60" s="27" t="str">
        <f t="shared" si="6"/>
        <v>https://babel.hathitrust.org/cgi/pt?id=njp.32101060099841;view=1up;seq=242</v>
      </c>
      <c r="W60" s="27" t="str">
        <f t="shared" si="8"/>
        <v>https://babel.hathitrust.org/cgi/pt?id=njp.32101060099841;view=1up;seq=150</v>
      </c>
      <c r="X60" s="27" t="str">
        <f t="shared" si="16"/>
        <v>https://babel.hathitrust.org/cgi/pt?id=njp.32101060099841;view=1up;seq=274</v>
      </c>
      <c r="Y60" s="27" t="str">
        <f t="shared" si="16"/>
        <v>https://babel.hathitrust.org/cgi/pt?id=njp.32101060099841;view=1up;seq=275</v>
      </c>
      <c r="Z60" s="27" t="str">
        <f t="shared" si="16"/>
        <v>https://babel.hathitrust.org/cgi/pt?id=njp.32101060099841;view=1up;seq=224</v>
      </c>
      <c r="AA60" s="27" t="str">
        <f t="shared" si="16"/>
        <v>https://babel.hathitrust.org/cgi/pt?id=njp.32101060099833;view=1up;seq=584</v>
      </c>
      <c r="AB60" s="27"/>
      <c r="AC60" s="27"/>
      <c r="AD60" s="27"/>
    </row>
    <row r="61" spans="1:30" x14ac:dyDescent="0.25">
      <c r="A61" s="27" t="s">
        <v>941</v>
      </c>
      <c r="B61" s="27" t="str">
        <f t="shared" si="0"/>
        <v>Kentucky</v>
      </c>
      <c r="C61" s="27" t="str">
        <f t="shared" si="1"/>
        <v>Knott</v>
      </c>
      <c r="D61" s="96">
        <f>2910+17</f>
        <v>2927</v>
      </c>
      <c r="E61" s="41">
        <f>85+103+7+6</f>
        <v>201</v>
      </c>
      <c r="F61" s="41">
        <v>7</v>
      </c>
      <c r="G61" s="7">
        <f t="shared" si="3"/>
        <v>140</v>
      </c>
      <c r="H61" s="41">
        <f>3192+32+56+29</f>
        <v>3309</v>
      </c>
      <c r="I61" s="25"/>
      <c r="J61" s="25">
        <v>36455.47</v>
      </c>
      <c r="K61" s="115">
        <f t="shared" si="12"/>
        <v>25.910071073205405</v>
      </c>
      <c r="L61" s="2">
        <f>46732.81</f>
        <v>46732.81</v>
      </c>
      <c r="M61" s="27">
        <f>54+10</f>
        <v>64</v>
      </c>
      <c r="N61" s="27">
        <v>22800</v>
      </c>
      <c r="O61" s="27">
        <v>3550</v>
      </c>
      <c r="P61" s="29">
        <f t="shared" si="4"/>
        <v>26350</v>
      </c>
      <c r="Q61" s="41">
        <v>1922</v>
      </c>
      <c r="R61" s="27"/>
      <c r="S61" s="27" t="str">
        <f t="shared" si="15"/>
        <v>https://babel.hathitrust.org/cgi/pt?id=njp.32101060099841;view=1up;seq=242</v>
      </c>
      <c r="T61" s="27" t="str">
        <f t="shared" si="15"/>
        <v>https://babel.hathitrust.org/cgi/pt?id=njp.32101060099841;view=1up;seq=180</v>
      </c>
      <c r="U61" s="27" t="str">
        <f t="shared" si="5"/>
        <v>https://babel.hathitrust.org/cgi/pt?id=njp.32101060099841;view=1up;seq=224</v>
      </c>
      <c r="V61" s="27" t="str">
        <f t="shared" si="6"/>
        <v>https://babel.hathitrust.org/cgi/pt?id=njp.32101060099841;view=1up;seq=242</v>
      </c>
      <c r="W61" s="27" t="str">
        <f t="shared" si="8"/>
        <v>https://babel.hathitrust.org/cgi/pt?id=njp.32101060099841;view=1up;seq=150</v>
      </c>
      <c r="X61" s="27" t="str">
        <f t="shared" si="16"/>
        <v>https://babel.hathitrust.org/cgi/pt?id=njp.32101060099841;view=1up;seq=274</v>
      </c>
      <c r="Y61" s="27" t="str">
        <f t="shared" si="16"/>
        <v>https://babel.hathitrust.org/cgi/pt?id=njp.32101060099841;view=1up;seq=275</v>
      </c>
      <c r="Z61" s="27" t="str">
        <f t="shared" si="16"/>
        <v>https://babel.hathitrust.org/cgi/pt?id=njp.32101060099841;view=1up;seq=224</v>
      </c>
      <c r="AA61" s="27" t="str">
        <f t="shared" si="16"/>
        <v>https://babel.hathitrust.org/cgi/pt?id=njp.32101060099833;view=1up;seq=584</v>
      </c>
      <c r="AB61" s="27"/>
      <c r="AC61" s="27"/>
      <c r="AD61" s="27"/>
    </row>
    <row r="62" spans="1:30" x14ac:dyDescent="0.25">
      <c r="A62" s="27" t="s">
        <v>942</v>
      </c>
      <c r="B62" s="27" t="str">
        <f t="shared" si="0"/>
        <v>Kentucky</v>
      </c>
      <c r="C62" s="27" t="str">
        <f t="shared" si="1"/>
        <v>Knox</v>
      </c>
      <c r="D62" s="96">
        <f>3440+54+427+32+137+190+70+128</f>
        <v>4478</v>
      </c>
      <c r="E62" s="41">
        <f>9+2+4+2+3+0+0+0+1+5</f>
        <v>26</v>
      </c>
      <c r="F62" s="41">
        <v>8</v>
      </c>
      <c r="G62" s="7">
        <f t="shared" si="3"/>
        <v>160</v>
      </c>
      <c r="H62" s="41">
        <f>3915+64+446+51+180+254+103+295+20+67+6</f>
        <v>5401</v>
      </c>
      <c r="I62" s="25"/>
      <c r="J62" s="25">
        <f>43695.15+11245+2999+3087+715+2560</f>
        <v>64301.15</v>
      </c>
      <c r="K62" s="115">
        <f t="shared" si="12"/>
        <v>309.14014423076924</v>
      </c>
      <c r="L62" s="2">
        <f>58563.98+14822.42+6068.47+4392.27+809+3123.5</f>
        <v>87779.640000000014</v>
      </c>
      <c r="M62" s="27">
        <f>90+7+1+1+1+1+1+1</f>
        <v>103</v>
      </c>
      <c r="N62" s="27">
        <v>52500</v>
      </c>
      <c r="O62" s="27">
        <v>12000</v>
      </c>
      <c r="P62" s="29">
        <f t="shared" si="4"/>
        <v>64500</v>
      </c>
      <c r="Q62" s="41">
        <v>1922</v>
      </c>
      <c r="R62" s="27"/>
      <c r="S62" s="27" t="str">
        <f t="shared" si="15"/>
        <v>https://babel.hathitrust.org/cgi/pt?id=njp.32101060099841;view=1up;seq=242</v>
      </c>
      <c r="T62" s="27" t="str">
        <f t="shared" si="15"/>
        <v>https://babel.hathitrust.org/cgi/pt?id=njp.32101060099841;view=1up;seq=180</v>
      </c>
      <c r="U62" s="27" t="str">
        <f t="shared" si="5"/>
        <v>https://babel.hathitrust.org/cgi/pt?id=njp.32101060099841;view=1up;seq=224</v>
      </c>
      <c r="V62" s="27" t="str">
        <f t="shared" si="6"/>
        <v>https://babel.hathitrust.org/cgi/pt?id=njp.32101060099841;view=1up;seq=242</v>
      </c>
      <c r="W62" s="27" t="str">
        <f t="shared" si="8"/>
        <v>https://babel.hathitrust.org/cgi/pt?id=njp.32101060099841;view=1up;seq=150</v>
      </c>
      <c r="X62" s="27" t="str">
        <f t="shared" si="16"/>
        <v>https://babel.hathitrust.org/cgi/pt?id=njp.32101060099841;view=1up;seq=274</v>
      </c>
      <c r="Y62" s="27" t="str">
        <f t="shared" si="16"/>
        <v>https://babel.hathitrust.org/cgi/pt?id=njp.32101060099841;view=1up;seq=275</v>
      </c>
      <c r="Z62" s="27" t="str">
        <f t="shared" si="16"/>
        <v>https://babel.hathitrust.org/cgi/pt?id=njp.32101060099841;view=1up;seq=224</v>
      </c>
      <c r="AA62" s="27" t="str">
        <f t="shared" si="16"/>
        <v>https://babel.hathitrust.org/cgi/pt?id=njp.32101060099833;view=1up;seq=584</v>
      </c>
      <c r="AB62" s="27"/>
      <c r="AC62" s="27"/>
      <c r="AD62" s="27"/>
    </row>
    <row r="63" spans="1:30" x14ac:dyDescent="0.25">
      <c r="A63" s="27" t="s">
        <v>943</v>
      </c>
      <c r="B63" s="27" t="str">
        <f t="shared" si="0"/>
        <v>Kentucky</v>
      </c>
      <c r="C63" s="27" t="str">
        <f t="shared" si="1"/>
        <v>Larue</v>
      </c>
      <c r="D63" s="96">
        <f>1527+135+119+283</f>
        <v>2064</v>
      </c>
      <c r="E63" s="41">
        <f>51+3+4+0+2+3+2</f>
        <v>65</v>
      </c>
      <c r="F63" s="41">
        <v>8.3000000000000007</v>
      </c>
      <c r="G63" s="7">
        <f t="shared" si="3"/>
        <v>166</v>
      </c>
      <c r="H63" s="41">
        <f>1912+165+127+249+34+77+16</f>
        <v>2580</v>
      </c>
      <c r="I63" s="25"/>
      <c r="J63" s="25">
        <f>22160.92+3931.25+7364.97</f>
        <v>33457.14</v>
      </c>
      <c r="K63" s="115">
        <f t="shared" si="12"/>
        <v>62.015088044485623</v>
      </c>
      <c r="L63" s="2">
        <f>28230.96+4374.9+9808.02</f>
        <v>42413.880000000005</v>
      </c>
      <c r="M63" s="27">
        <f>43+4+1+1</f>
        <v>49</v>
      </c>
      <c r="N63" s="27">
        <v>25000</v>
      </c>
      <c r="O63" s="27">
        <v>5000</v>
      </c>
      <c r="P63" s="29">
        <f t="shared" si="4"/>
        <v>30000</v>
      </c>
      <c r="Q63" s="41">
        <v>1922</v>
      </c>
      <c r="R63" s="27"/>
      <c r="S63" s="27" t="str">
        <f t="shared" si="15"/>
        <v>https://babel.hathitrust.org/cgi/pt?id=njp.32101060099841;view=1up;seq=242</v>
      </c>
      <c r="T63" s="27" t="str">
        <f t="shared" si="15"/>
        <v>https://babel.hathitrust.org/cgi/pt?id=njp.32101060099841;view=1up;seq=180</v>
      </c>
      <c r="U63" s="27" t="str">
        <f t="shared" si="5"/>
        <v>https://babel.hathitrust.org/cgi/pt?id=njp.32101060099841;view=1up;seq=224</v>
      </c>
      <c r="V63" s="27" t="str">
        <f t="shared" si="6"/>
        <v>https://babel.hathitrust.org/cgi/pt?id=njp.32101060099841;view=1up;seq=242</v>
      </c>
      <c r="W63" s="27" t="str">
        <f t="shared" si="8"/>
        <v>https://babel.hathitrust.org/cgi/pt?id=njp.32101060099841;view=1up;seq=150</v>
      </c>
      <c r="X63" s="27" t="str">
        <f t="shared" si="16"/>
        <v>https://babel.hathitrust.org/cgi/pt?id=njp.32101060099841;view=1up;seq=274</v>
      </c>
      <c r="Y63" s="27" t="str">
        <f t="shared" si="16"/>
        <v>https://babel.hathitrust.org/cgi/pt?id=njp.32101060099841;view=1up;seq=275</v>
      </c>
      <c r="Z63" s="27" t="str">
        <f t="shared" si="16"/>
        <v>https://babel.hathitrust.org/cgi/pt?id=njp.32101060099841;view=1up;seq=224</v>
      </c>
      <c r="AA63" s="27" t="str">
        <f t="shared" si="16"/>
        <v>https://babel.hathitrust.org/cgi/pt?id=njp.32101060099833;view=1up;seq=584</v>
      </c>
      <c r="AB63" s="27"/>
      <c r="AC63" s="27"/>
      <c r="AD63" s="27"/>
    </row>
    <row r="64" spans="1:30" x14ac:dyDescent="0.25">
      <c r="A64" s="27" t="s">
        <v>944</v>
      </c>
      <c r="B64" s="27" t="str">
        <f t="shared" si="0"/>
        <v>Kentucky</v>
      </c>
      <c r="C64" s="27" t="str">
        <f t="shared" si="1"/>
        <v>Laurel</v>
      </c>
      <c r="D64" s="96">
        <f>3774+59+131+347+220</f>
        <v>4531</v>
      </c>
      <c r="E64" s="41">
        <f>105+3+9+4+0+4</f>
        <v>125</v>
      </c>
      <c r="F64" s="41">
        <v>8</v>
      </c>
      <c r="G64" s="7">
        <f t="shared" si="3"/>
        <v>160</v>
      </c>
      <c r="H64" s="41">
        <f>4753+126+178+493+222+97</f>
        <v>5869</v>
      </c>
      <c r="I64" s="25"/>
      <c r="J64" s="25">
        <f>47941.5+1820+9044.4+2380</f>
        <v>61185.9</v>
      </c>
      <c r="K64" s="115">
        <f t="shared" si="12"/>
        <v>61.185900000000004</v>
      </c>
      <c r="L64" s="2">
        <f>77727+2066.92+13717.14+2764.6</f>
        <v>96275.66</v>
      </c>
      <c r="M64" s="27">
        <f>75+14+1+1+1</f>
        <v>92</v>
      </c>
      <c r="N64" s="27">
        <v>64200</v>
      </c>
      <c r="O64" s="27">
        <v>15525</v>
      </c>
      <c r="P64" s="29">
        <f t="shared" si="4"/>
        <v>79725</v>
      </c>
      <c r="Q64" s="41">
        <v>1922</v>
      </c>
      <c r="R64" s="27"/>
      <c r="S64" s="27" t="str">
        <f t="shared" si="15"/>
        <v>https://babel.hathitrust.org/cgi/pt?id=njp.32101060099841;view=1up;seq=242</v>
      </c>
      <c r="T64" s="27" t="str">
        <f t="shared" si="15"/>
        <v>https://babel.hathitrust.org/cgi/pt?id=njp.32101060099841;view=1up;seq=180</v>
      </c>
      <c r="U64" s="27" t="str">
        <f t="shared" si="5"/>
        <v>https://babel.hathitrust.org/cgi/pt?id=njp.32101060099841;view=1up;seq=224</v>
      </c>
      <c r="V64" s="27" t="str">
        <f t="shared" si="6"/>
        <v>https://babel.hathitrust.org/cgi/pt?id=njp.32101060099841;view=1up;seq=242</v>
      </c>
      <c r="W64" s="27" t="str">
        <f t="shared" si="8"/>
        <v>https://babel.hathitrust.org/cgi/pt?id=njp.32101060099841;view=1up;seq=150</v>
      </c>
      <c r="X64" s="27" t="str">
        <f t="shared" si="16"/>
        <v>https://babel.hathitrust.org/cgi/pt?id=njp.32101060099841;view=1up;seq=274</v>
      </c>
      <c r="Y64" s="27" t="str">
        <f t="shared" si="16"/>
        <v>https://babel.hathitrust.org/cgi/pt?id=njp.32101060099841;view=1up;seq=275</v>
      </c>
      <c r="Z64" s="27" t="str">
        <f t="shared" si="16"/>
        <v>https://babel.hathitrust.org/cgi/pt?id=njp.32101060099841;view=1up;seq=224</v>
      </c>
      <c r="AA64" s="27" t="str">
        <f t="shared" si="16"/>
        <v>https://babel.hathitrust.org/cgi/pt?id=njp.32101060099833;view=1up;seq=584</v>
      </c>
      <c r="AB64" s="27"/>
      <c r="AC64" s="27"/>
      <c r="AD64" s="27"/>
    </row>
    <row r="65" spans="1:30" x14ac:dyDescent="0.25">
      <c r="A65" s="27" t="s">
        <v>945</v>
      </c>
      <c r="B65" s="27" t="str">
        <f t="shared" si="0"/>
        <v>Kentucky</v>
      </c>
      <c r="C65" s="27" t="str">
        <f t="shared" si="1"/>
        <v>Lawrence</v>
      </c>
      <c r="D65" s="96">
        <f>3581+26+294</f>
        <v>3901</v>
      </c>
      <c r="E65" s="41">
        <f>104+6+0+5</f>
        <v>115</v>
      </c>
      <c r="F65" s="41">
        <v>8</v>
      </c>
      <c r="G65" s="7">
        <f t="shared" si="3"/>
        <v>160</v>
      </c>
      <c r="H65" s="41">
        <f>4740+36+498+101</f>
        <v>5375</v>
      </c>
      <c r="I65" s="25"/>
      <c r="J65" s="25">
        <f>45657.5+8161.05</f>
        <v>53818.55</v>
      </c>
      <c r="K65" s="115">
        <f t="shared" si="12"/>
        <v>58.498423913043482</v>
      </c>
      <c r="L65" s="2">
        <f>59871.51+11295.33</f>
        <v>71166.84</v>
      </c>
      <c r="M65" s="27">
        <f>98+3+1</f>
        <v>102</v>
      </c>
      <c r="N65" s="27">
        <v>88000</v>
      </c>
      <c r="O65" s="27">
        <v>12100</v>
      </c>
      <c r="P65" s="29">
        <f t="shared" si="4"/>
        <v>100100</v>
      </c>
      <c r="Q65" s="41">
        <v>1922</v>
      </c>
      <c r="R65" s="27"/>
      <c r="S65" s="27" t="str">
        <f t="shared" si="15"/>
        <v>https://babel.hathitrust.org/cgi/pt?id=njp.32101060099841;view=1up;seq=242</v>
      </c>
      <c r="T65" s="27" t="str">
        <f t="shared" si="15"/>
        <v>https://babel.hathitrust.org/cgi/pt?id=njp.32101060099841;view=1up;seq=180</v>
      </c>
      <c r="U65" s="27" t="str">
        <f t="shared" si="5"/>
        <v>https://babel.hathitrust.org/cgi/pt?id=njp.32101060099841;view=1up;seq=224</v>
      </c>
      <c r="V65" s="27" t="str">
        <f t="shared" si="6"/>
        <v>https://babel.hathitrust.org/cgi/pt?id=njp.32101060099841;view=1up;seq=242</v>
      </c>
      <c r="W65" s="27" t="str">
        <f t="shared" si="8"/>
        <v>https://babel.hathitrust.org/cgi/pt?id=njp.32101060099841;view=1up;seq=150</v>
      </c>
      <c r="X65" s="27" t="str">
        <f t="shared" si="16"/>
        <v>https://babel.hathitrust.org/cgi/pt?id=njp.32101060099841;view=1up;seq=274</v>
      </c>
      <c r="Y65" s="27" t="str">
        <f t="shared" si="16"/>
        <v>https://babel.hathitrust.org/cgi/pt?id=njp.32101060099841;view=1up;seq=275</v>
      </c>
      <c r="Z65" s="27" t="str">
        <f t="shared" si="16"/>
        <v>https://babel.hathitrust.org/cgi/pt?id=njp.32101060099841;view=1up;seq=224</v>
      </c>
      <c r="AA65" s="27" t="str">
        <f t="shared" si="16"/>
        <v>https://babel.hathitrust.org/cgi/pt?id=njp.32101060099833;view=1up;seq=584</v>
      </c>
      <c r="AB65" s="27"/>
      <c r="AC65" s="27"/>
      <c r="AD65" s="27"/>
    </row>
    <row r="66" spans="1:30" x14ac:dyDescent="0.25">
      <c r="A66" s="27" t="s">
        <v>946</v>
      </c>
      <c r="B66" s="27" t="str">
        <f t="shared" ref="B66:B121" si="17">LEFT(A66,FIND(";",A66)-1)</f>
        <v>Kentucky</v>
      </c>
      <c r="C66" s="27" t="str">
        <f t="shared" ref="C66:C121" si="18">MID(A66,FIND(";",A66)+1,100)</f>
        <v>Lee</v>
      </c>
      <c r="D66" s="96">
        <f>1424+209+30+96+125</f>
        <v>1884</v>
      </c>
      <c r="E66" s="41">
        <f>50+5+2+0+0+2+2</f>
        <v>61</v>
      </c>
      <c r="F66" s="41">
        <v>8.1999999999999993</v>
      </c>
      <c r="G66" s="7">
        <f t="shared" si="3"/>
        <v>164</v>
      </c>
      <c r="H66" s="41">
        <f>2391+34+304+132+164+31+52</f>
        <v>3108</v>
      </c>
      <c r="I66" s="25"/>
      <c r="J66" s="25">
        <f>23153.75+6020+1600+3420</f>
        <v>34193.75</v>
      </c>
      <c r="K66" s="115">
        <f t="shared" ref="K66:K97" si="19">J66/E66/(G66/20)</f>
        <v>68.360155937624967</v>
      </c>
      <c r="L66" s="2">
        <f>30465.05+7015.82+2372.06+3482.15</f>
        <v>43335.079999999994</v>
      </c>
      <c r="M66" s="27">
        <f>45+2+1+1+1</f>
        <v>50</v>
      </c>
      <c r="N66" s="27">
        <v>34100</v>
      </c>
      <c r="O66" s="27">
        <v>2800</v>
      </c>
      <c r="P66" s="29">
        <f t="shared" si="4"/>
        <v>36900</v>
      </c>
      <c r="Q66" s="41">
        <v>1922</v>
      </c>
      <c r="R66" s="27"/>
      <c r="S66" s="27" t="str">
        <f t="shared" si="15"/>
        <v>https://babel.hathitrust.org/cgi/pt?id=njp.32101060099841;view=1up;seq=242</v>
      </c>
      <c r="T66" s="27" t="str">
        <f t="shared" si="15"/>
        <v>https://babel.hathitrust.org/cgi/pt?id=njp.32101060099841;view=1up;seq=180</v>
      </c>
      <c r="U66" s="27" t="str">
        <f t="shared" si="5"/>
        <v>https://babel.hathitrust.org/cgi/pt?id=njp.32101060099841;view=1up;seq=224</v>
      </c>
      <c r="V66" s="27" t="str">
        <f t="shared" si="6"/>
        <v>https://babel.hathitrust.org/cgi/pt?id=njp.32101060099841;view=1up;seq=242</v>
      </c>
      <c r="W66" s="27" t="str">
        <f t="shared" si="8"/>
        <v>https://babel.hathitrust.org/cgi/pt?id=njp.32101060099841;view=1up;seq=150</v>
      </c>
      <c r="X66" s="27" t="str">
        <f t="shared" si="16"/>
        <v>https://babel.hathitrust.org/cgi/pt?id=njp.32101060099841;view=1up;seq=274</v>
      </c>
      <c r="Y66" s="27" t="str">
        <f t="shared" si="16"/>
        <v>https://babel.hathitrust.org/cgi/pt?id=njp.32101060099841;view=1up;seq=275</v>
      </c>
      <c r="Z66" s="27" t="str">
        <f t="shared" si="16"/>
        <v>https://babel.hathitrust.org/cgi/pt?id=njp.32101060099841;view=1up;seq=224</v>
      </c>
      <c r="AA66" s="27" t="str">
        <f t="shared" si="16"/>
        <v>https://babel.hathitrust.org/cgi/pt?id=njp.32101060099833;view=1up;seq=584</v>
      </c>
      <c r="AB66" s="27"/>
      <c r="AC66" s="27"/>
      <c r="AD66" s="27"/>
    </row>
    <row r="67" spans="1:30" x14ac:dyDescent="0.25">
      <c r="A67" s="27" t="s">
        <v>947</v>
      </c>
      <c r="B67" s="27" t="str">
        <f t="shared" si="17"/>
        <v>Kentucky</v>
      </c>
      <c r="C67" s="27" t="str">
        <f t="shared" si="18"/>
        <v>Leslie</v>
      </c>
      <c r="D67" s="96">
        <f>1966+89</f>
        <v>2055</v>
      </c>
      <c r="E67" s="41">
        <f>76+0+3+1</f>
        <v>80</v>
      </c>
      <c r="F67" s="41">
        <v>7.5</v>
      </c>
      <c r="G67" s="7">
        <f t="shared" ref="G67:G121" si="20">F67*20</f>
        <v>150</v>
      </c>
      <c r="H67" s="41">
        <f>2711+21+164+18</f>
        <v>2914</v>
      </c>
      <c r="I67" s="27"/>
      <c r="J67" s="27">
        <f>31829.6+2000</f>
        <v>33829.599999999999</v>
      </c>
      <c r="K67" s="115">
        <f t="shared" si="19"/>
        <v>56.382666666666665</v>
      </c>
      <c r="L67" s="2">
        <f>38654.23+2719.08</f>
        <v>41373.310000000005</v>
      </c>
      <c r="M67" s="27">
        <f>69+1+1</f>
        <v>71</v>
      </c>
      <c r="N67" s="27">
        <v>20200</v>
      </c>
      <c r="O67" s="27">
        <v>5000</v>
      </c>
      <c r="P67" s="29">
        <f t="shared" ref="P67:P121" si="21">N67+O67</f>
        <v>25200</v>
      </c>
      <c r="Q67" s="41">
        <v>1922</v>
      </c>
      <c r="R67" s="27"/>
      <c r="S67" s="27" t="str">
        <f t="shared" si="15"/>
        <v>https://babel.hathitrust.org/cgi/pt?id=njp.32101060099841;view=1up;seq=242</v>
      </c>
      <c r="T67" s="27" t="str">
        <f t="shared" si="15"/>
        <v>https://babel.hathitrust.org/cgi/pt?id=njp.32101060099841;view=1up;seq=180</v>
      </c>
      <c r="U67" s="27" t="str">
        <f t="shared" ref="U67:U121" si="22">Z67</f>
        <v>https://babel.hathitrust.org/cgi/pt?id=njp.32101060099841;view=1up;seq=224</v>
      </c>
      <c r="V67" s="27" t="str">
        <f t="shared" ref="V67:V121" si="23">S67</f>
        <v>https://babel.hathitrust.org/cgi/pt?id=njp.32101060099841;view=1up;seq=242</v>
      </c>
      <c r="W67" s="27" t="str">
        <f t="shared" si="8"/>
        <v>https://babel.hathitrust.org/cgi/pt?id=njp.32101060099841;view=1up;seq=150</v>
      </c>
      <c r="X67" s="27" t="str">
        <f t="shared" si="16"/>
        <v>https://babel.hathitrust.org/cgi/pt?id=njp.32101060099841;view=1up;seq=274</v>
      </c>
      <c r="Y67" s="27" t="str">
        <f t="shared" si="16"/>
        <v>https://babel.hathitrust.org/cgi/pt?id=njp.32101060099841;view=1up;seq=275</v>
      </c>
      <c r="Z67" s="27" t="str">
        <f t="shared" si="16"/>
        <v>https://babel.hathitrust.org/cgi/pt?id=njp.32101060099841;view=1up;seq=224</v>
      </c>
      <c r="AA67" s="27" t="str">
        <f t="shared" si="16"/>
        <v>https://babel.hathitrust.org/cgi/pt?id=njp.32101060099833;view=1up;seq=584</v>
      </c>
      <c r="AB67" s="27"/>
      <c r="AC67" s="27"/>
      <c r="AD67" s="27"/>
    </row>
    <row r="68" spans="1:30" x14ac:dyDescent="0.25">
      <c r="A68" s="27" t="s">
        <v>948</v>
      </c>
      <c r="B68" s="27" t="str">
        <f t="shared" si="17"/>
        <v>Kentucky</v>
      </c>
      <c r="C68" s="27" t="str">
        <f t="shared" si="18"/>
        <v>Letcher</v>
      </c>
      <c r="D68" s="96">
        <f>3142+257+96+227+924+316+312</f>
        <v>5274</v>
      </c>
      <c r="E68" s="41">
        <f>78+2+7+28+6+6+0+4+1+4+3</f>
        <v>139</v>
      </c>
      <c r="F68" s="41">
        <v>8.1999999999999993</v>
      </c>
      <c r="G68" s="7">
        <f t="shared" si="20"/>
        <v>164</v>
      </c>
      <c r="H68" s="41">
        <f>4431+301+113+417+916+345+389+46+25+21+54</f>
        <v>7058</v>
      </c>
      <c r="I68" s="27"/>
      <c r="J68" s="27">
        <f>46215.49+1057.5+5565+33422.12+5181.62+7970.73</f>
        <v>99412.459999999992</v>
      </c>
      <c r="K68" s="115">
        <f t="shared" si="19"/>
        <v>87.219213897174939</v>
      </c>
      <c r="L68" s="2">
        <f>74232.2+1123.04+8575.14+50705.1+5413.65+12319.87</f>
        <v>152368.99999999997</v>
      </c>
      <c r="M68" s="27">
        <f>68+4+1+1+3+1+1</f>
        <v>79</v>
      </c>
      <c r="N68" s="27">
        <v>95000</v>
      </c>
      <c r="O68" s="27">
        <v>4000</v>
      </c>
      <c r="P68" s="29">
        <f t="shared" si="21"/>
        <v>99000</v>
      </c>
      <c r="Q68" s="41">
        <v>1922</v>
      </c>
      <c r="R68" s="27"/>
      <c r="S68" s="27" t="str">
        <f t="shared" ref="S68:T83" si="24">S67</f>
        <v>https://babel.hathitrust.org/cgi/pt?id=njp.32101060099841;view=1up;seq=242</v>
      </c>
      <c r="T68" s="27" t="str">
        <f t="shared" si="24"/>
        <v>https://babel.hathitrust.org/cgi/pt?id=njp.32101060099841;view=1up;seq=180</v>
      </c>
      <c r="U68" s="27" t="str">
        <f t="shared" si="22"/>
        <v>https://babel.hathitrust.org/cgi/pt?id=njp.32101060099841;view=1up;seq=224</v>
      </c>
      <c r="V68" s="27" t="str">
        <f t="shared" si="23"/>
        <v>https://babel.hathitrust.org/cgi/pt?id=njp.32101060099841;view=1up;seq=242</v>
      </c>
      <c r="W68" s="27" t="str">
        <f t="shared" ref="W68:W121" si="25">W67</f>
        <v>https://babel.hathitrust.org/cgi/pt?id=njp.32101060099841;view=1up;seq=150</v>
      </c>
      <c r="X68" s="27" t="str">
        <f t="shared" ref="X68:AA83" si="26">X67</f>
        <v>https://babel.hathitrust.org/cgi/pt?id=njp.32101060099841;view=1up;seq=274</v>
      </c>
      <c r="Y68" s="27" t="str">
        <f t="shared" si="26"/>
        <v>https://babel.hathitrust.org/cgi/pt?id=njp.32101060099841;view=1up;seq=275</v>
      </c>
      <c r="Z68" s="27" t="str">
        <f t="shared" si="26"/>
        <v>https://babel.hathitrust.org/cgi/pt?id=njp.32101060099841;view=1up;seq=224</v>
      </c>
      <c r="AA68" s="27" t="str">
        <f t="shared" si="26"/>
        <v>https://babel.hathitrust.org/cgi/pt?id=njp.32101060099833;view=1up;seq=584</v>
      </c>
      <c r="AB68" s="27"/>
      <c r="AC68" s="27"/>
      <c r="AD68" s="27"/>
    </row>
    <row r="69" spans="1:30" x14ac:dyDescent="0.25">
      <c r="A69" s="27" t="s">
        <v>949</v>
      </c>
      <c r="B69" s="27" t="str">
        <f t="shared" si="17"/>
        <v>Kentucky</v>
      </c>
      <c r="C69" s="27" t="str">
        <f t="shared" si="18"/>
        <v>Lewis</v>
      </c>
      <c r="D69" s="96">
        <f>2322+4+229</f>
        <v>2555</v>
      </c>
      <c r="E69" s="41">
        <f>86+6+0+2+3</f>
        <v>97</v>
      </c>
      <c r="F69" s="41">
        <v>8</v>
      </c>
      <c r="G69" s="7">
        <f t="shared" si="20"/>
        <v>160</v>
      </c>
      <c r="H69" s="41">
        <f>4055+0+254+36+72</f>
        <v>4417</v>
      </c>
      <c r="I69" s="25"/>
      <c r="J69" s="25">
        <f>46406.02+5328</f>
        <v>51734.02</v>
      </c>
      <c r="K69" s="115">
        <f t="shared" si="19"/>
        <v>66.667551546391749</v>
      </c>
      <c r="L69" s="2">
        <f>74309.5+6671.96</f>
        <v>80981.460000000006</v>
      </c>
      <c r="M69" s="27">
        <f>78+4+1</f>
        <v>83</v>
      </c>
      <c r="N69" s="27">
        <v>80000</v>
      </c>
      <c r="O69" s="27">
        <v>20000</v>
      </c>
      <c r="P69" s="29">
        <f t="shared" si="21"/>
        <v>100000</v>
      </c>
      <c r="Q69" s="41">
        <v>1922</v>
      </c>
      <c r="R69" s="27"/>
      <c r="S69" s="27" t="str">
        <f t="shared" si="24"/>
        <v>https://babel.hathitrust.org/cgi/pt?id=njp.32101060099841;view=1up;seq=242</v>
      </c>
      <c r="T69" s="27" t="str">
        <f t="shared" si="24"/>
        <v>https://babel.hathitrust.org/cgi/pt?id=njp.32101060099841;view=1up;seq=180</v>
      </c>
      <c r="U69" s="27" t="str">
        <f t="shared" si="22"/>
        <v>https://babel.hathitrust.org/cgi/pt?id=njp.32101060099841;view=1up;seq=224</v>
      </c>
      <c r="V69" s="27" t="str">
        <f t="shared" si="23"/>
        <v>https://babel.hathitrust.org/cgi/pt?id=njp.32101060099841;view=1up;seq=242</v>
      </c>
      <c r="W69" s="27" t="str">
        <f t="shared" si="25"/>
        <v>https://babel.hathitrust.org/cgi/pt?id=njp.32101060099841;view=1up;seq=150</v>
      </c>
      <c r="X69" s="27" t="str">
        <f t="shared" si="26"/>
        <v>https://babel.hathitrust.org/cgi/pt?id=njp.32101060099841;view=1up;seq=274</v>
      </c>
      <c r="Y69" s="27" t="str">
        <f t="shared" si="26"/>
        <v>https://babel.hathitrust.org/cgi/pt?id=njp.32101060099841;view=1up;seq=275</v>
      </c>
      <c r="Z69" s="27" t="str">
        <f t="shared" si="26"/>
        <v>https://babel.hathitrust.org/cgi/pt?id=njp.32101060099841;view=1up;seq=224</v>
      </c>
      <c r="AA69" s="27" t="str">
        <f t="shared" si="26"/>
        <v>https://babel.hathitrust.org/cgi/pt?id=njp.32101060099833;view=1up;seq=584</v>
      </c>
      <c r="AB69" s="27"/>
      <c r="AC69" s="27"/>
      <c r="AD69" s="27"/>
    </row>
    <row r="70" spans="1:30" x14ac:dyDescent="0.25">
      <c r="A70" s="27" t="s">
        <v>950</v>
      </c>
      <c r="B70" s="27" t="str">
        <f t="shared" si="17"/>
        <v>Kentucky</v>
      </c>
      <c r="C70" s="27" t="str">
        <f t="shared" si="18"/>
        <v>Lincoln</v>
      </c>
      <c r="D70" s="96">
        <f>2049+435+184+174+147+137+316+126</f>
        <v>3568</v>
      </c>
      <c r="E70" s="41">
        <f>72+4+4+4+3+8+3+0+2+2+1+2+4+1+1</f>
        <v>111</v>
      </c>
      <c r="F70" s="41">
        <v>9</v>
      </c>
      <c r="G70" s="7">
        <f t="shared" si="20"/>
        <v>180</v>
      </c>
      <c r="H70" s="41">
        <f>2872+569+217+153+180+160+323+135+40+46+16+34+83+13+14</f>
        <v>4855</v>
      </c>
      <c r="I70" s="25"/>
      <c r="J70" s="25">
        <f>37088.1+4348.75+5617.5+3711.75+3625+12082+3311.26</f>
        <v>69784.36</v>
      </c>
      <c r="K70" s="115">
        <f t="shared" si="19"/>
        <v>69.85421421421421</v>
      </c>
      <c r="L70" s="2">
        <f>59920.59+5131.4+9149.59+5735.74+5991.2+20745.21+4021.53</f>
        <v>110695.26000000001</v>
      </c>
      <c r="M70" s="27">
        <f>49+11+1+1+1+1+1+1</f>
        <v>66</v>
      </c>
      <c r="N70" s="27">
        <v>108000</v>
      </c>
      <c r="O70" s="27">
        <v>21500</v>
      </c>
      <c r="P70" s="29">
        <f t="shared" si="21"/>
        <v>129500</v>
      </c>
      <c r="Q70" s="41">
        <v>1922</v>
      </c>
      <c r="R70" s="27"/>
      <c r="S70" s="27" t="str">
        <f t="shared" si="24"/>
        <v>https://babel.hathitrust.org/cgi/pt?id=njp.32101060099841;view=1up;seq=242</v>
      </c>
      <c r="T70" s="27" t="str">
        <f t="shared" si="24"/>
        <v>https://babel.hathitrust.org/cgi/pt?id=njp.32101060099841;view=1up;seq=180</v>
      </c>
      <c r="U70" s="27" t="str">
        <f t="shared" si="22"/>
        <v>https://babel.hathitrust.org/cgi/pt?id=njp.32101060099841;view=1up;seq=224</v>
      </c>
      <c r="V70" s="27" t="str">
        <f t="shared" si="23"/>
        <v>https://babel.hathitrust.org/cgi/pt?id=njp.32101060099841;view=1up;seq=242</v>
      </c>
      <c r="W70" s="27" t="str">
        <f t="shared" si="25"/>
        <v>https://babel.hathitrust.org/cgi/pt?id=njp.32101060099841;view=1up;seq=150</v>
      </c>
      <c r="X70" s="27" t="str">
        <f t="shared" si="26"/>
        <v>https://babel.hathitrust.org/cgi/pt?id=njp.32101060099841;view=1up;seq=274</v>
      </c>
      <c r="Y70" s="27" t="str">
        <f t="shared" si="26"/>
        <v>https://babel.hathitrust.org/cgi/pt?id=njp.32101060099841;view=1up;seq=275</v>
      </c>
      <c r="Z70" s="27" t="str">
        <f t="shared" si="26"/>
        <v>https://babel.hathitrust.org/cgi/pt?id=njp.32101060099841;view=1up;seq=224</v>
      </c>
      <c r="AA70" s="27" t="str">
        <f t="shared" si="26"/>
        <v>https://babel.hathitrust.org/cgi/pt?id=njp.32101060099833;view=1up;seq=584</v>
      </c>
      <c r="AB70" s="27"/>
      <c r="AC70" s="27"/>
      <c r="AD70" s="27"/>
    </row>
    <row r="71" spans="1:30" x14ac:dyDescent="0.25">
      <c r="A71" s="27" t="s">
        <v>951</v>
      </c>
      <c r="B71" s="27" t="str">
        <f t="shared" si="17"/>
        <v>Kentucky</v>
      </c>
      <c r="C71" s="27" t="str">
        <f t="shared" si="18"/>
        <v>Livingston</v>
      </c>
      <c r="D71" s="96">
        <f>1800+100+71+117+61+77+86</f>
        <v>2312</v>
      </c>
      <c r="E71" s="41">
        <f>54+2+3+1+2+2+2+1+1+4</f>
        <v>72</v>
      </c>
      <c r="F71" s="41">
        <v>8</v>
      </c>
      <c r="G71" s="7">
        <f t="shared" si="20"/>
        <v>160</v>
      </c>
      <c r="H71" s="41">
        <f>2133+130+91+136+92+88+104+33+13+26+121</f>
        <v>2967</v>
      </c>
      <c r="I71" s="25"/>
      <c r="J71" s="25">
        <f>23490.98+1368+2065+1187.44+1050+2232+2309.07</f>
        <v>33702.49</v>
      </c>
      <c r="K71" s="115">
        <f t="shared" si="19"/>
        <v>58.511267361111109</v>
      </c>
      <c r="L71" s="2">
        <f>32924.59+1722.73+2525.57+1357.14+1484.4+2453.9+2687.36</f>
        <v>45155.69</v>
      </c>
      <c r="M71" s="27">
        <f>54+1+1+1+1+1+1</f>
        <v>60</v>
      </c>
      <c r="N71" s="27">
        <v>42500</v>
      </c>
      <c r="O71" s="27">
        <v>5000</v>
      </c>
      <c r="P71" s="29">
        <f t="shared" si="21"/>
        <v>47500</v>
      </c>
      <c r="Q71" s="41">
        <v>1922</v>
      </c>
      <c r="R71" s="27"/>
      <c r="S71" s="27" t="str">
        <f t="shared" si="24"/>
        <v>https://babel.hathitrust.org/cgi/pt?id=njp.32101060099841;view=1up;seq=242</v>
      </c>
      <c r="T71" s="27" t="str">
        <f t="shared" si="24"/>
        <v>https://babel.hathitrust.org/cgi/pt?id=njp.32101060099841;view=1up;seq=180</v>
      </c>
      <c r="U71" s="27" t="str">
        <f t="shared" si="22"/>
        <v>https://babel.hathitrust.org/cgi/pt?id=njp.32101060099841;view=1up;seq=224</v>
      </c>
      <c r="V71" s="27" t="str">
        <f t="shared" si="23"/>
        <v>https://babel.hathitrust.org/cgi/pt?id=njp.32101060099841;view=1up;seq=242</v>
      </c>
      <c r="W71" s="27" t="str">
        <f t="shared" si="25"/>
        <v>https://babel.hathitrust.org/cgi/pt?id=njp.32101060099841;view=1up;seq=150</v>
      </c>
      <c r="X71" s="27" t="str">
        <f t="shared" si="26"/>
        <v>https://babel.hathitrust.org/cgi/pt?id=njp.32101060099841;view=1up;seq=274</v>
      </c>
      <c r="Y71" s="27" t="str">
        <f t="shared" si="26"/>
        <v>https://babel.hathitrust.org/cgi/pt?id=njp.32101060099841;view=1up;seq=275</v>
      </c>
      <c r="Z71" s="27" t="str">
        <f t="shared" si="26"/>
        <v>https://babel.hathitrust.org/cgi/pt?id=njp.32101060099841;view=1up;seq=224</v>
      </c>
      <c r="AA71" s="27" t="str">
        <f t="shared" si="26"/>
        <v>https://babel.hathitrust.org/cgi/pt?id=njp.32101060099833;view=1up;seq=584</v>
      </c>
      <c r="AB71" s="27"/>
      <c r="AC71" s="27"/>
      <c r="AD71" s="27"/>
    </row>
    <row r="72" spans="1:30" x14ac:dyDescent="0.25">
      <c r="A72" s="27" t="s">
        <v>952</v>
      </c>
      <c r="B72" s="27" t="str">
        <f t="shared" si="17"/>
        <v>Kentucky</v>
      </c>
      <c r="C72" s="27" t="str">
        <f t="shared" si="18"/>
        <v>Logan</v>
      </c>
      <c r="D72" s="96">
        <f>2827+621+509+135</f>
        <v>4092</v>
      </c>
      <c r="E72" s="41">
        <f>122+15+0+0+4+3+3+2+3+1+1</f>
        <v>154</v>
      </c>
      <c r="F72" s="41">
        <v>8</v>
      </c>
      <c r="G72" s="7">
        <f t="shared" si="20"/>
        <v>160</v>
      </c>
      <c r="H72" s="41">
        <f>3864+910+507+200+64+71+54+42+78+17+4</f>
        <v>5811</v>
      </c>
      <c r="I72" s="25"/>
      <c r="J72" s="25">
        <f>73921.09+12502.75</f>
        <v>86423.84</v>
      </c>
      <c r="K72" s="115">
        <f t="shared" si="19"/>
        <v>70.149220779220769</v>
      </c>
      <c r="L72" s="2">
        <f>104426.87+23532.9</f>
        <v>127959.76999999999</v>
      </c>
      <c r="M72" s="27">
        <f>99+4+2</f>
        <v>105</v>
      </c>
      <c r="N72" s="27">
        <v>88500</v>
      </c>
      <c r="O72" s="27">
        <v>12500</v>
      </c>
      <c r="P72" s="29">
        <f t="shared" si="21"/>
        <v>101000</v>
      </c>
      <c r="Q72" s="41">
        <v>1922</v>
      </c>
      <c r="R72" s="27"/>
      <c r="S72" s="27" t="str">
        <f t="shared" si="24"/>
        <v>https://babel.hathitrust.org/cgi/pt?id=njp.32101060099841;view=1up;seq=242</v>
      </c>
      <c r="T72" s="27" t="str">
        <f t="shared" si="24"/>
        <v>https://babel.hathitrust.org/cgi/pt?id=njp.32101060099841;view=1up;seq=180</v>
      </c>
      <c r="U72" s="27" t="str">
        <f t="shared" si="22"/>
        <v>https://babel.hathitrust.org/cgi/pt?id=njp.32101060099841;view=1up;seq=224</v>
      </c>
      <c r="V72" s="27" t="str">
        <f t="shared" si="23"/>
        <v>https://babel.hathitrust.org/cgi/pt?id=njp.32101060099841;view=1up;seq=242</v>
      </c>
      <c r="W72" s="27" t="str">
        <f t="shared" si="25"/>
        <v>https://babel.hathitrust.org/cgi/pt?id=njp.32101060099841;view=1up;seq=150</v>
      </c>
      <c r="X72" s="27" t="str">
        <f t="shared" si="26"/>
        <v>https://babel.hathitrust.org/cgi/pt?id=njp.32101060099841;view=1up;seq=274</v>
      </c>
      <c r="Y72" s="27" t="str">
        <f t="shared" si="26"/>
        <v>https://babel.hathitrust.org/cgi/pt?id=njp.32101060099841;view=1up;seq=275</v>
      </c>
      <c r="Z72" s="27" t="str">
        <f t="shared" si="26"/>
        <v>https://babel.hathitrust.org/cgi/pt?id=njp.32101060099841;view=1up;seq=224</v>
      </c>
      <c r="AA72" s="27" t="str">
        <f t="shared" si="26"/>
        <v>https://babel.hathitrust.org/cgi/pt?id=njp.32101060099833;view=1up;seq=584</v>
      </c>
      <c r="AB72" s="27"/>
      <c r="AC72" s="27"/>
      <c r="AD72" s="27"/>
    </row>
    <row r="73" spans="1:30" x14ac:dyDescent="0.25">
      <c r="A73" s="27" t="s">
        <v>953</v>
      </c>
      <c r="B73" s="27" t="str">
        <f t="shared" si="17"/>
        <v>Kentucky</v>
      </c>
      <c r="C73" s="27" t="str">
        <f t="shared" si="18"/>
        <v>Lyon</v>
      </c>
      <c r="D73" s="96">
        <f>871+121+163+172</f>
        <v>1327</v>
      </c>
      <c r="E73" s="41">
        <f>40+3+3+0+2+3</f>
        <v>51</v>
      </c>
      <c r="F73" s="41">
        <v>8.3000000000000007</v>
      </c>
      <c r="G73" s="7">
        <f t="shared" si="20"/>
        <v>166</v>
      </c>
      <c r="H73" s="41">
        <f>1671+256+167+200+44+46</f>
        <v>2384</v>
      </c>
      <c r="I73" s="25"/>
      <c r="J73" s="25">
        <f>19461.67+4410+3440</f>
        <v>27311.67</v>
      </c>
      <c r="K73" s="115">
        <f t="shared" si="19"/>
        <v>64.520836286321753</v>
      </c>
      <c r="L73" s="2">
        <f>32736.67+5058.07+4246.83</f>
        <v>42041.57</v>
      </c>
      <c r="M73" s="27">
        <f>40+1+1</f>
        <v>42</v>
      </c>
      <c r="N73" s="27">
        <v>36680</v>
      </c>
      <c r="O73" s="27">
        <v>9600</v>
      </c>
      <c r="P73" s="29">
        <f t="shared" si="21"/>
        <v>46280</v>
      </c>
      <c r="Q73" s="41">
        <v>1922</v>
      </c>
      <c r="R73" s="27"/>
      <c r="S73" s="27" t="str">
        <f t="shared" si="24"/>
        <v>https://babel.hathitrust.org/cgi/pt?id=njp.32101060099841;view=1up;seq=242</v>
      </c>
      <c r="T73" s="27" t="str">
        <f t="shared" si="24"/>
        <v>https://babel.hathitrust.org/cgi/pt?id=njp.32101060099841;view=1up;seq=180</v>
      </c>
      <c r="U73" s="27" t="str">
        <f t="shared" si="22"/>
        <v>https://babel.hathitrust.org/cgi/pt?id=njp.32101060099841;view=1up;seq=224</v>
      </c>
      <c r="V73" s="27" t="str">
        <f t="shared" si="23"/>
        <v>https://babel.hathitrust.org/cgi/pt?id=njp.32101060099841;view=1up;seq=242</v>
      </c>
      <c r="W73" s="27" t="str">
        <f t="shared" si="25"/>
        <v>https://babel.hathitrust.org/cgi/pt?id=njp.32101060099841;view=1up;seq=150</v>
      </c>
      <c r="X73" s="27" t="str">
        <f t="shared" si="26"/>
        <v>https://babel.hathitrust.org/cgi/pt?id=njp.32101060099841;view=1up;seq=274</v>
      </c>
      <c r="Y73" s="27" t="str">
        <f t="shared" si="26"/>
        <v>https://babel.hathitrust.org/cgi/pt?id=njp.32101060099841;view=1up;seq=275</v>
      </c>
      <c r="Z73" s="27" t="str">
        <f t="shared" si="26"/>
        <v>https://babel.hathitrust.org/cgi/pt?id=njp.32101060099841;view=1up;seq=224</v>
      </c>
      <c r="AA73" s="27" t="str">
        <f t="shared" si="26"/>
        <v>https://babel.hathitrust.org/cgi/pt?id=njp.32101060099833;view=1up;seq=584</v>
      </c>
      <c r="AB73" s="27"/>
      <c r="AC73" s="27"/>
      <c r="AD73" s="27"/>
    </row>
    <row r="74" spans="1:30" x14ac:dyDescent="0.25">
      <c r="A74" s="27" t="s">
        <v>957</v>
      </c>
      <c r="B74" s="27" t="str">
        <f t="shared" si="17"/>
        <v>Kentucky</v>
      </c>
      <c r="C74" s="27" t="str">
        <f t="shared" si="18"/>
        <v>Madison</v>
      </c>
      <c r="D74" s="96">
        <f>2855+511+488+310+276</f>
        <v>4440</v>
      </c>
      <c r="E74" s="41">
        <f>106+29+8+0+0+7+2+2+2+1+1</f>
        <v>158</v>
      </c>
      <c r="F74" s="41">
        <v>8.3000000000000007</v>
      </c>
      <c r="G74" s="7">
        <f t="shared" si="20"/>
        <v>166</v>
      </c>
      <c r="H74" s="41">
        <f>4025+852+658+391+355+197+22+9+20+28+59+19+30</f>
        <v>6665</v>
      </c>
      <c r="I74" s="25"/>
      <c r="J74" s="25">
        <f>61996.84+28805.7+5556.5</f>
        <v>96359.039999999994</v>
      </c>
      <c r="K74" s="115">
        <f t="shared" si="19"/>
        <v>73.477992984596597</v>
      </c>
      <c r="L74" s="2">
        <f>120746.56+37606.36+6705.14</f>
        <v>165058.06</v>
      </c>
      <c r="M74" s="27">
        <f>78+6+2+1</f>
        <v>87</v>
      </c>
      <c r="N74" s="27">
        <v>73000</v>
      </c>
      <c r="O74" s="27">
        <v>9700</v>
      </c>
      <c r="P74" s="29">
        <f t="shared" si="21"/>
        <v>82700</v>
      </c>
      <c r="Q74" s="41">
        <v>1922</v>
      </c>
      <c r="R74" s="27"/>
      <c r="S74" s="27" t="str">
        <f t="shared" si="24"/>
        <v>https://babel.hathitrust.org/cgi/pt?id=njp.32101060099841;view=1up;seq=242</v>
      </c>
      <c r="T74" s="27" t="str">
        <f t="shared" si="24"/>
        <v>https://babel.hathitrust.org/cgi/pt?id=njp.32101060099841;view=1up;seq=180</v>
      </c>
      <c r="U74" s="27" t="str">
        <f t="shared" si="22"/>
        <v>https://babel.hathitrust.org/cgi/pt?id=njp.32101060099841;view=1up;seq=224</v>
      </c>
      <c r="V74" s="27" t="str">
        <f t="shared" si="23"/>
        <v>https://babel.hathitrust.org/cgi/pt?id=njp.32101060099841;view=1up;seq=242</v>
      </c>
      <c r="W74" s="27" t="str">
        <f t="shared" si="25"/>
        <v>https://babel.hathitrust.org/cgi/pt?id=njp.32101060099841;view=1up;seq=150</v>
      </c>
      <c r="X74" s="27" t="str">
        <f t="shared" si="26"/>
        <v>https://babel.hathitrust.org/cgi/pt?id=njp.32101060099841;view=1up;seq=274</v>
      </c>
      <c r="Y74" s="27" t="str">
        <f t="shared" si="26"/>
        <v>https://babel.hathitrust.org/cgi/pt?id=njp.32101060099841;view=1up;seq=275</v>
      </c>
      <c r="Z74" s="27" t="str">
        <f t="shared" si="26"/>
        <v>https://babel.hathitrust.org/cgi/pt?id=njp.32101060099841;view=1up;seq=224</v>
      </c>
      <c r="AA74" s="27" t="str">
        <f t="shared" si="26"/>
        <v>https://babel.hathitrust.org/cgi/pt?id=njp.32101060099833;view=1up;seq=584</v>
      </c>
      <c r="AB74" s="27"/>
      <c r="AC74" s="27"/>
      <c r="AD74" s="27"/>
    </row>
    <row r="75" spans="1:30" x14ac:dyDescent="0.25">
      <c r="A75" s="27" t="s">
        <v>958</v>
      </c>
      <c r="B75" s="27" t="str">
        <f t="shared" si="17"/>
        <v>Kentucky</v>
      </c>
      <c r="C75" s="27" t="str">
        <f t="shared" si="18"/>
        <v>Magoffin</v>
      </c>
      <c r="D75" s="96">
        <f>4131+0+153</f>
        <v>4284</v>
      </c>
      <c r="E75" s="41">
        <f>87+2+3+2</f>
        <v>94</v>
      </c>
      <c r="F75" s="41">
        <v>7.5</v>
      </c>
      <c r="G75" s="7">
        <f t="shared" si="20"/>
        <v>150</v>
      </c>
      <c r="H75" s="41">
        <f>4084+7+188+15</f>
        <v>4294</v>
      </c>
      <c r="I75" s="25"/>
      <c r="J75" s="25">
        <f>30544.5+311.1+383.3+488+2481.9+207.4</f>
        <v>34416.199999999997</v>
      </c>
      <c r="K75" s="115">
        <f t="shared" si="19"/>
        <v>48.817304964538998</v>
      </c>
      <c r="L75" s="2">
        <f>42824.86+464.25+549.5+506.75+2880.31+484.2</f>
        <v>47709.869999999995</v>
      </c>
      <c r="M75" s="27">
        <f>79+3+1+1+1</f>
        <v>85</v>
      </c>
      <c r="N75" s="27">
        <v>25000</v>
      </c>
      <c r="O75" s="27">
        <v>2500</v>
      </c>
      <c r="P75" s="29">
        <f t="shared" si="21"/>
        <v>27500</v>
      </c>
      <c r="Q75" s="41">
        <v>1922</v>
      </c>
      <c r="R75" s="27"/>
      <c r="S75" s="27" t="str">
        <f t="shared" si="24"/>
        <v>https://babel.hathitrust.org/cgi/pt?id=njp.32101060099841;view=1up;seq=242</v>
      </c>
      <c r="T75" s="27" t="str">
        <f t="shared" si="24"/>
        <v>https://babel.hathitrust.org/cgi/pt?id=njp.32101060099841;view=1up;seq=180</v>
      </c>
      <c r="U75" s="27" t="str">
        <f t="shared" si="22"/>
        <v>https://babel.hathitrust.org/cgi/pt?id=njp.32101060099841;view=1up;seq=224</v>
      </c>
      <c r="V75" s="27" t="str">
        <f t="shared" si="23"/>
        <v>https://babel.hathitrust.org/cgi/pt?id=njp.32101060099841;view=1up;seq=242</v>
      </c>
      <c r="W75" s="27" t="str">
        <f t="shared" si="25"/>
        <v>https://babel.hathitrust.org/cgi/pt?id=njp.32101060099841;view=1up;seq=150</v>
      </c>
      <c r="X75" s="27" t="str">
        <f t="shared" si="26"/>
        <v>https://babel.hathitrust.org/cgi/pt?id=njp.32101060099841;view=1up;seq=274</v>
      </c>
      <c r="Y75" s="27" t="str">
        <f t="shared" si="26"/>
        <v>https://babel.hathitrust.org/cgi/pt?id=njp.32101060099841;view=1up;seq=275</v>
      </c>
      <c r="Z75" s="27" t="str">
        <f t="shared" si="26"/>
        <v>https://babel.hathitrust.org/cgi/pt?id=njp.32101060099841;view=1up;seq=224</v>
      </c>
      <c r="AA75" s="27" t="str">
        <f t="shared" si="26"/>
        <v>https://babel.hathitrust.org/cgi/pt?id=njp.32101060099833;view=1up;seq=584</v>
      </c>
      <c r="AB75" s="27"/>
      <c r="AC75" s="27"/>
      <c r="AD75" s="27"/>
    </row>
    <row r="76" spans="1:30" x14ac:dyDescent="0.25">
      <c r="A76" s="27" t="s">
        <v>959</v>
      </c>
      <c r="B76" s="27" t="str">
        <f t="shared" si="17"/>
        <v>Kentucky</v>
      </c>
      <c r="C76" s="27" t="str">
        <f t="shared" si="18"/>
        <v>Marion</v>
      </c>
      <c r="D76" s="96">
        <f>2025+142+434+90</f>
        <v>2691</v>
      </c>
      <c r="E76" s="41">
        <f>76+9+3+2+0+2+1+6+2+2+3</f>
        <v>106</v>
      </c>
      <c r="F76" s="41">
        <v>8</v>
      </c>
      <c r="G76" s="7">
        <f t="shared" si="20"/>
        <v>160</v>
      </c>
      <c r="H76" s="41">
        <f>3031+188+377+167+89+24+23+165+23+30+2</f>
        <v>4119</v>
      </c>
      <c r="I76" s="25"/>
      <c r="J76" s="25">
        <f>39767+10875+1538+3114</f>
        <v>55294</v>
      </c>
      <c r="K76" s="115">
        <f t="shared" si="19"/>
        <v>65.205188679245282</v>
      </c>
      <c r="L76" s="2">
        <f>75429.12+199953.1+1613+3948.76</f>
        <v>280943.98</v>
      </c>
      <c r="M76" s="27">
        <f>48+10+1+1+1</f>
        <v>61</v>
      </c>
      <c r="N76" s="27">
        <v>53500</v>
      </c>
      <c r="O76" s="27">
        <v>8000</v>
      </c>
      <c r="P76" s="29">
        <f t="shared" si="21"/>
        <v>61500</v>
      </c>
      <c r="Q76" s="41">
        <v>1922</v>
      </c>
      <c r="R76" s="27"/>
      <c r="S76" s="27" t="str">
        <f t="shared" si="24"/>
        <v>https://babel.hathitrust.org/cgi/pt?id=njp.32101060099841;view=1up;seq=242</v>
      </c>
      <c r="T76" s="27" t="str">
        <f t="shared" si="24"/>
        <v>https://babel.hathitrust.org/cgi/pt?id=njp.32101060099841;view=1up;seq=180</v>
      </c>
      <c r="U76" s="27" t="str">
        <f t="shared" si="22"/>
        <v>https://babel.hathitrust.org/cgi/pt?id=njp.32101060099841;view=1up;seq=224</v>
      </c>
      <c r="V76" s="27" t="str">
        <f t="shared" si="23"/>
        <v>https://babel.hathitrust.org/cgi/pt?id=njp.32101060099841;view=1up;seq=242</v>
      </c>
      <c r="W76" s="27" t="str">
        <f t="shared" si="25"/>
        <v>https://babel.hathitrust.org/cgi/pt?id=njp.32101060099841;view=1up;seq=150</v>
      </c>
      <c r="X76" s="27" t="str">
        <f t="shared" si="26"/>
        <v>https://babel.hathitrust.org/cgi/pt?id=njp.32101060099841;view=1up;seq=274</v>
      </c>
      <c r="Y76" s="27" t="str">
        <f t="shared" si="26"/>
        <v>https://babel.hathitrust.org/cgi/pt?id=njp.32101060099841;view=1up;seq=275</v>
      </c>
      <c r="Z76" s="27" t="str">
        <f t="shared" si="26"/>
        <v>https://babel.hathitrust.org/cgi/pt?id=njp.32101060099841;view=1up;seq=224</v>
      </c>
      <c r="AA76" s="27" t="str">
        <f t="shared" si="26"/>
        <v>https://babel.hathitrust.org/cgi/pt?id=njp.32101060099833;view=1up;seq=584</v>
      </c>
      <c r="AB76" s="27"/>
      <c r="AC76" s="27"/>
      <c r="AD76" s="27"/>
    </row>
    <row r="77" spans="1:30" x14ac:dyDescent="0.25">
      <c r="A77" s="27" t="s">
        <v>960</v>
      </c>
      <c r="B77" s="27" t="str">
        <f t="shared" si="17"/>
        <v>Kentucky</v>
      </c>
      <c r="C77" s="27" t="str">
        <f t="shared" si="18"/>
        <v>Marshall</v>
      </c>
      <c r="D77" s="96">
        <f>2627+300+209</f>
        <v>3136</v>
      </c>
      <c r="E77" s="41">
        <f>28+48+3+0+4+1+2+1+3+2</f>
        <v>92</v>
      </c>
      <c r="F77" s="41">
        <v>7.8</v>
      </c>
      <c r="G77" s="7">
        <f t="shared" si="20"/>
        <v>156</v>
      </c>
      <c r="H77" s="41">
        <f>3848+264+170+141+26+50+37+62+74</f>
        <v>4672</v>
      </c>
      <c r="I77" s="25"/>
      <c r="J77" s="25">
        <f>43608.62+8290+3583</f>
        <v>55481.62</v>
      </c>
      <c r="K77" s="115">
        <f t="shared" si="19"/>
        <v>77.315523968784845</v>
      </c>
      <c r="L77" s="2">
        <f>66535.93+11042.78+4926.76</f>
        <v>82505.469999999987</v>
      </c>
      <c r="M77" s="27">
        <f>58+7+1+1</f>
        <v>67</v>
      </c>
      <c r="N77" s="27">
        <v>48450</v>
      </c>
      <c r="O77" s="27">
        <v>6530</v>
      </c>
      <c r="P77" s="29">
        <f t="shared" si="21"/>
        <v>54980</v>
      </c>
      <c r="Q77" s="41">
        <v>1922</v>
      </c>
      <c r="R77" s="27"/>
      <c r="S77" s="27" t="str">
        <f t="shared" si="24"/>
        <v>https://babel.hathitrust.org/cgi/pt?id=njp.32101060099841;view=1up;seq=242</v>
      </c>
      <c r="T77" s="27" t="str">
        <f t="shared" si="24"/>
        <v>https://babel.hathitrust.org/cgi/pt?id=njp.32101060099841;view=1up;seq=180</v>
      </c>
      <c r="U77" s="27" t="str">
        <f t="shared" si="22"/>
        <v>https://babel.hathitrust.org/cgi/pt?id=njp.32101060099841;view=1up;seq=224</v>
      </c>
      <c r="V77" s="27" t="str">
        <f t="shared" si="23"/>
        <v>https://babel.hathitrust.org/cgi/pt?id=njp.32101060099841;view=1up;seq=242</v>
      </c>
      <c r="W77" s="27" t="str">
        <f t="shared" si="25"/>
        <v>https://babel.hathitrust.org/cgi/pt?id=njp.32101060099841;view=1up;seq=150</v>
      </c>
      <c r="X77" s="27" t="str">
        <f t="shared" si="26"/>
        <v>https://babel.hathitrust.org/cgi/pt?id=njp.32101060099841;view=1up;seq=274</v>
      </c>
      <c r="Y77" s="27" t="str">
        <f t="shared" si="26"/>
        <v>https://babel.hathitrust.org/cgi/pt?id=njp.32101060099841;view=1up;seq=275</v>
      </c>
      <c r="Z77" s="27" t="str">
        <f t="shared" si="26"/>
        <v>https://babel.hathitrust.org/cgi/pt?id=njp.32101060099841;view=1up;seq=224</v>
      </c>
      <c r="AA77" s="27" t="str">
        <f t="shared" si="26"/>
        <v>https://babel.hathitrust.org/cgi/pt?id=njp.32101060099833;view=1up;seq=584</v>
      </c>
      <c r="AB77" s="27"/>
      <c r="AC77" s="27"/>
      <c r="AD77" s="27"/>
    </row>
    <row r="78" spans="1:30" x14ac:dyDescent="0.25">
      <c r="A78" s="27" t="s">
        <v>961</v>
      </c>
      <c r="B78" s="27" t="str">
        <f t="shared" si="17"/>
        <v>Kentucky</v>
      </c>
      <c r="C78" s="27" t="str">
        <f t="shared" si="18"/>
        <v>Martin</v>
      </c>
      <c r="D78" s="96">
        <v>1707</v>
      </c>
      <c r="E78" s="41">
        <f>64</f>
        <v>64</v>
      </c>
      <c r="F78" s="41">
        <v>7</v>
      </c>
      <c r="G78" s="7">
        <f t="shared" si="20"/>
        <v>140</v>
      </c>
      <c r="H78" s="41">
        <f>2230+6</f>
        <v>2236</v>
      </c>
      <c r="I78" s="27"/>
      <c r="J78" s="27">
        <v>24946.68</v>
      </c>
      <c r="K78" s="115">
        <f t="shared" si="19"/>
        <v>55.684553571428573</v>
      </c>
      <c r="L78" s="2">
        <v>34072.22</v>
      </c>
      <c r="M78" s="27">
        <f>43+5</f>
        <v>48</v>
      </c>
      <c r="N78" s="27">
        <v>21000</v>
      </c>
      <c r="O78" s="27">
        <v>6300</v>
      </c>
      <c r="P78" s="29">
        <f t="shared" si="21"/>
        <v>27300</v>
      </c>
      <c r="Q78" s="41">
        <v>1922</v>
      </c>
      <c r="R78" s="27"/>
      <c r="S78" s="27" t="str">
        <f t="shared" si="24"/>
        <v>https://babel.hathitrust.org/cgi/pt?id=njp.32101060099841;view=1up;seq=242</v>
      </c>
      <c r="T78" s="27" t="str">
        <f t="shared" si="24"/>
        <v>https://babel.hathitrust.org/cgi/pt?id=njp.32101060099841;view=1up;seq=180</v>
      </c>
      <c r="U78" s="27" t="str">
        <f t="shared" si="22"/>
        <v>https://babel.hathitrust.org/cgi/pt?id=njp.32101060099841;view=1up;seq=224</v>
      </c>
      <c r="V78" s="27" t="str">
        <f t="shared" si="23"/>
        <v>https://babel.hathitrust.org/cgi/pt?id=njp.32101060099841;view=1up;seq=242</v>
      </c>
      <c r="W78" s="27" t="str">
        <f t="shared" si="25"/>
        <v>https://babel.hathitrust.org/cgi/pt?id=njp.32101060099841;view=1up;seq=150</v>
      </c>
      <c r="X78" s="27" t="str">
        <f t="shared" si="26"/>
        <v>https://babel.hathitrust.org/cgi/pt?id=njp.32101060099841;view=1up;seq=274</v>
      </c>
      <c r="Y78" s="27" t="str">
        <f t="shared" si="26"/>
        <v>https://babel.hathitrust.org/cgi/pt?id=njp.32101060099841;view=1up;seq=275</v>
      </c>
      <c r="Z78" s="27" t="str">
        <f t="shared" si="26"/>
        <v>https://babel.hathitrust.org/cgi/pt?id=njp.32101060099841;view=1up;seq=224</v>
      </c>
      <c r="AA78" s="27" t="str">
        <f t="shared" si="26"/>
        <v>https://babel.hathitrust.org/cgi/pt?id=njp.32101060099833;view=1up;seq=584</v>
      </c>
      <c r="AB78" s="27"/>
      <c r="AC78" s="27"/>
      <c r="AD78" s="27"/>
    </row>
    <row r="79" spans="1:30" x14ac:dyDescent="0.25">
      <c r="A79" s="27" t="s">
        <v>962</v>
      </c>
      <c r="B79" s="27" t="str">
        <f t="shared" si="17"/>
        <v>Kentucky</v>
      </c>
      <c r="C79" s="27" t="str">
        <f t="shared" si="18"/>
        <v>Mason</v>
      </c>
      <c r="D79" s="96">
        <f>1756+220+711+159</f>
        <v>2846</v>
      </c>
      <c r="E79" s="41">
        <f>61+23+0+0+2+4+10+2+1+2+2+1</f>
        <v>108</v>
      </c>
      <c r="F79" s="41">
        <v>9</v>
      </c>
      <c r="G79" s="7">
        <f t="shared" si="20"/>
        <v>180</v>
      </c>
      <c r="H79" s="41">
        <f>1923+318+628+182+14+64+201+32+12+20+33+19</f>
        <v>3446</v>
      </c>
      <c r="I79" s="25"/>
      <c r="J79" s="25">
        <f>56635.75+35672</f>
        <v>92307.75</v>
      </c>
      <c r="K79" s="115">
        <f t="shared" si="19"/>
        <v>94.96682098765433</v>
      </c>
      <c r="L79" s="2">
        <f>96066.52+56716.67</f>
        <v>152783.19</v>
      </c>
      <c r="M79" s="27">
        <f>26+10+2</f>
        <v>38</v>
      </c>
      <c r="N79" s="27">
        <v>69800</v>
      </c>
      <c r="O79" s="27">
        <v>9300</v>
      </c>
      <c r="P79" s="29">
        <f t="shared" si="21"/>
        <v>79100</v>
      </c>
      <c r="Q79" s="41">
        <v>1922</v>
      </c>
      <c r="R79" s="27"/>
      <c r="S79" s="27" t="str">
        <f t="shared" si="24"/>
        <v>https://babel.hathitrust.org/cgi/pt?id=njp.32101060099841;view=1up;seq=242</v>
      </c>
      <c r="T79" s="27" t="str">
        <f t="shared" si="24"/>
        <v>https://babel.hathitrust.org/cgi/pt?id=njp.32101060099841;view=1up;seq=180</v>
      </c>
      <c r="U79" s="27" t="str">
        <f t="shared" si="22"/>
        <v>https://babel.hathitrust.org/cgi/pt?id=njp.32101060099841;view=1up;seq=224</v>
      </c>
      <c r="V79" s="27" t="str">
        <f t="shared" si="23"/>
        <v>https://babel.hathitrust.org/cgi/pt?id=njp.32101060099841;view=1up;seq=242</v>
      </c>
      <c r="W79" s="27" t="str">
        <f t="shared" si="25"/>
        <v>https://babel.hathitrust.org/cgi/pt?id=njp.32101060099841;view=1up;seq=150</v>
      </c>
      <c r="X79" s="27" t="str">
        <f t="shared" si="26"/>
        <v>https://babel.hathitrust.org/cgi/pt?id=njp.32101060099841;view=1up;seq=274</v>
      </c>
      <c r="Y79" s="27" t="str">
        <f t="shared" si="26"/>
        <v>https://babel.hathitrust.org/cgi/pt?id=njp.32101060099841;view=1up;seq=275</v>
      </c>
      <c r="Z79" s="27" t="str">
        <f t="shared" si="26"/>
        <v>https://babel.hathitrust.org/cgi/pt?id=njp.32101060099841;view=1up;seq=224</v>
      </c>
      <c r="AA79" s="27" t="str">
        <f t="shared" si="26"/>
        <v>https://babel.hathitrust.org/cgi/pt?id=njp.32101060099833;view=1up;seq=584</v>
      </c>
      <c r="AB79" s="27"/>
      <c r="AC79" s="27"/>
      <c r="AD79" s="27"/>
    </row>
    <row r="80" spans="1:30" x14ac:dyDescent="0.25">
      <c r="A80" s="27" t="s">
        <v>954</v>
      </c>
      <c r="B80" s="27" t="str">
        <f t="shared" si="17"/>
        <v>Kentucky</v>
      </c>
      <c r="C80" s="27" t="str">
        <f t="shared" si="18"/>
        <v>McCracken</v>
      </c>
      <c r="D80" s="96">
        <f>2111+257+3866+902+172</f>
        <v>7308</v>
      </c>
      <c r="E80" s="41">
        <f>66+87+6+0+0+2+3+5+18+3+6</f>
        <v>196</v>
      </c>
      <c r="F80" s="41">
        <v>8.3000000000000007</v>
      </c>
      <c r="G80" s="7">
        <f t="shared" si="20"/>
        <v>166</v>
      </c>
      <c r="H80" s="41">
        <f>2532+444+2528+777+265+24+62+124+629+55+126</f>
        <v>7566</v>
      </c>
      <c r="I80" s="25"/>
      <c r="J80" s="25">
        <f>37330.89+115138.77+5134.55</f>
        <v>157604.21</v>
      </c>
      <c r="K80" s="115">
        <f t="shared" si="19"/>
        <v>96.879893041553956</v>
      </c>
      <c r="L80" s="2">
        <f>72478.16+254571.12+8959.79</f>
        <v>336009.07</v>
      </c>
      <c r="M80" s="27">
        <f>44+9+1</f>
        <v>54</v>
      </c>
      <c r="N80" s="27">
        <v>26600</v>
      </c>
      <c r="O80" s="27">
        <v>6700</v>
      </c>
      <c r="P80" s="29">
        <f t="shared" si="21"/>
        <v>33300</v>
      </c>
      <c r="Q80" s="41">
        <v>1922</v>
      </c>
      <c r="R80" s="27"/>
      <c r="S80" s="27" t="str">
        <f t="shared" si="24"/>
        <v>https://babel.hathitrust.org/cgi/pt?id=njp.32101060099841;view=1up;seq=242</v>
      </c>
      <c r="T80" s="27" t="str">
        <f t="shared" si="24"/>
        <v>https://babel.hathitrust.org/cgi/pt?id=njp.32101060099841;view=1up;seq=180</v>
      </c>
      <c r="U80" s="27" t="str">
        <f t="shared" si="22"/>
        <v>https://babel.hathitrust.org/cgi/pt?id=njp.32101060099841;view=1up;seq=224</v>
      </c>
      <c r="V80" s="27" t="str">
        <f t="shared" si="23"/>
        <v>https://babel.hathitrust.org/cgi/pt?id=njp.32101060099841;view=1up;seq=242</v>
      </c>
      <c r="W80" s="27" t="str">
        <f t="shared" si="25"/>
        <v>https://babel.hathitrust.org/cgi/pt?id=njp.32101060099841;view=1up;seq=150</v>
      </c>
      <c r="X80" s="27" t="str">
        <f t="shared" si="26"/>
        <v>https://babel.hathitrust.org/cgi/pt?id=njp.32101060099841;view=1up;seq=274</v>
      </c>
      <c r="Y80" s="27" t="str">
        <f t="shared" si="26"/>
        <v>https://babel.hathitrust.org/cgi/pt?id=njp.32101060099841;view=1up;seq=275</v>
      </c>
      <c r="Z80" s="27" t="str">
        <f t="shared" si="26"/>
        <v>https://babel.hathitrust.org/cgi/pt?id=njp.32101060099841;view=1up;seq=224</v>
      </c>
      <c r="AA80" s="27" t="str">
        <f t="shared" si="26"/>
        <v>https://babel.hathitrust.org/cgi/pt?id=njp.32101060099833;view=1up;seq=584</v>
      </c>
      <c r="AB80" s="27"/>
      <c r="AC80" s="27"/>
      <c r="AD80" s="27"/>
    </row>
    <row r="81" spans="1:30" x14ac:dyDescent="0.25">
      <c r="A81" s="27" t="s">
        <v>955</v>
      </c>
      <c r="B81" s="27" t="str">
        <f t="shared" si="17"/>
        <v>Kentucky</v>
      </c>
      <c r="C81" s="27" t="str">
        <f t="shared" si="18"/>
        <v>McCreary</v>
      </c>
      <c r="D81" s="96">
        <f>1316+8+51+40+45+87+189+244</f>
        <v>1980</v>
      </c>
      <c r="E81" s="41">
        <f>64+2+2+2+2+7+4+0+4+2</f>
        <v>89</v>
      </c>
      <c r="F81" s="41">
        <v>8.4</v>
      </c>
      <c r="G81" s="7">
        <f t="shared" si="20"/>
        <v>168</v>
      </c>
      <c r="H81" s="41">
        <f>2528+11+90+88+101+154+254+230+7+22+33</f>
        <v>3518</v>
      </c>
      <c r="I81" s="27"/>
      <c r="J81" s="27">
        <f>26898.43+1600+1800+1800+2370.25+5146.51+2767.5</f>
        <v>42382.69</v>
      </c>
      <c r="K81" s="115">
        <f t="shared" si="19"/>
        <v>56.69166666666667</v>
      </c>
      <c r="L81" s="2">
        <f>40016.1+2035.25+2084.01+2102.21+2620.49+6074.25+5066.26</f>
        <v>59998.57</v>
      </c>
      <c r="M81" s="27">
        <f>55+2+1+1+1+1+1+1</f>
        <v>63</v>
      </c>
      <c r="N81" s="27">
        <v>56750</v>
      </c>
      <c r="O81" s="27">
        <v>5600</v>
      </c>
      <c r="P81" s="29">
        <f t="shared" si="21"/>
        <v>62350</v>
      </c>
      <c r="Q81" s="41">
        <v>1922</v>
      </c>
      <c r="R81" s="27"/>
      <c r="S81" s="27" t="str">
        <f t="shared" si="24"/>
        <v>https://babel.hathitrust.org/cgi/pt?id=njp.32101060099841;view=1up;seq=242</v>
      </c>
      <c r="T81" s="27" t="str">
        <f t="shared" si="24"/>
        <v>https://babel.hathitrust.org/cgi/pt?id=njp.32101060099841;view=1up;seq=180</v>
      </c>
      <c r="U81" s="27" t="str">
        <f t="shared" si="22"/>
        <v>https://babel.hathitrust.org/cgi/pt?id=njp.32101060099841;view=1up;seq=224</v>
      </c>
      <c r="V81" s="27" t="str">
        <f t="shared" si="23"/>
        <v>https://babel.hathitrust.org/cgi/pt?id=njp.32101060099841;view=1up;seq=242</v>
      </c>
      <c r="W81" s="27" t="str">
        <f t="shared" si="25"/>
        <v>https://babel.hathitrust.org/cgi/pt?id=njp.32101060099841;view=1up;seq=150</v>
      </c>
      <c r="X81" s="27" t="str">
        <f t="shared" si="26"/>
        <v>https://babel.hathitrust.org/cgi/pt?id=njp.32101060099841;view=1up;seq=274</v>
      </c>
      <c r="Y81" s="27" t="str">
        <f t="shared" si="26"/>
        <v>https://babel.hathitrust.org/cgi/pt?id=njp.32101060099841;view=1up;seq=275</v>
      </c>
      <c r="Z81" s="27" t="str">
        <f t="shared" si="26"/>
        <v>https://babel.hathitrust.org/cgi/pt?id=njp.32101060099841;view=1up;seq=224</v>
      </c>
      <c r="AA81" s="27" t="str">
        <f t="shared" si="26"/>
        <v>https://babel.hathitrust.org/cgi/pt?id=njp.32101060099833;view=1up;seq=584</v>
      </c>
      <c r="AB81" s="27"/>
      <c r="AC81" s="27"/>
      <c r="AD81" s="27"/>
    </row>
    <row r="82" spans="1:30" x14ac:dyDescent="0.25">
      <c r="A82" s="27" t="s">
        <v>956</v>
      </c>
      <c r="B82" s="27" t="str">
        <f t="shared" si="17"/>
        <v>Kentucky</v>
      </c>
      <c r="C82" s="27" t="str">
        <f t="shared" si="18"/>
        <v>McLean</v>
      </c>
      <c r="D82" s="96">
        <f>1434+87+111+201+325+100</f>
        <v>2258</v>
      </c>
      <c r="E82" s="41">
        <f>58+4+4+4+2+0+3+3+4+2</f>
        <v>84</v>
      </c>
      <c r="F82" s="41">
        <v>8.4</v>
      </c>
      <c r="G82" s="7">
        <f t="shared" si="20"/>
        <v>168</v>
      </c>
      <c r="H82" s="41">
        <f>2385+264+109+133+303+69+63+120+123+41</f>
        <v>3610</v>
      </c>
      <c r="I82" s="25"/>
      <c r="J82" s="25">
        <f>24510+3565+6680+6941.63+2925</f>
        <v>44621.63</v>
      </c>
      <c r="K82" s="115">
        <f t="shared" si="19"/>
        <v>63.239271541950103</v>
      </c>
      <c r="L82" s="2">
        <f>49095.19+4193.04+10509.86-11730.14+3552.37</f>
        <v>55620.320000000007</v>
      </c>
      <c r="M82" s="27">
        <f>42+6+1+1+1+1</f>
        <v>52</v>
      </c>
      <c r="N82" s="27">
        <v>30000</v>
      </c>
      <c r="O82" s="27">
        <v>3600</v>
      </c>
      <c r="P82" s="29">
        <f t="shared" si="21"/>
        <v>33600</v>
      </c>
      <c r="Q82" s="41">
        <v>1922</v>
      </c>
      <c r="R82" s="27"/>
      <c r="S82" s="27" t="str">
        <f t="shared" si="24"/>
        <v>https://babel.hathitrust.org/cgi/pt?id=njp.32101060099841;view=1up;seq=242</v>
      </c>
      <c r="T82" s="27" t="str">
        <f t="shared" si="24"/>
        <v>https://babel.hathitrust.org/cgi/pt?id=njp.32101060099841;view=1up;seq=180</v>
      </c>
      <c r="U82" s="27" t="str">
        <f t="shared" si="22"/>
        <v>https://babel.hathitrust.org/cgi/pt?id=njp.32101060099841;view=1up;seq=224</v>
      </c>
      <c r="V82" s="27" t="str">
        <f t="shared" si="23"/>
        <v>https://babel.hathitrust.org/cgi/pt?id=njp.32101060099841;view=1up;seq=242</v>
      </c>
      <c r="W82" s="27" t="str">
        <f t="shared" si="25"/>
        <v>https://babel.hathitrust.org/cgi/pt?id=njp.32101060099841;view=1up;seq=150</v>
      </c>
      <c r="X82" s="27" t="str">
        <f t="shared" si="26"/>
        <v>https://babel.hathitrust.org/cgi/pt?id=njp.32101060099841;view=1up;seq=274</v>
      </c>
      <c r="Y82" s="27" t="str">
        <f t="shared" si="26"/>
        <v>https://babel.hathitrust.org/cgi/pt?id=njp.32101060099841;view=1up;seq=275</v>
      </c>
      <c r="Z82" s="27" t="str">
        <f t="shared" si="26"/>
        <v>https://babel.hathitrust.org/cgi/pt?id=njp.32101060099841;view=1up;seq=224</v>
      </c>
      <c r="AA82" s="27" t="str">
        <f t="shared" si="26"/>
        <v>https://babel.hathitrust.org/cgi/pt?id=njp.32101060099833;view=1up;seq=584</v>
      </c>
      <c r="AB82" s="27"/>
      <c r="AC82" s="27"/>
      <c r="AD82" s="27"/>
    </row>
    <row r="83" spans="1:30" x14ac:dyDescent="0.25">
      <c r="A83" s="27" t="s">
        <v>963</v>
      </c>
      <c r="B83" s="27" t="str">
        <f t="shared" si="17"/>
        <v>Kentucky</v>
      </c>
      <c r="C83" s="27" t="str">
        <f t="shared" si="18"/>
        <v>Meade</v>
      </c>
      <c r="D83" s="96">
        <f>1706+73</f>
        <v>1779</v>
      </c>
      <c r="E83" s="41">
        <f>68+2+0+3+2</f>
        <v>75</v>
      </c>
      <c r="F83" s="41">
        <v>7</v>
      </c>
      <c r="G83" s="7">
        <f t="shared" si="20"/>
        <v>140</v>
      </c>
      <c r="H83" s="41">
        <f>2222+123+69+71+54</f>
        <v>2539</v>
      </c>
      <c r="I83" s="25"/>
      <c r="J83" s="25">
        <f>2760.15+3279.3</f>
        <v>6039.4500000000007</v>
      </c>
      <c r="K83" s="115">
        <f t="shared" si="19"/>
        <v>11.503714285714286</v>
      </c>
      <c r="L83" s="2">
        <f>66250.91+3638.14</f>
        <v>69889.05</v>
      </c>
      <c r="M83" s="27">
        <f>56+5+1</f>
        <v>62</v>
      </c>
      <c r="N83" s="27">
        <v>53000</v>
      </c>
      <c r="O83" s="27">
        <v>8150</v>
      </c>
      <c r="P83" s="29">
        <f t="shared" si="21"/>
        <v>61150</v>
      </c>
      <c r="Q83" s="41">
        <v>1922</v>
      </c>
      <c r="R83" s="27"/>
      <c r="S83" s="27" t="str">
        <f t="shared" si="24"/>
        <v>https://babel.hathitrust.org/cgi/pt?id=njp.32101060099841;view=1up;seq=242</v>
      </c>
      <c r="T83" s="27" t="str">
        <f t="shared" si="24"/>
        <v>https://babel.hathitrust.org/cgi/pt?id=njp.32101060099841;view=1up;seq=180</v>
      </c>
      <c r="U83" s="27" t="str">
        <f t="shared" si="22"/>
        <v>https://babel.hathitrust.org/cgi/pt?id=njp.32101060099841;view=1up;seq=224</v>
      </c>
      <c r="V83" s="27" t="str">
        <f t="shared" si="23"/>
        <v>https://babel.hathitrust.org/cgi/pt?id=njp.32101060099841;view=1up;seq=242</v>
      </c>
      <c r="W83" s="27" t="str">
        <f t="shared" si="25"/>
        <v>https://babel.hathitrust.org/cgi/pt?id=njp.32101060099841;view=1up;seq=150</v>
      </c>
      <c r="X83" s="27" t="str">
        <f t="shared" si="26"/>
        <v>https://babel.hathitrust.org/cgi/pt?id=njp.32101060099841;view=1up;seq=274</v>
      </c>
      <c r="Y83" s="27" t="str">
        <f t="shared" si="26"/>
        <v>https://babel.hathitrust.org/cgi/pt?id=njp.32101060099841;view=1up;seq=275</v>
      </c>
      <c r="Z83" s="27" t="str">
        <f t="shared" si="26"/>
        <v>https://babel.hathitrust.org/cgi/pt?id=njp.32101060099841;view=1up;seq=224</v>
      </c>
      <c r="AA83" s="27" t="str">
        <f t="shared" si="26"/>
        <v>https://babel.hathitrust.org/cgi/pt?id=njp.32101060099833;view=1up;seq=584</v>
      </c>
      <c r="AB83" s="27"/>
      <c r="AC83" s="27"/>
      <c r="AD83" s="27"/>
    </row>
    <row r="84" spans="1:30" x14ac:dyDescent="0.25">
      <c r="A84" s="27" t="s">
        <v>964</v>
      </c>
      <c r="B84" s="27" t="str">
        <f t="shared" si="17"/>
        <v>Kentucky</v>
      </c>
      <c r="C84" s="27" t="str">
        <f t="shared" si="18"/>
        <v>Menifee</v>
      </c>
      <c r="D84" s="96">
        <f>1047+16+131</f>
        <v>1194</v>
      </c>
      <c r="E84" s="41">
        <f>41+8+0</f>
        <v>49</v>
      </c>
      <c r="F84" s="41">
        <v>8</v>
      </c>
      <c r="G84" s="7">
        <f t="shared" si="20"/>
        <v>160</v>
      </c>
      <c r="H84" s="41">
        <f>1931+18+263</f>
        <v>2212</v>
      </c>
      <c r="I84" s="25"/>
      <c r="J84" s="25">
        <f>15703.25+1600</f>
        <v>17303.25</v>
      </c>
      <c r="K84" s="115">
        <f t="shared" si="19"/>
        <v>44.140943877551024</v>
      </c>
      <c r="L84" s="2">
        <f>23680.41+1878.7</f>
        <v>25559.11</v>
      </c>
      <c r="M84" s="27">
        <f>41+1</f>
        <v>42</v>
      </c>
      <c r="N84" s="27">
        <v>50000</v>
      </c>
      <c r="O84" s="27">
        <v>5000</v>
      </c>
      <c r="P84" s="29">
        <f t="shared" si="21"/>
        <v>55000</v>
      </c>
      <c r="Q84" s="41">
        <v>1922</v>
      </c>
      <c r="R84" s="27"/>
      <c r="S84" s="27" t="str">
        <f t="shared" ref="S84:T99" si="27">S83</f>
        <v>https://babel.hathitrust.org/cgi/pt?id=njp.32101060099841;view=1up;seq=242</v>
      </c>
      <c r="T84" s="27" t="str">
        <f t="shared" si="27"/>
        <v>https://babel.hathitrust.org/cgi/pt?id=njp.32101060099841;view=1up;seq=180</v>
      </c>
      <c r="U84" s="27" t="str">
        <f t="shared" si="22"/>
        <v>https://babel.hathitrust.org/cgi/pt?id=njp.32101060099841;view=1up;seq=224</v>
      </c>
      <c r="V84" s="27" t="str">
        <f t="shared" si="23"/>
        <v>https://babel.hathitrust.org/cgi/pt?id=njp.32101060099841;view=1up;seq=242</v>
      </c>
      <c r="W84" s="27" t="str">
        <f t="shared" si="25"/>
        <v>https://babel.hathitrust.org/cgi/pt?id=njp.32101060099841;view=1up;seq=150</v>
      </c>
      <c r="X84" s="27" t="str">
        <f t="shared" ref="X84:AA99" si="28">X83</f>
        <v>https://babel.hathitrust.org/cgi/pt?id=njp.32101060099841;view=1up;seq=274</v>
      </c>
      <c r="Y84" s="27" t="str">
        <f t="shared" si="28"/>
        <v>https://babel.hathitrust.org/cgi/pt?id=njp.32101060099841;view=1up;seq=275</v>
      </c>
      <c r="Z84" s="27" t="str">
        <f t="shared" si="28"/>
        <v>https://babel.hathitrust.org/cgi/pt?id=njp.32101060099841;view=1up;seq=224</v>
      </c>
      <c r="AA84" s="27" t="str">
        <f t="shared" si="28"/>
        <v>https://babel.hathitrust.org/cgi/pt?id=njp.32101060099833;view=1up;seq=584</v>
      </c>
      <c r="AB84" s="27"/>
      <c r="AC84" s="27"/>
      <c r="AD84" s="27"/>
    </row>
    <row r="85" spans="1:30" x14ac:dyDescent="0.25">
      <c r="A85" s="27" t="s">
        <v>965</v>
      </c>
      <c r="B85" s="27" t="str">
        <f t="shared" si="17"/>
        <v>Kentucky</v>
      </c>
      <c r="C85" s="27" t="str">
        <f t="shared" si="18"/>
        <v>Mercer</v>
      </c>
      <c r="D85" s="96">
        <f>1473+144+585+144+240+121</f>
        <v>2707</v>
      </c>
      <c r="E85" s="41">
        <f>51+0+5+2+0+0+2+6+2</f>
        <v>68</v>
      </c>
      <c r="F85" s="41">
        <v>8</v>
      </c>
      <c r="G85" s="7">
        <f t="shared" si="20"/>
        <v>160</v>
      </c>
      <c r="H85" s="41">
        <f>2087+175+533+220+220+82+41+218+37</f>
        <v>3613</v>
      </c>
      <c r="I85" s="25"/>
      <c r="J85" s="25">
        <f>34411.04+19389.79+6138+2560</f>
        <v>62498.83</v>
      </c>
      <c r="K85" s="115">
        <f t="shared" si="19"/>
        <v>114.88755514705883</v>
      </c>
      <c r="L85" s="2">
        <f>46586.55+55587.69+12937.92+3246.62</f>
        <v>118358.78</v>
      </c>
      <c r="M85" s="27">
        <f>41+6+2+1+1</f>
        <v>51</v>
      </c>
      <c r="N85" s="27">
        <v>69000</v>
      </c>
      <c r="O85" s="27">
        <v>8350</v>
      </c>
      <c r="P85" s="29">
        <f t="shared" si="21"/>
        <v>77350</v>
      </c>
      <c r="Q85" s="41">
        <v>1922</v>
      </c>
      <c r="R85" s="27"/>
      <c r="S85" s="27" t="str">
        <f t="shared" si="27"/>
        <v>https://babel.hathitrust.org/cgi/pt?id=njp.32101060099841;view=1up;seq=242</v>
      </c>
      <c r="T85" s="27" t="str">
        <f t="shared" si="27"/>
        <v>https://babel.hathitrust.org/cgi/pt?id=njp.32101060099841;view=1up;seq=180</v>
      </c>
      <c r="U85" s="27" t="str">
        <f t="shared" si="22"/>
        <v>https://babel.hathitrust.org/cgi/pt?id=njp.32101060099841;view=1up;seq=224</v>
      </c>
      <c r="V85" s="27" t="str">
        <f t="shared" si="23"/>
        <v>https://babel.hathitrust.org/cgi/pt?id=njp.32101060099841;view=1up;seq=242</v>
      </c>
      <c r="W85" s="27" t="str">
        <f t="shared" si="25"/>
        <v>https://babel.hathitrust.org/cgi/pt?id=njp.32101060099841;view=1up;seq=150</v>
      </c>
      <c r="X85" s="27" t="str">
        <f t="shared" si="28"/>
        <v>https://babel.hathitrust.org/cgi/pt?id=njp.32101060099841;view=1up;seq=274</v>
      </c>
      <c r="Y85" s="27" t="str">
        <f t="shared" si="28"/>
        <v>https://babel.hathitrust.org/cgi/pt?id=njp.32101060099841;view=1up;seq=275</v>
      </c>
      <c r="Z85" s="27" t="str">
        <f t="shared" si="28"/>
        <v>https://babel.hathitrust.org/cgi/pt?id=njp.32101060099841;view=1up;seq=224</v>
      </c>
      <c r="AA85" s="27" t="str">
        <f t="shared" si="28"/>
        <v>https://babel.hathitrust.org/cgi/pt?id=njp.32101060099833;view=1up;seq=584</v>
      </c>
      <c r="AB85" s="27"/>
      <c r="AC85" s="27"/>
      <c r="AD85" s="27"/>
    </row>
    <row r="86" spans="1:30" x14ac:dyDescent="0.25">
      <c r="A86" s="27" t="s">
        <v>1749</v>
      </c>
      <c r="B86" s="27" t="str">
        <f t="shared" si="17"/>
        <v>Kentucky</v>
      </c>
      <c r="C86" s="27" t="str">
        <f t="shared" si="18"/>
        <v>Metcalfe</v>
      </c>
      <c r="D86" s="96">
        <f>1304+100+56</f>
        <v>1460</v>
      </c>
      <c r="E86" s="41">
        <f>62+2+1+0+1+2+1+1</f>
        <v>70</v>
      </c>
      <c r="F86" s="41">
        <v>7.5</v>
      </c>
      <c r="G86" s="7">
        <f t="shared" si="20"/>
        <v>150</v>
      </c>
      <c r="H86" s="41">
        <f>2330+212+99+72+16+64+9+3+13</f>
        <v>2818</v>
      </c>
      <c r="I86" s="25"/>
      <c r="J86" s="25">
        <f>25845.3+2080+1200</f>
        <v>29125.3</v>
      </c>
      <c r="K86" s="115">
        <f t="shared" si="19"/>
        <v>55.476761904761908</v>
      </c>
      <c r="L86" s="2">
        <f>235284.36+2179.02+1316.43</f>
        <v>238779.80999999997</v>
      </c>
      <c r="M86" s="27">
        <f>60+1+1+1</f>
        <v>63</v>
      </c>
      <c r="N86" s="27">
        <v>34000</v>
      </c>
      <c r="O86" s="27">
        <v>5400</v>
      </c>
      <c r="P86" s="29">
        <f t="shared" si="21"/>
        <v>39400</v>
      </c>
      <c r="Q86" s="41">
        <v>1922</v>
      </c>
      <c r="R86" s="27"/>
      <c r="S86" s="27" t="str">
        <f t="shared" si="27"/>
        <v>https://babel.hathitrust.org/cgi/pt?id=njp.32101060099841;view=1up;seq=242</v>
      </c>
      <c r="T86" s="27" t="str">
        <f t="shared" si="27"/>
        <v>https://babel.hathitrust.org/cgi/pt?id=njp.32101060099841;view=1up;seq=180</v>
      </c>
      <c r="U86" s="27" t="str">
        <f t="shared" si="22"/>
        <v>https://babel.hathitrust.org/cgi/pt?id=njp.32101060099841;view=1up;seq=224</v>
      </c>
      <c r="V86" s="27" t="str">
        <f t="shared" si="23"/>
        <v>https://babel.hathitrust.org/cgi/pt?id=njp.32101060099841;view=1up;seq=242</v>
      </c>
      <c r="W86" s="27" t="str">
        <f t="shared" si="25"/>
        <v>https://babel.hathitrust.org/cgi/pt?id=njp.32101060099841;view=1up;seq=150</v>
      </c>
      <c r="X86" s="27" t="str">
        <f t="shared" si="28"/>
        <v>https://babel.hathitrust.org/cgi/pt?id=njp.32101060099841;view=1up;seq=274</v>
      </c>
      <c r="Y86" s="27" t="str">
        <f t="shared" si="28"/>
        <v>https://babel.hathitrust.org/cgi/pt?id=njp.32101060099841;view=1up;seq=275</v>
      </c>
      <c r="Z86" s="27" t="str">
        <f t="shared" si="28"/>
        <v>https://babel.hathitrust.org/cgi/pt?id=njp.32101060099841;view=1up;seq=224</v>
      </c>
      <c r="AA86" s="27" t="str">
        <f t="shared" si="28"/>
        <v>https://babel.hathitrust.org/cgi/pt?id=njp.32101060099833;view=1up;seq=584</v>
      </c>
      <c r="AB86" s="27"/>
      <c r="AC86" s="27"/>
      <c r="AD86" s="27"/>
    </row>
    <row r="87" spans="1:30" x14ac:dyDescent="0.25">
      <c r="A87" s="27" t="s">
        <v>967</v>
      </c>
      <c r="B87" s="27" t="str">
        <f t="shared" si="17"/>
        <v>Kentucky</v>
      </c>
      <c r="C87" s="27" t="str">
        <f t="shared" si="18"/>
        <v>Monroe</v>
      </c>
      <c r="D87" s="96">
        <f>1760+108+96+148+91+290</f>
        <v>2493</v>
      </c>
      <c r="E87" s="41">
        <f>86+2+2+2+4+0+1+2+1+2</f>
        <v>102</v>
      </c>
      <c r="F87" s="41">
        <v>8</v>
      </c>
      <c r="G87" s="7">
        <f t="shared" si="20"/>
        <v>160</v>
      </c>
      <c r="H87" s="41">
        <f>3258+220+118+127+98+234+16+43+12+76</f>
        <v>4202</v>
      </c>
      <c r="I87" s="25"/>
      <c r="J87" s="25">
        <f>33900.33+1700+2690+1683+4350</f>
        <v>44323.33</v>
      </c>
      <c r="K87" s="115">
        <f t="shared" si="19"/>
        <v>54.317806372549022</v>
      </c>
      <c r="L87" s="2">
        <f>45920.15+2379.84+3278.98+1979.42+5812.39</f>
        <v>59370.780000000006</v>
      </c>
      <c r="M87" s="27">
        <f>71+6+1+1+1+1</f>
        <v>81</v>
      </c>
      <c r="N87" s="27">
        <v>50000</v>
      </c>
      <c r="O87" s="27">
        <v>7200</v>
      </c>
      <c r="P87" s="29">
        <f t="shared" si="21"/>
        <v>57200</v>
      </c>
      <c r="Q87" s="41">
        <v>1922</v>
      </c>
      <c r="R87" s="27"/>
      <c r="S87" s="27" t="str">
        <f t="shared" si="27"/>
        <v>https://babel.hathitrust.org/cgi/pt?id=njp.32101060099841;view=1up;seq=242</v>
      </c>
      <c r="T87" s="27" t="str">
        <f t="shared" si="27"/>
        <v>https://babel.hathitrust.org/cgi/pt?id=njp.32101060099841;view=1up;seq=180</v>
      </c>
      <c r="U87" s="27" t="str">
        <f t="shared" si="22"/>
        <v>https://babel.hathitrust.org/cgi/pt?id=njp.32101060099841;view=1up;seq=224</v>
      </c>
      <c r="V87" s="27" t="str">
        <f t="shared" si="23"/>
        <v>https://babel.hathitrust.org/cgi/pt?id=njp.32101060099841;view=1up;seq=242</v>
      </c>
      <c r="W87" s="27" t="str">
        <f t="shared" si="25"/>
        <v>https://babel.hathitrust.org/cgi/pt?id=njp.32101060099841;view=1up;seq=150</v>
      </c>
      <c r="X87" s="27" t="str">
        <f t="shared" si="28"/>
        <v>https://babel.hathitrust.org/cgi/pt?id=njp.32101060099841;view=1up;seq=274</v>
      </c>
      <c r="Y87" s="27" t="str">
        <f t="shared" si="28"/>
        <v>https://babel.hathitrust.org/cgi/pt?id=njp.32101060099841;view=1up;seq=275</v>
      </c>
      <c r="Z87" s="27" t="str">
        <f t="shared" si="28"/>
        <v>https://babel.hathitrust.org/cgi/pt?id=njp.32101060099841;view=1up;seq=224</v>
      </c>
      <c r="AA87" s="27" t="str">
        <f t="shared" si="28"/>
        <v>https://babel.hathitrust.org/cgi/pt?id=njp.32101060099833;view=1up;seq=584</v>
      </c>
      <c r="AB87" s="27"/>
      <c r="AC87" s="27"/>
      <c r="AD87" s="27"/>
    </row>
    <row r="88" spans="1:30" x14ac:dyDescent="0.25">
      <c r="A88" s="27" t="s">
        <v>968</v>
      </c>
      <c r="B88" s="27" t="str">
        <f t="shared" si="17"/>
        <v>Kentucky</v>
      </c>
      <c r="C88" s="27" t="str">
        <f t="shared" si="18"/>
        <v>Montgomery</v>
      </c>
      <c r="D88" s="96">
        <f>1163+219+502+138</f>
        <v>2022</v>
      </c>
      <c r="E88" s="41">
        <f>4+18+0+0+1+5+6+3</f>
        <v>37</v>
      </c>
      <c r="F88" s="41">
        <v>8.5</v>
      </c>
      <c r="G88" s="7">
        <f t="shared" si="20"/>
        <v>170</v>
      </c>
      <c r="H88" s="41">
        <f>1714+270+529+192+20+68+160+9</f>
        <v>2962</v>
      </c>
      <c r="I88" s="25"/>
      <c r="J88" s="25">
        <f>27656.13+23111.32</f>
        <v>50767.45</v>
      </c>
      <c r="K88" s="115">
        <f t="shared" si="19"/>
        <v>161.42273449920509</v>
      </c>
      <c r="L88" s="2">
        <f>53348.72+30017.97</f>
        <v>83366.69</v>
      </c>
      <c r="M88" s="27">
        <f>34+3+2</f>
        <v>39</v>
      </c>
      <c r="N88" s="27">
        <v>36700</v>
      </c>
      <c r="O88" s="27">
        <v>8000</v>
      </c>
      <c r="P88" s="29">
        <f t="shared" si="21"/>
        <v>44700</v>
      </c>
      <c r="Q88" s="41">
        <v>1922</v>
      </c>
      <c r="R88" s="27"/>
      <c r="S88" s="27" t="str">
        <f t="shared" si="27"/>
        <v>https://babel.hathitrust.org/cgi/pt?id=njp.32101060099841;view=1up;seq=242</v>
      </c>
      <c r="T88" s="27" t="str">
        <f t="shared" si="27"/>
        <v>https://babel.hathitrust.org/cgi/pt?id=njp.32101060099841;view=1up;seq=180</v>
      </c>
      <c r="U88" s="27" t="str">
        <f t="shared" si="22"/>
        <v>https://babel.hathitrust.org/cgi/pt?id=njp.32101060099841;view=1up;seq=224</v>
      </c>
      <c r="V88" s="27" t="str">
        <f t="shared" si="23"/>
        <v>https://babel.hathitrust.org/cgi/pt?id=njp.32101060099841;view=1up;seq=242</v>
      </c>
      <c r="W88" s="27" t="str">
        <f t="shared" si="25"/>
        <v>https://babel.hathitrust.org/cgi/pt?id=njp.32101060099841;view=1up;seq=150</v>
      </c>
      <c r="X88" s="27" t="str">
        <f t="shared" si="28"/>
        <v>https://babel.hathitrust.org/cgi/pt?id=njp.32101060099841;view=1up;seq=274</v>
      </c>
      <c r="Y88" s="27" t="str">
        <f t="shared" si="28"/>
        <v>https://babel.hathitrust.org/cgi/pt?id=njp.32101060099841;view=1up;seq=275</v>
      </c>
      <c r="Z88" s="27" t="str">
        <f t="shared" si="28"/>
        <v>https://babel.hathitrust.org/cgi/pt?id=njp.32101060099841;view=1up;seq=224</v>
      </c>
      <c r="AA88" s="27" t="str">
        <f t="shared" si="28"/>
        <v>https://babel.hathitrust.org/cgi/pt?id=njp.32101060099833;view=1up;seq=584</v>
      </c>
      <c r="AB88" s="27"/>
      <c r="AC88" s="27"/>
      <c r="AD88" s="27"/>
    </row>
    <row r="89" spans="1:30" x14ac:dyDescent="0.25">
      <c r="A89" s="27" t="s">
        <v>969</v>
      </c>
      <c r="B89" s="27" t="str">
        <f t="shared" si="17"/>
        <v>Kentucky</v>
      </c>
      <c r="C89" s="27" t="str">
        <f t="shared" si="18"/>
        <v>Morgan</v>
      </c>
      <c r="D89" s="96">
        <f>2364+171</f>
        <v>2535</v>
      </c>
      <c r="E89" s="41">
        <f>109+2+4</f>
        <v>115</v>
      </c>
      <c r="F89" s="41">
        <v>7.5</v>
      </c>
      <c r="G89" s="7">
        <f t="shared" si="20"/>
        <v>150</v>
      </c>
      <c r="H89" s="41">
        <f>5481+228+22+80</f>
        <v>5811</v>
      </c>
      <c r="I89" s="27"/>
      <c r="J89" s="27">
        <f>40086.39+3145</f>
        <v>43231.39</v>
      </c>
      <c r="K89" s="115">
        <f t="shared" si="19"/>
        <v>50.123350724637682</v>
      </c>
      <c r="L89" s="2">
        <f>62798.05+3514.27</f>
        <v>66312.320000000007</v>
      </c>
      <c r="M89" s="27">
        <f>81+9+1</f>
        <v>91</v>
      </c>
      <c r="N89" s="27">
        <v>42000</v>
      </c>
      <c r="O89" s="27">
        <v>16600</v>
      </c>
      <c r="P89" s="29">
        <f t="shared" si="21"/>
        <v>58600</v>
      </c>
      <c r="Q89" s="41">
        <v>1922</v>
      </c>
      <c r="R89" s="27"/>
      <c r="S89" s="27" t="str">
        <f t="shared" si="27"/>
        <v>https://babel.hathitrust.org/cgi/pt?id=njp.32101060099841;view=1up;seq=242</v>
      </c>
      <c r="T89" s="27" t="str">
        <f t="shared" si="27"/>
        <v>https://babel.hathitrust.org/cgi/pt?id=njp.32101060099841;view=1up;seq=180</v>
      </c>
      <c r="U89" s="27" t="str">
        <f t="shared" si="22"/>
        <v>https://babel.hathitrust.org/cgi/pt?id=njp.32101060099841;view=1up;seq=224</v>
      </c>
      <c r="V89" s="27" t="str">
        <f t="shared" si="23"/>
        <v>https://babel.hathitrust.org/cgi/pt?id=njp.32101060099841;view=1up;seq=242</v>
      </c>
      <c r="W89" s="27" t="str">
        <f t="shared" si="25"/>
        <v>https://babel.hathitrust.org/cgi/pt?id=njp.32101060099841;view=1up;seq=150</v>
      </c>
      <c r="X89" s="27" t="str">
        <f t="shared" si="28"/>
        <v>https://babel.hathitrust.org/cgi/pt?id=njp.32101060099841;view=1up;seq=274</v>
      </c>
      <c r="Y89" s="27" t="str">
        <f t="shared" si="28"/>
        <v>https://babel.hathitrust.org/cgi/pt?id=njp.32101060099841;view=1up;seq=275</v>
      </c>
      <c r="Z89" s="27" t="str">
        <f t="shared" si="28"/>
        <v>https://babel.hathitrust.org/cgi/pt?id=njp.32101060099841;view=1up;seq=224</v>
      </c>
      <c r="AA89" s="27" t="str">
        <f t="shared" si="28"/>
        <v>https://babel.hathitrust.org/cgi/pt?id=njp.32101060099833;view=1up;seq=584</v>
      </c>
      <c r="AB89" s="27"/>
      <c r="AC89" s="27"/>
      <c r="AD89" s="27"/>
    </row>
    <row r="90" spans="1:30" x14ac:dyDescent="0.25">
      <c r="A90" s="27" t="s">
        <v>970</v>
      </c>
      <c r="B90" s="27" t="str">
        <f t="shared" si="17"/>
        <v>Kentucky</v>
      </c>
      <c r="C90" s="27" t="str">
        <f t="shared" si="18"/>
        <v>Muhlenberg</v>
      </c>
      <c r="D90" s="96">
        <f>4521+843+833+70+309+278+483+54</f>
        <v>7391</v>
      </c>
      <c r="E90" s="41">
        <f>131+12+4+4+8+2+0+0+2+2+8+2+2+7+3+1+1</f>
        <v>189</v>
      </c>
      <c r="F90" s="41">
        <v>8.8000000000000007</v>
      </c>
      <c r="G90" s="7">
        <f t="shared" si="20"/>
        <v>176</v>
      </c>
      <c r="H90" s="41">
        <f>6416+893+847+82+383+343+416+102+24+45+175+32+43+209+47+11+15</f>
        <v>10083</v>
      </c>
      <c r="I90" s="25"/>
      <c r="J90" s="25">
        <f>68548.73+17776.91+4833+4666.75+14446.25+2300</f>
        <v>112571.64</v>
      </c>
      <c r="K90" s="115">
        <f t="shared" si="19"/>
        <v>67.683766233766235</v>
      </c>
      <c r="L90" s="2">
        <f>101528.55+52654.82+5448.36+6422.31+17923.48+2879.8</f>
        <v>186857.31999999998</v>
      </c>
      <c r="M90" s="27">
        <f>68+21+2+1+1+1+1</f>
        <v>95</v>
      </c>
      <c r="N90" s="27">
        <v>53000</v>
      </c>
      <c r="O90" s="27">
        <v>9800</v>
      </c>
      <c r="P90" s="29">
        <f t="shared" si="21"/>
        <v>62800</v>
      </c>
      <c r="Q90" s="41">
        <v>1922</v>
      </c>
      <c r="R90" s="27"/>
      <c r="S90" s="27" t="str">
        <f t="shared" si="27"/>
        <v>https://babel.hathitrust.org/cgi/pt?id=njp.32101060099841;view=1up;seq=242</v>
      </c>
      <c r="T90" s="27" t="str">
        <f t="shared" si="27"/>
        <v>https://babel.hathitrust.org/cgi/pt?id=njp.32101060099841;view=1up;seq=180</v>
      </c>
      <c r="U90" s="27" t="str">
        <f t="shared" si="22"/>
        <v>https://babel.hathitrust.org/cgi/pt?id=njp.32101060099841;view=1up;seq=224</v>
      </c>
      <c r="V90" s="27" t="str">
        <f t="shared" si="23"/>
        <v>https://babel.hathitrust.org/cgi/pt?id=njp.32101060099841;view=1up;seq=242</v>
      </c>
      <c r="W90" s="27" t="str">
        <f t="shared" si="25"/>
        <v>https://babel.hathitrust.org/cgi/pt?id=njp.32101060099841;view=1up;seq=150</v>
      </c>
      <c r="X90" s="27" t="str">
        <f t="shared" si="28"/>
        <v>https://babel.hathitrust.org/cgi/pt?id=njp.32101060099841;view=1up;seq=274</v>
      </c>
      <c r="Y90" s="27" t="str">
        <f t="shared" si="28"/>
        <v>https://babel.hathitrust.org/cgi/pt?id=njp.32101060099841;view=1up;seq=275</v>
      </c>
      <c r="Z90" s="27" t="str">
        <f t="shared" si="28"/>
        <v>https://babel.hathitrust.org/cgi/pt?id=njp.32101060099841;view=1up;seq=224</v>
      </c>
      <c r="AA90" s="27" t="str">
        <f t="shared" si="28"/>
        <v>https://babel.hathitrust.org/cgi/pt?id=njp.32101060099833;view=1up;seq=584</v>
      </c>
      <c r="AB90" s="27"/>
      <c r="AC90" s="27"/>
      <c r="AD90" s="27"/>
    </row>
    <row r="91" spans="1:30" x14ac:dyDescent="0.25">
      <c r="A91" s="27" t="s">
        <v>971</v>
      </c>
      <c r="B91" s="27" t="str">
        <f t="shared" si="17"/>
        <v>Kentucky</v>
      </c>
      <c r="C91" s="27" t="str">
        <f t="shared" si="18"/>
        <v>Nelson</v>
      </c>
      <c r="D91" s="96">
        <f>1638+440+277+177+157</f>
        <v>2689</v>
      </c>
      <c r="E91" s="41">
        <f>82+7+4+2+5+3+3+2+2</f>
        <v>110</v>
      </c>
      <c r="F91" s="41">
        <v>8.9</v>
      </c>
      <c r="G91" s="7">
        <f>F91*20</f>
        <v>178</v>
      </c>
      <c r="H91" s="41">
        <f>2382+621+224+173+166+87+66+29+43</f>
        <v>3791</v>
      </c>
      <c r="I91" s="27"/>
      <c r="J91" s="27">
        <f>45280.95+12086+6890+4005+4049.93</f>
        <v>72311.87999999999</v>
      </c>
      <c r="K91" s="115">
        <f t="shared" si="19"/>
        <v>73.863003064351375</v>
      </c>
      <c r="L91" s="2">
        <f>59377.38+16159.37+9663.99+6084.45+14408.89</f>
        <v>105694.08</v>
      </c>
      <c r="M91" s="27">
        <f>56+12+1+1+1+1</f>
        <v>72</v>
      </c>
      <c r="N91" s="27">
        <v>105090</v>
      </c>
      <c r="O91" s="27">
        <v>11498</v>
      </c>
      <c r="P91" s="29">
        <f t="shared" si="21"/>
        <v>116588</v>
      </c>
      <c r="Q91" s="41">
        <v>1922</v>
      </c>
      <c r="R91" s="27"/>
      <c r="S91" s="27" t="str">
        <f t="shared" si="27"/>
        <v>https://babel.hathitrust.org/cgi/pt?id=njp.32101060099841;view=1up;seq=242</v>
      </c>
      <c r="T91" s="27" t="str">
        <f t="shared" si="27"/>
        <v>https://babel.hathitrust.org/cgi/pt?id=njp.32101060099841;view=1up;seq=180</v>
      </c>
      <c r="U91" s="27" t="str">
        <f t="shared" si="22"/>
        <v>https://babel.hathitrust.org/cgi/pt?id=njp.32101060099841;view=1up;seq=224</v>
      </c>
      <c r="V91" s="27" t="str">
        <f t="shared" si="23"/>
        <v>https://babel.hathitrust.org/cgi/pt?id=njp.32101060099841;view=1up;seq=242</v>
      </c>
      <c r="W91" s="27" t="str">
        <f t="shared" si="25"/>
        <v>https://babel.hathitrust.org/cgi/pt?id=njp.32101060099841;view=1up;seq=150</v>
      </c>
      <c r="X91" s="27" t="str">
        <f t="shared" si="28"/>
        <v>https://babel.hathitrust.org/cgi/pt?id=njp.32101060099841;view=1up;seq=274</v>
      </c>
      <c r="Y91" s="27" t="str">
        <f t="shared" si="28"/>
        <v>https://babel.hathitrust.org/cgi/pt?id=njp.32101060099841;view=1up;seq=275</v>
      </c>
      <c r="Z91" s="27" t="str">
        <f t="shared" si="28"/>
        <v>https://babel.hathitrust.org/cgi/pt?id=njp.32101060099841;view=1up;seq=224</v>
      </c>
      <c r="AA91" s="27" t="str">
        <f t="shared" si="28"/>
        <v>https://babel.hathitrust.org/cgi/pt?id=njp.32101060099833;view=1up;seq=584</v>
      </c>
      <c r="AB91" s="27"/>
      <c r="AC91" s="27"/>
      <c r="AD91" s="27"/>
    </row>
    <row r="92" spans="1:30" x14ac:dyDescent="0.25">
      <c r="A92" s="27" t="s">
        <v>972</v>
      </c>
      <c r="B92" s="27" t="str">
        <f t="shared" si="17"/>
        <v>Kentucky</v>
      </c>
      <c r="C92" s="27" t="str">
        <f t="shared" si="18"/>
        <v>Nicholas</v>
      </c>
      <c r="D92" s="96">
        <f>1337+117+375</f>
        <v>1829</v>
      </c>
      <c r="E92" s="41">
        <f>49+9+0+1+4+1+2+1+1</f>
        <v>68</v>
      </c>
      <c r="F92" s="41">
        <v>8</v>
      </c>
      <c r="G92" s="7">
        <f>F92*20</f>
        <v>160</v>
      </c>
      <c r="H92" s="41">
        <f>1604+123+352+9+111+7+17+12+9</f>
        <v>2244</v>
      </c>
      <c r="I92" s="25"/>
      <c r="J92" s="25">
        <f>30057.26+11490</f>
        <v>41547.259999999995</v>
      </c>
      <c r="K92" s="115">
        <f t="shared" si="19"/>
        <v>76.37363970588234</v>
      </c>
      <c r="L92" s="2">
        <f>48748.76+21652.53</f>
        <v>70401.290000000008</v>
      </c>
      <c r="M92" s="27">
        <f>36+6+1</f>
        <v>43</v>
      </c>
      <c r="N92" s="27">
        <v>98810</v>
      </c>
      <c r="O92" s="27">
        <v>12520</v>
      </c>
      <c r="P92" s="29">
        <f t="shared" si="21"/>
        <v>111330</v>
      </c>
      <c r="Q92" s="41">
        <v>1922</v>
      </c>
      <c r="R92" s="27"/>
      <c r="S92" s="27" t="str">
        <f t="shared" si="27"/>
        <v>https://babel.hathitrust.org/cgi/pt?id=njp.32101060099841;view=1up;seq=242</v>
      </c>
      <c r="T92" s="27" t="str">
        <f t="shared" si="27"/>
        <v>https://babel.hathitrust.org/cgi/pt?id=njp.32101060099841;view=1up;seq=180</v>
      </c>
      <c r="U92" s="27" t="str">
        <f t="shared" si="22"/>
        <v>https://babel.hathitrust.org/cgi/pt?id=njp.32101060099841;view=1up;seq=224</v>
      </c>
      <c r="V92" s="27" t="str">
        <f t="shared" si="23"/>
        <v>https://babel.hathitrust.org/cgi/pt?id=njp.32101060099841;view=1up;seq=242</v>
      </c>
      <c r="W92" s="27" t="str">
        <f t="shared" si="25"/>
        <v>https://babel.hathitrust.org/cgi/pt?id=njp.32101060099841;view=1up;seq=150</v>
      </c>
      <c r="X92" s="27" t="str">
        <f t="shared" si="28"/>
        <v>https://babel.hathitrust.org/cgi/pt?id=njp.32101060099841;view=1up;seq=274</v>
      </c>
      <c r="Y92" s="27" t="str">
        <f t="shared" si="28"/>
        <v>https://babel.hathitrust.org/cgi/pt?id=njp.32101060099841;view=1up;seq=275</v>
      </c>
      <c r="Z92" s="27" t="str">
        <f t="shared" si="28"/>
        <v>https://babel.hathitrust.org/cgi/pt?id=njp.32101060099841;view=1up;seq=224</v>
      </c>
      <c r="AA92" s="27" t="str">
        <f t="shared" si="28"/>
        <v>https://babel.hathitrust.org/cgi/pt?id=njp.32101060099833;view=1up;seq=584</v>
      </c>
      <c r="AB92" s="27"/>
      <c r="AC92" s="27"/>
      <c r="AD92" s="27"/>
    </row>
    <row r="93" spans="1:30" x14ac:dyDescent="0.25">
      <c r="A93" s="27" t="s">
        <v>973</v>
      </c>
      <c r="B93" s="27" t="str">
        <f t="shared" si="17"/>
        <v>Kentucky</v>
      </c>
      <c r="C93" s="27" t="str">
        <f t="shared" si="18"/>
        <v>Ohio</v>
      </c>
      <c r="D93" s="96">
        <f>3548+177+275+125+352+202+318+154</f>
        <v>5151</v>
      </c>
      <c r="E93" s="41">
        <f>126+4+3+6+4+4+4+0+4+1+2+1+3+5+1</f>
        <v>168</v>
      </c>
      <c r="F93" s="41">
        <v>8.9</v>
      </c>
      <c r="G93" s="7">
        <f>F93*20</f>
        <v>178</v>
      </c>
      <c r="H93" s="41">
        <f>5220+268+205+155+408+161+212+269+106+23+47+23+86+140+21</f>
        <v>7344</v>
      </c>
      <c r="I93" s="27"/>
      <c r="J93" s="27">
        <f>71863.54+6984.9+2640+6797.75+6355+8415+3397.5</f>
        <v>106453.68999999999</v>
      </c>
      <c r="K93" s="115">
        <f t="shared" si="19"/>
        <v>71.196956928838929</v>
      </c>
      <c r="L93" s="2">
        <f>102833.91+7930.68+3248.99+8907.35+8465.32+10801.18+3851.48</f>
        <v>146038.91</v>
      </c>
      <c r="M93" s="27">
        <f>115+7+1+1+1+1+1+1</f>
        <v>128</v>
      </c>
      <c r="N93" s="27">
        <v>128000</v>
      </c>
      <c r="O93" s="27">
        <v>15800</v>
      </c>
      <c r="P93" s="29">
        <f t="shared" si="21"/>
        <v>143800</v>
      </c>
      <c r="Q93" s="41">
        <v>1922</v>
      </c>
      <c r="R93" s="27"/>
      <c r="S93" s="27" t="str">
        <f t="shared" si="27"/>
        <v>https://babel.hathitrust.org/cgi/pt?id=njp.32101060099841;view=1up;seq=242</v>
      </c>
      <c r="T93" s="27" t="str">
        <f t="shared" si="27"/>
        <v>https://babel.hathitrust.org/cgi/pt?id=njp.32101060099841;view=1up;seq=180</v>
      </c>
      <c r="U93" s="27" t="str">
        <f t="shared" si="22"/>
        <v>https://babel.hathitrust.org/cgi/pt?id=njp.32101060099841;view=1up;seq=224</v>
      </c>
      <c r="V93" s="27" t="str">
        <f t="shared" si="23"/>
        <v>https://babel.hathitrust.org/cgi/pt?id=njp.32101060099841;view=1up;seq=242</v>
      </c>
      <c r="W93" s="27" t="str">
        <f t="shared" si="25"/>
        <v>https://babel.hathitrust.org/cgi/pt?id=njp.32101060099841;view=1up;seq=150</v>
      </c>
      <c r="X93" s="27" t="str">
        <f t="shared" si="28"/>
        <v>https://babel.hathitrust.org/cgi/pt?id=njp.32101060099841;view=1up;seq=274</v>
      </c>
      <c r="Y93" s="27" t="str">
        <f t="shared" si="28"/>
        <v>https://babel.hathitrust.org/cgi/pt?id=njp.32101060099841;view=1up;seq=275</v>
      </c>
      <c r="Z93" s="27" t="str">
        <f t="shared" si="28"/>
        <v>https://babel.hathitrust.org/cgi/pt?id=njp.32101060099841;view=1up;seq=224</v>
      </c>
      <c r="AA93" s="27" t="str">
        <f t="shared" si="28"/>
        <v>https://babel.hathitrust.org/cgi/pt?id=njp.32101060099833;view=1up;seq=584</v>
      </c>
      <c r="AB93" s="27"/>
      <c r="AC93" s="27"/>
      <c r="AD93" s="27"/>
    </row>
    <row r="94" spans="1:30" x14ac:dyDescent="0.25">
      <c r="A94" s="27" t="s">
        <v>974</v>
      </c>
      <c r="B94" s="27" t="str">
        <f t="shared" si="17"/>
        <v>Kentucky</v>
      </c>
      <c r="C94" s="27" t="str">
        <f t="shared" si="18"/>
        <v>Oldham</v>
      </c>
      <c r="D94" s="96">
        <f>888+135+315</f>
        <v>1338</v>
      </c>
      <c r="E94" s="41">
        <f>43+7+3+2+2+6+1</f>
        <v>64</v>
      </c>
      <c r="F94" s="41">
        <v>8.5</v>
      </c>
      <c r="G94" s="7">
        <f>F94*20</f>
        <v>170</v>
      </c>
      <c r="H94" s="41">
        <f>1014+220+266+18+29+154+4</f>
        <v>1705</v>
      </c>
      <c r="I94" s="25"/>
      <c r="J94" s="25">
        <f>28728.05+11302+2754.63</f>
        <v>42784.68</v>
      </c>
      <c r="K94" s="115">
        <f t="shared" si="19"/>
        <v>78.648308823529419</v>
      </c>
      <c r="L94" s="2">
        <f>56436.81+17403.78+3469.31</f>
        <v>77309.899999999994</v>
      </c>
      <c r="M94" s="27">
        <f>18+8+1+1</f>
        <v>28</v>
      </c>
      <c r="N94" s="27">
        <v>74750</v>
      </c>
      <c r="O94" s="27">
        <v>5600</v>
      </c>
      <c r="P94" s="29">
        <f t="shared" si="21"/>
        <v>80350</v>
      </c>
      <c r="Q94" s="41">
        <v>1922</v>
      </c>
      <c r="R94" s="27"/>
      <c r="S94" s="27" t="str">
        <f t="shared" si="27"/>
        <v>https://babel.hathitrust.org/cgi/pt?id=njp.32101060099841;view=1up;seq=242</v>
      </c>
      <c r="T94" s="27" t="str">
        <f t="shared" si="27"/>
        <v>https://babel.hathitrust.org/cgi/pt?id=njp.32101060099841;view=1up;seq=180</v>
      </c>
      <c r="U94" s="27" t="str">
        <f t="shared" si="22"/>
        <v>https://babel.hathitrust.org/cgi/pt?id=njp.32101060099841;view=1up;seq=224</v>
      </c>
      <c r="V94" s="27" t="str">
        <f t="shared" si="23"/>
        <v>https://babel.hathitrust.org/cgi/pt?id=njp.32101060099841;view=1up;seq=242</v>
      </c>
      <c r="W94" s="27" t="str">
        <f t="shared" si="25"/>
        <v>https://babel.hathitrust.org/cgi/pt?id=njp.32101060099841;view=1up;seq=150</v>
      </c>
      <c r="X94" s="27" t="str">
        <f t="shared" si="28"/>
        <v>https://babel.hathitrust.org/cgi/pt?id=njp.32101060099841;view=1up;seq=274</v>
      </c>
      <c r="Y94" s="27" t="str">
        <f t="shared" si="28"/>
        <v>https://babel.hathitrust.org/cgi/pt?id=njp.32101060099841;view=1up;seq=275</v>
      </c>
      <c r="Z94" s="27" t="str">
        <f t="shared" si="28"/>
        <v>https://babel.hathitrust.org/cgi/pt?id=njp.32101060099841;view=1up;seq=224</v>
      </c>
      <c r="AA94" s="27" t="str">
        <f t="shared" si="28"/>
        <v>https://babel.hathitrust.org/cgi/pt?id=njp.32101060099833;view=1up;seq=584</v>
      </c>
      <c r="AB94" s="27"/>
      <c r="AC94" s="27"/>
      <c r="AD94" s="27"/>
    </row>
    <row r="95" spans="1:30" x14ac:dyDescent="0.25">
      <c r="A95" s="27" t="s">
        <v>975</v>
      </c>
      <c r="B95" s="27" t="str">
        <f t="shared" si="17"/>
        <v>Kentucky</v>
      </c>
      <c r="C95" s="27" t="str">
        <f t="shared" si="18"/>
        <v>Owen</v>
      </c>
      <c r="D95" s="96">
        <f>1355+83+43+61+295+81+84</f>
        <v>2002</v>
      </c>
      <c r="E95" s="41">
        <f>68+1+2+5+2+2+0+1+2+3+1</f>
        <v>87</v>
      </c>
      <c r="F95" s="41">
        <v>8</v>
      </c>
      <c r="G95" s="7">
        <f t="shared" si="20"/>
        <v>160</v>
      </c>
      <c r="H95" s="41">
        <f>1922+168+70+68+238+93+84+5+20+106+13+23</f>
        <v>2810</v>
      </c>
      <c r="I95" s="27"/>
      <c r="J95" s="27">
        <f>27717.5+1000+3120+5866.5+2570+3221</f>
        <v>43495</v>
      </c>
      <c r="K95" s="115">
        <f t="shared" si="19"/>
        <v>62.492816091954026</v>
      </c>
      <c r="L95" s="2">
        <f>37246.51+1210.8+4348.34+8010.43+3218.75+3669.08</f>
        <v>57703.910000000011</v>
      </c>
      <c r="M95" s="27">
        <f>66+1+1+1+1+1+1</f>
        <v>72</v>
      </c>
      <c r="N95" s="27">
        <v>88770</v>
      </c>
      <c r="O95" s="27">
        <v>9700</v>
      </c>
      <c r="P95" s="29">
        <f t="shared" si="21"/>
        <v>98470</v>
      </c>
      <c r="Q95" s="41">
        <v>1922</v>
      </c>
      <c r="R95" s="27"/>
      <c r="S95" s="27" t="str">
        <f t="shared" si="27"/>
        <v>https://babel.hathitrust.org/cgi/pt?id=njp.32101060099841;view=1up;seq=242</v>
      </c>
      <c r="T95" s="27" t="str">
        <f t="shared" si="27"/>
        <v>https://babel.hathitrust.org/cgi/pt?id=njp.32101060099841;view=1up;seq=180</v>
      </c>
      <c r="U95" s="27" t="str">
        <f t="shared" si="22"/>
        <v>https://babel.hathitrust.org/cgi/pt?id=njp.32101060099841;view=1up;seq=224</v>
      </c>
      <c r="V95" s="27" t="str">
        <f t="shared" si="23"/>
        <v>https://babel.hathitrust.org/cgi/pt?id=njp.32101060099841;view=1up;seq=242</v>
      </c>
      <c r="W95" s="27" t="str">
        <f t="shared" si="25"/>
        <v>https://babel.hathitrust.org/cgi/pt?id=njp.32101060099841;view=1up;seq=150</v>
      </c>
      <c r="X95" s="27" t="str">
        <f t="shared" si="28"/>
        <v>https://babel.hathitrust.org/cgi/pt?id=njp.32101060099841;view=1up;seq=274</v>
      </c>
      <c r="Y95" s="27" t="str">
        <f t="shared" si="28"/>
        <v>https://babel.hathitrust.org/cgi/pt?id=njp.32101060099841;view=1up;seq=275</v>
      </c>
      <c r="Z95" s="27" t="str">
        <f t="shared" si="28"/>
        <v>https://babel.hathitrust.org/cgi/pt?id=njp.32101060099841;view=1up;seq=224</v>
      </c>
      <c r="AA95" s="27" t="str">
        <f t="shared" si="28"/>
        <v>https://babel.hathitrust.org/cgi/pt?id=njp.32101060099833;view=1up;seq=584</v>
      </c>
      <c r="AB95" s="27"/>
      <c r="AC95" s="27"/>
      <c r="AD95" s="27"/>
    </row>
    <row r="96" spans="1:30" x14ac:dyDescent="0.25">
      <c r="A96" s="27" t="s">
        <v>976</v>
      </c>
      <c r="B96" s="27" t="str">
        <f t="shared" si="17"/>
        <v>Kentucky</v>
      </c>
      <c r="C96" s="27" t="str">
        <f t="shared" si="18"/>
        <v>Owsley</v>
      </c>
      <c r="D96" s="96">
        <f>1349+150+93+50</f>
        <v>1642</v>
      </c>
      <c r="E96" s="41">
        <f>40+2+2+2+2+0+1</f>
        <v>49</v>
      </c>
      <c r="F96" s="41">
        <v>8</v>
      </c>
      <c r="G96" s="7">
        <f t="shared" si="20"/>
        <v>160</v>
      </c>
      <c r="H96" s="41">
        <f>1939+18+117+122+97+97+23</f>
        <v>2413</v>
      </c>
      <c r="I96" s="25"/>
      <c r="J96" s="25">
        <f>15812.45+2005+956.25+780+1020</f>
        <v>20573.7</v>
      </c>
      <c r="K96" s="115">
        <f t="shared" si="19"/>
        <v>52.483928571428571</v>
      </c>
      <c r="L96" s="2">
        <f>22050.2+7317.42+1355.88+829.27+1111.23</f>
        <v>32664.000000000004</v>
      </c>
      <c r="M96" s="27">
        <f>36+2+1+1+1+1</f>
        <v>42</v>
      </c>
      <c r="N96" s="27">
        <v>24200</v>
      </c>
      <c r="O96" s="27">
        <v>5500</v>
      </c>
      <c r="P96" s="29">
        <f t="shared" si="21"/>
        <v>29700</v>
      </c>
      <c r="Q96" s="41">
        <v>1922</v>
      </c>
      <c r="R96" s="27"/>
      <c r="S96" s="27" t="str">
        <f t="shared" si="27"/>
        <v>https://babel.hathitrust.org/cgi/pt?id=njp.32101060099841;view=1up;seq=242</v>
      </c>
      <c r="T96" s="27" t="str">
        <f t="shared" si="27"/>
        <v>https://babel.hathitrust.org/cgi/pt?id=njp.32101060099841;view=1up;seq=180</v>
      </c>
      <c r="U96" s="27" t="str">
        <f t="shared" si="22"/>
        <v>https://babel.hathitrust.org/cgi/pt?id=njp.32101060099841;view=1up;seq=224</v>
      </c>
      <c r="V96" s="27" t="str">
        <f t="shared" si="23"/>
        <v>https://babel.hathitrust.org/cgi/pt?id=njp.32101060099841;view=1up;seq=242</v>
      </c>
      <c r="W96" s="27" t="str">
        <f t="shared" si="25"/>
        <v>https://babel.hathitrust.org/cgi/pt?id=njp.32101060099841;view=1up;seq=150</v>
      </c>
      <c r="X96" s="27" t="str">
        <f t="shared" si="28"/>
        <v>https://babel.hathitrust.org/cgi/pt?id=njp.32101060099841;view=1up;seq=274</v>
      </c>
      <c r="Y96" s="27" t="str">
        <f t="shared" si="28"/>
        <v>https://babel.hathitrust.org/cgi/pt?id=njp.32101060099841;view=1up;seq=275</v>
      </c>
      <c r="Z96" s="27" t="str">
        <f t="shared" si="28"/>
        <v>https://babel.hathitrust.org/cgi/pt?id=njp.32101060099841;view=1up;seq=224</v>
      </c>
      <c r="AA96" s="27" t="str">
        <f t="shared" si="28"/>
        <v>https://babel.hathitrust.org/cgi/pt?id=njp.32101060099833;view=1up;seq=584</v>
      </c>
      <c r="AB96" s="27"/>
      <c r="AC96" s="27"/>
      <c r="AD96" s="27"/>
    </row>
    <row r="97" spans="1:30" x14ac:dyDescent="0.25">
      <c r="A97" s="27" t="s">
        <v>977</v>
      </c>
      <c r="B97" s="27" t="str">
        <f t="shared" si="17"/>
        <v>Kentucky</v>
      </c>
      <c r="C97" s="27" t="str">
        <f t="shared" si="18"/>
        <v>Pendleton</v>
      </c>
      <c r="D97" s="96">
        <f>1432+19+163+359+66</f>
        <v>2039</v>
      </c>
      <c r="E97" s="41">
        <f>56+4+2+7+2+0+0+2+2+4+1+1</f>
        <v>81</v>
      </c>
      <c r="F97" s="41">
        <v>8.3000000000000007</v>
      </c>
      <c r="G97" s="7">
        <f t="shared" si="20"/>
        <v>166</v>
      </c>
      <c r="H97" s="41">
        <f>1736+25+144+63+314+61+18+59+24+113+11+9</f>
        <v>2577</v>
      </c>
      <c r="I97" s="27"/>
      <c r="J97" s="27">
        <f>33414.5+4815+2925+9412.5+2764.2+1295</f>
        <v>54626.2</v>
      </c>
      <c r="K97" s="115">
        <f t="shared" si="19"/>
        <v>81.252714561951507</v>
      </c>
      <c r="L97" s="2">
        <f>41153.03+7062.7133237+26991.69+3406.51+1401.67</f>
        <v>80015.613323699989</v>
      </c>
      <c r="M97" s="27">
        <f>54+2+1+1+1+1</f>
        <v>60</v>
      </c>
      <c r="N97" s="27">
        <v>60000</v>
      </c>
      <c r="O97" s="27">
        <v>8100</v>
      </c>
      <c r="P97" s="29">
        <f t="shared" si="21"/>
        <v>68100</v>
      </c>
      <c r="Q97" s="41">
        <v>1922</v>
      </c>
      <c r="R97" s="27"/>
      <c r="S97" s="27" t="str">
        <f t="shared" si="27"/>
        <v>https://babel.hathitrust.org/cgi/pt?id=njp.32101060099841;view=1up;seq=242</v>
      </c>
      <c r="T97" s="27" t="str">
        <f t="shared" si="27"/>
        <v>https://babel.hathitrust.org/cgi/pt?id=njp.32101060099841;view=1up;seq=180</v>
      </c>
      <c r="U97" s="27" t="str">
        <f t="shared" si="22"/>
        <v>https://babel.hathitrust.org/cgi/pt?id=njp.32101060099841;view=1up;seq=224</v>
      </c>
      <c r="V97" s="27" t="str">
        <f t="shared" si="23"/>
        <v>https://babel.hathitrust.org/cgi/pt?id=njp.32101060099841;view=1up;seq=242</v>
      </c>
      <c r="W97" s="27" t="str">
        <f t="shared" si="25"/>
        <v>https://babel.hathitrust.org/cgi/pt?id=njp.32101060099841;view=1up;seq=150</v>
      </c>
      <c r="X97" s="27" t="str">
        <f t="shared" si="28"/>
        <v>https://babel.hathitrust.org/cgi/pt?id=njp.32101060099841;view=1up;seq=274</v>
      </c>
      <c r="Y97" s="27" t="str">
        <f t="shared" si="28"/>
        <v>https://babel.hathitrust.org/cgi/pt?id=njp.32101060099841;view=1up;seq=275</v>
      </c>
      <c r="Z97" s="27" t="str">
        <f t="shared" si="28"/>
        <v>https://babel.hathitrust.org/cgi/pt?id=njp.32101060099841;view=1up;seq=224</v>
      </c>
      <c r="AA97" s="27" t="str">
        <f t="shared" si="28"/>
        <v>https://babel.hathitrust.org/cgi/pt?id=njp.32101060099833;view=1up;seq=584</v>
      </c>
      <c r="AB97" s="27"/>
      <c r="AC97" s="27"/>
      <c r="AD97" s="27"/>
    </row>
    <row r="98" spans="1:30" x14ac:dyDescent="0.25">
      <c r="A98" s="27" t="s">
        <v>978</v>
      </c>
      <c r="B98" s="27" t="str">
        <f t="shared" si="17"/>
        <v>Kentucky</v>
      </c>
      <c r="C98" s="27" t="str">
        <f t="shared" si="18"/>
        <v>Perry</v>
      </c>
      <c r="D98" s="96">
        <f>4821+281+1019+71+99</f>
        <v>6291</v>
      </c>
      <c r="E98" s="41">
        <f>118+18+0+0+0+7</f>
        <v>143</v>
      </c>
      <c r="F98" s="41">
        <v>8</v>
      </c>
      <c r="G98" s="7">
        <f t="shared" si="20"/>
        <v>160</v>
      </c>
      <c r="H98" s="41">
        <f>7045+376+1158+86+110+104</f>
        <v>8879</v>
      </c>
      <c r="I98" s="25"/>
      <c r="J98" s="25">
        <f>55702.74+23699.72+2032.5</f>
        <v>81434.959999999992</v>
      </c>
      <c r="K98" s="115">
        <f t="shared" ref="K98:K121" si="29">J98/E98/(G98/20)</f>
        <v>71.18440559440559</v>
      </c>
      <c r="L98" s="2">
        <f>80754.83+39321.76+2313.92</f>
        <v>122390.51</v>
      </c>
      <c r="M98" s="27">
        <f>65+24+2+1</f>
        <v>92</v>
      </c>
      <c r="N98" s="27">
        <v>62000</v>
      </c>
      <c r="O98" s="27">
        <v>10500</v>
      </c>
      <c r="P98" s="29">
        <f t="shared" si="21"/>
        <v>72500</v>
      </c>
      <c r="Q98" s="41">
        <v>1922</v>
      </c>
      <c r="R98" s="27"/>
      <c r="S98" s="27" t="str">
        <f t="shared" si="27"/>
        <v>https://babel.hathitrust.org/cgi/pt?id=njp.32101060099841;view=1up;seq=242</v>
      </c>
      <c r="T98" s="27" t="str">
        <f t="shared" si="27"/>
        <v>https://babel.hathitrust.org/cgi/pt?id=njp.32101060099841;view=1up;seq=180</v>
      </c>
      <c r="U98" s="27" t="str">
        <f t="shared" si="22"/>
        <v>https://babel.hathitrust.org/cgi/pt?id=njp.32101060099841;view=1up;seq=224</v>
      </c>
      <c r="V98" s="27" t="str">
        <f t="shared" si="23"/>
        <v>https://babel.hathitrust.org/cgi/pt?id=njp.32101060099841;view=1up;seq=242</v>
      </c>
      <c r="W98" s="27" t="str">
        <f t="shared" si="25"/>
        <v>https://babel.hathitrust.org/cgi/pt?id=njp.32101060099841;view=1up;seq=150</v>
      </c>
      <c r="X98" s="27" t="str">
        <f t="shared" si="28"/>
        <v>https://babel.hathitrust.org/cgi/pt?id=njp.32101060099841;view=1up;seq=274</v>
      </c>
      <c r="Y98" s="27" t="str">
        <f t="shared" si="28"/>
        <v>https://babel.hathitrust.org/cgi/pt?id=njp.32101060099841;view=1up;seq=275</v>
      </c>
      <c r="Z98" s="27" t="str">
        <f t="shared" si="28"/>
        <v>https://babel.hathitrust.org/cgi/pt?id=njp.32101060099841;view=1up;seq=224</v>
      </c>
      <c r="AA98" s="27" t="str">
        <f t="shared" si="28"/>
        <v>https://babel.hathitrust.org/cgi/pt?id=njp.32101060099833;view=1up;seq=584</v>
      </c>
      <c r="AB98" s="27"/>
      <c r="AC98" s="27"/>
      <c r="AD98" s="27"/>
    </row>
    <row r="99" spans="1:30" x14ac:dyDescent="0.25">
      <c r="A99" s="27" t="s">
        <v>979</v>
      </c>
      <c r="B99" s="27" t="str">
        <f t="shared" si="17"/>
        <v>Kentucky</v>
      </c>
      <c r="C99" s="27" t="str">
        <f t="shared" si="18"/>
        <v>Pike</v>
      </c>
      <c r="D99" s="96">
        <f>9740+164+446+317+166+172</f>
        <v>11005</v>
      </c>
      <c r="E99" s="41">
        <f>217+11+5+2+6+3+4+0+0+2+4</f>
        <v>254</v>
      </c>
      <c r="F99" s="41">
        <v>8.5</v>
      </c>
      <c r="G99" s="7">
        <f t="shared" si="20"/>
        <v>170</v>
      </c>
      <c r="H99" s="41">
        <f>12213+105+395+0+251+45+354+228+193+12+5+53</f>
        <v>13854</v>
      </c>
      <c r="I99" s="27"/>
      <c r="J99" s="27">
        <f>108332.61+16411.71+1960.62+2430+5250+4530+5565</f>
        <v>144479.94</v>
      </c>
      <c r="K99" s="115">
        <f t="shared" si="29"/>
        <v>66.919842519685034</v>
      </c>
      <c r="L99" s="2">
        <f>194690.88+30007.21+1960.62+2645.67+6970.35+4917.92+6286.71</f>
        <v>247479.36000000002</v>
      </c>
      <c r="M99" s="27">
        <f>171+22+1+1+1+1+1+1</f>
        <v>199</v>
      </c>
      <c r="N99" s="27">
        <v>156000</v>
      </c>
      <c r="O99" s="27">
        <v>45250</v>
      </c>
      <c r="P99" s="29">
        <f t="shared" si="21"/>
        <v>201250</v>
      </c>
      <c r="Q99" s="41">
        <v>1922</v>
      </c>
      <c r="R99" s="27"/>
      <c r="S99" s="27" t="str">
        <f t="shared" si="27"/>
        <v>https://babel.hathitrust.org/cgi/pt?id=njp.32101060099841;view=1up;seq=242</v>
      </c>
      <c r="T99" s="27" t="str">
        <f t="shared" si="27"/>
        <v>https://babel.hathitrust.org/cgi/pt?id=njp.32101060099841;view=1up;seq=180</v>
      </c>
      <c r="U99" s="27" t="str">
        <f t="shared" si="22"/>
        <v>https://babel.hathitrust.org/cgi/pt?id=njp.32101060099841;view=1up;seq=224</v>
      </c>
      <c r="V99" s="27" t="str">
        <f t="shared" si="23"/>
        <v>https://babel.hathitrust.org/cgi/pt?id=njp.32101060099841;view=1up;seq=242</v>
      </c>
      <c r="W99" s="27" t="str">
        <f t="shared" si="25"/>
        <v>https://babel.hathitrust.org/cgi/pt?id=njp.32101060099841;view=1up;seq=150</v>
      </c>
      <c r="X99" s="27" t="str">
        <f t="shared" si="28"/>
        <v>https://babel.hathitrust.org/cgi/pt?id=njp.32101060099841;view=1up;seq=274</v>
      </c>
      <c r="Y99" s="27" t="str">
        <f t="shared" si="28"/>
        <v>https://babel.hathitrust.org/cgi/pt?id=njp.32101060099841;view=1up;seq=275</v>
      </c>
      <c r="Z99" s="27" t="str">
        <f t="shared" si="28"/>
        <v>https://babel.hathitrust.org/cgi/pt?id=njp.32101060099841;view=1up;seq=224</v>
      </c>
      <c r="AA99" s="27" t="str">
        <f t="shared" si="28"/>
        <v>https://babel.hathitrust.org/cgi/pt?id=njp.32101060099833;view=1up;seq=584</v>
      </c>
      <c r="AB99" s="27"/>
      <c r="AC99" s="27"/>
      <c r="AD99" s="27"/>
    </row>
    <row r="100" spans="1:30" x14ac:dyDescent="0.25">
      <c r="A100" s="27" t="s">
        <v>980</v>
      </c>
      <c r="B100" s="27" t="str">
        <f t="shared" si="17"/>
        <v>Kentucky</v>
      </c>
      <c r="C100" s="27" t="str">
        <f t="shared" si="18"/>
        <v>Powell</v>
      </c>
      <c r="D100" s="96">
        <f>872+49+166+114</f>
        <v>1201</v>
      </c>
      <c r="E100" s="41">
        <f>33+3+1+0</f>
        <v>37</v>
      </c>
      <c r="F100" s="41">
        <v>8</v>
      </c>
      <c r="G100" s="7">
        <f t="shared" si="20"/>
        <v>160</v>
      </c>
      <c r="H100" s="41">
        <f>1582+70+169+107+18</f>
        <v>1946</v>
      </c>
      <c r="I100" s="27"/>
      <c r="J100" s="27">
        <f>16486.74+2625+1480</f>
        <v>20591.740000000002</v>
      </c>
      <c r="K100" s="115">
        <f t="shared" si="29"/>
        <v>69.566689189189191</v>
      </c>
      <c r="L100" s="2">
        <f>21530.73+2923.7+11512.46</f>
        <v>35966.89</v>
      </c>
      <c r="M100" s="27">
        <f>29+1+1</f>
        <v>31</v>
      </c>
      <c r="N100" s="27">
        <v>40000</v>
      </c>
      <c r="O100" s="27">
        <v>3000</v>
      </c>
      <c r="P100" s="29">
        <f t="shared" si="21"/>
        <v>43000</v>
      </c>
      <c r="Q100" s="41">
        <v>1922</v>
      </c>
      <c r="R100" s="27"/>
      <c r="S100" s="27" t="str">
        <f t="shared" ref="S100:T115" si="30">S99</f>
        <v>https://babel.hathitrust.org/cgi/pt?id=njp.32101060099841;view=1up;seq=242</v>
      </c>
      <c r="T100" s="27" t="str">
        <f t="shared" si="30"/>
        <v>https://babel.hathitrust.org/cgi/pt?id=njp.32101060099841;view=1up;seq=180</v>
      </c>
      <c r="U100" s="27" t="str">
        <f t="shared" si="22"/>
        <v>https://babel.hathitrust.org/cgi/pt?id=njp.32101060099841;view=1up;seq=224</v>
      </c>
      <c r="V100" s="27" t="str">
        <f t="shared" si="23"/>
        <v>https://babel.hathitrust.org/cgi/pt?id=njp.32101060099841;view=1up;seq=242</v>
      </c>
      <c r="W100" s="27" t="str">
        <f t="shared" si="25"/>
        <v>https://babel.hathitrust.org/cgi/pt?id=njp.32101060099841;view=1up;seq=150</v>
      </c>
      <c r="X100" s="27" t="str">
        <f t="shared" ref="X100:AA115" si="31">X99</f>
        <v>https://babel.hathitrust.org/cgi/pt?id=njp.32101060099841;view=1up;seq=274</v>
      </c>
      <c r="Y100" s="27" t="str">
        <f t="shared" si="31"/>
        <v>https://babel.hathitrust.org/cgi/pt?id=njp.32101060099841;view=1up;seq=275</v>
      </c>
      <c r="Z100" s="27" t="str">
        <f t="shared" si="31"/>
        <v>https://babel.hathitrust.org/cgi/pt?id=njp.32101060099841;view=1up;seq=224</v>
      </c>
      <c r="AA100" s="27" t="str">
        <f t="shared" si="31"/>
        <v>https://babel.hathitrust.org/cgi/pt?id=njp.32101060099833;view=1up;seq=584</v>
      </c>
      <c r="AB100" s="27"/>
      <c r="AC100" s="27"/>
      <c r="AD100" s="27"/>
    </row>
    <row r="101" spans="1:30" x14ac:dyDescent="0.25">
      <c r="A101" s="27" t="s">
        <v>981</v>
      </c>
      <c r="B101" s="27" t="str">
        <f t="shared" si="17"/>
        <v>Kentucky</v>
      </c>
      <c r="C101" s="27" t="str">
        <f t="shared" si="18"/>
        <v>Pulaski</v>
      </c>
      <c r="D101" s="96">
        <f>5299+63+1230+134+208+132+182+122+169</f>
        <v>7539</v>
      </c>
      <c r="E101" s="41">
        <f>161+29+6+3+4+3+3+0+0+3+2+2+1+2+14+1</f>
        <v>234</v>
      </c>
      <c r="F101" s="41">
        <v>9</v>
      </c>
      <c r="G101" s="7">
        <f t="shared" si="20"/>
        <v>180</v>
      </c>
      <c r="H101" s="41">
        <f>7681+77+1255+176+308+121+251+125+151+52+21+10+17+26+264+5</f>
        <v>10540</v>
      </c>
      <c r="I101" s="27"/>
      <c r="J101" s="27">
        <f>69564.59+34059.69+4971.12+2884+3870+2193.5+3514.73</f>
        <v>121057.62999999999</v>
      </c>
      <c r="K101" s="115">
        <f t="shared" si="29"/>
        <v>57.482255460588789</v>
      </c>
      <c r="L101" s="2">
        <f>92432.91+63533.8+6175.36+3260.06+5528.59+2517.48+4124.01</f>
        <v>177572.21000000002</v>
      </c>
      <c r="M101" s="27">
        <f>121+19+4+1+1+1+1+1</f>
        <v>149</v>
      </c>
      <c r="N101" s="27">
        <v>168000</v>
      </c>
      <c r="O101" s="27">
        <v>52000</v>
      </c>
      <c r="P101" s="29">
        <f t="shared" si="21"/>
        <v>220000</v>
      </c>
      <c r="Q101" s="41">
        <v>1922</v>
      </c>
      <c r="R101" s="27"/>
      <c r="S101" s="27" t="str">
        <f t="shared" si="30"/>
        <v>https://babel.hathitrust.org/cgi/pt?id=njp.32101060099841;view=1up;seq=242</v>
      </c>
      <c r="T101" s="27" t="str">
        <f t="shared" si="30"/>
        <v>https://babel.hathitrust.org/cgi/pt?id=njp.32101060099841;view=1up;seq=180</v>
      </c>
      <c r="U101" s="27" t="str">
        <f t="shared" si="22"/>
        <v>https://babel.hathitrust.org/cgi/pt?id=njp.32101060099841;view=1up;seq=224</v>
      </c>
      <c r="V101" s="27" t="str">
        <f t="shared" si="23"/>
        <v>https://babel.hathitrust.org/cgi/pt?id=njp.32101060099841;view=1up;seq=242</v>
      </c>
      <c r="W101" s="27" t="str">
        <f t="shared" si="25"/>
        <v>https://babel.hathitrust.org/cgi/pt?id=njp.32101060099841;view=1up;seq=150</v>
      </c>
      <c r="X101" s="27" t="str">
        <f t="shared" si="31"/>
        <v>https://babel.hathitrust.org/cgi/pt?id=njp.32101060099841;view=1up;seq=274</v>
      </c>
      <c r="Y101" s="27" t="str">
        <f t="shared" si="31"/>
        <v>https://babel.hathitrust.org/cgi/pt?id=njp.32101060099841;view=1up;seq=275</v>
      </c>
      <c r="Z101" s="27" t="str">
        <f t="shared" si="31"/>
        <v>https://babel.hathitrust.org/cgi/pt?id=njp.32101060099841;view=1up;seq=224</v>
      </c>
      <c r="AA101" s="27" t="str">
        <f t="shared" si="31"/>
        <v>https://babel.hathitrust.org/cgi/pt?id=njp.32101060099833;view=1up;seq=584</v>
      </c>
      <c r="AB101" s="27"/>
      <c r="AC101" s="27"/>
      <c r="AD101" s="27"/>
    </row>
    <row r="102" spans="1:30" x14ac:dyDescent="0.25">
      <c r="A102" s="27" t="s">
        <v>982</v>
      </c>
      <c r="B102" s="27" t="str">
        <f t="shared" si="17"/>
        <v>Kentucky</v>
      </c>
      <c r="C102" s="27" t="str">
        <f t="shared" si="18"/>
        <v>Robertson</v>
      </c>
      <c r="D102" s="96"/>
      <c r="E102" s="41">
        <f>23+0+2</f>
        <v>25</v>
      </c>
      <c r="F102" s="41">
        <v>7</v>
      </c>
      <c r="G102" s="7">
        <f t="shared" si="20"/>
        <v>140</v>
      </c>
      <c r="H102" s="41">
        <f>732+15+58</f>
        <v>805</v>
      </c>
      <c r="I102" s="27"/>
      <c r="J102" s="27">
        <v>13235.37</v>
      </c>
      <c r="K102" s="115">
        <f t="shared" si="29"/>
        <v>75.630685714285718</v>
      </c>
      <c r="L102" s="2">
        <v>22322.87</v>
      </c>
      <c r="M102" s="27">
        <f>19+1</f>
        <v>20</v>
      </c>
      <c r="N102" s="27">
        <v>15575</v>
      </c>
      <c r="O102" s="27">
        <v>2000</v>
      </c>
      <c r="P102" s="29">
        <f t="shared" si="21"/>
        <v>17575</v>
      </c>
      <c r="Q102" s="41">
        <v>1922</v>
      </c>
      <c r="R102" s="27"/>
      <c r="S102" s="27" t="str">
        <f t="shared" si="30"/>
        <v>https://babel.hathitrust.org/cgi/pt?id=njp.32101060099841;view=1up;seq=242</v>
      </c>
      <c r="T102" s="27" t="str">
        <f t="shared" si="30"/>
        <v>https://babel.hathitrust.org/cgi/pt?id=njp.32101060099841;view=1up;seq=180</v>
      </c>
      <c r="U102" s="27" t="str">
        <f t="shared" si="22"/>
        <v>https://babel.hathitrust.org/cgi/pt?id=njp.32101060099841;view=1up;seq=224</v>
      </c>
      <c r="V102" s="27" t="str">
        <f t="shared" si="23"/>
        <v>https://babel.hathitrust.org/cgi/pt?id=njp.32101060099841;view=1up;seq=242</v>
      </c>
      <c r="W102" s="27" t="str">
        <f t="shared" si="25"/>
        <v>https://babel.hathitrust.org/cgi/pt?id=njp.32101060099841;view=1up;seq=150</v>
      </c>
      <c r="X102" s="27" t="str">
        <f t="shared" si="31"/>
        <v>https://babel.hathitrust.org/cgi/pt?id=njp.32101060099841;view=1up;seq=274</v>
      </c>
      <c r="Y102" s="27" t="str">
        <f t="shared" si="31"/>
        <v>https://babel.hathitrust.org/cgi/pt?id=njp.32101060099841;view=1up;seq=275</v>
      </c>
      <c r="Z102" s="27" t="str">
        <f t="shared" si="31"/>
        <v>https://babel.hathitrust.org/cgi/pt?id=njp.32101060099841;view=1up;seq=224</v>
      </c>
      <c r="AA102" s="27" t="str">
        <f t="shared" si="31"/>
        <v>https://babel.hathitrust.org/cgi/pt?id=njp.32101060099833;view=1up;seq=584</v>
      </c>
      <c r="AB102" s="27"/>
      <c r="AC102" s="27"/>
      <c r="AD102" s="27"/>
    </row>
    <row r="103" spans="1:30" x14ac:dyDescent="0.25">
      <c r="A103" s="27" t="s">
        <v>983</v>
      </c>
      <c r="B103" s="27" t="str">
        <f t="shared" si="17"/>
        <v>Kentucky</v>
      </c>
      <c r="C103" s="27" t="str">
        <f t="shared" si="18"/>
        <v>Rockcastle</v>
      </c>
      <c r="D103" s="96">
        <f>1463+15+217+170+333</f>
        <v>2198</v>
      </c>
      <c r="E103" s="41">
        <f>78+4+3+7+0+2+3</f>
        <v>97</v>
      </c>
      <c r="F103" s="41">
        <v>8.3000000000000007</v>
      </c>
      <c r="G103" s="7">
        <f t="shared" si="20"/>
        <v>166</v>
      </c>
      <c r="H103" s="41">
        <f>4900+25+266+218+409+57+16+71</f>
        <v>5962</v>
      </c>
      <c r="I103" s="27"/>
      <c r="J103" s="27">
        <f>39000+4383.25+2947.5+7544.98</f>
        <v>53875.729999999996</v>
      </c>
      <c r="K103" s="115">
        <f t="shared" si="29"/>
        <v>66.918059868339327</v>
      </c>
      <c r="L103" s="2">
        <f>48696.04+5710.21+3527.06+9191.73</f>
        <v>67125.039999999994</v>
      </c>
      <c r="M103" s="27">
        <f>71+3+1+1+1</f>
        <v>77</v>
      </c>
      <c r="N103" s="27">
        <v>30300</v>
      </c>
      <c r="O103" s="27">
        <v>5050</v>
      </c>
      <c r="P103" s="29">
        <f t="shared" si="21"/>
        <v>35350</v>
      </c>
      <c r="Q103" s="41">
        <v>1922</v>
      </c>
      <c r="R103" s="27"/>
      <c r="S103" s="27" t="str">
        <f t="shared" si="30"/>
        <v>https://babel.hathitrust.org/cgi/pt?id=njp.32101060099841;view=1up;seq=242</v>
      </c>
      <c r="T103" s="27" t="str">
        <f t="shared" si="30"/>
        <v>https://babel.hathitrust.org/cgi/pt?id=njp.32101060099841;view=1up;seq=180</v>
      </c>
      <c r="U103" s="27" t="str">
        <f t="shared" si="22"/>
        <v>https://babel.hathitrust.org/cgi/pt?id=njp.32101060099841;view=1up;seq=224</v>
      </c>
      <c r="V103" s="27" t="str">
        <f t="shared" si="23"/>
        <v>https://babel.hathitrust.org/cgi/pt?id=njp.32101060099841;view=1up;seq=242</v>
      </c>
      <c r="W103" s="27" t="str">
        <f t="shared" si="25"/>
        <v>https://babel.hathitrust.org/cgi/pt?id=njp.32101060099841;view=1up;seq=150</v>
      </c>
      <c r="X103" s="27" t="str">
        <f t="shared" si="31"/>
        <v>https://babel.hathitrust.org/cgi/pt?id=njp.32101060099841;view=1up;seq=274</v>
      </c>
      <c r="Y103" s="27" t="str">
        <f t="shared" si="31"/>
        <v>https://babel.hathitrust.org/cgi/pt?id=njp.32101060099841;view=1up;seq=275</v>
      </c>
      <c r="Z103" s="27" t="str">
        <f t="shared" si="31"/>
        <v>https://babel.hathitrust.org/cgi/pt?id=njp.32101060099841;view=1up;seq=224</v>
      </c>
      <c r="AA103" s="27" t="str">
        <f t="shared" si="31"/>
        <v>https://babel.hathitrust.org/cgi/pt?id=njp.32101060099833;view=1up;seq=584</v>
      </c>
      <c r="AB103" s="27"/>
      <c r="AC103" s="27"/>
      <c r="AD103" s="27"/>
    </row>
    <row r="104" spans="1:30" x14ac:dyDescent="0.25">
      <c r="A104" s="27" t="s">
        <v>984</v>
      </c>
      <c r="B104" s="27" t="str">
        <f t="shared" si="17"/>
        <v>Kentucky</v>
      </c>
      <c r="C104" s="27" t="str">
        <f t="shared" si="18"/>
        <v>Rowan</v>
      </c>
      <c r="D104" s="96">
        <v>2320</v>
      </c>
      <c r="E104" s="41">
        <f>59+0+1</f>
        <v>60</v>
      </c>
      <c r="F104" s="41">
        <v>7</v>
      </c>
      <c r="G104" s="7">
        <f t="shared" si="20"/>
        <v>140</v>
      </c>
      <c r="H104" s="41">
        <f>3333+6+58</f>
        <v>3397</v>
      </c>
      <c r="I104" s="27"/>
      <c r="J104" s="27">
        <v>25891.99</v>
      </c>
      <c r="K104" s="115">
        <f t="shared" si="29"/>
        <v>61.647595238095242</v>
      </c>
      <c r="L104" s="2">
        <v>35197.58</v>
      </c>
      <c r="M104" s="27">
        <f>48+4</f>
        <v>52</v>
      </c>
      <c r="N104" s="27">
        <v>30550</v>
      </c>
      <c r="O104" s="27">
        <v>2550</v>
      </c>
      <c r="P104" s="29">
        <f t="shared" si="21"/>
        <v>33100</v>
      </c>
      <c r="Q104" s="41">
        <v>1922</v>
      </c>
      <c r="R104" s="27"/>
      <c r="S104" s="27" t="str">
        <f t="shared" si="30"/>
        <v>https://babel.hathitrust.org/cgi/pt?id=njp.32101060099841;view=1up;seq=242</v>
      </c>
      <c r="T104" s="27" t="str">
        <f t="shared" si="30"/>
        <v>https://babel.hathitrust.org/cgi/pt?id=njp.32101060099841;view=1up;seq=180</v>
      </c>
      <c r="U104" s="27" t="str">
        <f t="shared" si="22"/>
        <v>https://babel.hathitrust.org/cgi/pt?id=njp.32101060099841;view=1up;seq=224</v>
      </c>
      <c r="V104" s="27" t="str">
        <f t="shared" si="23"/>
        <v>https://babel.hathitrust.org/cgi/pt?id=njp.32101060099841;view=1up;seq=242</v>
      </c>
      <c r="W104" s="27" t="str">
        <f t="shared" si="25"/>
        <v>https://babel.hathitrust.org/cgi/pt?id=njp.32101060099841;view=1up;seq=150</v>
      </c>
      <c r="X104" s="27" t="str">
        <f t="shared" si="31"/>
        <v>https://babel.hathitrust.org/cgi/pt?id=njp.32101060099841;view=1up;seq=274</v>
      </c>
      <c r="Y104" s="27" t="str">
        <f t="shared" si="31"/>
        <v>https://babel.hathitrust.org/cgi/pt?id=njp.32101060099841;view=1up;seq=275</v>
      </c>
      <c r="Z104" s="27" t="str">
        <f t="shared" si="31"/>
        <v>https://babel.hathitrust.org/cgi/pt?id=njp.32101060099841;view=1up;seq=224</v>
      </c>
      <c r="AA104" s="27" t="str">
        <f t="shared" si="31"/>
        <v>https://babel.hathitrust.org/cgi/pt?id=njp.32101060099833;view=1up;seq=584</v>
      </c>
      <c r="AB104" s="27"/>
      <c r="AC104" s="27"/>
      <c r="AD104" s="27"/>
    </row>
    <row r="105" spans="1:30" x14ac:dyDescent="0.25">
      <c r="A105" s="27" t="s">
        <v>985</v>
      </c>
      <c r="B105" s="27" t="str">
        <f t="shared" si="17"/>
        <v>Kentucky</v>
      </c>
      <c r="C105" s="27" t="str">
        <f t="shared" si="18"/>
        <v>Russell</v>
      </c>
      <c r="D105" s="96">
        <f>2006+43+191+224</f>
        <v>2464</v>
      </c>
      <c r="E105" s="41">
        <f>65+3+3+0+2+2</f>
        <v>75</v>
      </c>
      <c r="F105" s="41">
        <v>8.3000000000000007</v>
      </c>
      <c r="G105" s="7">
        <f t="shared" si="20"/>
        <v>166</v>
      </c>
      <c r="H105" s="41">
        <f>2944+79+141+143+52+92</f>
        <v>3451</v>
      </c>
      <c r="I105" s="27"/>
      <c r="J105" s="27">
        <f>26784.75+2245+4545</f>
        <v>33574.75</v>
      </c>
      <c r="K105" s="115">
        <f t="shared" si="29"/>
        <v>53.935341365461845</v>
      </c>
      <c r="L105" s="2">
        <f>44005.54+11685.77+10343.25</f>
        <v>66034.559999999998</v>
      </c>
      <c r="M105" s="27">
        <f>63+2+1+1</f>
        <v>67</v>
      </c>
      <c r="N105" s="27">
        <v>41500</v>
      </c>
      <c r="O105" s="27">
        <v>6350</v>
      </c>
      <c r="P105" s="29">
        <f t="shared" si="21"/>
        <v>47850</v>
      </c>
      <c r="Q105" s="41">
        <v>1922</v>
      </c>
      <c r="R105" s="27"/>
      <c r="S105" s="27" t="str">
        <f t="shared" si="30"/>
        <v>https://babel.hathitrust.org/cgi/pt?id=njp.32101060099841;view=1up;seq=242</v>
      </c>
      <c r="T105" s="27" t="str">
        <f t="shared" si="30"/>
        <v>https://babel.hathitrust.org/cgi/pt?id=njp.32101060099841;view=1up;seq=180</v>
      </c>
      <c r="U105" s="27" t="str">
        <f t="shared" si="22"/>
        <v>https://babel.hathitrust.org/cgi/pt?id=njp.32101060099841;view=1up;seq=224</v>
      </c>
      <c r="V105" s="27" t="str">
        <f t="shared" si="23"/>
        <v>https://babel.hathitrust.org/cgi/pt?id=njp.32101060099841;view=1up;seq=242</v>
      </c>
      <c r="W105" s="27" t="str">
        <f t="shared" si="25"/>
        <v>https://babel.hathitrust.org/cgi/pt?id=njp.32101060099841;view=1up;seq=150</v>
      </c>
      <c r="X105" s="27" t="str">
        <f t="shared" si="31"/>
        <v>https://babel.hathitrust.org/cgi/pt?id=njp.32101060099841;view=1up;seq=274</v>
      </c>
      <c r="Y105" s="27" t="str">
        <f t="shared" si="31"/>
        <v>https://babel.hathitrust.org/cgi/pt?id=njp.32101060099841;view=1up;seq=275</v>
      </c>
      <c r="Z105" s="27" t="str">
        <f t="shared" si="31"/>
        <v>https://babel.hathitrust.org/cgi/pt?id=njp.32101060099841;view=1up;seq=224</v>
      </c>
      <c r="AA105" s="27" t="str">
        <f t="shared" si="31"/>
        <v>https://babel.hathitrust.org/cgi/pt?id=njp.32101060099833;view=1up;seq=584</v>
      </c>
      <c r="AB105" s="27"/>
      <c r="AC105" s="27"/>
      <c r="AD105" s="27"/>
    </row>
    <row r="106" spans="1:30" x14ac:dyDescent="0.25">
      <c r="A106" s="27" t="s">
        <v>986</v>
      </c>
      <c r="B106" s="27" t="str">
        <f t="shared" si="17"/>
        <v>Kentucky</v>
      </c>
      <c r="C106" s="27" t="str">
        <f t="shared" si="18"/>
        <v>Scott</v>
      </c>
      <c r="D106" s="96">
        <f>1403+215+507+238+108</f>
        <v>2471</v>
      </c>
      <c r="E106" s="41">
        <f>42+10+3+0+0+7+1+1+1+2+3+3</f>
        <v>73</v>
      </c>
      <c r="F106" s="41">
        <v>9.3000000000000007</v>
      </c>
      <c r="G106" s="7">
        <f t="shared" si="20"/>
        <v>186</v>
      </c>
      <c r="H106" s="41">
        <f>1557+260+471+258+119+167+25+17+22+33+68+40</f>
        <v>3037</v>
      </c>
      <c r="I106" s="27"/>
      <c r="J106" s="27">
        <f>53468.54+26839.5+5893.16</f>
        <v>86201.200000000012</v>
      </c>
      <c r="K106" s="115">
        <f t="shared" si="29"/>
        <v>126.9718662542348</v>
      </c>
      <c r="L106" s="2">
        <f>98903.56+32760.29+6526.18</f>
        <v>138190.03</v>
      </c>
      <c r="M106" s="27">
        <f>35+7+2+1</f>
        <v>45</v>
      </c>
      <c r="N106" s="27">
        <v>43000</v>
      </c>
      <c r="O106" s="27">
        <v>4500</v>
      </c>
      <c r="P106" s="29">
        <f t="shared" si="21"/>
        <v>47500</v>
      </c>
      <c r="Q106" s="41">
        <v>1922</v>
      </c>
      <c r="R106" s="27"/>
      <c r="S106" s="27" t="str">
        <f t="shared" si="30"/>
        <v>https://babel.hathitrust.org/cgi/pt?id=njp.32101060099841;view=1up;seq=242</v>
      </c>
      <c r="T106" s="27" t="str">
        <f t="shared" si="30"/>
        <v>https://babel.hathitrust.org/cgi/pt?id=njp.32101060099841;view=1up;seq=180</v>
      </c>
      <c r="U106" s="27" t="str">
        <f t="shared" si="22"/>
        <v>https://babel.hathitrust.org/cgi/pt?id=njp.32101060099841;view=1up;seq=224</v>
      </c>
      <c r="V106" s="27" t="str">
        <f t="shared" si="23"/>
        <v>https://babel.hathitrust.org/cgi/pt?id=njp.32101060099841;view=1up;seq=242</v>
      </c>
      <c r="W106" s="27" t="str">
        <f t="shared" si="25"/>
        <v>https://babel.hathitrust.org/cgi/pt?id=njp.32101060099841;view=1up;seq=150</v>
      </c>
      <c r="X106" s="27" t="str">
        <f t="shared" si="31"/>
        <v>https://babel.hathitrust.org/cgi/pt?id=njp.32101060099841;view=1up;seq=274</v>
      </c>
      <c r="Y106" s="27" t="str">
        <f t="shared" si="31"/>
        <v>https://babel.hathitrust.org/cgi/pt?id=njp.32101060099841;view=1up;seq=275</v>
      </c>
      <c r="Z106" s="27" t="str">
        <f t="shared" si="31"/>
        <v>https://babel.hathitrust.org/cgi/pt?id=njp.32101060099841;view=1up;seq=224</v>
      </c>
      <c r="AA106" s="27" t="str">
        <f t="shared" si="31"/>
        <v>https://babel.hathitrust.org/cgi/pt?id=njp.32101060099833;view=1up;seq=584</v>
      </c>
      <c r="AB106" s="27"/>
      <c r="AC106" s="27"/>
      <c r="AD106" s="27"/>
    </row>
    <row r="107" spans="1:30" x14ac:dyDescent="0.25">
      <c r="A107" s="27" t="s">
        <v>987</v>
      </c>
      <c r="B107" s="27" t="str">
        <f t="shared" si="17"/>
        <v>Kentucky</v>
      </c>
      <c r="C107" s="27" t="str">
        <f t="shared" si="18"/>
        <v>Shelby</v>
      </c>
      <c r="D107" s="96">
        <f>1729+252+624+206</f>
        <v>2811</v>
      </c>
      <c r="E107" s="41">
        <f>72+17+4+0+5+2+2+1+8+4+2+4</f>
        <v>121</v>
      </c>
      <c r="F107" s="41">
        <v>9</v>
      </c>
      <c r="G107" s="7">
        <f t="shared" si="20"/>
        <v>180</v>
      </c>
      <c r="H107" s="41">
        <f>2083+307+614+256+39+23+27+16+143+53+48+21</f>
        <v>3630</v>
      </c>
      <c r="I107" s="27"/>
      <c r="J107" s="27">
        <f>61177.53+30041.35+2979.89</f>
        <v>94198.77</v>
      </c>
      <c r="K107" s="115">
        <f t="shared" si="29"/>
        <v>86.500247933884296</v>
      </c>
      <c r="L107" s="2">
        <f>105158.51+35681.03+4002.44</f>
        <v>144841.97999999998</v>
      </c>
      <c r="M107" s="27">
        <f>24+8+1+1</f>
        <v>34</v>
      </c>
      <c r="N107" s="27">
        <v>160000</v>
      </c>
      <c r="O107" s="27">
        <v>10000</v>
      </c>
      <c r="P107" s="29">
        <f t="shared" si="21"/>
        <v>170000</v>
      </c>
      <c r="Q107" s="41">
        <v>1922</v>
      </c>
      <c r="R107" s="27"/>
      <c r="S107" s="27" t="str">
        <f t="shared" si="30"/>
        <v>https://babel.hathitrust.org/cgi/pt?id=njp.32101060099841;view=1up;seq=242</v>
      </c>
      <c r="T107" s="27" t="str">
        <f t="shared" si="30"/>
        <v>https://babel.hathitrust.org/cgi/pt?id=njp.32101060099841;view=1up;seq=180</v>
      </c>
      <c r="U107" s="27" t="str">
        <f t="shared" si="22"/>
        <v>https://babel.hathitrust.org/cgi/pt?id=njp.32101060099841;view=1up;seq=224</v>
      </c>
      <c r="V107" s="27" t="str">
        <f t="shared" si="23"/>
        <v>https://babel.hathitrust.org/cgi/pt?id=njp.32101060099841;view=1up;seq=242</v>
      </c>
      <c r="W107" s="27" t="str">
        <f t="shared" si="25"/>
        <v>https://babel.hathitrust.org/cgi/pt?id=njp.32101060099841;view=1up;seq=150</v>
      </c>
      <c r="X107" s="27" t="str">
        <f t="shared" si="31"/>
        <v>https://babel.hathitrust.org/cgi/pt?id=njp.32101060099841;view=1up;seq=274</v>
      </c>
      <c r="Y107" s="27" t="str">
        <f t="shared" si="31"/>
        <v>https://babel.hathitrust.org/cgi/pt?id=njp.32101060099841;view=1up;seq=275</v>
      </c>
      <c r="Z107" s="27" t="str">
        <f t="shared" si="31"/>
        <v>https://babel.hathitrust.org/cgi/pt?id=njp.32101060099841;view=1up;seq=224</v>
      </c>
      <c r="AA107" s="27" t="str">
        <f t="shared" si="31"/>
        <v>https://babel.hathitrust.org/cgi/pt?id=njp.32101060099833;view=1up;seq=584</v>
      </c>
      <c r="AB107" s="27"/>
      <c r="AC107" s="27"/>
      <c r="AD107" s="27"/>
    </row>
    <row r="108" spans="1:30" x14ac:dyDescent="0.25">
      <c r="A108" s="27" t="s">
        <v>988</v>
      </c>
      <c r="B108" s="27" t="str">
        <f t="shared" si="17"/>
        <v>Kentucky</v>
      </c>
      <c r="C108" s="27" t="str">
        <f t="shared" si="18"/>
        <v>Simpson</v>
      </c>
      <c r="D108" s="96">
        <f>961+247+443+0</f>
        <v>1651</v>
      </c>
      <c r="E108" s="41">
        <f>43+9+4+0+2+6+1+3+1</f>
        <v>69</v>
      </c>
      <c r="F108" s="41">
        <v>8</v>
      </c>
      <c r="G108" s="7">
        <f t="shared" si="20"/>
        <v>160</v>
      </c>
      <c r="H108" s="41">
        <f>1532+284+457+185+18+137+7+34+6</f>
        <v>2660</v>
      </c>
      <c r="I108" s="27"/>
      <c r="J108" s="27">
        <f>28662.75+13012.19+2720</f>
        <v>44394.94</v>
      </c>
      <c r="K108" s="115">
        <f t="shared" si="29"/>
        <v>80.425615942028983</v>
      </c>
      <c r="L108" s="2">
        <f>41742.07+23190.8+3547.28</f>
        <v>68480.149999999994</v>
      </c>
      <c r="M108" s="27">
        <f>38+5+1+1</f>
        <v>45</v>
      </c>
      <c r="N108" s="27">
        <v>30700</v>
      </c>
      <c r="O108" s="27">
        <v>4065</v>
      </c>
      <c r="P108" s="29">
        <f t="shared" si="21"/>
        <v>34765</v>
      </c>
      <c r="Q108" s="41">
        <v>1922</v>
      </c>
      <c r="R108" s="27"/>
      <c r="S108" s="27" t="str">
        <f t="shared" si="30"/>
        <v>https://babel.hathitrust.org/cgi/pt?id=njp.32101060099841;view=1up;seq=242</v>
      </c>
      <c r="T108" s="27" t="str">
        <f t="shared" si="30"/>
        <v>https://babel.hathitrust.org/cgi/pt?id=njp.32101060099841;view=1up;seq=180</v>
      </c>
      <c r="U108" s="27" t="str">
        <f t="shared" si="22"/>
        <v>https://babel.hathitrust.org/cgi/pt?id=njp.32101060099841;view=1up;seq=224</v>
      </c>
      <c r="V108" s="27" t="str">
        <f t="shared" si="23"/>
        <v>https://babel.hathitrust.org/cgi/pt?id=njp.32101060099841;view=1up;seq=242</v>
      </c>
      <c r="W108" s="27" t="str">
        <f t="shared" si="25"/>
        <v>https://babel.hathitrust.org/cgi/pt?id=njp.32101060099841;view=1up;seq=150</v>
      </c>
      <c r="X108" s="27" t="str">
        <f t="shared" si="31"/>
        <v>https://babel.hathitrust.org/cgi/pt?id=njp.32101060099841;view=1up;seq=274</v>
      </c>
      <c r="Y108" s="27" t="str">
        <f t="shared" si="31"/>
        <v>https://babel.hathitrust.org/cgi/pt?id=njp.32101060099841;view=1up;seq=275</v>
      </c>
      <c r="Z108" s="27" t="str">
        <f t="shared" si="31"/>
        <v>https://babel.hathitrust.org/cgi/pt?id=njp.32101060099841;view=1up;seq=224</v>
      </c>
      <c r="AA108" s="27" t="str">
        <f t="shared" si="31"/>
        <v>https://babel.hathitrust.org/cgi/pt?id=njp.32101060099833;view=1up;seq=584</v>
      </c>
      <c r="AB108" s="27"/>
      <c r="AC108" s="27"/>
      <c r="AD108" s="27"/>
    </row>
    <row r="109" spans="1:30" x14ac:dyDescent="0.25">
      <c r="A109" s="27" t="s">
        <v>989</v>
      </c>
      <c r="B109" s="27" t="str">
        <f t="shared" si="17"/>
        <v>Kentucky</v>
      </c>
      <c r="C109" s="27" t="str">
        <f t="shared" si="18"/>
        <v>Spencer</v>
      </c>
      <c r="D109" s="96">
        <f>890+124+97+258</f>
        <v>1369</v>
      </c>
      <c r="E109" s="41">
        <f>43+3+6+0+1+3</f>
        <v>56</v>
      </c>
      <c r="F109" s="41">
        <v>8</v>
      </c>
      <c r="G109" s="7">
        <f t="shared" si="20"/>
        <v>160</v>
      </c>
      <c r="H109" s="41">
        <f>1290+172+114+254+17+90</f>
        <v>1937</v>
      </c>
      <c r="I109" s="27"/>
      <c r="J109" s="27">
        <f>18267.49+2452.5+9109.94</f>
        <v>29829.93</v>
      </c>
      <c r="K109" s="115">
        <f t="shared" si="29"/>
        <v>66.584665178571427</v>
      </c>
      <c r="L109" s="2">
        <f>32893.34+5319.39+11624.65</f>
        <v>49837.38</v>
      </c>
      <c r="M109" s="27">
        <f>33+1+1+1</f>
        <v>36</v>
      </c>
      <c r="N109" s="27">
        <v>37725</v>
      </c>
      <c r="O109" s="27">
        <v>4562</v>
      </c>
      <c r="P109" s="29">
        <f t="shared" si="21"/>
        <v>42287</v>
      </c>
      <c r="Q109" s="41">
        <v>1922</v>
      </c>
      <c r="R109" s="27"/>
      <c r="S109" s="27" t="str">
        <f t="shared" si="30"/>
        <v>https://babel.hathitrust.org/cgi/pt?id=njp.32101060099841;view=1up;seq=242</v>
      </c>
      <c r="T109" s="27" t="str">
        <f t="shared" si="30"/>
        <v>https://babel.hathitrust.org/cgi/pt?id=njp.32101060099841;view=1up;seq=180</v>
      </c>
      <c r="U109" s="27" t="str">
        <f t="shared" si="22"/>
        <v>https://babel.hathitrust.org/cgi/pt?id=njp.32101060099841;view=1up;seq=224</v>
      </c>
      <c r="V109" s="27" t="str">
        <f t="shared" si="23"/>
        <v>https://babel.hathitrust.org/cgi/pt?id=njp.32101060099841;view=1up;seq=242</v>
      </c>
      <c r="W109" s="27" t="str">
        <f t="shared" si="25"/>
        <v>https://babel.hathitrust.org/cgi/pt?id=njp.32101060099841;view=1up;seq=150</v>
      </c>
      <c r="X109" s="27" t="str">
        <f t="shared" si="31"/>
        <v>https://babel.hathitrust.org/cgi/pt?id=njp.32101060099841;view=1up;seq=274</v>
      </c>
      <c r="Y109" s="27" t="str">
        <f t="shared" si="31"/>
        <v>https://babel.hathitrust.org/cgi/pt?id=njp.32101060099841;view=1up;seq=275</v>
      </c>
      <c r="Z109" s="27" t="str">
        <f t="shared" si="31"/>
        <v>https://babel.hathitrust.org/cgi/pt?id=njp.32101060099841;view=1up;seq=224</v>
      </c>
      <c r="AA109" s="27" t="str">
        <f t="shared" si="31"/>
        <v>https://babel.hathitrust.org/cgi/pt?id=njp.32101060099833;view=1up;seq=584</v>
      </c>
      <c r="AB109" s="27"/>
      <c r="AC109" s="27"/>
      <c r="AD109" s="27"/>
    </row>
    <row r="110" spans="1:30" x14ac:dyDescent="0.25">
      <c r="A110" s="27" t="s">
        <v>990</v>
      </c>
      <c r="B110" s="27" t="str">
        <f t="shared" si="17"/>
        <v>Kentucky</v>
      </c>
      <c r="C110" s="27" t="str">
        <f t="shared" si="18"/>
        <v>Taylor</v>
      </c>
      <c r="D110" s="96">
        <f>1482+179+380</f>
        <v>2041</v>
      </c>
      <c r="E110" s="41">
        <f>67+8+0+1</f>
        <v>76</v>
      </c>
      <c r="F110" s="41">
        <v>8</v>
      </c>
      <c r="G110" s="7">
        <f t="shared" si="20"/>
        <v>160</v>
      </c>
      <c r="H110" s="41">
        <f>2234+317+395+128+10</f>
        <v>3084</v>
      </c>
      <c r="I110" s="27"/>
      <c r="J110" s="27">
        <f>26761.11+10656.22</f>
        <v>37417.33</v>
      </c>
      <c r="K110" s="115">
        <f t="shared" si="29"/>
        <v>61.541661184210533</v>
      </c>
      <c r="L110" s="2">
        <f>38270.61+14715.3</f>
        <v>52985.91</v>
      </c>
      <c r="M110" s="27">
        <f>61+2+1</f>
        <v>64</v>
      </c>
      <c r="N110" s="27">
        <v>47800</v>
      </c>
      <c r="O110" s="27">
        <v>6400</v>
      </c>
      <c r="P110" s="29">
        <f t="shared" si="21"/>
        <v>54200</v>
      </c>
      <c r="Q110" s="41">
        <v>1922</v>
      </c>
      <c r="R110" s="27"/>
      <c r="S110" s="27" t="str">
        <f t="shared" si="30"/>
        <v>https://babel.hathitrust.org/cgi/pt?id=njp.32101060099841;view=1up;seq=242</v>
      </c>
      <c r="T110" s="27" t="str">
        <f t="shared" si="30"/>
        <v>https://babel.hathitrust.org/cgi/pt?id=njp.32101060099841;view=1up;seq=180</v>
      </c>
      <c r="U110" s="27" t="str">
        <f t="shared" si="22"/>
        <v>https://babel.hathitrust.org/cgi/pt?id=njp.32101060099841;view=1up;seq=224</v>
      </c>
      <c r="V110" s="27" t="str">
        <f t="shared" si="23"/>
        <v>https://babel.hathitrust.org/cgi/pt?id=njp.32101060099841;view=1up;seq=242</v>
      </c>
      <c r="W110" s="27" t="str">
        <f t="shared" si="25"/>
        <v>https://babel.hathitrust.org/cgi/pt?id=njp.32101060099841;view=1up;seq=150</v>
      </c>
      <c r="X110" s="27" t="str">
        <f t="shared" si="31"/>
        <v>https://babel.hathitrust.org/cgi/pt?id=njp.32101060099841;view=1up;seq=274</v>
      </c>
      <c r="Y110" s="27" t="str">
        <f t="shared" si="31"/>
        <v>https://babel.hathitrust.org/cgi/pt?id=njp.32101060099841;view=1up;seq=275</v>
      </c>
      <c r="Z110" s="27" t="str">
        <f t="shared" si="31"/>
        <v>https://babel.hathitrust.org/cgi/pt?id=njp.32101060099841;view=1up;seq=224</v>
      </c>
      <c r="AA110" s="27" t="str">
        <f t="shared" si="31"/>
        <v>https://babel.hathitrust.org/cgi/pt?id=njp.32101060099833;view=1up;seq=584</v>
      </c>
      <c r="AB110" s="27"/>
      <c r="AC110" s="27"/>
      <c r="AD110" s="27"/>
    </row>
    <row r="111" spans="1:30" x14ac:dyDescent="0.25">
      <c r="A111" s="27" t="s">
        <v>991</v>
      </c>
      <c r="B111" s="27" t="str">
        <f t="shared" si="17"/>
        <v>Kentucky</v>
      </c>
      <c r="C111" s="27" t="str">
        <f t="shared" si="18"/>
        <v>Todd</v>
      </c>
      <c r="D111" s="96">
        <f>1008+551+205+98+162+170</f>
        <v>2194</v>
      </c>
      <c r="E111" s="41">
        <f>64+5+3+4+4+0+1+3+1+2+1+2</f>
        <v>90</v>
      </c>
      <c r="F111" s="41">
        <v>8.5</v>
      </c>
      <c r="G111" s="7">
        <f t="shared" si="20"/>
        <v>170</v>
      </c>
      <c r="H111" s="41">
        <f>1691+1152+235+119+185+143+27+69+8+47+29+45</f>
        <v>3750</v>
      </c>
      <c r="I111" s="27"/>
      <c r="J111" s="27">
        <f>33489+6330.03+2696.25+4725+5484.99</f>
        <v>52725.27</v>
      </c>
      <c r="K111" s="115">
        <f t="shared" si="29"/>
        <v>68.921921568627454</v>
      </c>
      <c r="L111" s="2">
        <f>40462.46+8327.17+3201.67+7520.7+9267.05</f>
        <v>68779.049999999988</v>
      </c>
      <c r="M111" s="27">
        <f>50+7+1+1+1+1</f>
        <v>61</v>
      </c>
      <c r="N111" s="27">
        <v>144400</v>
      </c>
      <c r="O111" s="27">
        <v>12640</v>
      </c>
      <c r="P111" s="29">
        <f t="shared" si="21"/>
        <v>157040</v>
      </c>
      <c r="Q111" s="41">
        <v>1922</v>
      </c>
      <c r="R111" s="27"/>
      <c r="S111" s="27" t="str">
        <f t="shared" si="30"/>
        <v>https://babel.hathitrust.org/cgi/pt?id=njp.32101060099841;view=1up;seq=242</v>
      </c>
      <c r="T111" s="27" t="str">
        <f t="shared" si="30"/>
        <v>https://babel.hathitrust.org/cgi/pt?id=njp.32101060099841;view=1up;seq=180</v>
      </c>
      <c r="U111" s="27" t="str">
        <f t="shared" si="22"/>
        <v>https://babel.hathitrust.org/cgi/pt?id=njp.32101060099841;view=1up;seq=224</v>
      </c>
      <c r="V111" s="27" t="str">
        <f t="shared" si="23"/>
        <v>https://babel.hathitrust.org/cgi/pt?id=njp.32101060099841;view=1up;seq=242</v>
      </c>
      <c r="W111" s="27" t="str">
        <f t="shared" si="25"/>
        <v>https://babel.hathitrust.org/cgi/pt?id=njp.32101060099841;view=1up;seq=150</v>
      </c>
      <c r="X111" s="27" t="str">
        <f t="shared" si="31"/>
        <v>https://babel.hathitrust.org/cgi/pt?id=njp.32101060099841;view=1up;seq=274</v>
      </c>
      <c r="Y111" s="27" t="str">
        <f t="shared" si="31"/>
        <v>https://babel.hathitrust.org/cgi/pt?id=njp.32101060099841;view=1up;seq=275</v>
      </c>
      <c r="Z111" s="27" t="str">
        <f t="shared" si="31"/>
        <v>https://babel.hathitrust.org/cgi/pt?id=njp.32101060099841;view=1up;seq=224</v>
      </c>
      <c r="AA111" s="27" t="str">
        <f t="shared" si="31"/>
        <v>https://babel.hathitrust.org/cgi/pt?id=njp.32101060099833;view=1up;seq=584</v>
      </c>
      <c r="AB111" s="27"/>
      <c r="AC111" s="27"/>
      <c r="AD111" s="27"/>
    </row>
    <row r="112" spans="1:30" x14ac:dyDescent="0.25">
      <c r="A112" s="27" t="s">
        <v>1795</v>
      </c>
      <c r="B112" s="27" t="str">
        <f t="shared" si="17"/>
        <v>Kentucky</v>
      </c>
      <c r="C112" s="27" t="str">
        <f t="shared" si="18"/>
        <v>Trigg</v>
      </c>
      <c r="D112" s="96">
        <f>1514+416+266+76+50</f>
        <v>2322</v>
      </c>
      <c r="E112" s="41">
        <f>71+4+2+2+2+0+4+2+2</f>
        <v>89</v>
      </c>
      <c r="F112" s="41">
        <v>8</v>
      </c>
      <c r="G112" s="7">
        <f t="shared" si="20"/>
        <v>160</v>
      </c>
      <c r="H112" s="41">
        <f>2638+835+202+54+96+78+111+26+11</f>
        <v>4051</v>
      </c>
      <c r="I112" s="27"/>
      <c r="J112" s="27">
        <f>36409.63+8740.4+1800+1050+1095</f>
        <v>49095.03</v>
      </c>
      <c r="K112" s="115">
        <f t="shared" si="29"/>
        <v>68.953693820224714</v>
      </c>
      <c r="L112" s="2">
        <f>47924.88+11719.86+2039.83+1304.72+123.8</f>
        <v>63113.090000000004</v>
      </c>
      <c r="M112" s="27">
        <f>66+2+1+1+1+1</f>
        <v>72</v>
      </c>
      <c r="N112" s="27">
        <v>74900</v>
      </c>
      <c r="O112" s="27">
        <v>27840</v>
      </c>
      <c r="P112" s="29">
        <f t="shared" si="21"/>
        <v>102740</v>
      </c>
      <c r="Q112" s="41">
        <v>1922</v>
      </c>
      <c r="R112" s="27"/>
      <c r="S112" s="27" t="str">
        <f t="shared" si="30"/>
        <v>https://babel.hathitrust.org/cgi/pt?id=njp.32101060099841;view=1up;seq=242</v>
      </c>
      <c r="T112" s="27" t="str">
        <f t="shared" si="30"/>
        <v>https://babel.hathitrust.org/cgi/pt?id=njp.32101060099841;view=1up;seq=180</v>
      </c>
      <c r="U112" s="27" t="str">
        <f t="shared" si="22"/>
        <v>https://babel.hathitrust.org/cgi/pt?id=njp.32101060099841;view=1up;seq=224</v>
      </c>
      <c r="V112" s="27" t="str">
        <f t="shared" si="23"/>
        <v>https://babel.hathitrust.org/cgi/pt?id=njp.32101060099841;view=1up;seq=242</v>
      </c>
      <c r="W112" s="27" t="str">
        <f t="shared" si="25"/>
        <v>https://babel.hathitrust.org/cgi/pt?id=njp.32101060099841;view=1up;seq=150</v>
      </c>
      <c r="X112" s="27" t="str">
        <f t="shared" si="31"/>
        <v>https://babel.hathitrust.org/cgi/pt?id=njp.32101060099841;view=1up;seq=274</v>
      </c>
      <c r="Y112" s="27" t="str">
        <f t="shared" si="31"/>
        <v>https://babel.hathitrust.org/cgi/pt?id=njp.32101060099841;view=1up;seq=275</v>
      </c>
      <c r="Z112" s="27" t="str">
        <f t="shared" si="31"/>
        <v>https://babel.hathitrust.org/cgi/pt?id=njp.32101060099841;view=1up;seq=224</v>
      </c>
      <c r="AA112" s="27" t="str">
        <f t="shared" si="31"/>
        <v>https://babel.hathitrust.org/cgi/pt?id=njp.32101060099833;view=1up;seq=584</v>
      </c>
      <c r="AB112" s="27"/>
      <c r="AC112" s="27"/>
      <c r="AD112" s="27"/>
    </row>
    <row r="113" spans="1:30" x14ac:dyDescent="0.25">
      <c r="A113" s="27" t="s">
        <v>992</v>
      </c>
      <c r="B113" s="27" t="str">
        <f t="shared" si="17"/>
        <v>Kentucky</v>
      </c>
      <c r="C113" s="27" t="str">
        <f t="shared" si="18"/>
        <v>Trimble</v>
      </c>
      <c r="D113" s="96">
        <f>913+100+120</f>
        <v>1133</v>
      </c>
      <c r="E113" s="41">
        <f>35+3+3+0+3+2</f>
        <v>46</v>
      </c>
      <c r="F113" s="41">
        <v>8</v>
      </c>
      <c r="G113" s="7">
        <f t="shared" si="20"/>
        <v>160</v>
      </c>
      <c r="H113" s="41">
        <f>1264+9+101+132+81+34</f>
        <v>1621</v>
      </c>
      <c r="I113" s="27"/>
      <c r="J113" s="27">
        <f>18226.61+2520+3156.67</f>
        <v>23903.279999999999</v>
      </c>
      <c r="K113" s="115">
        <f t="shared" si="29"/>
        <v>64.954565217391306</v>
      </c>
      <c r="L113" s="2">
        <f>26507.8+4359.88+5743.88</f>
        <v>36611.56</v>
      </c>
      <c r="M113" s="27">
        <f>31+1+1+1</f>
        <v>34</v>
      </c>
      <c r="N113" s="27">
        <v>28500</v>
      </c>
      <c r="O113" s="27">
        <v>5275</v>
      </c>
      <c r="P113" s="29">
        <f t="shared" si="21"/>
        <v>33775</v>
      </c>
      <c r="Q113" s="41">
        <v>1922</v>
      </c>
      <c r="R113" s="27"/>
      <c r="S113" s="27" t="str">
        <f t="shared" si="30"/>
        <v>https://babel.hathitrust.org/cgi/pt?id=njp.32101060099841;view=1up;seq=242</v>
      </c>
      <c r="T113" s="27" t="str">
        <f t="shared" si="30"/>
        <v>https://babel.hathitrust.org/cgi/pt?id=njp.32101060099841;view=1up;seq=180</v>
      </c>
      <c r="U113" s="27" t="str">
        <f t="shared" si="22"/>
        <v>https://babel.hathitrust.org/cgi/pt?id=njp.32101060099841;view=1up;seq=224</v>
      </c>
      <c r="V113" s="27" t="str">
        <f t="shared" si="23"/>
        <v>https://babel.hathitrust.org/cgi/pt?id=njp.32101060099841;view=1up;seq=242</v>
      </c>
      <c r="W113" s="27" t="str">
        <f t="shared" si="25"/>
        <v>https://babel.hathitrust.org/cgi/pt?id=njp.32101060099841;view=1up;seq=150</v>
      </c>
      <c r="X113" s="27" t="str">
        <f t="shared" si="31"/>
        <v>https://babel.hathitrust.org/cgi/pt?id=njp.32101060099841;view=1up;seq=274</v>
      </c>
      <c r="Y113" s="27" t="str">
        <f t="shared" si="31"/>
        <v>https://babel.hathitrust.org/cgi/pt?id=njp.32101060099841;view=1up;seq=275</v>
      </c>
      <c r="Z113" s="27" t="str">
        <f t="shared" si="31"/>
        <v>https://babel.hathitrust.org/cgi/pt?id=njp.32101060099841;view=1up;seq=224</v>
      </c>
      <c r="AA113" s="27" t="str">
        <f t="shared" si="31"/>
        <v>https://babel.hathitrust.org/cgi/pt?id=njp.32101060099833;view=1up;seq=584</v>
      </c>
      <c r="AB113" s="27"/>
      <c r="AC113" s="27"/>
      <c r="AD113" s="27"/>
    </row>
    <row r="114" spans="1:30" x14ac:dyDescent="0.25">
      <c r="A114" s="27" t="s">
        <v>993</v>
      </c>
      <c r="B114" s="27" t="str">
        <f t="shared" si="17"/>
        <v>Kentucky</v>
      </c>
      <c r="C114" s="27" t="str">
        <f t="shared" si="18"/>
        <v>Union</v>
      </c>
      <c r="D114" s="96">
        <f>1741+88+452+108+586+0+180</f>
        <v>3155</v>
      </c>
      <c r="E114" s="41">
        <f>71+13+10+5+0+0+2+2+1+6+2+6+2</f>
        <v>120</v>
      </c>
      <c r="F114" s="41">
        <v>8.5</v>
      </c>
      <c r="G114" s="7">
        <f t="shared" si="20"/>
        <v>170</v>
      </c>
      <c r="H114" s="41">
        <f>2421+227+405+157+397+231+52+31+9+147+23+175+36</f>
        <v>4311</v>
      </c>
      <c r="I114" s="27"/>
      <c r="J114" s="27">
        <f>56822.15+15248.79+12286.85+5480</f>
        <v>89837.790000000008</v>
      </c>
      <c r="K114" s="115">
        <f t="shared" si="29"/>
        <v>88.076264705882366</v>
      </c>
      <c r="L114" s="2">
        <f>83299.31+26091.27+31331.1+8396.13</f>
        <v>149117.81</v>
      </c>
      <c r="M114" s="27">
        <f>44+11+2+1+1</f>
        <v>59</v>
      </c>
      <c r="N114" s="27">
        <v>215000</v>
      </c>
      <c r="O114" s="27">
        <v>11000</v>
      </c>
      <c r="P114" s="29">
        <f t="shared" si="21"/>
        <v>226000</v>
      </c>
      <c r="Q114" s="41">
        <v>1922</v>
      </c>
      <c r="R114" s="27"/>
      <c r="S114" s="27" t="str">
        <f t="shared" si="30"/>
        <v>https://babel.hathitrust.org/cgi/pt?id=njp.32101060099841;view=1up;seq=242</v>
      </c>
      <c r="T114" s="27" t="str">
        <f t="shared" si="30"/>
        <v>https://babel.hathitrust.org/cgi/pt?id=njp.32101060099841;view=1up;seq=180</v>
      </c>
      <c r="U114" s="27" t="str">
        <f t="shared" si="22"/>
        <v>https://babel.hathitrust.org/cgi/pt?id=njp.32101060099841;view=1up;seq=224</v>
      </c>
      <c r="V114" s="27" t="str">
        <f t="shared" si="23"/>
        <v>https://babel.hathitrust.org/cgi/pt?id=njp.32101060099841;view=1up;seq=242</v>
      </c>
      <c r="W114" s="27" t="str">
        <f t="shared" si="25"/>
        <v>https://babel.hathitrust.org/cgi/pt?id=njp.32101060099841;view=1up;seq=150</v>
      </c>
      <c r="X114" s="27" t="str">
        <f t="shared" si="31"/>
        <v>https://babel.hathitrust.org/cgi/pt?id=njp.32101060099841;view=1up;seq=274</v>
      </c>
      <c r="Y114" s="27" t="str">
        <f t="shared" si="31"/>
        <v>https://babel.hathitrust.org/cgi/pt?id=njp.32101060099841;view=1up;seq=275</v>
      </c>
      <c r="Z114" s="27" t="str">
        <f t="shared" si="31"/>
        <v>https://babel.hathitrust.org/cgi/pt?id=njp.32101060099841;view=1up;seq=224</v>
      </c>
      <c r="AA114" s="27" t="str">
        <f t="shared" si="31"/>
        <v>https://babel.hathitrust.org/cgi/pt?id=njp.32101060099833;view=1up;seq=584</v>
      </c>
      <c r="AB114" s="27"/>
      <c r="AC114" s="27"/>
      <c r="AD114" s="27"/>
    </row>
    <row r="115" spans="1:30" x14ac:dyDescent="0.25">
      <c r="A115" s="27" t="s">
        <v>994</v>
      </c>
      <c r="B115" s="27" t="str">
        <f t="shared" si="17"/>
        <v>Kentucky</v>
      </c>
      <c r="C115" s="27" t="str">
        <f t="shared" si="18"/>
        <v>Warren</v>
      </c>
      <c r="D115" s="96">
        <f>3081+445+1245+355</f>
        <v>5126</v>
      </c>
      <c r="E115" s="41">
        <f>119+38+0+0+10+1+2+1+3+2+5</f>
        <v>181</v>
      </c>
      <c r="F115" s="41">
        <v>8</v>
      </c>
      <c r="G115" s="7">
        <f t="shared" si="20"/>
        <v>160</v>
      </c>
      <c r="H115" s="41">
        <f>4618+797+1315+407+276+11+27+21+13+76+32+54</f>
        <v>7647</v>
      </c>
      <c r="I115" s="27"/>
      <c r="J115" s="27">
        <f>75255.63+49115.75</f>
        <v>124371.38</v>
      </c>
      <c r="K115" s="115">
        <f t="shared" si="29"/>
        <v>85.891837016574584</v>
      </c>
      <c r="L115" s="2">
        <f>129233.44+67423.71</f>
        <v>196657.15000000002</v>
      </c>
      <c r="M115" s="27">
        <f>56+21</f>
        <v>77</v>
      </c>
      <c r="N115" s="27">
        <v>64075</v>
      </c>
      <c r="O115" s="27">
        <v>8778</v>
      </c>
      <c r="P115" s="29">
        <f t="shared" si="21"/>
        <v>72853</v>
      </c>
      <c r="Q115" s="41">
        <v>1922</v>
      </c>
      <c r="R115" s="27"/>
      <c r="S115" s="27" t="str">
        <f t="shared" si="30"/>
        <v>https://babel.hathitrust.org/cgi/pt?id=njp.32101060099841;view=1up;seq=242</v>
      </c>
      <c r="T115" s="27" t="str">
        <f t="shared" si="30"/>
        <v>https://babel.hathitrust.org/cgi/pt?id=njp.32101060099841;view=1up;seq=180</v>
      </c>
      <c r="U115" s="27" t="str">
        <f t="shared" si="22"/>
        <v>https://babel.hathitrust.org/cgi/pt?id=njp.32101060099841;view=1up;seq=224</v>
      </c>
      <c r="V115" s="27" t="str">
        <f t="shared" si="23"/>
        <v>https://babel.hathitrust.org/cgi/pt?id=njp.32101060099841;view=1up;seq=242</v>
      </c>
      <c r="W115" s="27" t="str">
        <f t="shared" si="25"/>
        <v>https://babel.hathitrust.org/cgi/pt?id=njp.32101060099841;view=1up;seq=150</v>
      </c>
      <c r="X115" s="27" t="str">
        <f t="shared" si="31"/>
        <v>https://babel.hathitrust.org/cgi/pt?id=njp.32101060099841;view=1up;seq=274</v>
      </c>
      <c r="Y115" s="27" t="str">
        <f t="shared" si="31"/>
        <v>https://babel.hathitrust.org/cgi/pt?id=njp.32101060099841;view=1up;seq=275</v>
      </c>
      <c r="Z115" s="27" t="str">
        <f t="shared" si="31"/>
        <v>https://babel.hathitrust.org/cgi/pt?id=njp.32101060099841;view=1up;seq=224</v>
      </c>
      <c r="AA115" s="27" t="str">
        <f t="shared" si="31"/>
        <v>https://babel.hathitrust.org/cgi/pt?id=njp.32101060099833;view=1up;seq=584</v>
      </c>
      <c r="AB115" s="27"/>
      <c r="AC115" s="27"/>
      <c r="AD115" s="27"/>
    </row>
    <row r="116" spans="1:30" x14ac:dyDescent="0.25">
      <c r="A116" s="27" t="s">
        <v>995</v>
      </c>
      <c r="B116" s="27" t="str">
        <f t="shared" si="17"/>
        <v>Kentucky</v>
      </c>
      <c r="C116" s="27" t="str">
        <f t="shared" si="18"/>
        <v>Washington</v>
      </c>
      <c r="D116" s="96">
        <f>1949+273+435</f>
        <v>2657</v>
      </c>
      <c r="E116" s="41">
        <f>70+7+2+0+3+4+1+1+1</f>
        <v>89</v>
      </c>
      <c r="F116" s="41">
        <v>8</v>
      </c>
      <c r="G116" s="7">
        <f t="shared" si="20"/>
        <v>160</v>
      </c>
      <c r="H116" s="41">
        <f>2564+461+342+98+76+150+6+27+9</f>
        <v>3733</v>
      </c>
      <c r="I116" s="27"/>
      <c r="J116" s="27">
        <f>42473+10595+1820</f>
        <v>54888</v>
      </c>
      <c r="K116" s="115">
        <f t="shared" si="29"/>
        <v>77.089887640449433</v>
      </c>
      <c r="L116" s="2">
        <f>56901.86+15680.81+2004.48</f>
        <v>74587.149999999994</v>
      </c>
      <c r="M116" s="27">
        <f>48+9+1+1</f>
        <v>59</v>
      </c>
      <c r="N116" s="27">
        <v>140000</v>
      </c>
      <c r="O116" s="27">
        <v>12000</v>
      </c>
      <c r="P116" s="29">
        <f t="shared" si="21"/>
        <v>152000</v>
      </c>
      <c r="Q116" s="41">
        <v>1922</v>
      </c>
      <c r="R116" s="27"/>
      <c r="S116" s="27" t="str">
        <f t="shared" ref="S116:T121" si="32">S115</f>
        <v>https://babel.hathitrust.org/cgi/pt?id=njp.32101060099841;view=1up;seq=242</v>
      </c>
      <c r="T116" s="27" t="str">
        <f t="shared" si="32"/>
        <v>https://babel.hathitrust.org/cgi/pt?id=njp.32101060099841;view=1up;seq=180</v>
      </c>
      <c r="U116" s="27" t="str">
        <f t="shared" si="22"/>
        <v>https://babel.hathitrust.org/cgi/pt?id=njp.32101060099841;view=1up;seq=224</v>
      </c>
      <c r="V116" s="27" t="str">
        <f t="shared" si="23"/>
        <v>https://babel.hathitrust.org/cgi/pt?id=njp.32101060099841;view=1up;seq=242</v>
      </c>
      <c r="W116" s="27" t="str">
        <f t="shared" si="25"/>
        <v>https://babel.hathitrust.org/cgi/pt?id=njp.32101060099841;view=1up;seq=150</v>
      </c>
      <c r="X116" s="27" t="str">
        <f t="shared" ref="X116:AA121" si="33">X115</f>
        <v>https://babel.hathitrust.org/cgi/pt?id=njp.32101060099841;view=1up;seq=274</v>
      </c>
      <c r="Y116" s="27" t="str">
        <f t="shared" si="33"/>
        <v>https://babel.hathitrust.org/cgi/pt?id=njp.32101060099841;view=1up;seq=275</v>
      </c>
      <c r="Z116" s="27" t="str">
        <f t="shared" si="33"/>
        <v>https://babel.hathitrust.org/cgi/pt?id=njp.32101060099841;view=1up;seq=224</v>
      </c>
      <c r="AA116" s="27" t="str">
        <f t="shared" si="33"/>
        <v>https://babel.hathitrust.org/cgi/pt?id=njp.32101060099833;view=1up;seq=584</v>
      </c>
      <c r="AB116" s="27"/>
      <c r="AC116" s="27"/>
      <c r="AD116" s="27"/>
    </row>
    <row r="117" spans="1:30" x14ac:dyDescent="0.25">
      <c r="A117" s="27" t="s">
        <v>996</v>
      </c>
      <c r="B117" s="27" t="str">
        <f t="shared" si="17"/>
        <v>Kentucky</v>
      </c>
      <c r="C117" s="27" t="str">
        <f t="shared" si="18"/>
        <v>Wayne</v>
      </c>
      <c r="D117" s="96">
        <f>2007+98+412</f>
        <v>2517</v>
      </c>
      <c r="E117" s="41">
        <f>99+8+0+4</f>
        <v>111</v>
      </c>
      <c r="F117" s="41">
        <v>8</v>
      </c>
      <c r="G117" s="7">
        <f t="shared" si="20"/>
        <v>160</v>
      </c>
      <c r="H117" s="41">
        <f>3691+208+411+59</f>
        <v>4369</v>
      </c>
      <c r="I117" s="27"/>
      <c r="J117" s="27">
        <f>41764.5+10040.5</f>
        <v>51805</v>
      </c>
      <c r="K117" s="115">
        <f t="shared" si="29"/>
        <v>58.338963963963963</v>
      </c>
      <c r="L117" s="2">
        <f>55620.91+14733.07</f>
        <v>70353.98000000001</v>
      </c>
      <c r="M117" s="27">
        <f>89+5+1</f>
        <v>95</v>
      </c>
      <c r="N117" s="27">
        <v>51500</v>
      </c>
      <c r="O117" s="27">
        <v>6500</v>
      </c>
      <c r="P117" s="29">
        <f t="shared" si="21"/>
        <v>58000</v>
      </c>
      <c r="Q117" s="41">
        <v>1922</v>
      </c>
      <c r="R117" s="27"/>
      <c r="S117" s="27" t="str">
        <f t="shared" si="32"/>
        <v>https://babel.hathitrust.org/cgi/pt?id=njp.32101060099841;view=1up;seq=242</v>
      </c>
      <c r="T117" s="27" t="str">
        <f t="shared" si="32"/>
        <v>https://babel.hathitrust.org/cgi/pt?id=njp.32101060099841;view=1up;seq=180</v>
      </c>
      <c r="U117" s="27" t="str">
        <f t="shared" si="22"/>
        <v>https://babel.hathitrust.org/cgi/pt?id=njp.32101060099841;view=1up;seq=224</v>
      </c>
      <c r="V117" s="27" t="str">
        <f t="shared" si="23"/>
        <v>https://babel.hathitrust.org/cgi/pt?id=njp.32101060099841;view=1up;seq=242</v>
      </c>
      <c r="W117" s="27" t="str">
        <f t="shared" si="25"/>
        <v>https://babel.hathitrust.org/cgi/pt?id=njp.32101060099841;view=1up;seq=150</v>
      </c>
      <c r="X117" s="27" t="str">
        <f t="shared" si="33"/>
        <v>https://babel.hathitrust.org/cgi/pt?id=njp.32101060099841;view=1up;seq=274</v>
      </c>
      <c r="Y117" s="27" t="str">
        <f t="shared" si="33"/>
        <v>https://babel.hathitrust.org/cgi/pt?id=njp.32101060099841;view=1up;seq=275</v>
      </c>
      <c r="Z117" s="27" t="str">
        <f t="shared" si="33"/>
        <v>https://babel.hathitrust.org/cgi/pt?id=njp.32101060099841;view=1up;seq=224</v>
      </c>
      <c r="AA117" s="27" t="str">
        <f t="shared" si="33"/>
        <v>https://babel.hathitrust.org/cgi/pt?id=njp.32101060099833;view=1up;seq=584</v>
      </c>
      <c r="AB117" s="27"/>
      <c r="AC117" s="27"/>
      <c r="AD117" s="27"/>
    </row>
    <row r="118" spans="1:30" x14ac:dyDescent="0.25">
      <c r="A118" s="27" t="s">
        <v>997</v>
      </c>
      <c r="B118" s="27" t="str">
        <f t="shared" si="17"/>
        <v>Kentucky</v>
      </c>
      <c r="C118" s="27" t="str">
        <f t="shared" si="18"/>
        <v>Webster</v>
      </c>
      <c r="D118" s="96">
        <f>1518+220+1005+261+100+409+137+250+155</f>
        <v>4055</v>
      </c>
      <c r="E118" s="41">
        <f>76+20+3+8+4+5+3+0+0+1+3+2+2+2+7+3+2+4</f>
        <v>145</v>
      </c>
      <c r="F118" s="41">
        <v>8.3000000000000007</v>
      </c>
      <c r="G118" s="7">
        <f t="shared" si="20"/>
        <v>166</v>
      </c>
      <c r="H118" s="41">
        <f>2658+302+916+251+146+467+156+219+147+16+91+58+37+26+173+61+54+24</f>
        <v>5802</v>
      </c>
      <c r="I118" s="27"/>
      <c r="J118" s="27">
        <f>33811.8+19473.84+1830+9873.01+3800+5815.96+3997.5</f>
        <v>78602.11</v>
      </c>
      <c r="K118" s="115">
        <f t="shared" si="29"/>
        <v>65.311267137515586</v>
      </c>
      <c r="L118" s="2">
        <f>68758.05+46169.61+2841.16+11613.17+5267.89+7821.32+5383.93</f>
        <v>147855.13</v>
      </c>
      <c r="M118" s="27">
        <f>60+8+2+1+1+1+1+1</f>
        <v>75</v>
      </c>
      <c r="N118" s="27">
        <v>102200</v>
      </c>
      <c r="O118" s="27">
        <v>10935</v>
      </c>
      <c r="P118" s="29">
        <f t="shared" si="21"/>
        <v>113135</v>
      </c>
      <c r="Q118" s="41">
        <v>1922</v>
      </c>
      <c r="R118" s="27"/>
      <c r="S118" s="27" t="str">
        <f t="shared" si="32"/>
        <v>https://babel.hathitrust.org/cgi/pt?id=njp.32101060099841;view=1up;seq=242</v>
      </c>
      <c r="T118" s="27" t="str">
        <f t="shared" si="32"/>
        <v>https://babel.hathitrust.org/cgi/pt?id=njp.32101060099841;view=1up;seq=180</v>
      </c>
      <c r="U118" s="27" t="str">
        <f t="shared" si="22"/>
        <v>https://babel.hathitrust.org/cgi/pt?id=njp.32101060099841;view=1up;seq=224</v>
      </c>
      <c r="V118" s="27" t="str">
        <f t="shared" si="23"/>
        <v>https://babel.hathitrust.org/cgi/pt?id=njp.32101060099841;view=1up;seq=242</v>
      </c>
      <c r="W118" s="27" t="str">
        <f t="shared" si="25"/>
        <v>https://babel.hathitrust.org/cgi/pt?id=njp.32101060099841;view=1up;seq=150</v>
      </c>
      <c r="X118" s="27" t="str">
        <f t="shared" si="33"/>
        <v>https://babel.hathitrust.org/cgi/pt?id=njp.32101060099841;view=1up;seq=274</v>
      </c>
      <c r="Y118" s="27" t="str">
        <f t="shared" si="33"/>
        <v>https://babel.hathitrust.org/cgi/pt?id=njp.32101060099841;view=1up;seq=275</v>
      </c>
      <c r="Z118" s="27" t="str">
        <f t="shared" si="33"/>
        <v>https://babel.hathitrust.org/cgi/pt?id=njp.32101060099841;view=1up;seq=224</v>
      </c>
      <c r="AA118" s="27" t="str">
        <f t="shared" si="33"/>
        <v>https://babel.hathitrust.org/cgi/pt?id=njp.32101060099833;view=1up;seq=584</v>
      </c>
      <c r="AB118" s="27"/>
      <c r="AC118" s="27"/>
      <c r="AD118" s="27"/>
    </row>
    <row r="119" spans="1:30" x14ac:dyDescent="0.25">
      <c r="A119" s="27" t="s">
        <v>998</v>
      </c>
      <c r="B119" s="27" t="str">
        <f t="shared" si="17"/>
        <v>Kentucky</v>
      </c>
      <c r="C119" s="27" t="str">
        <f t="shared" si="18"/>
        <v>Whitley</v>
      </c>
      <c r="D119" s="96">
        <f>4238+71+1105+427+39+271+60+84+102</f>
        <v>6397</v>
      </c>
      <c r="E119" s="41">
        <f>118+21+9+6+1+2+0+4+2+4</f>
        <v>167</v>
      </c>
      <c r="F119" s="41">
        <v>8.8000000000000007</v>
      </c>
      <c r="G119" s="7">
        <f t="shared" si="20"/>
        <v>176</v>
      </c>
      <c r="H119" s="41">
        <f>5564+162+1432+398+102+165+459+102+13+45</f>
        <v>8442</v>
      </c>
      <c r="I119" s="27"/>
      <c r="J119" s="27">
        <f>46696.47+18532.75+5644.37+1150+2196.5+8685</f>
        <v>82905.09</v>
      </c>
      <c r="K119" s="115">
        <f t="shared" si="29"/>
        <v>56.413370985302116</v>
      </c>
      <c r="L119" s="2">
        <f>68341.35+30018.46+6256.75+1154.65+3040.67+11813.57</f>
        <v>120625.44999999998</v>
      </c>
      <c r="M119" s="27">
        <f>89+13+1+1+1+1</f>
        <v>106</v>
      </c>
      <c r="N119" s="27">
        <v>9300</v>
      </c>
      <c r="O119" s="27">
        <v>10000</v>
      </c>
      <c r="P119" s="29">
        <f t="shared" si="21"/>
        <v>19300</v>
      </c>
      <c r="Q119" s="41">
        <v>1922</v>
      </c>
      <c r="R119" s="27"/>
      <c r="S119" s="27" t="str">
        <f t="shared" si="32"/>
        <v>https://babel.hathitrust.org/cgi/pt?id=njp.32101060099841;view=1up;seq=242</v>
      </c>
      <c r="T119" s="27" t="str">
        <f t="shared" si="32"/>
        <v>https://babel.hathitrust.org/cgi/pt?id=njp.32101060099841;view=1up;seq=180</v>
      </c>
      <c r="U119" s="27" t="str">
        <f t="shared" si="22"/>
        <v>https://babel.hathitrust.org/cgi/pt?id=njp.32101060099841;view=1up;seq=224</v>
      </c>
      <c r="V119" s="27" t="str">
        <f t="shared" si="23"/>
        <v>https://babel.hathitrust.org/cgi/pt?id=njp.32101060099841;view=1up;seq=242</v>
      </c>
      <c r="W119" s="27" t="str">
        <f t="shared" si="25"/>
        <v>https://babel.hathitrust.org/cgi/pt?id=njp.32101060099841;view=1up;seq=150</v>
      </c>
      <c r="X119" s="27" t="str">
        <f t="shared" si="33"/>
        <v>https://babel.hathitrust.org/cgi/pt?id=njp.32101060099841;view=1up;seq=274</v>
      </c>
      <c r="Y119" s="27" t="str">
        <f t="shared" si="33"/>
        <v>https://babel.hathitrust.org/cgi/pt?id=njp.32101060099841;view=1up;seq=275</v>
      </c>
      <c r="Z119" s="27" t="str">
        <f t="shared" si="33"/>
        <v>https://babel.hathitrust.org/cgi/pt?id=njp.32101060099841;view=1up;seq=224</v>
      </c>
      <c r="AA119" s="27" t="str">
        <f t="shared" si="33"/>
        <v>https://babel.hathitrust.org/cgi/pt?id=njp.32101060099833;view=1up;seq=584</v>
      </c>
      <c r="AB119" s="27"/>
      <c r="AC119" s="27"/>
      <c r="AD119" s="27"/>
    </row>
    <row r="120" spans="1:30" x14ac:dyDescent="0.25">
      <c r="A120" s="27" t="s">
        <v>999</v>
      </c>
      <c r="B120" s="27" t="str">
        <f t="shared" si="17"/>
        <v>Kentucky</v>
      </c>
      <c r="C120" s="27" t="str">
        <f t="shared" si="18"/>
        <v>Wolfe</v>
      </c>
      <c r="D120" s="96">
        <f>2418+237</f>
        <v>2655</v>
      </c>
      <c r="E120" s="41">
        <f>57+4+2</f>
        <v>63</v>
      </c>
      <c r="F120" s="41">
        <v>8</v>
      </c>
      <c r="G120" s="7">
        <f t="shared" si="20"/>
        <v>160</v>
      </c>
      <c r="H120" s="41">
        <f>2398+273+54</f>
        <v>2725</v>
      </c>
      <c r="I120" s="27"/>
      <c r="J120" s="27">
        <f>34836.8+4985</f>
        <v>39821.800000000003</v>
      </c>
      <c r="K120" s="115">
        <f t="shared" si="29"/>
        <v>79.01150793650794</v>
      </c>
      <c r="L120" s="2">
        <f>35265.3+5670.16</f>
        <v>40935.460000000006</v>
      </c>
      <c r="M120" s="27">
        <f>51+3+1</f>
        <v>55</v>
      </c>
      <c r="N120" s="27">
        <v>40000</v>
      </c>
      <c r="O120" s="27">
        <v>4050</v>
      </c>
      <c r="P120" s="29">
        <f t="shared" si="21"/>
        <v>44050</v>
      </c>
      <c r="Q120" s="41">
        <v>1922</v>
      </c>
      <c r="R120" s="27"/>
      <c r="S120" s="27" t="str">
        <f t="shared" si="32"/>
        <v>https://babel.hathitrust.org/cgi/pt?id=njp.32101060099841;view=1up;seq=242</v>
      </c>
      <c r="T120" s="27" t="str">
        <f t="shared" si="32"/>
        <v>https://babel.hathitrust.org/cgi/pt?id=njp.32101060099841;view=1up;seq=180</v>
      </c>
      <c r="U120" s="27" t="str">
        <f t="shared" si="22"/>
        <v>https://babel.hathitrust.org/cgi/pt?id=njp.32101060099841;view=1up;seq=224</v>
      </c>
      <c r="V120" s="27" t="str">
        <f t="shared" si="23"/>
        <v>https://babel.hathitrust.org/cgi/pt?id=njp.32101060099841;view=1up;seq=242</v>
      </c>
      <c r="W120" s="27" t="str">
        <f t="shared" si="25"/>
        <v>https://babel.hathitrust.org/cgi/pt?id=njp.32101060099841;view=1up;seq=150</v>
      </c>
      <c r="X120" s="27" t="str">
        <f t="shared" si="33"/>
        <v>https://babel.hathitrust.org/cgi/pt?id=njp.32101060099841;view=1up;seq=274</v>
      </c>
      <c r="Y120" s="27" t="str">
        <f t="shared" si="33"/>
        <v>https://babel.hathitrust.org/cgi/pt?id=njp.32101060099841;view=1up;seq=275</v>
      </c>
      <c r="Z120" s="27" t="str">
        <f t="shared" si="33"/>
        <v>https://babel.hathitrust.org/cgi/pt?id=njp.32101060099841;view=1up;seq=224</v>
      </c>
      <c r="AA120" s="27" t="str">
        <f t="shared" si="33"/>
        <v>https://babel.hathitrust.org/cgi/pt?id=njp.32101060099833;view=1up;seq=584</v>
      </c>
      <c r="AB120" s="27"/>
      <c r="AC120" s="27"/>
      <c r="AD120" s="27"/>
    </row>
    <row r="121" spans="1:30" x14ac:dyDescent="0.25">
      <c r="A121" s="27" t="s">
        <v>1000</v>
      </c>
      <c r="B121" s="27" t="str">
        <f t="shared" si="17"/>
        <v>Kentucky</v>
      </c>
      <c r="C121" s="27" t="str">
        <f t="shared" si="18"/>
        <v>Woodford</v>
      </c>
      <c r="D121" s="96">
        <f>872+302+382+156+307</f>
        <v>2019</v>
      </c>
      <c r="E121" s="41">
        <f>45+16+6+0+0+4+2+7+2</f>
        <v>82</v>
      </c>
      <c r="F121" s="41">
        <v>8.6999999999999993</v>
      </c>
      <c r="G121" s="7">
        <f t="shared" si="20"/>
        <v>174</v>
      </c>
      <c r="H121" s="41">
        <f>1318+452+386+215+283+81+25+97+24</f>
        <v>2881</v>
      </c>
      <c r="I121" s="27"/>
      <c r="J121" s="27">
        <f>35905.25+20903.86+10508.42</f>
        <v>67317.53</v>
      </c>
      <c r="K121" s="115">
        <f t="shared" si="29"/>
        <v>94.361550322399779</v>
      </c>
      <c r="L121" s="2">
        <f>57547.72+37793.27+15456.65</f>
        <v>110797.63999999998</v>
      </c>
      <c r="M121" s="27">
        <f>30+6+2+1</f>
        <v>39</v>
      </c>
      <c r="N121" s="27">
        <v>86087</v>
      </c>
      <c r="O121" s="27">
        <v>7575</v>
      </c>
      <c r="P121" s="29">
        <f t="shared" si="21"/>
        <v>93662</v>
      </c>
      <c r="Q121" s="41">
        <v>1922</v>
      </c>
      <c r="R121" s="27"/>
      <c r="S121" s="27" t="str">
        <f t="shared" si="32"/>
        <v>https://babel.hathitrust.org/cgi/pt?id=njp.32101060099841;view=1up;seq=242</v>
      </c>
      <c r="T121" s="27" t="str">
        <f t="shared" si="32"/>
        <v>https://babel.hathitrust.org/cgi/pt?id=njp.32101060099841;view=1up;seq=180</v>
      </c>
      <c r="U121" s="27" t="str">
        <f t="shared" si="22"/>
        <v>https://babel.hathitrust.org/cgi/pt?id=njp.32101060099841;view=1up;seq=224</v>
      </c>
      <c r="V121" s="27" t="str">
        <f t="shared" si="23"/>
        <v>https://babel.hathitrust.org/cgi/pt?id=njp.32101060099841;view=1up;seq=242</v>
      </c>
      <c r="W121" s="27" t="str">
        <f t="shared" si="25"/>
        <v>https://babel.hathitrust.org/cgi/pt?id=njp.32101060099841;view=1up;seq=150</v>
      </c>
      <c r="X121" s="27" t="str">
        <f t="shared" si="33"/>
        <v>https://babel.hathitrust.org/cgi/pt?id=njp.32101060099841;view=1up;seq=274</v>
      </c>
      <c r="Y121" s="27" t="str">
        <f t="shared" si="33"/>
        <v>https://babel.hathitrust.org/cgi/pt?id=njp.32101060099841;view=1up;seq=275</v>
      </c>
      <c r="Z121" s="27" t="str">
        <f t="shared" si="33"/>
        <v>https://babel.hathitrust.org/cgi/pt?id=njp.32101060099841;view=1up;seq=224</v>
      </c>
      <c r="AA121" s="27" t="str">
        <f t="shared" si="33"/>
        <v>https://babel.hathitrust.org/cgi/pt?id=njp.32101060099833;view=1up;seq=584</v>
      </c>
      <c r="AB121" s="27"/>
      <c r="AC121" s="27"/>
      <c r="AD121" s="27"/>
    </row>
    <row r="122" spans="1:30" x14ac:dyDescent="0.25">
      <c r="P122" s="29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D67"/>
  <sheetViews>
    <sheetView workbookViewId="0"/>
  </sheetViews>
  <sheetFormatPr defaultColWidth="11.42578125" defaultRowHeight="15" x14ac:dyDescent="0.25"/>
  <cols>
    <col min="1" max="1" width="23" customWidth="1"/>
    <col min="2" max="2" width="8" customWidth="1"/>
    <col min="3" max="3" width="15" customWidth="1"/>
  </cols>
  <sheetData>
    <row r="1" spans="1:30" s="20" customFormat="1" ht="60" x14ac:dyDescent="0.25">
      <c r="B1" s="20" t="s">
        <v>2</v>
      </c>
      <c r="C1" s="20" t="s">
        <v>0</v>
      </c>
      <c r="D1" s="20" t="s">
        <v>2046</v>
      </c>
      <c r="E1" s="20" t="s">
        <v>2047</v>
      </c>
      <c r="F1" s="92" t="s">
        <v>1956</v>
      </c>
      <c r="G1" s="20" t="s">
        <v>2044</v>
      </c>
      <c r="H1" s="20" t="s">
        <v>2045</v>
      </c>
      <c r="I1" s="92" t="s">
        <v>372</v>
      </c>
      <c r="J1" s="20" t="s">
        <v>2030</v>
      </c>
      <c r="K1" s="20" t="s">
        <v>2031</v>
      </c>
      <c r="L1" s="94" t="s">
        <v>357</v>
      </c>
      <c r="M1" s="94" t="s">
        <v>377</v>
      </c>
      <c r="N1" s="83" t="s">
        <v>546</v>
      </c>
      <c r="O1" s="83" t="s">
        <v>2042</v>
      </c>
      <c r="P1" s="83" t="s">
        <v>2043</v>
      </c>
      <c r="Q1" s="92" t="s">
        <v>358</v>
      </c>
      <c r="R1" s="93" t="s">
        <v>360</v>
      </c>
      <c r="S1" s="92" t="s">
        <v>374</v>
      </c>
      <c r="T1" s="91" t="s">
        <v>375</v>
      </c>
      <c r="U1" s="81" t="s">
        <v>1</v>
      </c>
      <c r="V1" s="20" t="s">
        <v>1960</v>
      </c>
      <c r="W1" s="20" t="s">
        <v>1957</v>
      </c>
      <c r="X1" s="20" t="s">
        <v>1949</v>
      </c>
      <c r="Y1" s="20" t="s">
        <v>1955</v>
      </c>
      <c r="Z1" s="20" t="s">
        <v>1950</v>
      </c>
      <c r="AA1" s="20" t="s">
        <v>1954</v>
      </c>
      <c r="AB1" s="20" t="s">
        <v>1952</v>
      </c>
      <c r="AC1" s="20" t="s">
        <v>1953</v>
      </c>
      <c r="AD1" s="20" t="s">
        <v>1948</v>
      </c>
    </row>
    <row r="2" spans="1:30" x14ac:dyDescent="0.25">
      <c r="A2" s="107" t="s">
        <v>1001</v>
      </c>
      <c r="B2" s="107" t="s">
        <v>152</v>
      </c>
      <c r="C2" s="107" t="s">
        <v>2069</v>
      </c>
      <c r="D2" s="107">
        <v>4880</v>
      </c>
      <c r="E2" s="107">
        <v>1032</v>
      </c>
      <c r="F2" s="107">
        <v>5912</v>
      </c>
      <c r="G2" s="107">
        <v>171</v>
      </c>
      <c r="H2" s="107">
        <v>33</v>
      </c>
      <c r="I2" s="107">
        <v>204</v>
      </c>
      <c r="J2" s="107">
        <v>166</v>
      </c>
      <c r="K2" s="107">
        <v>130</v>
      </c>
      <c r="L2" s="111">
        <v>160</v>
      </c>
      <c r="M2" s="107">
        <v>6633</v>
      </c>
      <c r="N2" s="112">
        <v>789.38</v>
      </c>
      <c r="O2" s="107">
        <v>839.67</v>
      </c>
      <c r="P2" s="107">
        <v>528.77</v>
      </c>
      <c r="Q2" s="112">
        <v>98.85</v>
      </c>
      <c r="R2" s="108">
        <v>424621</v>
      </c>
      <c r="S2" s="107">
        <v>57</v>
      </c>
      <c r="T2" s="108">
        <v>747840</v>
      </c>
      <c r="U2" s="107">
        <v>1925</v>
      </c>
      <c r="V2" s="107" t="s">
        <v>554</v>
      </c>
      <c r="W2" s="107"/>
      <c r="X2" s="107"/>
      <c r="Y2" s="107"/>
      <c r="Z2" s="107"/>
      <c r="AA2" s="107"/>
      <c r="AB2" s="107"/>
      <c r="AC2" s="107"/>
      <c r="AD2" s="107"/>
    </row>
    <row r="3" spans="1:30" x14ac:dyDescent="0.25">
      <c r="A3" s="107" t="s">
        <v>1002</v>
      </c>
      <c r="B3" s="107" t="s">
        <v>152</v>
      </c>
      <c r="C3" s="107" t="s">
        <v>2070</v>
      </c>
      <c r="D3" s="107">
        <v>2683</v>
      </c>
      <c r="E3" s="107">
        <v>881</v>
      </c>
      <c r="F3" s="107">
        <v>3564</v>
      </c>
      <c r="G3" s="107">
        <v>107</v>
      </c>
      <c r="H3" s="107">
        <v>20</v>
      </c>
      <c r="I3" s="107">
        <v>127</v>
      </c>
      <c r="J3" s="107">
        <v>174</v>
      </c>
      <c r="K3" s="107">
        <v>131</v>
      </c>
      <c r="L3" s="111">
        <v>163</v>
      </c>
      <c r="M3" s="107">
        <v>4780</v>
      </c>
      <c r="N3" s="112">
        <v>922.7</v>
      </c>
      <c r="O3" s="107">
        <v>995.04</v>
      </c>
      <c r="P3" s="107">
        <v>535.65</v>
      </c>
      <c r="Q3" s="112">
        <v>112.96</v>
      </c>
      <c r="R3" s="108">
        <v>303680</v>
      </c>
      <c r="S3" s="107">
        <v>42</v>
      </c>
      <c r="T3" s="108">
        <v>626446</v>
      </c>
      <c r="U3" s="107">
        <v>1925</v>
      </c>
      <c r="V3" s="107" t="s">
        <v>554</v>
      </c>
      <c r="W3" s="107"/>
      <c r="X3" s="107"/>
      <c r="Y3" s="107"/>
      <c r="Z3" s="107"/>
      <c r="AA3" s="107"/>
      <c r="AB3" s="107"/>
      <c r="AC3" s="107"/>
      <c r="AD3" s="107"/>
    </row>
    <row r="4" spans="1:30" x14ac:dyDescent="0.25">
      <c r="A4" s="107" t="s">
        <v>1003</v>
      </c>
      <c r="B4" s="107" t="s">
        <v>152</v>
      </c>
      <c r="C4" s="107" t="s">
        <v>2071</v>
      </c>
      <c r="D4" s="107">
        <v>2148</v>
      </c>
      <c r="E4" s="107">
        <v>525</v>
      </c>
      <c r="F4" s="107">
        <v>2673</v>
      </c>
      <c r="G4" s="107">
        <v>79</v>
      </c>
      <c r="H4" s="107">
        <v>14</v>
      </c>
      <c r="I4" s="107">
        <v>93</v>
      </c>
      <c r="J4" s="107">
        <v>174</v>
      </c>
      <c r="K4" s="107">
        <v>98</v>
      </c>
      <c r="L4" s="111">
        <v>159</v>
      </c>
      <c r="M4" s="107">
        <v>3438</v>
      </c>
      <c r="N4" s="112">
        <v>778.05</v>
      </c>
      <c r="O4" s="107">
        <v>875.55</v>
      </c>
      <c r="P4" s="107">
        <v>227.86</v>
      </c>
      <c r="Q4" s="112">
        <v>97.82</v>
      </c>
      <c r="R4" s="107">
        <v>275184</v>
      </c>
      <c r="S4" s="107">
        <v>24</v>
      </c>
      <c r="T4" s="108">
        <v>295000</v>
      </c>
      <c r="U4" s="107">
        <v>1925</v>
      </c>
      <c r="V4" s="107" t="s">
        <v>554</v>
      </c>
      <c r="W4" s="107"/>
      <c r="X4" s="107"/>
      <c r="Y4" s="107"/>
      <c r="Z4" s="107"/>
      <c r="AA4" s="107"/>
      <c r="AB4" s="107"/>
      <c r="AC4" s="107"/>
      <c r="AD4" s="107"/>
    </row>
    <row r="5" spans="1:30" x14ac:dyDescent="0.25">
      <c r="A5" s="107" t="s">
        <v>1004</v>
      </c>
      <c r="B5" s="107" t="s">
        <v>152</v>
      </c>
      <c r="C5" s="107" t="s">
        <v>153</v>
      </c>
      <c r="D5" s="107">
        <v>1919</v>
      </c>
      <c r="E5" s="107">
        <v>756</v>
      </c>
      <c r="F5" s="107">
        <v>2675</v>
      </c>
      <c r="G5" s="107">
        <v>72</v>
      </c>
      <c r="H5" s="107">
        <v>15</v>
      </c>
      <c r="I5" s="107">
        <v>87</v>
      </c>
      <c r="J5" s="107">
        <v>168</v>
      </c>
      <c r="K5" s="107">
        <v>1010</v>
      </c>
      <c r="L5" s="111">
        <v>406</v>
      </c>
      <c r="M5" s="107">
        <v>2840</v>
      </c>
      <c r="N5" s="112">
        <v>569.48</v>
      </c>
      <c r="O5" s="107">
        <v>639.44000000000005</v>
      </c>
      <c r="P5" s="107">
        <v>233.67</v>
      </c>
      <c r="Q5" s="112">
        <v>28.06</v>
      </c>
      <c r="R5" s="108">
        <v>113739</v>
      </c>
      <c r="S5" s="107">
        <v>24</v>
      </c>
      <c r="T5" s="108">
        <v>235321</v>
      </c>
      <c r="U5" s="107">
        <v>1925</v>
      </c>
      <c r="V5" s="107" t="s">
        <v>554</v>
      </c>
      <c r="W5" s="107"/>
      <c r="X5" s="107"/>
      <c r="Y5" s="107"/>
      <c r="Z5" s="107"/>
      <c r="AA5" s="107"/>
      <c r="AB5" s="107"/>
      <c r="AC5" s="107"/>
      <c r="AD5" s="107"/>
    </row>
    <row r="6" spans="1:30" x14ac:dyDescent="0.25">
      <c r="A6" s="107" t="s">
        <v>1005</v>
      </c>
      <c r="B6" s="107" t="s">
        <v>152</v>
      </c>
      <c r="C6" s="107" t="s">
        <v>154</v>
      </c>
      <c r="D6" s="107">
        <v>5050</v>
      </c>
      <c r="E6" s="107">
        <v>1172</v>
      </c>
      <c r="F6" s="107">
        <v>6222</v>
      </c>
      <c r="G6" s="107">
        <v>190</v>
      </c>
      <c r="H6" s="107">
        <v>29</v>
      </c>
      <c r="I6" s="107">
        <v>219</v>
      </c>
      <c r="J6" s="107">
        <v>163</v>
      </c>
      <c r="K6" s="107">
        <v>98</v>
      </c>
      <c r="L6" s="111">
        <v>151</v>
      </c>
      <c r="M6" s="107">
        <v>7705</v>
      </c>
      <c r="N6" s="112">
        <v>716.46</v>
      </c>
      <c r="O6" s="107">
        <v>791.39</v>
      </c>
      <c r="P6" s="107">
        <v>225.51</v>
      </c>
      <c r="Q6" s="112">
        <v>95.05</v>
      </c>
      <c r="R6" s="108">
        <v>435008</v>
      </c>
      <c r="S6" s="107">
        <v>59</v>
      </c>
      <c r="T6" s="108">
        <v>524245</v>
      </c>
      <c r="U6" s="107">
        <v>1925</v>
      </c>
      <c r="V6" s="107" t="s">
        <v>554</v>
      </c>
      <c r="W6" s="107"/>
      <c r="X6" s="107"/>
      <c r="Y6" s="107"/>
      <c r="Z6" s="107"/>
      <c r="AA6" s="107"/>
      <c r="AB6" s="107"/>
      <c r="AC6" s="107"/>
      <c r="AD6" s="107"/>
    </row>
    <row r="7" spans="1:30" x14ac:dyDescent="0.25">
      <c r="A7" s="107" t="s">
        <v>1016</v>
      </c>
      <c r="B7" s="107" t="s">
        <v>152</v>
      </c>
      <c r="C7" s="107" t="s">
        <v>2072</v>
      </c>
      <c r="D7" s="107">
        <v>5427</v>
      </c>
      <c r="E7" s="107">
        <v>3609</v>
      </c>
      <c r="F7" s="107">
        <v>9036</v>
      </c>
      <c r="G7" s="107">
        <v>204</v>
      </c>
      <c r="H7" s="107">
        <v>67</v>
      </c>
      <c r="I7" s="107">
        <v>271</v>
      </c>
      <c r="J7" s="107">
        <v>177</v>
      </c>
      <c r="K7" s="107">
        <v>161</v>
      </c>
      <c r="L7" s="111">
        <v>171</v>
      </c>
      <c r="M7" s="107">
        <v>10513</v>
      </c>
      <c r="N7" s="112">
        <v>996.19</v>
      </c>
      <c r="O7" s="107">
        <v>1127.8800000000001</v>
      </c>
      <c r="P7" s="107">
        <v>595.21</v>
      </c>
      <c r="Q7" s="112">
        <v>116.78</v>
      </c>
      <c r="R7" s="108">
        <v>583472</v>
      </c>
      <c r="S7" s="107">
        <v>56</v>
      </c>
      <c r="T7" s="108">
        <v>1528264</v>
      </c>
      <c r="U7" s="107">
        <v>1925</v>
      </c>
      <c r="V7" s="107" t="s">
        <v>554</v>
      </c>
      <c r="W7" s="107"/>
      <c r="X7" s="107"/>
      <c r="Y7" s="107"/>
      <c r="Z7" s="107"/>
      <c r="AA7" s="107"/>
      <c r="AB7" s="107"/>
      <c r="AC7" s="107"/>
      <c r="AD7" s="107"/>
    </row>
    <row r="8" spans="1:30" x14ac:dyDescent="0.25">
      <c r="A8" s="107" t="s">
        <v>1047</v>
      </c>
      <c r="B8" s="107" t="s">
        <v>152</v>
      </c>
      <c r="C8" s="107" t="s">
        <v>2073</v>
      </c>
      <c r="D8" s="107">
        <v>875</v>
      </c>
      <c r="E8" s="107">
        <v>894</v>
      </c>
      <c r="F8" s="107">
        <v>1769</v>
      </c>
      <c r="G8" s="107">
        <v>35</v>
      </c>
      <c r="H8" s="107">
        <v>17</v>
      </c>
      <c r="I8" s="107">
        <v>52</v>
      </c>
      <c r="J8" s="107">
        <v>177</v>
      </c>
      <c r="K8" s="107">
        <v>98</v>
      </c>
      <c r="L8" s="111">
        <v>137</v>
      </c>
      <c r="M8" s="107">
        <v>2059</v>
      </c>
      <c r="N8" s="112">
        <v>766.64</v>
      </c>
      <c r="O8" s="107">
        <v>1007.82</v>
      </c>
      <c r="P8" s="107">
        <v>270.10000000000002</v>
      </c>
      <c r="Q8" s="112">
        <v>111.86</v>
      </c>
      <c r="R8" s="108">
        <v>81022</v>
      </c>
      <c r="S8" s="107">
        <v>16</v>
      </c>
      <c r="T8" s="108">
        <v>190118</v>
      </c>
      <c r="U8" s="107">
        <v>1925</v>
      </c>
      <c r="V8" s="107" t="s">
        <v>554</v>
      </c>
      <c r="W8" s="107"/>
      <c r="X8" s="107"/>
      <c r="Y8" s="107"/>
      <c r="Z8" s="107"/>
      <c r="AA8" s="107"/>
      <c r="AB8" s="107"/>
      <c r="AC8" s="107"/>
      <c r="AD8" s="107"/>
    </row>
    <row r="9" spans="1:30" x14ac:dyDescent="0.25">
      <c r="A9" s="107" t="s">
        <v>1006</v>
      </c>
      <c r="B9" s="107" t="s">
        <v>152</v>
      </c>
      <c r="C9" s="107" t="s">
        <v>2074</v>
      </c>
      <c r="D9" s="107">
        <v>3106</v>
      </c>
      <c r="E9" s="107">
        <v>1237</v>
      </c>
      <c r="F9" s="107">
        <v>4343</v>
      </c>
      <c r="G9" s="107">
        <v>126</v>
      </c>
      <c r="H9" s="107">
        <v>27</v>
      </c>
      <c r="I9" s="107">
        <v>153</v>
      </c>
      <c r="J9" s="107">
        <v>180</v>
      </c>
      <c r="K9" s="107">
        <v>171</v>
      </c>
      <c r="L9" s="111">
        <v>177</v>
      </c>
      <c r="M9" s="107">
        <v>5392</v>
      </c>
      <c r="N9" s="112">
        <v>925.15</v>
      </c>
      <c r="O9" s="107">
        <v>973.18</v>
      </c>
      <c r="P9" s="107">
        <v>701</v>
      </c>
      <c r="Q9" s="112">
        <v>104.28</v>
      </c>
      <c r="R9" s="108">
        <v>440941</v>
      </c>
      <c r="S9" s="107">
        <v>30</v>
      </c>
      <c r="T9" s="108">
        <v>726390</v>
      </c>
      <c r="U9" s="107">
        <v>1925</v>
      </c>
      <c r="V9" s="107" t="s">
        <v>554</v>
      </c>
      <c r="W9" s="107"/>
      <c r="X9" s="107"/>
      <c r="Y9" s="107"/>
      <c r="Z9" s="107"/>
      <c r="AA9" s="107"/>
      <c r="AB9" s="107"/>
      <c r="AC9" s="107"/>
      <c r="AD9" s="107"/>
    </row>
    <row r="10" spans="1:30" x14ac:dyDescent="0.25">
      <c r="A10" s="107" t="s">
        <v>1007</v>
      </c>
      <c r="B10" s="107" t="s">
        <v>152</v>
      </c>
      <c r="C10" s="107" t="s">
        <v>2075</v>
      </c>
      <c r="D10" s="107">
        <v>2915</v>
      </c>
      <c r="E10" s="107">
        <v>2496</v>
      </c>
      <c r="F10" s="107">
        <v>5411</v>
      </c>
      <c r="G10" s="107">
        <v>134</v>
      </c>
      <c r="H10" s="107">
        <v>54</v>
      </c>
      <c r="I10" s="107">
        <v>188</v>
      </c>
      <c r="J10" s="107">
        <v>173</v>
      </c>
      <c r="K10" s="107">
        <v>93</v>
      </c>
      <c r="L10" s="111">
        <v>136</v>
      </c>
      <c r="M10" s="107">
        <v>7379</v>
      </c>
      <c r="N10" s="112">
        <v>738.25</v>
      </c>
      <c r="O10" s="107">
        <v>940.4</v>
      </c>
      <c r="P10" s="107">
        <v>236.62</v>
      </c>
      <c r="Q10" s="112">
        <v>108.49</v>
      </c>
      <c r="R10" s="108">
        <v>322079</v>
      </c>
      <c r="S10" s="107">
        <v>62</v>
      </c>
      <c r="T10" s="108">
        <v>819051</v>
      </c>
      <c r="U10" s="107">
        <v>1925</v>
      </c>
      <c r="V10" s="107" t="s">
        <v>554</v>
      </c>
      <c r="W10" s="107"/>
      <c r="X10" s="107"/>
      <c r="Y10" s="107"/>
      <c r="Z10" s="107"/>
      <c r="AA10" s="107"/>
      <c r="AB10" s="107"/>
      <c r="AC10" s="107"/>
      <c r="AD10" s="107"/>
    </row>
    <row r="11" spans="1:30" x14ac:dyDescent="0.25">
      <c r="A11" s="107" t="s">
        <v>1008</v>
      </c>
      <c r="B11" s="107" t="s">
        <v>152</v>
      </c>
      <c r="C11" s="107" t="s">
        <v>2076</v>
      </c>
      <c r="D11" s="107">
        <v>1753</v>
      </c>
      <c r="E11" s="107">
        <v>2669</v>
      </c>
      <c r="F11" s="107">
        <v>4422</v>
      </c>
      <c r="G11" s="107">
        <v>86</v>
      </c>
      <c r="H11" s="107">
        <v>80</v>
      </c>
      <c r="I11" s="107">
        <v>166</v>
      </c>
      <c r="J11" s="107">
        <v>171</v>
      </c>
      <c r="K11" s="107">
        <v>87</v>
      </c>
      <c r="L11" s="111">
        <v>120</v>
      </c>
      <c r="M11" s="107">
        <v>6232</v>
      </c>
      <c r="N11" s="112">
        <v>638.16999999999996</v>
      </c>
      <c r="O11" s="107">
        <v>1020.58</v>
      </c>
      <c r="P11" s="107">
        <v>227.08</v>
      </c>
      <c r="Q11" s="112">
        <v>106.1</v>
      </c>
      <c r="R11" s="108">
        <v>202978</v>
      </c>
      <c r="S11" s="107">
        <v>74</v>
      </c>
      <c r="T11" s="108">
        <v>486730</v>
      </c>
      <c r="U11" s="107">
        <v>1925</v>
      </c>
      <c r="V11" s="107" t="s">
        <v>554</v>
      </c>
      <c r="W11" s="107"/>
      <c r="X11" s="107"/>
      <c r="Y11" s="107"/>
      <c r="Z11" s="107"/>
      <c r="AA11" s="107"/>
      <c r="AB11" s="107"/>
      <c r="AC11" s="107"/>
      <c r="AD11" s="107"/>
    </row>
    <row r="12" spans="1:30" x14ac:dyDescent="0.25">
      <c r="A12" s="107" t="s">
        <v>1009</v>
      </c>
      <c r="B12" s="107" t="s">
        <v>152</v>
      </c>
      <c r="C12" s="107" t="s">
        <v>155</v>
      </c>
      <c r="D12" s="107">
        <v>10452</v>
      </c>
      <c r="E12" s="107">
        <v>7907</v>
      </c>
      <c r="F12" s="107">
        <v>18359</v>
      </c>
      <c r="G12" s="107">
        <v>438</v>
      </c>
      <c r="H12" s="107">
        <v>251</v>
      </c>
      <c r="I12" s="107">
        <v>689</v>
      </c>
      <c r="J12" s="107">
        <v>170</v>
      </c>
      <c r="K12" s="107">
        <v>140</v>
      </c>
      <c r="L12" s="111">
        <v>157</v>
      </c>
      <c r="M12" s="107">
        <v>25682</v>
      </c>
      <c r="N12" s="112">
        <v>928.67</v>
      </c>
      <c r="O12" s="107">
        <v>1229.93</v>
      </c>
      <c r="P12" s="107">
        <v>402.96</v>
      </c>
      <c r="Q12" s="112">
        <v>118.24</v>
      </c>
      <c r="R12" s="108">
        <v>2312519</v>
      </c>
      <c r="S12" s="107">
        <v>122</v>
      </c>
      <c r="T12" s="108">
        <v>4276800</v>
      </c>
      <c r="U12" s="107">
        <v>1925</v>
      </c>
      <c r="V12" s="107" t="s">
        <v>554</v>
      </c>
      <c r="W12" s="107"/>
      <c r="X12" s="107"/>
      <c r="Y12" s="107"/>
      <c r="Z12" s="107"/>
      <c r="AA12" s="107"/>
      <c r="AB12" s="107"/>
      <c r="AC12" s="107"/>
      <c r="AD12" s="107"/>
    </row>
    <row r="13" spans="1:30" x14ac:dyDescent="0.25">
      <c r="A13" s="107" t="s">
        <v>1010</v>
      </c>
      <c r="B13" s="107" t="s">
        <v>152</v>
      </c>
      <c r="C13" s="107" t="s">
        <v>2077</v>
      </c>
      <c r="D13" s="107">
        <v>3614</v>
      </c>
      <c r="E13" s="107">
        <v>718</v>
      </c>
      <c r="F13" s="107">
        <v>4332</v>
      </c>
      <c r="G13" s="107">
        <v>138</v>
      </c>
      <c r="H13" s="107">
        <v>23</v>
      </c>
      <c r="I13" s="107">
        <v>161</v>
      </c>
      <c r="J13" s="107">
        <v>176</v>
      </c>
      <c r="K13" s="107">
        <v>131</v>
      </c>
      <c r="L13" s="111">
        <v>169</v>
      </c>
      <c r="M13" s="107">
        <v>6024</v>
      </c>
      <c r="N13" s="112">
        <v>990.92</v>
      </c>
      <c r="O13" s="107">
        <v>1097.17</v>
      </c>
      <c r="P13" s="107">
        <v>353.39</v>
      </c>
      <c r="Q13" s="112">
        <v>117.59</v>
      </c>
      <c r="R13" s="108">
        <v>286823</v>
      </c>
      <c r="S13" s="107">
        <v>61</v>
      </c>
      <c r="T13" s="108">
        <v>736468</v>
      </c>
      <c r="U13" s="107">
        <v>1925</v>
      </c>
      <c r="V13" s="107" t="s">
        <v>554</v>
      </c>
      <c r="W13" s="107"/>
      <c r="X13" s="107"/>
      <c r="Y13" s="107"/>
      <c r="Z13" s="107"/>
      <c r="AA13" s="107"/>
      <c r="AB13" s="107"/>
      <c r="AC13" s="107"/>
      <c r="AD13" s="107"/>
    </row>
    <row r="14" spans="1:30" x14ac:dyDescent="0.25">
      <c r="A14" s="107" t="s">
        <v>1011</v>
      </c>
      <c r="B14" s="107" t="s">
        <v>152</v>
      </c>
      <c r="C14" s="107" t="s">
        <v>127</v>
      </c>
      <c r="D14" s="107">
        <v>1751</v>
      </c>
      <c r="E14" s="107">
        <v>676</v>
      </c>
      <c r="F14" s="107">
        <v>2427</v>
      </c>
      <c r="G14" s="107">
        <v>76</v>
      </c>
      <c r="H14" s="107">
        <v>10</v>
      </c>
      <c r="I14" s="107">
        <v>86</v>
      </c>
      <c r="J14" s="107">
        <v>153</v>
      </c>
      <c r="K14" s="107">
        <v>60</v>
      </c>
      <c r="L14" s="111">
        <v>127</v>
      </c>
      <c r="M14" s="107">
        <v>2907</v>
      </c>
      <c r="N14" s="112">
        <v>717.98</v>
      </c>
      <c r="O14" s="107">
        <v>771.6</v>
      </c>
      <c r="P14" s="107">
        <v>310.5</v>
      </c>
      <c r="Q14" s="112">
        <v>112.98</v>
      </c>
      <c r="R14" s="108">
        <v>210789</v>
      </c>
      <c r="S14" s="107">
        <v>30</v>
      </c>
      <c r="T14" s="108">
        <v>181900</v>
      </c>
      <c r="U14" s="107">
        <v>1925</v>
      </c>
      <c r="V14" s="107" t="s">
        <v>554</v>
      </c>
      <c r="W14" s="107"/>
      <c r="X14" s="107"/>
      <c r="Y14" s="107"/>
      <c r="Z14" s="107"/>
      <c r="AA14" s="107"/>
      <c r="AB14" s="107"/>
      <c r="AC14" s="107"/>
      <c r="AD14" s="107"/>
    </row>
    <row r="15" spans="1:30" x14ac:dyDescent="0.25">
      <c r="A15" s="107" t="s">
        <v>1012</v>
      </c>
      <c r="B15" s="107" t="s">
        <v>152</v>
      </c>
      <c r="C15" s="107" t="s">
        <v>2078</v>
      </c>
      <c r="D15" s="107">
        <v>657</v>
      </c>
      <c r="E15" s="107">
        <v>86</v>
      </c>
      <c r="F15" s="107">
        <v>743</v>
      </c>
      <c r="G15" s="107">
        <v>34</v>
      </c>
      <c r="H15" s="107">
        <v>4</v>
      </c>
      <c r="I15" s="107">
        <v>38</v>
      </c>
      <c r="J15" s="107">
        <v>163</v>
      </c>
      <c r="K15" s="107">
        <v>56</v>
      </c>
      <c r="L15" s="111">
        <v>151</v>
      </c>
      <c r="M15" s="107">
        <v>943</v>
      </c>
      <c r="N15" s="112">
        <v>638.41</v>
      </c>
      <c r="O15" s="107">
        <v>699.4</v>
      </c>
      <c r="P15" s="107">
        <v>120</v>
      </c>
      <c r="Q15" s="112">
        <v>84.77</v>
      </c>
      <c r="R15" s="108">
        <v>37782</v>
      </c>
      <c r="S15" s="107">
        <v>29</v>
      </c>
      <c r="T15" s="108">
        <v>129825</v>
      </c>
      <c r="U15" s="107">
        <v>1925</v>
      </c>
      <c r="V15" s="107" t="s">
        <v>554</v>
      </c>
      <c r="W15" s="107"/>
      <c r="X15" s="107"/>
      <c r="Y15" s="107"/>
      <c r="Z15" s="107"/>
      <c r="AA15" s="107"/>
      <c r="AB15" s="107"/>
      <c r="AC15" s="107"/>
      <c r="AD15" s="107"/>
    </row>
    <row r="16" spans="1:30" x14ac:dyDescent="0.25">
      <c r="A16" s="107" t="s">
        <v>1780</v>
      </c>
      <c r="B16" s="107" t="s">
        <v>152</v>
      </c>
      <c r="C16" s="107" t="s">
        <v>575</v>
      </c>
      <c r="D16" s="107">
        <v>472</v>
      </c>
      <c r="E16" s="107">
        <v>1357</v>
      </c>
      <c r="F16" s="107">
        <v>1829</v>
      </c>
      <c r="G16" s="107">
        <v>19</v>
      </c>
      <c r="H16" s="107">
        <v>29</v>
      </c>
      <c r="I16" s="107">
        <v>48</v>
      </c>
      <c r="J16" s="107">
        <v>168</v>
      </c>
      <c r="K16" s="107">
        <v>102</v>
      </c>
      <c r="L16" s="111">
        <v>119</v>
      </c>
      <c r="M16" s="107">
        <v>2400</v>
      </c>
      <c r="N16" s="112">
        <v>570.5</v>
      </c>
      <c r="O16" s="107">
        <v>1049.05</v>
      </c>
      <c r="P16" s="107">
        <v>256.95999999999998</v>
      </c>
      <c r="Q16" s="112">
        <v>95.86</v>
      </c>
      <c r="R16" s="108">
        <v>81367</v>
      </c>
      <c r="S16" s="107">
        <v>11</v>
      </c>
      <c r="T16" s="108">
        <v>196741</v>
      </c>
      <c r="U16" s="107">
        <v>1925</v>
      </c>
      <c r="V16" s="107" t="s">
        <v>554</v>
      </c>
      <c r="W16" s="107"/>
      <c r="X16" s="107"/>
      <c r="Y16" s="107"/>
      <c r="Z16" s="107"/>
      <c r="AA16" s="107"/>
      <c r="AB16" s="107"/>
      <c r="AC16" s="107"/>
      <c r="AD16" s="107"/>
    </row>
    <row r="17" spans="1:30" x14ac:dyDescent="0.25">
      <c r="A17" s="107" t="s">
        <v>1048</v>
      </c>
      <c r="B17" s="107" t="s">
        <v>152</v>
      </c>
      <c r="C17" s="107" t="s">
        <v>168</v>
      </c>
      <c r="D17" s="107">
        <v>1675</v>
      </c>
      <c r="E17" s="107">
        <v>377</v>
      </c>
      <c r="F17" s="107">
        <v>2052</v>
      </c>
      <c r="G17" s="107">
        <v>70</v>
      </c>
      <c r="H17" s="107">
        <v>10</v>
      </c>
      <c r="I17" s="107">
        <v>80</v>
      </c>
      <c r="J17" s="107">
        <v>167</v>
      </c>
      <c r="K17" s="107">
        <v>114</v>
      </c>
      <c r="L17" s="111">
        <v>157</v>
      </c>
      <c r="M17" s="107">
        <v>2777</v>
      </c>
      <c r="N17" s="112">
        <v>696.57</v>
      </c>
      <c r="O17" s="107">
        <v>760.72</v>
      </c>
      <c r="P17" s="107">
        <v>247.5</v>
      </c>
      <c r="Q17" s="112">
        <v>88.59</v>
      </c>
      <c r="R17" s="108">
        <v>136586</v>
      </c>
      <c r="S17" s="107">
        <v>23</v>
      </c>
      <c r="T17" s="108">
        <v>325829</v>
      </c>
      <c r="U17" s="107">
        <v>1925</v>
      </c>
      <c r="V17" s="107" t="s">
        <v>554</v>
      </c>
      <c r="W17" s="107"/>
      <c r="X17" s="107"/>
      <c r="Y17" s="107"/>
      <c r="Z17" s="107"/>
      <c r="AA17" s="107"/>
      <c r="AB17" s="107"/>
      <c r="AC17" s="107"/>
      <c r="AD17" s="107"/>
    </row>
    <row r="18" spans="1:30" x14ac:dyDescent="0.25">
      <c r="A18" s="107" t="s">
        <v>1013</v>
      </c>
      <c r="B18" s="107" t="s">
        <v>152</v>
      </c>
      <c r="C18" s="107" t="s">
        <v>156</v>
      </c>
      <c r="D18" s="107">
        <v>1620</v>
      </c>
      <c r="E18" s="107">
        <v>826</v>
      </c>
      <c r="F18" s="107">
        <v>2446</v>
      </c>
      <c r="G18" s="107">
        <v>78</v>
      </c>
      <c r="H18" s="107">
        <v>15</v>
      </c>
      <c r="I18" s="107">
        <v>93</v>
      </c>
      <c r="J18" s="107">
        <v>168</v>
      </c>
      <c r="K18" s="107">
        <v>70</v>
      </c>
      <c r="L18" s="111">
        <v>135</v>
      </c>
      <c r="M18" s="107">
        <v>3120</v>
      </c>
      <c r="N18" s="112">
        <v>701.11</v>
      </c>
      <c r="O18" s="107">
        <v>798.9</v>
      </c>
      <c r="P18" s="107">
        <v>192.6</v>
      </c>
      <c r="Q18" s="112">
        <v>103.94</v>
      </c>
      <c r="R18" s="108">
        <v>166529</v>
      </c>
      <c r="S18" s="107">
        <v>25</v>
      </c>
      <c r="T18" s="108">
        <v>328200</v>
      </c>
      <c r="U18" s="107">
        <v>1925</v>
      </c>
      <c r="V18" s="107" t="s">
        <v>554</v>
      </c>
      <c r="W18" s="107"/>
      <c r="X18" s="107"/>
      <c r="Y18" s="107"/>
      <c r="Z18" s="107"/>
      <c r="AA18" s="107"/>
      <c r="AB18" s="107"/>
      <c r="AC18" s="107"/>
      <c r="AD18" s="107"/>
    </row>
    <row r="19" spans="1:30" x14ac:dyDescent="0.25">
      <c r="A19" s="107" t="s">
        <v>1014</v>
      </c>
      <c r="B19" s="107" t="s">
        <v>152</v>
      </c>
      <c r="C19" s="107" t="s">
        <v>157</v>
      </c>
      <c r="D19" s="107">
        <v>3827</v>
      </c>
      <c r="E19" s="107">
        <v>3577</v>
      </c>
      <c r="F19" s="107">
        <v>7404</v>
      </c>
      <c r="G19" s="107">
        <v>168</v>
      </c>
      <c r="H19" s="107">
        <v>100</v>
      </c>
      <c r="I19" s="107">
        <v>268</v>
      </c>
      <c r="J19" s="107">
        <v>177</v>
      </c>
      <c r="K19" s="107">
        <v>100</v>
      </c>
      <c r="L19" s="111">
        <v>140</v>
      </c>
      <c r="M19" s="107">
        <v>8986</v>
      </c>
      <c r="N19" s="112">
        <v>831.21</v>
      </c>
      <c r="O19" s="107">
        <v>1154.99</v>
      </c>
      <c r="P19" s="107">
        <v>287.25</v>
      </c>
      <c r="Q19" s="112">
        <v>118.91</v>
      </c>
      <c r="R19" s="108">
        <v>828320</v>
      </c>
      <c r="S19" s="107">
        <v>64</v>
      </c>
      <c r="T19" s="108">
        <v>861022</v>
      </c>
      <c r="U19" s="107">
        <v>1925</v>
      </c>
      <c r="V19" s="107" t="s">
        <v>554</v>
      </c>
      <c r="W19" s="107"/>
      <c r="X19" s="107"/>
      <c r="Y19" s="107"/>
      <c r="Z19" s="107"/>
      <c r="AA19" s="107"/>
      <c r="AB19" s="107"/>
      <c r="AC19" s="107"/>
      <c r="AD19" s="107"/>
    </row>
    <row r="20" spans="1:30" x14ac:dyDescent="0.25">
      <c r="A20" s="107" t="s">
        <v>1015</v>
      </c>
      <c r="B20" s="107" t="s">
        <v>152</v>
      </c>
      <c r="C20" s="107" t="s">
        <v>2079</v>
      </c>
      <c r="D20" s="107">
        <v>542</v>
      </c>
      <c r="E20" s="107">
        <v>1582</v>
      </c>
      <c r="F20" s="107">
        <v>2124</v>
      </c>
      <c r="G20" s="107">
        <v>41</v>
      </c>
      <c r="H20" s="107">
        <v>22</v>
      </c>
      <c r="I20" s="107">
        <v>63</v>
      </c>
      <c r="J20" s="107">
        <v>174</v>
      </c>
      <c r="K20" s="107">
        <v>77</v>
      </c>
      <c r="L20" s="111">
        <v>102</v>
      </c>
      <c r="M20" s="107">
        <v>2780</v>
      </c>
      <c r="N20" s="112">
        <v>687.04</v>
      </c>
      <c r="O20" s="107">
        <v>934.88</v>
      </c>
      <c r="P20" s="107">
        <v>225.15</v>
      </c>
      <c r="Q20" s="112">
        <v>135.04</v>
      </c>
      <c r="R20" s="108">
        <v>139890</v>
      </c>
      <c r="S20" s="107">
        <v>31</v>
      </c>
      <c r="T20" s="108">
        <v>179163</v>
      </c>
      <c r="U20" s="107">
        <v>1925</v>
      </c>
      <c r="V20" s="107" t="s">
        <v>554</v>
      </c>
      <c r="W20" s="107"/>
      <c r="X20" s="107"/>
      <c r="Y20" s="107"/>
      <c r="Z20" s="107"/>
      <c r="AA20" s="107"/>
      <c r="AB20" s="107"/>
      <c r="AC20" s="107"/>
      <c r="AD20" s="107"/>
    </row>
    <row r="21" spans="1:30" x14ac:dyDescent="0.25">
      <c r="A21" s="107" t="s">
        <v>1962</v>
      </c>
      <c r="B21" s="107" t="s">
        <v>152</v>
      </c>
      <c r="C21" s="107" t="s">
        <v>1963</v>
      </c>
      <c r="D21" s="107">
        <v>2963</v>
      </c>
      <c r="E21" s="107">
        <v>3002</v>
      </c>
      <c r="F21" s="107">
        <v>5965</v>
      </c>
      <c r="G21" s="107">
        <v>147</v>
      </c>
      <c r="H21" s="107">
        <v>74</v>
      </c>
      <c r="I21" s="107">
        <v>221</v>
      </c>
      <c r="J21" s="107">
        <v>177</v>
      </c>
      <c r="K21" s="107">
        <v>58</v>
      </c>
      <c r="L21" s="111">
        <v>117</v>
      </c>
      <c r="M21" s="107">
        <v>7301</v>
      </c>
      <c r="N21" s="112">
        <v>776.36</v>
      </c>
      <c r="O21" s="107">
        <v>1097.31</v>
      </c>
      <c r="P21" s="107">
        <v>138.81</v>
      </c>
      <c r="Q21" s="112">
        <v>132.59</v>
      </c>
      <c r="R21" s="108">
        <v>458988</v>
      </c>
      <c r="S21" s="107">
        <v>38</v>
      </c>
      <c r="T21" s="108">
        <v>727052</v>
      </c>
      <c r="U21" s="107">
        <v>1925</v>
      </c>
      <c r="V21" s="107" t="s">
        <v>554</v>
      </c>
      <c r="W21" s="107"/>
      <c r="X21" s="107"/>
      <c r="Y21" s="107"/>
      <c r="Z21" s="107"/>
      <c r="AA21" s="107"/>
      <c r="AB21" s="107"/>
      <c r="AC21" s="107"/>
      <c r="AD21" s="107"/>
    </row>
    <row r="22" spans="1:30" x14ac:dyDescent="0.25">
      <c r="A22" s="107" t="s">
        <v>1018</v>
      </c>
      <c r="B22" s="107" t="s">
        <v>152</v>
      </c>
      <c r="C22" s="107" t="s">
        <v>2080</v>
      </c>
      <c r="D22" s="107">
        <v>4045</v>
      </c>
      <c r="E22" s="107">
        <v>421</v>
      </c>
      <c r="F22" s="107">
        <v>4466</v>
      </c>
      <c r="G22" s="107">
        <v>143</v>
      </c>
      <c r="H22" s="107">
        <v>9</v>
      </c>
      <c r="I22" s="107">
        <v>152</v>
      </c>
      <c r="J22" s="107">
        <v>158</v>
      </c>
      <c r="K22" s="107">
        <v>120</v>
      </c>
      <c r="L22" s="111">
        <v>154</v>
      </c>
      <c r="M22" s="107">
        <v>6369</v>
      </c>
      <c r="N22" s="112">
        <v>778.93</v>
      </c>
      <c r="O22" s="107">
        <v>812.43</v>
      </c>
      <c r="P22" s="107">
        <v>246.67</v>
      </c>
      <c r="Q22" s="112">
        <v>100.89</v>
      </c>
      <c r="R22" s="108">
        <v>291081</v>
      </c>
      <c r="S22" s="107">
        <v>59</v>
      </c>
      <c r="T22" s="108">
        <v>524700</v>
      </c>
      <c r="U22" s="107">
        <v>1925</v>
      </c>
      <c r="V22" s="107" t="s">
        <v>554</v>
      </c>
      <c r="W22" s="107"/>
      <c r="X22" s="107"/>
      <c r="Y22" s="107"/>
      <c r="Z22" s="107"/>
      <c r="AA22" s="107"/>
      <c r="AB22" s="107"/>
      <c r="AC22" s="107"/>
      <c r="AD22" s="107"/>
    </row>
    <row r="23" spans="1:30" x14ac:dyDescent="0.25">
      <c r="A23" s="107" t="s">
        <v>1017</v>
      </c>
      <c r="B23" s="107" t="s">
        <v>152</v>
      </c>
      <c r="C23" s="107" t="s">
        <v>2081</v>
      </c>
      <c r="D23" s="107">
        <v>767</v>
      </c>
      <c r="E23" s="107">
        <v>1915</v>
      </c>
      <c r="F23" s="107">
        <v>2682</v>
      </c>
      <c r="G23" s="107">
        <v>46</v>
      </c>
      <c r="H23" s="107">
        <v>32</v>
      </c>
      <c r="I23" s="107">
        <v>78</v>
      </c>
      <c r="J23" s="107">
        <v>180</v>
      </c>
      <c r="K23" s="107">
        <v>105</v>
      </c>
      <c r="L23" s="111">
        <v>126</v>
      </c>
      <c r="M23" s="107">
        <v>2778</v>
      </c>
      <c r="N23" s="112">
        <v>652.29</v>
      </c>
      <c r="O23" s="107">
        <v>895.22</v>
      </c>
      <c r="P23" s="107">
        <v>303.08</v>
      </c>
      <c r="Q23" s="112">
        <v>103.17</v>
      </c>
      <c r="R23" s="108">
        <v>116848</v>
      </c>
      <c r="S23" s="107">
        <v>16</v>
      </c>
      <c r="T23" s="108">
        <v>155300</v>
      </c>
      <c r="U23" s="107">
        <v>1925</v>
      </c>
      <c r="V23" s="107" t="s">
        <v>554</v>
      </c>
      <c r="W23" s="107"/>
      <c r="X23" s="107"/>
      <c r="Y23" s="107"/>
      <c r="Z23" s="107"/>
      <c r="AA23" s="107"/>
      <c r="AB23" s="107"/>
      <c r="AC23" s="107"/>
      <c r="AD23" s="107"/>
    </row>
    <row r="24" spans="1:30" x14ac:dyDescent="0.25">
      <c r="A24" s="107" t="s">
        <v>1049</v>
      </c>
      <c r="B24" s="107" t="s">
        <v>152</v>
      </c>
      <c r="C24" s="107" t="s">
        <v>2082</v>
      </c>
      <c r="D24" s="107">
        <v>252</v>
      </c>
      <c r="E24" s="107">
        <v>904</v>
      </c>
      <c r="F24" s="107">
        <v>1156</v>
      </c>
      <c r="G24" s="107">
        <v>18</v>
      </c>
      <c r="H24" s="107">
        <v>14</v>
      </c>
      <c r="I24" s="107">
        <v>32</v>
      </c>
      <c r="J24" s="107">
        <v>173</v>
      </c>
      <c r="K24" s="107">
        <v>94</v>
      </c>
      <c r="L24" s="111">
        <v>111</v>
      </c>
      <c r="M24" s="107">
        <v>1911</v>
      </c>
      <c r="N24" s="112">
        <v>738.57</v>
      </c>
      <c r="O24" s="107">
        <v>853.08</v>
      </c>
      <c r="P24" s="107">
        <v>591.34</v>
      </c>
      <c r="Q24" s="112">
        <v>132.81</v>
      </c>
      <c r="R24" s="108">
        <v>47250</v>
      </c>
      <c r="S24" s="107">
        <v>23</v>
      </c>
      <c r="T24" s="108">
        <v>80850</v>
      </c>
      <c r="U24" s="107">
        <v>1925</v>
      </c>
      <c r="V24" s="107" t="s">
        <v>554</v>
      </c>
      <c r="W24" s="107"/>
      <c r="X24" s="107"/>
      <c r="Y24" s="107"/>
      <c r="Z24" s="107"/>
      <c r="AA24" s="107"/>
      <c r="AB24" s="107"/>
      <c r="AC24" s="107"/>
      <c r="AD24" s="107"/>
    </row>
    <row r="25" spans="1:30" x14ac:dyDescent="0.25">
      <c r="A25" s="107" t="s">
        <v>1019</v>
      </c>
      <c r="B25" s="107" t="s">
        <v>152</v>
      </c>
      <c r="C25" s="107" t="s">
        <v>26</v>
      </c>
      <c r="D25" s="107">
        <v>3361</v>
      </c>
      <c r="E25" s="107">
        <v>1590</v>
      </c>
      <c r="F25" s="107">
        <v>4951</v>
      </c>
      <c r="G25" s="107">
        <v>124</v>
      </c>
      <c r="H25" s="107">
        <v>36</v>
      </c>
      <c r="I25" s="107">
        <v>160</v>
      </c>
      <c r="J25" s="107">
        <v>171</v>
      </c>
      <c r="K25" s="107">
        <v>110</v>
      </c>
      <c r="L25" s="111">
        <v>151</v>
      </c>
      <c r="M25" s="107">
        <v>7332</v>
      </c>
      <c r="N25" s="112">
        <v>721.63</v>
      </c>
      <c r="O25" s="107">
        <v>863.37</v>
      </c>
      <c r="P25" s="107">
        <v>233.4</v>
      </c>
      <c r="Q25" s="112">
        <v>95.32</v>
      </c>
      <c r="R25" s="108">
        <v>377096</v>
      </c>
      <c r="S25" s="107">
        <v>48</v>
      </c>
      <c r="T25" s="108">
        <v>466789</v>
      </c>
      <c r="U25" s="107">
        <v>1925</v>
      </c>
      <c r="V25" s="107" t="s">
        <v>554</v>
      </c>
      <c r="W25" s="107"/>
      <c r="X25" s="107"/>
      <c r="Y25" s="107"/>
      <c r="Z25" s="107"/>
      <c r="AA25" s="107"/>
      <c r="AB25" s="107"/>
      <c r="AC25" s="107"/>
      <c r="AD25" s="107"/>
    </row>
    <row r="26" spans="1:30" x14ac:dyDescent="0.25">
      <c r="A26" s="107" t="s">
        <v>1020</v>
      </c>
      <c r="B26" s="107" t="s">
        <v>152</v>
      </c>
      <c r="C26" s="107" t="s">
        <v>2083</v>
      </c>
      <c r="D26" s="107">
        <v>2773</v>
      </c>
      <c r="E26" s="107">
        <v>1061</v>
      </c>
      <c r="F26" s="107">
        <v>3834</v>
      </c>
      <c r="G26" s="107">
        <v>116</v>
      </c>
      <c r="H26" s="107">
        <v>19</v>
      </c>
      <c r="I26" s="107">
        <v>135</v>
      </c>
      <c r="J26" s="107">
        <v>161</v>
      </c>
      <c r="K26" s="107">
        <v>101</v>
      </c>
      <c r="L26" s="111">
        <v>144</v>
      </c>
      <c r="M26" s="107">
        <v>4936</v>
      </c>
      <c r="N26" s="112">
        <v>695.69</v>
      </c>
      <c r="O26" s="107">
        <v>750.55</v>
      </c>
      <c r="P26" s="107">
        <v>360.79</v>
      </c>
      <c r="Q26" s="112">
        <v>96.36</v>
      </c>
      <c r="R26" s="108">
        <v>340656</v>
      </c>
      <c r="S26" s="107">
        <v>38</v>
      </c>
      <c r="T26" s="108">
        <v>389700</v>
      </c>
      <c r="U26" s="107">
        <v>1925</v>
      </c>
      <c r="V26" s="107" t="s">
        <v>554</v>
      </c>
      <c r="W26" s="107"/>
      <c r="X26" s="107"/>
      <c r="Y26" s="107"/>
      <c r="Z26" s="107"/>
      <c r="AA26" s="107"/>
      <c r="AB26" s="107"/>
      <c r="AC26" s="107"/>
      <c r="AD26" s="107"/>
    </row>
    <row r="27" spans="1:30" x14ac:dyDescent="0.25">
      <c r="A27" s="107" t="s">
        <v>1021</v>
      </c>
      <c r="B27" s="107" t="s">
        <v>152</v>
      </c>
      <c r="C27" s="107" t="s">
        <v>158</v>
      </c>
      <c r="D27" s="107">
        <v>3037</v>
      </c>
      <c r="E27" s="107">
        <v>1069</v>
      </c>
      <c r="F27" s="107">
        <v>4106</v>
      </c>
      <c r="G27" s="107">
        <v>109</v>
      </c>
      <c r="H27" s="107">
        <v>27</v>
      </c>
      <c r="I27" s="107">
        <v>136</v>
      </c>
      <c r="J27" s="107">
        <v>179</v>
      </c>
      <c r="K27" s="107">
        <v>179</v>
      </c>
      <c r="L27" s="111">
        <v>179</v>
      </c>
      <c r="M27" s="107">
        <v>5040</v>
      </c>
      <c r="N27" s="112">
        <v>838.75</v>
      </c>
      <c r="O27" s="107">
        <v>940.87</v>
      </c>
      <c r="P27" s="107">
        <v>426.47</v>
      </c>
      <c r="Q27" s="112">
        <v>93.71</v>
      </c>
      <c r="R27" s="108">
        <v>347584</v>
      </c>
      <c r="S27" s="107">
        <v>45</v>
      </c>
      <c r="T27" s="108">
        <v>546064</v>
      </c>
      <c r="U27" s="107">
        <v>1925</v>
      </c>
      <c r="V27" s="107" t="s">
        <v>554</v>
      </c>
      <c r="W27" s="107"/>
      <c r="X27" s="107"/>
      <c r="Y27" s="107"/>
      <c r="Z27" s="107"/>
      <c r="AA27" s="107"/>
      <c r="AB27" s="107"/>
      <c r="AC27" s="107"/>
      <c r="AD27" s="107"/>
    </row>
    <row r="28" spans="1:30" x14ac:dyDescent="0.25">
      <c r="A28" s="107" t="s">
        <v>1022</v>
      </c>
      <c r="B28" s="107" t="s">
        <v>152</v>
      </c>
      <c r="C28" s="107" t="s">
        <v>159</v>
      </c>
      <c r="D28" s="107">
        <v>19164</v>
      </c>
      <c r="E28" s="107">
        <v>1153</v>
      </c>
      <c r="F28" s="107">
        <v>20317</v>
      </c>
      <c r="G28" s="107">
        <v>70</v>
      </c>
      <c r="H28" s="107">
        <v>26</v>
      </c>
      <c r="I28" s="107">
        <v>96</v>
      </c>
      <c r="J28" s="107">
        <v>177</v>
      </c>
      <c r="K28" s="107">
        <v>124</v>
      </c>
      <c r="L28" s="111">
        <v>174</v>
      </c>
      <c r="M28" s="107">
        <v>3833</v>
      </c>
      <c r="N28" s="112">
        <v>866.3</v>
      </c>
      <c r="O28" s="107">
        <v>1075.0999999999999</v>
      </c>
      <c r="P28" s="107">
        <v>304.14</v>
      </c>
      <c r="Q28" s="112">
        <v>99.58</v>
      </c>
      <c r="R28" s="108">
        <v>150624</v>
      </c>
      <c r="S28" s="107">
        <v>19</v>
      </c>
      <c r="T28" s="108">
        <v>215532</v>
      </c>
      <c r="U28" s="107">
        <v>1925</v>
      </c>
      <c r="V28" s="107" t="s">
        <v>554</v>
      </c>
      <c r="W28" s="107"/>
      <c r="X28" s="107"/>
      <c r="Y28" s="107"/>
      <c r="Z28" s="107"/>
      <c r="AA28" s="107"/>
      <c r="AB28" s="107"/>
      <c r="AC28" s="107"/>
      <c r="AD28" s="107"/>
    </row>
    <row r="29" spans="1:30" x14ac:dyDescent="0.25">
      <c r="A29" s="107" t="s">
        <v>1023</v>
      </c>
      <c r="B29" s="107" t="s">
        <v>152</v>
      </c>
      <c r="C29" s="107" t="s">
        <v>29</v>
      </c>
      <c r="D29" s="107">
        <v>1676</v>
      </c>
      <c r="E29" s="107">
        <v>765</v>
      </c>
      <c r="F29" s="107">
        <v>2441</v>
      </c>
      <c r="G29" s="107">
        <v>83</v>
      </c>
      <c r="H29" s="107">
        <v>23</v>
      </c>
      <c r="I29" s="107">
        <v>106</v>
      </c>
      <c r="J29" s="107">
        <v>149</v>
      </c>
      <c r="K29" s="107">
        <v>78</v>
      </c>
      <c r="L29" s="111">
        <v>127</v>
      </c>
      <c r="M29" s="107">
        <v>3875</v>
      </c>
      <c r="N29" s="112">
        <v>675.96</v>
      </c>
      <c r="O29" s="107">
        <v>830.98</v>
      </c>
      <c r="P29" s="107">
        <v>116.53</v>
      </c>
      <c r="Q29" s="112">
        <v>106.66</v>
      </c>
      <c r="R29" s="108">
        <v>224334</v>
      </c>
      <c r="S29" s="107">
        <v>42</v>
      </c>
      <c r="T29" s="108">
        <v>324500</v>
      </c>
      <c r="U29" s="107">
        <v>1925</v>
      </c>
      <c r="V29" s="107" t="s">
        <v>554</v>
      </c>
      <c r="W29" s="107"/>
      <c r="X29" s="107"/>
      <c r="Y29" s="107"/>
      <c r="Z29" s="107"/>
      <c r="AA29" s="107"/>
      <c r="AB29" s="107"/>
      <c r="AC29" s="107"/>
      <c r="AD29" s="107"/>
    </row>
    <row r="30" spans="1:30" x14ac:dyDescent="0.25">
      <c r="A30" s="107" t="s">
        <v>1024</v>
      </c>
      <c r="B30" s="107" t="s">
        <v>152</v>
      </c>
      <c r="C30" s="107" t="s">
        <v>30</v>
      </c>
      <c r="D30" s="107">
        <v>3359</v>
      </c>
      <c r="E30" s="107">
        <v>667</v>
      </c>
      <c r="F30" s="107">
        <v>4026</v>
      </c>
      <c r="G30" s="107">
        <v>119</v>
      </c>
      <c r="H30" s="107">
        <v>21</v>
      </c>
      <c r="I30" s="107">
        <v>140</v>
      </c>
      <c r="J30" s="107">
        <v>175</v>
      </c>
      <c r="K30" s="107">
        <v>154</v>
      </c>
      <c r="L30" s="111">
        <v>172</v>
      </c>
      <c r="M30" s="107">
        <v>5212</v>
      </c>
      <c r="N30" s="112">
        <v>811.06</v>
      </c>
      <c r="O30" s="107">
        <v>877.26</v>
      </c>
      <c r="P30" s="107">
        <v>435.92</v>
      </c>
      <c r="Q30" s="112">
        <v>94.57</v>
      </c>
      <c r="R30" s="108">
        <v>214020</v>
      </c>
      <c r="S30" s="107">
        <v>20</v>
      </c>
      <c r="T30" s="108">
        <v>552531</v>
      </c>
      <c r="U30" s="107">
        <v>1925</v>
      </c>
      <c r="V30" s="107" t="s">
        <v>554</v>
      </c>
      <c r="W30" s="107"/>
      <c r="X30" s="107"/>
      <c r="Y30" s="107"/>
      <c r="Z30" s="107"/>
      <c r="AA30" s="107"/>
      <c r="AB30" s="107"/>
      <c r="AC30" s="107"/>
      <c r="AD30" s="107"/>
    </row>
    <row r="31" spans="1:30" x14ac:dyDescent="0.25">
      <c r="A31" s="107" t="s">
        <v>1025</v>
      </c>
      <c r="B31" s="107" t="s">
        <v>152</v>
      </c>
      <c r="C31" s="107" t="s">
        <v>2084</v>
      </c>
      <c r="D31" s="107">
        <v>2603</v>
      </c>
      <c r="E31" s="107">
        <v>624</v>
      </c>
      <c r="F31" s="107">
        <v>3227</v>
      </c>
      <c r="G31" s="107">
        <v>115</v>
      </c>
      <c r="H31" s="107">
        <v>16</v>
      </c>
      <c r="I31" s="107">
        <v>131</v>
      </c>
      <c r="J31" s="107">
        <v>175</v>
      </c>
      <c r="K31" s="107">
        <v>99</v>
      </c>
      <c r="L31" s="111">
        <v>160</v>
      </c>
      <c r="M31" s="107">
        <v>3959</v>
      </c>
      <c r="N31" s="112">
        <v>1005.55</v>
      </c>
      <c r="O31" s="107">
        <v>1097.73</v>
      </c>
      <c r="P31" s="107">
        <v>343.03</v>
      </c>
      <c r="Q31" s="112">
        <v>125.46</v>
      </c>
      <c r="R31" s="108">
        <v>243838</v>
      </c>
      <c r="S31" s="107">
        <v>33</v>
      </c>
      <c r="T31" s="108">
        <v>853936</v>
      </c>
      <c r="U31" s="107">
        <v>1925</v>
      </c>
      <c r="V31" s="107" t="s">
        <v>554</v>
      </c>
      <c r="W31" s="107"/>
      <c r="X31" s="107"/>
      <c r="Y31" s="107"/>
      <c r="Z31" s="107"/>
      <c r="AA31" s="107"/>
      <c r="AB31" s="107"/>
      <c r="AC31" s="107"/>
      <c r="AD31" s="107"/>
    </row>
    <row r="32" spans="1:30" x14ac:dyDescent="0.25">
      <c r="A32" s="107" t="s">
        <v>1026</v>
      </c>
      <c r="B32" s="107" t="s">
        <v>152</v>
      </c>
      <c r="C32" s="107" t="s">
        <v>71</v>
      </c>
      <c r="D32" s="107">
        <v>4116</v>
      </c>
      <c r="E32" s="107">
        <v>573</v>
      </c>
      <c r="F32" s="107">
        <v>4689</v>
      </c>
      <c r="G32" s="107">
        <v>149</v>
      </c>
      <c r="H32" s="107">
        <v>12</v>
      </c>
      <c r="I32" s="107">
        <v>161</v>
      </c>
      <c r="J32" s="107">
        <v>177</v>
      </c>
      <c r="K32" s="107">
        <v>176</v>
      </c>
      <c r="L32" s="111">
        <v>177</v>
      </c>
      <c r="M32" s="107">
        <v>5837</v>
      </c>
      <c r="N32" s="112">
        <v>1154.56</v>
      </c>
      <c r="O32" s="107">
        <v>915.77</v>
      </c>
      <c r="P32" s="107">
        <v>4119.54</v>
      </c>
      <c r="Q32" s="112">
        <v>130.55000000000001</v>
      </c>
      <c r="R32" s="108">
        <v>314959</v>
      </c>
      <c r="S32" s="107">
        <v>32</v>
      </c>
      <c r="T32" s="108">
        <v>545375</v>
      </c>
      <c r="U32" s="107">
        <v>1925</v>
      </c>
      <c r="V32" s="107" t="s">
        <v>554</v>
      </c>
      <c r="W32" s="107"/>
      <c r="X32" s="107"/>
      <c r="Y32" s="107"/>
      <c r="Z32" s="107"/>
      <c r="AA32" s="107"/>
      <c r="AB32" s="107"/>
      <c r="AC32" s="107"/>
      <c r="AD32" s="107"/>
    </row>
    <row r="33" spans="1:30" x14ac:dyDescent="0.25">
      <c r="A33" s="107" t="s">
        <v>1027</v>
      </c>
      <c r="B33" s="107" t="s">
        <v>152</v>
      </c>
      <c r="C33" s="107" t="s">
        <v>160</v>
      </c>
      <c r="D33" s="107">
        <v>4143</v>
      </c>
      <c r="E33" s="107">
        <v>596</v>
      </c>
      <c r="F33" s="107">
        <v>4739</v>
      </c>
      <c r="G33" s="107">
        <v>148</v>
      </c>
      <c r="H33" s="107">
        <v>9</v>
      </c>
      <c r="I33" s="107">
        <v>157</v>
      </c>
      <c r="J33" s="107">
        <v>180</v>
      </c>
      <c r="K33" s="107">
        <v>130</v>
      </c>
      <c r="L33" s="111">
        <v>174</v>
      </c>
      <c r="M33" s="107">
        <v>5596</v>
      </c>
      <c r="N33" s="112">
        <v>900.81</v>
      </c>
      <c r="O33" s="107">
        <v>926.47</v>
      </c>
      <c r="P33" s="107">
        <v>478.89</v>
      </c>
      <c r="Q33" s="112">
        <v>103.71</v>
      </c>
      <c r="R33" s="108">
        <v>257351</v>
      </c>
      <c r="S33" s="107">
        <v>35</v>
      </c>
      <c r="T33" s="108">
        <v>458200</v>
      </c>
      <c r="U33" s="107">
        <v>1925</v>
      </c>
      <c r="V33" s="107" t="s">
        <v>554</v>
      </c>
      <c r="W33" s="107"/>
      <c r="X33" s="107"/>
      <c r="Y33" s="107"/>
      <c r="Z33" s="107"/>
      <c r="AA33" s="107"/>
      <c r="AB33" s="107"/>
      <c r="AC33" s="107"/>
      <c r="AD33" s="107"/>
    </row>
    <row r="34" spans="1:30" x14ac:dyDescent="0.25">
      <c r="A34" s="107" t="s">
        <v>1028</v>
      </c>
      <c r="B34" s="107" t="s">
        <v>152</v>
      </c>
      <c r="C34" s="107" t="s">
        <v>161</v>
      </c>
      <c r="D34" s="107">
        <v>2076</v>
      </c>
      <c r="E34" s="107">
        <v>250</v>
      </c>
      <c r="F34" s="107">
        <v>2326</v>
      </c>
      <c r="G34" s="107">
        <v>94</v>
      </c>
      <c r="H34" s="107">
        <v>3</v>
      </c>
      <c r="I34" s="107">
        <v>97</v>
      </c>
      <c r="J34" s="107">
        <v>173</v>
      </c>
      <c r="K34" s="107">
        <v>60</v>
      </c>
      <c r="L34" s="111">
        <v>161</v>
      </c>
      <c r="M34" s="107">
        <v>2931</v>
      </c>
      <c r="N34" s="112">
        <v>880.85</v>
      </c>
      <c r="O34" s="107">
        <v>905.06</v>
      </c>
      <c r="P34" s="107">
        <v>122.33</v>
      </c>
      <c r="Q34" s="112">
        <v>109.52</v>
      </c>
      <c r="R34" s="108">
        <v>255684</v>
      </c>
      <c r="S34" s="107">
        <v>41</v>
      </c>
      <c r="T34" s="108">
        <v>269206</v>
      </c>
      <c r="U34" s="107">
        <v>1925</v>
      </c>
      <c r="V34" s="107" t="s">
        <v>554</v>
      </c>
      <c r="W34" s="107"/>
      <c r="X34" s="107"/>
      <c r="Y34" s="107"/>
      <c r="Z34" s="107"/>
      <c r="AA34" s="107"/>
      <c r="AB34" s="107"/>
      <c r="AC34" s="107"/>
      <c r="AD34" s="107"/>
    </row>
    <row r="35" spans="1:30" x14ac:dyDescent="0.25">
      <c r="A35" s="107" t="s">
        <v>1029</v>
      </c>
      <c r="B35" s="107" t="s">
        <v>152</v>
      </c>
      <c r="C35" s="107" t="s">
        <v>2085</v>
      </c>
      <c r="D35" s="107">
        <v>2605</v>
      </c>
      <c r="E35" s="107">
        <v>1361</v>
      </c>
      <c r="F35" s="107">
        <v>3966</v>
      </c>
      <c r="G35" s="107">
        <v>115</v>
      </c>
      <c r="H35" s="107">
        <v>38</v>
      </c>
      <c r="I35" s="107">
        <v>153</v>
      </c>
      <c r="J35" s="107">
        <v>169</v>
      </c>
      <c r="K35" s="107">
        <v>120</v>
      </c>
      <c r="L35" s="111">
        <v>152</v>
      </c>
      <c r="M35" s="107">
        <v>5441</v>
      </c>
      <c r="N35" s="112">
        <v>665.14</v>
      </c>
      <c r="O35" s="107">
        <v>788.42</v>
      </c>
      <c r="P35" s="107">
        <v>292.04000000000002</v>
      </c>
      <c r="Q35" s="112">
        <v>87.41</v>
      </c>
      <c r="R35" s="108">
        <v>333560</v>
      </c>
      <c r="S35" s="107">
        <v>52</v>
      </c>
      <c r="T35" s="108">
        <v>522500</v>
      </c>
      <c r="U35" s="107">
        <v>1925</v>
      </c>
      <c r="V35" s="107" t="s">
        <v>554</v>
      </c>
      <c r="W35" s="107"/>
      <c r="X35" s="107"/>
      <c r="Y35" s="107"/>
      <c r="Z35" s="107"/>
      <c r="AA35" s="107"/>
      <c r="AB35" s="107"/>
      <c r="AC35" s="107"/>
      <c r="AD35" s="107"/>
    </row>
    <row r="36" spans="1:30" x14ac:dyDescent="0.25">
      <c r="A36" s="107" t="s">
        <v>1030</v>
      </c>
      <c r="B36" s="107" t="s">
        <v>152</v>
      </c>
      <c r="C36" s="107" t="s">
        <v>2086</v>
      </c>
      <c r="D36" s="107">
        <v>2512</v>
      </c>
      <c r="E36" s="107">
        <v>110</v>
      </c>
      <c r="F36" s="107">
        <v>2622</v>
      </c>
      <c r="G36" s="107">
        <v>95</v>
      </c>
      <c r="H36" s="107">
        <v>3</v>
      </c>
      <c r="I36" s="107">
        <v>98</v>
      </c>
      <c r="J36" s="107">
        <v>160</v>
      </c>
      <c r="K36" s="107">
        <v>80</v>
      </c>
      <c r="L36" s="111">
        <v>157</v>
      </c>
      <c r="M36" s="107">
        <v>3450</v>
      </c>
      <c r="N36" s="112">
        <v>610.32000000000005</v>
      </c>
      <c r="O36" s="107">
        <v>617.86</v>
      </c>
      <c r="P36" s="107">
        <v>371.66</v>
      </c>
      <c r="Q36" s="112">
        <v>77.92</v>
      </c>
      <c r="R36" s="108">
        <v>239845</v>
      </c>
      <c r="S36" s="107">
        <v>27</v>
      </c>
      <c r="T36" s="108">
        <v>207814</v>
      </c>
      <c r="U36" s="107">
        <v>1925</v>
      </c>
      <c r="V36" s="107" t="s">
        <v>554</v>
      </c>
      <c r="W36" s="107"/>
      <c r="X36" s="107"/>
      <c r="Y36" s="107"/>
      <c r="Z36" s="107"/>
      <c r="AA36" s="107"/>
      <c r="AB36" s="107"/>
      <c r="AC36" s="107"/>
      <c r="AD36" s="107"/>
    </row>
    <row r="37" spans="1:30" x14ac:dyDescent="0.25">
      <c r="A37" s="107" t="s">
        <v>1031</v>
      </c>
      <c r="B37" s="107" t="s">
        <v>152</v>
      </c>
      <c r="C37" s="107" t="s">
        <v>38</v>
      </c>
      <c r="D37" s="107">
        <v>482</v>
      </c>
      <c r="E37" s="107">
        <v>1285</v>
      </c>
      <c r="F37" s="107">
        <v>1767</v>
      </c>
      <c r="G37" s="107">
        <v>27</v>
      </c>
      <c r="H37" s="107">
        <v>37</v>
      </c>
      <c r="I37" s="107">
        <v>64</v>
      </c>
      <c r="J37" s="107">
        <v>171</v>
      </c>
      <c r="K37" s="107">
        <v>108</v>
      </c>
      <c r="L37" s="111">
        <v>125</v>
      </c>
      <c r="M37" s="107">
        <v>2634</v>
      </c>
      <c r="N37" s="112">
        <v>581.72</v>
      </c>
      <c r="O37" s="107">
        <v>1055.71</v>
      </c>
      <c r="P37" s="107">
        <v>235.84</v>
      </c>
      <c r="Q37" s="112">
        <v>92.94</v>
      </c>
      <c r="R37" s="108">
        <v>68206</v>
      </c>
      <c r="S37" s="107">
        <v>19</v>
      </c>
      <c r="T37" s="108">
        <v>89845</v>
      </c>
      <c r="U37" s="107">
        <v>1925</v>
      </c>
      <c r="V37" s="107" t="s">
        <v>554</v>
      </c>
      <c r="W37" s="107"/>
      <c r="X37" s="107"/>
      <c r="Y37" s="107"/>
      <c r="Z37" s="107"/>
      <c r="AA37" s="107"/>
      <c r="AB37" s="107"/>
      <c r="AC37" s="107"/>
      <c r="AD37" s="107"/>
    </row>
    <row r="38" spans="1:30" x14ac:dyDescent="0.25">
      <c r="A38" s="107" t="s">
        <v>1032</v>
      </c>
      <c r="B38" s="107" t="s">
        <v>152</v>
      </c>
      <c r="C38" s="107" t="s">
        <v>162</v>
      </c>
      <c r="D38" s="107">
        <v>1555</v>
      </c>
      <c r="E38" s="107">
        <v>2342</v>
      </c>
      <c r="F38" s="107">
        <v>3897</v>
      </c>
      <c r="G38" s="107">
        <v>74</v>
      </c>
      <c r="H38" s="107">
        <v>55</v>
      </c>
      <c r="I38" s="107">
        <v>129</v>
      </c>
      <c r="J38" s="107">
        <v>177</v>
      </c>
      <c r="K38" s="107">
        <v>113</v>
      </c>
      <c r="L38" s="111">
        <v>139</v>
      </c>
      <c r="M38" s="107">
        <v>5433</v>
      </c>
      <c r="N38" s="112">
        <v>750.91</v>
      </c>
      <c r="O38" s="107">
        <v>1070.94</v>
      </c>
      <c r="P38" s="107">
        <v>320.33</v>
      </c>
      <c r="Q38" s="112">
        <v>108.41</v>
      </c>
      <c r="R38" s="108">
        <v>232147</v>
      </c>
      <c r="S38" s="107">
        <v>33</v>
      </c>
      <c r="T38" s="108">
        <v>320365</v>
      </c>
      <c r="U38" s="107">
        <v>1925</v>
      </c>
      <c r="V38" s="107" t="s">
        <v>554</v>
      </c>
      <c r="W38" s="107"/>
      <c r="X38" s="107"/>
      <c r="Y38" s="107"/>
      <c r="Z38" s="107"/>
      <c r="AA38" s="107"/>
      <c r="AB38" s="107"/>
      <c r="AC38" s="107"/>
      <c r="AD38" s="107"/>
    </row>
    <row r="39" spans="1:30" x14ac:dyDescent="0.25">
      <c r="A39" s="107" t="s">
        <v>1033</v>
      </c>
      <c r="B39" s="107" t="s">
        <v>152</v>
      </c>
      <c r="C39" s="107" t="s">
        <v>163</v>
      </c>
      <c r="D39" s="107">
        <v>3538</v>
      </c>
      <c r="E39" s="107">
        <v>2646</v>
      </c>
      <c r="F39" s="107">
        <v>6184</v>
      </c>
      <c r="G39" s="107">
        <v>173</v>
      </c>
      <c r="H39" s="107">
        <v>63</v>
      </c>
      <c r="I39" s="107">
        <v>236</v>
      </c>
      <c r="J39" s="107">
        <v>174</v>
      </c>
      <c r="K39" s="107">
        <v>76</v>
      </c>
      <c r="L39" s="111">
        <v>132</v>
      </c>
      <c r="M39" s="107">
        <v>8967</v>
      </c>
      <c r="N39" s="112">
        <v>677.66</v>
      </c>
      <c r="O39" s="107">
        <v>867.56</v>
      </c>
      <c r="P39" s="107">
        <v>156.18</v>
      </c>
      <c r="Q39" s="112">
        <v>102.62</v>
      </c>
      <c r="R39" s="108">
        <v>489810</v>
      </c>
      <c r="S39" s="107">
        <v>120</v>
      </c>
      <c r="T39" s="108">
        <v>620069</v>
      </c>
      <c r="U39" s="107">
        <v>1925</v>
      </c>
      <c r="V39" s="107" t="s">
        <v>554</v>
      </c>
      <c r="W39" s="107"/>
      <c r="X39" s="107"/>
      <c r="Y39" s="107"/>
      <c r="Z39" s="107"/>
      <c r="AA39" s="107"/>
      <c r="AB39" s="107"/>
      <c r="AC39" s="107"/>
      <c r="AD39" s="107"/>
    </row>
    <row r="40" spans="1:30" x14ac:dyDescent="0.25">
      <c r="A40" s="107" t="s">
        <v>1034</v>
      </c>
      <c r="B40" s="107" t="s">
        <v>152</v>
      </c>
      <c r="C40" s="107" t="s">
        <v>2087</v>
      </c>
      <c r="D40" s="107">
        <v>35804</v>
      </c>
      <c r="E40" s="107">
        <v>11883</v>
      </c>
      <c r="F40" s="107">
        <v>47687</v>
      </c>
      <c r="G40" s="107">
        <v>1266</v>
      </c>
      <c r="H40" s="107">
        <v>282</v>
      </c>
      <c r="I40" s="107">
        <v>1548</v>
      </c>
      <c r="J40" s="107">
        <v>178</v>
      </c>
      <c r="K40" s="107">
        <v>178</v>
      </c>
      <c r="L40" s="111">
        <v>178</v>
      </c>
      <c r="M40" s="107">
        <v>53220</v>
      </c>
      <c r="N40" s="112">
        <v>1729.15</v>
      </c>
      <c r="O40" s="107">
        <v>1785.35</v>
      </c>
      <c r="P40" s="107">
        <v>1476.86</v>
      </c>
      <c r="Q40" s="112">
        <v>194.29</v>
      </c>
      <c r="R40" s="108">
        <v>7750872</v>
      </c>
      <c r="S40" s="107">
        <v>37</v>
      </c>
      <c r="T40" s="108">
        <v>8495149</v>
      </c>
      <c r="U40" s="107">
        <v>1925</v>
      </c>
      <c r="V40" s="107" t="s">
        <v>554</v>
      </c>
      <c r="W40" s="107"/>
      <c r="X40" s="107"/>
      <c r="Y40" s="107"/>
      <c r="Z40" s="107"/>
      <c r="AA40" s="107"/>
      <c r="AB40" s="107"/>
      <c r="AC40" s="107"/>
      <c r="AD40" s="107"/>
    </row>
    <row r="41" spans="1:30" x14ac:dyDescent="0.25">
      <c r="A41" s="107" t="s">
        <v>1035</v>
      </c>
      <c r="B41" s="107" t="s">
        <v>152</v>
      </c>
      <c r="C41" s="107" t="s">
        <v>75</v>
      </c>
      <c r="D41" s="107">
        <v>2726</v>
      </c>
      <c r="E41" s="107">
        <v>1824</v>
      </c>
      <c r="F41" s="107">
        <v>4550</v>
      </c>
      <c r="G41" s="107">
        <v>108</v>
      </c>
      <c r="H41" s="107">
        <v>51</v>
      </c>
      <c r="I41" s="107">
        <v>159</v>
      </c>
      <c r="J41" s="107">
        <v>179</v>
      </c>
      <c r="K41" s="107">
        <v>102</v>
      </c>
      <c r="L41" s="111">
        <v>148</v>
      </c>
      <c r="M41" s="107">
        <v>5914</v>
      </c>
      <c r="N41" s="112">
        <v>785.83</v>
      </c>
      <c r="O41" s="107">
        <v>1058.22</v>
      </c>
      <c r="P41" s="107">
        <v>208.99</v>
      </c>
      <c r="Q41" s="112">
        <v>106.1</v>
      </c>
      <c r="R41" s="108">
        <v>344206</v>
      </c>
      <c r="S41" s="107">
        <v>33</v>
      </c>
      <c r="T41" s="108">
        <v>411123</v>
      </c>
      <c r="U41" s="107">
        <v>1925</v>
      </c>
      <c r="V41" s="107" t="s">
        <v>554</v>
      </c>
      <c r="W41" s="107"/>
      <c r="X41" s="107"/>
      <c r="Y41" s="107"/>
      <c r="Z41" s="107"/>
      <c r="AA41" s="107"/>
      <c r="AB41" s="107"/>
      <c r="AC41" s="107"/>
      <c r="AD41" s="107"/>
    </row>
    <row r="42" spans="1:30" x14ac:dyDescent="0.25">
      <c r="A42" s="107" t="s">
        <v>1036</v>
      </c>
      <c r="B42" s="107" t="s">
        <v>152</v>
      </c>
      <c r="C42" s="107" t="s">
        <v>2088</v>
      </c>
      <c r="D42" s="107">
        <v>965</v>
      </c>
      <c r="E42" s="107">
        <v>526</v>
      </c>
      <c r="F42" s="107">
        <v>1491</v>
      </c>
      <c r="G42" s="107">
        <v>34</v>
      </c>
      <c r="H42" s="107">
        <v>10</v>
      </c>
      <c r="I42" s="107">
        <v>44</v>
      </c>
      <c r="J42" s="107">
        <v>166</v>
      </c>
      <c r="K42" s="107">
        <v>82</v>
      </c>
      <c r="L42" s="111">
        <v>136</v>
      </c>
      <c r="M42" s="107">
        <v>1771</v>
      </c>
      <c r="N42" s="112">
        <v>503.55</v>
      </c>
      <c r="O42" s="107">
        <v>524.58000000000004</v>
      </c>
      <c r="P42" s="107">
        <v>432.05</v>
      </c>
      <c r="Q42" s="112">
        <v>73.849999999999994</v>
      </c>
      <c r="R42" s="108">
        <v>80297</v>
      </c>
      <c r="S42" s="107">
        <v>19</v>
      </c>
      <c r="T42" s="108">
        <v>145150</v>
      </c>
      <c r="U42" s="107">
        <v>1925</v>
      </c>
      <c r="V42" s="107" t="s">
        <v>554</v>
      </c>
      <c r="W42" s="107"/>
      <c r="X42" s="107"/>
      <c r="Y42" s="107"/>
      <c r="Z42" s="107"/>
      <c r="AA42" s="107"/>
      <c r="AB42" s="107"/>
      <c r="AC42" s="107"/>
      <c r="AD42" s="107"/>
    </row>
    <row r="43" spans="1:30" x14ac:dyDescent="0.25">
      <c r="A43" s="107" t="s">
        <v>1750</v>
      </c>
      <c r="B43" s="107" t="s">
        <v>152</v>
      </c>
      <c r="C43" s="107" t="s">
        <v>255</v>
      </c>
      <c r="D43" s="107">
        <v>2184</v>
      </c>
      <c r="E43" s="107">
        <v>2649</v>
      </c>
      <c r="F43" s="107">
        <v>4833</v>
      </c>
      <c r="G43" s="107">
        <v>83</v>
      </c>
      <c r="H43" s="107">
        <v>35</v>
      </c>
      <c r="I43" s="107">
        <v>118</v>
      </c>
      <c r="J43" s="107">
        <v>176</v>
      </c>
      <c r="K43" s="107">
        <v>91</v>
      </c>
      <c r="L43" s="111">
        <v>129</v>
      </c>
      <c r="M43" s="107">
        <v>6039</v>
      </c>
      <c r="N43" s="112">
        <v>695.56</v>
      </c>
      <c r="O43" s="107">
        <v>907.53</v>
      </c>
      <c r="P43" s="107">
        <v>192.88</v>
      </c>
      <c r="Q43" s="112">
        <v>107.5</v>
      </c>
      <c r="R43" s="108">
        <v>209210</v>
      </c>
      <c r="S43" s="107">
        <v>27</v>
      </c>
      <c r="T43" s="108">
        <v>233733</v>
      </c>
      <c r="U43" s="107">
        <v>1925</v>
      </c>
      <c r="V43" s="107" t="s">
        <v>554</v>
      </c>
      <c r="W43" s="107"/>
      <c r="X43" s="107"/>
      <c r="Y43" s="107"/>
      <c r="Z43" s="107"/>
      <c r="AA43" s="107"/>
      <c r="AB43" s="107"/>
      <c r="AC43" s="107"/>
      <c r="AD43" s="107"/>
    </row>
    <row r="44" spans="1:30" x14ac:dyDescent="0.25">
      <c r="A44" s="107" t="s">
        <v>1037</v>
      </c>
      <c r="B44" s="107" t="s">
        <v>152</v>
      </c>
      <c r="C44" s="107" t="s">
        <v>164</v>
      </c>
      <c r="D44" s="107">
        <v>7812</v>
      </c>
      <c r="E44" s="107">
        <v>3778</v>
      </c>
      <c r="F44" s="107">
        <v>11590</v>
      </c>
      <c r="G44" s="107">
        <v>294</v>
      </c>
      <c r="H44" s="107">
        <v>75</v>
      </c>
      <c r="I44" s="107">
        <v>369</v>
      </c>
      <c r="J44" s="107">
        <v>168</v>
      </c>
      <c r="K44" s="107">
        <v>126</v>
      </c>
      <c r="L44" s="111">
        <v>154</v>
      </c>
      <c r="M44" s="107">
        <v>13982</v>
      </c>
      <c r="N44" s="112">
        <v>907.85</v>
      </c>
      <c r="O44" s="107">
        <v>1043.6400000000001</v>
      </c>
      <c r="P44" s="107">
        <v>375.57</v>
      </c>
      <c r="Q44" s="112">
        <v>117.67</v>
      </c>
      <c r="R44" s="108">
        <v>1491112</v>
      </c>
      <c r="S44" s="107">
        <v>57</v>
      </c>
      <c r="T44" s="108">
        <v>1364621</v>
      </c>
      <c r="U44" s="107">
        <v>1925</v>
      </c>
      <c r="V44" s="107" t="s">
        <v>554</v>
      </c>
      <c r="W44" s="107"/>
      <c r="X44" s="107"/>
      <c r="Y44" s="107"/>
      <c r="Z44" s="107"/>
      <c r="AA44" s="107"/>
      <c r="AB44" s="107"/>
      <c r="AC44" s="107"/>
      <c r="AD44" s="107"/>
    </row>
    <row r="45" spans="1:30" x14ac:dyDescent="0.25">
      <c r="A45" s="107" t="s">
        <v>1751</v>
      </c>
      <c r="B45" s="107" t="s">
        <v>152</v>
      </c>
      <c r="C45" s="107" t="s">
        <v>2089</v>
      </c>
      <c r="D45" s="107">
        <v>1905</v>
      </c>
      <c r="E45" s="107">
        <v>1830</v>
      </c>
      <c r="F45" s="107">
        <v>3735</v>
      </c>
      <c r="G45" s="107">
        <v>81</v>
      </c>
      <c r="H45" s="107">
        <v>25</v>
      </c>
      <c r="I45" s="107">
        <v>106</v>
      </c>
      <c r="J45" s="107">
        <v>180</v>
      </c>
      <c r="K45" s="107">
        <v>100</v>
      </c>
      <c r="L45" s="111">
        <v>141</v>
      </c>
      <c r="M45" s="107">
        <v>4518</v>
      </c>
      <c r="N45" s="112">
        <v>810.09</v>
      </c>
      <c r="O45" s="107">
        <v>1007.65</v>
      </c>
      <c r="P45" s="107">
        <v>170.01</v>
      </c>
      <c r="Q45" s="112">
        <v>115.07</v>
      </c>
      <c r="R45" s="108">
        <v>260934</v>
      </c>
      <c r="S45" s="107">
        <v>45</v>
      </c>
      <c r="T45" s="108">
        <v>412000</v>
      </c>
      <c r="U45" s="107">
        <v>1925</v>
      </c>
      <c r="V45" s="107" t="s">
        <v>554</v>
      </c>
      <c r="W45" s="107"/>
      <c r="X45" s="107"/>
      <c r="Y45" s="107"/>
      <c r="Z45" s="107"/>
      <c r="AA45" s="107"/>
      <c r="AB45" s="107"/>
      <c r="AC45" s="107"/>
      <c r="AD45" s="107"/>
    </row>
    <row r="46" spans="1:30" x14ac:dyDescent="0.25">
      <c r="A46" s="107" t="s">
        <v>1038</v>
      </c>
      <c r="B46" s="107" t="s">
        <v>152</v>
      </c>
      <c r="C46" s="107" t="s">
        <v>165</v>
      </c>
      <c r="D46" s="107">
        <v>2443</v>
      </c>
      <c r="E46" s="107">
        <v>1590</v>
      </c>
      <c r="F46" s="107">
        <v>4033</v>
      </c>
      <c r="G46" s="107">
        <v>92</v>
      </c>
      <c r="H46" s="107">
        <v>32</v>
      </c>
      <c r="I46" s="107">
        <v>124</v>
      </c>
      <c r="J46" s="107">
        <v>166</v>
      </c>
      <c r="K46" s="107">
        <v>66</v>
      </c>
      <c r="L46" s="111">
        <v>127</v>
      </c>
      <c r="M46" s="107">
        <v>5009</v>
      </c>
      <c r="N46" s="112">
        <v>692.14</v>
      </c>
      <c r="O46" s="107">
        <v>832.91</v>
      </c>
      <c r="P46" s="107">
        <v>287.43</v>
      </c>
      <c r="Q46" s="112">
        <v>109.36</v>
      </c>
      <c r="R46" s="108">
        <v>303519</v>
      </c>
      <c r="S46" s="107">
        <v>47</v>
      </c>
      <c r="T46" s="108">
        <v>634500</v>
      </c>
      <c r="U46" s="107">
        <v>1925</v>
      </c>
      <c r="V46" s="107" t="s">
        <v>554</v>
      </c>
      <c r="W46" s="107"/>
      <c r="X46" s="107"/>
      <c r="Y46" s="107"/>
      <c r="Z46" s="107"/>
      <c r="AA46" s="107"/>
      <c r="AB46" s="107"/>
      <c r="AC46" s="107"/>
      <c r="AD46" s="107"/>
    </row>
    <row r="47" spans="1:30" x14ac:dyDescent="0.25">
      <c r="A47" s="107" t="s">
        <v>1039</v>
      </c>
      <c r="B47" s="107" t="s">
        <v>152</v>
      </c>
      <c r="C47" s="107" t="s">
        <v>2090</v>
      </c>
      <c r="D47" s="107">
        <v>3101</v>
      </c>
      <c r="E47" s="107">
        <v>1067</v>
      </c>
      <c r="F47" s="107">
        <v>4168</v>
      </c>
      <c r="G47" s="107">
        <v>174</v>
      </c>
      <c r="H47" s="107">
        <v>37</v>
      </c>
      <c r="I47" s="107">
        <v>211</v>
      </c>
      <c r="J47" s="107">
        <v>145</v>
      </c>
      <c r="K47" s="107">
        <v>60</v>
      </c>
      <c r="L47" s="111">
        <v>123</v>
      </c>
      <c r="M47" s="107">
        <v>6091</v>
      </c>
      <c r="N47" s="112">
        <v>414.12</v>
      </c>
      <c r="O47" s="107">
        <v>466.63</v>
      </c>
      <c r="P47" s="107">
        <v>167.16</v>
      </c>
      <c r="Q47" s="112">
        <v>67.2</v>
      </c>
      <c r="R47" s="108">
        <v>368806</v>
      </c>
      <c r="S47" s="107">
        <v>95</v>
      </c>
      <c r="T47" s="108">
        <v>505945</v>
      </c>
      <c r="U47" s="107">
        <v>1925</v>
      </c>
      <c r="V47" s="107" t="s">
        <v>554</v>
      </c>
      <c r="W47" s="107"/>
      <c r="X47" s="107"/>
      <c r="Y47" s="107"/>
      <c r="Z47" s="107"/>
      <c r="AA47" s="107"/>
      <c r="AB47" s="107"/>
      <c r="AC47" s="107"/>
      <c r="AD47" s="107"/>
    </row>
    <row r="48" spans="1:30" x14ac:dyDescent="0.25">
      <c r="A48" s="107" t="s">
        <v>1781</v>
      </c>
      <c r="B48" s="107" t="s">
        <v>152</v>
      </c>
      <c r="C48" s="107" t="s">
        <v>2091</v>
      </c>
      <c r="D48" s="107">
        <v>532</v>
      </c>
      <c r="E48" s="107">
        <v>185</v>
      </c>
      <c r="F48" s="107">
        <v>717</v>
      </c>
      <c r="G48" s="107">
        <v>20</v>
      </c>
      <c r="H48" s="107">
        <v>5</v>
      </c>
      <c r="I48" s="107">
        <v>25</v>
      </c>
      <c r="J48" s="107">
        <v>174</v>
      </c>
      <c r="K48" s="107">
        <v>174</v>
      </c>
      <c r="L48" s="111">
        <v>174</v>
      </c>
      <c r="M48" s="107">
        <v>977</v>
      </c>
      <c r="N48" s="112">
        <v>1002.47</v>
      </c>
      <c r="O48" s="107">
        <v>1124.8399999999999</v>
      </c>
      <c r="P48" s="107">
        <v>513</v>
      </c>
      <c r="Q48" s="112">
        <v>115.23</v>
      </c>
      <c r="R48" s="108">
        <v>58764</v>
      </c>
      <c r="S48" s="107">
        <v>10</v>
      </c>
      <c r="T48" s="108">
        <v>67513</v>
      </c>
      <c r="U48" s="107">
        <v>1925</v>
      </c>
      <c r="V48" s="107" t="s">
        <v>554</v>
      </c>
      <c r="W48" s="107"/>
      <c r="X48" s="107"/>
      <c r="Y48" s="107"/>
      <c r="Z48" s="107"/>
      <c r="AA48" s="107"/>
      <c r="AB48" s="107"/>
      <c r="AC48" s="107"/>
      <c r="AD48" s="107"/>
    </row>
    <row r="49" spans="1:30" x14ac:dyDescent="0.25">
      <c r="A49" s="107" t="s">
        <v>1782</v>
      </c>
      <c r="B49" s="107" t="s">
        <v>152</v>
      </c>
      <c r="C49" s="107" t="s">
        <v>2092</v>
      </c>
      <c r="D49" s="107">
        <v>1174</v>
      </c>
      <c r="E49" s="107">
        <v>312</v>
      </c>
      <c r="F49" s="107">
        <v>1486</v>
      </c>
      <c r="G49" s="107">
        <v>44</v>
      </c>
      <c r="H49" s="107">
        <v>10</v>
      </c>
      <c r="I49" s="107">
        <v>54</v>
      </c>
      <c r="J49" s="107">
        <v>180</v>
      </c>
      <c r="K49" s="107">
        <v>140</v>
      </c>
      <c r="L49" s="111">
        <v>172</v>
      </c>
      <c r="M49" s="107">
        <v>2008</v>
      </c>
      <c r="N49" s="112">
        <v>921.08</v>
      </c>
      <c r="O49" s="107">
        <v>1033.3800000000001</v>
      </c>
      <c r="P49" s="107">
        <v>426.95</v>
      </c>
      <c r="Q49" s="112">
        <v>107.35</v>
      </c>
      <c r="R49" s="108">
        <v>254379</v>
      </c>
      <c r="S49" s="107">
        <v>17</v>
      </c>
      <c r="T49" s="108">
        <v>274773</v>
      </c>
      <c r="U49" s="107">
        <v>1925</v>
      </c>
      <c r="V49" s="107" t="s">
        <v>554</v>
      </c>
      <c r="W49" s="107"/>
      <c r="X49" s="107"/>
      <c r="Y49" s="107"/>
      <c r="Z49" s="107"/>
      <c r="AA49" s="107"/>
      <c r="AB49" s="107"/>
      <c r="AC49" s="107"/>
      <c r="AD49" s="107"/>
    </row>
    <row r="50" spans="1:30" x14ac:dyDescent="0.25">
      <c r="A50" s="107" t="s">
        <v>1783</v>
      </c>
      <c r="B50" s="107" t="s">
        <v>152</v>
      </c>
      <c r="C50" s="107" t="s">
        <v>2093</v>
      </c>
      <c r="D50" s="107">
        <v>986</v>
      </c>
      <c r="E50" s="107">
        <v>1026</v>
      </c>
      <c r="F50" s="107">
        <v>2012</v>
      </c>
      <c r="G50" s="107">
        <v>44</v>
      </c>
      <c r="H50" s="107">
        <v>34</v>
      </c>
      <c r="I50" s="107">
        <v>78</v>
      </c>
      <c r="J50" s="107">
        <v>145</v>
      </c>
      <c r="K50" s="107">
        <v>59</v>
      </c>
      <c r="L50" s="111">
        <v>101</v>
      </c>
      <c r="M50" s="107">
        <v>2716</v>
      </c>
      <c r="N50" s="112">
        <v>547.11</v>
      </c>
      <c r="O50" s="107">
        <v>855.65</v>
      </c>
      <c r="P50" s="107">
        <v>147.82</v>
      </c>
      <c r="Q50" s="112">
        <v>108.18</v>
      </c>
      <c r="R50" s="108">
        <v>134627</v>
      </c>
      <c r="S50" s="107">
        <v>20</v>
      </c>
      <c r="T50" s="108">
        <v>121050</v>
      </c>
      <c r="U50" s="107">
        <v>1925</v>
      </c>
      <c r="V50" s="107" t="s">
        <v>554</v>
      </c>
      <c r="W50" s="107"/>
      <c r="X50" s="107"/>
      <c r="Y50" s="107"/>
      <c r="Z50" s="107"/>
      <c r="AA50" s="107"/>
      <c r="AB50" s="107"/>
      <c r="AC50" s="107"/>
      <c r="AD50" s="107"/>
    </row>
    <row r="51" spans="1:30" x14ac:dyDescent="0.25">
      <c r="A51" s="107" t="s">
        <v>1784</v>
      </c>
      <c r="B51" s="107" t="s">
        <v>152</v>
      </c>
      <c r="C51" s="107" t="s">
        <v>2094</v>
      </c>
      <c r="D51" s="107">
        <v>1859</v>
      </c>
      <c r="E51" s="107">
        <v>806</v>
      </c>
      <c r="F51" s="107">
        <v>2665</v>
      </c>
      <c r="G51" s="107">
        <v>72</v>
      </c>
      <c r="H51" s="107">
        <v>11</v>
      </c>
      <c r="I51" s="107">
        <v>83</v>
      </c>
      <c r="J51" s="107">
        <v>171</v>
      </c>
      <c r="K51" s="107">
        <v>97</v>
      </c>
      <c r="L51" s="111">
        <v>149</v>
      </c>
      <c r="M51" s="107">
        <v>3123</v>
      </c>
      <c r="N51" s="112">
        <v>754.57</v>
      </c>
      <c r="O51" s="107">
        <v>837.84</v>
      </c>
      <c r="P51" s="107">
        <v>209.54</v>
      </c>
      <c r="Q51" s="112">
        <v>101.54</v>
      </c>
      <c r="R51" s="108">
        <v>113989</v>
      </c>
      <c r="S51" s="107">
        <v>14</v>
      </c>
      <c r="T51" s="108">
        <v>107600</v>
      </c>
      <c r="U51" s="107">
        <v>1925</v>
      </c>
      <c r="V51" s="107" t="s">
        <v>554</v>
      </c>
      <c r="W51" s="107"/>
      <c r="X51" s="107"/>
      <c r="Y51" s="107"/>
      <c r="Z51" s="107"/>
      <c r="AA51" s="107"/>
      <c r="AB51" s="107"/>
      <c r="AC51" s="107"/>
      <c r="AD51" s="107"/>
    </row>
    <row r="52" spans="1:30" x14ac:dyDescent="0.25">
      <c r="A52" s="107" t="s">
        <v>1785</v>
      </c>
      <c r="B52" s="107" t="s">
        <v>152</v>
      </c>
      <c r="C52" s="107" t="s">
        <v>2095</v>
      </c>
      <c r="D52" s="107">
        <v>1475</v>
      </c>
      <c r="E52" s="107">
        <v>598</v>
      </c>
      <c r="F52" s="107">
        <v>2073</v>
      </c>
      <c r="G52" s="107">
        <v>49</v>
      </c>
      <c r="H52" s="107">
        <v>11</v>
      </c>
      <c r="I52" s="107">
        <v>60</v>
      </c>
      <c r="J52" s="107">
        <v>175</v>
      </c>
      <c r="K52" s="107">
        <v>100</v>
      </c>
      <c r="L52" s="111">
        <v>153</v>
      </c>
      <c r="M52" s="107">
        <v>2299</v>
      </c>
      <c r="N52" s="112">
        <v>788.87</v>
      </c>
      <c r="O52" s="107">
        <v>914.22</v>
      </c>
      <c r="P52" s="107">
        <v>230.47</v>
      </c>
      <c r="Q52" s="112">
        <v>102.87</v>
      </c>
      <c r="R52" s="108">
        <v>80951</v>
      </c>
      <c r="S52" s="107">
        <v>12</v>
      </c>
      <c r="T52" s="108">
        <v>128230</v>
      </c>
      <c r="U52" s="107">
        <v>1925</v>
      </c>
      <c r="V52" s="107" t="s">
        <v>554</v>
      </c>
      <c r="W52" s="107"/>
      <c r="X52" s="107"/>
      <c r="Y52" s="107"/>
      <c r="Z52" s="107"/>
      <c r="AA52" s="107"/>
      <c r="AB52" s="107"/>
      <c r="AC52" s="107"/>
      <c r="AD52" s="107"/>
    </row>
    <row r="53" spans="1:30" x14ac:dyDescent="0.25">
      <c r="A53" s="107" t="s">
        <v>1786</v>
      </c>
      <c r="B53" s="107" t="s">
        <v>152</v>
      </c>
      <c r="C53" s="107" t="s">
        <v>576</v>
      </c>
      <c r="D53" s="107">
        <v>4936</v>
      </c>
      <c r="E53" s="107">
        <v>2922</v>
      </c>
      <c r="F53" s="107">
        <v>7858</v>
      </c>
      <c r="G53" s="107">
        <v>206</v>
      </c>
      <c r="H53" s="107">
        <v>59</v>
      </c>
      <c r="I53" s="107">
        <v>265</v>
      </c>
      <c r="J53" s="107">
        <v>177</v>
      </c>
      <c r="K53" s="107">
        <v>127</v>
      </c>
      <c r="L53" s="111">
        <v>158</v>
      </c>
      <c r="M53" s="107">
        <v>11152</v>
      </c>
      <c r="N53" s="112">
        <v>772.62</v>
      </c>
      <c r="O53" s="107">
        <v>918.31</v>
      </c>
      <c r="P53" s="107">
        <v>263.95999999999998</v>
      </c>
      <c r="Q53" s="112">
        <v>97.55</v>
      </c>
      <c r="R53" s="108">
        <v>538052</v>
      </c>
      <c r="S53" s="107">
        <v>65</v>
      </c>
      <c r="T53" s="108">
        <v>1040047</v>
      </c>
      <c r="U53" s="107">
        <v>1925</v>
      </c>
      <c r="V53" s="107" t="s">
        <v>554</v>
      </c>
      <c r="W53" s="107"/>
      <c r="X53" s="107"/>
      <c r="Y53" s="107"/>
      <c r="Z53" s="107"/>
      <c r="AA53" s="107"/>
      <c r="AB53" s="107"/>
      <c r="AC53" s="107"/>
      <c r="AD53" s="107"/>
    </row>
    <row r="54" spans="1:30" x14ac:dyDescent="0.25">
      <c r="A54" s="107" t="s">
        <v>1787</v>
      </c>
      <c r="B54" s="107" t="s">
        <v>152</v>
      </c>
      <c r="C54" s="107" t="s">
        <v>574</v>
      </c>
      <c r="D54" s="107">
        <v>2089</v>
      </c>
      <c r="E54" s="107">
        <v>742</v>
      </c>
      <c r="F54" s="107">
        <v>2831</v>
      </c>
      <c r="G54" s="107">
        <v>88</v>
      </c>
      <c r="H54" s="107">
        <v>13</v>
      </c>
      <c r="I54" s="107">
        <v>101</v>
      </c>
      <c r="J54" s="107">
        <v>177</v>
      </c>
      <c r="K54" s="107">
        <v>177</v>
      </c>
      <c r="L54" s="111">
        <v>177</v>
      </c>
      <c r="M54" s="107">
        <v>3603</v>
      </c>
      <c r="N54" s="112">
        <v>743.37</v>
      </c>
      <c r="O54" s="107">
        <v>815.45</v>
      </c>
      <c r="P54" s="107">
        <v>255.47</v>
      </c>
      <c r="Q54" s="112">
        <v>84</v>
      </c>
      <c r="R54" s="108">
        <v>217664</v>
      </c>
      <c r="S54" s="107">
        <v>36</v>
      </c>
      <c r="T54" s="108">
        <v>446842</v>
      </c>
      <c r="U54" s="107">
        <v>1925</v>
      </c>
      <c r="V54" s="107" t="s">
        <v>554</v>
      </c>
      <c r="W54" s="107"/>
      <c r="X54" s="107"/>
      <c r="Y54" s="107"/>
      <c r="Z54" s="107"/>
      <c r="AA54" s="107"/>
      <c r="AB54" s="107"/>
      <c r="AC54" s="107"/>
      <c r="AD54" s="107"/>
    </row>
    <row r="55" spans="1:30" x14ac:dyDescent="0.25">
      <c r="A55" s="107" t="s">
        <v>1788</v>
      </c>
      <c r="B55" s="107" t="s">
        <v>152</v>
      </c>
      <c r="C55" s="107" t="s">
        <v>573</v>
      </c>
      <c r="D55" s="107">
        <v>2984</v>
      </c>
      <c r="E55" s="107">
        <v>1621</v>
      </c>
      <c r="F55" s="107">
        <v>4605</v>
      </c>
      <c r="G55" s="107">
        <v>118</v>
      </c>
      <c r="H55" s="107">
        <v>42</v>
      </c>
      <c r="I55" s="107">
        <v>160</v>
      </c>
      <c r="J55" s="107">
        <v>180</v>
      </c>
      <c r="K55" s="107">
        <v>135</v>
      </c>
      <c r="L55" s="111">
        <v>164</v>
      </c>
      <c r="M55" s="107">
        <v>5388</v>
      </c>
      <c r="N55" s="112">
        <v>886.45</v>
      </c>
      <c r="O55" s="107">
        <v>1095.3399999999999</v>
      </c>
      <c r="P55" s="107">
        <v>299.57</v>
      </c>
      <c r="Q55" s="112">
        <v>108</v>
      </c>
      <c r="R55" s="108">
        <v>259330</v>
      </c>
      <c r="S55" s="107">
        <v>26</v>
      </c>
      <c r="T55" s="108">
        <v>413200</v>
      </c>
      <c r="U55" s="107">
        <v>1925</v>
      </c>
      <c r="V55" s="107" t="s">
        <v>554</v>
      </c>
      <c r="W55" s="107"/>
      <c r="X55" s="107"/>
      <c r="Y55" s="107"/>
      <c r="Z55" s="107"/>
      <c r="AA55" s="107"/>
      <c r="AB55" s="107"/>
      <c r="AC55" s="107"/>
      <c r="AD55" s="107"/>
    </row>
    <row r="56" spans="1:30" x14ac:dyDescent="0.25">
      <c r="A56" s="107" t="s">
        <v>1789</v>
      </c>
      <c r="B56" s="107" t="s">
        <v>152</v>
      </c>
      <c r="C56" s="107" t="s">
        <v>2096</v>
      </c>
      <c r="D56" s="107">
        <v>2223</v>
      </c>
      <c r="E56" s="107">
        <v>913</v>
      </c>
      <c r="F56" s="107">
        <v>3136</v>
      </c>
      <c r="G56" s="107">
        <v>103</v>
      </c>
      <c r="H56" s="107">
        <v>20</v>
      </c>
      <c r="I56" s="107">
        <v>123</v>
      </c>
      <c r="J56" s="107">
        <v>172</v>
      </c>
      <c r="K56" s="107">
        <v>119</v>
      </c>
      <c r="L56" s="111">
        <v>157</v>
      </c>
      <c r="M56" s="107">
        <v>3930</v>
      </c>
      <c r="N56" s="112">
        <v>952.09</v>
      </c>
      <c r="O56" s="107">
        <v>983.32</v>
      </c>
      <c r="P56" s="107">
        <v>791.28</v>
      </c>
      <c r="Q56" s="112">
        <v>121.62</v>
      </c>
      <c r="R56" s="108">
        <v>352762</v>
      </c>
      <c r="S56" s="107">
        <v>34</v>
      </c>
      <c r="T56" s="108">
        <v>366383</v>
      </c>
      <c r="U56" s="107">
        <v>1925</v>
      </c>
      <c r="V56" s="107" t="s">
        <v>554</v>
      </c>
      <c r="W56" s="107"/>
      <c r="X56" s="107"/>
      <c r="Y56" s="107"/>
      <c r="Z56" s="107"/>
      <c r="AA56" s="107"/>
      <c r="AB56" s="107"/>
      <c r="AC56" s="107"/>
      <c r="AD56" s="107"/>
    </row>
    <row r="57" spans="1:30" x14ac:dyDescent="0.25">
      <c r="A57" s="107" t="s">
        <v>1040</v>
      </c>
      <c r="B57" s="107" t="s">
        <v>152</v>
      </c>
      <c r="C57" s="107" t="s">
        <v>2097</v>
      </c>
      <c r="D57" s="107">
        <v>5373</v>
      </c>
      <c r="E57" s="107">
        <v>2907</v>
      </c>
      <c r="F57" s="107">
        <v>8280</v>
      </c>
      <c r="G57" s="107">
        <v>197</v>
      </c>
      <c r="H57" s="107">
        <v>46</v>
      </c>
      <c r="I57" s="107">
        <v>243</v>
      </c>
      <c r="J57" s="107">
        <v>167</v>
      </c>
      <c r="K57" s="107">
        <v>91</v>
      </c>
      <c r="L57" s="111">
        <v>140</v>
      </c>
      <c r="M57" s="107">
        <v>9629</v>
      </c>
      <c r="N57" s="112">
        <v>859.06</v>
      </c>
      <c r="O57" s="107">
        <v>979.63</v>
      </c>
      <c r="P57" s="107">
        <v>342.72</v>
      </c>
      <c r="Q57" s="112">
        <v>122.45</v>
      </c>
      <c r="R57" s="108">
        <v>504210</v>
      </c>
      <c r="S57" s="107">
        <v>56</v>
      </c>
      <c r="T57" s="108">
        <v>792012</v>
      </c>
      <c r="U57" s="107">
        <v>1925</v>
      </c>
      <c r="V57" s="107" t="s">
        <v>554</v>
      </c>
      <c r="W57" s="107"/>
      <c r="X57" s="107"/>
      <c r="Y57" s="107"/>
      <c r="Z57" s="107"/>
      <c r="AA57" s="107"/>
      <c r="AB57" s="107"/>
      <c r="AC57" s="107"/>
      <c r="AD57" s="107"/>
    </row>
    <row r="58" spans="1:30" x14ac:dyDescent="0.25">
      <c r="A58" s="107" t="s">
        <v>1041</v>
      </c>
      <c r="B58" s="107" t="s">
        <v>152</v>
      </c>
      <c r="C58" s="107" t="s">
        <v>166</v>
      </c>
      <c r="D58" s="107">
        <v>471</v>
      </c>
      <c r="E58" s="107">
        <v>810</v>
      </c>
      <c r="F58" s="107">
        <v>1281</v>
      </c>
      <c r="G58" s="107">
        <v>33</v>
      </c>
      <c r="H58" s="107">
        <v>37</v>
      </c>
      <c r="I58" s="107">
        <v>70</v>
      </c>
      <c r="J58" s="107">
        <v>162</v>
      </c>
      <c r="K58" s="107">
        <v>91</v>
      </c>
      <c r="L58" s="111">
        <v>117</v>
      </c>
      <c r="M58" s="107">
        <v>2715</v>
      </c>
      <c r="N58" s="112">
        <v>633.76</v>
      </c>
      <c r="O58" s="107">
        <v>1096.56</v>
      </c>
      <c r="P58" s="107">
        <v>220.99</v>
      </c>
      <c r="Q58" s="112">
        <v>108.24</v>
      </c>
      <c r="R58" s="108">
        <v>162590</v>
      </c>
      <c r="S58" s="107">
        <v>17</v>
      </c>
      <c r="T58" s="108">
        <v>156850</v>
      </c>
      <c r="U58" s="107">
        <v>1925</v>
      </c>
      <c r="V58" s="107" t="s">
        <v>554</v>
      </c>
      <c r="W58" s="107"/>
      <c r="X58" s="107"/>
      <c r="Y58" s="107"/>
      <c r="Z58" s="107"/>
      <c r="AA58" s="107"/>
      <c r="AB58" s="107"/>
      <c r="AC58" s="107"/>
      <c r="AD58" s="107"/>
    </row>
    <row r="59" spans="1:30" x14ac:dyDescent="0.25">
      <c r="A59" s="107" t="s">
        <v>1042</v>
      </c>
      <c r="B59" s="107" t="s">
        <v>152</v>
      </c>
      <c r="C59" s="107" t="s">
        <v>167</v>
      </c>
      <c r="D59" s="107">
        <v>2946</v>
      </c>
      <c r="E59" s="107">
        <v>575</v>
      </c>
      <c r="F59" s="107">
        <v>3521</v>
      </c>
      <c r="G59" s="107">
        <v>94</v>
      </c>
      <c r="H59" s="107">
        <v>14</v>
      </c>
      <c r="I59" s="107">
        <v>108</v>
      </c>
      <c r="J59" s="107">
        <v>176</v>
      </c>
      <c r="K59" s="107">
        <v>100</v>
      </c>
      <c r="L59" s="111">
        <v>164</v>
      </c>
      <c r="M59" s="107">
        <v>4391</v>
      </c>
      <c r="N59" s="112">
        <v>761.72</v>
      </c>
      <c r="O59" s="107">
        <v>847.1</v>
      </c>
      <c r="P59" s="107">
        <v>188.43</v>
      </c>
      <c r="Q59" s="112">
        <v>93.13</v>
      </c>
      <c r="R59" s="108">
        <v>219751</v>
      </c>
      <c r="S59" s="107">
        <v>22</v>
      </c>
      <c r="T59" s="108">
        <v>382252</v>
      </c>
      <c r="U59" s="107">
        <v>1925</v>
      </c>
      <c r="V59" s="107" t="s">
        <v>554</v>
      </c>
      <c r="W59" s="107"/>
      <c r="X59" s="107"/>
      <c r="Y59" s="107"/>
      <c r="Z59" s="107"/>
      <c r="AA59" s="107"/>
      <c r="AB59" s="107"/>
      <c r="AC59" s="107"/>
      <c r="AD59" s="107"/>
    </row>
    <row r="60" spans="1:30" x14ac:dyDescent="0.25">
      <c r="A60" s="107" t="s">
        <v>1043</v>
      </c>
      <c r="B60" s="107" t="s">
        <v>152</v>
      </c>
      <c r="C60" s="107" t="s">
        <v>83</v>
      </c>
      <c r="D60" s="107">
        <v>4347</v>
      </c>
      <c r="E60" s="107">
        <v>918</v>
      </c>
      <c r="F60" s="107">
        <v>5265</v>
      </c>
      <c r="G60" s="107">
        <v>143</v>
      </c>
      <c r="H60" s="107">
        <v>25</v>
      </c>
      <c r="I60" s="107">
        <v>168</v>
      </c>
      <c r="J60" s="107">
        <v>162</v>
      </c>
      <c r="K60" s="107">
        <v>85</v>
      </c>
      <c r="L60" s="111">
        <v>149</v>
      </c>
      <c r="M60" s="107">
        <v>6456</v>
      </c>
      <c r="N60" s="112">
        <v>687.85</v>
      </c>
      <c r="O60" s="107">
        <v>752.04</v>
      </c>
      <c r="P60" s="107">
        <v>320.68</v>
      </c>
      <c r="Q60" s="112">
        <v>92.59</v>
      </c>
      <c r="R60" s="108">
        <v>301170</v>
      </c>
      <c r="S60" s="107">
        <v>50</v>
      </c>
      <c r="T60" s="108">
        <v>464400</v>
      </c>
      <c r="U60" s="107">
        <v>1925</v>
      </c>
      <c r="V60" s="107" t="s">
        <v>554</v>
      </c>
      <c r="W60" s="107"/>
      <c r="X60" s="107"/>
      <c r="Y60" s="107"/>
      <c r="Z60" s="107"/>
      <c r="AA60" s="107"/>
      <c r="AB60" s="107"/>
      <c r="AC60" s="107"/>
      <c r="AD60" s="107"/>
    </row>
    <row r="61" spans="1:30" x14ac:dyDescent="0.25">
      <c r="A61" s="107" t="s">
        <v>1752</v>
      </c>
      <c r="B61" s="107" t="s">
        <v>152</v>
      </c>
      <c r="C61" s="107" t="s">
        <v>2098</v>
      </c>
      <c r="D61" s="107">
        <v>5019</v>
      </c>
      <c r="E61" s="107">
        <v>502</v>
      </c>
      <c r="F61" s="107">
        <v>5521</v>
      </c>
      <c r="G61" s="107">
        <v>160</v>
      </c>
      <c r="H61" s="107">
        <v>10</v>
      </c>
      <c r="I61" s="107">
        <v>170</v>
      </c>
      <c r="J61" s="107">
        <v>174</v>
      </c>
      <c r="K61" s="107">
        <v>136</v>
      </c>
      <c r="L61" s="111">
        <v>171</v>
      </c>
      <c r="M61" s="107">
        <v>6914</v>
      </c>
      <c r="N61" s="112">
        <v>807.51</v>
      </c>
      <c r="O61" s="107">
        <v>834.88</v>
      </c>
      <c r="P61" s="107">
        <v>369.55</v>
      </c>
      <c r="Q61" s="112">
        <v>94.7</v>
      </c>
      <c r="R61" s="108">
        <v>554552</v>
      </c>
      <c r="S61" s="107">
        <v>49</v>
      </c>
      <c r="T61" s="108">
        <v>898954</v>
      </c>
      <c r="U61" s="107">
        <v>1925</v>
      </c>
      <c r="V61" s="107" t="s">
        <v>554</v>
      </c>
      <c r="W61" s="107"/>
      <c r="X61" s="107"/>
      <c r="Y61" s="107"/>
      <c r="Z61" s="107"/>
      <c r="AA61" s="107"/>
      <c r="AB61" s="107"/>
      <c r="AC61" s="107"/>
      <c r="AD61" s="107"/>
    </row>
    <row r="62" spans="1:30" x14ac:dyDescent="0.25">
      <c r="A62" s="107" t="s">
        <v>1044</v>
      </c>
      <c r="B62" s="107" t="s">
        <v>152</v>
      </c>
      <c r="C62" s="107" t="s">
        <v>2099</v>
      </c>
      <c r="D62" s="107">
        <v>4942</v>
      </c>
      <c r="E62" s="107">
        <v>1177</v>
      </c>
      <c r="F62" s="107">
        <v>6119</v>
      </c>
      <c r="G62" s="107">
        <v>225</v>
      </c>
      <c r="H62" s="107">
        <v>35</v>
      </c>
      <c r="I62" s="107">
        <v>260</v>
      </c>
      <c r="J62" s="107">
        <v>174</v>
      </c>
      <c r="K62" s="107">
        <v>133</v>
      </c>
      <c r="L62" s="111">
        <v>166</v>
      </c>
      <c r="M62" s="107">
        <v>7939</v>
      </c>
      <c r="N62" s="112">
        <v>872.49</v>
      </c>
      <c r="O62" s="107">
        <v>942.9</v>
      </c>
      <c r="P62" s="107">
        <v>419.82</v>
      </c>
      <c r="Q62" s="112">
        <v>105.05</v>
      </c>
      <c r="R62" s="108">
        <v>725559</v>
      </c>
      <c r="S62" s="107">
        <v>81</v>
      </c>
      <c r="T62" s="108">
        <v>753845</v>
      </c>
      <c r="U62" s="107">
        <v>1925</v>
      </c>
      <c r="V62" s="107" t="s">
        <v>554</v>
      </c>
      <c r="W62" s="107"/>
      <c r="X62" s="107"/>
      <c r="Y62" s="107"/>
      <c r="Z62" s="107"/>
      <c r="AA62" s="107"/>
      <c r="AB62" s="107"/>
      <c r="AC62" s="107"/>
      <c r="AD62" s="107"/>
    </row>
    <row r="63" spans="1:30" x14ac:dyDescent="0.25">
      <c r="A63" s="107" t="s">
        <v>1045</v>
      </c>
      <c r="B63" s="107" t="s">
        <v>152</v>
      </c>
      <c r="C63" s="107" t="s">
        <v>56</v>
      </c>
      <c r="D63" s="107">
        <v>4470</v>
      </c>
      <c r="E63" s="107">
        <v>1567</v>
      </c>
      <c r="F63" s="107">
        <v>6037</v>
      </c>
      <c r="G63" s="107">
        <v>199</v>
      </c>
      <c r="H63" s="107">
        <v>47</v>
      </c>
      <c r="I63" s="107">
        <v>246</v>
      </c>
      <c r="J63" s="107">
        <v>174</v>
      </c>
      <c r="K63" s="107">
        <v>134</v>
      </c>
      <c r="L63" s="111">
        <v>164</v>
      </c>
      <c r="M63" s="107">
        <v>8298</v>
      </c>
      <c r="N63" s="112">
        <v>709.9</v>
      </c>
      <c r="O63" s="107">
        <v>796.97</v>
      </c>
      <c r="P63" s="107">
        <v>341.25</v>
      </c>
      <c r="Q63" s="112">
        <v>86.78</v>
      </c>
      <c r="R63" s="108">
        <v>346774</v>
      </c>
      <c r="S63" s="107">
        <v>71</v>
      </c>
      <c r="T63" s="108">
        <v>694730</v>
      </c>
      <c r="U63" s="107">
        <v>1925</v>
      </c>
      <c r="V63" s="107" t="s">
        <v>554</v>
      </c>
      <c r="W63" s="107"/>
      <c r="X63" s="107"/>
      <c r="Y63" s="107"/>
      <c r="Z63" s="107"/>
      <c r="AA63" s="107"/>
      <c r="AB63" s="107"/>
      <c r="AC63" s="107"/>
      <c r="AD63" s="107"/>
    </row>
    <row r="64" spans="1:30" x14ac:dyDescent="0.25">
      <c r="A64" s="107" t="s">
        <v>1046</v>
      </c>
      <c r="B64" s="107" t="s">
        <v>152</v>
      </c>
      <c r="C64" s="107" t="s">
        <v>115</v>
      </c>
      <c r="D64" s="107">
        <v>3602</v>
      </c>
      <c r="E64" s="107">
        <v>2492</v>
      </c>
      <c r="F64" s="107">
        <v>6094</v>
      </c>
      <c r="G64" s="107">
        <v>130</v>
      </c>
      <c r="H64" s="107">
        <v>56</v>
      </c>
      <c r="I64" s="107">
        <v>186</v>
      </c>
      <c r="J64" s="107">
        <v>177</v>
      </c>
      <c r="K64" s="107">
        <v>110</v>
      </c>
      <c r="L64" s="111">
        <v>150</v>
      </c>
      <c r="M64" s="107">
        <v>7333</v>
      </c>
      <c r="N64" s="112">
        <v>815.69</v>
      </c>
      <c r="O64" s="107">
        <v>1021.35</v>
      </c>
      <c r="P64" s="107">
        <v>338.28</v>
      </c>
      <c r="Q64" s="112">
        <v>109.05</v>
      </c>
      <c r="R64" s="108">
        <v>587846</v>
      </c>
      <c r="S64" s="107">
        <v>65</v>
      </c>
      <c r="T64" s="108">
        <v>842500</v>
      </c>
      <c r="U64" s="107">
        <v>1925</v>
      </c>
      <c r="V64" s="107" t="s">
        <v>554</v>
      </c>
      <c r="W64" s="107"/>
      <c r="X64" s="107"/>
      <c r="Y64" s="107"/>
      <c r="Z64" s="107"/>
      <c r="AA64" s="107"/>
      <c r="AB64" s="107"/>
      <c r="AC64" s="107"/>
      <c r="AD64" s="107"/>
    </row>
    <row r="65" spans="1:30" x14ac:dyDescent="0.25">
      <c r="A65" s="107" t="s">
        <v>1050</v>
      </c>
      <c r="B65" s="107" t="s">
        <v>152</v>
      </c>
      <c r="C65" s="107" t="s">
        <v>2100</v>
      </c>
      <c r="D65" s="107">
        <v>3622</v>
      </c>
      <c r="E65" s="107">
        <v>401</v>
      </c>
      <c r="F65" s="107">
        <v>4023</v>
      </c>
      <c r="G65" s="107">
        <v>151</v>
      </c>
      <c r="H65" s="107">
        <v>26</v>
      </c>
      <c r="I65" s="107">
        <v>177</v>
      </c>
      <c r="J65" s="107">
        <v>90</v>
      </c>
      <c r="K65" s="107">
        <v>70</v>
      </c>
      <c r="L65" s="111">
        <v>88</v>
      </c>
      <c r="M65" s="107">
        <v>4666</v>
      </c>
      <c r="N65" s="112">
        <v>375.61</v>
      </c>
      <c r="O65" s="107">
        <v>412.06</v>
      </c>
      <c r="P65" s="107">
        <v>163.94</v>
      </c>
      <c r="Q65" s="112">
        <v>85.36</v>
      </c>
      <c r="R65" s="108">
        <v>279963</v>
      </c>
      <c r="S65" s="107">
        <v>73</v>
      </c>
      <c r="T65" s="108">
        <v>283115</v>
      </c>
      <c r="U65" s="107">
        <v>1925</v>
      </c>
      <c r="V65" s="107" t="s">
        <v>554</v>
      </c>
      <c r="W65" s="107"/>
      <c r="X65" s="107"/>
      <c r="Y65" s="107"/>
      <c r="Z65" s="107"/>
      <c r="AA65" s="107"/>
      <c r="AB65" s="107"/>
      <c r="AC65" s="107"/>
      <c r="AD65" s="107"/>
    </row>
    <row r="66" spans="1:30" x14ac:dyDescent="0.25">
      <c r="A66" s="107" t="s">
        <v>1772</v>
      </c>
      <c r="B66" s="107" t="s">
        <v>152</v>
      </c>
      <c r="C66" s="107" t="s">
        <v>2101</v>
      </c>
      <c r="D66" s="107">
        <v>1848</v>
      </c>
      <c r="E66" s="107">
        <v>1092</v>
      </c>
      <c r="F66" s="107">
        <v>2940</v>
      </c>
      <c r="G66" s="107">
        <v>81</v>
      </c>
      <c r="H66" s="107">
        <v>31</v>
      </c>
      <c r="I66" s="107">
        <v>112</v>
      </c>
      <c r="J66" s="107">
        <v>179</v>
      </c>
      <c r="K66" s="107">
        <v>177</v>
      </c>
      <c r="L66" s="111">
        <v>178</v>
      </c>
      <c r="M66" s="107">
        <v>3352</v>
      </c>
      <c r="N66" s="112">
        <v>1056.73</v>
      </c>
      <c r="O66" s="107">
        <v>1229.98</v>
      </c>
      <c r="P66" s="107">
        <v>604.05999999999995</v>
      </c>
      <c r="Q66" s="112">
        <v>118.56</v>
      </c>
      <c r="R66" s="108">
        <v>187644</v>
      </c>
      <c r="S66" s="107">
        <v>7</v>
      </c>
      <c r="T66" s="108">
        <v>619627</v>
      </c>
      <c r="U66" s="107"/>
      <c r="V66" s="107" t="s">
        <v>554</v>
      </c>
      <c r="W66" s="107"/>
      <c r="X66" s="107"/>
      <c r="Y66" s="107"/>
      <c r="Z66" s="107"/>
      <c r="AA66" s="107"/>
      <c r="AB66" s="107"/>
      <c r="AC66" s="107"/>
      <c r="AD66" s="107"/>
    </row>
    <row r="67" spans="1:30" x14ac:dyDescent="0.25">
      <c r="A67" s="107" t="s">
        <v>1773</v>
      </c>
      <c r="B67" s="107" t="s">
        <v>152</v>
      </c>
      <c r="C67" s="107" t="s">
        <v>2102</v>
      </c>
      <c r="D67" s="107">
        <v>1571</v>
      </c>
      <c r="E67" s="107">
        <v>560</v>
      </c>
      <c r="F67" s="107">
        <v>2131</v>
      </c>
      <c r="G67" s="107">
        <v>57</v>
      </c>
      <c r="H67" s="107">
        <v>13</v>
      </c>
      <c r="I67" s="107">
        <v>70</v>
      </c>
      <c r="J67" s="107">
        <v>177</v>
      </c>
      <c r="K67" s="107">
        <v>165</v>
      </c>
      <c r="L67" s="111">
        <v>174</v>
      </c>
      <c r="M67" s="107">
        <v>2502</v>
      </c>
      <c r="N67" s="112">
        <v>1090.08</v>
      </c>
      <c r="O67" s="107">
        <v>1215.19</v>
      </c>
      <c r="P67" s="107">
        <v>541.54</v>
      </c>
      <c r="Q67" s="112">
        <v>125.41</v>
      </c>
      <c r="R67" s="108">
        <v>100183</v>
      </c>
      <c r="S67" s="107">
        <v>4</v>
      </c>
      <c r="T67" s="108">
        <v>628675</v>
      </c>
      <c r="U67" s="107"/>
      <c r="V67" s="107" t="s">
        <v>554</v>
      </c>
      <c r="W67" s="107"/>
      <c r="X67" s="107"/>
      <c r="Y67" s="107"/>
      <c r="Z67" s="107"/>
      <c r="AA67" s="107"/>
      <c r="AB67" s="107"/>
      <c r="AC67" s="107"/>
      <c r="AD67" s="10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1:X8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.42578125" defaultRowHeight="15" x14ac:dyDescent="0.25"/>
  <cols>
    <col min="1" max="1" width="20.85546875" customWidth="1"/>
  </cols>
  <sheetData>
    <row r="1" spans="1:24" s="20" customFormat="1" ht="60" x14ac:dyDescent="0.25">
      <c r="B1" s="20" t="s">
        <v>2</v>
      </c>
      <c r="C1" s="20" t="s">
        <v>0</v>
      </c>
      <c r="D1" s="92" t="s">
        <v>1956</v>
      </c>
      <c r="E1" s="92" t="s">
        <v>372</v>
      </c>
      <c r="F1" s="83" t="s">
        <v>2360</v>
      </c>
      <c r="G1" s="94" t="s">
        <v>357</v>
      </c>
      <c r="H1" s="94" t="s">
        <v>377</v>
      </c>
      <c r="I1" s="83" t="s">
        <v>546</v>
      </c>
      <c r="J1" s="83" t="s">
        <v>2032</v>
      </c>
      <c r="K1" s="92" t="s">
        <v>358</v>
      </c>
      <c r="L1" s="93" t="s">
        <v>360</v>
      </c>
      <c r="M1" s="92" t="s">
        <v>374</v>
      </c>
      <c r="N1" s="91" t="s">
        <v>375</v>
      </c>
      <c r="O1" s="81" t="s">
        <v>1</v>
      </c>
      <c r="P1" s="20" t="s">
        <v>1960</v>
      </c>
      <c r="Q1" s="20" t="s">
        <v>1957</v>
      </c>
      <c r="R1" s="20" t="s">
        <v>1949</v>
      </c>
      <c r="S1" s="20" t="s">
        <v>1955</v>
      </c>
      <c r="T1" s="20" t="s">
        <v>1950</v>
      </c>
      <c r="U1" s="20" t="s">
        <v>1954</v>
      </c>
      <c r="V1" s="20" t="s">
        <v>1952</v>
      </c>
      <c r="W1" s="20" t="s">
        <v>1953</v>
      </c>
      <c r="X1" s="20" t="s">
        <v>1948</v>
      </c>
    </row>
    <row r="2" spans="1:24" x14ac:dyDescent="0.25">
      <c r="A2" s="27" t="s">
        <v>1051</v>
      </c>
      <c r="B2" s="27" t="str">
        <f t="shared" ref="B2:B65" si="0">LEFT(A2,FIND(";",A2)-1)</f>
        <v>Mississippi</v>
      </c>
      <c r="C2" s="27" t="str">
        <f t="shared" ref="C2:C65" si="1">MID(A2,FIND(";",A2)+1,100)</f>
        <v>Adams</v>
      </c>
      <c r="D2" s="27">
        <v>3758</v>
      </c>
      <c r="E2" s="27">
        <v>48</v>
      </c>
      <c r="F2" s="27"/>
      <c r="G2" s="26">
        <f>20*(J2/K2/E2)</f>
        <v>154.2948717948718</v>
      </c>
      <c r="H2" s="27">
        <v>5335</v>
      </c>
      <c r="I2" s="27"/>
      <c r="J2" s="27">
        <v>14442</v>
      </c>
      <c r="K2" s="27">
        <v>39</v>
      </c>
      <c r="L2" s="29">
        <v>29449.9</v>
      </c>
      <c r="M2" s="7">
        <v>43</v>
      </c>
      <c r="N2" s="29">
        <v>640300</v>
      </c>
      <c r="O2" s="41" t="s">
        <v>2621</v>
      </c>
      <c r="P2" s="4" t="s">
        <v>553</v>
      </c>
      <c r="Q2" s="27"/>
      <c r="R2" s="27">
        <v>97</v>
      </c>
      <c r="S2" s="27"/>
      <c r="T2" s="27" t="s">
        <v>553</v>
      </c>
      <c r="U2" s="27">
        <v>91</v>
      </c>
      <c r="V2" s="27" t="str">
        <f>CONCATENATE("https://archive.org/download/GADeptofEd1925/GA.pdf#page=",R2)</f>
        <v>https://archive.org/download/GADeptofEd1925/GA.pdf#page=97</v>
      </c>
      <c r="W2" s="27">
        <v>91</v>
      </c>
      <c r="X2" s="27" t="s">
        <v>2622</v>
      </c>
    </row>
    <row r="3" spans="1:24" x14ac:dyDescent="0.25">
      <c r="A3" s="27" t="s">
        <v>1052</v>
      </c>
      <c r="B3" s="27" t="str">
        <f t="shared" si="0"/>
        <v>Mississippi</v>
      </c>
      <c r="C3" s="27" t="str">
        <f t="shared" si="1"/>
        <v>Alcorn</v>
      </c>
      <c r="D3" s="27">
        <v>4757</v>
      </c>
      <c r="E3" s="27">
        <v>24</v>
      </c>
      <c r="F3" s="27"/>
      <c r="G3" s="26">
        <f t="shared" ref="G3:G66" si="2">20*(J3/K3/E3)</f>
        <v>785.24999999999989</v>
      </c>
      <c r="H3" s="27">
        <v>6922</v>
      </c>
      <c r="I3" s="27"/>
      <c r="J3" s="27">
        <v>48999.6</v>
      </c>
      <c r="K3" s="27">
        <v>52</v>
      </c>
      <c r="L3" s="2">
        <v>56102.59</v>
      </c>
      <c r="M3" s="27">
        <v>71</v>
      </c>
      <c r="N3" s="2">
        <v>594935</v>
      </c>
      <c r="O3" s="41" t="s">
        <v>2621</v>
      </c>
      <c r="P3" s="27" t="s">
        <v>553</v>
      </c>
      <c r="Q3" s="27"/>
      <c r="R3" s="27">
        <v>97</v>
      </c>
      <c r="S3" s="27"/>
      <c r="T3" s="27" t="s">
        <v>553</v>
      </c>
      <c r="U3" s="27">
        <v>91</v>
      </c>
      <c r="V3" s="27" t="str">
        <f t="shared" ref="V3:V66" si="3">CONCATENATE("https://archive.org/download/GADeptofEd1925/GA.pdf#page=",R3)</f>
        <v>https://archive.org/download/GADeptofEd1925/GA.pdf#page=97</v>
      </c>
      <c r="W3" s="27">
        <v>91</v>
      </c>
      <c r="X3" s="27" t="str">
        <f>X2</f>
        <v>https://ia601502.us.archive.org/10/items/MS-school-property-value-1935-7/1936%20%26%201937%2c%20selected%20pages.pdf</v>
      </c>
    </row>
    <row r="4" spans="1:24" x14ac:dyDescent="0.25">
      <c r="A4" s="27" t="s">
        <v>1053</v>
      </c>
      <c r="B4" s="27" t="str">
        <f t="shared" si="0"/>
        <v>Mississippi</v>
      </c>
      <c r="C4" s="27" t="str">
        <f t="shared" si="1"/>
        <v>Amite</v>
      </c>
      <c r="D4" s="27">
        <v>4037</v>
      </c>
      <c r="E4" s="27">
        <v>145</v>
      </c>
      <c r="F4" s="27"/>
      <c r="G4" s="26">
        <f t="shared" si="2"/>
        <v>196.06526324852555</v>
      </c>
      <c r="H4" s="27">
        <v>5372</v>
      </c>
      <c r="I4" s="27"/>
      <c r="J4" s="27">
        <v>56930</v>
      </c>
      <c r="K4" s="27">
        <v>40.049999999999997</v>
      </c>
      <c r="L4" s="2">
        <v>74528.06</v>
      </c>
      <c r="M4" s="27">
        <v>102</v>
      </c>
      <c r="N4" s="2">
        <v>236495</v>
      </c>
      <c r="O4" s="41" t="s">
        <v>2621</v>
      </c>
      <c r="P4" s="27" t="s">
        <v>553</v>
      </c>
      <c r="Q4" s="27"/>
      <c r="R4" s="27">
        <v>97</v>
      </c>
      <c r="S4" s="27"/>
      <c r="T4" s="27" t="s">
        <v>553</v>
      </c>
      <c r="U4" s="27">
        <v>91</v>
      </c>
      <c r="V4" s="27" t="str">
        <f t="shared" si="3"/>
        <v>https://archive.org/download/GADeptofEd1925/GA.pdf#page=97</v>
      </c>
      <c r="W4" s="27">
        <v>91</v>
      </c>
      <c r="X4" s="27" t="str">
        <f t="shared" ref="X4:X67" si="4">X3</f>
        <v>https://ia601502.us.archive.org/10/items/MS-school-property-value-1935-7/1936%20%26%201937%2c%20selected%20pages.pdf</v>
      </c>
    </row>
    <row r="5" spans="1:24" x14ac:dyDescent="0.25">
      <c r="A5" s="27" t="s">
        <v>1054</v>
      </c>
      <c r="B5" s="27" t="str">
        <f t="shared" si="0"/>
        <v>Mississippi</v>
      </c>
      <c r="C5" s="27" t="str">
        <f t="shared" si="1"/>
        <v>Attala</v>
      </c>
      <c r="D5" s="27">
        <v>5736</v>
      </c>
      <c r="E5" s="27">
        <v>153</v>
      </c>
      <c r="F5" s="27"/>
      <c r="G5" s="26">
        <f t="shared" si="2"/>
        <v>187.70858997039221</v>
      </c>
      <c r="H5" s="27">
        <v>8913</v>
      </c>
      <c r="I5" s="27"/>
      <c r="J5" s="27">
        <v>60799</v>
      </c>
      <c r="K5" s="27">
        <v>42.34</v>
      </c>
      <c r="L5" s="2">
        <v>84502.51</v>
      </c>
      <c r="M5" s="27">
        <v>110</v>
      </c>
      <c r="N5" s="2">
        <v>445995</v>
      </c>
      <c r="O5" s="41" t="s">
        <v>2621</v>
      </c>
      <c r="P5" s="27" t="s">
        <v>553</v>
      </c>
      <c r="Q5" s="27"/>
      <c r="R5" s="27">
        <v>97</v>
      </c>
      <c r="S5" s="27"/>
      <c r="T5" s="27" t="s">
        <v>553</v>
      </c>
      <c r="U5" s="27">
        <v>91</v>
      </c>
      <c r="V5" s="27" t="str">
        <f t="shared" si="3"/>
        <v>https://archive.org/download/GADeptofEd1925/GA.pdf#page=97</v>
      </c>
      <c r="W5" s="27">
        <v>91</v>
      </c>
      <c r="X5" s="27" t="str">
        <f t="shared" si="4"/>
        <v>https://ia601502.us.archive.org/10/items/MS-school-property-value-1935-7/1936%20%26%201937%2c%20selected%20pages.pdf</v>
      </c>
    </row>
    <row r="6" spans="1:24" x14ac:dyDescent="0.25">
      <c r="A6" s="27" t="s">
        <v>1055</v>
      </c>
      <c r="B6" s="27" t="str">
        <f t="shared" si="0"/>
        <v>Mississippi</v>
      </c>
      <c r="C6" s="27" t="str">
        <f t="shared" si="1"/>
        <v>Benton</v>
      </c>
      <c r="D6" s="27">
        <v>2459</v>
      </c>
      <c r="E6" s="27">
        <v>93</v>
      </c>
      <c r="F6" s="27"/>
      <c r="G6" s="26">
        <f t="shared" si="2"/>
        <v>181.06953405017921</v>
      </c>
      <c r="H6" s="27">
        <v>3304</v>
      </c>
      <c r="I6" s="27"/>
      <c r="J6" s="27">
        <v>31574</v>
      </c>
      <c r="K6" s="27">
        <v>37.5</v>
      </c>
      <c r="L6" s="2">
        <v>52053.43</v>
      </c>
      <c r="M6" s="27">
        <v>76</v>
      </c>
      <c r="N6" s="2">
        <v>102243</v>
      </c>
      <c r="O6" s="41" t="s">
        <v>2621</v>
      </c>
      <c r="P6" s="27" t="s">
        <v>553</v>
      </c>
      <c r="Q6" s="27"/>
      <c r="R6" s="27">
        <v>97</v>
      </c>
      <c r="S6" s="27"/>
      <c r="T6" s="27" t="s">
        <v>553</v>
      </c>
      <c r="U6" s="27">
        <v>91</v>
      </c>
      <c r="V6" s="27" t="str">
        <f t="shared" si="3"/>
        <v>https://archive.org/download/GADeptofEd1925/GA.pdf#page=97</v>
      </c>
      <c r="W6" s="27">
        <v>91</v>
      </c>
      <c r="X6" s="27" t="str">
        <f t="shared" si="4"/>
        <v>https://ia601502.us.archive.org/10/items/MS-school-property-value-1935-7/1936%20%26%201937%2c%20selected%20pages.pdf</v>
      </c>
    </row>
    <row r="7" spans="1:24" x14ac:dyDescent="0.25">
      <c r="A7" s="27" t="s">
        <v>1056</v>
      </c>
      <c r="B7" s="27" t="str">
        <f t="shared" si="0"/>
        <v>Mississippi</v>
      </c>
      <c r="C7" s="27" t="str">
        <f t="shared" si="1"/>
        <v>Bolivar</v>
      </c>
      <c r="D7" s="27">
        <v>11847</v>
      </c>
      <c r="E7" s="27">
        <v>296</v>
      </c>
      <c r="F7" s="27"/>
      <c r="G7" s="129">
        <f t="shared" si="2"/>
        <v>329.57260695435372</v>
      </c>
      <c r="H7" s="27">
        <v>18025</v>
      </c>
      <c r="I7" s="27"/>
      <c r="J7" s="27">
        <v>248517.52</v>
      </c>
      <c r="K7" s="27">
        <v>50.95</v>
      </c>
      <c r="L7" s="2">
        <v>592801.21</v>
      </c>
      <c r="M7" s="27">
        <v>172</v>
      </c>
      <c r="N7" s="2">
        <v>1405375</v>
      </c>
      <c r="O7" s="41" t="s">
        <v>2621</v>
      </c>
      <c r="P7" s="27" t="s">
        <v>553</v>
      </c>
      <c r="Q7" s="27"/>
      <c r="R7" s="27">
        <v>97</v>
      </c>
      <c r="S7" s="27"/>
      <c r="T7" s="27" t="s">
        <v>553</v>
      </c>
      <c r="U7" s="27">
        <v>91</v>
      </c>
      <c r="V7" s="27" t="str">
        <f t="shared" si="3"/>
        <v>https://archive.org/download/GADeptofEd1925/GA.pdf#page=97</v>
      </c>
      <c r="W7" s="27">
        <v>91</v>
      </c>
      <c r="X7" s="27" t="str">
        <f t="shared" si="4"/>
        <v>https://ia601502.us.archive.org/10/items/MS-school-property-value-1935-7/1936%20%26%201937%2c%20selected%20pages.pdf</v>
      </c>
    </row>
    <row r="8" spans="1:24" x14ac:dyDescent="0.25">
      <c r="A8" s="27" t="s">
        <v>1057</v>
      </c>
      <c r="B8" s="27" t="str">
        <f t="shared" si="0"/>
        <v>Mississippi</v>
      </c>
      <c r="C8" s="27" t="str">
        <f t="shared" si="1"/>
        <v>Calhoun</v>
      </c>
      <c r="D8" s="27">
        <v>3418</v>
      </c>
      <c r="E8" s="27">
        <v>145</v>
      </c>
      <c r="F8" s="27"/>
      <c r="G8" s="26">
        <f t="shared" si="2"/>
        <v>234.73144399460193</v>
      </c>
      <c r="H8" s="27">
        <v>5206</v>
      </c>
      <c r="I8" s="27"/>
      <c r="J8" s="27">
        <v>63051.8</v>
      </c>
      <c r="K8" s="27">
        <v>37.049999999999997</v>
      </c>
      <c r="L8" s="2">
        <v>76144.259999999995</v>
      </c>
      <c r="M8" s="27">
        <v>97</v>
      </c>
      <c r="N8" s="2">
        <v>165670</v>
      </c>
      <c r="O8" s="41" t="s">
        <v>2621</v>
      </c>
      <c r="P8" s="27" t="s">
        <v>553</v>
      </c>
      <c r="Q8" s="27"/>
      <c r="R8" s="27">
        <v>97</v>
      </c>
      <c r="S8" s="27"/>
      <c r="T8" s="27" t="s">
        <v>553</v>
      </c>
      <c r="U8" s="27">
        <v>91</v>
      </c>
      <c r="V8" s="27" t="str">
        <f t="shared" si="3"/>
        <v>https://archive.org/download/GADeptofEd1925/GA.pdf#page=97</v>
      </c>
      <c r="W8" s="27">
        <v>91</v>
      </c>
      <c r="X8" s="27" t="str">
        <f t="shared" si="4"/>
        <v>https://ia601502.us.archive.org/10/items/MS-school-property-value-1935-7/1936%20%26%201937%2c%20selected%20pages.pdf</v>
      </c>
    </row>
    <row r="9" spans="1:24" x14ac:dyDescent="0.25">
      <c r="A9" s="27" t="s">
        <v>1058</v>
      </c>
      <c r="B9" s="27" t="str">
        <f t="shared" si="0"/>
        <v>Mississippi</v>
      </c>
      <c r="C9" s="27" t="str">
        <f t="shared" si="1"/>
        <v>Carroll</v>
      </c>
      <c r="D9" s="27">
        <v>3522</v>
      </c>
      <c r="E9" s="27">
        <v>67</v>
      </c>
      <c r="F9" s="27"/>
      <c r="G9" s="26">
        <f t="shared" si="2"/>
        <v>243.41127462267903</v>
      </c>
      <c r="H9" s="27">
        <v>5513</v>
      </c>
      <c r="I9" s="27"/>
      <c r="J9" s="27">
        <v>34884</v>
      </c>
      <c r="K9" s="27">
        <v>42.78</v>
      </c>
      <c r="L9" s="2">
        <v>45351.72</v>
      </c>
      <c r="M9" s="27">
        <v>99</v>
      </c>
      <c r="N9" s="2">
        <v>181522.5</v>
      </c>
      <c r="O9" s="41" t="s">
        <v>2621</v>
      </c>
      <c r="P9" s="27" t="s">
        <v>553</v>
      </c>
      <c r="Q9" s="27"/>
      <c r="R9" s="27">
        <v>97</v>
      </c>
      <c r="S9" s="27"/>
      <c r="T9" s="27" t="s">
        <v>553</v>
      </c>
      <c r="U9" s="27">
        <v>91</v>
      </c>
      <c r="V9" s="27" t="str">
        <f t="shared" si="3"/>
        <v>https://archive.org/download/GADeptofEd1925/GA.pdf#page=97</v>
      </c>
      <c r="W9" s="27">
        <v>91</v>
      </c>
      <c r="X9" s="27" t="str">
        <f t="shared" si="4"/>
        <v>https://ia601502.us.archive.org/10/items/MS-school-property-value-1935-7/1936%20%26%201937%2c%20selected%20pages.pdf</v>
      </c>
    </row>
    <row r="10" spans="1:24" x14ac:dyDescent="0.25">
      <c r="A10" s="27" t="s">
        <v>1059</v>
      </c>
      <c r="B10" s="27" t="str">
        <f t="shared" si="0"/>
        <v>Mississippi</v>
      </c>
      <c r="C10" s="27" t="str">
        <f t="shared" si="1"/>
        <v>Chickasaw</v>
      </c>
      <c r="D10" s="27">
        <v>5007</v>
      </c>
      <c r="E10" s="27">
        <v>105</v>
      </c>
      <c r="F10" s="27"/>
      <c r="G10" s="26">
        <f t="shared" si="2"/>
        <v>193.02939155316727</v>
      </c>
      <c r="H10" s="27">
        <v>7046</v>
      </c>
      <c r="I10" s="27"/>
      <c r="J10" s="27">
        <v>42836.6</v>
      </c>
      <c r="K10" s="27">
        <v>42.27</v>
      </c>
      <c r="L10" s="2">
        <v>48742.6</v>
      </c>
      <c r="M10" s="27">
        <v>103</v>
      </c>
      <c r="N10" s="2">
        <v>472510</v>
      </c>
      <c r="O10" s="41" t="s">
        <v>2621</v>
      </c>
      <c r="P10" s="27" t="s">
        <v>553</v>
      </c>
      <c r="Q10" s="27"/>
      <c r="R10" s="27">
        <v>97</v>
      </c>
      <c r="S10" s="27"/>
      <c r="T10" s="27" t="s">
        <v>553</v>
      </c>
      <c r="U10" s="27">
        <v>91</v>
      </c>
      <c r="V10" s="27" t="str">
        <f t="shared" si="3"/>
        <v>https://archive.org/download/GADeptofEd1925/GA.pdf#page=97</v>
      </c>
      <c r="W10" s="27">
        <v>91</v>
      </c>
      <c r="X10" s="27" t="str">
        <f t="shared" si="4"/>
        <v>https://ia601502.us.archive.org/10/items/MS-school-property-value-1935-7/1936%20%26%201937%2c%20selected%20pages.pdf</v>
      </c>
    </row>
    <row r="11" spans="1:24" x14ac:dyDescent="0.25">
      <c r="A11" s="27" t="s">
        <v>1060</v>
      </c>
      <c r="B11" s="27" t="str">
        <f t="shared" si="0"/>
        <v>Mississippi</v>
      </c>
      <c r="C11" s="27" t="str">
        <f t="shared" si="1"/>
        <v>Choctaw</v>
      </c>
      <c r="D11" s="27">
        <v>3881</v>
      </c>
      <c r="E11" s="27">
        <v>108</v>
      </c>
      <c r="F11" s="27"/>
      <c r="G11" s="26">
        <f t="shared" si="2"/>
        <v>146.57794757508225</v>
      </c>
      <c r="H11" s="27">
        <v>4864</v>
      </c>
      <c r="I11" s="27"/>
      <c r="J11" s="27">
        <v>27624.080000000002</v>
      </c>
      <c r="K11" s="27">
        <v>34.9</v>
      </c>
      <c r="L11" s="2">
        <v>42122.96</v>
      </c>
      <c r="M11" s="27">
        <v>79</v>
      </c>
      <c r="N11" s="2">
        <v>134480</v>
      </c>
      <c r="O11" s="41" t="s">
        <v>2621</v>
      </c>
      <c r="P11" s="27" t="s">
        <v>553</v>
      </c>
      <c r="Q11" s="27"/>
      <c r="R11" s="27">
        <v>97</v>
      </c>
      <c r="S11" s="27"/>
      <c r="T11" s="27" t="s">
        <v>553</v>
      </c>
      <c r="U11" s="27">
        <v>91</v>
      </c>
      <c r="V11" s="27" t="str">
        <f t="shared" si="3"/>
        <v>https://archive.org/download/GADeptofEd1925/GA.pdf#page=97</v>
      </c>
      <c r="W11" s="27">
        <v>91</v>
      </c>
      <c r="X11" s="27" t="str">
        <f t="shared" si="4"/>
        <v>https://ia601502.us.archive.org/10/items/MS-school-property-value-1935-7/1936%20%26%201937%2c%20selected%20pages.pdf</v>
      </c>
    </row>
    <row r="12" spans="1:24" x14ac:dyDescent="0.25">
      <c r="A12" s="27" t="s">
        <v>1061</v>
      </c>
      <c r="B12" s="27" t="str">
        <f t="shared" si="0"/>
        <v>Mississippi</v>
      </c>
      <c r="C12" s="27" t="str">
        <f t="shared" si="1"/>
        <v>Claiborne</v>
      </c>
      <c r="D12" s="27">
        <v>2110</v>
      </c>
      <c r="E12" s="27">
        <v>45</v>
      </c>
      <c r="F12" s="27"/>
      <c r="G12" s="26">
        <f t="shared" si="2"/>
        <v>280.13554745510999</v>
      </c>
      <c r="H12" s="27">
        <v>3446</v>
      </c>
      <c r="I12" s="27"/>
      <c r="J12" s="27">
        <v>31124.46</v>
      </c>
      <c r="K12" s="27">
        <v>49.38</v>
      </c>
      <c r="L12" s="2">
        <v>41056.83</v>
      </c>
      <c r="M12" s="27">
        <v>66</v>
      </c>
      <c r="N12" s="2">
        <v>134125</v>
      </c>
      <c r="O12" s="41" t="s">
        <v>2621</v>
      </c>
      <c r="P12" s="27" t="s">
        <v>553</v>
      </c>
      <c r="Q12" s="27"/>
      <c r="R12" s="27">
        <v>97</v>
      </c>
      <c r="S12" s="27"/>
      <c r="T12" s="27" t="s">
        <v>553</v>
      </c>
      <c r="U12" s="27">
        <v>91</v>
      </c>
      <c r="V12" s="27" t="str">
        <f t="shared" si="3"/>
        <v>https://archive.org/download/GADeptofEd1925/GA.pdf#page=97</v>
      </c>
      <c r="W12" s="27">
        <v>91</v>
      </c>
      <c r="X12" s="27" t="str">
        <f t="shared" si="4"/>
        <v>https://ia601502.us.archive.org/10/items/MS-school-property-value-1935-7/1936%20%26%201937%2c%20selected%20pages.pdf</v>
      </c>
    </row>
    <row r="13" spans="1:24" x14ac:dyDescent="0.25">
      <c r="A13" s="27" t="s">
        <v>1062</v>
      </c>
      <c r="B13" s="27" t="str">
        <f t="shared" si="0"/>
        <v>Mississippi</v>
      </c>
      <c r="C13" s="27" t="str">
        <f t="shared" si="1"/>
        <v>Clarke</v>
      </c>
      <c r="D13" s="27">
        <v>4414</v>
      </c>
      <c r="E13" s="27">
        <v>120</v>
      </c>
      <c r="F13" s="27"/>
      <c r="G13" s="26">
        <f t="shared" si="2"/>
        <v>215.31023550724638</v>
      </c>
      <c r="H13" s="27">
        <v>6167</v>
      </c>
      <c r="I13" s="27"/>
      <c r="J13" s="27">
        <v>57048.6</v>
      </c>
      <c r="K13" s="27">
        <v>44.16</v>
      </c>
      <c r="L13" s="2">
        <v>71293.69</v>
      </c>
      <c r="M13" s="27">
        <v>87</v>
      </c>
      <c r="N13" s="2">
        <v>307050</v>
      </c>
      <c r="O13" s="41" t="s">
        <v>2621</v>
      </c>
      <c r="P13" s="27" t="s">
        <v>553</v>
      </c>
      <c r="Q13" s="27"/>
      <c r="R13" s="27">
        <v>97</v>
      </c>
      <c r="S13" s="27"/>
      <c r="T13" s="27" t="s">
        <v>553</v>
      </c>
      <c r="U13" s="27">
        <v>91</v>
      </c>
      <c r="V13" s="27" t="str">
        <f t="shared" si="3"/>
        <v>https://archive.org/download/GADeptofEd1925/GA.pdf#page=97</v>
      </c>
      <c r="W13" s="27">
        <v>91</v>
      </c>
      <c r="X13" s="27" t="str">
        <f t="shared" si="4"/>
        <v>https://ia601502.us.archive.org/10/items/MS-school-property-value-1935-7/1936%20%26%201937%2c%20selected%20pages.pdf</v>
      </c>
    </row>
    <row r="14" spans="1:24" x14ac:dyDescent="0.25">
      <c r="A14" s="27" t="s">
        <v>1063</v>
      </c>
      <c r="B14" s="27" t="str">
        <f t="shared" si="0"/>
        <v>Mississippi</v>
      </c>
      <c r="C14" s="27" t="str">
        <f t="shared" si="1"/>
        <v>Clay</v>
      </c>
      <c r="D14" s="27">
        <v>3503</v>
      </c>
      <c r="E14" s="27">
        <v>96</v>
      </c>
      <c r="F14" s="27"/>
      <c r="G14" s="26">
        <f t="shared" si="2"/>
        <v>138.34791620808571</v>
      </c>
      <c r="H14" s="27">
        <v>4727</v>
      </c>
      <c r="I14" s="27"/>
      <c r="J14" s="27">
        <v>30168.7</v>
      </c>
      <c r="K14" s="27">
        <v>45.43</v>
      </c>
      <c r="L14" s="2">
        <v>56648.05</v>
      </c>
      <c r="M14" s="27">
        <v>73</v>
      </c>
      <c r="N14" s="2">
        <v>344665</v>
      </c>
      <c r="O14" s="41" t="s">
        <v>2621</v>
      </c>
      <c r="P14" s="27" t="s">
        <v>553</v>
      </c>
      <c r="Q14" s="27"/>
      <c r="R14" s="27">
        <v>97</v>
      </c>
      <c r="S14" s="27"/>
      <c r="T14" s="27" t="s">
        <v>553</v>
      </c>
      <c r="U14" s="27">
        <v>91</v>
      </c>
      <c r="V14" s="27" t="str">
        <f t="shared" si="3"/>
        <v>https://archive.org/download/GADeptofEd1925/GA.pdf#page=97</v>
      </c>
      <c r="W14" s="27">
        <v>91</v>
      </c>
      <c r="X14" s="27" t="str">
        <f t="shared" si="4"/>
        <v>https://ia601502.us.archive.org/10/items/MS-school-property-value-1935-7/1936%20%26%201937%2c%20selected%20pages.pdf</v>
      </c>
    </row>
    <row r="15" spans="1:24" x14ac:dyDescent="0.25">
      <c r="A15" s="27" t="s">
        <v>1064</v>
      </c>
      <c r="B15" s="27" t="str">
        <f t="shared" si="0"/>
        <v>Mississippi</v>
      </c>
      <c r="C15" s="27" t="str">
        <f t="shared" si="1"/>
        <v>Coahoma</v>
      </c>
      <c r="D15" s="27">
        <v>6562</v>
      </c>
      <c r="E15" s="27">
        <v>110</v>
      </c>
      <c r="F15" s="27"/>
      <c r="G15" s="26">
        <f t="shared" si="2"/>
        <v>188.00010132910003</v>
      </c>
      <c r="H15" s="27">
        <v>11363</v>
      </c>
      <c r="I15" s="27"/>
      <c r="J15" s="27">
        <v>55660.25</v>
      </c>
      <c r="K15" s="27">
        <v>53.83</v>
      </c>
      <c r="L15" s="2">
        <v>108429.9</v>
      </c>
      <c r="M15" s="27">
        <v>103</v>
      </c>
      <c r="N15" s="2">
        <v>957950</v>
      </c>
      <c r="O15" s="41" t="s">
        <v>2621</v>
      </c>
      <c r="P15" s="27" t="s">
        <v>553</v>
      </c>
      <c r="Q15" s="27"/>
      <c r="R15" s="27">
        <v>97</v>
      </c>
      <c r="S15" s="27"/>
      <c r="T15" s="27" t="s">
        <v>553</v>
      </c>
      <c r="U15" s="27">
        <v>91</v>
      </c>
      <c r="V15" s="27" t="str">
        <f t="shared" si="3"/>
        <v>https://archive.org/download/GADeptofEd1925/GA.pdf#page=97</v>
      </c>
      <c r="W15" s="27">
        <v>91</v>
      </c>
      <c r="X15" s="27" t="str">
        <f t="shared" si="4"/>
        <v>https://ia601502.us.archive.org/10/items/MS-school-property-value-1935-7/1936%20%26%201937%2c%20selected%20pages.pdf</v>
      </c>
    </row>
    <row r="16" spans="1:24" x14ac:dyDescent="0.25">
      <c r="A16" s="27" t="s">
        <v>1065</v>
      </c>
      <c r="B16" s="27" t="str">
        <f t="shared" si="0"/>
        <v>Mississippi</v>
      </c>
      <c r="C16" s="27" t="str">
        <f t="shared" si="1"/>
        <v>Copiah</v>
      </c>
      <c r="D16" s="27">
        <v>6963</v>
      </c>
      <c r="E16" s="27">
        <v>183</v>
      </c>
      <c r="F16" s="27"/>
      <c r="G16" s="26">
        <f t="shared" si="2"/>
        <v>185.67037096011677</v>
      </c>
      <c r="H16" s="27">
        <v>9472</v>
      </c>
      <c r="I16" s="27"/>
      <c r="J16" s="27">
        <v>75209.59</v>
      </c>
      <c r="K16" s="27">
        <v>44.27</v>
      </c>
      <c r="L16" s="2">
        <v>133027.65</v>
      </c>
      <c r="M16" s="27">
        <v>124</v>
      </c>
      <c r="N16" s="2">
        <v>804507</v>
      </c>
      <c r="O16" s="41" t="s">
        <v>2621</v>
      </c>
      <c r="P16" s="27" t="s">
        <v>553</v>
      </c>
      <c r="Q16" s="27"/>
      <c r="R16" s="27">
        <v>97</v>
      </c>
      <c r="S16" s="27"/>
      <c r="T16" s="27" t="s">
        <v>553</v>
      </c>
      <c r="U16" s="27">
        <v>91</v>
      </c>
      <c r="V16" s="27" t="str">
        <f t="shared" si="3"/>
        <v>https://archive.org/download/GADeptofEd1925/GA.pdf#page=97</v>
      </c>
      <c r="W16" s="27">
        <v>91</v>
      </c>
      <c r="X16" s="27" t="str">
        <f t="shared" si="4"/>
        <v>https://ia601502.us.archive.org/10/items/MS-school-property-value-1935-7/1936%20%26%201937%2c%20selected%20pages.pdf</v>
      </c>
    </row>
    <row r="17" spans="1:24" x14ac:dyDescent="0.25">
      <c r="A17" s="27" t="s">
        <v>1066</v>
      </c>
      <c r="B17" s="27" t="str">
        <f t="shared" si="0"/>
        <v>Mississippi</v>
      </c>
      <c r="C17" s="27" t="str">
        <f t="shared" si="1"/>
        <v>Covington</v>
      </c>
      <c r="D17" s="27">
        <v>3634</v>
      </c>
      <c r="E17" s="27">
        <v>96</v>
      </c>
      <c r="F17" s="27"/>
      <c r="G17" s="26">
        <f t="shared" si="2"/>
        <v>107.76173628547517</v>
      </c>
      <c r="H17" s="27">
        <v>6253</v>
      </c>
      <c r="I17" s="27"/>
      <c r="J17" s="27">
        <v>22661</v>
      </c>
      <c r="K17" s="27">
        <v>43.81</v>
      </c>
      <c r="L17" s="2">
        <v>30034.12</v>
      </c>
      <c r="M17" s="27">
        <v>50</v>
      </c>
      <c r="N17" s="2">
        <v>286536</v>
      </c>
      <c r="O17" s="41" t="s">
        <v>2621</v>
      </c>
      <c r="P17" s="27" t="s">
        <v>553</v>
      </c>
      <c r="Q17" s="27"/>
      <c r="R17" s="27">
        <v>97</v>
      </c>
      <c r="S17" s="27"/>
      <c r="T17" s="27" t="s">
        <v>553</v>
      </c>
      <c r="U17" s="27">
        <v>91</v>
      </c>
      <c r="V17" s="27" t="str">
        <f t="shared" si="3"/>
        <v>https://archive.org/download/GADeptofEd1925/GA.pdf#page=97</v>
      </c>
      <c r="W17" s="27">
        <v>91</v>
      </c>
      <c r="X17" s="27" t="str">
        <f t="shared" si="4"/>
        <v>https://ia601502.us.archive.org/10/items/MS-school-property-value-1935-7/1936%20%26%201937%2c%20selected%20pages.pdf</v>
      </c>
    </row>
    <row r="18" spans="1:24" x14ac:dyDescent="0.25">
      <c r="A18" s="27" t="s">
        <v>1753</v>
      </c>
      <c r="B18" s="27" t="str">
        <f t="shared" si="0"/>
        <v>Mississippi</v>
      </c>
      <c r="C18" s="27" t="str">
        <f t="shared" si="1"/>
        <v>DeSoto</v>
      </c>
      <c r="D18" s="27">
        <v>11158</v>
      </c>
      <c r="E18" s="27">
        <v>122</v>
      </c>
      <c r="F18" s="27"/>
      <c r="G18" s="26">
        <f t="shared" si="2"/>
        <v>173.92166213728413</v>
      </c>
      <c r="H18" s="27">
        <v>13470</v>
      </c>
      <c r="I18" s="27"/>
      <c r="J18" s="27">
        <v>49598.11</v>
      </c>
      <c r="K18" s="27">
        <v>46.75</v>
      </c>
      <c r="L18" s="2">
        <v>75791.48</v>
      </c>
      <c r="M18" s="27">
        <v>74</v>
      </c>
      <c r="N18" s="2">
        <v>437699</v>
      </c>
      <c r="O18" s="41" t="s">
        <v>2621</v>
      </c>
      <c r="P18" s="27" t="s">
        <v>553</v>
      </c>
      <c r="Q18" s="27"/>
      <c r="R18" s="27">
        <v>97</v>
      </c>
      <c r="S18" s="27"/>
      <c r="T18" s="27" t="s">
        <v>553</v>
      </c>
      <c r="U18" s="27">
        <v>91</v>
      </c>
      <c r="V18" s="27" t="str">
        <f t="shared" si="3"/>
        <v>https://archive.org/download/GADeptofEd1925/GA.pdf#page=97</v>
      </c>
      <c r="W18" s="27">
        <v>91</v>
      </c>
      <c r="X18" s="27" t="str">
        <f t="shared" si="4"/>
        <v>https://ia601502.us.archive.org/10/items/MS-school-property-value-1935-7/1936%20%26%201937%2c%20selected%20pages.pdf</v>
      </c>
    </row>
    <row r="19" spans="1:24" x14ac:dyDescent="0.25">
      <c r="A19" s="27" t="s">
        <v>1067</v>
      </c>
      <c r="B19" s="27" t="str">
        <f t="shared" si="0"/>
        <v>Mississippi</v>
      </c>
      <c r="C19" s="27" t="str">
        <f t="shared" si="1"/>
        <v>Forrest</v>
      </c>
      <c r="D19" s="27">
        <v>5340</v>
      </c>
      <c r="E19" s="27">
        <v>72</v>
      </c>
      <c r="F19" s="27"/>
      <c r="G19" s="26">
        <f t="shared" si="2"/>
        <v>201.92149154778022</v>
      </c>
      <c r="H19" s="27">
        <v>6126</v>
      </c>
      <c r="I19" s="27"/>
      <c r="J19" s="27">
        <v>46537.25</v>
      </c>
      <c r="K19" s="27">
        <v>64.02</v>
      </c>
      <c r="L19" s="2">
        <v>68617.25</v>
      </c>
      <c r="M19" s="27">
        <v>36</v>
      </c>
      <c r="N19" s="2">
        <v>1446375</v>
      </c>
      <c r="O19" s="41" t="s">
        <v>2621</v>
      </c>
      <c r="P19" s="27" t="s">
        <v>553</v>
      </c>
      <c r="Q19" s="27"/>
      <c r="R19" s="27">
        <v>97</v>
      </c>
      <c r="S19" s="27"/>
      <c r="T19" s="27" t="s">
        <v>553</v>
      </c>
      <c r="U19" s="27">
        <v>91</v>
      </c>
      <c r="V19" s="27" t="str">
        <f t="shared" si="3"/>
        <v>https://archive.org/download/GADeptofEd1925/GA.pdf#page=97</v>
      </c>
      <c r="W19" s="27">
        <v>91</v>
      </c>
      <c r="X19" s="27" t="str">
        <f t="shared" si="4"/>
        <v>https://ia601502.us.archive.org/10/items/MS-school-property-value-1935-7/1936%20%26%201937%2c%20selected%20pages.pdf</v>
      </c>
    </row>
    <row r="20" spans="1:24" x14ac:dyDescent="0.25">
      <c r="A20" s="27" t="s">
        <v>1068</v>
      </c>
      <c r="B20" s="27" t="str">
        <f t="shared" si="0"/>
        <v>Mississippi</v>
      </c>
      <c r="C20" s="27" t="str">
        <f t="shared" si="1"/>
        <v>Franklin</v>
      </c>
      <c r="D20" s="27">
        <v>3651</v>
      </c>
      <c r="E20" s="27">
        <v>115</v>
      </c>
      <c r="F20" s="27"/>
      <c r="G20" s="26">
        <f t="shared" si="2"/>
        <v>158.93191626409018</v>
      </c>
      <c r="H20" s="27">
        <v>4464</v>
      </c>
      <c r="I20" s="27"/>
      <c r="J20" s="27">
        <v>49348.36</v>
      </c>
      <c r="K20" s="27">
        <v>54</v>
      </c>
      <c r="L20" s="2">
        <v>56091.17</v>
      </c>
      <c r="M20" s="27">
        <v>92</v>
      </c>
      <c r="N20" s="2">
        <v>166414</v>
      </c>
      <c r="O20" s="41" t="s">
        <v>2621</v>
      </c>
      <c r="P20" s="27" t="s">
        <v>553</v>
      </c>
      <c r="Q20" s="27"/>
      <c r="R20" s="27">
        <v>97</v>
      </c>
      <c r="S20" s="27"/>
      <c r="T20" s="27" t="s">
        <v>553</v>
      </c>
      <c r="U20" s="27">
        <v>91</v>
      </c>
      <c r="V20" s="27" t="str">
        <f t="shared" si="3"/>
        <v>https://archive.org/download/GADeptofEd1925/GA.pdf#page=97</v>
      </c>
      <c r="W20" s="27">
        <v>91</v>
      </c>
      <c r="X20" s="27" t="str">
        <f t="shared" si="4"/>
        <v>https://ia601502.us.archive.org/10/items/MS-school-property-value-1935-7/1936%20%26%201937%2c%20selected%20pages.pdf</v>
      </c>
    </row>
    <row r="21" spans="1:24" x14ac:dyDescent="0.25">
      <c r="A21" s="27" t="s">
        <v>1069</v>
      </c>
      <c r="B21" s="27" t="str">
        <f t="shared" si="0"/>
        <v>Mississippi</v>
      </c>
      <c r="C21" s="27" t="str">
        <f t="shared" si="1"/>
        <v>George</v>
      </c>
      <c r="D21" s="27">
        <v>1523</v>
      </c>
      <c r="E21" s="27">
        <v>58</v>
      </c>
      <c r="F21" s="27"/>
      <c r="G21" s="26">
        <f t="shared" si="2"/>
        <v>97.205825149962124</v>
      </c>
      <c r="H21" s="27">
        <v>1753</v>
      </c>
      <c r="I21" s="27"/>
      <c r="J21" s="27">
        <v>14244.25</v>
      </c>
      <c r="K21" s="27">
        <v>50.53</v>
      </c>
      <c r="L21" s="2">
        <v>29800.28</v>
      </c>
      <c r="M21" s="27">
        <v>29</v>
      </c>
      <c r="N21" s="2">
        <v>168875</v>
      </c>
      <c r="O21" s="41" t="s">
        <v>2621</v>
      </c>
      <c r="P21" s="27" t="s">
        <v>553</v>
      </c>
      <c r="Q21" s="27"/>
      <c r="R21" s="27">
        <v>97</v>
      </c>
      <c r="S21" s="27"/>
      <c r="T21" s="27" t="s">
        <v>553</v>
      </c>
      <c r="U21" s="27">
        <v>91</v>
      </c>
      <c r="V21" s="27" t="str">
        <f t="shared" si="3"/>
        <v>https://archive.org/download/GADeptofEd1925/GA.pdf#page=97</v>
      </c>
      <c r="W21" s="27">
        <v>91</v>
      </c>
      <c r="X21" s="27" t="str">
        <f t="shared" si="4"/>
        <v>https://ia601502.us.archive.org/10/items/MS-school-property-value-1935-7/1936%20%26%201937%2c%20selected%20pages.pdf</v>
      </c>
    </row>
    <row r="22" spans="1:24" x14ac:dyDescent="0.25">
      <c r="A22" s="27" t="s">
        <v>1070</v>
      </c>
      <c r="B22" s="27" t="str">
        <f t="shared" si="0"/>
        <v>Mississippi</v>
      </c>
      <c r="C22" s="27" t="str">
        <f t="shared" si="1"/>
        <v>Greene</v>
      </c>
      <c r="D22" s="27">
        <v>2414</v>
      </c>
      <c r="E22" s="27">
        <v>72</v>
      </c>
      <c r="F22" s="27"/>
      <c r="G22" s="26">
        <f t="shared" si="2"/>
        <v>256.45748915902465</v>
      </c>
      <c r="H22" s="27">
        <v>3710</v>
      </c>
      <c r="I22" s="27"/>
      <c r="J22" s="27">
        <v>28860.7</v>
      </c>
      <c r="K22" s="27">
        <v>31.26</v>
      </c>
      <c r="L22" s="2">
        <v>44302.559999999998</v>
      </c>
      <c r="M22" s="27">
        <v>42</v>
      </c>
      <c r="N22" s="2">
        <v>249900</v>
      </c>
      <c r="O22" s="41" t="s">
        <v>2621</v>
      </c>
      <c r="P22" s="27" t="s">
        <v>553</v>
      </c>
      <c r="Q22" s="27"/>
      <c r="R22" s="27">
        <v>97</v>
      </c>
      <c r="S22" s="27"/>
      <c r="T22" s="27" t="s">
        <v>553</v>
      </c>
      <c r="U22" s="27">
        <v>91</v>
      </c>
      <c r="V22" s="27" t="str">
        <f t="shared" si="3"/>
        <v>https://archive.org/download/GADeptofEd1925/GA.pdf#page=97</v>
      </c>
      <c r="W22" s="27">
        <v>91</v>
      </c>
      <c r="X22" s="27" t="str">
        <f t="shared" si="4"/>
        <v>https://ia601502.us.archive.org/10/items/MS-school-property-value-1935-7/1936%20%26%201937%2c%20selected%20pages.pdf</v>
      </c>
    </row>
    <row r="23" spans="1:24" x14ac:dyDescent="0.25">
      <c r="A23" s="27" t="s">
        <v>1071</v>
      </c>
      <c r="B23" s="27" t="str">
        <f t="shared" si="0"/>
        <v>Mississippi</v>
      </c>
      <c r="C23" s="27" t="str">
        <f t="shared" si="1"/>
        <v>Grenada</v>
      </c>
      <c r="D23" s="27">
        <v>3600</v>
      </c>
      <c r="E23" s="27">
        <v>93</v>
      </c>
      <c r="F23" s="27"/>
      <c r="G23" s="26">
        <f t="shared" si="2"/>
        <v>95.982504100601432</v>
      </c>
      <c r="H23" s="27">
        <v>5182</v>
      </c>
      <c r="I23" s="27"/>
      <c r="J23" s="27">
        <v>19749.599999999999</v>
      </c>
      <c r="K23" s="27">
        <v>44.25</v>
      </c>
      <c r="L23" s="2">
        <v>31879.07</v>
      </c>
      <c r="M23" s="27">
        <v>74</v>
      </c>
      <c r="N23" s="2">
        <v>258630</v>
      </c>
      <c r="O23" s="41" t="s">
        <v>2621</v>
      </c>
      <c r="P23" s="27" t="s">
        <v>553</v>
      </c>
      <c r="Q23" s="27"/>
      <c r="R23" s="27">
        <v>97</v>
      </c>
      <c r="S23" s="27"/>
      <c r="T23" s="27" t="s">
        <v>553</v>
      </c>
      <c r="U23" s="27">
        <v>91</v>
      </c>
      <c r="V23" s="27" t="str">
        <f t="shared" si="3"/>
        <v>https://archive.org/download/GADeptofEd1925/GA.pdf#page=97</v>
      </c>
      <c r="W23" s="27">
        <v>91</v>
      </c>
      <c r="X23" s="27" t="str">
        <f t="shared" si="4"/>
        <v>https://ia601502.us.archive.org/10/items/MS-school-property-value-1935-7/1936%20%26%201937%2c%20selected%20pages.pdf</v>
      </c>
    </row>
    <row r="24" spans="1:24" x14ac:dyDescent="0.25">
      <c r="A24" s="27" t="s">
        <v>1072</v>
      </c>
      <c r="B24" s="27" t="str">
        <f t="shared" si="0"/>
        <v>Mississippi</v>
      </c>
      <c r="C24" s="27" t="str">
        <f t="shared" si="1"/>
        <v>Hancock</v>
      </c>
      <c r="D24" s="27">
        <v>2295</v>
      </c>
      <c r="E24" s="27">
        <v>56</v>
      </c>
      <c r="F24" s="27"/>
      <c r="G24" s="26">
        <f t="shared" si="2"/>
        <v>203.21580547112461</v>
      </c>
      <c r="H24" s="27">
        <v>3060</v>
      </c>
      <c r="I24" s="27"/>
      <c r="J24" s="27">
        <v>26743.200000000001</v>
      </c>
      <c r="K24" s="27">
        <v>47</v>
      </c>
      <c r="L24" s="2">
        <v>45836.14</v>
      </c>
      <c r="M24" s="27">
        <v>31</v>
      </c>
      <c r="N24" s="2">
        <v>261600</v>
      </c>
      <c r="O24" s="41" t="s">
        <v>2621</v>
      </c>
      <c r="P24" s="27" t="s">
        <v>553</v>
      </c>
      <c r="Q24" s="27"/>
      <c r="R24" s="27">
        <v>97</v>
      </c>
      <c r="S24" s="27"/>
      <c r="T24" s="27" t="s">
        <v>553</v>
      </c>
      <c r="U24" s="27">
        <v>91</v>
      </c>
      <c r="V24" s="27" t="str">
        <f t="shared" si="3"/>
        <v>https://archive.org/download/GADeptofEd1925/GA.pdf#page=97</v>
      </c>
      <c r="W24" s="27">
        <v>91</v>
      </c>
      <c r="X24" s="27" t="str">
        <f t="shared" si="4"/>
        <v>https://ia601502.us.archive.org/10/items/MS-school-property-value-1935-7/1936%20%26%201937%2c%20selected%20pages.pdf</v>
      </c>
    </row>
    <row r="25" spans="1:24" x14ac:dyDescent="0.25">
      <c r="A25" s="27" t="s">
        <v>1073</v>
      </c>
      <c r="B25" s="27" t="str">
        <f t="shared" si="0"/>
        <v>Mississippi</v>
      </c>
      <c r="C25" s="27" t="str">
        <f t="shared" si="1"/>
        <v>Harrison</v>
      </c>
      <c r="D25" s="27">
        <v>6553</v>
      </c>
      <c r="E25" s="27">
        <v>76</v>
      </c>
      <c r="F25" s="27"/>
      <c r="G25" s="26">
        <f t="shared" si="2"/>
        <v>118.10547368421052</v>
      </c>
      <c r="H25" s="27">
        <v>8503</v>
      </c>
      <c r="I25" s="27"/>
      <c r="J25" s="27">
        <v>28050.05</v>
      </c>
      <c r="K25" s="27">
        <v>62.5</v>
      </c>
      <c r="L25" s="2">
        <v>53761.55</v>
      </c>
      <c r="M25" s="27">
        <v>20</v>
      </c>
      <c r="N25" s="2">
        <v>1670885</v>
      </c>
      <c r="O25" s="41" t="s">
        <v>2621</v>
      </c>
      <c r="P25" s="27" t="s">
        <v>553</v>
      </c>
      <c r="Q25" s="27"/>
      <c r="R25" s="27">
        <v>97</v>
      </c>
      <c r="S25" s="27"/>
      <c r="T25" s="27" t="s">
        <v>553</v>
      </c>
      <c r="U25" s="27">
        <v>91</v>
      </c>
      <c r="V25" s="27" t="str">
        <f t="shared" si="3"/>
        <v>https://archive.org/download/GADeptofEd1925/GA.pdf#page=97</v>
      </c>
      <c r="W25" s="27">
        <v>91</v>
      </c>
      <c r="X25" s="27" t="str">
        <f t="shared" si="4"/>
        <v>https://ia601502.us.archive.org/10/items/MS-school-property-value-1935-7/1936%20%26%201937%2c%20selected%20pages.pdf</v>
      </c>
    </row>
    <row r="26" spans="1:24" x14ac:dyDescent="0.25">
      <c r="A26" s="27" t="s">
        <v>1074</v>
      </c>
      <c r="B26" s="27" t="str">
        <f t="shared" si="0"/>
        <v>Mississippi</v>
      </c>
      <c r="C26" s="27" t="str">
        <f t="shared" si="1"/>
        <v>Hinds</v>
      </c>
      <c r="D26" s="27">
        <v>12725</v>
      </c>
      <c r="E26" s="27">
        <v>221</v>
      </c>
      <c r="F26" s="27"/>
      <c r="G26" s="26">
        <f t="shared" si="2"/>
        <v>223.07327043334723</v>
      </c>
      <c r="H26" s="27">
        <v>18044</v>
      </c>
      <c r="I26" s="27"/>
      <c r="J26" s="27">
        <v>111761.27</v>
      </c>
      <c r="K26" s="27">
        <v>45.34</v>
      </c>
      <c r="L26" s="2">
        <v>189831.95</v>
      </c>
      <c r="M26" s="27">
        <v>122</v>
      </c>
      <c r="N26" s="2">
        <v>2209616.5</v>
      </c>
      <c r="O26" s="41" t="s">
        <v>2621</v>
      </c>
      <c r="P26" s="27" t="s">
        <v>553</v>
      </c>
      <c r="Q26" s="27"/>
      <c r="R26" s="27">
        <v>97</v>
      </c>
      <c r="S26" s="27"/>
      <c r="T26" s="27" t="s">
        <v>553</v>
      </c>
      <c r="U26" s="27">
        <v>91</v>
      </c>
      <c r="V26" s="27" t="str">
        <f t="shared" si="3"/>
        <v>https://archive.org/download/GADeptofEd1925/GA.pdf#page=97</v>
      </c>
      <c r="W26" s="27">
        <v>91</v>
      </c>
      <c r="X26" s="27" t="str">
        <f t="shared" si="4"/>
        <v>https://ia601502.us.archive.org/10/items/MS-school-property-value-1935-7/1936%20%26%201937%2c%20selected%20pages.pdf</v>
      </c>
    </row>
    <row r="27" spans="1:24" x14ac:dyDescent="0.25">
      <c r="A27" s="27" t="s">
        <v>1075</v>
      </c>
      <c r="B27" s="27" t="str">
        <f t="shared" si="0"/>
        <v>Mississippi</v>
      </c>
      <c r="C27" s="27" t="str">
        <f t="shared" si="1"/>
        <v>Holmes</v>
      </c>
      <c r="D27" s="27">
        <v>7449</v>
      </c>
      <c r="E27" s="27">
        <v>149</v>
      </c>
      <c r="F27" s="27"/>
      <c r="G27" s="26">
        <f t="shared" si="2"/>
        <v>0</v>
      </c>
      <c r="H27" s="27">
        <v>10133</v>
      </c>
      <c r="I27" s="27"/>
      <c r="J27" s="27"/>
      <c r="K27" s="27">
        <v>66.25</v>
      </c>
      <c r="L27" s="2">
        <v>90571</v>
      </c>
      <c r="M27" s="27">
        <v>110</v>
      </c>
      <c r="N27" s="2">
        <v>731175</v>
      </c>
      <c r="O27" s="41" t="s">
        <v>2621</v>
      </c>
      <c r="P27" s="27" t="s">
        <v>553</v>
      </c>
      <c r="Q27" s="27"/>
      <c r="R27" s="27">
        <v>97</v>
      </c>
      <c r="S27" s="27"/>
      <c r="T27" s="27" t="s">
        <v>553</v>
      </c>
      <c r="U27" s="27">
        <v>91</v>
      </c>
      <c r="V27" s="27" t="str">
        <f t="shared" si="3"/>
        <v>https://archive.org/download/GADeptofEd1925/GA.pdf#page=97</v>
      </c>
      <c r="W27" s="27">
        <v>91</v>
      </c>
      <c r="X27" s="27" t="str">
        <f t="shared" si="4"/>
        <v>https://ia601502.us.archive.org/10/items/MS-school-property-value-1935-7/1936%20%26%201937%2c%20selected%20pages.pdf</v>
      </c>
    </row>
    <row r="28" spans="1:24" x14ac:dyDescent="0.25">
      <c r="A28" s="27" t="s">
        <v>1076</v>
      </c>
      <c r="B28" s="27" t="str">
        <f t="shared" si="0"/>
        <v>Mississippi</v>
      </c>
      <c r="C28" s="27" t="str">
        <f t="shared" si="1"/>
        <v>Humphreys</v>
      </c>
      <c r="D28" s="27">
        <v>3156</v>
      </c>
      <c r="E28" s="27">
        <v>74</v>
      </c>
      <c r="F28" s="27"/>
      <c r="G28" s="26">
        <f t="shared" si="2"/>
        <v>218.87282042020922</v>
      </c>
      <c r="H28" s="27">
        <v>5361</v>
      </c>
      <c r="I28" s="27"/>
      <c r="J28" s="27">
        <v>46055</v>
      </c>
      <c r="K28" s="27">
        <v>56.87</v>
      </c>
      <c r="L28" s="2">
        <v>62617.82</v>
      </c>
      <c r="M28" s="27">
        <v>48</v>
      </c>
      <c r="N28" s="2">
        <v>387636</v>
      </c>
      <c r="O28" s="41" t="s">
        <v>2621</v>
      </c>
      <c r="P28" s="27" t="s">
        <v>553</v>
      </c>
      <c r="Q28" s="27"/>
      <c r="R28" s="27">
        <v>97</v>
      </c>
      <c r="S28" s="27"/>
      <c r="T28" s="27" t="s">
        <v>553</v>
      </c>
      <c r="U28" s="27">
        <v>91</v>
      </c>
      <c r="V28" s="27" t="str">
        <f t="shared" si="3"/>
        <v>https://archive.org/download/GADeptofEd1925/GA.pdf#page=97</v>
      </c>
      <c r="W28" s="27">
        <v>91</v>
      </c>
      <c r="X28" s="27" t="str">
        <f t="shared" si="4"/>
        <v>https://ia601502.us.archive.org/10/items/MS-school-property-value-1935-7/1936%20%26%201937%2c%20selected%20pages.pdf</v>
      </c>
    </row>
    <row r="29" spans="1:24" x14ac:dyDescent="0.25">
      <c r="A29" s="27" t="s">
        <v>1077</v>
      </c>
      <c r="B29" s="27" t="str">
        <f t="shared" si="0"/>
        <v>Mississippi</v>
      </c>
      <c r="C29" s="27" t="str">
        <f t="shared" si="1"/>
        <v>Issaquena</v>
      </c>
      <c r="D29" s="27">
        <v>1649</v>
      </c>
      <c r="E29" s="27">
        <v>70</v>
      </c>
      <c r="F29" s="27"/>
      <c r="G29" s="26">
        <f t="shared" si="2"/>
        <v>82.863408521303242</v>
      </c>
      <c r="H29" s="27">
        <v>1763</v>
      </c>
      <c r="I29" s="27"/>
      <c r="J29" s="27">
        <v>13225</v>
      </c>
      <c r="K29" s="27">
        <v>45.6</v>
      </c>
      <c r="L29" s="2">
        <v>13523.58</v>
      </c>
      <c r="M29" s="27">
        <v>51</v>
      </c>
      <c r="N29" s="2">
        <v>38287</v>
      </c>
      <c r="O29" s="41" t="s">
        <v>2621</v>
      </c>
      <c r="P29" s="27" t="s">
        <v>553</v>
      </c>
      <c r="Q29" s="27"/>
      <c r="R29" s="27">
        <v>97</v>
      </c>
      <c r="S29" s="27"/>
      <c r="T29" s="27" t="s">
        <v>553</v>
      </c>
      <c r="U29" s="27">
        <v>91</v>
      </c>
      <c r="V29" s="27" t="str">
        <f t="shared" si="3"/>
        <v>https://archive.org/download/GADeptofEd1925/GA.pdf#page=97</v>
      </c>
      <c r="W29" s="27">
        <v>91</v>
      </c>
      <c r="X29" s="27" t="str">
        <f t="shared" si="4"/>
        <v>https://ia601502.us.archive.org/10/items/MS-school-property-value-1935-7/1936%20%26%201937%2c%20selected%20pages.pdf</v>
      </c>
    </row>
    <row r="30" spans="1:24" x14ac:dyDescent="0.25">
      <c r="A30" s="27" t="s">
        <v>1078</v>
      </c>
      <c r="B30" s="27" t="str">
        <f t="shared" si="0"/>
        <v>Mississippi</v>
      </c>
      <c r="C30" s="27" t="str">
        <f t="shared" si="1"/>
        <v>Itawamba</v>
      </c>
      <c r="D30" s="27">
        <v>3495</v>
      </c>
      <c r="E30" s="27">
        <v>117</v>
      </c>
      <c r="F30" s="27"/>
      <c r="G30" s="26">
        <f t="shared" si="2"/>
        <v>164.16193493116569</v>
      </c>
      <c r="H30" s="27">
        <v>5171</v>
      </c>
      <c r="I30" s="27"/>
      <c r="J30" s="27">
        <v>45318.79</v>
      </c>
      <c r="K30" s="27">
        <v>47.19</v>
      </c>
      <c r="L30" s="2">
        <v>48258.29</v>
      </c>
      <c r="M30" s="27">
        <v>77</v>
      </c>
      <c r="N30" s="2">
        <v>379329</v>
      </c>
      <c r="O30" s="41" t="s">
        <v>2621</v>
      </c>
      <c r="P30" s="27" t="s">
        <v>553</v>
      </c>
      <c r="Q30" s="27"/>
      <c r="R30" s="27">
        <v>97</v>
      </c>
      <c r="S30" s="27"/>
      <c r="T30" s="27" t="s">
        <v>553</v>
      </c>
      <c r="U30" s="27">
        <v>91</v>
      </c>
      <c r="V30" s="27" t="str">
        <f t="shared" si="3"/>
        <v>https://archive.org/download/GADeptofEd1925/GA.pdf#page=97</v>
      </c>
      <c r="W30" s="27">
        <v>91</v>
      </c>
      <c r="X30" s="27" t="str">
        <f t="shared" si="4"/>
        <v>https://ia601502.us.archive.org/10/items/MS-school-property-value-1935-7/1936%20%26%201937%2c%20selected%20pages.pdf</v>
      </c>
    </row>
    <row r="31" spans="1:24" x14ac:dyDescent="0.25">
      <c r="A31" s="27" t="s">
        <v>1079</v>
      </c>
      <c r="B31" s="27" t="str">
        <f t="shared" si="0"/>
        <v>Mississippi</v>
      </c>
      <c r="C31" s="27" t="str">
        <f t="shared" si="1"/>
        <v>Jackson</v>
      </c>
      <c r="D31" s="27">
        <v>3004</v>
      </c>
      <c r="E31" s="27">
        <v>60</v>
      </c>
      <c r="F31" s="27"/>
      <c r="G31" s="26">
        <f t="shared" si="2"/>
        <v>235.74186991869914</v>
      </c>
      <c r="H31" s="27">
        <v>3886</v>
      </c>
      <c r="I31" s="27"/>
      <c r="J31" s="27">
        <v>34795.5</v>
      </c>
      <c r="K31" s="27">
        <v>49.2</v>
      </c>
      <c r="L31" s="2">
        <v>73944.800000000003</v>
      </c>
      <c r="M31" s="27">
        <v>40</v>
      </c>
      <c r="N31" s="2">
        <v>415100</v>
      </c>
      <c r="O31" s="41" t="s">
        <v>2621</v>
      </c>
      <c r="P31" s="27" t="s">
        <v>553</v>
      </c>
      <c r="Q31" s="27"/>
      <c r="R31" s="27">
        <v>98</v>
      </c>
      <c r="S31" s="27"/>
      <c r="T31" s="27" t="s">
        <v>553</v>
      </c>
      <c r="U31" s="27">
        <v>92</v>
      </c>
      <c r="V31" s="27" t="str">
        <f t="shared" si="3"/>
        <v>https://archive.org/download/GADeptofEd1925/GA.pdf#page=98</v>
      </c>
      <c r="W31" s="27">
        <v>92</v>
      </c>
      <c r="X31" s="27" t="str">
        <f t="shared" si="4"/>
        <v>https://ia601502.us.archive.org/10/items/MS-school-property-value-1935-7/1936%20%26%201937%2c%20selected%20pages.pdf</v>
      </c>
    </row>
    <row r="32" spans="1:24" x14ac:dyDescent="0.25">
      <c r="A32" s="27" t="s">
        <v>1080</v>
      </c>
      <c r="B32" s="27" t="str">
        <f t="shared" si="0"/>
        <v>Mississippi</v>
      </c>
      <c r="C32" s="27" t="str">
        <f t="shared" si="1"/>
        <v>Jasper</v>
      </c>
      <c r="D32" s="27">
        <v>3349</v>
      </c>
      <c r="E32" s="27">
        <v>119</v>
      </c>
      <c r="F32" s="27"/>
      <c r="G32" s="26">
        <f t="shared" si="2"/>
        <v>162.07777228538475</v>
      </c>
      <c r="H32" s="27">
        <v>4507</v>
      </c>
      <c r="I32" s="27"/>
      <c r="J32" s="27">
        <v>29509.5</v>
      </c>
      <c r="K32" s="27">
        <v>30.6</v>
      </c>
      <c r="L32" s="2">
        <v>36232.050000000003</v>
      </c>
      <c r="M32" s="27">
        <v>93</v>
      </c>
      <c r="N32" s="2">
        <v>254350</v>
      </c>
      <c r="O32" s="41" t="s">
        <v>2621</v>
      </c>
      <c r="P32" s="27" t="s">
        <v>553</v>
      </c>
      <c r="Q32" s="27"/>
      <c r="R32" s="27">
        <v>98</v>
      </c>
      <c r="S32" s="27"/>
      <c r="T32" s="27" t="s">
        <v>553</v>
      </c>
      <c r="U32" s="27">
        <v>92</v>
      </c>
      <c r="V32" s="27" t="str">
        <f t="shared" si="3"/>
        <v>https://archive.org/download/GADeptofEd1925/GA.pdf#page=98</v>
      </c>
      <c r="W32" s="27">
        <v>92</v>
      </c>
      <c r="X32" s="27" t="str">
        <f t="shared" si="4"/>
        <v>https://ia601502.us.archive.org/10/items/MS-school-property-value-1935-7/1936%20%26%201937%2c%20selected%20pages.pdf</v>
      </c>
    </row>
    <row r="33" spans="1:24" x14ac:dyDescent="0.25">
      <c r="A33" s="27" t="s">
        <v>1081</v>
      </c>
      <c r="B33" s="27" t="str">
        <f t="shared" si="0"/>
        <v>Mississippi</v>
      </c>
      <c r="C33" s="27" t="str">
        <f t="shared" si="1"/>
        <v>Jefferson</v>
      </c>
      <c r="D33" s="27">
        <v>2727</v>
      </c>
      <c r="E33" s="27">
        <v>110</v>
      </c>
      <c r="F33" s="27"/>
      <c r="G33" s="26">
        <f t="shared" si="2"/>
        <v>97.452350624154889</v>
      </c>
      <c r="H33" s="27">
        <v>3913</v>
      </c>
      <c r="I33" s="27"/>
      <c r="J33" s="27">
        <v>24864.48</v>
      </c>
      <c r="K33" s="27">
        <v>46.39</v>
      </c>
      <c r="L33" s="2">
        <v>30701.48</v>
      </c>
      <c r="M33" s="27">
        <v>89</v>
      </c>
      <c r="N33" s="2">
        <v>192695</v>
      </c>
      <c r="O33" s="41" t="s">
        <v>2621</v>
      </c>
      <c r="P33" s="27" t="s">
        <v>553</v>
      </c>
      <c r="Q33" s="27"/>
      <c r="R33" s="27">
        <v>98</v>
      </c>
      <c r="S33" s="27"/>
      <c r="T33" s="27" t="s">
        <v>553</v>
      </c>
      <c r="U33" s="27">
        <v>92</v>
      </c>
      <c r="V33" s="27" t="str">
        <f t="shared" si="3"/>
        <v>https://archive.org/download/GADeptofEd1925/GA.pdf#page=98</v>
      </c>
      <c r="W33" s="27">
        <v>92</v>
      </c>
      <c r="X33" s="27" t="str">
        <f t="shared" si="4"/>
        <v>https://ia601502.us.archive.org/10/items/MS-school-property-value-1935-7/1936%20%26%201937%2c%20selected%20pages.pdf</v>
      </c>
    </row>
    <row r="34" spans="1:24" x14ac:dyDescent="0.25">
      <c r="A34" s="27" t="s">
        <v>1082</v>
      </c>
      <c r="B34" s="27" t="str">
        <f t="shared" si="0"/>
        <v>Mississippi</v>
      </c>
      <c r="C34" s="27" t="str">
        <f t="shared" si="1"/>
        <v>Jefferson Davis</v>
      </c>
      <c r="D34" s="27">
        <v>3425</v>
      </c>
      <c r="E34" s="27">
        <v>120</v>
      </c>
      <c r="F34" s="27"/>
      <c r="G34" s="26">
        <f t="shared" si="2"/>
        <v>774.46555555555551</v>
      </c>
      <c r="H34" s="27">
        <v>4640</v>
      </c>
      <c r="I34" s="27"/>
      <c r="J34" s="27">
        <v>20910.57</v>
      </c>
      <c r="K34" s="35">
        <v>4.5</v>
      </c>
      <c r="L34" s="2">
        <v>22047.54</v>
      </c>
      <c r="M34" s="27">
        <v>67</v>
      </c>
      <c r="N34" s="2">
        <v>241811</v>
      </c>
      <c r="O34" s="41" t="s">
        <v>2621</v>
      </c>
      <c r="P34" s="27" t="s">
        <v>553</v>
      </c>
      <c r="Q34" s="27"/>
      <c r="R34" s="27">
        <v>98</v>
      </c>
      <c r="S34" s="27"/>
      <c r="T34" s="27" t="s">
        <v>553</v>
      </c>
      <c r="U34" s="27">
        <v>92</v>
      </c>
      <c r="V34" s="27" t="str">
        <f t="shared" si="3"/>
        <v>https://archive.org/download/GADeptofEd1925/GA.pdf#page=98</v>
      </c>
      <c r="W34" s="27">
        <v>92</v>
      </c>
      <c r="X34" s="27" t="str">
        <f t="shared" si="4"/>
        <v>https://ia601502.us.archive.org/10/items/MS-school-property-value-1935-7/1936%20%26%201937%2c%20selected%20pages.pdf</v>
      </c>
    </row>
    <row r="35" spans="1:24" x14ac:dyDescent="0.25">
      <c r="A35" s="27" t="s">
        <v>1083</v>
      </c>
      <c r="B35" s="27" t="str">
        <f t="shared" si="0"/>
        <v>Mississippi</v>
      </c>
      <c r="C35" s="27" t="str">
        <f t="shared" si="1"/>
        <v>Jones</v>
      </c>
      <c r="D35" s="27">
        <v>9407</v>
      </c>
      <c r="E35" s="27">
        <v>151</v>
      </c>
      <c r="F35" s="27"/>
      <c r="G35" s="26">
        <f t="shared" si="2"/>
        <v>156.58660779985286</v>
      </c>
      <c r="H35" s="27">
        <v>12378</v>
      </c>
      <c r="I35" s="27"/>
      <c r="J35" s="27">
        <v>53200.3</v>
      </c>
      <c r="K35" s="27">
        <v>45</v>
      </c>
      <c r="L35" s="2">
        <v>62776.1</v>
      </c>
      <c r="M35" s="27">
        <v>70</v>
      </c>
      <c r="N35" s="2">
        <v>1535699.92</v>
      </c>
      <c r="O35" s="41" t="s">
        <v>2621</v>
      </c>
      <c r="P35" s="27" t="s">
        <v>553</v>
      </c>
      <c r="Q35" s="27"/>
      <c r="R35" s="27">
        <v>98</v>
      </c>
      <c r="S35" s="27"/>
      <c r="T35" s="27" t="s">
        <v>553</v>
      </c>
      <c r="U35" s="27">
        <v>92</v>
      </c>
      <c r="V35" s="27" t="str">
        <f t="shared" si="3"/>
        <v>https://archive.org/download/GADeptofEd1925/GA.pdf#page=98</v>
      </c>
      <c r="W35" s="27">
        <v>92</v>
      </c>
      <c r="X35" s="27" t="str">
        <f t="shared" si="4"/>
        <v>https://ia601502.us.archive.org/10/items/MS-school-property-value-1935-7/1936%20%26%201937%2c%20selected%20pages.pdf</v>
      </c>
    </row>
    <row r="36" spans="1:24" x14ac:dyDescent="0.25">
      <c r="A36" s="27" t="s">
        <v>1084</v>
      </c>
      <c r="B36" s="27" t="str">
        <f t="shared" si="0"/>
        <v>Mississippi</v>
      </c>
      <c r="C36" s="27" t="str">
        <f t="shared" si="1"/>
        <v>Kemper</v>
      </c>
      <c r="D36" s="27">
        <v>4671</v>
      </c>
      <c r="E36" s="27">
        <v>142</v>
      </c>
      <c r="F36" s="27"/>
      <c r="G36" s="26">
        <f t="shared" si="2"/>
        <v>151.04888152444079</v>
      </c>
      <c r="H36" s="27">
        <v>5888</v>
      </c>
      <c r="I36" s="27"/>
      <c r="J36" s="27">
        <v>45579</v>
      </c>
      <c r="K36" s="27">
        <v>42.5</v>
      </c>
      <c r="L36" s="2">
        <v>52504.42</v>
      </c>
      <c r="M36" s="27">
        <v>145</v>
      </c>
      <c r="N36" s="2">
        <v>592725</v>
      </c>
      <c r="O36" s="41" t="s">
        <v>2621</v>
      </c>
      <c r="P36" s="27" t="s">
        <v>553</v>
      </c>
      <c r="Q36" s="27"/>
      <c r="R36" s="27">
        <v>98</v>
      </c>
      <c r="S36" s="27"/>
      <c r="T36" s="27" t="s">
        <v>553</v>
      </c>
      <c r="U36" s="27">
        <v>92</v>
      </c>
      <c r="V36" s="27" t="str">
        <f t="shared" si="3"/>
        <v>https://archive.org/download/GADeptofEd1925/GA.pdf#page=98</v>
      </c>
      <c r="W36" s="27">
        <v>92</v>
      </c>
      <c r="X36" s="27" t="str">
        <f t="shared" si="4"/>
        <v>https://ia601502.us.archive.org/10/items/MS-school-property-value-1935-7/1936%20%26%201937%2c%20selected%20pages.pdf</v>
      </c>
    </row>
    <row r="37" spans="1:24" x14ac:dyDescent="0.25">
      <c r="A37" s="27" t="s">
        <v>1085</v>
      </c>
      <c r="B37" s="27" t="str">
        <f t="shared" si="0"/>
        <v>Mississippi</v>
      </c>
      <c r="C37" s="27" t="str">
        <f t="shared" si="1"/>
        <v>Lafayette</v>
      </c>
      <c r="D37" s="27">
        <v>6100</v>
      </c>
      <c r="E37" s="27">
        <v>181</v>
      </c>
      <c r="F37" s="27"/>
      <c r="G37" s="26">
        <f t="shared" si="2"/>
        <v>130.20964201922348</v>
      </c>
      <c r="H37" s="27">
        <v>8288</v>
      </c>
      <c r="I37" s="27"/>
      <c r="J37" s="27">
        <v>49893.34</v>
      </c>
      <c r="K37" s="27">
        <v>42.34</v>
      </c>
      <c r="L37" s="2">
        <v>67524.320000000007</v>
      </c>
      <c r="M37" s="27">
        <v>123</v>
      </c>
      <c r="N37" s="2">
        <v>395288</v>
      </c>
      <c r="O37" s="41" t="s">
        <v>2621</v>
      </c>
      <c r="P37" s="27" t="s">
        <v>553</v>
      </c>
      <c r="Q37" s="27"/>
      <c r="R37" s="27">
        <v>98</v>
      </c>
      <c r="S37" s="27"/>
      <c r="T37" s="27" t="s">
        <v>553</v>
      </c>
      <c r="U37" s="27">
        <v>92</v>
      </c>
      <c r="V37" s="27" t="str">
        <f t="shared" si="3"/>
        <v>https://archive.org/download/GADeptofEd1925/GA.pdf#page=98</v>
      </c>
      <c r="W37" s="27">
        <v>92</v>
      </c>
      <c r="X37" s="27" t="str">
        <f t="shared" si="4"/>
        <v>https://ia601502.us.archive.org/10/items/MS-school-property-value-1935-7/1936%20%26%201937%2c%20selected%20pages.pdf</v>
      </c>
    </row>
    <row r="38" spans="1:24" x14ac:dyDescent="0.25">
      <c r="A38" s="27" t="s">
        <v>1086</v>
      </c>
      <c r="B38" s="27" t="str">
        <f t="shared" si="0"/>
        <v>Mississippi</v>
      </c>
      <c r="C38" s="27" t="str">
        <f t="shared" si="1"/>
        <v>Lamar</v>
      </c>
      <c r="D38" s="27">
        <v>3275</v>
      </c>
      <c r="E38" s="27">
        <v>73</v>
      </c>
      <c r="F38" s="27"/>
      <c r="G38" s="26">
        <f t="shared" si="2"/>
        <v>236.39894432575093</v>
      </c>
      <c r="H38" s="27">
        <v>4882</v>
      </c>
      <c r="I38" s="27"/>
      <c r="J38" s="27">
        <v>47025.66</v>
      </c>
      <c r="K38" s="27">
        <v>54.5</v>
      </c>
      <c r="L38" s="2">
        <v>53332.61</v>
      </c>
      <c r="M38" s="27">
        <v>42</v>
      </c>
      <c r="N38" s="2">
        <v>425920</v>
      </c>
      <c r="O38" s="41" t="s">
        <v>2621</v>
      </c>
      <c r="P38" s="27" t="s">
        <v>553</v>
      </c>
      <c r="Q38" s="27"/>
      <c r="R38" s="27">
        <v>98</v>
      </c>
      <c r="S38" s="27"/>
      <c r="T38" s="27" t="s">
        <v>553</v>
      </c>
      <c r="U38" s="27">
        <v>92</v>
      </c>
      <c r="V38" s="27" t="str">
        <f t="shared" si="3"/>
        <v>https://archive.org/download/GADeptofEd1925/GA.pdf#page=98</v>
      </c>
      <c r="W38" s="27">
        <v>92</v>
      </c>
      <c r="X38" s="27" t="str">
        <f t="shared" si="4"/>
        <v>https://ia601502.us.archive.org/10/items/MS-school-property-value-1935-7/1936%20%26%201937%2c%20selected%20pages.pdf</v>
      </c>
    </row>
    <row r="39" spans="1:24" x14ac:dyDescent="0.25">
      <c r="A39" s="27" t="s">
        <v>1087</v>
      </c>
      <c r="B39" s="27" t="str">
        <f t="shared" si="0"/>
        <v>Mississippi</v>
      </c>
      <c r="C39" s="27" t="str">
        <f t="shared" si="1"/>
        <v>Lauderdale</v>
      </c>
      <c r="D39" s="27">
        <v>10157</v>
      </c>
      <c r="E39" s="27">
        <v>181</v>
      </c>
      <c r="F39" s="27"/>
      <c r="G39" s="26">
        <f t="shared" si="2"/>
        <v>173.05546461412229</v>
      </c>
      <c r="H39" s="27">
        <v>12870</v>
      </c>
      <c r="I39" s="27"/>
      <c r="J39" s="27">
        <v>63695.4</v>
      </c>
      <c r="K39" s="27">
        <v>40.67</v>
      </c>
      <c r="L39" s="2">
        <v>126087.21</v>
      </c>
      <c r="M39" s="27">
        <v>96</v>
      </c>
      <c r="N39" s="2">
        <v>1942367</v>
      </c>
      <c r="O39" s="41" t="s">
        <v>2621</v>
      </c>
      <c r="P39" s="27" t="s">
        <v>553</v>
      </c>
      <c r="Q39" s="27"/>
      <c r="R39" s="27">
        <v>98</v>
      </c>
      <c r="S39" s="27"/>
      <c r="T39" s="27" t="s">
        <v>553</v>
      </c>
      <c r="U39" s="27">
        <v>92</v>
      </c>
      <c r="V39" s="27" t="str">
        <f t="shared" si="3"/>
        <v>https://archive.org/download/GADeptofEd1925/GA.pdf#page=98</v>
      </c>
      <c r="W39" s="27">
        <v>92</v>
      </c>
      <c r="X39" s="27" t="str">
        <f t="shared" si="4"/>
        <v>https://ia601502.us.archive.org/10/items/MS-school-property-value-1935-7/1936%20%26%201937%2c%20selected%20pages.pdf</v>
      </c>
    </row>
    <row r="40" spans="1:24" x14ac:dyDescent="0.25">
      <c r="A40" s="27" t="s">
        <v>1088</v>
      </c>
      <c r="B40" s="27" t="str">
        <f t="shared" si="0"/>
        <v>Mississippi</v>
      </c>
      <c r="C40" s="27" t="str">
        <f t="shared" si="1"/>
        <v>Lawrence</v>
      </c>
      <c r="D40" s="27">
        <v>4160</v>
      </c>
      <c r="E40" s="27">
        <v>118</v>
      </c>
      <c r="F40" s="27"/>
      <c r="G40" s="26">
        <f t="shared" si="2"/>
        <v>125.53907437318119</v>
      </c>
      <c r="H40" s="27">
        <v>5423</v>
      </c>
      <c r="I40" s="27"/>
      <c r="J40" s="27">
        <v>36841.449999999997</v>
      </c>
      <c r="K40" s="27">
        <v>49.74</v>
      </c>
      <c r="L40" s="2">
        <v>45796.15</v>
      </c>
      <c r="M40" s="27">
        <v>69</v>
      </c>
      <c r="N40" s="2">
        <v>200070</v>
      </c>
      <c r="O40" s="41" t="s">
        <v>2621</v>
      </c>
      <c r="P40" s="27" t="s">
        <v>553</v>
      </c>
      <c r="Q40" s="27"/>
      <c r="R40" s="27">
        <v>98</v>
      </c>
      <c r="S40" s="27"/>
      <c r="T40" s="27" t="s">
        <v>553</v>
      </c>
      <c r="U40" s="27">
        <v>92</v>
      </c>
      <c r="V40" s="27" t="str">
        <f t="shared" si="3"/>
        <v>https://archive.org/download/GADeptofEd1925/GA.pdf#page=98</v>
      </c>
      <c r="W40" s="27">
        <v>92</v>
      </c>
      <c r="X40" s="27" t="str">
        <f t="shared" si="4"/>
        <v>https://ia601502.us.archive.org/10/items/MS-school-property-value-1935-7/1936%20%26%201937%2c%20selected%20pages.pdf</v>
      </c>
    </row>
    <row r="41" spans="1:24" x14ac:dyDescent="0.25">
      <c r="A41" s="27" t="s">
        <v>1089</v>
      </c>
      <c r="B41" s="27" t="str">
        <f t="shared" si="0"/>
        <v>Mississippi</v>
      </c>
      <c r="C41" s="27" t="str">
        <f t="shared" si="1"/>
        <v>Leake</v>
      </c>
      <c r="D41" s="27">
        <v>4929</v>
      </c>
      <c r="E41" s="27">
        <v>179</v>
      </c>
      <c r="F41" s="27"/>
      <c r="G41" s="26">
        <f t="shared" si="2"/>
        <v>151.74022346368716</v>
      </c>
      <c r="H41" s="27">
        <v>5666</v>
      </c>
      <c r="I41" s="27"/>
      <c r="J41" s="27">
        <v>54323</v>
      </c>
      <c r="K41" s="27">
        <v>40</v>
      </c>
      <c r="L41" s="2">
        <v>63421</v>
      </c>
      <c r="M41" s="27">
        <v>96</v>
      </c>
      <c r="N41" s="2">
        <v>324094</v>
      </c>
      <c r="O41" s="41" t="s">
        <v>2621</v>
      </c>
      <c r="P41" s="27" t="s">
        <v>553</v>
      </c>
      <c r="Q41" s="27"/>
      <c r="R41" s="27">
        <v>98</v>
      </c>
      <c r="S41" s="27"/>
      <c r="T41" s="27" t="s">
        <v>553</v>
      </c>
      <c r="U41" s="27">
        <v>92</v>
      </c>
      <c r="V41" s="27" t="str">
        <f t="shared" si="3"/>
        <v>https://archive.org/download/GADeptofEd1925/GA.pdf#page=98</v>
      </c>
      <c r="W41" s="27">
        <v>92</v>
      </c>
      <c r="X41" s="27" t="str">
        <f t="shared" si="4"/>
        <v>https://ia601502.us.archive.org/10/items/MS-school-property-value-1935-7/1936%20%26%201937%2c%20selected%20pages.pdf</v>
      </c>
    </row>
    <row r="42" spans="1:24" x14ac:dyDescent="0.25">
      <c r="A42" s="27" t="s">
        <v>1090</v>
      </c>
      <c r="B42" s="27" t="str">
        <f t="shared" si="0"/>
        <v>Mississippi</v>
      </c>
      <c r="C42" s="27" t="str">
        <f t="shared" si="1"/>
        <v>Lee</v>
      </c>
      <c r="D42" s="27">
        <v>8108</v>
      </c>
      <c r="E42" s="27">
        <v>140</v>
      </c>
      <c r="F42" s="27"/>
      <c r="G42" s="26">
        <f t="shared" si="2"/>
        <v>167.32884779890767</v>
      </c>
      <c r="H42" s="27">
        <v>10891</v>
      </c>
      <c r="I42" s="27"/>
      <c r="J42" s="27">
        <v>50857.93</v>
      </c>
      <c r="K42" s="1">
        <v>43.42</v>
      </c>
      <c r="L42" s="2">
        <v>77168.41</v>
      </c>
      <c r="M42" s="35">
        <v>93</v>
      </c>
      <c r="N42" s="2">
        <v>641771.42000000004</v>
      </c>
      <c r="O42" s="41" t="s">
        <v>2621</v>
      </c>
      <c r="P42" s="27" t="s">
        <v>553</v>
      </c>
      <c r="Q42" s="27"/>
      <c r="R42" s="27">
        <v>98</v>
      </c>
      <c r="S42" s="27"/>
      <c r="T42" s="27" t="s">
        <v>553</v>
      </c>
      <c r="U42" s="27">
        <v>92</v>
      </c>
      <c r="V42" s="27" t="str">
        <f t="shared" si="3"/>
        <v>https://archive.org/download/GADeptofEd1925/GA.pdf#page=98</v>
      </c>
      <c r="W42" s="27">
        <v>92</v>
      </c>
      <c r="X42" s="27" t="str">
        <f t="shared" si="4"/>
        <v>https://ia601502.us.archive.org/10/items/MS-school-property-value-1935-7/1936%20%26%201937%2c%20selected%20pages.pdf</v>
      </c>
    </row>
    <row r="43" spans="1:24" x14ac:dyDescent="0.25">
      <c r="A43" s="27" t="s">
        <v>1091</v>
      </c>
      <c r="B43" s="27" t="str">
        <f t="shared" si="0"/>
        <v>Mississippi</v>
      </c>
      <c r="C43" s="27" t="str">
        <f t="shared" si="1"/>
        <v>Leflore</v>
      </c>
      <c r="D43" s="27">
        <v>8118</v>
      </c>
      <c r="E43" s="27">
        <v>0</v>
      </c>
      <c r="F43" s="27"/>
      <c r="G43" s="26" t="e">
        <f t="shared" si="2"/>
        <v>#DIV/0!</v>
      </c>
      <c r="H43" s="27">
        <v>13330</v>
      </c>
      <c r="I43" s="27"/>
      <c r="J43" s="27">
        <v>66737.11</v>
      </c>
      <c r="K43" s="27"/>
      <c r="L43" s="2">
        <f>4518.57+66737.11+983.8+9165+331.75+45+5932.7+205+4625.91+915.6+1589.97+31513.19</f>
        <v>126563.6</v>
      </c>
      <c r="M43" s="27"/>
      <c r="N43" s="2">
        <v>807900</v>
      </c>
      <c r="O43" s="41" t="s">
        <v>2621</v>
      </c>
      <c r="P43" s="27" t="s">
        <v>553</v>
      </c>
      <c r="Q43" s="27"/>
      <c r="R43" s="27">
        <v>98</v>
      </c>
      <c r="S43" s="27"/>
      <c r="T43" s="27" t="s">
        <v>553</v>
      </c>
      <c r="U43" s="27">
        <v>92</v>
      </c>
      <c r="V43" s="27" t="str">
        <f t="shared" si="3"/>
        <v>https://archive.org/download/GADeptofEd1925/GA.pdf#page=98</v>
      </c>
      <c r="W43" s="27">
        <v>92</v>
      </c>
      <c r="X43" s="27" t="str">
        <f t="shared" si="4"/>
        <v>https://ia601502.us.archive.org/10/items/MS-school-property-value-1935-7/1936%20%26%201937%2c%20selected%20pages.pdf</v>
      </c>
    </row>
    <row r="44" spans="1:24" x14ac:dyDescent="0.25">
      <c r="A44" s="27" t="s">
        <v>1092</v>
      </c>
      <c r="B44" s="27" t="str">
        <f t="shared" si="0"/>
        <v>Mississippi</v>
      </c>
      <c r="C44" s="27" t="str">
        <f t="shared" si="1"/>
        <v>Lincoln</v>
      </c>
      <c r="D44" s="27">
        <v>6306</v>
      </c>
      <c r="E44" s="27">
        <v>172</v>
      </c>
      <c r="F44" s="27"/>
      <c r="G44" s="26">
        <f t="shared" si="2"/>
        <v>191.9275876966523</v>
      </c>
      <c r="H44" s="27">
        <v>7809</v>
      </c>
      <c r="I44" s="27"/>
      <c r="J44" s="27">
        <v>72856.479999999996</v>
      </c>
      <c r="K44" s="27">
        <v>44.14</v>
      </c>
      <c r="L44" s="2">
        <v>83622.23</v>
      </c>
      <c r="M44" s="27">
        <v>89</v>
      </c>
      <c r="N44" s="2">
        <v>683400</v>
      </c>
      <c r="O44" s="41" t="s">
        <v>2621</v>
      </c>
      <c r="P44" s="27" t="s">
        <v>553</v>
      </c>
      <c r="Q44" s="27"/>
      <c r="R44" s="27">
        <v>98</v>
      </c>
      <c r="S44" s="27"/>
      <c r="T44" s="27" t="s">
        <v>553</v>
      </c>
      <c r="U44" s="27">
        <v>92</v>
      </c>
      <c r="V44" s="27" t="str">
        <f t="shared" si="3"/>
        <v>https://archive.org/download/GADeptofEd1925/GA.pdf#page=98</v>
      </c>
      <c r="W44" s="27">
        <v>92</v>
      </c>
      <c r="X44" s="27" t="str">
        <f t="shared" si="4"/>
        <v>https://ia601502.us.archive.org/10/items/MS-school-property-value-1935-7/1936%20%26%201937%2c%20selected%20pages.pdf</v>
      </c>
    </row>
    <row r="45" spans="1:24" x14ac:dyDescent="0.25">
      <c r="A45" s="27" t="s">
        <v>1093</v>
      </c>
      <c r="B45" s="27" t="str">
        <f t="shared" si="0"/>
        <v>Mississippi</v>
      </c>
      <c r="C45" s="27" t="str">
        <f t="shared" si="1"/>
        <v>Lowndes</v>
      </c>
      <c r="D45" s="27">
        <v>4926</v>
      </c>
      <c r="E45" s="27">
        <v>95</v>
      </c>
      <c r="F45" s="27"/>
      <c r="G45" s="26">
        <f t="shared" si="2"/>
        <v>196.12110842477219</v>
      </c>
      <c r="H45" s="27">
        <v>6672</v>
      </c>
      <c r="I45" s="27"/>
      <c r="J45" s="27">
        <v>39545.370000000003</v>
      </c>
      <c r="K45" s="27">
        <v>42.45</v>
      </c>
      <c r="L45" s="2">
        <v>47318.57</v>
      </c>
      <c r="M45" s="27">
        <v>78</v>
      </c>
      <c r="N45" s="2">
        <v>532675</v>
      </c>
      <c r="O45" s="41" t="s">
        <v>2621</v>
      </c>
      <c r="P45" s="27" t="s">
        <v>553</v>
      </c>
      <c r="Q45" s="27"/>
      <c r="R45" s="27">
        <v>98</v>
      </c>
      <c r="S45" s="27"/>
      <c r="T45" s="27" t="s">
        <v>553</v>
      </c>
      <c r="U45" s="27">
        <v>92</v>
      </c>
      <c r="V45" s="27" t="str">
        <f t="shared" si="3"/>
        <v>https://archive.org/download/GADeptofEd1925/GA.pdf#page=98</v>
      </c>
      <c r="W45" s="27">
        <v>92</v>
      </c>
      <c r="X45" s="27" t="str">
        <f t="shared" si="4"/>
        <v>https://ia601502.us.archive.org/10/items/MS-school-property-value-1935-7/1936%20%26%201937%2c%20selected%20pages.pdf</v>
      </c>
    </row>
    <row r="46" spans="1:24" x14ac:dyDescent="0.25">
      <c r="A46" s="27" t="s">
        <v>1094</v>
      </c>
      <c r="B46" s="27" t="str">
        <f t="shared" si="0"/>
        <v>Mississippi</v>
      </c>
      <c r="C46" s="27" t="str">
        <f t="shared" si="1"/>
        <v>Madison</v>
      </c>
      <c r="D46" s="27">
        <v>6149</v>
      </c>
      <c r="E46" s="27">
        <v>0</v>
      </c>
      <c r="F46" s="27"/>
      <c r="G46" s="26" t="e">
        <f t="shared" si="2"/>
        <v>#DIV/0!</v>
      </c>
      <c r="H46" s="27">
        <v>8316</v>
      </c>
      <c r="I46" s="27"/>
      <c r="J46" s="27">
        <v>36386.03</v>
      </c>
      <c r="K46" s="27">
        <v>40.67</v>
      </c>
      <c r="L46" s="2">
        <v>56351.519999999997</v>
      </c>
      <c r="M46" s="27">
        <v>85</v>
      </c>
      <c r="N46" s="2">
        <v>666230</v>
      </c>
      <c r="O46" s="41" t="s">
        <v>2621</v>
      </c>
      <c r="P46" s="27" t="s">
        <v>553</v>
      </c>
      <c r="Q46" s="27"/>
      <c r="R46" s="27">
        <v>98</v>
      </c>
      <c r="S46" s="27"/>
      <c r="T46" s="27" t="s">
        <v>553</v>
      </c>
      <c r="U46" s="27">
        <v>92</v>
      </c>
      <c r="V46" s="27" t="str">
        <f t="shared" si="3"/>
        <v>https://archive.org/download/GADeptofEd1925/GA.pdf#page=98</v>
      </c>
      <c r="W46" s="27">
        <v>92</v>
      </c>
      <c r="X46" s="27" t="str">
        <f t="shared" si="4"/>
        <v>https://ia601502.us.archive.org/10/items/MS-school-property-value-1935-7/1936%20%26%201937%2c%20selected%20pages.pdf</v>
      </c>
    </row>
    <row r="47" spans="1:24" x14ac:dyDescent="0.25">
      <c r="A47" s="27" t="s">
        <v>1095</v>
      </c>
      <c r="B47" s="27" t="str">
        <f t="shared" si="0"/>
        <v>Mississippi</v>
      </c>
      <c r="C47" s="27" t="str">
        <f t="shared" si="1"/>
        <v>Marion</v>
      </c>
      <c r="D47" s="27">
        <v>5573</v>
      </c>
      <c r="E47" s="27">
        <v>121</v>
      </c>
      <c r="F47" s="27"/>
      <c r="G47" s="26">
        <f t="shared" si="2"/>
        <v>147.05094798249877</v>
      </c>
      <c r="H47" s="27">
        <v>5199</v>
      </c>
      <c r="I47" s="27"/>
      <c r="J47" s="27">
        <v>45372.57</v>
      </c>
      <c r="K47" s="27">
        <v>51</v>
      </c>
      <c r="L47" s="2">
        <v>56211.07</v>
      </c>
      <c r="M47" s="27">
        <v>68</v>
      </c>
      <c r="N47" s="2">
        <v>488004</v>
      </c>
      <c r="O47" s="41" t="s">
        <v>2621</v>
      </c>
      <c r="P47" s="27" t="s">
        <v>553</v>
      </c>
      <c r="Q47" s="27"/>
      <c r="R47" s="27">
        <v>98</v>
      </c>
      <c r="S47" s="27"/>
      <c r="T47" s="27" t="s">
        <v>553</v>
      </c>
      <c r="U47" s="27">
        <v>92</v>
      </c>
      <c r="V47" s="27" t="str">
        <f t="shared" si="3"/>
        <v>https://archive.org/download/GADeptofEd1925/GA.pdf#page=98</v>
      </c>
      <c r="W47" s="27">
        <v>92</v>
      </c>
      <c r="X47" s="27" t="str">
        <f t="shared" si="4"/>
        <v>https://ia601502.us.archive.org/10/items/MS-school-property-value-1935-7/1936%20%26%201937%2c%20selected%20pages.pdf</v>
      </c>
    </row>
    <row r="48" spans="1:24" x14ac:dyDescent="0.25">
      <c r="A48" s="27" t="s">
        <v>1096</v>
      </c>
      <c r="B48" s="27" t="str">
        <f t="shared" si="0"/>
        <v>Mississippi</v>
      </c>
      <c r="C48" s="27" t="str">
        <f t="shared" si="1"/>
        <v>Marshall</v>
      </c>
      <c r="D48" s="27">
        <v>4909</v>
      </c>
      <c r="E48" s="27">
        <v>199</v>
      </c>
      <c r="F48" s="27"/>
      <c r="G48" s="26">
        <f t="shared" si="2"/>
        <v>99.17811278615298</v>
      </c>
      <c r="H48" s="27">
        <v>7465</v>
      </c>
      <c r="I48" s="27"/>
      <c r="J48" s="27">
        <v>44407</v>
      </c>
      <c r="K48" s="27">
        <v>45</v>
      </c>
      <c r="L48" s="2">
        <v>83937.08</v>
      </c>
      <c r="M48" s="27">
        <v>158</v>
      </c>
      <c r="N48" s="2">
        <v>307530</v>
      </c>
      <c r="O48" s="41" t="s">
        <v>2621</v>
      </c>
      <c r="P48" s="27" t="s">
        <v>553</v>
      </c>
      <c r="Q48" s="27"/>
      <c r="R48" s="27">
        <v>98</v>
      </c>
      <c r="S48" s="27"/>
      <c r="T48" s="27" t="s">
        <v>553</v>
      </c>
      <c r="U48" s="27">
        <v>92</v>
      </c>
      <c r="V48" s="27" t="str">
        <f t="shared" si="3"/>
        <v>https://archive.org/download/GADeptofEd1925/GA.pdf#page=98</v>
      </c>
      <c r="W48" s="27">
        <v>92</v>
      </c>
      <c r="X48" s="27" t="str">
        <f t="shared" si="4"/>
        <v>https://ia601502.us.archive.org/10/items/MS-school-property-value-1935-7/1936%20%26%201937%2c%20selected%20pages.pdf</v>
      </c>
    </row>
    <row r="49" spans="1:24" x14ac:dyDescent="0.25">
      <c r="A49" s="27" t="s">
        <v>1097</v>
      </c>
      <c r="B49" s="27" t="str">
        <f t="shared" si="0"/>
        <v>Mississippi</v>
      </c>
      <c r="C49" s="27" t="str">
        <f t="shared" si="1"/>
        <v>Monroe</v>
      </c>
      <c r="D49" s="27">
        <v>8100</v>
      </c>
      <c r="E49" s="27">
        <v>208</v>
      </c>
      <c r="F49" s="27"/>
      <c r="G49" s="26">
        <f t="shared" si="2"/>
        <v>101.58684959875744</v>
      </c>
      <c r="H49" s="27">
        <v>10597</v>
      </c>
      <c r="I49" s="27"/>
      <c r="J49" s="27">
        <v>40812.720000000001</v>
      </c>
      <c r="K49" s="27">
        <v>38.630000000000003</v>
      </c>
      <c r="L49" s="2">
        <v>56017.94</v>
      </c>
      <c r="M49" s="27">
        <v>125</v>
      </c>
      <c r="N49" s="2">
        <v>553015</v>
      </c>
      <c r="O49" s="41" t="s">
        <v>2621</v>
      </c>
      <c r="P49" s="27" t="s">
        <v>553</v>
      </c>
      <c r="Q49" s="27"/>
      <c r="R49" s="27">
        <v>98</v>
      </c>
      <c r="S49" s="27"/>
      <c r="T49" s="27" t="s">
        <v>553</v>
      </c>
      <c r="U49" s="27">
        <v>92</v>
      </c>
      <c r="V49" s="27" t="str">
        <f t="shared" si="3"/>
        <v>https://archive.org/download/GADeptofEd1925/GA.pdf#page=98</v>
      </c>
      <c r="W49" s="27">
        <v>92</v>
      </c>
      <c r="X49" s="27" t="str">
        <f t="shared" si="4"/>
        <v>https://ia601502.us.archive.org/10/items/MS-school-property-value-1935-7/1936%20%26%201937%2c%20selected%20pages.pdf</v>
      </c>
    </row>
    <row r="50" spans="1:24" x14ac:dyDescent="0.25">
      <c r="A50" s="27" t="s">
        <v>1098</v>
      </c>
      <c r="B50" s="27" t="str">
        <f t="shared" si="0"/>
        <v>Mississippi</v>
      </c>
      <c r="C50" s="27" t="str">
        <f t="shared" si="1"/>
        <v>Montgomery</v>
      </c>
      <c r="D50" s="27">
        <v>2971</v>
      </c>
      <c r="E50" s="27">
        <v>46</v>
      </c>
      <c r="F50" s="27"/>
      <c r="G50" s="26">
        <f t="shared" si="2"/>
        <v>27.734559449756901</v>
      </c>
      <c r="H50" s="27">
        <v>4532</v>
      </c>
      <c r="I50" s="27"/>
      <c r="J50" s="27">
        <v>2572.63</v>
      </c>
      <c r="K50" s="27">
        <v>40.33</v>
      </c>
      <c r="L50" s="2">
        <v>44910.12</v>
      </c>
      <c r="M50" s="27">
        <v>8</v>
      </c>
      <c r="N50" s="2">
        <v>325005</v>
      </c>
      <c r="O50" s="41" t="s">
        <v>2621</v>
      </c>
      <c r="P50" s="27" t="s">
        <v>553</v>
      </c>
      <c r="Q50" s="27"/>
      <c r="R50" s="27">
        <v>98</v>
      </c>
      <c r="S50" s="27"/>
      <c r="T50" s="27" t="s">
        <v>553</v>
      </c>
      <c r="U50" s="27">
        <v>92</v>
      </c>
      <c r="V50" s="27" t="str">
        <f t="shared" si="3"/>
        <v>https://archive.org/download/GADeptofEd1925/GA.pdf#page=98</v>
      </c>
      <c r="W50" s="27">
        <v>92</v>
      </c>
      <c r="X50" s="27" t="str">
        <f t="shared" si="4"/>
        <v>https://ia601502.us.archive.org/10/items/MS-school-property-value-1935-7/1936%20%26%201937%2c%20selected%20pages.pdf</v>
      </c>
    </row>
    <row r="51" spans="1:24" x14ac:dyDescent="0.25">
      <c r="A51" s="27" t="s">
        <v>1099</v>
      </c>
      <c r="B51" s="27" t="str">
        <f t="shared" si="0"/>
        <v>Mississippi</v>
      </c>
      <c r="C51" s="27" t="str">
        <f t="shared" si="1"/>
        <v>Neshoba</v>
      </c>
      <c r="D51" s="27">
        <v>6184</v>
      </c>
      <c r="E51" s="27">
        <v>182</v>
      </c>
      <c r="F51" s="27"/>
      <c r="G51" s="26">
        <f t="shared" si="2"/>
        <v>176.66962711594795</v>
      </c>
      <c r="H51" s="27">
        <v>8070</v>
      </c>
      <c r="I51" s="27"/>
      <c r="J51" s="27">
        <v>66638.899999999994</v>
      </c>
      <c r="K51" s="27">
        <v>41.45</v>
      </c>
      <c r="L51" s="2">
        <v>76953.11</v>
      </c>
      <c r="M51" s="27">
        <v>106</v>
      </c>
      <c r="N51" s="2">
        <v>378937.45</v>
      </c>
      <c r="O51" s="41" t="s">
        <v>2621</v>
      </c>
      <c r="P51" s="27" t="s">
        <v>553</v>
      </c>
      <c r="Q51" s="27"/>
      <c r="R51" s="27">
        <v>98</v>
      </c>
      <c r="S51" s="27"/>
      <c r="T51" s="27" t="s">
        <v>553</v>
      </c>
      <c r="U51" s="27">
        <v>92</v>
      </c>
      <c r="V51" s="27" t="str">
        <f t="shared" si="3"/>
        <v>https://archive.org/download/GADeptofEd1925/GA.pdf#page=98</v>
      </c>
      <c r="W51" s="27">
        <v>92</v>
      </c>
      <c r="X51" s="27" t="str">
        <f t="shared" si="4"/>
        <v>https://ia601502.us.archive.org/10/items/MS-school-property-value-1935-7/1936%20%26%201937%2c%20selected%20pages.pdf</v>
      </c>
    </row>
    <row r="52" spans="1:24" x14ac:dyDescent="0.25">
      <c r="A52" s="27" t="s">
        <v>1100</v>
      </c>
      <c r="B52" s="27" t="str">
        <f t="shared" si="0"/>
        <v>Mississippi</v>
      </c>
      <c r="C52" s="27" t="str">
        <f t="shared" si="1"/>
        <v>Newton</v>
      </c>
      <c r="D52" s="27">
        <v>5532</v>
      </c>
      <c r="E52" s="27">
        <f>105+45</f>
        <v>150</v>
      </c>
      <c r="F52" s="27"/>
      <c r="G52" s="97">
        <f t="shared" si="2"/>
        <v>127.15499259259259</v>
      </c>
      <c r="H52" s="27">
        <v>7560</v>
      </c>
      <c r="I52" s="27"/>
      <c r="J52" s="7">
        <v>42914.81</v>
      </c>
      <c r="K52" s="27">
        <v>45</v>
      </c>
      <c r="L52" s="2">
        <v>57756.55</v>
      </c>
      <c r="M52" s="27">
        <v>98</v>
      </c>
      <c r="N52" s="2">
        <v>635291</v>
      </c>
      <c r="O52" s="41" t="s">
        <v>2621</v>
      </c>
      <c r="P52" s="27" t="s">
        <v>553</v>
      </c>
      <c r="Q52" s="27"/>
      <c r="R52" s="27">
        <v>98</v>
      </c>
      <c r="S52" s="27"/>
      <c r="T52" s="27" t="s">
        <v>553</v>
      </c>
      <c r="U52" s="27">
        <v>92</v>
      </c>
      <c r="V52" s="27" t="str">
        <f t="shared" si="3"/>
        <v>https://archive.org/download/GADeptofEd1925/GA.pdf#page=98</v>
      </c>
      <c r="W52" s="27">
        <v>92</v>
      </c>
      <c r="X52" s="27" t="str">
        <f t="shared" si="4"/>
        <v>https://ia601502.us.archive.org/10/items/MS-school-property-value-1935-7/1936%20%26%201937%2c%20selected%20pages.pdf</v>
      </c>
    </row>
    <row r="53" spans="1:24" x14ac:dyDescent="0.25">
      <c r="A53" s="27" t="s">
        <v>1101</v>
      </c>
      <c r="B53" s="27" t="str">
        <f t="shared" si="0"/>
        <v>Mississippi</v>
      </c>
      <c r="C53" s="27" t="str">
        <f t="shared" si="1"/>
        <v>Noxubee</v>
      </c>
      <c r="D53" s="27">
        <v>4716</v>
      </c>
      <c r="E53" s="27">
        <v>127</v>
      </c>
      <c r="F53" s="27"/>
      <c r="G53" s="26">
        <f t="shared" si="2"/>
        <v>212.41960281995114</v>
      </c>
      <c r="H53" s="27">
        <v>7205</v>
      </c>
      <c r="I53" s="27"/>
      <c r="J53" s="27">
        <v>54642.5</v>
      </c>
      <c r="K53" s="27">
        <v>40.51</v>
      </c>
      <c r="L53" s="2">
        <v>80792.28</v>
      </c>
      <c r="M53" s="27">
        <v>90</v>
      </c>
      <c r="N53" s="2">
        <v>125295</v>
      </c>
      <c r="O53" s="41" t="s">
        <v>2621</v>
      </c>
      <c r="P53" s="27" t="s">
        <v>553</v>
      </c>
      <c r="Q53" s="27"/>
      <c r="R53" s="27">
        <v>98</v>
      </c>
      <c r="S53" s="27"/>
      <c r="T53" s="27" t="s">
        <v>553</v>
      </c>
      <c r="U53" s="27">
        <v>92</v>
      </c>
      <c r="V53" s="27" t="str">
        <f t="shared" si="3"/>
        <v>https://archive.org/download/GADeptofEd1925/GA.pdf#page=98</v>
      </c>
      <c r="W53" s="27">
        <v>92</v>
      </c>
      <c r="X53" s="27" t="str">
        <f t="shared" si="4"/>
        <v>https://ia601502.us.archive.org/10/items/MS-school-property-value-1935-7/1936%20%26%201937%2c%20selected%20pages.pdf</v>
      </c>
    </row>
    <row r="54" spans="1:24" x14ac:dyDescent="0.25">
      <c r="A54" s="27" t="s">
        <v>1102</v>
      </c>
      <c r="B54" s="27" t="str">
        <f t="shared" si="0"/>
        <v>Mississippi</v>
      </c>
      <c r="C54" s="27" t="str">
        <f t="shared" si="1"/>
        <v>Oktibbeha</v>
      </c>
      <c r="D54" s="27">
        <v>4329</v>
      </c>
      <c r="E54" s="27">
        <v>120</v>
      </c>
      <c r="F54" s="27"/>
      <c r="G54" s="26">
        <f t="shared" si="2"/>
        <v>113.59064469219584</v>
      </c>
      <c r="H54" s="27">
        <v>5022</v>
      </c>
      <c r="I54" s="27"/>
      <c r="J54" s="27">
        <v>28120.5</v>
      </c>
      <c r="K54" s="27">
        <v>41.26</v>
      </c>
      <c r="L54" s="2">
        <v>43645.16</v>
      </c>
      <c r="M54" s="27">
        <v>87</v>
      </c>
      <c r="N54" s="2">
        <v>236778</v>
      </c>
      <c r="O54" s="41" t="s">
        <v>2621</v>
      </c>
      <c r="P54" s="27" t="s">
        <v>553</v>
      </c>
      <c r="Q54" s="27"/>
      <c r="R54" s="27">
        <v>98</v>
      </c>
      <c r="S54" s="27"/>
      <c r="T54" s="27" t="s">
        <v>553</v>
      </c>
      <c r="U54" s="27">
        <v>92</v>
      </c>
      <c r="V54" s="27" t="str">
        <f t="shared" si="3"/>
        <v>https://archive.org/download/GADeptofEd1925/GA.pdf#page=98</v>
      </c>
      <c r="W54" s="27">
        <v>92</v>
      </c>
      <c r="X54" s="27" t="str">
        <f t="shared" si="4"/>
        <v>https://ia601502.us.archive.org/10/items/MS-school-property-value-1935-7/1936%20%26%201937%2c%20selected%20pages.pdf</v>
      </c>
    </row>
    <row r="55" spans="1:24" x14ac:dyDescent="0.25">
      <c r="A55" s="27" t="s">
        <v>1103</v>
      </c>
      <c r="B55" s="27" t="str">
        <f t="shared" si="0"/>
        <v>Mississippi</v>
      </c>
      <c r="C55" s="27" t="str">
        <f t="shared" si="1"/>
        <v>Panola</v>
      </c>
      <c r="D55" s="27">
        <v>5720</v>
      </c>
      <c r="E55" s="27">
        <v>128</v>
      </c>
      <c r="F55" s="27"/>
      <c r="G55" s="26">
        <f t="shared" si="2"/>
        <v>136.38651756283477</v>
      </c>
      <c r="H55" s="27">
        <v>8248</v>
      </c>
      <c r="I55" s="27"/>
      <c r="J55" s="27">
        <v>42369.29</v>
      </c>
      <c r="K55" s="27">
        <v>48.54</v>
      </c>
      <c r="L55" s="2">
        <v>55082.44</v>
      </c>
      <c r="M55" s="27">
        <v>107</v>
      </c>
      <c r="N55" s="2">
        <v>423790</v>
      </c>
      <c r="O55" s="41" t="s">
        <v>2621</v>
      </c>
      <c r="P55" s="27" t="s">
        <v>553</v>
      </c>
      <c r="Q55" s="27"/>
      <c r="R55" s="27">
        <v>98</v>
      </c>
      <c r="S55" s="27"/>
      <c r="T55" s="27" t="s">
        <v>553</v>
      </c>
      <c r="U55" s="27">
        <v>92</v>
      </c>
      <c r="V55" s="27" t="str">
        <f t="shared" si="3"/>
        <v>https://archive.org/download/GADeptofEd1925/GA.pdf#page=98</v>
      </c>
      <c r="W55" s="27">
        <v>92</v>
      </c>
      <c r="X55" s="27" t="str">
        <f t="shared" si="4"/>
        <v>https://ia601502.us.archive.org/10/items/MS-school-property-value-1935-7/1936%20%26%201937%2c%20selected%20pages.pdf</v>
      </c>
    </row>
    <row r="56" spans="1:24" x14ac:dyDescent="0.25">
      <c r="A56" s="27" t="s">
        <v>1104</v>
      </c>
      <c r="B56" s="27" t="str">
        <f t="shared" si="0"/>
        <v>Mississippi</v>
      </c>
      <c r="C56" s="27" t="str">
        <f t="shared" si="1"/>
        <v>Pearl River</v>
      </c>
      <c r="D56" s="27">
        <v>5337</v>
      </c>
      <c r="E56" s="27">
        <v>264</v>
      </c>
      <c r="F56" s="27"/>
      <c r="G56" s="26">
        <f t="shared" si="2"/>
        <v>103.53535353535355</v>
      </c>
      <c r="H56" s="27">
        <v>6789</v>
      </c>
      <c r="I56" s="27"/>
      <c r="J56" s="27">
        <v>82000</v>
      </c>
      <c r="K56" s="27">
        <v>60</v>
      </c>
      <c r="L56" s="2">
        <v>147800</v>
      </c>
      <c r="M56" s="27">
        <v>46</v>
      </c>
      <c r="N56" s="2">
        <v>1413635</v>
      </c>
      <c r="O56" s="41" t="s">
        <v>2621</v>
      </c>
      <c r="P56" s="27" t="s">
        <v>553</v>
      </c>
      <c r="Q56" s="27"/>
      <c r="R56" s="27">
        <v>98</v>
      </c>
      <c r="S56" s="27"/>
      <c r="T56" s="27" t="s">
        <v>553</v>
      </c>
      <c r="U56" s="27">
        <v>92</v>
      </c>
      <c r="V56" s="27" t="str">
        <f t="shared" si="3"/>
        <v>https://archive.org/download/GADeptofEd1925/GA.pdf#page=98</v>
      </c>
      <c r="W56" s="27">
        <v>92</v>
      </c>
      <c r="X56" s="27" t="str">
        <f t="shared" si="4"/>
        <v>https://ia601502.us.archive.org/10/items/MS-school-property-value-1935-7/1936%20%26%201937%2c%20selected%20pages.pdf</v>
      </c>
    </row>
    <row r="57" spans="1:24" x14ac:dyDescent="0.25">
      <c r="A57" s="27" t="s">
        <v>1105</v>
      </c>
      <c r="B57" s="27" t="str">
        <f t="shared" si="0"/>
        <v>Mississippi</v>
      </c>
      <c r="C57" s="27" t="str">
        <f t="shared" si="1"/>
        <v>Perry</v>
      </c>
      <c r="D57" s="27">
        <v>2187</v>
      </c>
      <c r="E57" s="27">
        <v>58</v>
      </c>
      <c r="F57" s="27"/>
      <c r="G57" s="26">
        <f t="shared" si="2"/>
        <v>210.80075340481019</v>
      </c>
      <c r="H57" s="27">
        <v>3050</v>
      </c>
      <c r="I57" s="27"/>
      <c r="J57" s="27">
        <v>36373.67</v>
      </c>
      <c r="K57" s="27">
        <v>59.5</v>
      </c>
      <c r="L57" s="2">
        <v>67947.5</v>
      </c>
      <c r="M57" s="27">
        <v>44</v>
      </c>
      <c r="N57" s="2">
        <v>197900</v>
      </c>
      <c r="O57" s="41" t="s">
        <v>2621</v>
      </c>
      <c r="P57" s="27" t="s">
        <v>553</v>
      </c>
      <c r="Q57" s="27"/>
      <c r="R57" s="27">
        <v>98</v>
      </c>
      <c r="S57" s="27"/>
      <c r="T57" s="27" t="s">
        <v>553</v>
      </c>
      <c r="U57" s="27">
        <v>92</v>
      </c>
      <c r="V57" s="27" t="str">
        <f t="shared" si="3"/>
        <v>https://archive.org/download/GADeptofEd1925/GA.pdf#page=98</v>
      </c>
      <c r="W57" s="27">
        <v>92</v>
      </c>
      <c r="X57" s="27" t="str">
        <f t="shared" si="4"/>
        <v>https://ia601502.us.archive.org/10/items/MS-school-property-value-1935-7/1936%20%26%201937%2c%20selected%20pages.pdf</v>
      </c>
    </row>
    <row r="58" spans="1:24" x14ac:dyDescent="0.25">
      <c r="A58" s="27" t="s">
        <v>1106</v>
      </c>
      <c r="B58" s="27" t="str">
        <f t="shared" si="0"/>
        <v>Mississippi</v>
      </c>
      <c r="C58" s="27" t="str">
        <f t="shared" si="1"/>
        <v>Pike</v>
      </c>
      <c r="D58" s="27">
        <v>6428</v>
      </c>
      <c r="E58" s="27">
        <v>89</v>
      </c>
      <c r="F58" s="27"/>
      <c r="G58" s="26">
        <f t="shared" si="2"/>
        <v>157.58625387216955</v>
      </c>
      <c r="H58" s="27">
        <v>8635</v>
      </c>
      <c r="I58" s="27"/>
      <c r="J58" s="27">
        <v>26605.759999999998</v>
      </c>
      <c r="K58" s="27">
        <v>37.94</v>
      </c>
      <c r="L58" s="2">
        <v>38871.97</v>
      </c>
      <c r="M58" s="27">
        <v>60</v>
      </c>
      <c r="N58" s="2">
        <v>965575</v>
      </c>
      <c r="O58" s="41" t="s">
        <v>2621</v>
      </c>
      <c r="P58" s="27" t="s">
        <v>553</v>
      </c>
      <c r="Q58" s="27"/>
      <c r="R58" s="27">
        <v>98</v>
      </c>
      <c r="S58" s="27"/>
      <c r="T58" s="27" t="s">
        <v>553</v>
      </c>
      <c r="U58" s="27">
        <v>92</v>
      </c>
      <c r="V58" s="27" t="str">
        <f t="shared" si="3"/>
        <v>https://archive.org/download/GADeptofEd1925/GA.pdf#page=98</v>
      </c>
      <c r="W58" s="27">
        <v>92</v>
      </c>
      <c r="X58" s="27" t="str">
        <f t="shared" si="4"/>
        <v>https://ia601502.us.archive.org/10/items/MS-school-property-value-1935-7/1936%20%26%201937%2c%20selected%20pages.pdf</v>
      </c>
    </row>
    <row r="59" spans="1:24" x14ac:dyDescent="0.25">
      <c r="A59" s="27" t="s">
        <v>1107</v>
      </c>
      <c r="B59" s="27" t="str">
        <f t="shared" si="0"/>
        <v>Mississippi</v>
      </c>
      <c r="C59" s="27" t="str">
        <f t="shared" si="1"/>
        <v>Pontotoc</v>
      </c>
      <c r="D59" s="27">
        <v>4471</v>
      </c>
      <c r="E59" s="27">
        <v>188</v>
      </c>
      <c r="F59" s="27"/>
      <c r="G59" s="26">
        <f t="shared" si="2"/>
        <v>178.90523281200382</v>
      </c>
      <c r="H59" s="27">
        <v>6549</v>
      </c>
      <c r="I59" s="27"/>
      <c r="J59" s="27">
        <v>72111.69</v>
      </c>
      <c r="K59" s="27">
        <v>42.88</v>
      </c>
      <c r="L59" s="2">
        <v>75769.289999999994</v>
      </c>
      <c r="M59" s="27">
        <v>110</v>
      </c>
      <c r="N59" s="2">
        <v>323475</v>
      </c>
      <c r="O59" s="41" t="s">
        <v>2621</v>
      </c>
      <c r="P59" s="27" t="s">
        <v>553</v>
      </c>
      <c r="Q59" s="27"/>
      <c r="R59" s="27">
        <v>98</v>
      </c>
      <c r="S59" s="27"/>
      <c r="T59" s="27" t="s">
        <v>553</v>
      </c>
      <c r="U59" s="27">
        <v>92</v>
      </c>
      <c r="V59" s="27" t="str">
        <f t="shared" si="3"/>
        <v>https://archive.org/download/GADeptofEd1925/GA.pdf#page=98</v>
      </c>
      <c r="W59" s="27">
        <v>92</v>
      </c>
      <c r="X59" s="27" t="str">
        <f t="shared" si="4"/>
        <v>https://ia601502.us.archive.org/10/items/MS-school-property-value-1935-7/1936%20%26%201937%2c%20selected%20pages.pdf</v>
      </c>
    </row>
    <row r="60" spans="1:24" x14ac:dyDescent="0.25">
      <c r="A60" s="27" t="s">
        <v>1108</v>
      </c>
      <c r="B60" s="27" t="str">
        <f t="shared" si="0"/>
        <v>Mississippi</v>
      </c>
      <c r="C60" s="27" t="str">
        <f t="shared" si="1"/>
        <v>Prentiss</v>
      </c>
      <c r="D60" s="27">
        <v>4565</v>
      </c>
      <c r="E60" s="27">
        <v>110</v>
      </c>
      <c r="F60" s="27"/>
      <c r="G60" s="26">
        <f t="shared" si="2"/>
        <v>160.40762006638457</v>
      </c>
      <c r="H60" s="27">
        <v>5879</v>
      </c>
      <c r="I60" s="27"/>
      <c r="J60" s="27">
        <v>50984.76</v>
      </c>
      <c r="K60" s="27">
        <v>57.79</v>
      </c>
      <c r="L60" s="2">
        <v>57486.6</v>
      </c>
      <c r="M60" s="27">
        <v>66</v>
      </c>
      <c r="N60" s="2">
        <v>162586</v>
      </c>
      <c r="O60" s="41" t="s">
        <v>2621</v>
      </c>
      <c r="P60" s="27" t="s">
        <v>553</v>
      </c>
      <c r="Q60" s="27"/>
      <c r="R60" s="27">
        <v>98</v>
      </c>
      <c r="S60" s="27"/>
      <c r="T60" s="27" t="s">
        <v>553</v>
      </c>
      <c r="U60" s="27">
        <v>92</v>
      </c>
      <c r="V60" s="27" t="str">
        <f t="shared" si="3"/>
        <v>https://archive.org/download/GADeptofEd1925/GA.pdf#page=98</v>
      </c>
      <c r="W60" s="27">
        <v>92</v>
      </c>
      <c r="X60" s="27" t="str">
        <f t="shared" si="4"/>
        <v>https://ia601502.us.archive.org/10/items/MS-school-property-value-1935-7/1936%20%26%201937%2c%20selected%20pages.pdf</v>
      </c>
    </row>
    <row r="61" spans="1:24" x14ac:dyDescent="0.25">
      <c r="A61" s="27" t="s">
        <v>1109</v>
      </c>
      <c r="B61" s="27" t="str">
        <f t="shared" si="0"/>
        <v>Mississippi</v>
      </c>
      <c r="C61" s="27" t="str">
        <f t="shared" si="1"/>
        <v>Quitman</v>
      </c>
      <c r="D61" s="27">
        <v>3878</v>
      </c>
      <c r="E61" s="27">
        <v>58</v>
      </c>
      <c r="F61" s="27"/>
      <c r="G61" s="26">
        <f t="shared" si="2"/>
        <v>296.96176648517843</v>
      </c>
      <c r="H61" s="27">
        <v>6501</v>
      </c>
      <c r="I61" s="27"/>
      <c r="J61" s="27">
        <v>49087.78</v>
      </c>
      <c r="K61" s="27">
        <v>57</v>
      </c>
      <c r="L61" s="2">
        <f>2557.5+49087.78+5087.7+27+2314.33+5576.85+3018.72</f>
        <v>67669.87999999999</v>
      </c>
      <c r="M61" s="27">
        <v>64</v>
      </c>
      <c r="N61" s="2">
        <v>347080</v>
      </c>
      <c r="O61" s="41" t="s">
        <v>2621</v>
      </c>
      <c r="P61" s="27" t="s">
        <v>553</v>
      </c>
      <c r="Q61" s="27"/>
      <c r="R61" s="27">
        <v>98</v>
      </c>
      <c r="S61" s="27"/>
      <c r="T61" s="27" t="s">
        <v>553</v>
      </c>
      <c r="U61" s="27">
        <v>92</v>
      </c>
      <c r="V61" s="27" t="str">
        <f t="shared" si="3"/>
        <v>https://archive.org/download/GADeptofEd1925/GA.pdf#page=98</v>
      </c>
      <c r="W61" s="27">
        <v>92</v>
      </c>
      <c r="X61" s="27" t="str">
        <f t="shared" si="4"/>
        <v>https://ia601502.us.archive.org/10/items/MS-school-property-value-1935-7/1936%20%26%201937%2c%20selected%20pages.pdf</v>
      </c>
    </row>
    <row r="62" spans="1:24" x14ac:dyDescent="0.25">
      <c r="A62" s="27" t="s">
        <v>1110</v>
      </c>
      <c r="B62" s="27" t="str">
        <f t="shared" si="0"/>
        <v>Mississippi</v>
      </c>
      <c r="C62" s="27" t="str">
        <f t="shared" si="1"/>
        <v>Rankin</v>
      </c>
      <c r="D62" s="27">
        <v>4766</v>
      </c>
      <c r="E62" s="27">
        <v>157</v>
      </c>
      <c r="F62" s="27"/>
      <c r="G62" s="26">
        <f t="shared" si="2"/>
        <v>149.6392485688946</v>
      </c>
      <c r="H62" s="27">
        <v>6577</v>
      </c>
      <c r="I62" s="27"/>
      <c r="J62" s="27">
        <v>46399.39</v>
      </c>
      <c r="K62" s="27">
        <v>39.5</v>
      </c>
      <c r="L62" s="2">
        <v>59529.2</v>
      </c>
      <c r="M62" s="27">
        <v>100</v>
      </c>
      <c r="N62" s="2">
        <v>225026</v>
      </c>
      <c r="O62" s="41" t="s">
        <v>2621</v>
      </c>
      <c r="P62" s="27" t="s">
        <v>553</v>
      </c>
      <c r="Q62" s="27"/>
      <c r="R62" s="27">
        <v>99</v>
      </c>
      <c r="S62" s="27"/>
      <c r="T62" s="27" t="s">
        <v>553</v>
      </c>
      <c r="U62" s="27">
        <v>93</v>
      </c>
      <c r="V62" s="27" t="str">
        <f t="shared" si="3"/>
        <v>https://archive.org/download/GADeptofEd1925/GA.pdf#page=99</v>
      </c>
      <c r="W62" s="27">
        <v>93</v>
      </c>
      <c r="X62" s="27" t="str">
        <f t="shared" si="4"/>
        <v>https://ia601502.us.archive.org/10/items/MS-school-property-value-1935-7/1936%20%26%201937%2c%20selected%20pages.pdf</v>
      </c>
    </row>
    <row r="63" spans="1:24" x14ac:dyDescent="0.25">
      <c r="A63" s="27" t="s">
        <v>1111</v>
      </c>
      <c r="B63" s="27" t="str">
        <f t="shared" si="0"/>
        <v>Mississippi</v>
      </c>
      <c r="C63" s="27" t="str">
        <f t="shared" si="1"/>
        <v>Scott</v>
      </c>
      <c r="D63" s="27">
        <v>6075</v>
      </c>
      <c r="E63" s="27">
        <v>119</v>
      </c>
      <c r="F63" s="27"/>
      <c r="G63" s="26">
        <f t="shared" si="2"/>
        <v>181.817103311913</v>
      </c>
      <c r="H63" s="27">
        <v>7168</v>
      </c>
      <c r="I63" s="27"/>
      <c r="J63" s="27">
        <v>45977</v>
      </c>
      <c r="K63" s="27">
        <v>42.5</v>
      </c>
      <c r="L63" s="2">
        <v>59704.88</v>
      </c>
      <c r="M63" s="27">
        <v>76</v>
      </c>
      <c r="N63" s="2">
        <v>348240</v>
      </c>
      <c r="O63" s="41" t="s">
        <v>2621</v>
      </c>
      <c r="P63" s="27" t="s">
        <v>553</v>
      </c>
      <c r="Q63" s="27"/>
      <c r="R63" s="27">
        <v>99</v>
      </c>
      <c r="S63" s="27"/>
      <c r="T63" s="27" t="s">
        <v>553</v>
      </c>
      <c r="U63" s="27">
        <v>93</v>
      </c>
      <c r="V63" s="27" t="str">
        <f t="shared" si="3"/>
        <v>https://archive.org/download/GADeptofEd1925/GA.pdf#page=99</v>
      </c>
      <c r="W63" s="27">
        <v>93</v>
      </c>
      <c r="X63" s="27" t="str">
        <f t="shared" si="4"/>
        <v>https://ia601502.us.archive.org/10/items/MS-school-property-value-1935-7/1936%20%26%201937%2c%20selected%20pages.pdf</v>
      </c>
    </row>
    <row r="64" spans="1:24" x14ac:dyDescent="0.25">
      <c r="A64" s="27" t="s">
        <v>1112</v>
      </c>
      <c r="B64" s="27" t="str">
        <f t="shared" si="0"/>
        <v>Mississippi</v>
      </c>
      <c r="C64" s="27" t="str">
        <f t="shared" si="1"/>
        <v>Sharkey</v>
      </c>
      <c r="D64" s="27">
        <v>2265</v>
      </c>
      <c r="E64" s="27">
        <v>54</v>
      </c>
      <c r="F64" s="27"/>
      <c r="G64" s="26">
        <f t="shared" si="2"/>
        <v>177.05968284140309</v>
      </c>
      <c r="H64" s="27">
        <v>3454</v>
      </c>
      <c r="I64" s="27"/>
      <c r="J64" s="27">
        <v>30180</v>
      </c>
      <c r="K64" s="27">
        <v>63.13</v>
      </c>
      <c r="L64" s="2">
        <f>2000+30180+300+6585+24+4060+3696.73+900</f>
        <v>47745.73</v>
      </c>
      <c r="M64" s="27">
        <v>42</v>
      </c>
      <c r="N64" s="2">
        <v>494100</v>
      </c>
      <c r="O64" s="41" t="s">
        <v>2621</v>
      </c>
      <c r="P64" s="27" t="s">
        <v>553</v>
      </c>
      <c r="Q64" s="27"/>
      <c r="R64" s="27">
        <v>99</v>
      </c>
      <c r="S64" s="27"/>
      <c r="T64" s="27" t="s">
        <v>553</v>
      </c>
      <c r="U64" s="27">
        <v>93</v>
      </c>
      <c r="V64" s="27" t="str">
        <f t="shared" si="3"/>
        <v>https://archive.org/download/GADeptofEd1925/GA.pdf#page=99</v>
      </c>
      <c r="W64" s="27">
        <v>93</v>
      </c>
      <c r="X64" s="27" t="str">
        <f t="shared" si="4"/>
        <v>https://ia601502.us.archive.org/10/items/MS-school-property-value-1935-7/1936%20%26%201937%2c%20selected%20pages.pdf</v>
      </c>
    </row>
    <row r="65" spans="1:24" x14ac:dyDescent="0.25">
      <c r="A65" s="27" t="s">
        <v>1113</v>
      </c>
      <c r="B65" s="27" t="str">
        <f t="shared" si="0"/>
        <v>Mississippi</v>
      </c>
      <c r="C65" s="27" t="str">
        <f t="shared" si="1"/>
        <v>Simpson</v>
      </c>
      <c r="D65" s="27">
        <v>7279</v>
      </c>
      <c r="E65" s="27">
        <f>170+70</f>
        <v>240</v>
      </c>
      <c r="F65" s="27"/>
      <c r="G65" s="97">
        <f t="shared" si="2"/>
        <v>177.83937122631687</v>
      </c>
      <c r="H65" s="27">
        <v>7849</v>
      </c>
      <c r="I65" s="27"/>
      <c r="J65" s="27">
        <v>68333</v>
      </c>
      <c r="K65" s="27">
        <v>32.020000000000003</v>
      </c>
      <c r="L65" s="2">
        <v>74579.5</v>
      </c>
      <c r="M65" s="27">
        <v>110</v>
      </c>
      <c r="N65" s="2">
        <v>290275</v>
      </c>
      <c r="O65" s="41" t="s">
        <v>2621</v>
      </c>
      <c r="P65" s="27" t="s">
        <v>553</v>
      </c>
      <c r="Q65" s="27"/>
      <c r="R65" s="27">
        <v>99</v>
      </c>
      <c r="S65" s="27"/>
      <c r="T65" s="27" t="s">
        <v>553</v>
      </c>
      <c r="U65" s="27">
        <v>93</v>
      </c>
      <c r="V65" s="27" t="str">
        <f t="shared" si="3"/>
        <v>https://archive.org/download/GADeptofEd1925/GA.pdf#page=99</v>
      </c>
      <c r="W65" s="27">
        <v>93</v>
      </c>
      <c r="X65" s="27" t="str">
        <f t="shared" si="4"/>
        <v>https://ia601502.us.archive.org/10/items/MS-school-property-value-1935-7/1936%20%26%201937%2c%20selected%20pages.pdf</v>
      </c>
    </row>
    <row r="66" spans="1:24" x14ac:dyDescent="0.25">
      <c r="A66" s="27" t="s">
        <v>1114</v>
      </c>
      <c r="B66" s="27" t="str">
        <f t="shared" ref="B66:B83" si="5">LEFT(A66,FIND(";",A66)-1)</f>
        <v>Mississippi</v>
      </c>
      <c r="C66" s="27" t="str">
        <f t="shared" ref="C66:C83" si="6">MID(A66,FIND(";",A66)+1,100)</f>
        <v>Smith</v>
      </c>
      <c r="D66" s="27">
        <v>4243</v>
      </c>
      <c r="E66" s="27">
        <v>157</v>
      </c>
      <c r="F66" s="27"/>
      <c r="G66" s="26">
        <f t="shared" si="2"/>
        <v>159.47574718275357</v>
      </c>
      <c r="H66" s="27">
        <v>3965</v>
      </c>
      <c r="I66" s="27"/>
      <c r="J66" s="27">
        <v>65098</v>
      </c>
      <c r="K66" s="27">
        <v>52</v>
      </c>
      <c r="L66" s="2">
        <v>97502.5</v>
      </c>
      <c r="M66" s="27">
        <v>77</v>
      </c>
      <c r="N66" s="2">
        <v>246620</v>
      </c>
      <c r="O66" s="41" t="s">
        <v>2621</v>
      </c>
      <c r="P66" s="27" t="s">
        <v>553</v>
      </c>
      <c r="Q66" s="27"/>
      <c r="R66" s="27">
        <v>99</v>
      </c>
      <c r="S66" s="27"/>
      <c r="T66" s="27" t="s">
        <v>553</v>
      </c>
      <c r="U66" s="27">
        <v>93</v>
      </c>
      <c r="V66" s="27" t="str">
        <f t="shared" si="3"/>
        <v>https://archive.org/download/GADeptofEd1925/GA.pdf#page=99</v>
      </c>
      <c r="W66" s="27">
        <v>93</v>
      </c>
      <c r="X66" s="27" t="str">
        <f t="shared" si="4"/>
        <v>https://ia601502.us.archive.org/10/items/MS-school-property-value-1935-7/1936%20%26%201937%2c%20selected%20pages.pdf</v>
      </c>
    </row>
    <row r="67" spans="1:24" x14ac:dyDescent="0.25">
      <c r="A67" s="27" t="s">
        <v>1115</v>
      </c>
      <c r="B67" s="27" t="str">
        <f t="shared" si="5"/>
        <v>Mississippi</v>
      </c>
      <c r="C67" s="27" t="str">
        <f t="shared" si="6"/>
        <v>Stone</v>
      </c>
      <c r="D67" s="27">
        <v>1495</v>
      </c>
      <c r="E67" s="27">
        <f>12+46</f>
        <v>58</v>
      </c>
      <c r="F67" s="27"/>
      <c r="G67" s="26">
        <f t="shared" ref="G67:G83" si="7">20*(J67/K67/E67)</f>
        <v>192.3471149281429</v>
      </c>
      <c r="H67" s="27">
        <v>2193</v>
      </c>
      <c r="I67" s="27"/>
      <c r="J67" s="27">
        <v>35655</v>
      </c>
      <c r="K67" s="27">
        <v>63.92</v>
      </c>
      <c r="L67" s="2">
        <v>59094</v>
      </c>
      <c r="M67" s="27">
        <v>25</v>
      </c>
      <c r="N67" s="2">
        <v>362525</v>
      </c>
      <c r="O67" s="41" t="s">
        <v>2621</v>
      </c>
      <c r="P67" s="27" t="s">
        <v>553</v>
      </c>
      <c r="Q67" s="27"/>
      <c r="R67" s="27">
        <v>99</v>
      </c>
      <c r="S67" s="27"/>
      <c r="T67" s="27" t="s">
        <v>553</v>
      </c>
      <c r="U67" s="27">
        <v>93</v>
      </c>
      <c r="V67" s="27" t="str">
        <f t="shared" ref="V67:V83" si="8">CONCATENATE("https://archive.org/download/GADeptofEd1925/GA.pdf#page=",R67)</f>
        <v>https://archive.org/download/GADeptofEd1925/GA.pdf#page=99</v>
      </c>
      <c r="W67" s="27">
        <v>93</v>
      </c>
      <c r="X67" s="27" t="str">
        <f t="shared" si="4"/>
        <v>https://ia601502.us.archive.org/10/items/MS-school-property-value-1935-7/1936%20%26%201937%2c%20selected%20pages.pdf</v>
      </c>
    </row>
    <row r="68" spans="1:24" x14ac:dyDescent="0.25">
      <c r="A68" s="27" t="s">
        <v>1116</v>
      </c>
      <c r="B68" s="27" t="str">
        <f t="shared" si="5"/>
        <v>Mississippi</v>
      </c>
      <c r="C68" s="27" t="str">
        <f t="shared" si="6"/>
        <v>Sunflower</v>
      </c>
      <c r="D68" s="27">
        <v>10192</v>
      </c>
      <c r="E68" s="27">
        <v>164</v>
      </c>
      <c r="F68" s="27"/>
      <c r="G68" s="26">
        <f t="shared" si="7"/>
        <v>166.88061617458283</v>
      </c>
      <c r="H68" s="27">
        <v>15424</v>
      </c>
      <c r="I68" s="27"/>
      <c r="J68" s="27">
        <v>78000</v>
      </c>
      <c r="K68" s="27">
        <v>57</v>
      </c>
      <c r="L68" s="2">
        <v>32766.560000000001</v>
      </c>
      <c r="M68" s="27">
        <v>121</v>
      </c>
      <c r="N68" s="2">
        <v>1245355</v>
      </c>
      <c r="O68" s="41" t="s">
        <v>2621</v>
      </c>
      <c r="P68" s="27" t="s">
        <v>553</v>
      </c>
      <c r="Q68" s="27"/>
      <c r="R68" s="27">
        <v>99</v>
      </c>
      <c r="S68" s="27"/>
      <c r="T68" s="27" t="s">
        <v>553</v>
      </c>
      <c r="U68" s="27">
        <v>93</v>
      </c>
      <c r="V68" s="27" t="str">
        <f t="shared" si="8"/>
        <v>https://archive.org/download/GADeptofEd1925/GA.pdf#page=99</v>
      </c>
      <c r="W68" s="27">
        <v>93</v>
      </c>
      <c r="X68" s="27" t="str">
        <f t="shared" ref="X68:X83" si="9">X67</f>
        <v>https://ia601502.us.archive.org/10/items/MS-school-property-value-1935-7/1936%20%26%201937%2c%20selected%20pages.pdf</v>
      </c>
    </row>
    <row r="69" spans="1:24" x14ac:dyDescent="0.25">
      <c r="A69" s="27" t="s">
        <v>1117</v>
      </c>
      <c r="B69" s="27" t="str">
        <f t="shared" si="5"/>
        <v>Mississippi</v>
      </c>
      <c r="C69" s="27" t="str">
        <f t="shared" si="6"/>
        <v>Tallahatchie</v>
      </c>
      <c r="D69" s="27">
        <v>6964</v>
      </c>
      <c r="E69" s="27">
        <v>145</v>
      </c>
      <c r="F69" s="27"/>
      <c r="G69" s="26">
        <f t="shared" si="7"/>
        <v>166.06106568708776</v>
      </c>
      <c r="H69" s="27">
        <v>9573</v>
      </c>
      <c r="I69" s="27"/>
      <c r="J69" s="27">
        <v>52552.1</v>
      </c>
      <c r="K69" s="27">
        <v>43.65</v>
      </c>
      <c r="L69" s="2">
        <v>78436.84</v>
      </c>
      <c r="M69" s="27">
        <v>134</v>
      </c>
      <c r="N69" s="2">
        <v>486654</v>
      </c>
      <c r="O69" s="41" t="s">
        <v>2621</v>
      </c>
      <c r="P69" s="27" t="s">
        <v>553</v>
      </c>
      <c r="Q69" s="27"/>
      <c r="R69" s="27">
        <v>99</v>
      </c>
      <c r="S69" s="27"/>
      <c r="T69" s="27" t="s">
        <v>553</v>
      </c>
      <c r="U69" s="27">
        <v>93</v>
      </c>
      <c r="V69" s="27" t="str">
        <f t="shared" si="8"/>
        <v>https://archive.org/download/GADeptofEd1925/GA.pdf#page=99</v>
      </c>
      <c r="W69" s="27">
        <v>93</v>
      </c>
      <c r="X69" s="27" t="str">
        <f t="shared" si="9"/>
        <v>https://ia601502.us.archive.org/10/items/MS-school-property-value-1935-7/1936%20%26%201937%2c%20selected%20pages.pdf</v>
      </c>
    </row>
    <row r="70" spans="1:24" x14ac:dyDescent="0.25">
      <c r="A70" s="27" t="s">
        <v>1118</v>
      </c>
      <c r="B70" s="27" t="str">
        <f t="shared" si="5"/>
        <v>Mississippi</v>
      </c>
      <c r="C70" s="27" t="str">
        <f t="shared" si="6"/>
        <v>Tate</v>
      </c>
      <c r="D70" s="27">
        <v>3242</v>
      </c>
      <c r="E70" s="27">
        <v>121</v>
      </c>
      <c r="F70" s="27"/>
      <c r="G70" s="26">
        <f t="shared" si="7"/>
        <v>0</v>
      </c>
      <c r="H70" s="27">
        <v>4806</v>
      </c>
      <c r="I70" s="27"/>
      <c r="J70" s="27"/>
      <c r="K70" s="27">
        <v>51.37</v>
      </c>
      <c r="L70" s="2" t="s">
        <v>2126</v>
      </c>
      <c r="M70" s="27">
        <v>68</v>
      </c>
      <c r="N70" s="2">
        <v>425965</v>
      </c>
      <c r="O70" s="41" t="s">
        <v>2621</v>
      </c>
      <c r="P70" s="27" t="s">
        <v>553</v>
      </c>
      <c r="Q70" s="27"/>
      <c r="R70" s="27">
        <v>99</v>
      </c>
      <c r="S70" s="27"/>
      <c r="T70" s="27" t="s">
        <v>553</v>
      </c>
      <c r="U70" s="27">
        <v>93</v>
      </c>
      <c r="V70" s="27" t="str">
        <f t="shared" si="8"/>
        <v>https://archive.org/download/GADeptofEd1925/GA.pdf#page=99</v>
      </c>
      <c r="W70" s="27">
        <v>93</v>
      </c>
      <c r="X70" s="27" t="str">
        <f t="shared" si="9"/>
        <v>https://ia601502.us.archive.org/10/items/MS-school-property-value-1935-7/1936%20%26%201937%2c%20selected%20pages.pdf</v>
      </c>
    </row>
    <row r="71" spans="1:24" x14ac:dyDescent="0.25">
      <c r="A71" s="27" t="s">
        <v>1119</v>
      </c>
      <c r="B71" s="27" t="str">
        <f t="shared" si="5"/>
        <v>Mississippi</v>
      </c>
      <c r="C71" s="27" t="str">
        <f t="shared" si="6"/>
        <v>Tippah</v>
      </c>
      <c r="D71" s="27">
        <v>3364</v>
      </c>
      <c r="E71" s="27">
        <v>133</v>
      </c>
      <c r="F71" s="27"/>
      <c r="G71" s="26">
        <f t="shared" si="7"/>
        <v>149.43821818697688</v>
      </c>
      <c r="H71" s="27">
        <v>5601</v>
      </c>
      <c r="I71" s="27"/>
      <c r="J71" s="27">
        <v>42135.6</v>
      </c>
      <c r="K71" s="27">
        <v>42.4</v>
      </c>
      <c r="L71" s="2">
        <v>52819.9</v>
      </c>
      <c r="M71" s="27">
        <v>92</v>
      </c>
      <c r="N71" s="2">
        <v>191370</v>
      </c>
      <c r="O71" s="41" t="s">
        <v>2621</v>
      </c>
      <c r="P71" s="27" t="s">
        <v>553</v>
      </c>
      <c r="Q71" s="27"/>
      <c r="R71" s="27">
        <v>99</v>
      </c>
      <c r="S71" s="27"/>
      <c r="T71" s="27" t="s">
        <v>553</v>
      </c>
      <c r="U71" s="27">
        <v>93</v>
      </c>
      <c r="V71" s="27" t="str">
        <f t="shared" si="8"/>
        <v>https://archive.org/download/GADeptofEd1925/GA.pdf#page=99</v>
      </c>
      <c r="W71" s="27">
        <v>93</v>
      </c>
      <c r="X71" s="27" t="str">
        <f t="shared" si="9"/>
        <v>https://ia601502.us.archive.org/10/items/MS-school-property-value-1935-7/1936%20%26%201937%2c%20selected%20pages.pdf</v>
      </c>
    </row>
    <row r="72" spans="1:24" x14ac:dyDescent="0.25">
      <c r="A72" s="27" t="s">
        <v>1120</v>
      </c>
      <c r="B72" s="27" t="str">
        <f t="shared" si="5"/>
        <v>Mississippi</v>
      </c>
      <c r="C72" s="27" t="str">
        <f t="shared" si="6"/>
        <v>Tishomingo</v>
      </c>
      <c r="D72" s="27">
        <v>3692</v>
      </c>
      <c r="E72" s="27">
        <v>53</v>
      </c>
      <c r="F72" s="27"/>
      <c r="G72" s="26">
        <f t="shared" si="7"/>
        <v>201.81395418431015</v>
      </c>
      <c r="H72" s="27">
        <v>5041</v>
      </c>
      <c r="I72" s="27"/>
      <c r="J72" s="27">
        <v>33719.58</v>
      </c>
      <c r="K72" s="27">
        <v>63.05</v>
      </c>
      <c r="L72" s="2">
        <v>35308.51</v>
      </c>
      <c r="M72" s="27">
        <v>67</v>
      </c>
      <c r="N72" s="2">
        <v>233025</v>
      </c>
      <c r="O72" s="41" t="s">
        <v>2621</v>
      </c>
      <c r="P72" s="27" t="s">
        <v>553</v>
      </c>
      <c r="Q72" s="27"/>
      <c r="R72" s="27">
        <v>99</v>
      </c>
      <c r="S72" s="27"/>
      <c r="T72" s="27" t="s">
        <v>553</v>
      </c>
      <c r="U72" s="27">
        <v>93</v>
      </c>
      <c r="V72" s="27" t="str">
        <f t="shared" si="8"/>
        <v>https://archive.org/download/GADeptofEd1925/GA.pdf#page=99</v>
      </c>
      <c r="W72" s="27">
        <v>93</v>
      </c>
      <c r="X72" s="27" t="str">
        <f t="shared" si="9"/>
        <v>https://ia601502.us.archive.org/10/items/MS-school-property-value-1935-7/1936%20%26%201937%2c%20selected%20pages.pdf</v>
      </c>
    </row>
    <row r="73" spans="1:24" x14ac:dyDescent="0.25">
      <c r="A73" s="27" t="s">
        <v>1121</v>
      </c>
      <c r="B73" s="27" t="str">
        <f t="shared" si="5"/>
        <v>Mississippi</v>
      </c>
      <c r="C73" s="27" t="str">
        <f t="shared" si="6"/>
        <v>Tunica</v>
      </c>
      <c r="D73" s="27">
        <v>3383</v>
      </c>
      <c r="E73" s="27">
        <v>81</v>
      </c>
      <c r="F73" s="27"/>
      <c r="G73" s="26">
        <f t="shared" si="7"/>
        <v>150.54342262926232</v>
      </c>
      <c r="H73" s="27">
        <v>4843</v>
      </c>
      <c r="I73" s="27"/>
      <c r="J73" s="27">
        <v>37502.699999999997</v>
      </c>
      <c r="K73" s="27">
        <v>61.51</v>
      </c>
      <c r="L73" s="2">
        <v>44704.59</v>
      </c>
      <c r="M73" s="27">
        <v>72</v>
      </c>
      <c r="N73" s="2">
        <v>203050</v>
      </c>
      <c r="O73" s="41" t="s">
        <v>2621</v>
      </c>
      <c r="P73" s="27" t="s">
        <v>553</v>
      </c>
      <c r="Q73" s="27"/>
      <c r="R73" s="27">
        <v>99</v>
      </c>
      <c r="S73" s="27"/>
      <c r="T73" s="27" t="s">
        <v>553</v>
      </c>
      <c r="U73" s="27">
        <v>93</v>
      </c>
      <c r="V73" s="27" t="str">
        <f t="shared" si="8"/>
        <v>https://archive.org/download/GADeptofEd1925/GA.pdf#page=99</v>
      </c>
      <c r="W73" s="27">
        <v>93</v>
      </c>
      <c r="X73" s="27" t="str">
        <f t="shared" si="9"/>
        <v>https://ia601502.us.archive.org/10/items/MS-school-property-value-1935-7/1936%20%26%201937%2c%20selected%20pages.pdf</v>
      </c>
    </row>
    <row r="74" spans="1:24" x14ac:dyDescent="0.25">
      <c r="A74" s="27" t="s">
        <v>1122</v>
      </c>
      <c r="B74" s="27" t="str">
        <f t="shared" si="5"/>
        <v>Mississippi</v>
      </c>
      <c r="C74" s="27" t="str">
        <f t="shared" si="6"/>
        <v>Union</v>
      </c>
      <c r="D74" s="27">
        <v>4243</v>
      </c>
      <c r="E74" s="27">
        <v>154</v>
      </c>
      <c r="F74" s="27"/>
      <c r="G74" s="26">
        <f t="shared" si="7"/>
        <v>126.14395604395604</v>
      </c>
      <c r="H74" s="27">
        <v>6618</v>
      </c>
      <c r="I74" s="27"/>
      <c r="J74" s="27">
        <v>50508.04</v>
      </c>
      <c r="K74" s="27">
        <v>52</v>
      </c>
      <c r="L74" s="2">
        <v>56294.07</v>
      </c>
      <c r="M74" s="27">
        <v>86</v>
      </c>
      <c r="N74" s="2">
        <v>234125</v>
      </c>
      <c r="O74" s="41" t="s">
        <v>2621</v>
      </c>
      <c r="P74" s="27" t="s">
        <v>553</v>
      </c>
      <c r="Q74" s="27"/>
      <c r="R74" s="27">
        <v>99</v>
      </c>
      <c r="S74" s="27"/>
      <c r="T74" s="27" t="s">
        <v>553</v>
      </c>
      <c r="U74" s="27">
        <v>93</v>
      </c>
      <c r="V74" s="27" t="str">
        <f t="shared" si="8"/>
        <v>https://archive.org/download/GADeptofEd1925/GA.pdf#page=99</v>
      </c>
      <c r="W74" s="27">
        <v>93</v>
      </c>
      <c r="X74" s="27" t="str">
        <f t="shared" si="9"/>
        <v>https://ia601502.us.archive.org/10/items/MS-school-property-value-1935-7/1936%20%26%201937%2c%20selected%20pages.pdf</v>
      </c>
    </row>
    <row r="75" spans="1:24" x14ac:dyDescent="0.25">
      <c r="A75" s="27" t="s">
        <v>1123</v>
      </c>
      <c r="B75" s="27" t="str">
        <f t="shared" si="5"/>
        <v>Mississippi</v>
      </c>
      <c r="C75" s="27" t="str">
        <f t="shared" si="6"/>
        <v>Walthall</v>
      </c>
      <c r="D75" s="27">
        <v>3346</v>
      </c>
      <c r="E75" s="27">
        <v>134</v>
      </c>
      <c r="F75" s="27"/>
      <c r="G75" s="26">
        <f t="shared" si="7"/>
        <v>155.68466484389381</v>
      </c>
      <c r="H75" s="27">
        <v>4872</v>
      </c>
      <c r="I75" s="27"/>
      <c r="J75" s="27">
        <v>45666.36</v>
      </c>
      <c r="K75" s="27">
        <v>43.78</v>
      </c>
      <c r="L75" s="2">
        <v>55496.36</v>
      </c>
      <c r="M75" s="27">
        <v>65</v>
      </c>
      <c r="N75" s="2">
        <v>176575</v>
      </c>
      <c r="O75" s="41" t="s">
        <v>2621</v>
      </c>
      <c r="P75" s="27" t="s">
        <v>553</v>
      </c>
      <c r="Q75" s="27"/>
      <c r="R75" s="27">
        <v>99</v>
      </c>
      <c r="S75" s="27"/>
      <c r="T75" s="27" t="s">
        <v>553</v>
      </c>
      <c r="U75" s="27">
        <v>93</v>
      </c>
      <c r="V75" s="27" t="str">
        <f t="shared" si="8"/>
        <v>https://archive.org/download/GADeptofEd1925/GA.pdf#page=99</v>
      </c>
      <c r="W75" s="27">
        <v>93</v>
      </c>
      <c r="X75" s="27" t="str">
        <f t="shared" si="9"/>
        <v>https://ia601502.us.archive.org/10/items/MS-school-property-value-1935-7/1936%20%26%201937%2c%20selected%20pages.pdf</v>
      </c>
    </row>
    <row r="76" spans="1:24" x14ac:dyDescent="0.25">
      <c r="A76" s="27" t="s">
        <v>1124</v>
      </c>
      <c r="B76" s="27" t="str">
        <f t="shared" si="5"/>
        <v>Mississippi</v>
      </c>
      <c r="C76" s="27" t="str">
        <f t="shared" si="6"/>
        <v>Warren</v>
      </c>
      <c r="D76" s="27">
        <v>5287</v>
      </c>
      <c r="E76" s="27">
        <v>109</v>
      </c>
      <c r="F76" s="27"/>
      <c r="G76" s="26">
        <f t="shared" si="7"/>
        <v>172.81309717821659</v>
      </c>
      <c r="H76" s="27">
        <v>6681</v>
      </c>
      <c r="I76" s="27"/>
      <c r="J76" s="27">
        <v>52224.55</v>
      </c>
      <c r="K76" s="27">
        <v>55.45</v>
      </c>
      <c r="L76" s="2">
        <v>92572.6</v>
      </c>
      <c r="M76" s="27">
        <v>68</v>
      </c>
      <c r="N76" s="2">
        <v>824700</v>
      </c>
      <c r="O76" s="41" t="s">
        <v>2621</v>
      </c>
      <c r="P76" s="27" t="s">
        <v>553</v>
      </c>
      <c r="Q76" s="27"/>
      <c r="R76" s="27">
        <v>99</v>
      </c>
      <c r="S76" s="27"/>
      <c r="T76" s="27" t="s">
        <v>553</v>
      </c>
      <c r="U76" s="27">
        <v>93</v>
      </c>
      <c r="V76" s="27" t="str">
        <f t="shared" si="8"/>
        <v>https://archive.org/download/GADeptofEd1925/GA.pdf#page=99</v>
      </c>
      <c r="W76" s="27">
        <v>93</v>
      </c>
      <c r="X76" s="27" t="str">
        <f t="shared" si="9"/>
        <v>https://ia601502.us.archive.org/10/items/MS-school-property-value-1935-7/1936%20%26%201937%2c%20selected%20pages.pdf</v>
      </c>
    </row>
    <row r="77" spans="1:24" x14ac:dyDescent="0.25">
      <c r="A77" s="27" t="s">
        <v>1125</v>
      </c>
      <c r="B77" s="27" t="str">
        <f t="shared" si="5"/>
        <v>Mississippi</v>
      </c>
      <c r="C77" s="27" t="str">
        <f t="shared" si="6"/>
        <v>Washington</v>
      </c>
      <c r="D77" s="27">
        <v>7756</v>
      </c>
      <c r="E77" s="27">
        <v>141</v>
      </c>
      <c r="F77" s="27"/>
      <c r="G77" s="26">
        <f t="shared" si="7"/>
        <v>220.8822905680733</v>
      </c>
      <c r="H77" s="27">
        <v>11507</v>
      </c>
      <c r="I77" s="27"/>
      <c r="J77" s="27">
        <v>77596.28</v>
      </c>
      <c r="K77" s="27">
        <v>49.83</v>
      </c>
      <c r="L77" s="2">
        <v>156490.23999999999</v>
      </c>
      <c r="M77" s="27">
        <v>97</v>
      </c>
      <c r="N77" s="2">
        <v>1085485</v>
      </c>
      <c r="O77" s="41" t="s">
        <v>2621</v>
      </c>
      <c r="P77" s="27" t="s">
        <v>553</v>
      </c>
      <c r="Q77" s="27"/>
      <c r="R77" s="27">
        <v>99</v>
      </c>
      <c r="S77" s="27"/>
      <c r="T77" s="27" t="s">
        <v>553</v>
      </c>
      <c r="U77" s="27">
        <v>93</v>
      </c>
      <c r="V77" s="27" t="str">
        <f t="shared" si="8"/>
        <v>https://archive.org/download/GADeptofEd1925/GA.pdf#page=99</v>
      </c>
      <c r="W77" s="27">
        <v>93</v>
      </c>
      <c r="X77" s="27" t="str">
        <f t="shared" si="9"/>
        <v>https://ia601502.us.archive.org/10/items/MS-school-property-value-1935-7/1936%20%26%201937%2c%20selected%20pages.pdf</v>
      </c>
    </row>
    <row r="78" spans="1:24" x14ac:dyDescent="0.25">
      <c r="A78" s="27" t="s">
        <v>1126</v>
      </c>
      <c r="B78" s="27" t="str">
        <f t="shared" si="5"/>
        <v>Mississippi</v>
      </c>
      <c r="C78" s="27" t="str">
        <f t="shared" si="6"/>
        <v>Wayne</v>
      </c>
      <c r="D78" s="27">
        <v>3866</v>
      </c>
      <c r="E78" s="27">
        <v>159</v>
      </c>
      <c r="F78" s="27"/>
      <c r="G78" s="26">
        <f t="shared" si="7"/>
        <v>171.14938657040827</v>
      </c>
      <c r="H78" s="27">
        <v>5264</v>
      </c>
      <c r="I78" s="27"/>
      <c r="J78" s="27">
        <v>51064.73</v>
      </c>
      <c r="K78" s="27">
        <v>37.53</v>
      </c>
      <c r="L78" s="2">
        <v>72575.83</v>
      </c>
      <c r="M78" s="27">
        <v>98</v>
      </c>
      <c r="N78" s="2">
        <v>180110</v>
      </c>
      <c r="O78" s="41" t="s">
        <v>2621</v>
      </c>
      <c r="P78" s="27" t="s">
        <v>553</v>
      </c>
      <c r="Q78" s="27"/>
      <c r="R78" s="27">
        <v>99</v>
      </c>
      <c r="S78" s="27"/>
      <c r="T78" s="27" t="s">
        <v>553</v>
      </c>
      <c r="U78" s="27">
        <v>93</v>
      </c>
      <c r="V78" s="27" t="str">
        <f t="shared" si="8"/>
        <v>https://archive.org/download/GADeptofEd1925/GA.pdf#page=99</v>
      </c>
      <c r="W78" s="27">
        <v>93</v>
      </c>
      <c r="X78" s="27" t="str">
        <f t="shared" si="9"/>
        <v>https://ia601502.us.archive.org/10/items/MS-school-property-value-1935-7/1936%20%26%201937%2c%20selected%20pages.pdf</v>
      </c>
    </row>
    <row r="79" spans="1:24" x14ac:dyDescent="0.25">
      <c r="A79" s="27" t="s">
        <v>1127</v>
      </c>
      <c r="B79" s="27" t="str">
        <f t="shared" si="5"/>
        <v>Mississippi</v>
      </c>
      <c r="C79" s="27" t="str">
        <f t="shared" si="6"/>
        <v>Webster</v>
      </c>
      <c r="D79" s="27">
        <v>2834</v>
      </c>
      <c r="E79" s="27">
        <v>46</v>
      </c>
      <c r="F79" s="27"/>
      <c r="G79" s="26">
        <f t="shared" si="7"/>
        <v>376.08626179586645</v>
      </c>
      <c r="H79" s="27">
        <v>3853</v>
      </c>
      <c r="I79" s="27"/>
      <c r="J79" s="27">
        <v>32480.69</v>
      </c>
      <c r="K79" s="27">
        <v>37.549999999999997</v>
      </c>
      <c r="L79" s="2">
        <v>38427.31</v>
      </c>
      <c r="M79" s="27">
        <v>56</v>
      </c>
      <c r="N79" s="2">
        <v>133755</v>
      </c>
      <c r="O79" s="41" t="s">
        <v>2621</v>
      </c>
      <c r="P79" s="27" t="s">
        <v>553</v>
      </c>
      <c r="Q79" s="27"/>
      <c r="R79" s="27">
        <v>99</v>
      </c>
      <c r="S79" s="27"/>
      <c r="T79" s="27" t="s">
        <v>553</v>
      </c>
      <c r="U79" s="27">
        <v>93</v>
      </c>
      <c r="V79" s="27" t="str">
        <f t="shared" si="8"/>
        <v>https://archive.org/download/GADeptofEd1925/GA.pdf#page=99</v>
      </c>
      <c r="W79" s="27">
        <v>93</v>
      </c>
      <c r="X79" s="27" t="str">
        <f t="shared" si="9"/>
        <v>https://ia601502.us.archive.org/10/items/MS-school-property-value-1935-7/1936%20%26%201937%2c%20selected%20pages.pdf</v>
      </c>
    </row>
    <row r="80" spans="1:24" x14ac:dyDescent="0.25">
      <c r="A80" s="27" t="s">
        <v>1128</v>
      </c>
      <c r="B80" s="27" t="str">
        <f t="shared" si="5"/>
        <v>Mississippi</v>
      </c>
      <c r="C80" s="27" t="str">
        <f t="shared" si="6"/>
        <v>Wilkinson</v>
      </c>
      <c r="D80" s="27">
        <v>3214</v>
      </c>
      <c r="E80" s="27">
        <v>105</v>
      </c>
      <c r="F80" s="27"/>
      <c r="G80" s="26">
        <f t="shared" si="7"/>
        <v>145.16390112148437</v>
      </c>
      <c r="H80" s="27">
        <v>3523</v>
      </c>
      <c r="I80" s="27"/>
      <c r="J80" s="27">
        <v>30903.58</v>
      </c>
      <c r="K80" s="27">
        <v>40.549999999999997</v>
      </c>
      <c r="L80" s="2">
        <v>40750.300000000003</v>
      </c>
      <c r="M80" s="27">
        <v>93</v>
      </c>
      <c r="N80" s="2">
        <v>210400</v>
      </c>
      <c r="O80" s="41" t="s">
        <v>2621</v>
      </c>
      <c r="P80" s="27" t="s">
        <v>553</v>
      </c>
      <c r="Q80" s="27"/>
      <c r="R80" s="27">
        <v>99</v>
      </c>
      <c r="S80" s="27"/>
      <c r="T80" s="27" t="s">
        <v>553</v>
      </c>
      <c r="U80" s="27">
        <v>93</v>
      </c>
      <c r="V80" s="27" t="str">
        <f t="shared" si="8"/>
        <v>https://archive.org/download/GADeptofEd1925/GA.pdf#page=99</v>
      </c>
      <c r="W80" s="27">
        <v>93</v>
      </c>
      <c r="X80" s="27" t="str">
        <f t="shared" si="9"/>
        <v>https://ia601502.us.archive.org/10/items/MS-school-property-value-1935-7/1936%20%26%201937%2c%20selected%20pages.pdf</v>
      </c>
    </row>
    <row r="81" spans="1:24" x14ac:dyDescent="0.25">
      <c r="A81" s="27" t="s">
        <v>1129</v>
      </c>
      <c r="B81" s="27" t="str">
        <f t="shared" si="5"/>
        <v>Mississippi</v>
      </c>
      <c r="C81" s="27" t="str">
        <f t="shared" si="6"/>
        <v>Winston</v>
      </c>
      <c r="D81" s="27">
        <v>4977</v>
      </c>
      <c r="E81" s="27">
        <v>135</v>
      </c>
      <c r="F81" s="27"/>
      <c r="G81" s="26">
        <f t="shared" si="7"/>
        <v>157.360183498617</v>
      </c>
      <c r="H81" s="27">
        <v>5936</v>
      </c>
      <c r="I81" s="27"/>
      <c r="J81" s="27">
        <v>46651</v>
      </c>
      <c r="K81" s="27">
        <v>43.92</v>
      </c>
      <c r="L81" s="2">
        <v>54625.03</v>
      </c>
      <c r="M81" s="27">
        <v>117</v>
      </c>
      <c r="N81" s="2">
        <v>283370</v>
      </c>
      <c r="O81" s="41" t="s">
        <v>2621</v>
      </c>
      <c r="P81" s="27" t="s">
        <v>553</v>
      </c>
      <c r="Q81" s="27"/>
      <c r="R81" s="27">
        <v>99</v>
      </c>
      <c r="S81" s="27"/>
      <c r="T81" s="27" t="s">
        <v>553</v>
      </c>
      <c r="U81" s="27">
        <v>93</v>
      </c>
      <c r="V81" s="27" t="str">
        <f t="shared" si="8"/>
        <v>https://archive.org/download/GADeptofEd1925/GA.pdf#page=99</v>
      </c>
      <c r="W81" s="27">
        <v>93</v>
      </c>
      <c r="X81" s="27" t="str">
        <f t="shared" si="9"/>
        <v>https://ia601502.us.archive.org/10/items/MS-school-property-value-1935-7/1936%20%26%201937%2c%20selected%20pages.pdf</v>
      </c>
    </row>
    <row r="82" spans="1:24" x14ac:dyDescent="0.25">
      <c r="A82" s="27" t="s">
        <v>1130</v>
      </c>
      <c r="B82" s="27" t="str">
        <f t="shared" si="5"/>
        <v>Mississippi</v>
      </c>
      <c r="C82" s="27" t="str">
        <f t="shared" si="6"/>
        <v>Yalobusha</v>
      </c>
      <c r="D82" s="27">
        <v>3790</v>
      </c>
      <c r="E82" s="27">
        <v>103</v>
      </c>
      <c r="F82" s="27"/>
      <c r="G82" s="26">
        <f t="shared" si="7"/>
        <v>168.809733955365</v>
      </c>
      <c r="H82" s="27">
        <v>5549</v>
      </c>
      <c r="I82" s="27"/>
      <c r="J82" s="27">
        <v>33470.75</v>
      </c>
      <c r="K82" s="27">
        <v>38.5</v>
      </c>
      <c r="L82" s="2">
        <v>46427.64</v>
      </c>
      <c r="M82" s="27">
        <v>93</v>
      </c>
      <c r="N82" s="2">
        <v>315763</v>
      </c>
      <c r="O82" s="41" t="s">
        <v>2621</v>
      </c>
      <c r="P82" s="27" t="s">
        <v>553</v>
      </c>
      <c r="Q82" s="27"/>
      <c r="R82" s="27">
        <v>99</v>
      </c>
      <c r="S82" s="27"/>
      <c r="T82" s="27" t="s">
        <v>553</v>
      </c>
      <c r="U82" s="27">
        <v>93</v>
      </c>
      <c r="V82" s="27" t="str">
        <f t="shared" si="8"/>
        <v>https://archive.org/download/GADeptofEd1925/GA.pdf#page=99</v>
      </c>
      <c r="W82" s="27">
        <v>93</v>
      </c>
      <c r="X82" s="27" t="str">
        <f t="shared" si="9"/>
        <v>https://ia601502.us.archive.org/10/items/MS-school-property-value-1935-7/1936%20%26%201937%2c%20selected%20pages.pdf</v>
      </c>
    </row>
    <row r="83" spans="1:24" x14ac:dyDescent="0.25">
      <c r="A83" s="27" t="s">
        <v>1131</v>
      </c>
      <c r="B83" s="27" t="str">
        <f t="shared" si="5"/>
        <v>Mississippi</v>
      </c>
      <c r="C83" s="27" t="str">
        <f t="shared" si="6"/>
        <v>Yazoo</v>
      </c>
      <c r="D83" s="27">
        <v>6750</v>
      </c>
      <c r="E83" s="27">
        <v>162</v>
      </c>
      <c r="F83" s="27"/>
      <c r="G83" s="26">
        <f t="shared" si="7"/>
        <v>175.46730158730159</v>
      </c>
      <c r="H83" s="27">
        <v>9960</v>
      </c>
      <c r="I83" s="27"/>
      <c r="J83" s="27">
        <v>49744.98</v>
      </c>
      <c r="K83" s="27">
        <v>35</v>
      </c>
      <c r="L83" s="2">
        <v>86161.43</v>
      </c>
      <c r="M83" s="27">
        <v>138</v>
      </c>
      <c r="N83" s="2">
        <v>483112</v>
      </c>
      <c r="O83" s="41" t="s">
        <v>2621</v>
      </c>
      <c r="P83" s="27" t="s">
        <v>553</v>
      </c>
      <c r="Q83" s="27"/>
      <c r="R83" s="27">
        <v>99</v>
      </c>
      <c r="S83" s="27"/>
      <c r="T83" s="27" t="s">
        <v>553</v>
      </c>
      <c r="U83" s="27">
        <v>93</v>
      </c>
      <c r="V83" s="27" t="str">
        <f t="shared" si="8"/>
        <v>https://archive.org/download/GADeptofEd1925/GA.pdf#page=99</v>
      </c>
      <c r="W83" s="27">
        <v>93</v>
      </c>
      <c r="X83" s="27" t="str">
        <f t="shared" si="9"/>
        <v>https://ia601502.us.archive.org/10/items/MS-school-property-value-1935-7/1936%20%26%201937%2c%20selected%20pages.pdf</v>
      </c>
    </row>
    <row r="84" spans="1:24" x14ac:dyDescent="0.25">
      <c r="O84" s="41"/>
    </row>
    <row r="85" spans="1:24" x14ac:dyDescent="0.25">
      <c r="O85" s="41"/>
    </row>
    <row r="86" spans="1:24" x14ac:dyDescent="0.25">
      <c r="O86" s="41"/>
    </row>
    <row r="87" spans="1:24" x14ac:dyDescent="0.25">
      <c r="O87" s="41"/>
    </row>
    <row r="88" spans="1:24" x14ac:dyDescent="0.25">
      <c r="O88" s="41"/>
    </row>
    <row r="89" spans="1:24" x14ac:dyDescent="0.25">
      <c r="O89" s="41"/>
    </row>
  </sheetData>
  <hyperlinks>
    <hyperlink ref="P2" r:id="rId1"/>
  </hyperlinks>
  <pageMargins left="0.75" right="0.75" top="1" bottom="1" header="0.5" footer="0.5"/>
  <pageSetup orientation="portrait" horizontalDpi="4294967292" verticalDpi="4294967292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Z101"/>
  <sheetViews>
    <sheetView workbookViewId="0"/>
  </sheetViews>
  <sheetFormatPr defaultColWidth="11.42578125" defaultRowHeight="15" x14ac:dyDescent="0.25"/>
  <cols>
    <col min="1" max="1" width="22.140625" customWidth="1"/>
    <col min="2" max="2" width="12.42578125" customWidth="1"/>
    <col min="4" max="5" width="11.42578125" style="27"/>
    <col min="8" max="8" width="11" style="27" customWidth="1"/>
    <col min="9" max="9" width="11.42578125" style="27"/>
    <col min="15" max="15" width="11.140625" customWidth="1"/>
  </cols>
  <sheetData>
    <row r="1" spans="1:26" s="20" customFormat="1" ht="60" x14ac:dyDescent="0.25">
      <c r="B1" s="20" t="s">
        <v>2</v>
      </c>
      <c r="C1" s="20" t="s">
        <v>0</v>
      </c>
      <c r="D1" s="20" t="s">
        <v>2046</v>
      </c>
      <c r="E1" s="20" t="s">
        <v>2047</v>
      </c>
      <c r="F1" s="92" t="s">
        <v>1956</v>
      </c>
      <c r="G1" s="92" t="s">
        <v>372</v>
      </c>
      <c r="H1" s="84" t="s">
        <v>2136</v>
      </c>
      <c r="I1" s="84" t="s">
        <v>2137</v>
      </c>
      <c r="J1" s="94" t="s">
        <v>357</v>
      </c>
      <c r="K1" s="94" t="s">
        <v>377</v>
      </c>
      <c r="L1" s="83" t="s">
        <v>2032</v>
      </c>
      <c r="M1" s="92" t="s">
        <v>358</v>
      </c>
      <c r="N1" s="93" t="s">
        <v>360</v>
      </c>
      <c r="O1" s="92" t="s">
        <v>374</v>
      </c>
      <c r="P1" s="91" t="s">
        <v>375</v>
      </c>
      <c r="Q1" s="81" t="s">
        <v>1</v>
      </c>
      <c r="R1" s="20" t="s">
        <v>1960</v>
      </c>
      <c r="S1" s="20" t="s">
        <v>1957</v>
      </c>
      <c r="T1" s="20" t="s">
        <v>1949</v>
      </c>
      <c r="U1" s="20" t="s">
        <v>1955</v>
      </c>
      <c r="V1" s="20" t="s">
        <v>1950</v>
      </c>
      <c r="W1" s="20" t="s">
        <v>1954</v>
      </c>
      <c r="X1" s="20" t="s">
        <v>1952</v>
      </c>
      <c r="Y1" s="20" t="s">
        <v>1953</v>
      </c>
      <c r="Z1" s="20" t="s">
        <v>1948</v>
      </c>
    </row>
    <row r="2" spans="1:26" x14ac:dyDescent="0.25">
      <c r="A2" s="27" t="s">
        <v>1132</v>
      </c>
      <c r="B2" s="27" t="str">
        <f t="shared" ref="B2:B65" si="0">LEFT(A2,FIND(";",A2)-1)</f>
        <v>North Carolina</v>
      </c>
      <c r="C2" s="27" t="str">
        <f t="shared" ref="C2:C65" si="1">MID(A2,FIND(";",A2)+1,100)</f>
        <v>Alamance</v>
      </c>
      <c r="D2" s="27">
        <v>5876</v>
      </c>
      <c r="E2" s="27">
        <v>1513</v>
      </c>
      <c r="F2" s="2">
        <v>7389</v>
      </c>
      <c r="G2" s="2">
        <v>298</v>
      </c>
      <c r="H2" s="2">
        <v>150</v>
      </c>
      <c r="I2" s="2">
        <v>132</v>
      </c>
      <c r="J2" s="2">
        <f>((D2*H2)+(E2*I2))/F2</f>
        <v>146.31425091352008</v>
      </c>
      <c r="K2" s="2">
        <v>10346</v>
      </c>
      <c r="L2" s="2">
        <v>269490.25</v>
      </c>
      <c r="M2" s="2">
        <f>L2/G2/(J2/20)</f>
        <v>123.61471180563085</v>
      </c>
      <c r="N2" s="2">
        <v>493110</v>
      </c>
      <c r="O2" s="2">
        <v>92</v>
      </c>
      <c r="P2" s="2">
        <v>792040</v>
      </c>
      <c r="Q2" s="41">
        <v>1925</v>
      </c>
      <c r="R2" s="2"/>
      <c r="S2" s="27" t="s">
        <v>405</v>
      </c>
      <c r="T2" s="27" t="s">
        <v>406</v>
      </c>
      <c r="U2" s="27" t="s">
        <v>383</v>
      </c>
      <c r="V2" s="27" t="s">
        <v>405</v>
      </c>
      <c r="W2" s="27" t="s">
        <v>383</v>
      </c>
      <c r="X2" s="27" t="s">
        <v>407</v>
      </c>
      <c r="Y2" s="27" t="s">
        <v>408</v>
      </c>
      <c r="Z2" s="27" t="s">
        <v>408</v>
      </c>
    </row>
    <row r="3" spans="1:26" x14ac:dyDescent="0.25">
      <c r="A3" s="27" t="s">
        <v>1133</v>
      </c>
      <c r="B3" s="27" t="str">
        <f t="shared" si="0"/>
        <v>North Carolina</v>
      </c>
      <c r="C3" s="27" t="str">
        <f t="shared" si="1"/>
        <v>Alexander</v>
      </c>
      <c r="D3" s="27">
        <v>2855</v>
      </c>
      <c r="E3" s="27">
        <v>203</v>
      </c>
      <c r="F3" s="2">
        <v>3058</v>
      </c>
      <c r="G3" s="2">
        <v>130</v>
      </c>
      <c r="H3" s="2">
        <v>123</v>
      </c>
      <c r="I3" s="2">
        <v>120</v>
      </c>
      <c r="J3" s="2">
        <f t="shared" ref="J3:J66" si="2">((D3*H3)+(E3*I3))/F3</f>
        <v>122.80085022890778</v>
      </c>
      <c r="K3" s="2">
        <v>3907</v>
      </c>
      <c r="L3" s="2">
        <v>79978.720000000001</v>
      </c>
      <c r="M3" s="2">
        <f t="shared" ref="M3:M66" si="3">L3/G3/(J3/20)</f>
        <v>100.1981536658934</v>
      </c>
      <c r="N3" s="2">
        <v>160732</v>
      </c>
      <c r="O3" s="2">
        <v>55</v>
      </c>
      <c r="P3" s="2">
        <v>190000</v>
      </c>
      <c r="Q3" s="41">
        <v>1925</v>
      </c>
      <c r="R3" s="2"/>
      <c r="S3" s="27" t="s">
        <v>405</v>
      </c>
      <c r="T3" s="27" t="s">
        <v>406</v>
      </c>
      <c r="U3" s="27" t="s">
        <v>383</v>
      </c>
      <c r="V3" s="27" t="s">
        <v>405</v>
      </c>
      <c r="W3" s="27" t="s">
        <v>383</v>
      </c>
      <c r="X3" s="27" t="s">
        <v>407</v>
      </c>
      <c r="Y3" s="27" t="s">
        <v>408</v>
      </c>
      <c r="Z3" s="27" t="s">
        <v>408</v>
      </c>
    </row>
    <row r="4" spans="1:26" x14ac:dyDescent="0.25">
      <c r="A4" s="27" t="s">
        <v>1134</v>
      </c>
      <c r="B4" s="27" t="str">
        <f t="shared" si="0"/>
        <v>North Carolina</v>
      </c>
      <c r="C4" s="27" t="str">
        <f t="shared" si="1"/>
        <v>Alleghany</v>
      </c>
      <c r="D4" s="27">
        <v>1546</v>
      </c>
      <c r="E4" s="27">
        <v>78</v>
      </c>
      <c r="F4" s="2">
        <v>1624</v>
      </c>
      <c r="G4" s="2">
        <v>68</v>
      </c>
      <c r="H4" s="2">
        <v>124</v>
      </c>
      <c r="I4" s="2">
        <v>120</v>
      </c>
      <c r="J4" s="2">
        <f t="shared" si="2"/>
        <v>123.80788177339902</v>
      </c>
      <c r="K4" s="2">
        <v>2270</v>
      </c>
      <c r="L4" s="2">
        <v>33961.54</v>
      </c>
      <c r="M4" s="2">
        <f t="shared" si="3"/>
        <v>80.678936528257907</v>
      </c>
      <c r="N4" s="2">
        <v>46190</v>
      </c>
      <c r="O4" s="2">
        <v>41</v>
      </c>
      <c r="P4" s="2">
        <v>111005</v>
      </c>
      <c r="Q4" s="41">
        <v>1925</v>
      </c>
      <c r="R4" s="2"/>
      <c r="S4" s="27" t="s">
        <v>405</v>
      </c>
      <c r="T4" s="27" t="s">
        <v>406</v>
      </c>
      <c r="U4" s="27" t="s">
        <v>383</v>
      </c>
      <c r="V4" s="27" t="s">
        <v>405</v>
      </c>
      <c r="W4" s="27" t="s">
        <v>383</v>
      </c>
      <c r="X4" s="27" t="s">
        <v>407</v>
      </c>
      <c r="Y4" s="27" t="s">
        <v>408</v>
      </c>
      <c r="Z4" s="27" t="s">
        <v>408</v>
      </c>
    </row>
    <row r="5" spans="1:26" x14ac:dyDescent="0.25">
      <c r="A5" s="27" t="s">
        <v>1135</v>
      </c>
      <c r="B5" s="27" t="str">
        <f t="shared" si="0"/>
        <v>North Carolina</v>
      </c>
      <c r="C5" s="27" t="str">
        <f t="shared" si="1"/>
        <v>Anson</v>
      </c>
      <c r="D5" s="27">
        <v>3611</v>
      </c>
      <c r="E5" s="27">
        <v>2950</v>
      </c>
      <c r="F5" s="2">
        <v>6561</v>
      </c>
      <c r="G5" s="2">
        <v>223</v>
      </c>
      <c r="H5" s="2">
        <v>151</v>
      </c>
      <c r="I5" s="2">
        <v>122</v>
      </c>
      <c r="J5" s="2">
        <f t="shared" si="2"/>
        <v>137.9608291418991</v>
      </c>
      <c r="K5" s="2">
        <v>9099</v>
      </c>
      <c r="L5" s="2">
        <v>146293.57</v>
      </c>
      <c r="M5" s="2">
        <f t="shared" si="3"/>
        <v>95.103078411296494</v>
      </c>
      <c r="N5" s="2">
        <v>320205</v>
      </c>
      <c r="O5" s="2">
        <v>78</v>
      </c>
      <c r="P5" s="2">
        <v>448610</v>
      </c>
      <c r="Q5" s="41">
        <v>1925</v>
      </c>
      <c r="R5" s="2"/>
      <c r="S5" s="27" t="s">
        <v>405</v>
      </c>
      <c r="T5" s="27" t="s">
        <v>406</v>
      </c>
      <c r="U5" s="27" t="s">
        <v>383</v>
      </c>
      <c r="V5" s="27" t="s">
        <v>405</v>
      </c>
      <c r="W5" s="27" t="s">
        <v>383</v>
      </c>
      <c r="X5" s="27" t="s">
        <v>407</v>
      </c>
      <c r="Y5" s="27" t="s">
        <v>408</v>
      </c>
      <c r="Z5" s="27" t="s">
        <v>408</v>
      </c>
    </row>
    <row r="6" spans="1:26" x14ac:dyDescent="0.25">
      <c r="A6" s="27" t="s">
        <v>1136</v>
      </c>
      <c r="B6" s="27" t="str">
        <f t="shared" si="0"/>
        <v>North Carolina</v>
      </c>
      <c r="C6" s="27" t="str">
        <f t="shared" si="1"/>
        <v>Ashe</v>
      </c>
      <c r="D6" s="27">
        <v>5047</v>
      </c>
      <c r="E6" s="27">
        <v>101</v>
      </c>
      <c r="F6" s="2">
        <v>5148</v>
      </c>
      <c r="G6" s="2">
        <v>187</v>
      </c>
      <c r="H6" s="2">
        <v>124</v>
      </c>
      <c r="I6" s="2">
        <v>100</v>
      </c>
      <c r="J6" s="2">
        <f t="shared" si="2"/>
        <v>123.52913752913753</v>
      </c>
      <c r="K6" s="2">
        <v>6742</v>
      </c>
      <c r="L6" s="2">
        <v>104068.4</v>
      </c>
      <c r="M6" s="2">
        <f t="shared" si="3"/>
        <v>90.102710850728926</v>
      </c>
      <c r="N6" s="2">
        <v>124296</v>
      </c>
      <c r="O6" s="2">
        <v>85</v>
      </c>
      <c r="P6" s="2">
        <v>250000</v>
      </c>
      <c r="Q6" s="41">
        <v>1925</v>
      </c>
      <c r="R6" s="2"/>
      <c r="S6" s="27" t="s">
        <v>405</v>
      </c>
      <c r="T6" s="27" t="s">
        <v>406</v>
      </c>
      <c r="U6" s="27" t="s">
        <v>383</v>
      </c>
      <c r="V6" s="27" t="s">
        <v>405</v>
      </c>
      <c r="W6" s="27" t="s">
        <v>383</v>
      </c>
      <c r="X6" s="27" t="s">
        <v>407</v>
      </c>
      <c r="Y6" s="27" t="s">
        <v>408</v>
      </c>
      <c r="Z6" s="27" t="s">
        <v>408</v>
      </c>
    </row>
    <row r="7" spans="1:26" x14ac:dyDescent="0.25">
      <c r="A7" s="27" t="s">
        <v>1137</v>
      </c>
      <c r="B7" s="27" t="str">
        <f t="shared" si="0"/>
        <v>North Carolina</v>
      </c>
      <c r="C7" s="27" t="str">
        <f t="shared" si="1"/>
        <v>Avery</v>
      </c>
      <c r="D7" s="27">
        <v>2330</v>
      </c>
      <c r="E7" s="27">
        <v>54</v>
      </c>
      <c r="F7" s="2">
        <v>2384</v>
      </c>
      <c r="G7" s="2">
        <v>90</v>
      </c>
      <c r="H7" s="2">
        <v>155</v>
      </c>
      <c r="I7" s="2">
        <v>160</v>
      </c>
      <c r="J7" s="2">
        <f t="shared" si="2"/>
        <v>155.11325503355704</v>
      </c>
      <c r="K7" s="2">
        <v>3598</v>
      </c>
      <c r="L7" s="2">
        <v>70545.89</v>
      </c>
      <c r="M7" s="2">
        <f t="shared" si="3"/>
        <v>101.06721337936548</v>
      </c>
      <c r="N7" s="2">
        <v>127978</v>
      </c>
      <c r="O7" s="2">
        <v>34</v>
      </c>
      <c r="P7" s="2">
        <v>197590</v>
      </c>
      <c r="Q7" s="41">
        <v>1925</v>
      </c>
      <c r="R7" s="2"/>
      <c r="S7" s="27" t="s">
        <v>405</v>
      </c>
      <c r="T7" s="27" t="s">
        <v>406</v>
      </c>
      <c r="U7" s="27" t="s">
        <v>383</v>
      </c>
      <c r="V7" s="27" t="s">
        <v>405</v>
      </c>
      <c r="W7" s="27" t="s">
        <v>383</v>
      </c>
      <c r="X7" s="27" t="s">
        <v>407</v>
      </c>
      <c r="Y7" s="27" t="s">
        <v>408</v>
      </c>
      <c r="Z7" s="27" t="s">
        <v>408</v>
      </c>
    </row>
    <row r="8" spans="1:26" x14ac:dyDescent="0.25">
      <c r="A8" s="27" t="s">
        <v>1138</v>
      </c>
      <c r="B8" s="27" t="str">
        <f t="shared" si="0"/>
        <v>North Carolina</v>
      </c>
      <c r="C8" s="27" t="str">
        <f t="shared" si="1"/>
        <v>Beaufort</v>
      </c>
      <c r="D8" s="27">
        <v>5383</v>
      </c>
      <c r="E8" s="27">
        <v>3263</v>
      </c>
      <c r="F8" s="2">
        <v>8646</v>
      </c>
      <c r="G8" s="2">
        <v>293</v>
      </c>
      <c r="H8" s="2">
        <v>136</v>
      </c>
      <c r="I8" s="2">
        <v>130</v>
      </c>
      <c r="J8" s="2">
        <f t="shared" si="2"/>
        <v>133.73560027758501</v>
      </c>
      <c r="K8" s="2">
        <v>10298</v>
      </c>
      <c r="L8" s="2">
        <v>207468.64</v>
      </c>
      <c r="M8" s="2">
        <f t="shared" si="3"/>
        <v>105.89313452714499</v>
      </c>
      <c r="N8" s="2">
        <v>398914</v>
      </c>
      <c r="O8" s="2">
        <v>96</v>
      </c>
      <c r="P8" s="2">
        <v>641715</v>
      </c>
      <c r="Q8" s="41">
        <v>1925</v>
      </c>
      <c r="R8" s="2"/>
      <c r="S8" s="27" t="s">
        <v>405</v>
      </c>
      <c r="T8" s="27" t="s">
        <v>406</v>
      </c>
      <c r="U8" s="27" t="s">
        <v>383</v>
      </c>
      <c r="V8" s="27" t="s">
        <v>405</v>
      </c>
      <c r="W8" s="27" t="s">
        <v>383</v>
      </c>
      <c r="X8" s="27" t="s">
        <v>407</v>
      </c>
      <c r="Y8" s="27" t="s">
        <v>408</v>
      </c>
      <c r="Z8" s="27" t="s">
        <v>408</v>
      </c>
    </row>
    <row r="9" spans="1:26" x14ac:dyDescent="0.25">
      <c r="A9" s="27" t="s">
        <v>1139</v>
      </c>
      <c r="B9" s="27" t="str">
        <f t="shared" si="0"/>
        <v>North Carolina</v>
      </c>
      <c r="C9" s="27" t="str">
        <f t="shared" si="1"/>
        <v>Bertie</v>
      </c>
      <c r="D9" s="27">
        <v>2344</v>
      </c>
      <c r="E9" s="27">
        <v>3391</v>
      </c>
      <c r="F9" s="2">
        <v>5735</v>
      </c>
      <c r="G9" s="2">
        <v>221</v>
      </c>
      <c r="H9" s="2">
        <v>149</v>
      </c>
      <c r="I9" s="2">
        <v>125</v>
      </c>
      <c r="J9" s="2">
        <f t="shared" si="2"/>
        <v>134.80924149956408</v>
      </c>
      <c r="K9" s="2">
        <v>8392</v>
      </c>
      <c r="L9" s="2">
        <v>139812.54999999999</v>
      </c>
      <c r="M9" s="2">
        <f t="shared" si="3"/>
        <v>93.856469454688579</v>
      </c>
      <c r="N9" s="2">
        <v>269191</v>
      </c>
      <c r="O9" s="2">
        <v>85</v>
      </c>
      <c r="P9" s="2">
        <v>421500</v>
      </c>
      <c r="Q9" s="41">
        <v>1925</v>
      </c>
      <c r="R9" s="2"/>
      <c r="S9" s="27" t="s">
        <v>405</v>
      </c>
      <c r="T9" s="27" t="s">
        <v>406</v>
      </c>
      <c r="U9" s="27" t="s">
        <v>383</v>
      </c>
      <c r="V9" s="27" t="s">
        <v>405</v>
      </c>
      <c r="W9" s="27" t="s">
        <v>383</v>
      </c>
      <c r="X9" s="27" t="s">
        <v>407</v>
      </c>
      <c r="Y9" s="27" t="s">
        <v>408</v>
      </c>
      <c r="Z9" s="27" t="s">
        <v>408</v>
      </c>
    </row>
    <row r="10" spans="1:26" x14ac:dyDescent="0.25">
      <c r="A10" s="27" t="s">
        <v>1140</v>
      </c>
      <c r="B10" s="27" t="str">
        <f t="shared" si="0"/>
        <v>North Carolina</v>
      </c>
      <c r="C10" s="27" t="str">
        <f t="shared" si="1"/>
        <v>Bladen</v>
      </c>
      <c r="D10" s="27">
        <v>2777</v>
      </c>
      <c r="E10" s="27">
        <v>2122</v>
      </c>
      <c r="F10" s="2">
        <v>4899</v>
      </c>
      <c r="G10" s="2">
        <v>192</v>
      </c>
      <c r="H10" s="2">
        <v>140</v>
      </c>
      <c r="I10" s="2">
        <v>120</v>
      </c>
      <c r="J10" s="2">
        <f t="shared" si="2"/>
        <v>131.33700755256174</v>
      </c>
      <c r="K10" s="2">
        <v>6074</v>
      </c>
      <c r="L10" s="2">
        <v>110182.18</v>
      </c>
      <c r="M10" s="2">
        <f t="shared" si="3"/>
        <v>87.388243653057103</v>
      </c>
      <c r="N10" s="2">
        <v>292668</v>
      </c>
      <c r="O10" s="2">
        <v>81</v>
      </c>
      <c r="P10" s="2">
        <v>407625</v>
      </c>
      <c r="Q10" s="41">
        <v>1925</v>
      </c>
      <c r="R10" s="2"/>
      <c r="S10" s="27" t="s">
        <v>405</v>
      </c>
      <c r="T10" s="27" t="s">
        <v>409</v>
      </c>
      <c r="U10" s="27" t="s">
        <v>383</v>
      </c>
      <c r="V10" s="27" t="s">
        <v>405</v>
      </c>
      <c r="W10" s="27" t="s">
        <v>383</v>
      </c>
      <c r="X10" s="27" t="s">
        <v>407</v>
      </c>
      <c r="Y10" s="27" t="s">
        <v>410</v>
      </c>
      <c r="Z10" s="27" t="s">
        <v>410</v>
      </c>
    </row>
    <row r="11" spans="1:26" x14ac:dyDescent="0.25">
      <c r="A11" s="27" t="s">
        <v>1141</v>
      </c>
      <c r="B11" s="27" t="str">
        <f t="shared" si="0"/>
        <v>North Carolina</v>
      </c>
      <c r="C11" s="27" t="str">
        <f t="shared" si="1"/>
        <v>Brunswick</v>
      </c>
      <c r="D11" s="27">
        <v>2064</v>
      </c>
      <c r="E11" s="27">
        <v>1432</v>
      </c>
      <c r="F11" s="2">
        <v>3496</v>
      </c>
      <c r="G11" s="2">
        <v>132</v>
      </c>
      <c r="H11" s="2">
        <v>125</v>
      </c>
      <c r="I11" s="2">
        <v>122</v>
      </c>
      <c r="J11" s="2">
        <f t="shared" si="2"/>
        <v>123.77116704805492</v>
      </c>
      <c r="K11" s="2">
        <v>4121</v>
      </c>
      <c r="L11" s="2">
        <v>66808.87</v>
      </c>
      <c r="M11" s="2">
        <f t="shared" si="3"/>
        <v>81.78444384123739</v>
      </c>
      <c r="N11" s="2">
        <v>133205</v>
      </c>
      <c r="O11" s="2">
        <v>55</v>
      </c>
      <c r="P11" s="2">
        <v>116420</v>
      </c>
      <c r="Q11" s="41">
        <v>1925</v>
      </c>
      <c r="R11" s="2"/>
      <c r="S11" s="27" t="s">
        <v>405</v>
      </c>
      <c r="T11" s="27" t="s">
        <v>409</v>
      </c>
      <c r="U11" s="27" t="s">
        <v>383</v>
      </c>
      <c r="V11" s="27" t="s">
        <v>405</v>
      </c>
      <c r="W11" s="27" t="s">
        <v>383</v>
      </c>
      <c r="X11" s="27" t="s">
        <v>411</v>
      </c>
      <c r="Y11" s="27" t="s">
        <v>410</v>
      </c>
      <c r="Z11" s="27" t="s">
        <v>410</v>
      </c>
    </row>
    <row r="12" spans="1:26" x14ac:dyDescent="0.25">
      <c r="A12" s="27" t="s">
        <v>1142</v>
      </c>
      <c r="B12" s="27" t="str">
        <f t="shared" si="0"/>
        <v>North Carolina</v>
      </c>
      <c r="C12" s="27" t="str">
        <f t="shared" si="1"/>
        <v>Buncombe</v>
      </c>
      <c r="D12" s="27">
        <v>13063</v>
      </c>
      <c r="E12" s="27">
        <v>2398</v>
      </c>
      <c r="F12" s="2">
        <v>15461</v>
      </c>
      <c r="G12" s="2">
        <v>575</v>
      </c>
      <c r="H12" s="2">
        <v>159</v>
      </c>
      <c r="I12" s="2">
        <v>166</v>
      </c>
      <c r="J12" s="2">
        <f t="shared" si="2"/>
        <v>160.0856995019727</v>
      </c>
      <c r="K12" s="2">
        <v>19427</v>
      </c>
      <c r="L12" s="2">
        <v>653461.81000000006</v>
      </c>
      <c r="M12" s="2">
        <f t="shared" si="3"/>
        <v>141.98086715735982</v>
      </c>
      <c r="N12" s="2">
        <v>1861025</v>
      </c>
      <c r="O12" s="2">
        <v>91</v>
      </c>
      <c r="P12" s="2">
        <v>3031300</v>
      </c>
      <c r="Q12" s="41">
        <v>1925</v>
      </c>
      <c r="R12" s="2"/>
      <c r="S12" s="27" t="s">
        <v>405</v>
      </c>
      <c r="T12" s="27" t="s">
        <v>409</v>
      </c>
      <c r="U12" s="27" t="s">
        <v>383</v>
      </c>
      <c r="V12" s="27" t="s">
        <v>405</v>
      </c>
      <c r="W12" s="27" t="s">
        <v>383</v>
      </c>
      <c r="X12" s="27" t="s">
        <v>411</v>
      </c>
      <c r="Y12" s="27" t="s">
        <v>410</v>
      </c>
      <c r="Z12" s="27" t="s">
        <v>410</v>
      </c>
    </row>
    <row r="13" spans="1:26" x14ac:dyDescent="0.25">
      <c r="A13" s="27" t="s">
        <v>1143</v>
      </c>
      <c r="B13" s="27" t="str">
        <f t="shared" si="0"/>
        <v>North Carolina</v>
      </c>
      <c r="C13" s="27" t="str">
        <f t="shared" si="1"/>
        <v>Burke</v>
      </c>
      <c r="D13" s="27">
        <v>3926</v>
      </c>
      <c r="E13" s="27">
        <v>566</v>
      </c>
      <c r="F13" s="2">
        <v>4492</v>
      </c>
      <c r="G13" s="2">
        <v>180</v>
      </c>
      <c r="H13" s="2">
        <v>142</v>
      </c>
      <c r="I13" s="2">
        <v>139</v>
      </c>
      <c r="J13" s="2">
        <f t="shared" si="2"/>
        <v>141.6219946571683</v>
      </c>
      <c r="K13" s="2">
        <v>6143</v>
      </c>
      <c r="L13" s="2">
        <v>161573.99</v>
      </c>
      <c r="M13" s="2">
        <f t="shared" si="3"/>
        <v>126.76467097511585</v>
      </c>
      <c r="N13" s="2">
        <v>295014</v>
      </c>
      <c r="O13" s="2">
        <v>63</v>
      </c>
      <c r="P13" s="2">
        <v>498425</v>
      </c>
      <c r="Q13" s="41">
        <v>1925</v>
      </c>
      <c r="R13" s="2"/>
      <c r="S13" s="27" t="s">
        <v>405</v>
      </c>
      <c r="T13" s="27" t="s">
        <v>409</v>
      </c>
      <c r="U13" s="27" t="s">
        <v>383</v>
      </c>
      <c r="V13" s="27" t="s">
        <v>405</v>
      </c>
      <c r="W13" s="27" t="s">
        <v>383</v>
      </c>
      <c r="X13" s="27" t="s">
        <v>411</v>
      </c>
      <c r="Y13" s="27" t="s">
        <v>410</v>
      </c>
      <c r="Z13" s="27" t="s">
        <v>410</v>
      </c>
    </row>
    <row r="14" spans="1:26" x14ac:dyDescent="0.25">
      <c r="A14" s="27" t="s">
        <v>1144</v>
      </c>
      <c r="B14" s="27" t="str">
        <f t="shared" si="0"/>
        <v>North Carolina</v>
      </c>
      <c r="C14" s="27" t="str">
        <f t="shared" si="1"/>
        <v>Cabarrus</v>
      </c>
      <c r="D14" s="27">
        <v>5608</v>
      </c>
      <c r="E14" s="27">
        <v>1371</v>
      </c>
      <c r="F14" s="2">
        <v>6979</v>
      </c>
      <c r="G14" s="2">
        <v>268</v>
      </c>
      <c r="H14" s="2">
        <v>148</v>
      </c>
      <c r="I14" s="2">
        <v>130</v>
      </c>
      <c r="J14" s="2">
        <f t="shared" si="2"/>
        <v>144.46396331852702</v>
      </c>
      <c r="K14" s="2">
        <v>9291</v>
      </c>
      <c r="L14" s="2">
        <v>214474.97</v>
      </c>
      <c r="M14" s="2">
        <f t="shared" si="3"/>
        <v>110.79299230375427</v>
      </c>
      <c r="N14" s="2">
        <v>395152</v>
      </c>
      <c r="O14" s="2">
        <v>84</v>
      </c>
      <c r="P14" s="2">
        <v>1080575</v>
      </c>
      <c r="Q14" s="41">
        <v>1925</v>
      </c>
      <c r="R14" s="2"/>
      <c r="S14" s="27" t="s">
        <v>405</v>
      </c>
      <c r="T14" s="27" t="s">
        <v>409</v>
      </c>
      <c r="U14" s="27" t="s">
        <v>383</v>
      </c>
      <c r="V14" s="27" t="s">
        <v>405</v>
      </c>
      <c r="W14" s="27" t="s">
        <v>383</v>
      </c>
      <c r="X14" s="27" t="s">
        <v>411</v>
      </c>
      <c r="Y14" s="27" t="s">
        <v>410</v>
      </c>
      <c r="Z14" s="27" t="s">
        <v>410</v>
      </c>
    </row>
    <row r="15" spans="1:26" x14ac:dyDescent="0.25">
      <c r="A15" s="27" t="s">
        <v>1145</v>
      </c>
      <c r="B15" s="27" t="str">
        <f t="shared" si="0"/>
        <v>North Carolina</v>
      </c>
      <c r="C15" s="27" t="str">
        <f t="shared" si="1"/>
        <v>Caldwell</v>
      </c>
      <c r="D15" s="27">
        <v>4483</v>
      </c>
      <c r="E15" s="27">
        <v>475</v>
      </c>
      <c r="F15" s="2">
        <v>4958</v>
      </c>
      <c r="G15" s="2">
        <v>205</v>
      </c>
      <c r="H15" s="2">
        <v>137</v>
      </c>
      <c r="I15" s="2">
        <v>130</v>
      </c>
      <c r="J15" s="2">
        <f t="shared" si="2"/>
        <v>136.32936668011294</v>
      </c>
      <c r="K15" s="2">
        <v>6361</v>
      </c>
      <c r="L15" s="2">
        <v>158499.78</v>
      </c>
      <c r="M15" s="2">
        <f t="shared" si="3"/>
        <v>113.42672196970921</v>
      </c>
      <c r="N15" s="2">
        <v>274177</v>
      </c>
      <c r="O15" s="2">
        <v>80</v>
      </c>
      <c r="P15" s="2">
        <v>541150</v>
      </c>
      <c r="Q15" s="41">
        <v>1925</v>
      </c>
      <c r="R15" s="2"/>
      <c r="S15" s="27" t="s">
        <v>405</v>
      </c>
      <c r="T15" s="27" t="s">
        <v>409</v>
      </c>
      <c r="U15" s="27" t="s">
        <v>383</v>
      </c>
      <c r="V15" s="27" t="s">
        <v>405</v>
      </c>
      <c r="W15" s="27" t="s">
        <v>383</v>
      </c>
      <c r="X15" s="27" t="s">
        <v>411</v>
      </c>
      <c r="Y15" s="27" t="s">
        <v>410</v>
      </c>
      <c r="Z15" s="27" t="s">
        <v>410</v>
      </c>
    </row>
    <row r="16" spans="1:26" x14ac:dyDescent="0.25">
      <c r="A16" s="27" t="s">
        <v>1146</v>
      </c>
      <c r="B16" s="27" t="str">
        <f t="shared" si="0"/>
        <v>North Carolina</v>
      </c>
      <c r="C16" s="27" t="str">
        <f t="shared" si="1"/>
        <v>Camden</v>
      </c>
      <c r="D16" s="27">
        <v>699</v>
      </c>
      <c r="E16" s="27">
        <v>496</v>
      </c>
      <c r="F16" s="2">
        <v>1195</v>
      </c>
      <c r="G16" s="2">
        <v>49</v>
      </c>
      <c r="H16" s="2">
        <v>160</v>
      </c>
      <c r="I16" s="2">
        <v>120</v>
      </c>
      <c r="J16" s="2">
        <f t="shared" si="2"/>
        <v>143.39748953974896</v>
      </c>
      <c r="K16" s="2">
        <v>1824</v>
      </c>
      <c r="L16" s="2">
        <v>36074.61</v>
      </c>
      <c r="M16" s="2">
        <f t="shared" si="3"/>
        <v>102.68192741382268</v>
      </c>
      <c r="N16" s="2">
        <v>49676</v>
      </c>
      <c r="O16" s="2">
        <v>23</v>
      </c>
      <c r="P16" s="2">
        <v>83000</v>
      </c>
      <c r="Q16" s="41">
        <v>1925</v>
      </c>
      <c r="R16" s="2"/>
      <c r="S16" s="27" t="s">
        <v>405</v>
      </c>
      <c r="T16" s="27" t="s">
        <v>409</v>
      </c>
      <c r="U16" s="27" t="s">
        <v>383</v>
      </c>
      <c r="V16" s="27" t="s">
        <v>405</v>
      </c>
      <c r="W16" s="27" t="s">
        <v>383</v>
      </c>
      <c r="X16" s="27" t="s">
        <v>411</v>
      </c>
      <c r="Y16" s="27" t="s">
        <v>410</v>
      </c>
      <c r="Z16" s="27" t="s">
        <v>410</v>
      </c>
    </row>
    <row r="17" spans="1:26" x14ac:dyDescent="0.25">
      <c r="A17" s="27" t="s">
        <v>1147</v>
      </c>
      <c r="B17" s="27" t="str">
        <f t="shared" si="0"/>
        <v>North Carolina</v>
      </c>
      <c r="C17" s="27" t="str">
        <f t="shared" si="1"/>
        <v>Carteret</v>
      </c>
      <c r="D17" s="27">
        <v>3202</v>
      </c>
      <c r="E17" s="27">
        <v>555</v>
      </c>
      <c r="F17" s="2">
        <v>3757</v>
      </c>
      <c r="G17" s="2">
        <v>134</v>
      </c>
      <c r="H17" s="2">
        <v>148</v>
      </c>
      <c r="I17" s="2">
        <v>158</v>
      </c>
      <c r="J17" s="2">
        <f t="shared" si="2"/>
        <v>149.4772424807027</v>
      </c>
      <c r="K17" s="2">
        <v>4414</v>
      </c>
      <c r="L17" s="2">
        <v>128296.32000000001</v>
      </c>
      <c r="M17" s="2">
        <f t="shared" si="3"/>
        <v>128.10448038659806</v>
      </c>
      <c r="N17" s="2">
        <v>243112</v>
      </c>
      <c r="O17" s="2">
        <v>46</v>
      </c>
      <c r="P17" s="2">
        <v>467815</v>
      </c>
      <c r="Q17" s="41">
        <v>1925</v>
      </c>
      <c r="R17" s="2"/>
      <c r="S17" s="27" t="s">
        <v>405</v>
      </c>
      <c r="T17" s="27" t="s">
        <v>409</v>
      </c>
      <c r="U17" s="27" t="s">
        <v>383</v>
      </c>
      <c r="V17" s="27" t="s">
        <v>405</v>
      </c>
      <c r="W17" s="27" t="s">
        <v>383</v>
      </c>
      <c r="X17" s="27" t="s">
        <v>411</v>
      </c>
      <c r="Y17" s="27" t="s">
        <v>410</v>
      </c>
      <c r="Z17" s="27" t="s">
        <v>410</v>
      </c>
    </row>
    <row r="18" spans="1:26" x14ac:dyDescent="0.25">
      <c r="A18" s="27" t="s">
        <v>1148</v>
      </c>
      <c r="B18" s="27" t="str">
        <f t="shared" si="0"/>
        <v>North Carolina</v>
      </c>
      <c r="C18" s="27" t="str">
        <f t="shared" si="1"/>
        <v>Caswell</v>
      </c>
      <c r="D18" s="27">
        <v>1650</v>
      </c>
      <c r="E18" s="27">
        <v>1532</v>
      </c>
      <c r="F18" s="2">
        <v>3182</v>
      </c>
      <c r="G18" s="2">
        <v>129</v>
      </c>
      <c r="H18" s="2">
        <v>122</v>
      </c>
      <c r="I18" s="2">
        <v>122</v>
      </c>
      <c r="J18" s="2">
        <f t="shared" si="2"/>
        <v>122</v>
      </c>
      <c r="K18" s="2">
        <v>4845</v>
      </c>
      <c r="L18" s="2">
        <v>70872.649999999994</v>
      </c>
      <c r="M18" s="2">
        <f t="shared" si="3"/>
        <v>90.065637310967091</v>
      </c>
      <c r="N18" s="2">
        <v>115710</v>
      </c>
      <c r="O18" s="2">
        <v>79</v>
      </c>
      <c r="P18" s="2">
        <v>168360</v>
      </c>
      <c r="Q18" s="41">
        <v>1925</v>
      </c>
      <c r="R18" s="2"/>
      <c r="S18" s="27" t="s">
        <v>412</v>
      </c>
      <c r="T18" s="27" t="s">
        <v>409</v>
      </c>
      <c r="U18" s="27" t="s">
        <v>383</v>
      </c>
      <c r="V18" s="27" t="s">
        <v>412</v>
      </c>
      <c r="W18" s="27" t="s">
        <v>383</v>
      </c>
      <c r="X18" s="27" t="s">
        <v>411</v>
      </c>
      <c r="Y18" s="27" t="s">
        <v>413</v>
      </c>
      <c r="Z18" s="27" t="s">
        <v>413</v>
      </c>
    </row>
    <row r="19" spans="1:26" x14ac:dyDescent="0.25">
      <c r="A19" s="27" t="s">
        <v>1149</v>
      </c>
      <c r="B19" s="27" t="str">
        <f t="shared" si="0"/>
        <v>North Carolina</v>
      </c>
      <c r="C19" s="27" t="str">
        <f t="shared" si="1"/>
        <v>Catawba</v>
      </c>
      <c r="D19" s="27">
        <v>7547</v>
      </c>
      <c r="E19" s="27">
        <v>840</v>
      </c>
      <c r="F19" s="2">
        <v>8387</v>
      </c>
      <c r="G19" s="2">
        <v>333</v>
      </c>
      <c r="H19" s="2">
        <v>147</v>
      </c>
      <c r="I19" s="2">
        <v>138</v>
      </c>
      <c r="J19" s="2">
        <f t="shared" si="2"/>
        <v>146.09860498390367</v>
      </c>
      <c r="K19" s="2">
        <v>10621</v>
      </c>
      <c r="L19" s="2">
        <v>298512.07</v>
      </c>
      <c r="M19" s="2">
        <f t="shared" si="3"/>
        <v>122.71611255171213</v>
      </c>
      <c r="N19" s="2">
        <v>870278</v>
      </c>
      <c r="O19" s="2">
        <v>75</v>
      </c>
      <c r="P19" s="2">
        <v>1507500</v>
      </c>
      <c r="Q19" s="41">
        <v>1925</v>
      </c>
      <c r="R19" s="2"/>
      <c r="S19" s="27" t="s">
        <v>412</v>
      </c>
      <c r="T19" s="27" t="s">
        <v>409</v>
      </c>
      <c r="U19" s="27" t="s">
        <v>383</v>
      </c>
      <c r="V19" s="27" t="s">
        <v>412</v>
      </c>
      <c r="W19" s="27" t="s">
        <v>383</v>
      </c>
      <c r="X19" s="27" t="s">
        <v>411</v>
      </c>
      <c r="Y19" s="27" t="s">
        <v>413</v>
      </c>
      <c r="Z19" s="27" t="s">
        <v>413</v>
      </c>
    </row>
    <row r="20" spans="1:26" x14ac:dyDescent="0.25">
      <c r="A20" s="27" t="s">
        <v>1150</v>
      </c>
      <c r="B20" s="27" t="str">
        <f t="shared" si="0"/>
        <v>North Carolina</v>
      </c>
      <c r="C20" s="27" t="str">
        <f t="shared" si="1"/>
        <v>Chatham</v>
      </c>
      <c r="D20" s="27">
        <v>3325</v>
      </c>
      <c r="E20" s="27">
        <v>1643</v>
      </c>
      <c r="F20" s="2">
        <v>4968</v>
      </c>
      <c r="G20" s="2">
        <v>214</v>
      </c>
      <c r="H20" s="2">
        <v>127</v>
      </c>
      <c r="I20" s="2">
        <v>120</v>
      </c>
      <c r="J20" s="2">
        <f t="shared" si="2"/>
        <v>124.68498389694042</v>
      </c>
      <c r="K20" s="2">
        <v>7055</v>
      </c>
      <c r="L20" s="2">
        <v>140512.56</v>
      </c>
      <c r="M20" s="2">
        <f t="shared" si="3"/>
        <v>105.32154348373996</v>
      </c>
      <c r="N20" s="2">
        <v>192688</v>
      </c>
      <c r="O20" s="2">
        <v>109</v>
      </c>
      <c r="P20" s="2">
        <v>325000</v>
      </c>
      <c r="Q20" s="41">
        <v>1925</v>
      </c>
      <c r="R20" s="2"/>
      <c r="S20" s="27" t="s">
        <v>412</v>
      </c>
      <c r="T20" s="27" t="s">
        <v>409</v>
      </c>
      <c r="U20" s="27" t="s">
        <v>383</v>
      </c>
      <c r="V20" s="27" t="s">
        <v>412</v>
      </c>
      <c r="W20" s="27" t="s">
        <v>383</v>
      </c>
      <c r="X20" s="27" t="s">
        <v>411</v>
      </c>
      <c r="Y20" s="27" t="s">
        <v>413</v>
      </c>
      <c r="Z20" s="27" t="s">
        <v>413</v>
      </c>
    </row>
    <row r="21" spans="1:26" x14ac:dyDescent="0.25">
      <c r="A21" s="27" t="s">
        <v>1151</v>
      </c>
      <c r="B21" s="27" t="str">
        <f t="shared" si="0"/>
        <v>North Carolina</v>
      </c>
      <c r="C21" s="27" t="str">
        <f t="shared" si="1"/>
        <v>Cherokee</v>
      </c>
      <c r="D21" s="27">
        <v>3164</v>
      </c>
      <c r="E21" s="27">
        <v>47</v>
      </c>
      <c r="F21" s="2">
        <v>3211</v>
      </c>
      <c r="G21" s="2">
        <v>136</v>
      </c>
      <c r="H21" s="2">
        <v>140</v>
      </c>
      <c r="I21" s="2">
        <v>120</v>
      </c>
      <c r="J21" s="2">
        <f t="shared" si="2"/>
        <v>139.7072563064466</v>
      </c>
      <c r="K21" s="2">
        <v>4751</v>
      </c>
      <c r="L21" s="2">
        <v>90760.27</v>
      </c>
      <c r="M21" s="2">
        <f t="shared" si="3"/>
        <v>95.53618675421572</v>
      </c>
      <c r="N21" s="2">
        <v>164593</v>
      </c>
      <c r="O21" s="2">
        <v>59</v>
      </c>
      <c r="P21" s="2">
        <v>217050</v>
      </c>
      <c r="Q21" s="41">
        <v>1925</v>
      </c>
      <c r="R21" s="2"/>
      <c r="S21" s="27" t="s">
        <v>412</v>
      </c>
      <c r="T21" s="27" t="s">
        <v>414</v>
      </c>
      <c r="U21" s="27" t="s">
        <v>383</v>
      </c>
      <c r="V21" s="27" t="s">
        <v>412</v>
      </c>
      <c r="W21" s="27" t="s">
        <v>383</v>
      </c>
      <c r="X21" s="27" t="s">
        <v>415</v>
      </c>
      <c r="Y21" s="27" t="s">
        <v>413</v>
      </c>
      <c r="Z21" s="27" t="s">
        <v>413</v>
      </c>
    </row>
    <row r="22" spans="1:26" x14ac:dyDescent="0.25">
      <c r="A22" s="27" t="s">
        <v>1152</v>
      </c>
      <c r="B22" s="27" t="str">
        <f t="shared" si="0"/>
        <v>North Carolina</v>
      </c>
      <c r="C22" s="27" t="str">
        <f t="shared" si="1"/>
        <v>Chowan</v>
      </c>
      <c r="D22" s="27">
        <v>1265</v>
      </c>
      <c r="E22" s="27">
        <v>1052</v>
      </c>
      <c r="F22" s="2">
        <v>2317</v>
      </c>
      <c r="G22" s="2">
        <v>82</v>
      </c>
      <c r="H22" s="2">
        <v>160</v>
      </c>
      <c r="I22" s="2">
        <v>130</v>
      </c>
      <c r="J22" s="2">
        <f t="shared" si="2"/>
        <v>146.37893828226154</v>
      </c>
      <c r="K22" s="2">
        <v>3101</v>
      </c>
      <c r="L22" s="2">
        <v>63525.86</v>
      </c>
      <c r="M22" s="2">
        <f t="shared" si="3"/>
        <v>105.8493276214694</v>
      </c>
      <c r="N22" s="2">
        <v>165656</v>
      </c>
      <c r="O22" s="2">
        <v>31</v>
      </c>
      <c r="P22" s="2">
        <v>190000</v>
      </c>
      <c r="Q22" s="41">
        <v>1925</v>
      </c>
      <c r="R22" s="2"/>
      <c r="S22" s="27" t="s">
        <v>412</v>
      </c>
      <c r="T22" s="27" t="s">
        <v>414</v>
      </c>
      <c r="U22" s="27" t="s">
        <v>383</v>
      </c>
      <c r="V22" s="27" t="s">
        <v>412</v>
      </c>
      <c r="W22" s="27" t="s">
        <v>383</v>
      </c>
      <c r="X22" s="27" t="s">
        <v>415</v>
      </c>
      <c r="Y22" s="27" t="s">
        <v>413</v>
      </c>
      <c r="Z22" s="27" t="s">
        <v>413</v>
      </c>
    </row>
    <row r="23" spans="1:26" x14ac:dyDescent="0.25">
      <c r="A23" s="27" t="s">
        <v>1153</v>
      </c>
      <c r="B23" s="27" t="str">
        <f t="shared" si="0"/>
        <v>North Carolina</v>
      </c>
      <c r="C23" s="27" t="str">
        <f t="shared" si="1"/>
        <v>Clay</v>
      </c>
      <c r="D23" s="27">
        <v>926</v>
      </c>
      <c r="E23" s="27">
        <v>23</v>
      </c>
      <c r="F23" s="2">
        <v>949</v>
      </c>
      <c r="G23" s="2">
        <v>38</v>
      </c>
      <c r="H23" s="2">
        <v>134</v>
      </c>
      <c r="I23" s="2">
        <v>120</v>
      </c>
      <c r="J23" s="2">
        <f t="shared" si="2"/>
        <v>133.66069546891464</v>
      </c>
      <c r="K23" s="2">
        <v>1417</v>
      </c>
      <c r="L23" s="2">
        <v>26031.66</v>
      </c>
      <c r="M23" s="2">
        <f t="shared" si="3"/>
        <v>102.50488100592689</v>
      </c>
      <c r="N23" s="2">
        <v>61969</v>
      </c>
      <c r="O23" s="2">
        <v>16</v>
      </c>
      <c r="P23" s="2">
        <v>61000</v>
      </c>
      <c r="Q23" s="41">
        <v>1925</v>
      </c>
      <c r="R23" s="2"/>
      <c r="S23" s="27" t="s">
        <v>412</v>
      </c>
      <c r="T23" s="27" t="s">
        <v>414</v>
      </c>
      <c r="U23" s="27" t="s">
        <v>383</v>
      </c>
      <c r="V23" s="27" t="s">
        <v>412</v>
      </c>
      <c r="W23" s="27" t="s">
        <v>383</v>
      </c>
      <c r="X23" s="27" t="s">
        <v>415</v>
      </c>
      <c r="Y23" s="27" t="s">
        <v>413</v>
      </c>
      <c r="Z23" s="27" t="s">
        <v>413</v>
      </c>
    </row>
    <row r="24" spans="1:26" x14ac:dyDescent="0.25">
      <c r="A24" s="27" t="s">
        <v>1154</v>
      </c>
      <c r="B24" s="27" t="str">
        <f t="shared" si="0"/>
        <v>North Carolina</v>
      </c>
      <c r="C24" s="27" t="str">
        <f t="shared" si="1"/>
        <v>Cleveland</v>
      </c>
      <c r="D24" s="27">
        <v>7249</v>
      </c>
      <c r="E24" s="27">
        <v>2090</v>
      </c>
      <c r="F24" s="2">
        <v>9339</v>
      </c>
      <c r="G24" s="2">
        <v>319</v>
      </c>
      <c r="H24" s="2">
        <v>139</v>
      </c>
      <c r="I24" s="2">
        <v>129</v>
      </c>
      <c r="J24" s="2">
        <f t="shared" si="2"/>
        <v>136.76207302709071</v>
      </c>
      <c r="K24" s="2">
        <v>12960</v>
      </c>
      <c r="L24" s="2">
        <v>230877.87</v>
      </c>
      <c r="M24" s="2">
        <f t="shared" si="3"/>
        <v>105.84148987366402</v>
      </c>
      <c r="N24" s="2">
        <v>408773</v>
      </c>
      <c r="O24" s="2">
        <v>74</v>
      </c>
      <c r="P24" s="2">
        <v>642000</v>
      </c>
      <c r="Q24" s="41">
        <v>1925</v>
      </c>
      <c r="R24" s="2"/>
      <c r="S24" s="27" t="s">
        <v>412</v>
      </c>
      <c r="T24" s="27" t="s">
        <v>414</v>
      </c>
      <c r="U24" s="27" t="s">
        <v>383</v>
      </c>
      <c r="V24" s="27" t="s">
        <v>412</v>
      </c>
      <c r="W24" s="27" t="s">
        <v>383</v>
      </c>
      <c r="X24" s="27" t="s">
        <v>415</v>
      </c>
      <c r="Y24" s="27" t="s">
        <v>413</v>
      </c>
      <c r="Z24" s="27" t="s">
        <v>413</v>
      </c>
    </row>
    <row r="25" spans="1:26" x14ac:dyDescent="0.25">
      <c r="A25" s="27" t="s">
        <v>1155</v>
      </c>
      <c r="B25" s="27" t="str">
        <f t="shared" si="0"/>
        <v>North Carolina</v>
      </c>
      <c r="C25" s="27" t="str">
        <f t="shared" si="1"/>
        <v>Columbus</v>
      </c>
      <c r="D25" s="27">
        <v>4896</v>
      </c>
      <c r="E25" s="27">
        <v>2554</v>
      </c>
      <c r="F25" s="2">
        <v>7450</v>
      </c>
      <c r="G25" s="2">
        <v>307</v>
      </c>
      <c r="H25" s="2">
        <v>145</v>
      </c>
      <c r="I25" s="2">
        <v>123</v>
      </c>
      <c r="J25" s="2">
        <f t="shared" si="2"/>
        <v>137.4579865771812</v>
      </c>
      <c r="K25" s="2">
        <v>10319</v>
      </c>
      <c r="L25" s="2">
        <v>186045.69</v>
      </c>
      <c r="M25" s="2">
        <f t="shared" si="3"/>
        <v>88.174144643636922</v>
      </c>
      <c r="N25" s="2">
        <v>434152</v>
      </c>
      <c r="O25" s="2">
        <v>104</v>
      </c>
      <c r="P25" s="2">
        <v>506800</v>
      </c>
      <c r="Q25" s="41">
        <v>1925</v>
      </c>
      <c r="R25" s="2"/>
      <c r="S25" s="27" t="s">
        <v>412</v>
      </c>
      <c r="T25" s="27" t="s">
        <v>414</v>
      </c>
      <c r="U25" s="27" t="s">
        <v>383</v>
      </c>
      <c r="V25" s="27" t="s">
        <v>412</v>
      </c>
      <c r="W25" s="27" t="s">
        <v>383</v>
      </c>
      <c r="X25" s="27" t="s">
        <v>415</v>
      </c>
      <c r="Y25" s="27" t="s">
        <v>413</v>
      </c>
      <c r="Z25" s="27" t="s">
        <v>413</v>
      </c>
    </row>
    <row r="26" spans="1:26" x14ac:dyDescent="0.25">
      <c r="A26" s="27" t="s">
        <v>1156</v>
      </c>
      <c r="B26" s="27" t="str">
        <f t="shared" si="0"/>
        <v>North Carolina</v>
      </c>
      <c r="C26" s="27" t="str">
        <f t="shared" si="1"/>
        <v>Craven</v>
      </c>
      <c r="D26" s="27">
        <v>3299</v>
      </c>
      <c r="E26" s="27">
        <v>2339</v>
      </c>
      <c r="F26" s="2">
        <v>5638</v>
      </c>
      <c r="G26" s="2">
        <v>234</v>
      </c>
      <c r="H26" s="2">
        <v>149</v>
      </c>
      <c r="I26" s="2">
        <v>140</v>
      </c>
      <c r="J26" s="2">
        <f t="shared" si="2"/>
        <v>145.26622915927635</v>
      </c>
      <c r="K26" s="2">
        <v>7699</v>
      </c>
      <c r="L26" s="2">
        <v>202531.96</v>
      </c>
      <c r="M26" s="2">
        <f t="shared" si="3"/>
        <v>119.16344240369875</v>
      </c>
      <c r="N26" s="2">
        <v>431932</v>
      </c>
      <c r="O26" s="2">
        <v>74</v>
      </c>
      <c r="P26" s="2">
        <v>940200</v>
      </c>
      <c r="Q26" s="41">
        <v>1925</v>
      </c>
      <c r="R26" s="2"/>
      <c r="S26" s="27" t="s">
        <v>412</v>
      </c>
      <c r="T26" s="27" t="s">
        <v>414</v>
      </c>
      <c r="U26" s="27" t="s">
        <v>383</v>
      </c>
      <c r="V26" s="27" t="s">
        <v>412</v>
      </c>
      <c r="W26" s="27" t="s">
        <v>383</v>
      </c>
      <c r="X26" s="27" t="s">
        <v>415</v>
      </c>
      <c r="Y26" s="27" t="s">
        <v>413</v>
      </c>
      <c r="Z26" s="27" t="s">
        <v>413</v>
      </c>
    </row>
    <row r="27" spans="1:26" x14ac:dyDescent="0.25">
      <c r="A27" s="27" t="s">
        <v>1157</v>
      </c>
      <c r="B27" s="27" t="str">
        <f t="shared" si="0"/>
        <v>North Carolina</v>
      </c>
      <c r="C27" s="27" t="str">
        <f t="shared" si="1"/>
        <v>Cumberland</v>
      </c>
      <c r="D27" s="27">
        <v>5432</v>
      </c>
      <c r="E27" s="27">
        <v>3329</v>
      </c>
      <c r="F27" s="2">
        <v>8761</v>
      </c>
      <c r="G27" s="2">
        <v>288</v>
      </c>
      <c r="H27" s="2">
        <v>157</v>
      </c>
      <c r="I27" s="2">
        <v>138</v>
      </c>
      <c r="J27" s="2">
        <f t="shared" si="2"/>
        <v>149.78039036639652</v>
      </c>
      <c r="K27" s="2">
        <v>11500</v>
      </c>
      <c r="L27" s="2">
        <v>234842.55</v>
      </c>
      <c r="M27" s="2">
        <f t="shared" si="3"/>
        <v>108.88281421067458</v>
      </c>
      <c r="N27" s="2">
        <v>658008</v>
      </c>
      <c r="O27" s="2">
        <v>74</v>
      </c>
      <c r="P27" s="2">
        <v>1176000</v>
      </c>
      <c r="Q27" s="41">
        <v>1925</v>
      </c>
      <c r="R27" s="2"/>
      <c r="S27" s="27" t="s">
        <v>412</v>
      </c>
      <c r="T27" s="27" t="s">
        <v>414</v>
      </c>
      <c r="U27" s="27" t="s">
        <v>383</v>
      </c>
      <c r="V27" s="27" t="s">
        <v>412</v>
      </c>
      <c r="W27" s="27" t="s">
        <v>383</v>
      </c>
      <c r="X27" s="27" t="s">
        <v>415</v>
      </c>
      <c r="Y27" s="27" t="s">
        <v>413</v>
      </c>
      <c r="Z27" s="27" t="s">
        <v>413</v>
      </c>
    </row>
    <row r="28" spans="1:26" x14ac:dyDescent="0.25">
      <c r="A28" s="27" t="s">
        <v>1158</v>
      </c>
      <c r="B28" s="27" t="str">
        <f t="shared" si="0"/>
        <v>North Carolina</v>
      </c>
      <c r="C28" s="27" t="str">
        <f t="shared" si="1"/>
        <v>Currituck</v>
      </c>
      <c r="D28" s="27">
        <v>867</v>
      </c>
      <c r="E28" s="27">
        <v>497</v>
      </c>
      <c r="F28" s="2">
        <v>1364</v>
      </c>
      <c r="G28" s="2">
        <v>62</v>
      </c>
      <c r="H28" s="2">
        <v>181</v>
      </c>
      <c r="I28" s="2">
        <v>120</v>
      </c>
      <c r="J28" s="2">
        <f t="shared" si="2"/>
        <v>158.77346041055719</v>
      </c>
      <c r="K28" s="2">
        <v>1949</v>
      </c>
      <c r="L28" s="2">
        <v>55900.79</v>
      </c>
      <c r="M28" s="2">
        <f t="shared" si="3"/>
        <v>113.57384827790013</v>
      </c>
      <c r="N28" s="2">
        <v>101933</v>
      </c>
      <c r="O28" s="2">
        <v>23</v>
      </c>
      <c r="P28" s="2">
        <v>230345</v>
      </c>
      <c r="Q28" s="41">
        <v>1925</v>
      </c>
      <c r="R28" s="2"/>
      <c r="S28" s="27" t="s">
        <v>412</v>
      </c>
      <c r="T28" s="27" t="s">
        <v>414</v>
      </c>
      <c r="U28" s="27" t="s">
        <v>383</v>
      </c>
      <c r="V28" s="27" t="s">
        <v>412</v>
      </c>
      <c r="W28" s="27" t="s">
        <v>383</v>
      </c>
      <c r="X28" s="27" t="s">
        <v>415</v>
      </c>
      <c r="Y28" s="27" t="s">
        <v>413</v>
      </c>
      <c r="Z28" s="27" t="s">
        <v>413</v>
      </c>
    </row>
    <row r="29" spans="1:26" x14ac:dyDescent="0.25">
      <c r="A29" s="27" t="s">
        <v>1159</v>
      </c>
      <c r="B29" s="27" t="str">
        <f t="shared" si="0"/>
        <v>North Carolina</v>
      </c>
      <c r="C29" s="27" t="str">
        <f t="shared" si="1"/>
        <v>Dare</v>
      </c>
      <c r="D29" s="27">
        <v>1056</v>
      </c>
      <c r="E29" s="27">
        <v>78</v>
      </c>
      <c r="F29" s="2">
        <v>1134</v>
      </c>
      <c r="G29" s="2">
        <v>50</v>
      </c>
      <c r="H29" s="2">
        <v>139</v>
      </c>
      <c r="I29" s="2">
        <v>120</v>
      </c>
      <c r="J29" s="2">
        <f t="shared" si="2"/>
        <v>137.6931216931217</v>
      </c>
      <c r="K29" s="2">
        <v>1315</v>
      </c>
      <c r="L29" s="2">
        <v>33876.5</v>
      </c>
      <c r="M29" s="2">
        <f t="shared" si="3"/>
        <v>98.411596987396251</v>
      </c>
      <c r="N29" s="2">
        <v>73494</v>
      </c>
      <c r="O29" s="2">
        <v>18</v>
      </c>
      <c r="P29" s="2">
        <v>91400</v>
      </c>
      <c r="Q29" s="41">
        <v>1925</v>
      </c>
      <c r="R29" s="2"/>
      <c r="S29" s="27" t="s">
        <v>412</v>
      </c>
      <c r="T29" s="27" t="s">
        <v>414</v>
      </c>
      <c r="U29" s="27" t="s">
        <v>383</v>
      </c>
      <c r="V29" s="27" t="s">
        <v>412</v>
      </c>
      <c r="W29" s="27" t="s">
        <v>383</v>
      </c>
      <c r="X29" s="27" t="s">
        <v>415</v>
      </c>
      <c r="Y29" s="27" t="s">
        <v>413</v>
      </c>
      <c r="Z29" s="27" t="s">
        <v>413</v>
      </c>
    </row>
    <row r="30" spans="1:26" x14ac:dyDescent="0.25">
      <c r="A30" s="27" t="s">
        <v>1160</v>
      </c>
      <c r="B30" s="27" t="str">
        <f t="shared" si="0"/>
        <v>North Carolina</v>
      </c>
      <c r="C30" s="27" t="str">
        <f t="shared" si="1"/>
        <v>Davidson</v>
      </c>
      <c r="D30" s="27">
        <v>7790</v>
      </c>
      <c r="E30" s="27">
        <v>687</v>
      </c>
      <c r="F30" s="2">
        <v>8477</v>
      </c>
      <c r="G30" s="2">
        <v>295</v>
      </c>
      <c r="H30" s="2">
        <v>143</v>
      </c>
      <c r="I30" s="2">
        <v>147</v>
      </c>
      <c r="J30" s="2">
        <f t="shared" si="2"/>
        <v>143.32417128701192</v>
      </c>
      <c r="K30" s="2">
        <v>10716</v>
      </c>
      <c r="L30" s="2">
        <v>236036.28</v>
      </c>
      <c r="M30" s="2">
        <f t="shared" si="3"/>
        <v>111.65220435129142</v>
      </c>
      <c r="N30" s="2">
        <v>494419</v>
      </c>
      <c r="O30" s="2">
        <v>88</v>
      </c>
      <c r="P30" s="2">
        <v>1193800</v>
      </c>
      <c r="Q30" s="41">
        <v>1925</v>
      </c>
      <c r="R30" s="2"/>
      <c r="S30" s="27" t="s">
        <v>412</v>
      </c>
      <c r="T30" s="27" t="s">
        <v>416</v>
      </c>
      <c r="U30" s="27" t="s">
        <v>383</v>
      </c>
      <c r="V30" s="27" t="s">
        <v>412</v>
      </c>
      <c r="W30" s="27" t="s">
        <v>383</v>
      </c>
      <c r="X30" s="27" t="s">
        <v>417</v>
      </c>
      <c r="Y30" s="27" t="s">
        <v>418</v>
      </c>
      <c r="Z30" s="27" t="s">
        <v>418</v>
      </c>
    </row>
    <row r="31" spans="1:26" x14ac:dyDescent="0.25">
      <c r="A31" s="27" t="s">
        <v>1161</v>
      </c>
      <c r="B31" s="27" t="str">
        <f t="shared" si="0"/>
        <v>North Carolina</v>
      </c>
      <c r="C31" s="27" t="str">
        <f t="shared" si="1"/>
        <v>Davie</v>
      </c>
      <c r="D31" s="27">
        <v>2421</v>
      </c>
      <c r="E31" s="27">
        <v>467</v>
      </c>
      <c r="F31" s="2">
        <v>2888</v>
      </c>
      <c r="G31" s="2">
        <v>118</v>
      </c>
      <c r="H31" s="2">
        <v>134</v>
      </c>
      <c r="I31" s="2">
        <v>140</v>
      </c>
      <c r="J31" s="2">
        <f t="shared" si="2"/>
        <v>134.97022160664821</v>
      </c>
      <c r="K31" s="2">
        <v>3900</v>
      </c>
      <c r="L31" s="2">
        <v>81252.66</v>
      </c>
      <c r="M31" s="2">
        <f t="shared" si="3"/>
        <v>102.03463493059306</v>
      </c>
      <c r="N31" s="2">
        <v>304940</v>
      </c>
      <c r="O31" s="2">
        <v>42</v>
      </c>
      <c r="P31" s="2">
        <v>372810</v>
      </c>
      <c r="Q31" s="41">
        <v>1925</v>
      </c>
      <c r="R31" s="2"/>
      <c r="S31" s="27" t="s">
        <v>412</v>
      </c>
      <c r="T31" s="27" t="s">
        <v>416</v>
      </c>
      <c r="U31" s="27" t="s">
        <v>383</v>
      </c>
      <c r="V31" s="27" t="s">
        <v>412</v>
      </c>
      <c r="W31" s="27" t="s">
        <v>383</v>
      </c>
      <c r="X31" s="27" t="s">
        <v>417</v>
      </c>
      <c r="Y31" s="27" t="s">
        <v>418</v>
      </c>
      <c r="Z31" s="27" t="s">
        <v>418</v>
      </c>
    </row>
    <row r="32" spans="1:26" x14ac:dyDescent="0.25">
      <c r="A32" s="27" t="s">
        <v>1162</v>
      </c>
      <c r="B32" s="27" t="str">
        <f t="shared" si="0"/>
        <v>North Carolina</v>
      </c>
      <c r="C32" s="27" t="str">
        <f t="shared" si="1"/>
        <v>Duplin</v>
      </c>
      <c r="D32" s="27">
        <v>5014</v>
      </c>
      <c r="E32" s="27">
        <v>3198</v>
      </c>
      <c r="F32" s="2">
        <v>8212</v>
      </c>
      <c r="G32" s="2">
        <v>288</v>
      </c>
      <c r="H32" s="2">
        <v>136</v>
      </c>
      <c r="I32" s="2">
        <v>130</v>
      </c>
      <c r="J32" s="2">
        <f t="shared" si="2"/>
        <v>133.663419386264</v>
      </c>
      <c r="K32" s="2">
        <v>11129</v>
      </c>
      <c r="L32" s="2">
        <v>176790.67</v>
      </c>
      <c r="M32" s="2">
        <f t="shared" si="3"/>
        <v>91.851083246885551</v>
      </c>
      <c r="N32" s="2">
        <v>375157</v>
      </c>
      <c r="O32" s="2">
        <v>116</v>
      </c>
      <c r="P32" s="2">
        <v>735255</v>
      </c>
      <c r="Q32" s="41">
        <v>1925</v>
      </c>
      <c r="R32" s="2"/>
      <c r="S32" s="27" t="s">
        <v>412</v>
      </c>
      <c r="T32" s="27" t="s">
        <v>416</v>
      </c>
      <c r="U32" s="27" t="s">
        <v>383</v>
      </c>
      <c r="V32" s="27" t="s">
        <v>412</v>
      </c>
      <c r="W32" s="27" t="s">
        <v>383</v>
      </c>
      <c r="X32" s="27" t="s">
        <v>417</v>
      </c>
      <c r="Y32" s="27" t="s">
        <v>418</v>
      </c>
      <c r="Z32" s="27" t="s">
        <v>418</v>
      </c>
    </row>
    <row r="33" spans="1:26" x14ac:dyDescent="0.25">
      <c r="A33" s="27" t="s">
        <v>1163</v>
      </c>
      <c r="B33" s="27" t="str">
        <f t="shared" si="0"/>
        <v>North Carolina</v>
      </c>
      <c r="C33" s="27" t="str">
        <f t="shared" si="1"/>
        <v>Durham</v>
      </c>
      <c r="D33" s="27">
        <v>6892</v>
      </c>
      <c r="E33" s="27">
        <v>2877</v>
      </c>
      <c r="F33" s="2">
        <v>9769</v>
      </c>
      <c r="G33" s="2">
        <v>384</v>
      </c>
      <c r="H33" s="2">
        <v>169</v>
      </c>
      <c r="I33" s="2">
        <v>168</v>
      </c>
      <c r="J33" s="2">
        <f t="shared" si="2"/>
        <v>168.70549698024362</v>
      </c>
      <c r="K33" s="2">
        <v>12936</v>
      </c>
      <c r="L33" s="2">
        <v>494037.55</v>
      </c>
      <c r="M33" s="2">
        <f t="shared" si="3"/>
        <v>152.52094837696126</v>
      </c>
      <c r="N33" s="2">
        <v>1033326</v>
      </c>
      <c r="O33" s="2">
        <v>68</v>
      </c>
      <c r="P33" s="2">
        <v>1838505</v>
      </c>
      <c r="Q33" s="41">
        <v>1925</v>
      </c>
      <c r="R33" s="2"/>
      <c r="S33" s="27" t="s">
        <v>412</v>
      </c>
      <c r="T33" s="27" t="s">
        <v>416</v>
      </c>
      <c r="U33" s="27" t="s">
        <v>383</v>
      </c>
      <c r="V33" s="27" t="s">
        <v>412</v>
      </c>
      <c r="W33" s="27" t="s">
        <v>383</v>
      </c>
      <c r="X33" s="27" t="s">
        <v>417</v>
      </c>
      <c r="Y33" s="27" t="s">
        <v>418</v>
      </c>
      <c r="Z33" s="27" t="s">
        <v>418</v>
      </c>
    </row>
    <row r="34" spans="1:26" x14ac:dyDescent="0.25">
      <c r="A34" s="27" t="s">
        <v>1164</v>
      </c>
      <c r="B34" s="27" t="str">
        <f t="shared" si="0"/>
        <v>North Carolina</v>
      </c>
      <c r="C34" s="27" t="str">
        <f t="shared" si="1"/>
        <v>Edgecombe</v>
      </c>
      <c r="D34" s="27">
        <v>2888</v>
      </c>
      <c r="E34" s="27">
        <v>3603</v>
      </c>
      <c r="F34" s="2">
        <v>6491</v>
      </c>
      <c r="G34" s="2">
        <v>219</v>
      </c>
      <c r="H34" s="2">
        <v>166</v>
      </c>
      <c r="I34" s="2">
        <v>130</v>
      </c>
      <c r="J34" s="2">
        <f t="shared" si="2"/>
        <v>146.01725466029887</v>
      </c>
      <c r="K34" s="2">
        <v>10063</v>
      </c>
      <c r="L34" s="2">
        <v>170068</v>
      </c>
      <c r="M34" s="2">
        <f t="shared" si="3"/>
        <v>106.36636222921746</v>
      </c>
      <c r="N34" s="2">
        <v>553860</v>
      </c>
      <c r="O34" s="2">
        <v>63</v>
      </c>
      <c r="P34" s="2">
        <v>819400</v>
      </c>
      <c r="Q34" s="41">
        <v>1925</v>
      </c>
      <c r="R34" s="2"/>
      <c r="S34" s="27" t="s">
        <v>419</v>
      </c>
      <c r="T34" s="27" t="s">
        <v>416</v>
      </c>
      <c r="U34" s="27" t="s">
        <v>383</v>
      </c>
      <c r="V34" s="27" t="s">
        <v>419</v>
      </c>
      <c r="W34" s="27" t="s">
        <v>383</v>
      </c>
      <c r="X34" s="27" t="s">
        <v>417</v>
      </c>
      <c r="Y34" s="27" t="s">
        <v>418</v>
      </c>
      <c r="Z34" s="27" t="s">
        <v>418</v>
      </c>
    </row>
    <row r="35" spans="1:26" x14ac:dyDescent="0.25">
      <c r="A35" s="27" t="s">
        <v>1165</v>
      </c>
      <c r="B35" s="27" t="str">
        <f t="shared" si="0"/>
        <v>North Carolina</v>
      </c>
      <c r="C35" s="27" t="str">
        <f t="shared" si="1"/>
        <v>Forsyth</v>
      </c>
      <c r="D35" s="27">
        <v>11555</v>
      </c>
      <c r="E35" s="27">
        <v>5054</v>
      </c>
      <c r="F35" s="2">
        <v>16609</v>
      </c>
      <c r="G35" s="2">
        <v>608</v>
      </c>
      <c r="H35" s="2">
        <v>160</v>
      </c>
      <c r="I35" s="2">
        <v>168</v>
      </c>
      <c r="J35" s="2">
        <f t="shared" si="2"/>
        <v>162.43434282617858</v>
      </c>
      <c r="K35" s="2">
        <v>30557</v>
      </c>
      <c r="L35" s="2">
        <v>633336.49</v>
      </c>
      <c r="M35" s="2">
        <f t="shared" si="3"/>
        <v>128.25758893454292</v>
      </c>
      <c r="N35" s="2">
        <v>1938769</v>
      </c>
      <c r="O35" s="2">
        <v>92</v>
      </c>
      <c r="P35" s="2">
        <v>2648370</v>
      </c>
      <c r="Q35" s="41">
        <v>1925</v>
      </c>
      <c r="R35" s="2"/>
      <c r="S35" s="27" t="s">
        <v>419</v>
      </c>
      <c r="T35" s="27" t="s">
        <v>416</v>
      </c>
      <c r="U35" s="27" t="s">
        <v>383</v>
      </c>
      <c r="V35" s="27" t="s">
        <v>419</v>
      </c>
      <c r="W35" s="27" t="s">
        <v>383</v>
      </c>
      <c r="X35" s="27" t="s">
        <v>417</v>
      </c>
      <c r="Y35" s="27" t="s">
        <v>418</v>
      </c>
      <c r="Z35" s="27" t="s">
        <v>418</v>
      </c>
    </row>
    <row r="36" spans="1:26" x14ac:dyDescent="0.25">
      <c r="A36" s="27" t="s">
        <v>1166</v>
      </c>
      <c r="B36" s="27" t="str">
        <f t="shared" si="0"/>
        <v>North Carolina</v>
      </c>
      <c r="C36" s="27" t="str">
        <f t="shared" si="1"/>
        <v>Franklin</v>
      </c>
      <c r="D36" s="27">
        <v>3365</v>
      </c>
      <c r="E36" s="27">
        <v>2384</v>
      </c>
      <c r="F36" s="2">
        <v>5749</v>
      </c>
      <c r="G36" s="2">
        <v>218</v>
      </c>
      <c r="H36" s="2">
        <v>151</v>
      </c>
      <c r="I36" s="2">
        <v>133</v>
      </c>
      <c r="J36" s="2">
        <f t="shared" si="2"/>
        <v>143.53574534701687</v>
      </c>
      <c r="K36" s="2">
        <v>8329</v>
      </c>
      <c r="L36" s="2">
        <f>138781.19</f>
        <v>138781.19</v>
      </c>
      <c r="M36" s="2">
        <f t="shared" si="3"/>
        <v>88.70417076438487</v>
      </c>
      <c r="N36" s="2">
        <v>455300</v>
      </c>
      <c r="O36" s="2">
        <v>76</v>
      </c>
      <c r="P36" s="2">
        <v>680700</v>
      </c>
      <c r="Q36" s="41">
        <v>1925</v>
      </c>
      <c r="R36" s="2"/>
      <c r="S36" s="27" t="s">
        <v>419</v>
      </c>
      <c r="T36" s="27" t="s">
        <v>416</v>
      </c>
      <c r="U36" s="27" t="s">
        <v>383</v>
      </c>
      <c r="V36" s="27" t="s">
        <v>419</v>
      </c>
      <c r="W36" s="27" t="s">
        <v>383</v>
      </c>
      <c r="X36" s="27" t="s">
        <v>417</v>
      </c>
      <c r="Y36" s="27" t="s">
        <v>420</v>
      </c>
      <c r="Z36" s="27" t="s">
        <v>420</v>
      </c>
    </row>
    <row r="37" spans="1:26" x14ac:dyDescent="0.25">
      <c r="A37" s="27" t="s">
        <v>1167</v>
      </c>
      <c r="B37" s="27" t="str">
        <f t="shared" si="0"/>
        <v>North Carolina</v>
      </c>
      <c r="C37" s="27" t="str">
        <f t="shared" si="1"/>
        <v>Gaston</v>
      </c>
      <c r="D37" s="27">
        <v>10452</v>
      </c>
      <c r="E37" s="27">
        <v>2056</v>
      </c>
      <c r="F37" s="2">
        <v>12508</v>
      </c>
      <c r="G37" s="2">
        <v>555</v>
      </c>
      <c r="H37" s="2">
        <v>164</v>
      </c>
      <c r="I37" s="2">
        <v>141</v>
      </c>
      <c r="J37" s="2">
        <f t="shared" si="2"/>
        <v>160.21937959705789</v>
      </c>
      <c r="K37" s="2">
        <v>18791</v>
      </c>
      <c r="L37" s="2">
        <v>529005.06999999995</v>
      </c>
      <c r="M37" s="2">
        <f t="shared" si="3"/>
        <v>118.98214693945691</v>
      </c>
      <c r="N37" s="2">
        <v>1499893</v>
      </c>
      <c r="O37" s="2">
        <v>91</v>
      </c>
      <c r="P37" s="2">
        <v>2428700</v>
      </c>
      <c r="Q37" s="41">
        <v>1925</v>
      </c>
      <c r="R37" s="2"/>
      <c r="S37" s="27" t="s">
        <v>419</v>
      </c>
      <c r="T37" s="27" t="s">
        <v>416</v>
      </c>
      <c r="U37" s="27" t="s">
        <v>383</v>
      </c>
      <c r="V37" s="27" t="s">
        <v>419</v>
      </c>
      <c r="W37" s="27" t="s">
        <v>383</v>
      </c>
      <c r="X37" s="27" t="s">
        <v>421</v>
      </c>
      <c r="Y37" s="27" t="s">
        <v>420</v>
      </c>
      <c r="Z37" s="27" t="s">
        <v>420</v>
      </c>
    </row>
    <row r="38" spans="1:26" x14ac:dyDescent="0.25">
      <c r="A38" s="27" t="s">
        <v>1168</v>
      </c>
      <c r="B38" s="27" t="str">
        <f t="shared" si="0"/>
        <v>North Carolina</v>
      </c>
      <c r="C38" s="27" t="str">
        <f t="shared" si="1"/>
        <v>Gates</v>
      </c>
      <c r="D38" s="27">
        <v>1223</v>
      </c>
      <c r="E38" s="27">
        <v>1035</v>
      </c>
      <c r="F38" s="2">
        <v>2258</v>
      </c>
      <c r="G38" s="2">
        <v>89</v>
      </c>
      <c r="H38" s="2">
        <v>132</v>
      </c>
      <c r="I38" s="2">
        <v>122</v>
      </c>
      <c r="J38" s="2">
        <f t="shared" si="2"/>
        <v>127.4162976085031</v>
      </c>
      <c r="K38" s="2">
        <v>3480</v>
      </c>
      <c r="L38" s="2">
        <v>55351.519999999997</v>
      </c>
      <c r="M38" s="2">
        <f t="shared" si="3"/>
        <v>97.621293772348892</v>
      </c>
      <c r="N38" s="2">
        <v>142264</v>
      </c>
      <c r="O38" s="2">
        <v>40</v>
      </c>
      <c r="P38" s="2">
        <v>176050</v>
      </c>
      <c r="Q38" s="41">
        <v>1925</v>
      </c>
      <c r="R38" s="2"/>
      <c r="S38" s="27" t="s">
        <v>419</v>
      </c>
      <c r="T38" s="27" t="s">
        <v>422</v>
      </c>
      <c r="U38" s="27" t="s">
        <v>383</v>
      </c>
      <c r="V38" s="27" t="s">
        <v>419</v>
      </c>
      <c r="W38" s="27" t="s">
        <v>383</v>
      </c>
      <c r="X38" s="27" t="s">
        <v>421</v>
      </c>
      <c r="Y38" s="27" t="s">
        <v>420</v>
      </c>
      <c r="Z38" s="27" t="s">
        <v>420</v>
      </c>
    </row>
    <row r="39" spans="1:26" x14ac:dyDescent="0.25">
      <c r="A39" s="27" t="s">
        <v>1169</v>
      </c>
      <c r="B39" s="27" t="str">
        <f t="shared" si="0"/>
        <v>North Carolina</v>
      </c>
      <c r="C39" s="27" t="str">
        <f t="shared" si="1"/>
        <v>Graham</v>
      </c>
      <c r="D39" s="27">
        <v>875</v>
      </c>
      <c r="E39" s="27">
        <v>0</v>
      </c>
      <c r="F39" s="2">
        <v>875</v>
      </c>
      <c r="G39" s="2">
        <v>39</v>
      </c>
      <c r="H39" s="2">
        <v>137</v>
      </c>
      <c r="I39" s="2">
        <v>0</v>
      </c>
      <c r="J39" s="2">
        <f t="shared" si="2"/>
        <v>137</v>
      </c>
      <c r="K39" s="2">
        <v>1346</v>
      </c>
      <c r="L39" s="2">
        <v>25673.040000000001</v>
      </c>
      <c r="M39" s="2">
        <f t="shared" si="3"/>
        <v>96.099719258843351</v>
      </c>
      <c r="N39" s="2">
        <v>60377</v>
      </c>
      <c r="O39" s="2">
        <v>23</v>
      </c>
      <c r="P39" s="2">
        <v>70500</v>
      </c>
      <c r="Q39" s="41">
        <v>1925</v>
      </c>
      <c r="R39" s="2"/>
      <c r="S39" s="27" t="s">
        <v>419</v>
      </c>
      <c r="T39" s="27" t="s">
        <v>422</v>
      </c>
      <c r="U39" s="27" t="s">
        <v>383</v>
      </c>
      <c r="V39" s="27" t="s">
        <v>419</v>
      </c>
      <c r="W39" s="27" t="s">
        <v>383</v>
      </c>
      <c r="X39" s="27" t="s">
        <v>421</v>
      </c>
      <c r="Y39" s="27" t="s">
        <v>420</v>
      </c>
      <c r="Z39" s="27" t="s">
        <v>420</v>
      </c>
    </row>
    <row r="40" spans="1:26" x14ac:dyDescent="0.25">
      <c r="A40" s="27" t="s">
        <v>1170</v>
      </c>
      <c r="B40" s="27" t="str">
        <f t="shared" si="0"/>
        <v>North Carolina</v>
      </c>
      <c r="C40" s="27" t="str">
        <f t="shared" si="1"/>
        <v>Granville</v>
      </c>
      <c r="D40" s="27">
        <v>3136</v>
      </c>
      <c r="E40" s="27">
        <v>2416</v>
      </c>
      <c r="F40" s="2">
        <v>5552</v>
      </c>
      <c r="G40" s="2">
        <v>201</v>
      </c>
      <c r="H40" s="2">
        <v>155</v>
      </c>
      <c r="I40" s="2">
        <v>134</v>
      </c>
      <c r="J40" s="2">
        <f t="shared" si="2"/>
        <v>145.86167146974063</v>
      </c>
      <c r="K40" s="2">
        <v>7844</v>
      </c>
      <c r="L40" s="2">
        <v>161689.73000000001</v>
      </c>
      <c r="M40" s="2">
        <f t="shared" si="3"/>
        <v>110.29991762843821</v>
      </c>
      <c r="N40" s="2">
        <v>761362</v>
      </c>
      <c r="O40" s="2">
        <v>77</v>
      </c>
      <c r="P40" s="2">
        <v>665000</v>
      </c>
      <c r="Q40" s="41">
        <v>1925</v>
      </c>
      <c r="R40" s="2"/>
      <c r="S40" s="27" t="s">
        <v>419</v>
      </c>
      <c r="T40" s="27" t="s">
        <v>422</v>
      </c>
      <c r="U40" s="27" t="s">
        <v>383</v>
      </c>
      <c r="V40" s="27" t="s">
        <v>419</v>
      </c>
      <c r="W40" s="27" t="s">
        <v>383</v>
      </c>
      <c r="X40" s="27" t="s">
        <v>421</v>
      </c>
      <c r="Y40" s="27" t="s">
        <v>420</v>
      </c>
      <c r="Z40" s="27" t="s">
        <v>420</v>
      </c>
    </row>
    <row r="41" spans="1:26" x14ac:dyDescent="0.25">
      <c r="A41" s="27" t="s">
        <v>1171</v>
      </c>
      <c r="B41" s="27" t="str">
        <f t="shared" si="0"/>
        <v>North Carolina</v>
      </c>
      <c r="C41" s="27" t="str">
        <f t="shared" si="1"/>
        <v>Greene</v>
      </c>
      <c r="D41" s="27">
        <v>1661</v>
      </c>
      <c r="E41" s="27">
        <v>1575</v>
      </c>
      <c r="F41" s="2">
        <v>3236</v>
      </c>
      <c r="G41" s="2">
        <v>130</v>
      </c>
      <c r="H41" s="2">
        <v>135</v>
      </c>
      <c r="I41" s="2">
        <v>120</v>
      </c>
      <c r="J41" s="2">
        <f t="shared" si="2"/>
        <v>127.69932014833127</v>
      </c>
      <c r="K41" s="2">
        <v>4853</v>
      </c>
      <c r="L41" s="2">
        <v>71670</v>
      </c>
      <c r="M41" s="2">
        <f t="shared" si="3"/>
        <v>86.344655816070372</v>
      </c>
      <c r="N41" s="2">
        <v>113081</v>
      </c>
      <c r="O41" s="2">
        <v>46</v>
      </c>
      <c r="P41" s="2">
        <v>290000</v>
      </c>
      <c r="Q41" s="41">
        <v>1925</v>
      </c>
      <c r="R41" s="2"/>
      <c r="S41" s="27" t="s">
        <v>419</v>
      </c>
      <c r="T41" s="27" t="s">
        <v>422</v>
      </c>
      <c r="U41" s="27" t="s">
        <v>383</v>
      </c>
      <c r="V41" s="27" t="s">
        <v>419</v>
      </c>
      <c r="W41" s="27" t="s">
        <v>383</v>
      </c>
      <c r="X41" s="27" t="s">
        <v>421</v>
      </c>
      <c r="Y41" s="27" t="s">
        <v>420</v>
      </c>
      <c r="Z41" s="27" t="s">
        <v>420</v>
      </c>
    </row>
    <row r="42" spans="1:26" x14ac:dyDescent="0.25">
      <c r="A42" s="27" t="s">
        <v>1172</v>
      </c>
      <c r="B42" s="27" t="str">
        <f t="shared" si="0"/>
        <v>North Carolina</v>
      </c>
      <c r="C42" s="27" t="str">
        <f t="shared" si="1"/>
        <v>Guilford</v>
      </c>
      <c r="D42" s="27">
        <v>15907</v>
      </c>
      <c r="E42" s="27">
        <v>4234</v>
      </c>
      <c r="F42" s="2">
        <v>20141</v>
      </c>
      <c r="G42" s="2">
        <v>774</v>
      </c>
      <c r="H42" s="2">
        <v>165</v>
      </c>
      <c r="I42" s="2">
        <v>164</v>
      </c>
      <c r="J42" s="2">
        <f t="shared" si="2"/>
        <v>164.78978203664167</v>
      </c>
      <c r="K42" s="2">
        <v>25625</v>
      </c>
      <c r="L42" s="2">
        <v>819192.92</v>
      </c>
      <c r="M42" s="2">
        <f t="shared" si="3"/>
        <v>128.45320534429482</v>
      </c>
      <c r="N42" s="2">
        <v>2302311</v>
      </c>
      <c r="O42" s="2">
        <v>117</v>
      </c>
      <c r="P42" s="2">
        <v>3829320</v>
      </c>
      <c r="Q42" s="41">
        <v>1925</v>
      </c>
      <c r="R42" s="2"/>
      <c r="S42" s="27" t="s">
        <v>419</v>
      </c>
      <c r="T42" s="27" t="s">
        <v>422</v>
      </c>
      <c r="U42" s="27" t="s">
        <v>383</v>
      </c>
      <c r="V42" s="27" t="s">
        <v>419</v>
      </c>
      <c r="W42" s="27" t="s">
        <v>383</v>
      </c>
      <c r="X42" s="27" t="s">
        <v>421</v>
      </c>
      <c r="Y42" s="27" t="s">
        <v>420</v>
      </c>
      <c r="Z42" s="27" t="s">
        <v>420</v>
      </c>
    </row>
    <row r="43" spans="1:26" x14ac:dyDescent="0.25">
      <c r="A43" s="27" t="s">
        <v>1173</v>
      </c>
      <c r="B43" s="27" t="str">
        <f t="shared" si="0"/>
        <v>North Carolina</v>
      </c>
      <c r="C43" s="27" t="str">
        <f t="shared" si="1"/>
        <v>Halifax</v>
      </c>
      <c r="D43" s="27">
        <v>4230</v>
      </c>
      <c r="E43" s="27">
        <v>4324</v>
      </c>
      <c r="F43" s="2">
        <v>8554</v>
      </c>
      <c r="G43" s="2">
        <v>318</v>
      </c>
      <c r="H43" s="2">
        <v>170</v>
      </c>
      <c r="I43" s="2">
        <v>136</v>
      </c>
      <c r="J43" s="2">
        <f t="shared" si="2"/>
        <v>152.8131868131868</v>
      </c>
      <c r="K43" s="2">
        <v>13324</v>
      </c>
      <c r="L43" s="2">
        <v>276707.44</v>
      </c>
      <c r="M43" s="2">
        <f t="shared" si="3"/>
        <v>113.88404371851615</v>
      </c>
      <c r="N43" s="2">
        <v>765080</v>
      </c>
      <c r="O43" s="2">
        <v>102</v>
      </c>
      <c r="P43" s="2">
        <v>1314680</v>
      </c>
      <c r="Q43" s="41">
        <v>1925</v>
      </c>
      <c r="R43" s="2"/>
      <c r="S43" s="27" t="s">
        <v>419</v>
      </c>
      <c r="T43" s="27" t="s">
        <v>422</v>
      </c>
      <c r="U43" s="27" t="s">
        <v>383</v>
      </c>
      <c r="V43" s="27" t="s">
        <v>419</v>
      </c>
      <c r="W43" s="27" t="s">
        <v>383</v>
      </c>
      <c r="X43" s="27" t="s">
        <v>421</v>
      </c>
      <c r="Y43" s="27" t="s">
        <v>420</v>
      </c>
      <c r="Z43" s="27" t="s">
        <v>420</v>
      </c>
    </row>
    <row r="44" spans="1:26" x14ac:dyDescent="0.25">
      <c r="A44" s="27" t="s">
        <v>1174</v>
      </c>
      <c r="B44" s="27" t="str">
        <f t="shared" si="0"/>
        <v>North Carolina</v>
      </c>
      <c r="C44" s="27" t="str">
        <f t="shared" si="1"/>
        <v>Harnett</v>
      </c>
      <c r="D44" s="27">
        <v>5242</v>
      </c>
      <c r="E44" s="27">
        <v>2341</v>
      </c>
      <c r="F44" s="2">
        <v>7583</v>
      </c>
      <c r="G44" s="2">
        <v>299</v>
      </c>
      <c r="H44" s="2">
        <v>135</v>
      </c>
      <c r="I44" s="2">
        <v>128</v>
      </c>
      <c r="J44" s="2">
        <f t="shared" si="2"/>
        <v>132.83898193327178</v>
      </c>
      <c r="K44" s="2">
        <v>10559</v>
      </c>
      <c r="L44" s="2">
        <v>202288.59</v>
      </c>
      <c r="M44" s="2">
        <f t="shared" si="3"/>
        <v>101.86023084206897</v>
      </c>
      <c r="N44" s="2">
        <v>675886</v>
      </c>
      <c r="O44" s="2">
        <v>95</v>
      </c>
      <c r="P44" s="2">
        <v>860000</v>
      </c>
      <c r="Q44" s="41">
        <v>1925</v>
      </c>
      <c r="R44" s="2"/>
      <c r="S44" s="27" t="s">
        <v>419</v>
      </c>
      <c r="T44" s="27" t="s">
        <v>422</v>
      </c>
      <c r="U44" s="27" t="s">
        <v>383</v>
      </c>
      <c r="V44" s="27" t="s">
        <v>419</v>
      </c>
      <c r="W44" s="27" t="s">
        <v>383</v>
      </c>
      <c r="X44" s="27" t="s">
        <v>421</v>
      </c>
      <c r="Y44" s="27" t="s">
        <v>420</v>
      </c>
      <c r="Z44" s="27" t="s">
        <v>420</v>
      </c>
    </row>
    <row r="45" spans="1:26" x14ac:dyDescent="0.25">
      <c r="A45" s="27" t="s">
        <v>1175</v>
      </c>
      <c r="B45" s="27" t="str">
        <f t="shared" si="0"/>
        <v>North Carolina</v>
      </c>
      <c r="C45" s="27" t="str">
        <f t="shared" si="1"/>
        <v>Haywood</v>
      </c>
      <c r="D45" s="27">
        <v>5004</v>
      </c>
      <c r="E45" s="27">
        <v>141</v>
      </c>
      <c r="F45" s="2">
        <v>5145</v>
      </c>
      <c r="G45" s="2">
        <v>196</v>
      </c>
      <c r="H45" s="2">
        <v>144</v>
      </c>
      <c r="I45" s="2">
        <v>166</v>
      </c>
      <c r="J45" s="2">
        <f t="shared" si="2"/>
        <v>144.60291545189506</v>
      </c>
      <c r="K45" s="2">
        <v>6935</v>
      </c>
      <c r="L45" s="2">
        <v>134081.87</v>
      </c>
      <c r="M45" s="2">
        <f t="shared" si="3"/>
        <v>94.616511891416721</v>
      </c>
      <c r="N45" s="2">
        <v>414194</v>
      </c>
      <c r="O45" s="2">
        <v>60</v>
      </c>
      <c r="P45" s="2">
        <v>598000</v>
      </c>
      <c r="Q45" s="41">
        <v>1925</v>
      </c>
      <c r="R45" s="2"/>
      <c r="S45" s="27" t="s">
        <v>419</v>
      </c>
      <c r="T45" s="27" t="s">
        <v>422</v>
      </c>
      <c r="U45" s="27" t="s">
        <v>383</v>
      </c>
      <c r="V45" s="27" t="s">
        <v>419</v>
      </c>
      <c r="W45" s="27" t="s">
        <v>383</v>
      </c>
      <c r="X45" s="27" t="s">
        <v>423</v>
      </c>
      <c r="Y45" s="27" t="s">
        <v>424</v>
      </c>
      <c r="Z45" s="27" t="s">
        <v>424</v>
      </c>
    </row>
    <row r="46" spans="1:26" x14ac:dyDescent="0.25">
      <c r="A46" s="27" t="s">
        <v>1176</v>
      </c>
      <c r="B46" s="27" t="str">
        <f t="shared" si="0"/>
        <v>North Carolina</v>
      </c>
      <c r="C46" s="27" t="str">
        <f t="shared" si="1"/>
        <v>Henderson</v>
      </c>
      <c r="D46" s="27">
        <v>4325</v>
      </c>
      <c r="E46" s="27">
        <v>430</v>
      </c>
      <c r="F46" s="2">
        <v>4755</v>
      </c>
      <c r="G46" s="2">
        <v>178</v>
      </c>
      <c r="H46" s="2">
        <v>144</v>
      </c>
      <c r="I46" s="2">
        <v>147</v>
      </c>
      <c r="J46" s="2">
        <f t="shared" si="2"/>
        <v>144.27129337539432</v>
      </c>
      <c r="K46" s="2">
        <v>5843</v>
      </c>
      <c r="L46" s="2">
        <v>142913.99</v>
      </c>
      <c r="M46" s="2">
        <f t="shared" si="3"/>
        <v>111.30247265206766</v>
      </c>
      <c r="N46" s="2">
        <v>467561</v>
      </c>
      <c r="O46" s="2">
        <v>59</v>
      </c>
      <c r="P46" s="2">
        <v>500650</v>
      </c>
      <c r="Q46" s="41">
        <v>1925</v>
      </c>
      <c r="R46" s="2"/>
      <c r="S46" s="27" t="s">
        <v>419</v>
      </c>
      <c r="T46" s="27" t="s">
        <v>425</v>
      </c>
      <c r="U46" s="27" t="s">
        <v>383</v>
      </c>
      <c r="V46" s="27" t="s">
        <v>419</v>
      </c>
      <c r="W46" s="27" t="s">
        <v>383</v>
      </c>
      <c r="X46" s="27" t="s">
        <v>423</v>
      </c>
      <c r="Y46" s="27" t="s">
        <v>424</v>
      </c>
      <c r="Z46" s="27" t="s">
        <v>424</v>
      </c>
    </row>
    <row r="47" spans="1:26" x14ac:dyDescent="0.25">
      <c r="A47" s="27" t="s">
        <v>1177</v>
      </c>
      <c r="B47" s="27" t="str">
        <f t="shared" si="0"/>
        <v>North Carolina</v>
      </c>
      <c r="C47" s="27" t="str">
        <f t="shared" si="1"/>
        <v>Hertford</v>
      </c>
      <c r="D47" s="27">
        <v>1539</v>
      </c>
      <c r="E47" s="27">
        <v>2377</v>
      </c>
      <c r="F47" s="2">
        <v>3916</v>
      </c>
      <c r="G47" s="2">
        <v>141</v>
      </c>
      <c r="H47" s="2">
        <v>141</v>
      </c>
      <c r="I47" s="2">
        <v>121</v>
      </c>
      <c r="J47" s="2">
        <f t="shared" si="2"/>
        <v>128.86006128702758</v>
      </c>
      <c r="K47" s="2">
        <v>5677</v>
      </c>
      <c r="L47" s="2">
        <v>85301.99</v>
      </c>
      <c r="M47" s="2">
        <f t="shared" si="3"/>
        <v>93.896999029779792</v>
      </c>
      <c r="N47" s="2">
        <v>189895</v>
      </c>
      <c r="O47" s="2">
        <v>53</v>
      </c>
      <c r="P47" s="2">
        <v>305150</v>
      </c>
      <c r="Q47" s="41">
        <v>1925</v>
      </c>
      <c r="R47" s="2"/>
      <c r="S47" s="27" t="s">
        <v>419</v>
      </c>
      <c r="T47" s="27" t="s">
        <v>425</v>
      </c>
      <c r="U47" s="27" t="s">
        <v>383</v>
      </c>
      <c r="V47" s="27" t="s">
        <v>419</v>
      </c>
      <c r="W47" s="27" t="s">
        <v>383</v>
      </c>
      <c r="X47" s="27" t="s">
        <v>423</v>
      </c>
      <c r="Y47" s="27" t="s">
        <v>424</v>
      </c>
      <c r="Z47" s="27" t="s">
        <v>424</v>
      </c>
    </row>
    <row r="48" spans="1:26" x14ac:dyDescent="0.25">
      <c r="A48" s="27" t="s">
        <v>1178</v>
      </c>
      <c r="B48" s="27" t="str">
        <f t="shared" si="0"/>
        <v>North Carolina</v>
      </c>
      <c r="C48" s="27" t="str">
        <f t="shared" si="1"/>
        <v>Hoke</v>
      </c>
      <c r="D48" s="27">
        <v>1100</v>
      </c>
      <c r="E48" s="27">
        <v>1535</v>
      </c>
      <c r="F48" s="2">
        <v>2635</v>
      </c>
      <c r="G48" s="2">
        <v>90</v>
      </c>
      <c r="H48" s="2">
        <v>142</v>
      </c>
      <c r="I48" s="2">
        <v>120</v>
      </c>
      <c r="J48" s="2">
        <f t="shared" si="2"/>
        <v>129.18406072106262</v>
      </c>
      <c r="K48" s="2">
        <v>4059</v>
      </c>
      <c r="L48" s="2">
        <v>57308.91</v>
      </c>
      <c r="M48" s="2">
        <f t="shared" si="3"/>
        <v>98.582698687818251</v>
      </c>
      <c r="N48" s="2">
        <v>84861</v>
      </c>
      <c r="O48" s="2">
        <v>34</v>
      </c>
      <c r="P48" s="2">
        <v>154400</v>
      </c>
      <c r="Q48" s="41">
        <v>1925</v>
      </c>
      <c r="R48" s="2"/>
      <c r="S48" s="27" t="s">
        <v>426</v>
      </c>
      <c r="T48" s="27" t="s">
        <v>425</v>
      </c>
      <c r="U48" s="27" t="s">
        <v>383</v>
      </c>
      <c r="V48" s="27" t="s">
        <v>426</v>
      </c>
      <c r="W48" s="27" t="s">
        <v>383</v>
      </c>
      <c r="X48" s="27" t="s">
        <v>423</v>
      </c>
      <c r="Y48" s="27" t="s">
        <v>424</v>
      </c>
      <c r="Z48" s="27" t="s">
        <v>424</v>
      </c>
    </row>
    <row r="49" spans="1:26" x14ac:dyDescent="0.25">
      <c r="A49" s="27" t="s">
        <v>1179</v>
      </c>
      <c r="B49" s="27" t="str">
        <f t="shared" si="0"/>
        <v>North Carolina</v>
      </c>
      <c r="C49" s="27" t="str">
        <f t="shared" si="1"/>
        <v>Hyde</v>
      </c>
      <c r="D49" s="27">
        <v>1205</v>
      </c>
      <c r="E49" s="27">
        <v>733</v>
      </c>
      <c r="F49" s="2">
        <v>1938</v>
      </c>
      <c r="G49" s="2">
        <v>79</v>
      </c>
      <c r="H49" s="2">
        <v>145</v>
      </c>
      <c r="I49" s="2">
        <v>121</v>
      </c>
      <c r="J49" s="2">
        <f t="shared" si="2"/>
        <v>135.92260061919504</v>
      </c>
      <c r="K49" s="2">
        <v>2590</v>
      </c>
      <c r="L49" s="2">
        <v>52421.93</v>
      </c>
      <c r="M49" s="2">
        <f t="shared" si="3"/>
        <v>97.639205129144031</v>
      </c>
      <c r="N49" s="2">
        <v>175938</v>
      </c>
      <c r="O49" s="2">
        <v>36</v>
      </c>
      <c r="P49" s="2">
        <v>144570</v>
      </c>
      <c r="Q49" s="41">
        <v>1925</v>
      </c>
      <c r="R49" s="2"/>
      <c r="S49" s="27" t="s">
        <v>426</v>
      </c>
      <c r="T49" s="27" t="s">
        <v>425</v>
      </c>
      <c r="U49" s="27" t="s">
        <v>383</v>
      </c>
      <c r="V49" s="27" t="s">
        <v>426</v>
      </c>
      <c r="W49" s="27" t="s">
        <v>383</v>
      </c>
      <c r="X49" s="27" t="s">
        <v>423</v>
      </c>
      <c r="Y49" s="27" t="s">
        <v>424</v>
      </c>
      <c r="Z49" s="27" t="s">
        <v>424</v>
      </c>
    </row>
    <row r="50" spans="1:26" x14ac:dyDescent="0.25">
      <c r="A50" s="27" t="s">
        <v>1180</v>
      </c>
      <c r="B50" s="27" t="str">
        <f t="shared" si="0"/>
        <v>North Carolina</v>
      </c>
      <c r="C50" s="27" t="str">
        <f t="shared" si="1"/>
        <v>Iredell</v>
      </c>
      <c r="D50" s="27">
        <v>8559</v>
      </c>
      <c r="E50" s="27">
        <v>1742</v>
      </c>
      <c r="F50" s="2">
        <v>10301</v>
      </c>
      <c r="G50" s="2">
        <v>361</v>
      </c>
      <c r="H50" s="2">
        <v>143</v>
      </c>
      <c r="I50" s="2">
        <v>133</v>
      </c>
      <c r="J50" s="2">
        <f t="shared" si="2"/>
        <v>141.30890204834483</v>
      </c>
      <c r="K50" s="2">
        <v>12875</v>
      </c>
      <c r="L50" s="2">
        <v>276434.90999999997</v>
      </c>
      <c r="M50" s="2">
        <f t="shared" si="3"/>
        <v>108.37925453107194</v>
      </c>
      <c r="N50" s="2">
        <v>502589</v>
      </c>
      <c r="O50" s="2">
        <v>123</v>
      </c>
      <c r="P50" s="2">
        <v>1273800</v>
      </c>
      <c r="Q50" s="41">
        <v>1925</v>
      </c>
      <c r="R50" s="2"/>
      <c r="S50" s="27" t="s">
        <v>426</v>
      </c>
      <c r="T50" s="27" t="s">
        <v>425</v>
      </c>
      <c r="U50" s="27" t="s">
        <v>383</v>
      </c>
      <c r="V50" s="27" t="s">
        <v>426</v>
      </c>
      <c r="W50" s="27" t="s">
        <v>383</v>
      </c>
      <c r="X50" s="27" t="s">
        <v>423</v>
      </c>
      <c r="Y50" s="27" t="s">
        <v>424</v>
      </c>
      <c r="Z50" s="27" t="s">
        <v>424</v>
      </c>
    </row>
    <row r="51" spans="1:26" x14ac:dyDescent="0.25">
      <c r="A51" s="27" t="s">
        <v>1181</v>
      </c>
      <c r="B51" s="27" t="str">
        <f t="shared" si="0"/>
        <v>North Carolina</v>
      </c>
      <c r="C51" s="27" t="str">
        <f t="shared" si="1"/>
        <v>Jackson</v>
      </c>
      <c r="D51" s="27">
        <v>2847</v>
      </c>
      <c r="E51" s="27">
        <v>111</v>
      </c>
      <c r="F51" s="2">
        <v>2958</v>
      </c>
      <c r="G51" s="2">
        <v>115</v>
      </c>
      <c r="H51" s="2">
        <v>135</v>
      </c>
      <c r="I51" s="2">
        <v>160</v>
      </c>
      <c r="J51" s="2">
        <f t="shared" si="2"/>
        <v>135.93813387423936</v>
      </c>
      <c r="K51" s="2">
        <v>4001</v>
      </c>
      <c r="L51" s="2">
        <v>90850.11</v>
      </c>
      <c r="M51" s="2">
        <f t="shared" si="3"/>
        <v>116.22948381100977</v>
      </c>
      <c r="N51" s="2">
        <v>243581</v>
      </c>
      <c r="O51" s="2">
        <v>46</v>
      </c>
      <c r="P51" s="2">
        <v>269500</v>
      </c>
      <c r="Q51" s="41">
        <v>1925</v>
      </c>
      <c r="R51" s="2"/>
      <c r="S51" s="27" t="s">
        <v>426</v>
      </c>
      <c r="T51" s="27" t="s">
        <v>425</v>
      </c>
      <c r="U51" s="27" t="s">
        <v>383</v>
      </c>
      <c r="V51" s="27" t="s">
        <v>426</v>
      </c>
      <c r="W51" s="27" t="s">
        <v>383</v>
      </c>
      <c r="X51" s="27" t="s">
        <v>423</v>
      </c>
      <c r="Y51" s="27" t="s">
        <v>424</v>
      </c>
      <c r="Z51" s="27" t="s">
        <v>424</v>
      </c>
    </row>
    <row r="52" spans="1:26" x14ac:dyDescent="0.25">
      <c r="A52" s="27" t="s">
        <v>1182</v>
      </c>
      <c r="B52" s="27" t="str">
        <f t="shared" si="0"/>
        <v>North Carolina</v>
      </c>
      <c r="C52" s="27" t="str">
        <f t="shared" si="1"/>
        <v>Johnston</v>
      </c>
      <c r="D52" s="27">
        <v>9976</v>
      </c>
      <c r="E52" s="27">
        <v>2626</v>
      </c>
      <c r="F52" s="2">
        <v>12602</v>
      </c>
      <c r="G52" s="2">
        <v>465</v>
      </c>
      <c r="H52" s="2">
        <v>147</v>
      </c>
      <c r="I52" s="2">
        <v>132</v>
      </c>
      <c r="J52" s="2">
        <f t="shared" si="2"/>
        <v>143.87430566576734</v>
      </c>
      <c r="K52" s="2">
        <v>18279</v>
      </c>
      <c r="L52" s="2">
        <v>343438.13</v>
      </c>
      <c r="M52" s="2">
        <f t="shared" si="3"/>
        <v>102.66970467564826</v>
      </c>
      <c r="N52" s="2">
        <v>1048468</v>
      </c>
      <c r="O52" s="2">
        <v>122</v>
      </c>
      <c r="P52" s="2">
        <v>1561040</v>
      </c>
      <c r="Q52" s="41">
        <v>1925</v>
      </c>
      <c r="R52" s="2"/>
      <c r="S52" s="27" t="s">
        <v>426</v>
      </c>
      <c r="T52" s="27" t="s">
        <v>425</v>
      </c>
      <c r="U52" s="27" t="s">
        <v>383</v>
      </c>
      <c r="V52" s="27" t="s">
        <v>426</v>
      </c>
      <c r="W52" s="27" t="s">
        <v>383</v>
      </c>
      <c r="X52" s="27" t="s">
        <v>423</v>
      </c>
      <c r="Y52" s="27" t="s">
        <v>424</v>
      </c>
      <c r="Z52" s="27" t="s">
        <v>424</v>
      </c>
    </row>
    <row r="53" spans="1:26" x14ac:dyDescent="0.25">
      <c r="A53" s="27" t="s">
        <v>1183</v>
      </c>
      <c r="B53" s="27" t="str">
        <f t="shared" si="0"/>
        <v>North Carolina</v>
      </c>
      <c r="C53" s="27" t="str">
        <f t="shared" si="1"/>
        <v>Jones</v>
      </c>
      <c r="D53" s="27">
        <v>1242</v>
      </c>
      <c r="E53" s="27">
        <v>1019</v>
      </c>
      <c r="F53" s="2">
        <v>2261</v>
      </c>
      <c r="G53" s="2">
        <v>97</v>
      </c>
      <c r="H53" s="2">
        <v>134</v>
      </c>
      <c r="I53" s="2">
        <v>122</v>
      </c>
      <c r="J53" s="2">
        <f t="shared" si="2"/>
        <v>128.59177355152588</v>
      </c>
      <c r="K53" s="2">
        <v>3349</v>
      </c>
      <c r="L53" s="2">
        <v>51496.57</v>
      </c>
      <c r="M53" s="2">
        <f t="shared" si="3"/>
        <v>82.570207963432281</v>
      </c>
      <c r="N53" s="2">
        <v>126308</v>
      </c>
      <c r="O53" s="2">
        <v>36</v>
      </c>
      <c r="P53" s="2">
        <v>294700</v>
      </c>
      <c r="Q53" s="41">
        <v>1925</v>
      </c>
      <c r="R53" s="2"/>
      <c r="S53" s="27" t="s">
        <v>426</v>
      </c>
      <c r="T53" s="27" t="s">
        <v>425</v>
      </c>
      <c r="U53" s="27" t="s">
        <v>383</v>
      </c>
      <c r="V53" s="27" t="s">
        <v>426</v>
      </c>
      <c r="W53" s="27" t="s">
        <v>383</v>
      </c>
      <c r="X53" s="27" t="s">
        <v>423</v>
      </c>
      <c r="Y53" s="27" t="s">
        <v>424</v>
      </c>
      <c r="Z53" s="27" t="s">
        <v>424</v>
      </c>
    </row>
    <row r="54" spans="1:26" x14ac:dyDescent="0.25">
      <c r="A54" s="27" t="s">
        <v>1184</v>
      </c>
      <c r="B54" s="27" t="str">
        <f t="shared" si="0"/>
        <v>North Carolina</v>
      </c>
      <c r="C54" s="27" t="str">
        <f t="shared" si="1"/>
        <v>Lee</v>
      </c>
      <c r="D54" s="27">
        <v>2551</v>
      </c>
      <c r="E54" s="27">
        <v>926</v>
      </c>
      <c r="F54" s="2">
        <v>3477</v>
      </c>
      <c r="G54" s="2">
        <v>123</v>
      </c>
      <c r="H54" s="2">
        <v>146</v>
      </c>
      <c r="I54" s="2">
        <v>123</v>
      </c>
      <c r="J54" s="2">
        <f t="shared" si="2"/>
        <v>139.87460454414725</v>
      </c>
      <c r="K54" s="2">
        <v>4856</v>
      </c>
      <c r="L54" s="2">
        <v>94275.14</v>
      </c>
      <c r="M54" s="2">
        <f t="shared" si="3"/>
        <v>109.59309666589503</v>
      </c>
      <c r="N54" s="2">
        <v>139045</v>
      </c>
      <c r="O54" s="2">
        <v>39</v>
      </c>
      <c r="P54" s="2">
        <v>432000</v>
      </c>
      <c r="Q54" s="41">
        <v>1925</v>
      </c>
      <c r="R54" s="2"/>
      <c r="S54" s="27" t="s">
        <v>426</v>
      </c>
      <c r="T54" s="27" t="s">
        <v>425</v>
      </c>
      <c r="U54" s="27" t="s">
        <v>383</v>
      </c>
      <c r="V54" s="27" t="s">
        <v>426</v>
      </c>
      <c r="W54" s="27" t="s">
        <v>383</v>
      </c>
      <c r="X54" s="27" t="s">
        <v>423</v>
      </c>
      <c r="Y54" s="27" t="s">
        <v>427</v>
      </c>
      <c r="Z54" s="27" t="s">
        <v>427</v>
      </c>
    </row>
    <row r="55" spans="1:26" x14ac:dyDescent="0.25">
      <c r="A55" s="27" t="s">
        <v>1185</v>
      </c>
      <c r="B55" s="27" t="str">
        <f t="shared" si="0"/>
        <v>North Carolina</v>
      </c>
      <c r="C55" s="27" t="str">
        <f t="shared" si="1"/>
        <v>Lenoir</v>
      </c>
      <c r="D55" s="27">
        <v>4159</v>
      </c>
      <c r="E55" s="27">
        <v>2551</v>
      </c>
      <c r="F55" s="2">
        <v>6710</v>
      </c>
      <c r="G55" s="2">
        <v>215</v>
      </c>
      <c r="H55" s="2">
        <v>161</v>
      </c>
      <c r="I55" s="2">
        <v>145</v>
      </c>
      <c r="J55" s="2">
        <f t="shared" si="2"/>
        <v>154.91713859910581</v>
      </c>
      <c r="K55" s="2">
        <v>9609</v>
      </c>
      <c r="L55" s="2">
        <v>181925.26</v>
      </c>
      <c r="M55" s="2">
        <f t="shared" si="3"/>
        <v>109.24085064464057</v>
      </c>
      <c r="N55" s="2">
        <v>465610</v>
      </c>
      <c r="O55" s="2">
        <v>62</v>
      </c>
      <c r="P55" s="2">
        <v>781085</v>
      </c>
      <c r="Q55" s="41">
        <v>1925</v>
      </c>
      <c r="R55" s="2"/>
      <c r="S55" s="27" t="s">
        <v>426</v>
      </c>
      <c r="T55" s="27" t="s">
        <v>425</v>
      </c>
      <c r="U55" s="27" t="s">
        <v>383</v>
      </c>
      <c r="V55" s="27" t="s">
        <v>426</v>
      </c>
      <c r="W55" s="27" t="s">
        <v>383</v>
      </c>
      <c r="X55" s="27" t="s">
        <v>423</v>
      </c>
      <c r="Y55" s="27" t="s">
        <v>427</v>
      </c>
      <c r="Z55" s="27" t="s">
        <v>427</v>
      </c>
    </row>
    <row r="56" spans="1:26" x14ac:dyDescent="0.25">
      <c r="A56" s="27" t="s">
        <v>1186</v>
      </c>
      <c r="B56" s="27" t="str">
        <f t="shared" si="0"/>
        <v>North Carolina</v>
      </c>
      <c r="C56" s="27" t="str">
        <f t="shared" si="1"/>
        <v>Lincoln</v>
      </c>
      <c r="D56" s="27">
        <v>3872</v>
      </c>
      <c r="E56" s="27">
        <v>531</v>
      </c>
      <c r="F56" s="2">
        <v>4403</v>
      </c>
      <c r="G56" s="2">
        <v>167</v>
      </c>
      <c r="H56" s="2">
        <v>141</v>
      </c>
      <c r="I56" s="2">
        <v>130</v>
      </c>
      <c r="J56" s="2">
        <f t="shared" si="2"/>
        <v>139.6734044969339</v>
      </c>
      <c r="K56" s="2">
        <v>5921</v>
      </c>
      <c r="L56" s="2">
        <v>120283.89</v>
      </c>
      <c r="M56" s="2">
        <f t="shared" si="3"/>
        <v>103.13528433926999</v>
      </c>
      <c r="N56" s="2">
        <v>319948</v>
      </c>
      <c r="O56" s="2">
        <v>63</v>
      </c>
      <c r="P56" s="2">
        <v>460290</v>
      </c>
      <c r="Q56" s="41">
        <v>1925</v>
      </c>
      <c r="R56" s="2"/>
      <c r="S56" s="27" t="s">
        <v>426</v>
      </c>
      <c r="T56" s="27" t="s">
        <v>425</v>
      </c>
      <c r="U56" s="27" t="s">
        <v>383</v>
      </c>
      <c r="V56" s="27" t="s">
        <v>426</v>
      </c>
      <c r="W56" s="27" t="s">
        <v>383</v>
      </c>
      <c r="X56" s="27" t="s">
        <v>428</v>
      </c>
      <c r="Y56" s="27" t="s">
        <v>427</v>
      </c>
      <c r="Z56" s="27" t="s">
        <v>427</v>
      </c>
    </row>
    <row r="57" spans="1:26" x14ac:dyDescent="0.25">
      <c r="A57" s="27" t="s">
        <v>1188</v>
      </c>
      <c r="B57" s="27" t="str">
        <f t="shared" si="0"/>
        <v>North Carolina</v>
      </c>
      <c r="C57" s="27" t="str">
        <f t="shared" si="1"/>
        <v>Macon</v>
      </c>
      <c r="D57" s="27">
        <v>2886</v>
      </c>
      <c r="E57" s="27">
        <v>113</v>
      </c>
      <c r="F57" s="2">
        <v>2999</v>
      </c>
      <c r="G57" s="2">
        <v>120</v>
      </c>
      <c r="H57" s="2">
        <v>138</v>
      </c>
      <c r="I57" s="2">
        <v>120</v>
      </c>
      <c r="J57" s="2">
        <f t="shared" si="2"/>
        <v>137.32177392464155</v>
      </c>
      <c r="K57" s="2">
        <v>3674</v>
      </c>
      <c r="L57" s="2">
        <v>73245.62</v>
      </c>
      <c r="M57" s="2">
        <f t="shared" si="3"/>
        <v>88.897798101796525</v>
      </c>
      <c r="N57" s="2">
        <v>113801</v>
      </c>
      <c r="O57" s="2">
        <v>62</v>
      </c>
      <c r="P57" s="2">
        <v>189670</v>
      </c>
      <c r="Q57" s="41">
        <v>1925</v>
      </c>
      <c r="R57" s="2"/>
      <c r="S57" s="27" t="s">
        <v>426</v>
      </c>
      <c r="T57" s="27" t="s">
        <v>429</v>
      </c>
      <c r="U57" s="27" t="s">
        <v>383</v>
      </c>
      <c r="V57" s="27" t="s">
        <v>426</v>
      </c>
      <c r="W57" s="27" t="s">
        <v>383</v>
      </c>
      <c r="X57" s="27" t="s">
        <v>428</v>
      </c>
      <c r="Y57" s="27" t="s">
        <v>427</v>
      </c>
      <c r="Z57" s="27" t="s">
        <v>427</v>
      </c>
    </row>
    <row r="58" spans="1:26" x14ac:dyDescent="0.25">
      <c r="A58" s="27" t="s">
        <v>1189</v>
      </c>
      <c r="B58" s="27" t="str">
        <f t="shared" si="0"/>
        <v>North Carolina</v>
      </c>
      <c r="C58" s="27" t="str">
        <f t="shared" si="1"/>
        <v>Madison</v>
      </c>
      <c r="D58" s="27">
        <v>3983</v>
      </c>
      <c r="E58" s="27">
        <v>65</v>
      </c>
      <c r="F58" s="2">
        <v>4048</v>
      </c>
      <c r="G58" s="2">
        <v>155</v>
      </c>
      <c r="H58" s="2">
        <v>130</v>
      </c>
      <c r="I58" s="2">
        <v>130</v>
      </c>
      <c r="J58" s="2">
        <f t="shared" si="2"/>
        <v>130</v>
      </c>
      <c r="K58" s="2">
        <v>5900</v>
      </c>
      <c r="L58" s="2">
        <v>88035.41</v>
      </c>
      <c r="M58" s="2">
        <f t="shared" si="3"/>
        <v>87.380059553349867</v>
      </c>
      <c r="N58" s="2">
        <v>206609</v>
      </c>
      <c r="O58" s="2">
        <v>66</v>
      </c>
      <c r="P58" s="2">
        <v>239500</v>
      </c>
      <c r="Q58" s="41">
        <v>1925</v>
      </c>
      <c r="R58" s="2"/>
      <c r="S58" s="27" t="s">
        <v>426</v>
      </c>
      <c r="T58" s="27" t="s">
        <v>429</v>
      </c>
      <c r="U58" s="27" t="s">
        <v>383</v>
      </c>
      <c r="V58" s="27" t="s">
        <v>426</v>
      </c>
      <c r="W58" s="27" t="s">
        <v>383</v>
      </c>
      <c r="X58" s="27" t="s">
        <v>428</v>
      </c>
      <c r="Y58" s="27" t="s">
        <v>427</v>
      </c>
      <c r="Z58" s="27" t="s">
        <v>427</v>
      </c>
    </row>
    <row r="59" spans="1:26" x14ac:dyDescent="0.25">
      <c r="A59" s="27" t="s">
        <v>1190</v>
      </c>
      <c r="B59" s="27" t="str">
        <f t="shared" si="0"/>
        <v>North Carolina</v>
      </c>
      <c r="C59" s="27" t="str">
        <f t="shared" si="1"/>
        <v>Martin</v>
      </c>
      <c r="D59" s="27">
        <v>2532</v>
      </c>
      <c r="E59" s="27">
        <v>2068</v>
      </c>
      <c r="F59" s="2">
        <v>4600</v>
      </c>
      <c r="G59" s="2">
        <v>169</v>
      </c>
      <c r="H59" s="2">
        <v>133</v>
      </c>
      <c r="I59" s="2">
        <v>124</v>
      </c>
      <c r="J59" s="2">
        <f t="shared" si="2"/>
        <v>128.95391304347825</v>
      </c>
      <c r="K59" s="2">
        <v>5935</v>
      </c>
      <c r="L59" s="2">
        <v>103088.34</v>
      </c>
      <c r="M59" s="2">
        <f t="shared" si="3"/>
        <v>94.605919761291446</v>
      </c>
      <c r="N59" s="2">
        <v>276640</v>
      </c>
      <c r="O59" s="2">
        <v>58</v>
      </c>
      <c r="P59" s="2">
        <v>382890</v>
      </c>
      <c r="Q59" s="41">
        <v>1925</v>
      </c>
      <c r="R59" s="2"/>
      <c r="S59" s="27" t="s">
        <v>426</v>
      </c>
      <c r="T59" s="27" t="s">
        <v>429</v>
      </c>
      <c r="U59" s="27" t="s">
        <v>383</v>
      </c>
      <c r="V59" s="27" t="s">
        <v>426</v>
      </c>
      <c r="W59" s="27" t="s">
        <v>383</v>
      </c>
      <c r="X59" s="27" t="s">
        <v>428</v>
      </c>
      <c r="Y59" s="27" t="s">
        <v>427</v>
      </c>
      <c r="Z59" s="27" t="s">
        <v>427</v>
      </c>
    </row>
    <row r="60" spans="1:26" x14ac:dyDescent="0.25">
      <c r="A60" s="27" t="s">
        <v>1187</v>
      </c>
      <c r="B60" s="27" t="str">
        <f t="shared" si="0"/>
        <v>North Carolina</v>
      </c>
      <c r="C60" s="27" t="str">
        <f t="shared" si="1"/>
        <v>McDowell</v>
      </c>
      <c r="D60" s="27">
        <v>3316</v>
      </c>
      <c r="E60" s="27">
        <v>461</v>
      </c>
      <c r="F60" s="2">
        <v>3777</v>
      </c>
      <c r="G60" s="2">
        <v>154</v>
      </c>
      <c r="H60" s="2">
        <v>149</v>
      </c>
      <c r="I60" s="2">
        <v>120</v>
      </c>
      <c r="J60" s="2">
        <f t="shared" si="2"/>
        <v>145.46041832141913</v>
      </c>
      <c r="K60" s="2">
        <v>5146</v>
      </c>
      <c r="L60" s="2">
        <v>115954.5</v>
      </c>
      <c r="M60" s="2">
        <f t="shared" si="3"/>
        <v>103.52662358464099</v>
      </c>
      <c r="N60" s="2">
        <v>244928</v>
      </c>
      <c r="O60" s="2">
        <v>60</v>
      </c>
      <c r="P60" s="2">
        <v>764305</v>
      </c>
      <c r="Q60" s="41">
        <v>1925</v>
      </c>
      <c r="R60" s="2"/>
      <c r="S60" s="27" t="s">
        <v>426</v>
      </c>
      <c r="T60" s="27" t="s">
        <v>429</v>
      </c>
      <c r="U60" s="27" t="s">
        <v>383</v>
      </c>
      <c r="V60" s="27" t="s">
        <v>426</v>
      </c>
      <c r="W60" s="27" t="s">
        <v>383</v>
      </c>
      <c r="X60" s="27" t="s">
        <v>428</v>
      </c>
      <c r="Y60" s="27" t="s">
        <v>427</v>
      </c>
      <c r="Z60" s="27" t="s">
        <v>427</v>
      </c>
    </row>
    <row r="61" spans="1:26" x14ac:dyDescent="0.25">
      <c r="A61" s="27" t="s">
        <v>1191</v>
      </c>
      <c r="B61" s="27" t="str">
        <f t="shared" si="0"/>
        <v>North Carolina</v>
      </c>
      <c r="C61" s="27" t="str">
        <f t="shared" si="1"/>
        <v>Mecklenburg</v>
      </c>
      <c r="D61" s="27">
        <v>13092</v>
      </c>
      <c r="E61" s="27">
        <v>6040</v>
      </c>
      <c r="F61" s="2">
        <v>19132</v>
      </c>
      <c r="G61" s="2">
        <v>656</v>
      </c>
      <c r="H61" s="2">
        <v>167</v>
      </c>
      <c r="I61" s="2">
        <v>145</v>
      </c>
      <c r="J61" s="2">
        <f t="shared" si="2"/>
        <v>160.05456826259669</v>
      </c>
      <c r="K61" s="2">
        <v>24545</v>
      </c>
      <c r="L61" s="2">
        <v>712824.39</v>
      </c>
      <c r="M61" s="2">
        <f t="shared" si="3"/>
        <v>135.78150970972834</v>
      </c>
      <c r="N61" s="2">
        <v>1606646</v>
      </c>
      <c r="O61" s="2">
        <v>132</v>
      </c>
      <c r="P61" s="2">
        <v>2318340</v>
      </c>
      <c r="Q61" s="41">
        <v>1925</v>
      </c>
      <c r="R61" s="2"/>
      <c r="S61" s="27" t="s">
        <v>426</v>
      </c>
      <c r="T61" s="27" t="s">
        <v>429</v>
      </c>
      <c r="U61" s="27" t="s">
        <v>383</v>
      </c>
      <c r="V61" s="27" t="s">
        <v>426</v>
      </c>
      <c r="W61" s="27" t="s">
        <v>383</v>
      </c>
      <c r="X61" s="27" t="s">
        <v>428</v>
      </c>
      <c r="Y61" s="27" t="s">
        <v>427</v>
      </c>
      <c r="Z61" s="27" t="s">
        <v>427</v>
      </c>
    </row>
    <row r="62" spans="1:26" x14ac:dyDescent="0.25">
      <c r="A62" s="27" t="s">
        <v>1192</v>
      </c>
      <c r="B62" s="27" t="str">
        <f t="shared" si="0"/>
        <v>North Carolina</v>
      </c>
      <c r="C62" s="27" t="str">
        <f t="shared" si="1"/>
        <v>Mitchell</v>
      </c>
      <c r="D62" s="27">
        <v>2454</v>
      </c>
      <c r="E62" s="27">
        <v>12</v>
      </c>
      <c r="F62" s="2">
        <v>2466</v>
      </c>
      <c r="G62" s="2">
        <v>93</v>
      </c>
      <c r="H62" s="2">
        <v>131</v>
      </c>
      <c r="I62" s="2">
        <v>140</v>
      </c>
      <c r="J62" s="2">
        <f t="shared" si="2"/>
        <v>131.04379562043795</v>
      </c>
      <c r="K62" s="2">
        <v>3437</v>
      </c>
      <c r="L62" s="2">
        <v>57227.81</v>
      </c>
      <c r="M62" s="2">
        <f t="shared" si="3"/>
        <v>93.915594063112238</v>
      </c>
      <c r="N62" s="2">
        <v>184103</v>
      </c>
      <c r="O62" s="2">
        <v>48</v>
      </c>
      <c r="P62" s="2">
        <v>132175</v>
      </c>
      <c r="Q62" s="41">
        <v>1925</v>
      </c>
      <c r="R62" s="2"/>
      <c r="S62" s="27" t="s">
        <v>426</v>
      </c>
      <c r="T62" s="27" t="s">
        <v>429</v>
      </c>
      <c r="U62" s="27" t="s">
        <v>383</v>
      </c>
      <c r="V62" s="27" t="s">
        <v>426</v>
      </c>
      <c r="W62" s="27" t="s">
        <v>383</v>
      </c>
      <c r="X62" s="27" t="s">
        <v>428</v>
      </c>
      <c r="Y62" s="27" t="s">
        <v>427</v>
      </c>
      <c r="Z62" s="27" t="s">
        <v>427</v>
      </c>
    </row>
    <row r="63" spans="1:26" x14ac:dyDescent="0.25">
      <c r="A63" s="27" t="s">
        <v>1193</v>
      </c>
      <c r="B63" s="27" t="str">
        <f t="shared" si="0"/>
        <v>North Carolina</v>
      </c>
      <c r="C63" s="27" t="str">
        <f t="shared" si="1"/>
        <v>Montgomery</v>
      </c>
      <c r="D63" s="27">
        <v>2911</v>
      </c>
      <c r="E63" s="27">
        <v>926</v>
      </c>
      <c r="F63" s="2">
        <v>3837</v>
      </c>
      <c r="G63" s="2">
        <v>142</v>
      </c>
      <c r="H63" s="2">
        <v>133</v>
      </c>
      <c r="I63" s="2">
        <v>124</v>
      </c>
      <c r="J63" s="2">
        <f t="shared" si="2"/>
        <v>130.82799061767005</v>
      </c>
      <c r="K63" s="2">
        <v>5155</v>
      </c>
      <c r="L63" s="2">
        <v>110625.23</v>
      </c>
      <c r="M63" s="2">
        <f t="shared" si="3"/>
        <v>119.09544919475918</v>
      </c>
      <c r="N63" s="2">
        <v>249096</v>
      </c>
      <c r="O63" s="2">
        <v>38</v>
      </c>
      <c r="P63" s="2">
        <v>620000</v>
      </c>
      <c r="Q63" s="41">
        <v>1925</v>
      </c>
      <c r="R63" s="2"/>
      <c r="S63" s="27" t="s">
        <v>426</v>
      </c>
      <c r="T63" s="27" t="s">
        <v>429</v>
      </c>
      <c r="U63" s="27" t="s">
        <v>383</v>
      </c>
      <c r="V63" s="27" t="s">
        <v>426</v>
      </c>
      <c r="W63" s="27" t="s">
        <v>383</v>
      </c>
      <c r="X63" s="27" t="s">
        <v>428</v>
      </c>
      <c r="Y63" s="27" t="s">
        <v>427</v>
      </c>
      <c r="Z63" s="27" t="s">
        <v>427</v>
      </c>
    </row>
    <row r="64" spans="1:26" x14ac:dyDescent="0.25">
      <c r="A64" s="27" t="s">
        <v>1194</v>
      </c>
      <c r="B64" s="27" t="str">
        <f t="shared" si="0"/>
        <v>North Carolina</v>
      </c>
      <c r="C64" s="27" t="str">
        <f t="shared" si="1"/>
        <v>Moore</v>
      </c>
      <c r="D64" s="27">
        <v>3719</v>
      </c>
      <c r="E64" s="27">
        <v>1800</v>
      </c>
      <c r="F64" s="2">
        <v>5519</v>
      </c>
      <c r="G64" s="2">
        <v>226</v>
      </c>
      <c r="H64" s="2">
        <v>148</v>
      </c>
      <c r="I64" s="2">
        <v>149</v>
      </c>
      <c r="J64" s="2">
        <f t="shared" si="2"/>
        <v>148.32614604094945</v>
      </c>
      <c r="K64" s="2">
        <v>7367</v>
      </c>
      <c r="L64" s="2">
        <v>181778.07</v>
      </c>
      <c r="M64" s="2">
        <f t="shared" si="3"/>
        <v>108.45393948829162</v>
      </c>
      <c r="N64" s="2">
        <v>724961</v>
      </c>
      <c r="O64" s="2">
        <v>80</v>
      </c>
      <c r="P64" s="2">
        <v>749045</v>
      </c>
      <c r="Q64" s="41">
        <v>1925</v>
      </c>
      <c r="R64" s="2"/>
      <c r="S64" s="27" t="s">
        <v>430</v>
      </c>
      <c r="T64" s="27" t="s">
        <v>429</v>
      </c>
      <c r="U64" s="27" t="s">
        <v>383</v>
      </c>
      <c r="V64" s="27" t="s">
        <v>430</v>
      </c>
      <c r="W64" s="27" t="s">
        <v>383</v>
      </c>
      <c r="X64" s="27" t="s">
        <v>428</v>
      </c>
      <c r="Y64" s="27" t="s">
        <v>431</v>
      </c>
      <c r="Z64" s="27" t="s">
        <v>431</v>
      </c>
    </row>
    <row r="65" spans="1:26" x14ac:dyDescent="0.25">
      <c r="A65" s="27" t="s">
        <v>1195</v>
      </c>
      <c r="B65" s="27" t="str">
        <f t="shared" si="0"/>
        <v>North Carolina</v>
      </c>
      <c r="C65" s="27" t="str">
        <f t="shared" si="1"/>
        <v>Nash</v>
      </c>
      <c r="D65" s="27">
        <v>7137</v>
      </c>
      <c r="E65" s="27">
        <v>4447</v>
      </c>
      <c r="F65" s="2">
        <v>11584</v>
      </c>
      <c r="G65" s="2">
        <v>391</v>
      </c>
      <c r="H65" s="2">
        <v>162</v>
      </c>
      <c r="I65" s="2">
        <v>139</v>
      </c>
      <c r="J65" s="2">
        <f t="shared" si="2"/>
        <v>153.17049378453038</v>
      </c>
      <c r="K65" s="2">
        <v>16583</v>
      </c>
      <c r="L65" s="2">
        <v>324714.61</v>
      </c>
      <c r="M65" s="2">
        <f t="shared" si="3"/>
        <v>108.43761455856458</v>
      </c>
      <c r="N65" s="2">
        <v>599701</v>
      </c>
      <c r="O65" s="2">
        <v>100</v>
      </c>
      <c r="P65" s="2">
        <v>1301650</v>
      </c>
      <c r="Q65" s="41">
        <v>1925</v>
      </c>
      <c r="R65" s="2"/>
      <c r="S65" s="27" t="s">
        <v>430</v>
      </c>
      <c r="T65" s="27" t="s">
        <v>432</v>
      </c>
      <c r="U65" s="27" t="s">
        <v>383</v>
      </c>
      <c r="V65" s="27" t="s">
        <v>430</v>
      </c>
      <c r="W65" s="27" t="s">
        <v>383</v>
      </c>
      <c r="X65" s="27" t="s">
        <v>433</v>
      </c>
      <c r="Y65" s="27" t="s">
        <v>431</v>
      </c>
      <c r="Z65" s="27" t="s">
        <v>431</v>
      </c>
    </row>
    <row r="66" spans="1:26" x14ac:dyDescent="0.25">
      <c r="A66" s="27" t="s">
        <v>1196</v>
      </c>
      <c r="B66" s="27" t="str">
        <f t="shared" ref="B66:B101" si="4">LEFT(A66,FIND(";",A66)-1)</f>
        <v>North Carolina</v>
      </c>
      <c r="C66" s="27" t="str">
        <f t="shared" ref="C66:C101" si="5">MID(A66,FIND(";",A66)+1,100)</f>
        <v>New Hanover</v>
      </c>
      <c r="D66" s="27">
        <v>4537</v>
      </c>
      <c r="E66" s="27">
        <v>2889</v>
      </c>
      <c r="F66" s="2">
        <v>7426</v>
      </c>
      <c r="G66" s="2">
        <v>270</v>
      </c>
      <c r="H66" s="2">
        <v>180</v>
      </c>
      <c r="I66" s="2">
        <v>180</v>
      </c>
      <c r="J66" s="2">
        <f t="shared" si="2"/>
        <v>180</v>
      </c>
      <c r="K66" s="2">
        <v>9080</v>
      </c>
      <c r="L66" s="2">
        <v>341864.89</v>
      </c>
      <c r="M66" s="2">
        <f t="shared" si="3"/>
        <v>140.68513991769547</v>
      </c>
      <c r="N66" s="2">
        <v>781688</v>
      </c>
      <c r="O66" s="2">
        <v>38</v>
      </c>
      <c r="P66" s="2">
        <v>1162330</v>
      </c>
      <c r="Q66" s="41">
        <v>1925</v>
      </c>
      <c r="R66" s="2"/>
      <c r="S66" s="27" t="s">
        <v>430</v>
      </c>
      <c r="T66" s="27" t="s">
        <v>432</v>
      </c>
      <c r="U66" s="27" t="s">
        <v>383</v>
      </c>
      <c r="V66" s="27" t="s">
        <v>430</v>
      </c>
      <c r="W66" s="27" t="s">
        <v>383</v>
      </c>
      <c r="X66" s="27" t="s">
        <v>433</v>
      </c>
      <c r="Y66" s="27" t="s">
        <v>431</v>
      </c>
      <c r="Z66" s="27" t="s">
        <v>431</v>
      </c>
    </row>
    <row r="67" spans="1:26" x14ac:dyDescent="0.25">
      <c r="A67" s="27" t="s">
        <v>1197</v>
      </c>
      <c r="B67" s="27" t="str">
        <f t="shared" si="4"/>
        <v>North Carolina</v>
      </c>
      <c r="C67" s="27" t="str">
        <f t="shared" si="5"/>
        <v>Northampton</v>
      </c>
      <c r="D67" s="27">
        <v>2442</v>
      </c>
      <c r="E67" s="27">
        <v>3246</v>
      </c>
      <c r="F67" s="2">
        <v>5688</v>
      </c>
      <c r="G67" s="2">
        <v>206</v>
      </c>
      <c r="H67" s="2">
        <v>142</v>
      </c>
      <c r="I67" s="2">
        <v>118</v>
      </c>
      <c r="J67" s="2">
        <f t="shared" ref="J67:J101" si="6">((D67*H67)+(E67*I67))/F67</f>
        <v>128.30379746835442</v>
      </c>
      <c r="K67" s="2">
        <v>7254</v>
      </c>
      <c r="L67" s="2">
        <v>137099.34</v>
      </c>
      <c r="M67" s="2">
        <f t="shared" ref="M67:M101" si="7">L67/G67/(J67/20)</f>
        <v>103.74295848307678</v>
      </c>
      <c r="N67" s="2">
        <v>318042</v>
      </c>
      <c r="O67" s="2">
        <v>70</v>
      </c>
      <c r="P67" s="2">
        <v>459850</v>
      </c>
      <c r="Q67" s="41">
        <v>1925</v>
      </c>
      <c r="R67" s="2"/>
      <c r="S67" s="27" t="s">
        <v>430</v>
      </c>
      <c r="T67" s="27" t="s">
        <v>432</v>
      </c>
      <c r="U67" s="27" t="s">
        <v>383</v>
      </c>
      <c r="V67" s="27" t="s">
        <v>430</v>
      </c>
      <c r="W67" s="27" t="s">
        <v>383</v>
      </c>
      <c r="X67" s="27" t="s">
        <v>433</v>
      </c>
      <c r="Y67" s="27" t="s">
        <v>431</v>
      </c>
      <c r="Z67" s="27" t="s">
        <v>431</v>
      </c>
    </row>
    <row r="68" spans="1:26" x14ac:dyDescent="0.25">
      <c r="A68" s="27" t="s">
        <v>1754</v>
      </c>
      <c r="B68" s="27" t="str">
        <f t="shared" si="4"/>
        <v>North Carolina</v>
      </c>
      <c r="C68" s="27" t="str">
        <f t="shared" si="5"/>
        <v>Onslow</v>
      </c>
      <c r="D68" s="27">
        <v>2265</v>
      </c>
      <c r="E68" s="27">
        <v>1043</v>
      </c>
      <c r="F68" s="2">
        <v>3308</v>
      </c>
      <c r="G68" s="2">
        <v>149</v>
      </c>
      <c r="H68" s="2">
        <v>125</v>
      </c>
      <c r="I68" s="2">
        <v>122</v>
      </c>
      <c r="J68" s="2">
        <f t="shared" si="6"/>
        <v>124.05411124546553</v>
      </c>
      <c r="K68" s="2">
        <v>4842</v>
      </c>
      <c r="L68" s="2">
        <v>84442.61</v>
      </c>
      <c r="M68" s="2">
        <f t="shared" si="7"/>
        <v>91.368020049430157</v>
      </c>
      <c r="N68" s="2">
        <v>159715</v>
      </c>
      <c r="O68" s="2">
        <v>74</v>
      </c>
      <c r="P68" s="2">
        <v>228075</v>
      </c>
      <c r="Q68" s="41">
        <v>1925</v>
      </c>
      <c r="R68" s="2"/>
      <c r="S68" s="27" t="s">
        <v>430</v>
      </c>
      <c r="T68" s="27" t="s">
        <v>432</v>
      </c>
      <c r="U68" s="27" t="s">
        <v>383</v>
      </c>
      <c r="V68" s="27" t="s">
        <v>430</v>
      </c>
      <c r="W68" s="27" t="s">
        <v>383</v>
      </c>
      <c r="X68" s="27" t="s">
        <v>433</v>
      </c>
      <c r="Y68" s="27" t="s">
        <v>431</v>
      </c>
      <c r="Z68" s="27" t="s">
        <v>431</v>
      </c>
    </row>
    <row r="69" spans="1:26" x14ac:dyDescent="0.25">
      <c r="A69" s="27" t="s">
        <v>1198</v>
      </c>
      <c r="B69" s="27" t="str">
        <f t="shared" si="4"/>
        <v>North Carolina</v>
      </c>
      <c r="C69" s="27" t="str">
        <f t="shared" si="5"/>
        <v>Orange</v>
      </c>
      <c r="D69" s="27">
        <v>2587</v>
      </c>
      <c r="E69" s="27">
        <v>1134</v>
      </c>
      <c r="F69" s="2">
        <v>3721</v>
      </c>
      <c r="G69" s="2">
        <v>157</v>
      </c>
      <c r="H69" s="2">
        <v>138</v>
      </c>
      <c r="I69" s="2">
        <v>123</v>
      </c>
      <c r="J69" s="2">
        <f t="shared" si="6"/>
        <v>133.42864821284601</v>
      </c>
      <c r="K69" s="2">
        <v>5305</v>
      </c>
      <c r="L69" s="2">
        <v>117759.17</v>
      </c>
      <c r="M69" s="2">
        <f t="shared" si="7"/>
        <v>112.42839040785535</v>
      </c>
      <c r="N69" s="2">
        <v>337767</v>
      </c>
      <c r="O69" s="2">
        <v>67</v>
      </c>
      <c r="P69" s="2">
        <v>480000</v>
      </c>
      <c r="Q69" s="41">
        <v>1925</v>
      </c>
      <c r="R69" s="2"/>
      <c r="S69" s="27" t="s">
        <v>430</v>
      </c>
      <c r="T69" s="27" t="s">
        <v>432</v>
      </c>
      <c r="U69" s="27" t="s">
        <v>383</v>
      </c>
      <c r="V69" s="27" t="s">
        <v>430</v>
      </c>
      <c r="W69" s="27" t="s">
        <v>383</v>
      </c>
      <c r="X69" s="27" t="s">
        <v>433</v>
      </c>
      <c r="Y69" s="27" t="s">
        <v>431</v>
      </c>
      <c r="Z69" s="27" t="s">
        <v>431</v>
      </c>
    </row>
    <row r="70" spans="1:26" x14ac:dyDescent="0.25">
      <c r="A70" s="27" t="s">
        <v>1199</v>
      </c>
      <c r="B70" s="27" t="str">
        <f t="shared" si="4"/>
        <v>North Carolina</v>
      </c>
      <c r="C70" s="27" t="str">
        <f t="shared" si="5"/>
        <v>Pamlico</v>
      </c>
      <c r="D70" s="27">
        <v>1563</v>
      </c>
      <c r="E70" s="27">
        <v>764</v>
      </c>
      <c r="F70" s="2">
        <v>2327</v>
      </c>
      <c r="G70" s="2">
        <v>93</v>
      </c>
      <c r="H70" s="2">
        <v>160</v>
      </c>
      <c r="I70" s="2">
        <v>145</v>
      </c>
      <c r="J70" s="2">
        <f t="shared" si="6"/>
        <v>155.07520412548345</v>
      </c>
      <c r="K70" s="2">
        <v>2973</v>
      </c>
      <c r="L70" s="2">
        <v>74534.210000000006</v>
      </c>
      <c r="M70" s="2">
        <f t="shared" si="7"/>
        <v>103.36186533484228</v>
      </c>
      <c r="N70" s="2">
        <v>122847</v>
      </c>
      <c r="O70" s="2">
        <v>41</v>
      </c>
      <c r="P70" s="2">
        <v>352200</v>
      </c>
      <c r="Q70" s="41">
        <v>1925</v>
      </c>
      <c r="R70" s="2"/>
      <c r="S70" s="27" t="s">
        <v>430</v>
      </c>
      <c r="T70" s="27" t="s">
        <v>432</v>
      </c>
      <c r="U70" s="27" t="s">
        <v>383</v>
      </c>
      <c r="V70" s="27" t="s">
        <v>430</v>
      </c>
      <c r="W70" s="27" t="s">
        <v>383</v>
      </c>
      <c r="X70" s="27" t="s">
        <v>433</v>
      </c>
      <c r="Y70" s="27" t="s">
        <v>431</v>
      </c>
      <c r="Z70" s="27" t="s">
        <v>431</v>
      </c>
    </row>
    <row r="71" spans="1:26" x14ac:dyDescent="0.25">
      <c r="A71" s="27" t="s">
        <v>1200</v>
      </c>
      <c r="B71" s="27" t="str">
        <f t="shared" si="4"/>
        <v>North Carolina</v>
      </c>
      <c r="C71" s="27" t="str">
        <f t="shared" si="5"/>
        <v>Pasquotank</v>
      </c>
      <c r="D71" s="27">
        <v>2300</v>
      </c>
      <c r="E71" s="27">
        <v>1472</v>
      </c>
      <c r="F71" s="2">
        <v>3772</v>
      </c>
      <c r="G71" s="2">
        <v>139</v>
      </c>
      <c r="H71" s="2">
        <v>164</v>
      </c>
      <c r="I71" s="2">
        <v>152</v>
      </c>
      <c r="J71" s="2">
        <f t="shared" si="6"/>
        <v>159.3170731707317</v>
      </c>
      <c r="K71" s="2">
        <v>4980</v>
      </c>
      <c r="L71" s="2">
        <v>126190.52</v>
      </c>
      <c r="M71" s="2">
        <f t="shared" si="7"/>
        <v>113.96712851396777</v>
      </c>
      <c r="N71" s="2">
        <v>237296</v>
      </c>
      <c r="O71" s="2">
        <v>34</v>
      </c>
      <c r="P71" s="2">
        <v>675145</v>
      </c>
      <c r="Q71" s="41">
        <v>1925</v>
      </c>
      <c r="R71" s="2"/>
      <c r="S71" s="27" t="s">
        <v>430</v>
      </c>
      <c r="T71" s="27" t="s">
        <v>432</v>
      </c>
      <c r="U71" s="27" t="s">
        <v>383</v>
      </c>
      <c r="V71" s="27" t="s">
        <v>430</v>
      </c>
      <c r="W71" s="27" t="s">
        <v>383</v>
      </c>
      <c r="X71" s="27" t="s">
        <v>433</v>
      </c>
      <c r="Y71" s="27" t="s">
        <v>431</v>
      </c>
      <c r="Z71" s="27" t="s">
        <v>431</v>
      </c>
    </row>
    <row r="72" spans="1:26" x14ac:dyDescent="0.25">
      <c r="A72" s="27" t="s">
        <v>1201</v>
      </c>
      <c r="B72" s="27" t="str">
        <f t="shared" si="4"/>
        <v>North Carolina</v>
      </c>
      <c r="C72" s="27" t="str">
        <f t="shared" si="5"/>
        <v>Pender</v>
      </c>
      <c r="D72" s="27">
        <v>1711</v>
      </c>
      <c r="E72" s="27">
        <v>1711</v>
      </c>
      <c r="F72" s="2">
        <v>3422</v>
      </c>
      <c r="G72" s="2">
        <v>149</v>
      </c>
      <c r="H72" s="2">
        <v>144</v>
      </c>
      <c r="I72" s="2">
        <v>125</v>
      </c>
      <c r="J72" s="2">
        <f t="shared" si="6"/>
        <v>134.5</v>
      </c>
      <c r="K72" s="2">
        <v>4591</v>
      </c>
      <c r="L72" s="2">
        <v>92229.02</v>
      </c>
      <c r="M72" s="2">
        <f t="shared" si="7"/>
        <v>92.042633666824685</v>
      </c>
      <c r="N72" s="2">
        <v>239339</v>
      </c>
      <c r="O72" s="2">
        <v>70</v>
      </c>
      <c r="P72" s="2">
        <v>189375</v>
      </c>
      <c r="Q72" s="41">
        <v>1925</v>
      </c>
      <c r="R72" s="2"/>
      <c r="S72" s="27" t="s">
        <v>430</v>
      </c>
      <c r="T72" s="27" t="s">
        <v>432</v>
      </c>
      <c r="U72" s="27" t="s">
        <v>383</v>
      </c>
      <c r="V72" s="27" t="s">
        <v>430</v>
      </c>
      <c r="W72" s="27" t="s">
        <v>383</v>
      </c>
      <c r="X72" s="27" t="s">
        <v>433</v>
      </c>
      <c r="Y72" s="27" t="s">
        <v>434</v>
      </c>
      <c r="Z72" s="27" t="s">
        <v>434</v>
      </c>
    </row>
    <row r="73" spans="1:26" x14ac:dyDescent="0.25">
      <c r="A73" s="27" t="s">
        <v>1202</v>
      </c>
      <c r="B73" s="27" t="str">
        <f t="shared" si="4"/>
        <v>North Carolina</v>
      </c>
      <c r="C73" s="27" t="str">
        <f t="shared" si="5"/>
        <v>Perquimans</v>
      </c>
      <c r="D73" s="27">
        <v>1326</v>
      </c>
      <c r="E73" s="27">
        <v>1140</v>
      </c>
      <c r="F73" s="2">
        <v>2466</v>
      </c>
      <c r="G73" s="2">
        <v>98</v>
      </c>
      <c r="H73" s="2">
        <v>138</v>
      </c>
      <c r="I73" s="2">
        <v>137</v>
      </c>
      <c r="J73" s="2">
        <f t="shared" si="6"/>
        <v>137.53771289537713</v>
      </c>
      <c r="K73" s="2">
        <v>3592</v>
      </c>
      <c r="L73" s="2">
        <v>59293.18</v>
      </c>
      <c r="M73" s="2">
        <f t="shared" si="7"/>
        <v>87.98058892252061</v>
      </c>
      <c r="N73" s="2">
        <v>118697</v>
      </c>
      <c r="O73" s="2">
        <v>47</v>
      </c>
      <c r="P73" s="2">
        <v>228250</v>
      </c>
      <c r="Q73" s="41">
        <v>1925</v>
      </c>
      <c r="R73" s="2"/>
      <c r="S73" s="27" t="s">
        <v>430</v>
      </c>
      <c r="T73" s="27" t="s">
        <v>432</v>
      </c>
      <c r="U73" s="27" t="s">
        <v>383</v>
      </c>
      <c r="V73" s="27" t="s">
        <v>430</v>
      </c>
      <c r="W73" s="27" t="s">
        <v>383</v>
      </c>
      <c r="X73" s="27" t="s">
        <v>433</v>
      </c>
      <c r="Y73" s="27" t="s">
        <v>434</v>
      </c>
      <c r="Z73" s="27" t="s">
        <v>434</v>
      </c>
    </row>
    <row r="74" spans="1:26" x14ac:dyDescent="0.25">
      <c r="A74" s="27" t="s">
        <v>1203</v>
      </c>
      <c r="B74" s="27" t="str">
        <f t="shared" si="4"/>
        <v>North Carolina</v>
      </c>
      <c r="C74" s="27" t="str">
        <f t="shared" si="5"/>
        <v>Person</v>
      </c>
      <c r="D74" s="27">
        <v>2207</v>
      </c>
      <c r="E74" s="27">
        <v>1925</v>
      </c>
      <c r="F74" s="2">
        <v>4132</v>
      </c>
      <c r="G74" s="2">
        <v>153</v>
      </c>
      <c r="H74" s="2">
        <v>135</v>
      </c>
      <c r="I74" s="2">
        <v>124</v>
      </c>
      <c r="J74" s="2">
        <f t="shared" si="6"/>
        <v>129.87536302032913</v>
      </c>
      <c r="K74" s="2">
        <v>5767</v>
      </c>
      <c r="L74" s="2">
        <v>97663.61</v>
      </c>
      <c r="M74" s="2">
        <f t="shared" si="7"/>
        <v>98.29797330631483</v>
      </c>
      <c r="N74" s="2">
        <v>233103</v>
      </c>
      <c r="O74" s="2">
        <v>74</v>
      </c>
      <c r="P74" s="2">
        <v>293500</v>
      </c>
      <c r="Q74" s="41">
        <v>1925</v>
      </c>
      <c r="R74" s="2"/>
      <c r="S74" s="27" t="s">
        <v>430</v>
      </c>
      <c r="T74" s="27" t="s">
        <v>432</v>
      </c>
      <c r="U74" s="27" t="s">
        <v>383</v>
      </c>
      <c r="V74" s="27" t="s">
        <v>430</v>
      </c>
      <c r="W74" s="27" t="s">
        <v>383</v>
      </c>
      <c r="X74" s="27" t="s">
        <v>433</v>
      </c>
      <c r="Y74" s="27" t="s">
        <v>434</v>
      </c>
      <c r="Z74" s="27" t="s">
        <v>434</v>
      </c>
    </row>
    <row r="75" spans="1:26" x14ac:dyDescent="0.25">
      <c r="A75" s="27" t="s">
        <v>1204</v>
      </c>
      <c r="B75" s="27" t="str">
        <f t="shared" si="4"/>
        <v>North Carolina</v>
      </c>
      <c r="C75" s="27" t="str">
        <f t="shared" si="5"/>
        <v>Pitt</v>
      </c>
      <c r="D75" s="27">
        <v>5757</v>
      </c>
      <c r="E75" s="27">
        <v>4533</v>
      </c>
      <c r="F75" s="2">
        <v>10290</v>
      </c>
      <c r="G75" s="2">
        <v>350</v>
      </c>
      <c r="H75" s="2">
        <v>159</v>
      </c>
      <c r="I75" s="2">
        <v>137</v>
      </c>
      <c r="J75" s="2">
        <f t="shared" si="6"/>
        <v>149.30845481049562</v>
      </c>
      <c r="K75" s="2">
        <v>15234</v>
      </c>
      <c r="L75" s="2">
        <v>271500.56</v>
      </c>
      <c r="M75" s="2">
        <f t="shared" si="7"/>
        <v>103.9078311672082</v>
      </c>
      <c r="N75" s="2">
        <v>614200</v>
      </c>
      <c r="O75" s="2">
        <v>111</v>
      </c>
      <c r="P75" s="2">
        <v>1133755</v>
      </c>
      <c r="Q75" s="41">
        <v>1925</v>
      </c>
      <c r="R75" s="2"/>
      <c r="S75" s="27" t="s">
        <v>430</v>
      </c>
      <c r="T75" s="27" t="s">
        <v>432</v>
      </c>
      <c r="U75" s="27" t="s">
        <v>383</v>
      </c>
      <c r="V75" s="27" t="s">
        <v>430</v>
      </c>
      <c r="W75" s="27" t="s">
        <v>383</v>
      </c>
      <c r="X75" s="27" t="s">
        <v>433</v>
      </c>
      <c r="Y75" s="27" t="s">
        <v>434</v>
      </c>
      <c r="Z75" s="27" t="s">
        <v>434</v>
      </c>
    </row>
    <row r="76" spans="1:26" x14ac:dyDescent="0.25">
      <c r="A76" s="27" t="s">
        <v>1205</v>
      </c>
      <c r="B76" s="27" t="str">
        <f t="shared" si="4"/>
        <v>North Carolina</v>
      </c>
      <c r="C76" s="27" t="str">
        <f t="shared" si="5"/>
        <v>Polk</v>
      </c>
      <c r="D76" s="27">
        <v>2028</v>
      </c>
      <c r="E76" s="27">
        <v>367</v>
      </c>
      <c r="F76" s="2">
        <v>2395</v>
      </c>
      <c r="G76" s="2">
        <v>93</v>
      </c>
      <c r="H76" s="2">
        <v>141</v>
      </c>
      <c r="I76" s="2">
        <v>126</v>
      </c>
      <c r="J76" s="2">
        <f t="shared" si="6"/>
        <v>138.70146137787057</v>
      </c>
      <c r="K76" s="2">
        <v>2963</v>
      </c>
      <c r="L76" s="2">
        <v>75170.070000000007</v>
      </c>
      <c r="M76" s="2">
        <f t="shared" si="7"/>
        <v>116.54964764626541</v>
      </c>
      <c r="N76" s="2">
        <v>205451</v>
      </c>
      <c r="O76" s="2">
        <v>34</v>
      </c>
      <c r="P76" s="2">
        <v>224145</v>
      </c>
      <c r="Q76" s="41">
        <v>1925</v>
      </c>
      <c r="R76" s="2"/>
      <c r="S76" s="27" t="s">
        <v>430</v>
      </c>
      <c r="T76" s="27" t="s">
        <v>435</v>
      </c>
      <c r="U76" s="27" t="s">
        <v>383</v>
      </c>
      <c r="V76" s="27" t="s">
        <v>430</v>
      </c>
      <c r="W76" s="27" t="s">
        <v>383</v>
      </c>
      <c r="X76" s="27" t="s">
        <v>436</v>
      </c>
      <c r="Y76" s="27" t="s">
        <v>434</v>
      </c>
      <c r="Z76" s="27" t="s">
        <v>434</v>
      </c>
    </row>
    <row r="77" spans="1:26" x14ac:dyDescent="0.25">
      <c r="A77" s="27" t="s">
        <v>1206</v>
      </c>
      <c r="B77" s="27" t="str">
        <f t="shared" si="4"/>
        <v>North Carolina</v>
      </c>
      <c r="C77" s="27" t="str">
        <f t="shared" si="5"/>
        <v>Randolph</v>
      </c>
      <c r="D77" s="27">
        <v>6288</v>
      </c>
      <c r="E77" s="27">
        <v>841</v>
      </c>
      <c r="F77" s="2">
        <v>7129</v>
      </c>
      <c r="G77" s="2">
        <v>273</v>
      </c>
      <c r="H77" s="2">
        <v>142</v>
      </c>
      <c r="I77" s="2">
        <v>128</v>
      </c>
      <c r="J77" s="2">
        <f t="shared" si="6"/>
        <v>140.3484359657736</v>
      </c>
      <c r="K77" s="2">
        <v>9081</v>
      </c>
      <c r="L77" s="2">
        <v>166437.5</v>
      </c>
      <c r="M77" s="2">
        <f t="shared" si="7"/>
        <v>86.878228170615117</v>
      </c>
      <c r="N77" s="2">
        <v>568413</v>
      </c>
      <c r="O77" s="2">
        <v>112</v>
      </c>
      <c r="P77" s="2">
        <v>732000</v>
      </c>
      <c r="Q77" s="41">
        <v>1925</v>
      </c>
      <c r="R77" s="2"/>
      <c r="S77" s="27" t="s">
        <v>430</v>
      </c>
      <c r="T77" s="27" t="s">
        <v>435</v>
      </c>
      <c r="U77" s="27" t="s">
        <v>383</v>
      </c>
      <c r="V77" s="27" t="s">
        <v>430</v>
      </c>
      <c r="W77" s="27" t="s">
        <v>383</v>
      </c>
      <c r="X77" s="27" t="s">
        <v>436</v>
      </c>
      <c r="Y77" s="27" t="s">
        <v>434</v>
      </c>
      <c r="Z77" s="27" t="s">
        <v>434</v>
      </c>
    </row>
    <row r="78" spans="1:26" x14ac:dyDescent="0.25">
      <c r="A78" s="27" t="s">
        <v>1207</v>
      </c>
      <c r="B78" s="27" t="str">
        <f t="shared" si="4"/>
        <v>North Carolina</v>
      </c>
      <c r="C78" s="27" t="str">
        <f t="shared" si="5"/>
        <v>Richmond</v>
      </c>
      <c r="D78" s="27">
        <v>4086</v>
      </c>
      <c r="E78" s="27">
        <v>2607</v>
      </c>
      <c r="F78" s="2">
        <v>6693</v>
      </c>
      <c r="G78" s="2">
        <v>226</v>
      </c>
      <c r="H78" s="2">
        <v>164</v>
      </c>
      <c r="I78" s="2">
        <v>137</v>
      </c>
      <c r="J78" s="2">
        <f t="shared" si="6"/>
        <v>153.48319139399374</v>
      </c>
      <c r="K78" s="2">
        <v>9490</v>
      </c>
      <c r="L78" s="2">
        <v>194135.83</v>
      </c>
      <c r="M78" s="2">
        <f t="shared" si="7"/>
        <v>111.93513628994664</v>
      </c>
      <c r="N78" s="2">
        <v>397767</v>
      </c>
      <c r="O78" s="2">
        <v>60</v>
      </c>
      <c r="P78" s="2">
        <v>916170</v>
      </c>
      <c r="Q78" s="41">
        <v>1925</v>
      </c>
      <c r="R78" s="2"/>
      <c r="S78" s="27" t="s">
        <v>437</v>
      </c>
      <c r="T78" s="27" t="s">
        <v>435</v>
      </c>
      <c r="U78" s="27" t="s">
        <v>383</v>
      </c>
      <c r="V78" s="27" t="s">
        <v>437</v>
      </c>
      <c r="W78" s="27" t="s">
        <v>383</v>
      </c>
      <c r="X78" s="27" t="s">
        <v>436</v>
      </c>
      <c r="Y78" s="27" t="s">
        <v>434</v>
      </c>
      <c r="Z78" s="27" t="s">
        <v>434</v>
      </c>
    </row>
    <row r="79" spans="1:26" x14ac:dyDescent="0.25">
      <c r="A79" s="27" t="s">
        <v>1208</v>
      </c>
      <c r="B79" s="27" t="str">
        <f t="shared" si="4"/>
        <v>North Carolina</v>
      </c>
      <c r="C79" s="27" t="str">
        <f t="shared" si="5"/>
        <v>Robeson</v>
      </c>
      <c r="D79" s="27">
        <v>6287</v>
      </c>
      <c r="E79" s="27">
        <v>6512</v>
      </c>
      <c r="F79" s="2">
        <v>12799</v>
      </c>
      <c r="G79" s="2">
        <v>475</v>
      </c>
      <c r="H79" s="2">
        <v>158</v>
      </c>
      <c r="I79" s="2">
        <v>122</v>
      </c>
      <c r="J79" s="2">
        <f t="shared" si="6"/>
        <v>139.68356902883039</v>
      </c>
      <c r="K79" s="2">
        <v>18075</v>
      </c>
      <c r="L79" s="2">
        <v>282900.3</v>
      </c>
      <c r="M79" s="2">
        <f t="shared" si="7"/>
        <v>85.275538574539439</v>
      </c>
      <c r="N79" s="2">
        <v>602348</v>
      </c>
      <c r="O79" s="2">
        <v>147</v>
      </c>
      <c r="P79" s="2">
        <v>1789225</v>
      </c>
      <c r="Q79" s="41">
        <v>1925</v>
      </c>
      <c r="R79" s="2"/>
      <c r="S79" s="27" t="s">
        <v>437</v>
      </c>
      <c r="T79" s="27" t="s">
        <v>435</v>
      </c>
      <c r="U79" s="27" t="s">
        <v>383</v>
      </c>
      <c r="V79" s="27" t="s">
        <v>437</v>
      </c>
      <c r="W79" s="27" t="s">
        <v>383</v>
      </c>
      <c r="X79" s="27" t="s">
        <v>436</v>
      </c>
      <c r="Y79" s="27" t="s">
        <v>434</v>
      </c>
      <c r="Z79" s="27" t="s">
        <v>434</v>
      </c>
    </row>
    <row r="80" spans="1:26" x14ac:dyDescent="0.25">
      <c r="A80" s="27" t="s">
        <v>1209</v>
      </c>
      <c r="B80" s="27" t="str">
        <f t="shared" si="4"/>
        <v>North Carolina</v>
      </c>
      <c r="C80" s="27" t="str">
        <f t="shared" si="5"/>
        <v>Rockingham</v>
      </c>
      <c r="D80" s="27">
        <v>7598</v>
      </c>
      <c r="E80" s="27">
        <v>2488</v>
      </c>
      <c r="F80" s="2">
        <v>10086</v>
      </c>
      <c r="G80" s="2">
        <v>379</v>
      </c>
      <c r="H80" s="2">
        <v>139</v>
      </c>
      <c r="I80" s="2">
        <v>138</v>
      </c>
      <c r="J80" s="2">
        <f t="shared" si="6"/>
        <v>138.75332143565339</v>
      </c>
      <c r="K80" s="2">
        <v>13090</v>
      </c>
      <c r="L80" s="2">
        <v>303223</v>
      </c>
      <c r="M80" s="2">
        <f t="shared" si="7"/>
        <v>115.32130225608442</v>
      </c>
      <c r="N80" s="2">
        <v>1231492</v>
      </c>
      <c r="O80" s="2">
        <v>122</v>
      </c>
      <c r="P80" s="2">
        <v>1665150</v>
      </c>
      <c r="Q80" s="41">
        <v>1925</v>
      </c>
      <c r="R80" s="2"/>
      <c r="S80" s="27" t="s">
        <v>437</v>
      </c>
      <c r="T80" s="27" t="s">
        <v>435</v>
      </c>
      <c r="U80" s="27" t="s">
        <v>383</v>
      </c>
      <c r="V80" s="27" t="s">
        <v>437</v>
      </c>
      <c r="W80" s="27" t="s">
        <v>383</v>
      </c>
      <c r="X80" s="27" t="s">
        <v>436</v>
      </c>
      <c r="Y80" s="27" t="s">
        <v>438</v>
      </c>
      <c r="Z80" s="27" t="s">
        <v>438</v>
      </c>
    </row>
    <row r="81" spans="1:26" x14ac:dyDescent="0.25">
      <c r="A81" s="27" t="s">
        <v>1210</v>
      </c>
      <c r="B81" s="27" t="str">
        <f t="shared" si="4"/>
        <v>North Carolina</v>
      </c>
      <c r="C81" s="27" t="str">
        <f t="shared" si="5"/>
        <v>Rowan</v>
      </c>
      <c r="D81" s="27">
        <v>8864</v>
      </c>
      <c r="E81" s="27">
        <v>2327</v>
      </c>
      <c r="F81" s="2">
        <v>11191</v>
      </c>
      <c r="G81" s="2">
        <v>440</v>
      </c>
      <c r="H81" s="2">
        <v>141</v>
      </c>
      <c r="I81" s="2">
        <v>144</v>
      </c>
      <c r="J81" s="2">
        <f t="shared" si="6"/>
        <v>141.62380484317757</v>
      </c>
      <c r="K81" s="2">
        <v>13710</v>
      </c>
      <c r="L81" s="2">
        <v>370263.5</v>
      </c>
      <c r="M81" s="2">
        <f t="shared" si="7"/>
        <v>118.83707763356176</v>
      </c>
      <c r="N81" s="2">
        <v>1034020</v>
      </c>
      <c r="O81" s="2">
        <v>121</v>
      </c>
      <c r="P81" s="2">
        <v>1227160</v>
      </c>
      <c r="Q81" s="41">
        <v>1925</v>
      </c>
      <c r="R81" s="2"/>
      <c r="S81" s="27" t="s">
        <v>437</v>
      </c>
      <c r="T81" s="27" t="s">
        <v>439</v>
      </c>
      <c r="U81" s="27" t="s">
        <v>383</v>
      </c>
      <c r="V81" s="27" t="s">
        <v>437</v>
      </c>
      <c r="W81" s="27" t="s">
        <v>383</v>
      </c>
      <c r="X81" s="27" t="s">
        <v>436</v>
      </c>
      <c r="Y81" s="27" t="s">
        <v>438</v>
      </c>
      <c r="Z81" s="27" t="s">
        <v>438</v>
      </c>
    </row>
    <row r="82" spans="1:26" x14ac:dyDescent="0.25">
      <c r="A82" s="27" t="s">
        <v>1755</v>
      </c>
      <c r="B82" s="27" t="str">
        <f t="shared" si="4"/>
        <v>North Carolina</v>
      </c>
      <c r="C82" s="27" t="str">
        <f t="shared" si="5"/>
        <v>Rutherford</v>
      </c>
      <c r="D82" s="27">
        <v>7035</v>
      </c>
      <c r="E82" s="27">
        <v>917</v>
      </c>
      <c r="F82" s="2">
        <v>7952</v>
      </c>
      <c r="G82" s="2">
        <v>305</v>
      </c>
      <c r="H82" s="2">
        <v>134</v>
      </c>
      <c r="I82" s="2">
        <v>120</v>
      </c>
      <c r="J82" s="2">
        <f t="shared" si="6"/>
        <v>132.3855633802817</v>
      </c>
      <c r="K82" s="2">
        <v>11213</v>
      </c>
      <c r="L82" s="2">
        <v>204963.27</v>
      </c>
      <c r="M82" s="2">
        <f t="shared" si="7"/>
        <v>101.52326343637688</v>
      </c>
      <c r="N82" s="2">
        <v>1011684</v>
      </c>
      <c r="O82" s="2">
        <v>107</v>
      </c>
      <c r="P82" s="2">
        <v>1082100</v>
      </c>
      <c r="Q82" s="41">
        <v>1925</v>
      </c>
      <c r="R82" s="2"/>
      <c r="S82" s="27" t="s">
        <v>437</v>
      </c>
      <c r="T82" s="27" t="s">
        <v>439</v>
      </c>
      <c r="U82" s="27" t="s">
        <v>383</v>
      </c>
      <c r="V82" s="27" t="s">
        <v>437</v>
      </c>
      <c r="W82" s="27" t="s">
        <v>383</v>
      </c>
      <c r="X82" s="27" t="s">
        <v>440</v>
      </c>
      <c r="Y82" s="27" t="s">
        <v>438</v>
      </c>
      <c r="Z82" s="27" t="s">
        <v>438</v>
      </c>
    </row>
    <row r="83" spans="1:26" x14ac:dyDescent="0.25">
      <c r="A83" s="27" t="s">
        <v>1211</v>
      </c>
      <c r="B83" s="27" t="str">
        <f t="shared" si="4"/>
        <v>North Carolina</v>
      </c>
      <c r="C83" s="27" t="str">
        <f t="shared" si="5"/>
        <v>Sampson</v>
      </c>
      <c r="D83" s="27">
        <v>5444</v>
      </c>
      <c r="E83" s="27">
        <v>3223</v>
      </c>
      <c r="F83" s="2">
        <v>8667</v>
      </c>
      <c r="G83" s="2">
        <v>312</v>
      </c>
      <c r="H83" s="2">
        <v>132</v>
      </c>
      <c r="I83" s="2">
        <v>126</v>
      </c>
      <c r="J83" s="2">
        <f t="shared" si="6"/>
        <v>129.76877812391831</v>
      </c>
      <c r="K83" s="2">
        <v>11971</v>
      </c>
      <c r="L83" s="2">
        <v>189675.72</v>
      </c>
      <c r="M83" s="2">
        <f t="shared" si="7"/>
        <v>93.695110455532401</v>
      </c>
      <c r="N83" s="2">
        <v>343992</v>
      </c>
      <c r="O83" s="2">
        <v>118</v>
      </c>
      <c r="P83" s="2">
        <v>402300</v>
      </c>
      <c r="Q83" s="41">
        <v>1925</v>
      </c>
      <c r="R83" s="2"/>
      <c r="S83" s="27" t="s">
        <v>437</v>
      </c>
      <c r="T83" s="27" t="s">
        <v>439</v>
      </c>
      <c r="U83" s="27" t="s">
        <v>383</v>
      </c>
      <c r="V83" s="27" t="s">
        <v>437</v>
      </c>
      <c r="W83" s="27" t="s">
        <v>383</v>
      </c>
      <c r="X83" s="27" t="s">
        <v>440</v>
      </c>
      <c r="Y83" s="27" t="s">
        <v>438</v>
      </c>
      <c r="Z83" s="27" t="s">
        <v>438</v>
      </c>
    </row>
    <row r="84" spans="1:26" x14ac:dyDescent="0.25">
      <c r="A84" s="27" t="s">
        <v>1212</v>
      </c>
      <c r="B84" s="27" t="str">
        <f t="shared" si="4"/>
        <v>North Carolina</v>
      </c>
      <c r="C84" s="27" t="str">
        <f t="shared" si="5"/>
        <v>Scotland</v>
      </c>
      <c r="D84" s="27">
        <v>1679</v>
      </c>
      <c r="E84" s="27">
        <v>2203</v>
      </c>
      <c r="F84" s="2">
        <v>3882</v>
      </c>
      <c r="G84" s="2">
        <v>127</v>
      </c>
      <c r="H84" s="2">
        <v>171</v>
      </c>
      <c r="I84" s="2">
        <v>129</v>
      </c>
      <c r="J84" s="2">
        <f t="shared" si="6"/>
        <v>147.16537867078824</v>
      </c>
      <c r="K84" s="2">
        <v>5440</v>
      </c>
      <c r="L84" s="2">
        <v>98988.59</v>
      </c>
      <c r="M84" s="2">
        <f t="shared" si="7"/>
        <v>105.92677755806278</v>
      </c>
      <c r="N84" s="2">
        <v>273144</v>
      </c>
      <c r="O84" s="2">
        <v>43</v>
      </c>
      <c r="P84" s="2">
        <v>552625</v>
      </c>
      <c r="Q84" s="41">
        <v>1925</v>
      </c>
      <c r="R84" s="2"/>
      <c r="S84" s="27" t="s">
        <v>437</v>
      </c>
      <c r="T84" s="27" t="s">
        <v>439</v>
      </c>
      <c r="U84" s="27" t="s">
        <v>383</v>
      </c>
      <c r="V84" s="27" t="s">
        <v>437</v>
      </c>
      <c r="W84" s="27" t="s">
        <v>383</v>
      </c>
      <c r="X84" s="27" t="s">
        <v>440</v>
      </c>
      <c r="Y84" s="27" t="s">
        <v>438</v>
      </c>
      <c r="Z84" s="27" t="s">
        <v>438</v>
      </c>
    </row>
    <row r="85" spans="1:26" x14ac:dyDescent="0.25">
      <c r="A85" s="27" t="s">
        <v>1213</v>
      </c>
      <c r="B85" s="27" t="str">
        <f t="shared" si="4"/>
        <v>North Carolina</v>
      </c>
      <c r="C85" s="27" t="str">
        <f t="shared" si="5"/>
        <v>Stanly</v>
      </c>
      <c r="D85" s="27">
        <v>6779</v>
      </c>
      <c r="E85" s="27">
        <v>811</v>
      </c>
      <c r="F85" s="2">
        <v>7590</v>
      </c>
      <c r="G85" s="2">
        <v>215</v>
      </c>
      <c r="H85" s="2">
        <v>137</v>
      </c>
      <c r="I85" s="2">
        <v>128</v>
      </c>
      <c r="J85" s="2">
        <f t="shared" si="6"/>
        <v>136.03833992094863</v>
      </c>
      <c r="K85" s="2">
        <v>8880</v>
      </c>
      <c r="L85" s="2">
        <v>158341.16</v>
      </c>
      <c r="M85" s="2">
        <f t="shared" si="7"/>
        <v>108.27396336295594</v>
      </c>
      <c r="N85" s="2">
        <v>436439</v>
      </c>
      <c r="O85" s="2">
        <v>43</v>
      </c>
      <c r="P85" s="2">
        <v>540000</v>
      </c>
      <c r="Q85" s="41">
        <v>1925</v>
      </c>
      <c r="R85" s="2"/>
      <c r="S85" s="27" t="s">
        <v>437</v>
      </c>
      <c r="T85" s="27" t="s">
        <v>439</v>
      </c>
      <c r="U85" s="27" t="s">
        <v>383</v>
      </c>
      <c r="V85" s="27" t="s">
        <v>437</v>
      </c>
      <c r="W85" s="27" t="s">
        <v>383</v>
      </c>
      <c r="X85" s="27" t="s">
        <v>440</v>
      </c>
      <c r="Y85" s="27" t="s">
        <v>438</v>
      </c>
      <c r="Z85" s="27" t="s">
        <v>438</v>
      </c>
    </row>
    <row r="86" spans="1:26" x14ac:dyDescent="0.25">
      <c r="A86" s="27" t="s">
        <v>1214</v>
      </c>
      <c r="B86" s="27" t="str">
        <f t="shared" si="4"/>
        <v>North Carolina</v>
      </c>
      <c r="C86" s="27" t="str">
        <f t="shared" si="5"/>
        <v>Stokes</v>
      </c>
      <c r="D86" s="27">
        <v>4112</v>
      </c>
      <c r="E86" s="27">
        <v>454</v>
      </c>
      <c r="F86" s="2">
        <v>4566</v>
      </c>
      <c r="G86" s="2">
        <v>174</v>
      </c>
      <c r="H86" s="2">
        <v>123</v>
      </c>
      <c r="I86" s="2">
        <v>123</v>
      </c>
      <c r="J86" s="2">
        <f t="shared" si="6"/>
        <v>123</v>
      </c>
      <c r="K86" s="2">
        <v>6355</v>
      </c>
      <c r="L86" s="2">
        <v>10777.32</v>
      </c>
      <c r="M86" s="2">
        <f t="shared" si="7"/>
        <v>10.071320437342305</v>
      </c>
      <c r="N86" s="2">
        <v>179022</v>
      </c>
      <c r="O86" s="2">
        <v>70</v>
      </c>
      <c r="P86" s="2">
        <v>282195</v>
      </c>
      <c r="Q86" s="41">
        <v>1925</v>
      </c>
      <c r="R86" s="2"/>
      <c r="S86" s="27" t="s">
        <v>437</v>
      </c>
      <c r="T86" s="27" t="s">
        <v>439</v>
      </c>
      <c r="U86" s="27" t="s">
        <v>383</v>
      </c>
      <c r="V86" s="27" t="s">
        <v>437</v>
      </c>
      <c r="W86" s="27" t="s">
        <v>383</v>
      </c>
      <c r="X86" s="27" t="s">
        <v>440</v>
      </c>
      <c r="Y86" s="27" t="s">
        <v>438</v>
      </c>
      <c r="Z86" s="27" t="s">
        <v>438</v>
      </c>
    </row>
    <row r="87" spans="1:26" x14ac:dyDescent="0.25">
      <c r="A87" s="27" t="s">
        <v>1215</v>
      </c>
      <c r="B87" s="27" t="str">
        <f t="shared" si="4"/>
        <v>North Carolina</v>
      </c>
      <c r="C87" s="27" t="str">
        <f t="shared" si="5"/>
        <v>Surry</v>
      </c>
      <c r="D87" s="27">
        <v>6811</v>
      </c>
      <c r="E87" s="27">
        <v>587</v>
      </c>
      <c r="F87" s="2">
        <v>7398</v>
      </c>
      <c r="G87" s="2">
        <v>278</v>
      </c>
      <c r="H87" s="2">
        <v>137</v>
      </c>
      <c r="I87" s="2">
        <v>127</v>
      </c>
      <c r="J87" s="2">
        <f t="shared" si="6"/>
        <v>136.20654230873208</v>
      </c>
      <c r="K87" s="2">
        <v>10557</v>
      </c>
      <c r="L87" s="2">
        <v>194429.69</v>
      </c>
      <c r="M87" s="2">
        <f t="shared" si="7"/>
        <v>102.69512201777437</v>
      </c>
      <c r="N87" s="2">
        <v>428227</v>
      </c>
      <c r="O87" s="2">
        <v>103</v>
      </c>
      <c r="P87" s="2">
        <v>601200</v>
      </c>
      <c r="Q87" s="41">
        <v>1925</v>
      </c>
      <c r="R87" s="2"/>
      <c r="S87" s="27" t="s">
        <v>437</v>
      </c>
      <c r="T87" s="27" t="s">
        <v>439</v>
      </c>
      <c r="U87" s="27" t="s">
        <v>383</v>
      </c>
      <c r="V87" s="27" t="s">
        <v>437</v>
      </c>
      <c r="W87" s="27" t="s">
        <v>383</v>
      </c>
      <c r="X87" s="27" t="s">
        <v>440</v>
      </c>
      <c r="Y87" s="27" t="s">
        <v>441</v>
      </c>
      <c r="Z87" s="27" t="s">
        <v>441</v>
      </c>
    </row>
    <row r="88" spans="1:26" x14ac:dyDescent="0.25">
      <c r="A88" s="27" t="s">
        <v>1216</v>
      </c>
      <c r="B88" s="27" t="str">
        <f t="shared" si="4"/>
        <v>North Carolina</v>
      </c>
      <c r="C88" s="27" t="str">
        <f t="shared" si="5"/>
        <v>Swain</v>
      </c>
      <c r="D88" s="27">
        <v>2763</v>
      </c>
      <c r="E88" s="27">
        <v>34</v>
      </c>
      <c r="F88" s="2">
        <v>2797</v>
      </c>
      <c r="G88" s="2">
        <v>107</v>
      </c>
      <c r="H88" s="2">
        <v>135</v>
      </c>
      <c r="I88" s="2">
        <v>130</v>
      </c>
      <c r="J88" s="2">
        <f t="shared" si="6"/>
        <v>134.93922059349302</v>
      </c>
      <c r="K88" s="2">
        <v>3782</v>
      </c>
      <c r="L88" s="2">
        <v>76953.06</v>
      </c>
      <c r="M88" s="2">
        <f t="shared" si="7"/>
        <v>106.59428348146163</v>
      </c>
      <c r="N88" s="2">
        <v>178279</v>
      </c>
      <c r="O88" s="2">
        <v>57</v>
      </c>
      <c r="P88" s="2">
        <v>226900</v>
      </c>
      <c r="Q88" s="41">
        <v>1925</v>
      </c>
      <c r="R88" s="2"/>
      <c r="S88" s="27" t="s">
        <v>437</v>
      </c>
      <c r="T88" s="27" t="s">
        <v>439</v>
      </c>
      <c r="U88" s="27" t="s">
        <v>383</v>
      </c>
      <c r="V88" s="27" t="s">
        <v>437</v>
      </c>
      <c r="W88" s="27" t="s">
        <v>383</v>
      </c>
      <c r="X88" s="27" t="s">
        <v>440</v>
      </c>
      <c r="Y88" s="27" t="s">
        <v>441</v>
      </c>
      <c r="Z88" s="27" t="s">
        <v>441</v>
      </c>
    </row>
    <row r="89" spans="1:26" x14ac:dyDescent="0.25">
      <c r="A89" s="27" t="s">
        <v>1217</v>
      </c>
      <c r="B89" s="27" t="str">
        <f t="shared" si="4"/>
        <v>North Carolina</v>
      </c>
      <c r="C89" s="27" t="str">
        <f t="shared" si="5"/>
        <v>Transylvania</v>
      </c>
      <c r="D89" s="27">
        <v>2004</v>
      </c>
      <c r="E89" s="27">
        <v>152</v>
      </c>
      <c r="F89" s="2">
        <v>2156</v>
      </c>
      <c r="G89" s="2">
        <v>95</v>
      </c>
      <c r="H89" s="2">
        <v>146</v>
      </c>
      <c r="I89" s="2">
        <v>120</v>
      </c>
      <c r="J89" s="2">
        <f t="shared" si="6"/>
        <v>144.16697588126161</v>
      </c>
      <c r="K89" s="2">
        <v>2747</v>
      </c>
      <c r="L89" s="2">
        <v>72741.600000000006</v>
      </c>
      <c r="M89" s="2">
        <f t="shared" si="7"/>
        <v>106.22419565243896</v>
      </c>
      <c r="N89" s="2">
        <v>218024</v>
      </c>
      <c r="O89" s="2">
        <v>37</v>
      </c>
      <c r="P89" s="2">
        <v>337435</v>
      </c>
      <c r="Q89" s="41">
        <v>1925</v>
      </c>
      <c r="R89" s="2"/>
      <c r="S89" s="27" t="s">
        <v>437</v>
      </c>
      <c r="T89" s="27" t="s">
        <v>439</v>
      </c>
      <c r="U89" s="27" t="s">
        <v>383</v>
      </c>
      <c r="V89" s="27" t="s">
        <v>437</v>
      </c>
      <c r="W89" s="27" t="s">
        <v>383</v>
      </c>
      <c r="X89" s="27" t="s">
        <v>440</v>
      </c>
      <c r="Y89" s="27" t="s">
        <v>441</v>
      </c>
      <c r="Z89" s="27" t="s">
        <v>441</v>
      </c>
    </row>
    <row r="90" spans="1:26" x14ac:dyDescent="0.25">
      <c r="A90" s="27" t="s">
        <v>1218</v>
      </c>
      <c r="B90" s="27" t="str">
        <f t="shared" si="4"/>
        <v>North Carolina</v>
      </c>
      <c r="C90" s="27" t="str">
        <f t="shared" si="5"/>
        <v>Tyrrell</v>
      </c>
      <c r="D90" s="27">
        <v>757</v>
      </c>
      <c r="E90" s="27">
        <v>341</v>
      </c>
      <c r="F90" s="2">
        <v>1098</v>
      </c>
      <c r="G90" s="2">
        <v>44</v>
      </c>
      <c r="H90" s="2">
        <v>125</v>
      </c>
      <c r="I90" s="2">
        <v>120</v>
      </c>
      <c r="J90" s="2">
        <f t="shared" si="6"/>
        <v>123.4471766848816</v>
      </c>
      <c r="K90" s="2">
        <v>1524</v>
      </c>
      <c r="L90" s="2">
        <v>26368.75</v>
      </c>
      <c r="M90" s="2">
        <f t="shared" si="7"/>
        <v>97.09250366366085</v>
      </c>
      <c r="N90" s="2">
        <v>41139</v>
      </c>
      <c r="O90" s="2">
        <v>19</v>
      </c>
      <c r="P90" s="2">
        <v>103845</v>
      </c>
      <c r="Q90" s="41">
        <v>1925</v>
      </c>
      <c r="R90" s="2"/>
      <c r="S90" s="27" t="s">
        <v>437</v>
      </c>
      <c r="T90" s="27" t="s">
        <v>439</v>
      </c>
      <c r="U90" s="27" t="s">
        <v>383</v>
      </c>
      <c r="V90" s="27" t="s">
        <v>437</v>
      </c>
      <c r="W90" s="27" t="s">
        <v>383</v>
      </c>
      <c r="X90" s="27" t="s">
        <v>440</v>
      </c>
      <c r="Y90" s="27" t="s">
        <v>441</v>
      </c>
      <c r="Z90" s="27" t="s">
        <v>441</v>
      </c>
    </row>
    <row r="91" spans="1:26" x14ac:dyDescent="0.25">
      <c r="A91" s="27" t="s">
        <v>1219</v>
      </c>
      <c r="B91" s="27" t="str">
        <f t="shared" si="4"/>
        <v>North Carolina</v>
      </c>
      <c r="C91" s="27" t="str">
        <f t="shared" si="5"/>
        <v>Union</v>
      </c>
      <c r="D91" s="27">
        <v>7084</v>
      </c>
      <c r="E91" s="27">
        <v>1947</v>
      </c>
      <c r="F91" s="2">
        <v>9031</v>
      </c>
      <c r="G91" s="2">
        <v>340</v>
      </c>
      <c r="H91" s="2">
        <v>145</v>
      </c>
      <c r="I91" s="2">
        <v>128</v>
      </c>
      <c r="J91" s="2">
        <f t="shared" si="6"/>
        <v>141.33495736906212</v>
      </c>
      <c r="K91" s="2">
        <v>13311</v>
      </c>
      <c r="L91" s="2">
        <v>227522.13</v>
      </c>
      <c r="M91" s="2">
        <f t="shared" si="7"/>
        <v>94.694581970504075</v>
      </c>
      <c r="N91" s="2">
        <v>337912</v>
      </c>
      <c r="O91" s="2">
        <v>132</v>
      </c>
      <c r="P91" s="2">
        <v>707495</v>
      </c>
      <c r="Q91" s="41">
        <v>1925</v>
      </c>
      <c r="R91" s="2"/>
      <c r="S91" s="27" t="s">
        <v>437</v>
      </c>
      <c r="T91" s="27" t="s">
        <v>442</v>
      </c>
      <c r="U91" s="27" t="s">
        <v>383</v>
      </c>
      <c r="V91" s="27" t="s">
        <v>437</v>
      </c>
      <c r="W91" s="27" t="s">
        <v>383</v>
      </c>
      <c r="X91" s="27" t="s">
        <v>440</v>
      </c>
      <c r="Y91" s="27" t="s">
        <v>441</v>
      </c>
      <c r="Z91" s="27" t="s">
        <v>441</v>
      </c>
    </row>
    <row r="92" spans="1:26" x14ac:dyDescent="0.25">
      <c r="A92" s="27" t="s">
        <v>1220</v>
      </c>
      <c r="B92" s="27" t="str">
        <f t="shared" si="4"/>
        <v>North Carolina</v>
      </c>
      <c r="C92" s="27" t="str">
        <f t="shared" si="5"/>
        <v>Vance</v>
      </c>
      <c r="D92" s="27">
        <v>2659</v>
      </c>
      <c r="E92" s="27">
        <v>1623</v>
      </c>
      <c r="F92" s="2">
        <v>4282</v>
      </c>
      <c r="G92" s="2">
        <v>173</v>
      </c>
      <c r="H92" s="2">
        <v>170</v>
      </c>
      <c r="I92" s="2">
        <v>126</v>
      </c>
      <c r="J92" s="2">
        <f t="shared" si="6"/>
        <v>153.32274638019618</v>
      </c>
      <c r="K92" s="2">
        <v>6448</v>
      </c>
      <c r="L92" s="2">
        <v>153703.79999999999</v>
      </c>
      <c r="M92" s="2">
        <f t="shared" si="7"/>
        <v>115.89425478632803</v>
      </c>
      <c r="N92" s="2">
        <v>373215</v>
      </c>
      <c r="O92" s="2">
        <v>50</v>
      </c>
      <c r="P92" s="2">
        <v>495400</v>
      </c>
      <c r="Q92" s="41">
        <v>1925</v>
      </c>
      <c r="R92" s="2"/>
      <c r="S92" s="27" t="s">
        <v>443</v>
      </c>
      <c r="T92" s="27" t="s">
        <v>442</v>
      </c>
      <c r="U92" s="27" t="s">
        <v>383</v>
      </c>
      <c r="V92" s="27" t="s">
        <v>443</v>
      </c>
      <c r="W92" s="27" t="s">
        <v>383</v>
      </c>
      <c r="X92" s="27" t="s">
        <v>444</v>
      </c>
      <c r="Y92" s="27" t="s">
        <v>441</v>
      </c>
      <c r="Z92" s="27" t="s">
        <v>441</v>
      </c>
    </row>
    <row r="93" spans="1:26" x14ac:dyDescent="0.25">
      <c r="A93" s="27" t="s">
        <v>1221</v>
      </c>
      <c r="B93" s="27" t="str">
        <f t="shared" si="4"/>
        <v>North Carolina</v>
      </c>
      <c r="C93" s="27" t="str">
        <f t="shared" si="5"/>
        <v>Wake</v>
      </c>
      <c r="D93" s="27">
        <v>11166</v>
      </c>
      <c r="E93" s="27">
        <v>6352</v>
      </c>
      <c r="F93" s="2">
        <v>17518</v>
      </c>
      <c r="G93" s="2">
        <v>621</v>
      </c>
      <c r="H93" s="2">
        <v>158</v>
      </c>
      <c r="I93" s="2">
        <v>142</v>
      </c>
      <c r="J93" s="2">
        <f t="shared" si="6"/>
        <v>152.19842447768011</v>
      </c>
      <c r="K93" s="2">
        <v>22646</v>
      </c>
      <c r="L93" s="2">
        <v>563628.68000000005</v>
      </c>
      <c r="M93" s="2">
        <f t="shared" si="7"/>
        <v>119.26728212764141</v>
      </c>
      <c r="N93" s="2">
        <v>1540810</v>
      </c>
      <c r="O93" s="2">
        <v>153</v>
      </c>
      <c r="P93" s="2">
        <v>2244255</v>
      </c>
      <c r="Q93" s="41">
        <v>1925</v>
      </c>
      <c r="R93" s="2"/>
      <c r="S93" s="27" t="s">
        <v>443</v>
      </c>
      <c r="T93" s="27" t="s">
        <v>442</v>
      </c>
      <c r="U93" s="27" t="s">
        <v>383</v>
      </c>
      <c r="V93" s="27" t="s">
        <v>443</v>
      </c>
      <c r="W93" s="27" t="s">
        <v>383</v>
      </c>
      <c r="X93" s="27" t="s">
        <v>444</v>
      </c>
      <c r="Y93" s="27" t="s">
        <v>441</v>
      </c>
      <c r="Z93" s="27" t="s">
        <v>441</v>
      </c>
    </row>
    <row r="94" spans="1:26" x14ac:dyDescent="0.25">
      <c r="A94" s="27" t="s">
        <v>1222</v>
      </c>
      <c r="B94" s="27" t="str">
        <f t="shared" si="4"/>
        <v>North Carolina</v>
      </c>
      <c r="C94" s="27" t="str">
        <f t="shared" si="5"/>
        <v>Warren</v>
      </c>
      <c r="D94" s="27">
        <v>1800</v>
      </c>
      <c r="E94" s="27">
        <v>2839</v>
      </c>
      <c r="F94" s="2">
        <v>4639</v>
      </c>
      <c r="G94" s="2">
        <v>171</v>
      </c>
      <c r="H94" s="2">
        <v>152</v>
      </c>
      <c r="I94" s="2">
        <v>123</v>
      </c>
      <c r="J94" s="2">
        <f t="shared" si="6"/>
        <v>134.25242509161458</v>
      </c>
      <c r="K94" s="2">
        <v>7327</v>
      </c>
      <c r="L94" s="2">
        <v>118670.52</v>
      </c>
      <c r="M94" s="2">
        <f t="shared" si="7"/>
        <v>103.38429993338765</v>
      </c>
      <c r="N94" s="2">
        <v>280676</v>
      </c>
      <c r="O94" s="2">
        <v>76</v>
      </c>
      <c r="P94" s="2">
        <v>412050</v>
      </c>
      <c r="Q94" s="41">
        <v>1925</v>
      </c>
      <c r="R94" s="2"/>
      <c r="S94" s="27" t="s">
        <v>443</v>
      </c>
      <c r="T94" s="27" t="s">
        <v>442</v>
      </c>
      <c r="U94" s="27" t="s">
        <v>383</v>
      </c>
      <c r="V94" s="27" t="s">
        <v>443</v>
      </c>
      <c r="W94" s="27" t="s">
        <v>383</v>
      </c>
      <c r="X94" s="27" t="s">
        <v>444</v>
      </c>
      <c r="Y94" s="27" t="s">
        <v>441</v>
      </c>
      <c r="Z94" s="27" t="s">
        <v>441</v>
      </c>
    </row>
    <row r="95" spans="1:26" x14ac:dyDescent="0.25">
      <c r="A95" s="27" t="s">
        <v>1223</v>
      </c>
      <c r="B95" s="27" t="str">
        <f t="shared" si="4"/>
        <v>North Carolina</v>
      </c>
      <c r="C95" s="27" t="str">
        <f t="shared" si="5"/>
        <v>Washington</v>
      </c>
      <c r="D95" s="27">
        <v>1341</v>
      </c>
      <c r="E95" s="27">
        <v>1136</v>
      </c>
      <c r="F95" s="2">
        <v>2477</v>
      </c>
      <c r="G95" s="2">
        <v>99</v>
      </c>
      <c r="H95" s="2">
        <v>152</v>
      </c>
      <c r="I95" s="2">
        <v>129</v>
      </c>
      <c r="J95" s="2">
        <f t="shared" si="6"/>
        <v>141.4517561566411</v>
      </c>
      <c r="K95" s="2">
        <v>3531</v>
      </c>
      <c r="L95" s="2">
        <v>69386.33</v>
      </c>
      <c r="M95" s="2">
        <f t="shared" si="7"/>
        <v>99.096969771925245</v>
      </c>
      <c r="N95" s="2">
        <v>204710</v>
      </c>
      <c r="O95" s="2">
        <v>27</v>
      </c>
      <c r="P95" s="2">
        <v>483000</v>
      </c>
      <c r="Q95" s="41">
        <v>1925</v>
      </c>
      <c r="R95" s="2"/>
      <c r="S95" s="27" t="s">
        <v>443</v>
      </c>
      <c r="T95" s="27" t="s">
        <v>442</v>
      </c>
      <c r="U95" s="27" t="s">
        <v>383</v>
      </c>
      <c r="V95" s="27" t="s">
        <v>443</v>
      </c>
      <c r="W95" s="27" t="s">
        <v>383</v>
      </c>
      <c r="X95" s="27" t="s">
        <v>444</v>
      </c>
      <c r="Y95" s="27" t="s">
        <v>441</v>
      </c>
      <c r="Z95" s="27" t="s">
        <v>441</v>
      </c>
    </row>
    <row r="96" spans="1:26" x14ac:dyDescent="0.25">
      <c r="A96" s="27" t="s">
        <v>1756</v>
      </c>
      <c r="B96" s="27" t="str">
        <f t="shared" si="4"/>
        <v>North Carolina</v>
      </c>
      <c r="C96" s="27" t="str">
        <f t="shared" si="5"/>
        <v>Watauga</v>
      </c>
      <c r="D96" s="27">
        <v>3238</v>
      </c>
      <c r="E96" s="27">
        <v>50</v>
      </c>
      <c r="F96" s="2">
        <v>3288</v>
      </c>
      <c r="G96" s="2">
        <v>129</v>
      </c>
      <c r="H96" s="2">
        <v>124</v>
      </c>
      <c r="I96" s="2">
        <v>120</v>
      </c>
      <c r="J96" s="2">
        <f t="shared" si="6"/>
        <v>123.93917274939173</v>
      </c>
      <c r="K96" s="2">
        <v>4264</v>
      </c>
      <c r="L96" s="2">
        <v>63845</v>
      </c>
      <c r="M96" s="2">
        <f t="shared" si="7"/>
        <v>79.865383904232004</v>
      </c>
      <c r="N96" s="2">
        <v>82047</v>
      </c>
      <c r="O96" s="2">
        <v>63</v>
      </c>
      <c r="P96" s="2">
        <v>289500</v>
      </c>
      <c r="Q96" s="41">
        <v>1925</v>
      </c>
      <c r="R96" s="2"/>
      <c r="S96" s="27" t="s">
        <v>443</v>
      </c>
      <c r="T96" s="27" t="s">
        <v>442</v>
      </c>
      <c r="U96" s="27" t="s">
        <v>383</v>
      </c>
      <c r="V96" s="27" t="s">
        <v>443</v>
      </c>
      <c r="W96" s="27" t="s">
        <v>383</v>
      </c>
      <c r="X96" s="27" t="s">
        <v>444</v>
      </c>
      <c r="Y96" s="27" t="s">
        <v>441</v>
      </c>
      <c r="Z96" s="27" t="s">
        <v>441</v>
      </c>
    </row>
    <row r="97" spans="1:26" x14ac:dyDescent="0.25">
      <c r="A97" s="27" t="s">
        <v>1224</v>
      </c>
      <c r="B97" s="27" t="str">
        <f t="shared" si="4"/>
        <v>North Carolina</v>
      </c>
      <c r="C97" s="27" t="str">
        <f t="shared" si="5"/>
        <v>Wayne</v>
      </c>
      <c r="D97" s="27">
        <v>5882</v>
      </c>
      <c r="E97" s="27">
        <v>3776</v>
      </c>
      <c r="F97" s="2">
        <v>9658</v>
      </c>
      <c r="G97" s="2">
        <v>360</v>
      </c>
      <c r="H97" s="2">
        <v>152</v>
      </c>
      <c r="I97" s="2">
        <v>142</v>
      </c>
      <c r="J97" s="2">
        <f t="shared" si="6"/>
        <v>148.09028784427417</v>
      </c>
      <c r="K97" s="2">
        <v>13476</v>
      </c>
      <c r="L97" s="2">
        <v>299497.38</v>
      </c>
      <c r="M97" s="2">
        <f t="shared" si="7"/>
        <v>112.35539869319433</v>
      </c>
      <c r="N97" s="2">
        <v>982774</v>
      </c>
      <c r="O97" s="2">
        <v>98</v>
      </c>
      <c r="P97" s="2">
        <v>1182000</v>
      </c>
      <c r="Q97" s="41">
        <v>1925</v>
      </c>
      <c r="R97" s="2"/>
      <c r="S97" s="27" t="s">
        <v>443</v>
      </c>
      <c r="T97" s="27" t="s">
        <v>442</v>
      </c>
      <c r="U97" s="27" t="s">
        <v>383</v>
      </c>
      <c r="V97" s="27" t="s">
        <v>443</v>
      </c>
      <c r="W97" s="27" t="s">
        <v>383</v>
      </c>
      <c r="X97" s="27" t="s">
        <v>444</v>
      </c>
      <c r="Y97" s="27" t="s">
        <v>445</v>
      </c>
      <c r="Z97" s="27" t="s">
        <v>445</v>
      </c>
    </row>
    <row r="98" spans="1:26" x14ac:dyDescent="0.25">
      <c r="A98" s="27" t="s">
        <v>1225</v>
      </c>
      <c r="B98" s="27" t="str">
        <f t="shared" si="4"/>
        <v>North Carolina</v>
      </c>
      <c r="C98" s="27" t="str">
        <f t="shared" si="5"/>
        <v>Wilkes</v>
      </c>
      <c r="D98" s="27">
        <v>6978</v>
      </c>
      <c r="E98" s="27">
        <v>572</v>
      </c>
      <c r="F98" s="2">
        <v>9550</v>
      </c>
      <c r="G98" s="2">
        <v>291</v>
      </c>
      <c r="H98" s="2">
        <v>127</v>
      </c>
      <c r="I98" s="2">
        <v>126</v>
      </c>
      <c r="J98" s="2">
        <f t="shared" si="6"/>
        <v>100.34324607329843</v>
      </c>
      <c r="K98" s="2">
        <v>10280</v>
      </c>
      <c r="L98" s="2">
        <v>177463.4</v>
      </c>
      <c r="M98" s="2">
        <f t="shared" si="7"/>
        <v>121.55075431733219</v>
      </c>
      <c r="N98" s="2">
        <v>304869</v>
      </c>
      <c r="O98" s="2">
        <v>147</v>
      </c>
      <c r="P98" s="2">
        <v>474335</v>
      </c>
      <c r="Q98" s="41">
        <v>1925</v>
      </c>
      <c r="R98" s="2"/>
      <c r="S98" s="27" t="s">
        <v>443</v>
      </c>
      <c r="T98" s="27" t="s">
        <v>446</v>
      </c>
      <c r="U98" s="27" t="s">
        <v>383</v>
      </c>
      <c r="V98" s="27" t="s">
        <v>443</v>
      </c>
      <c r="W98" s="27" t="s">
        <v>383</v>
      </c>
      <c r="X98" s="27" t="s">
        <v>444</v>
      </c>
      <c r="Y98" s="27" t="s">
        <v>445</v>
      </c>
      <c r="Z98" s="27" t="s">
        <v>445</v>
      </c>
    </row>
    <row r="99" spans="1:26" x14ac:dyDescent="0.25">
      <c r="A99" s="27" t="s">
        <v>1226</v>
      </c>
      <c r="B99" s="27" t="str">
        <f t="shared" si="4"/>
        <v>North Carolina</v>
      </c>
      <c r="C99" s="27" t="str">
        <f t="shared" si="5"/>
        <v>Wilson</v>
      </c>
      <c r="D99" s="27">
        <v>5042</v>
      </c>
      <c r="E99" s="27">
        <v>3005</v>
      </c>
      <c r="F99" s="2">
        <v>8047</v>
      </c>
      <c r="G99" s="2">
        <v>290</v>
      </c>
      <c r="H99" s="2">
        <v>156</v>
      </c>
      <c r="I99" s="2">
        <v>129</v>
      </c>
      <c r="J99" s="2">
        <f t="shared" si="6"/>
        <v>145.91736050702124</v>
      </c>
      <c r="K99" s="2">
        <v>11992</v>
      </c>
      <c r="L99" s="2">
        <v>271946.15000000002</v>
      </c>
      <c r="M99" s="2">
        <f t="shared" si="7"/>
        <v>128.53101804599376</v>
      </c>
      <c r="N99" s="2">
        <v>684715</v>
      </c>
      <c r="O99" s="2">
        <v>56</v>
      </c>
      <c r="P99" s="2">
        <v>1503600</v>
      </c>
      <c r="Q99" s="41">
        <v>1925</v>
      </c>
      <c r="R99" s="2"/>
      <c r="S99" s="27" t="s">
        <v>443</v>
      </c>
      <c r="T99" s="27" t="s">
        <v>446</v>
      </c>
      <c r="U99" s="27" t="s">
        <v>383</v>
      </c>
      <c r="V99" s="27" t="s">
        <v>443</v>
      </c>
      <c r="W99" s="27" t="s">
        <v>383</v>
      </c>
      <c r="X99" s="27" t="s">
        <v>447</v>
      </c>
      <c r="Y99" s="27" t="s">
        <v>445</v>
      </c>
      <c r="Z99" s="27" t="s">
        <v>445</v>
      </c>
    </row>
    <row r="100" spans="1:26" x14ac:dyDescent="0.25">
      <c r="A100" s="27" t="s">
        <v>1227</v>
      </c>
      <c r="B100" s="27" t="str">
        <f t="shared" si="4"/>
        <v>North Carolina</v>
      </c>
      <c r="C100" s="27" t="str">
        <f t="shared" si="5"/>
        <v>Yadkin</v>
      </c>
      <c r="D100" s="27">
        <v>3343</v>
      </c>
      <c r="E100" s="27">
        <v>229</v>
      </c>
      <c r="F100" s="2">
        <v>3572</v>
      </c>
      <c r="G100" s="2">
        <v>140</v>
      </c>
      <c r="H100" s="2">
        <v>126</v>
      </c>
      <c r="I100" s="2">
        <v>120</v>
      </c>
      <c r="J100" s="2">
        <f t="shared" si="6"/>
        <v>125.61534154535275</v>
      </c>
      <c r="K100" s="2">
        <v>5088</v>
      </c>
      <c r="L100" s="2">
        <v>82093.25</v>
      </c>
      <c r="M100" s="2">
        <f t="shared" si="7"/>
        <v>93.361264624058308</v>
      </c>
      <c r="N100" s="2">
        <v>106006</v>
      </c>
      <c r="O100" s="2">
        <v>67</v>
      </c>
      <c r="P100" s="2">
        <v>166000</v>
      </c>
      <c r="Q100" s="41">
        <v>1925</v>
      </c>
      <c r="R100" s="2"/>
      <c r="S100" s="27" t="s">
        <v>443</v>
      </c>
      <c r="T100" s="27" t="s">
        <v>446</v>
      </c>
      <c r="U100" s="27" t="s">
        <v>383</v>
      </c>
      <c r="V100" s="27" t="s">
        <v>443</v>
      </c>
      <c r="W100" s="27" t="s">
        <v>383</v>
      </c>
      <c r="X100" s="27" t="s">
        <v>447</v>
      </c>
      <c r="Y100" s="27" t="s">
        <v>445</v>
      </c>
      <c r="Z100" s="27" t="s">
        <v>445</v>
      </c>
    </row>
    <row r="101" spans="1:26" x14ac:dyDescent="0.25">
      <c r="A101" s="27" t="s">
        <v>1228</v>
      </c>
      <c r="B101" s="27" t="str">
        <f t="shared" si="4"/>
        <v>North Carolina</v>
      </c>
      <c r="C101" s="27" t="str">
        <f t="shared" si="5"/>
        <v>Yancey</v>
      </c>
      <c r="D101" s="27">
        <v>2686</v>
      </c>
      <c r="E101" s="27">
        <v>65</v>
      </c>
      <c r="F101" s="2">
        <v>2751</v>
      </c>
      <c r="G101" s="2">
        <v>107</v>
      </c>
      <c r="H101" s="2">
        <v>132</v>
      </c>
      <c r="I101" s="2">
        <v>120</v>
      </c>
      <c r="J101" s="2">
        <f t="shared" si="6"/>
        <v>131.71646673936749</v>
      </c>
      <c r="K101" s="2">
        <v>3950</v>
      </c>
      <c r="L101" s="2">
        <v>61614.39</v>
      </c>
      <c r="M101" s="2">
        <f t="shared" si="7"/>
        <v>87.435600850146656</v>
      </c>
      <c r="N101" s="2">
        <v>131609</v>
      </c>
      <c r="O101" s="2">
        <v>50</v>
      </c>
      <c r="P101" s="2">
        <v>133000</v>
      </c>
      <c r="Q101" s="41">
        <v>1925</v>
      </c>
      <c r="R101" s="2"/>
      <c r="S101" s="27" t="s">
        <v>443</v>
      </c>
      <c r="T101" s="27" t="s">
        <v>446</v>
      </c>
      <c r="U101" s="27" t="s">
        <v>383</v>
      </c>
      <c r="V101" s="27" t="s">
        <v>443</v>
      </c>
      <c r="W101" s="27" t="s">
        <v>383</v>
      </c>
      <c r="X101" s="27" t="s">
        <v>447</v>
      </c>
      <c r="Y101" s="27" t="s">
        <v>445</v>
      </c>
      <c r="Z101" s="27" t="s">
        <v>445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C254"/>
  <sheetViews>
    <sheetView workbookViewId="0"/>
  </sheetViews>
  <sheetFormatPr defaultColWidth="11.42578125" defaultRowHeight="15" x14ac:dyDescent="0.25"/>
  <cols>
    <col min="1" max="1" width="22" customWidth="1"/>
    <col min="2" max="2" width="12.140625" customWidth="1"/>
    <col min="8" max="8" width="11.42578125" style="7"/>
    <col min="11" max="11" width="11.42578125" style="27"/>
    <col min="12" max="14" width="11.42578125" style="7"/>
    <col min="15" max="15" width="11.28515625" customWidth="1"/>
    <col min="16" max="18" width="11.28515625" style="27" customWidth="1"/>
  </cols>
  <sheetData>
    <row r="1" spans="1:29" s="20" customFormat="1" ht="60" x14ac:dyDescent="0.25">
      <c r="B1" s="20" t="s">
        <v>2</v>
      </c>
      <c r="C1" s="20" t="s">
        <v>0</v>
      </c>
      <c r="D1" s="92" t="s">
        <v>1956</v>
      </c>
      <c r="E1" s="92" t="s">
        <v>372</v>
      </c>
      <c r="F1" s="94" t="s">
        <v>357</v>
      </c>
      <c r="G1" s="94" t="s">
        <v>377</v>
      </c>
      <c r="H1" s="83" t="s">
        <v>2032</v>
      </c>
      <c r="I1" s="92" t="s">
        <v>358</v>
      </c>
      <c r="J1" s="93" t="s">
        <v>360</v>
      </c>
      <c r="K1" s="93"/>
      <c r="L1" s="143" t="s">
        <v>2537</v>
      </c>
      <c r="M1" s="143" t="s">
        <v>2536</v>
      </c>
      <c r="N1" s="143" t="s">
        <v>374</v>
      </c>
      <c r="O1" s="92" t="s">
        <v>374</v>
      </c>
      <c r="P1" s="84" t="s">
        <v>2138</v>
      </c>
      <c r="Q1" s="84" t="s">
        <v>2139</v>
      </c>
      <c r="R1" s="84" t="s">
        <v>2140</v>
      </c>
      <c r="S1" s="91" t="s">
        <v>375</v>
      </c>
      <c r="T1" s="81" t="s">
        <v>1</v>
      </c>
      <c r="U1" s="20" t="s">
        <v>1960</v>
      </c>
      <c r="V1" s="20" t="s">
        <v>1957</v>
      </c>
      <c r="W1" s="20" t="s">
        <v>1949</v>
      </c>
      <c r="X1" s="20" t="s">
        <v>1955</v>
      </c>
      <c r="Y1" s="20" t="s">
        <v>1950</v>
      </c>
      <c r="Z1" s="20" t="s">
        <v>1954</v>
      </c>
      <c r="AA1" s="20" t="s">
        <v>1952</v>
      </c>
      <c r="AB1" s="20" t="s">
        <v>1953</v>
      </c>
      <c r="AC1" s="20" t="s">
        <v>1948</v>
      </c>
    </row>
    <row r="2" spans="1:29" x14ac:dyDescent="0.25">
      <c r="A2" s="27" t="s">
        <v>1229</v>
      </c>
      <c r="B2" s="27" t="str">
        <f t="shared" ref="B2:B47" si="0">LEFT(A2,FIND(";",A2)-1)</f>
        <v>South Carolina</v>
      </c>
      <c r="C2" s="27" t="str">
        <f t="shared" ref="C2:C47" si="1">MID(A2,FIND(";",A2)+1,100)</f>
        <v>Abbeville</v>
      </c>
      <c r="D2" s="31">
        <v>5100</v>
      </c>
      <c r="E2" s="2">
        <v>196</v>
      </c>
      <c r="F2" s="2">
        <v>135</v>
      </c>
      <c r="G2" s="2">
        <v>7172</v>
      </c>
      <c r="H2" s="29">
        <v>128763.94</v>
      </c>
      <c r="I2" s="89">
        <f t="shared" ref="I2:I47" si="2">H2/E2/(F2/20)</f>
        <v>97.327241118669704</v>
      </c>
      <c r="J2" s="2">
        <v>246171</v>
      </c>
      <c r="K2" s="2">
        <v>82</v>
      </c>
      <c r="L2" s="144">
        <v>47</v>
      </c>
      <c r="M2" s="144">
        <v>59</v>
      </c>
      <c r="N2" s="144">
        <f>L2+M2</f>
        <v>106</v>
      </c>
      <c r="O2" s="2">
        <v>85</v>
      </c>
      <c r="P2" s="28">
        <f>912.5+37.37</f>
        <v>949.87</v>
      </c>
      <c r="Q2" s="2">
        <f>4397.51+16.95</f>
        <v>4414.46</v>
      </c>
      <c r="R2" s="2">
        <f>93863.36+10514.34</f>
        <v>104377.7</v>
      </c>
      <c r="S2" s="29">
        <f>P2+Q2+R2</f>
        <v>109742.03</v>
      </c>
      <c r="T2" s="41">
        <v>1925</v>
      </c>
      <c r="U2" s="2"/>
      <c r="V2" s="27" t="s">
        <v>448</v>
      </c>
      <c r="W2" s="27" t="s">
        <v>449</v>
      </c>
      <c r="X2" s="27" t="s">
        <v>450</v>
      </c>
      <c r="Y2" s="27" t="s">
        <v>451</v>
      </c>
      <c r="Z2" s="27" t="s">
        <v>452</v>
      </c>
      <c r="AA2" s="27" t="s">
        <v>453</v>
      </c>
      <c r="AB2" s="27">
        <v>58</v>
      </c>
      <c r="AC2" s="27" t="s">
        <v>454</v>
      </c>
    </row>
    <row r="3" spans="1:29" x14ac:dyDescent="0.25">
      <c r="A3" s="27" t="s">
        <v>1230</v>
      </c>
      <c r="B3" s="27" t="str">
        <f t="shared" si="0"/>
        <v>South Carolina</v>
      </c>
      <c r="C3" s="27" t="str">
        <f t="shared" si="1"/>
        <v>Aiken</v>
      </c>
      <c r="D3" s="2">
        <v>8868</v>
      </c>
      <c r="E3" s="2">
        <v>329</v>
      </c>
      <c r="F3" s="2">
        <v>134</v>
      </c>
      <c r="G3" s="2">
        <v>13190</v>
      </c>
      <c r="H3" s="29">
        <v>203401.36</v>
      </c>
      <c r="I3" s="28">
        <f t="shared" si="2"/>
        <v>92.274808329174775</v>
      </c>
      <c r="J3" s="2">
        <v>298869</v>
      </c>
      <c r="K3" s="2">
        <v>149</v>
      </c>
      <c r="L3" s="144">
        <v>76</v>
      </c>
      <c r="M3" s="144">
        <v>92</v>
      </c>
      <c r="N3" s="144">
        <f t="shared" ref="N3:N47" si="3">L3+M3</f>
        <v>168</v>
      </c>
      <c r="O3" s="27"/>
      <c r="P3" s="28">
        <f>9477.23+543.2</f>
        <v>10020.43</v>
      </c>
      <c r="Q3" s="27">
        <f>19238.5+358</f>
        <v>19596.5</v>
      </c>
      <c r="R3" s="27">
        <f>29981.31+21125.87</f>
        <v>51107.18</v>
      </c>
      <c r="S3" s="29">
        <f t="shared" ref="S3:S47" si="4">P3+Q3+R3</f>
        <v>80724.11</v>
      </c>
      <c r="T3" s="41">
        <v>1925</v>
      </c>
      <c r="U3" s="2"/>
      <c r="V3" s="27" t="s">
        <v>448</v>
      </c>
      <c r="W3" s="27" t="s">
        <v>449</v>
      </c>
      <c r="X3" s="27" t="s">
        <v>450</v>
      </c>
      <c r="Y3" s="27" t="s">
        <v>451</v>
      </c>
      <c r="Z3" s="27" t="s">
        <v>452</v>
      </c>
      <c r="AA3" s="27" t="s">
        <v>453</v>
      </c>
      <c r="AB3" s="27" t="s">
        <v>383</v>
      </c>
      <c r="AC3" s="27" t="s">
        <v>454</v>
      </c>
    </row>
    <row r="4" spans="1:29" x14ac:dyDescent="0.25">
      <c r="A4" s="27" t="s">
        <v>1231</v>
      </c>
      <c r="B4" s="27" t="str">
        <f t="shared" si="0"/>
        <v>South Carolina</v>
      </c>
      <c r="C4" s="27" t="str">
        <f t="shared" si="1"/>
        <v>Allendale</v>
      </c>
      <c r="D4" s="2">
        <v>2836</v>
      </c>
      <c r="E4" s="2">
        <v>91</v>
      </c>
      <c r="F4" s="2">
        <v>122</v>
      </c>
      <c r="G4" s="2">
        <v>4374</v>
      </c>
      <c r="H4" s="29">
        <v>54868.53</v>
      </c>
      <c r="I4" s="28">
        <f t="shared" si="2"/>
        <v>98.844406413258881</v>
      </c>
      <c r="J4" s="2">
        <v>95831</v>
      </c>
      <c r="K4" s="2">
        <v>45</v>
      </c>
      <c r="L4" s="144">
        <v>20</v>
      </c>
      <c r="M4" s="144">
        <v>32</v>
      </c>
      <c r="N4" s="144">
        <f t="shared" si="3"/>
        <v>52</v>
      </c>
      <c r="O4" s="27"/>
      <c r="P4" s="28">
        <f>1810.6+764.9</f>
        <v>2575.5</v>
      </c>
      <c r="Q4" s="27">
        <f>11670.31+290.22</f>
        <v>11960.529999999999</v>
      </c>
      <c r="R4" s="27">
        <f>4126.03+11569.46</f>
        <v>15695.489999999998</v>
      </c>
      <c r="S4" s="29">
        <f t="shared" si="4"/>
        <v>30231.519999999997</v>
      </c>
      <c r="T4" s="41">
        <v>1925</v>
      </c>
      <c r="U4" s="2"/>
      <c r="V4" s="27" t="s">
        <v>448</v>
      </c>
      <c r="W4" s="27" t="s">
        <v>449</v>
      </c>
      <c r="X4" s="27" t="s">
        <v>450</v>
      </c>
      <c r="Y4" s="27" t="s">
        <v>451</v>
      </c>
      <c r="Z4" s="27" t="s">
        <v>452</v>
      </c>
      <c r="AA4" s="27" t="s">
        <v>453</v>
      </c>
      <c r="AB4" s="27" t="s">
        <v>383</v>
      </c>
      <c r="AC4" s="27" t="s">
        <v>454</v>
      </c>
    </row>
    <row r="5" spans="1:29" x14ac:dyDescent="0.25">
      <c r="A5" s="27" t="s">
        <v>1232</v>
      </c>
      <c r="B5" s="27" t="str">
        <f t="shared" si="0"/>
        <v>South Carolina</v>
      </c>
      <c r="C5" s="27" t="str">
        <f t="shared" si="1"/>
        <v>Anderson</v>
      </c>
      <c r="D5" s="2">
        <v>14752</v>
      </c>
      <c r="E5" s="2">
        <v>555</v>
      </c>
      <c r="F5" s="2">
        <v>151</v>
      </c>
      <c r="G5" s="2">
        <v>21832</v>
      </c>
      <c r="H5" s="29">
        <v>428610.09</v>
      </c>
      <c r="I5" s="28">
        <f t="shared" si="2"/>
        <v>102.28747449436192</v>
      </c>
      <c r="J5" s="2">
        <v>765507</v>
      </c>
      <c r="K5" s="2">
        <v>150</v>
      </c>
      <c r="L5" s="144">
        <v>84</v>
      </c>
      <c r="M5" s="144">
        <v>71</v>
      </c>
      <c r="N5" s="144">
        <f t="shared" si="3"/>
        <v>155</v>
      </c>
      <c r="O5" s="27">
        <v>66</v>
      </c>
      <c r="P5" s="28">
        <f>12103.27+1260.85</f>
        <v>13364.12</v>
      </c>
      <c r="Q5" s="27">
        <f>94423.73+3</f>
        <v>94426.73</v>
      </c>
      <c r="R5" s="27">
        <f>158661.39+9748.32</f>
        <v>168409.71000000002</v>
      </c>
      <c r="S5" s="29">
        <f t="shared" si="4"/>
        <v>276200.56</v>
      </c>
      <c r="T5" s="41">
        <v>1925</v>
      </c>
      <c r="U5" s="2"/>
      <c r="V5" s="27" t="s">
        <v>448</v>
      </c>
      <c r="W5" s="27" t="s">
        <v>449</v>
      </c>
      <c r="X5" s="27" t="s">
        <v>450</v>
      </c>
      <c r="Y5" s="27" t="s">
        <v>451</v>
      </c>
      <c r="Z5" s="27" t="s">
        <v>452</v>
      </c>
      <c r="AA5" s="27" t="s">
        <v>453</v>
      </c>
      <c r="AB5" s="27" t="s">
        <v>383</v>
      </c>
      <c r="AC5" s="27" t="s">
        <v>454</v>
      </c>
    </row>
    <row r="6" spans="1:29" x14ac:dyDescent="0.25">
      <c r="A6" s="27" t="s">
        <v>1233</v>
      </c>
      <c r="B6" s="27" t="str">
        <f t="shared" si="0"/>
        <v>South Carolina</v>
      </c>
      <c r="C6" s="27" t="str">
        <f t="shared" si="1"/>
        <v>Bamberg</v>
      </c>
      <c r="D6" s="2">
        <v>4363</v>
      </c>
      <c r="E6" s="2">
        <v>127</v>
      </c>
      <c r="F6" s="2">
        <v>122</v>
      </c>
      <c r="G6" s="2">
        <v>6026</v>
      </c>
      <c r="H6" s="29">
        <v>90420.72</v>
      </c>
      <c r="I6" s="28">
        <f t="shared" si="2"/>
        <v>116.71707757841746</v>
      </c>
      <c r="J6" s="2">
        <v>123969</v>
      </c>
      <c r="K6" s="2">
        <v>59</v>
      </c>
      <c r="L6" s="144">
        <v>29</v>
      </c>
      <c r="M6" s="144">
        <v>32</v>
      </c>
      <c r="N6" s="144">
        <f t="shared" si="3"/>
        <v>61</v>
      </c>
      <c r="O6" s="27"/>
      <c r="P6" s="28">
        <f>4083.86+8</f>
        <v>4091.86</v>
      </c>
      <c r="Q6" s="27">
        <f>5411.1+19.95</f>
        <v>5431.05</v>
      </c>
      <c r="R6" s="27">
        <f>13593.35+750</f>
        <v>14343.35</v>
      </c>
      <c r="S6" s="29">
        <f t="shared" si="4"/>
        <v>23866.260000000002</v>
      </c>
      <c r="T6" s="41">
        <v>1925</v>
      </c>
      <c r="U6" s="2"/>
      <c r="V6" s="27" t="s">
        <v>448</v>
      </c>
      <c r="W6" s="27" t="s">
        <v>449</v>
      </c>
      <c r="X6" s="27" t="s">
        <v>450</v>
      </c>
      <c r="Y6" s="27" t="s">
        <v>451</v>
      </c>
      <c r="Z6" s="27" t="s">
        <v>452</v>
      </c>
      <c r="AA6" s="27" t="s">
        <v>453</v>
      </c>
      <c r="AB6" s="27" t="s">
        <v>383</v>
      </c>
      <c r="AC6" s="27" t="s">
        <v>454</v>
      </c>
    </row>
    <row r="7" spans="1:29" x14ac:dyDescent="0.25">
      <c r="A7" s="27" t="s">
        <v>1234</v>
      </c>
      <c r="B7" s="27" t="str">
        <f t="shared" si="0"/>
        <v>South Carolina</v>
      </c>
      <c r="C7" s="27" t="str">
        <f t="shared" si="1"/>
        <v>Barnwell</v>
      </c>
      <c r="D7" s="2">
        <v>4862</v>
      </c>
      <c r="E7" s="2">
        <v>154</v>
      </c>
      <c r="F7" s="2">
        <v>126</v>
      </c>
      <c r="G7" s="2">
        <v>6697</v>
      </c>
      <c r="H7" s="29">
        <v>95886.89</v>
      </c>
      <c r="I7" s="28">
        <f t="shared" si="2"/>
        <v>98.832086167800455</v>
      </c>
      <c r="J7" s="2">
        <v>205143</v>
      </c>
      <c r="K7" s="2">
        <v>76</v>
      </c>
      <c r="L7" s="144">
        <v>36</v>
      </c>
      <c r="M7" s="144">
        <v>48</v>
      </c>
      <c r="N7" s="144">
        <f t="shared" si="3"/>
        <v>84</v>
      </c>
      <c r="O7" s="27"/>
      <c r="P7" s="28">
        <f>4757.47+1250.22</f>
        <v>6007.6900000000005</v>
      </c>
      <c r="Q7" s="27">
        <f>51127.36+145.31</f>
        <v>51272.67</v>
      </c>
      <c r="R7" s="27">
        <f>30393.05+5094.9</f>
        <v>35487.949999999997</v>
      </c>
      <c r="S7" s="29">
        <f t="shared" si="4"/>
        <v>92768.31</v>
      </c>
      <c r="T7" s="41">
        <v>1925</v>
      </c>
      <c r="U7" s="2"/>
      <c r="V7" s="27" t="s">
        <v>448</v>
      </c>
      <c r="W7" s="27" t="s">
        <v>449</v>
      </c>
      <c r="X7" s="27" t="s">
        <v>450</v>
      </c>
      <c r="Y7" s="27" t="s">
        <v>451</v>
      </c>
      <c r="Z7" s="27" t="s">
        <v>452</v>
      </c>
      <c r="AA7" s="27" t="s">
        <v>453</v>
      </c>
      <c r="AB7" s="27" t="s">
        <v>383</v>
      </c>
      <c r="AC7" s="27" t="s">
        <v>454</v>
      </c>
    </row>
    <row r="8" spans="1:29" x14ac:dyDescent="0.25">
      <c r="A8" s="27" t="s">
        <v>1235</v>
      </c>
      <c r="B8" s="27" t="str">
        <f t="shared" si="0"/>
        <v>South Carolina</v>
      </c>
      <c r="C8" s="27" t="str">
        <f t="shared" si="1"/>
        <v>Beaufort</v>
      </c>
      <c r="D8" s="2">
        <v>3337</v>
      </c>
      <c r="E8" s="2">
        <v>111</v>
      </c>
      <c r="F8" s="2">
        <v>141</v>
      </c>
      <c r="G8" s="2">
        <v>4424</v>
      </c>
      <c r="H8" s="29">
        <v>56437.75</v>
      </c>
      <c r="I8" s="28">
        <f t="shared" si="2"/>
        <v>72.12031180116287</v>
      </c>
      <c r="J8" s="2">
        <v>171242</v>
      </c>
      <c r="K8" s="2">
        <v>61</v>
      </c>
      <c r="L8" s="144">
        <v>16</v>
      </c>
      <c r="M8" s="144">
        <v>46</v>
      </c>
      <c r="N8" s="144">
        <f t="shared" si="3"/>
        <v>62</v>
      </c>
      <c r="O8" s="27">
        <v>48</v>
      </c>
      <c r="P8" s="28">
        <f>501.9+340.2</f>
        <v>842.09999999999991</v>
      </c>
      <c r="Q8" s="27">
        <f>5355.74+1196.65</f>
        <v>6552.3899999999994</v>
      </c>
      <c r="R8" s="27">
        <f>57252.04+29342.33</f>
        <v>86594.37</v>
      </c>
      <c r="S8" s="29">
        <f t="shared" si="4"/>
        <v>93988.86</v>
      </c>
      <c r="T8" s="41">
        <v>1925</v>
      </c>
      <c r="U8" s="2"/>
      <c r="V8" s="27" t="s">
        <v>448</v>
      </c>
      <c r="W8" s="27" t="s">
        <v>449</v>
      </c>
      <c r="X8" s="27" t="s">
        <v>450</v>
      </c>
      <c r="Y8" s="27" t="s">
        <v>451</v>
      </c>
      <c r="Z8" s="27" t="s">
        <v>452</v>
      </c>
      <c r="AA8" s="27" t="s">
        <v>453</v>
      </c>
      <c r="AB8" s="27" t="s">
        <v>383</v>
      </c>
      <c r="AC8" s="27" t="s">
        <v>454</v>
      </c>
    </row>
    <row r="9" spans="1:29" x14ac:dyDescent="0.25">
      <c r="A9" s="27" t="s">
        <v>1236</v>
      </c>
      <c r="B9" s="27" t="str">
        <f t="shared" si="0"/>
        <v>South Carolina</v>
      </c>
      <c r="C9" s="27" t="str">
        <f t="shared" si="1"/>
        <v>Berkeley</v>
      </c>
      <c r="D9" s="2">
        <v>4588</v>
      </c>
      <c r="E9" s="2">
        <v>171</v>
      </c>
      <c r="F9" s="2">
        <v>126</v>
      </c>
      <c r="G9" s="2">
        <v>6512</v>
      </c>
      <c r="H9" s="29">
        <v>85846.98</v>
      </c>
      <c r="I9" s="28">
        <f t="shared" si="2"/>
        <v>79.68716235032025</v>
      </c>
      <c r="J9" s="2">
        <v>197857</v>
      </c>
      <c r="K9" s="2">
        <v>103</v>
      </c>
      <c r="L9" s="144">
        <v>50</v>
      </c>
      <c r="M9" s="144">
        <v>61</v>
      </c>
      <c r="N9" s="144">
        <f t="shared" si="3"/>
        <v>111</v>
      </c>
      <c r="O9" s="27"/>
      <c r="P9" s="28">
        <f>1165.25+177.16</f>
        <v>1342.41</v>
      </c>
      <c r="Q9" s="27">
        <f>56225.96+20.85</f>
        <v>56246.81</v>
      </c>
      <c r="R9" s="27">
        <f>28500.08+7592.35</f>
        <v>36092.43</v>
      </c>
      <c r="S9" s="29">
        <f t="shared" si="4"/>
        <v>93681.65</v>
      </c>
      <c r="T9" s="41">
        <v>1925</v>
      </c>
      <c r="U9" s="2"/>
      <c r="V9" s="27" t="s">
        <v>448</v>
      </c>
      <c r="W9" s="27" t="s">
        <v>449</v>
      </c>
      <c r="X9" s="27" t="s">
        <v>450</v>
      </c>
      <c r="Y9" s="27" t="s">
        <v>451</v>
      </c>
      <c r="Z9" s="27" t="s">
        <v>452</v>
      </c>
      <c r="AA9" s="27" t="s">
        <v>453</v>
      </c>
      <c r="AB9" s="27" t="s">
        <v>383</v>
      </c>
      <c r="AC9" s="27" t="s">
        <v>454</v>
      </c>
    </row>
    <row r="10" spans="1:29" x14ac:dyDescent="0.25">
      <c r="A10" s="27" t="s">
        <v>1237</v>
      </c>
      <c r="B10" s="27" t="str">
        <f t="shared" si="0"/>
        <v>South Carolina</v>
      </c>
      <c r="C10" s="27" t="str">
        <f t="shared" si="1"/>
        <v>Calhoun</v>
      </c>
      <c r="D10" s="2">
        <v>3403</v>
      </c>
      <c r="E10" s="2">
        <v>92</v>
      </c>
      <c r="F10" s="2">
        <v>121</v>
      </c>
      <c r="G10" s="2">
        <v>4972</v>
      </c>
      <c r="H10" s="29">
        <v>59596.5</v>
      </c>
      <c r="I10" s="28">
        <f t="shared" si="2"/>
        <v>107.07240388070429</v>
      </c>
      <c r="J10" s="2">
        <v>128233</v>
      </c>
      <c r="K10" s="2">
        <v>41</v>
      </c>
      <c r="L10" s="144">
        <v>18</v>
      </c>
      <c r="M10" s="144">
        <v>26</v>
      </c>
      <c r="N10" s="144">
        <f t="shared" si="3"/>
        <v>44</v>
      </c>
      <c r="O10" s="27"/>
      <c r="P10" s="28">
        <f>3190.72+274.14</f>
        <v>3464.8599999999997</v>
      </c>
      <c r="Q10" s="27">
        <f>5630.63+4</f>
        <v>5634.63</v>
      </c>
      <c r="R10" s="27">
        <f>34997.26+12464</f>
        <v>47461.26</v>
      </c>
      <c r="S10" s="29">
        <f t="shared" si="4"/>
        <v>56560.75</v>
      </c>
      <c r="T10" s="41">
        <v>1925</v>
      </c>
      <c r="U10" s="2"/>
      <c r="V10" s="27" t="s">
        <v>448</v>
      </c>
      <c r="W10" s="27" t="s">
        <v>449</v>
      </c>
      <c r="X10" s="27" t="s">
        <v>450</v>
      </c>
      <c r="Y10" s="27" t="s">
        <v>451</v>
      </c>
      <c r="Z10" s="27" t="s">
        <v>452</v>
      </c>
      <c r="AA10" s="27" t="s">
        <v>453</v>
      </c>
      <c r="AB10" s="27" t="s">
        <v>383</v>
      </c>
      <c r="AC10" s="27" t="s">
        <v>454</v>
      </c>
    </row>
    <row r="11" spans="1:29" x14ac:dyDescent="0.25">
      <c r="A11" s="27" t="s">
        <v>1238</v>
      </c>
      <c r="B11" s="27" t="str">
        <f t="shared" si="0"/>
        <v>South Carolina</v>
      </c>
      <c r="C11" s="27" t="str">
        <f t="shared" si="1"/>
        <v>Charleston</v>
      </c>
      <c r="D11" s="2">
        <v>14953</v>
      </c>
      <c r="E11" s="2">
        <v>448</v>
      </c>
      <c r="F11" s="2">
        <v>162</v>
      </c>
      <c r="G11" s="2">
        <v>18772</v>
      </c>
      <c r="H11" s="29">
        <v>462788.76</v>
      </c>
      <c r="I11" s="28">
        <f t="shared" si="2"/>
        <v>127.53217592592594</v>
      </c>
      <c r="J11" s="2">
        <v>702231</v>
      </c>
      <c r="K11" s="2">
        <v>106</v>
      </c>
      <c r="L11" s="144">
        <v>34</v>
      </c>
      <c r="M11" s="144">
        <v>68</v>
      </c>
      <c r="N11" s="144">
        <f t="shared" si="3"/>
        <v>102</v>
      </c>
      <c r="O11" s="27">
        <v>72</v>
      </c>
      <c r="P11" s="28">
        <f>12230.79+55.94</f>
        <v>12286.730000000001</v>
      </c>
      <c r="Q11" s="27">
        <f>66329.92+31486.69</f>
        <v>97816.61</v>
      </c>
      <c r="R11" s="27">
        <f>44222.99+15596.05</f>
        <v>59819.039999999994</v>
      </c>
      <c r="S11" s="29">
        <f t="shared" si="4"/>
        <v>169922.38</v>
      </c>
      <c r="T11" s="41">
        <v>1925</v>
      </c>
      <c r="U11" s="2"/>
      <c r="V11" s="27" t="s">
        <v>448</v>
      </c>
      <c r="W11" s="27" t="s">
        <v>449</v>
      </c>
      <c r="X11" s="27" t="s">
        <v>450</v>
      </c>
      <c r="Y11" s="27" t="s">
        <v>451</v>
      </c>
      <c r="Z11" s="27" t="s">
        <v>452</v>
      </c>
      <c r="AA11" s="27" t="s">
        <v>453</v>
      </c>
      <c r="AB11" s="27" t="s">
        <v>383</v>
      </c>
      <c r="AC11" s="27" t="s">
        <v>454</v>
      </c>
    </row>
    <row r="12" spans="1:29" x14ac:dyDescent="0.25">
      <c r="A12" s="27" t="s">
        <v>1239</v>
      </c>
      <c r="B12" s="27" t="str">
        <f t="shared" si="0"/>
        <v>South Carolina</v>
      </c>
      <c r="C12" s="27" t="str">
        <f t="shared" si="1"/>
        <v>Cherokee</v>
      </c>
      <c r="D12" s="2">
        <v>5573</v>
      </c>
      <c r="E12" s="2">
        <v>220</v>
      </c>
      <c r="F12" s="2">
        <v>144</v>
      </c>
      <c r="G12" s="2">
        <v>8263</v>
      </c>
      <c r="H12" s="29">
        <v>157022.29</v>
      </c>
      <c r="I12" s="28">
        <f t="shared" si="2"/>
        <v>99.130233585858591</v>
      </c>
      <c r="J12" s="2">
        <v>300395</v>
      </c>
      <c r="K12" s="2">
        <v>84</v>
      </c>
      <c r="L12" s="144">
        <v>56</v>
      </c>
      <c r="M12" s="144">
        <v>31</v>
      </c>
      <c r="N12" s="144">
        <f t="shared" si="3"/>
        <v>87</v>
      </c>
      <c r="O12" s="27"/>
      <c r="P12" s="28">
        <f>10721.88+24.35</f>
        <v>10746.23</v>
      </c>
      <c r="Q12" s="27">
        <f>29273.5+264.44</f>
        <v>29537.94</v>
      </c>
      <c r="R12" s="27">
        <f>50984.18+362.6</f>
        <v>51346.78</v>
      </c>
      <c r="S12" s="29">
        <f t="shared" si="4"/>
        <v>91630.95</v>
      </c>
      <c r="T12" s="41">
        <v>1925</v>
      </c>
      <c r="U12" s="2"/>
      <c r="V12" s="27" t="s">
        <v>448</v>
      </c>
      <c r="W12" s="27" t="s">
        <v>449</v>
      </c>
      <c r="X12" s="27" t="s">
        <v>450</v>
      </c>
      <c r="Y12" s="27" t="s">
        <v>451</v>
      </c>
      <c r="Z12" s="27" t="s">
        <v>452</v>
      </c>
      <c r="AA12" s="27" t="s">
        <v>453</v>
      </c>
      <c r="AB12" s="27" t="s">
        <v>383</v>
      </c>
      <c r="AC12" s="27" t="s">
        <v>454</v>
      </c>
    </row>
    <row r="13" spans="1:29" x14ac:dyDescent="0.25">
      <c r="A13" s="27" t="s">
        <v>1240</v>
      </c>
      <c r="B13" s="27" t="str">
        <f t="shared" si="0"/>
        <v>South Carolina</v>
      </c>
      <c r="C13" s="27" t="str">
        <f t="shared" si="1"/>
        <v>Chester</v>
      </c>
      <c r="D13" s="2">
        <v>6591</v>
      </c>
      <c r="E13" s="2">
        <v>247</v>
      </c>
      <c r="F13" s="2">
        <v>154</v>
      </c>
      <c r="G13" s="2">
        <v>9724</v>
      </c>
      <c r="H13" s="29">
        <v>186367.61</v>
      </c>
      <c r="I13" s="28">
        <f t="shared" si="2"/>
        <v>97.99022556390976</v>
      </c>
      <c r="J13" s="2">
        <v>489653</v>
      </c>
      <c r="K13" s="2">
        <v>111</v>
      </c>
      <c r="L13" s="144">
        <v>49</v>
      </c>
      <c r="M13" s="144">
        <v>58</v>
      </c>
      <c r="N13" s="144">
        <f t="shared" si="3"/>
        <v>107</v>
      </c>
      <c r="O13" s="27"/>
      <c r="P13" s="28">
        <f>7226.44+1119.71</f>
        <v>8346.15</v>
      </c>
      <c r="Q13" s="27">
        <f>167224.89+671.81</f>
        <v>167896.7</v>
      </c>
      <c r="R13" s="27">
        <f>91423.94+3721.39</f>
        <v>95145.33</v>
      </c>
      <c r="S13" s="29">
        <f t="shared" si="4"/>
        <v>271388.18</v>
      </c>
      <c r="T13" s="41">
        <v>1925</v>
      </c>
      <c r="U13" s="2"/>
      <c r="V13" s="27" t="s">
        <v>448</v>
      </c>
      <c r="W13" s="27" t="s">
        <v>449</v>
      </c>
      <c r="X13" s="27" t="s">
        <v>450</v>
      </c>
      <c r="Y13" s="27" t="s">
        <v>451</v>
      </c>
      <c r="Z13" s="27" t="s">
        <v>452</v>
      </c>
      <c r="AA13" s="27" t="s">
        <v>453</v>
      </c>
      <c r="AB13" s="27" t="s">
        <v>383</v>
      </c>
      <c r="AC13" s="27" t="s">
        <v>454</v>
      </c>
    </row>
    <row r="14" spans="1:29" x14ac:dyDescent="0.25">
      <c r="A14" s="27" t="s">
        <v>1757</v>
      </c>
      <c r="B14" s="27" t="str">
        <f t="shared" si="0"/>
        <v>South Carolina</v>
      </c>
      <c r="C14" s="27" t="str">
        <f t="shared" si="1"/>
        <v>Chesterfield</v>
      </c>
      <c r="D14" s="2">
        <v>6882</v>
      </c>
      <c r="E14" s="2">
        <v>294</v>
      </c>
      <c r="F14" s="2">
        <v>140</v>
      </c>
      <c r="G14" s="2">
        <v>10868</v>
      </c>
      <c r="H14" s="29">
        <v>201413.94</v>
      </c>
      <c r="I14" s="28">
        <f t="shared" si="2"/>
        <v>97.868775510204074</v>
      </c>
      <c r="J14" s="2">
        <v>300638</v>
      </c>
      <c r="K14" s="2">
        <v>108</v>
      </c>
      <c r="L14" s="144">
        <v>58</v>
      </c>
      <c r="M14" s="144">
        <v>47</v>
      </c>
      <c r="N14" s="144">
        <f t="shared" si="3"/>
        <v>105</v>
      </c>
      <c r="O14" s="27">
        <v>44</v>
      </c>
      <c r="P14" s="28">
        <f>9980.72+2310.89</f>
        <v>12291.609999999999</v>
      </c>
      <c r="Q14" s="27">
        <f>7671.54+423.05</f>
        <v>8094.59</v>
      </c>
      <c r="R14" s="27">
        <f>38611.9+8658.7</f>
        <v>47270.600000000006</v>
      </c>
      <c r="S14" s="29">
        <f t="shared" si="4"/>
        <v>67656.800000000003</v>
      </c>
      <c r="T14" s="41">
        <v>1925</v>
      </c>
      <c r="U14" s="2"/>
      <c r="V14" s="27" t="s">
        <v>448</v>
      </c>
      <c r="W14" s="27" t="s">
        <v>449</v>
      </c>
      <c r="X14" s="27" t="s">
        <v>450</v>
      </c>
      <c r="Y14" s="27" t="s">
        <v>451</v>
      </c>
      <c r="Z14" s="27" t="s">
        <v>452</v>
      </c>
      <c r="AA14" s="27" t="s">
        <v>453</v>
      </c>
      <c r="AB14" s="27" t="s">
        <v>383</v>
      </c>
      <c r="AC14" s="27" t="s">
        <v>454</v>
      </c>
    </row>
    <row r="15" spans="1:29" x14ac:dyDescent="0.25">
      <c r="A15" s="27" t="s">
        <v>1241</v>
      </c>
      <c r="B15" s="27" t="str">
        <f t="shared" si="0"/>
        <v>South Carolina</v>
      </c>
      <c r="C15" s="27" t="str">
        <f t="shared" si="1"/>
        <v>Clarendon</v>
      </c>
      <c r="D15" s="2">
        <v>6329</v>
      </c>
      <c r="E15" s="2">
        <v>196</v>
      </c>
      <c r="F15" s="2">
        <v>122</v>
      </c>
      <c r="G15" s="2">
        <v>8761</v>
      </c>
      <c r="H15" s="29">
        <v>108451.94</v>
      </c>
      <c r="I15" s="28">
        <f t="shared" si="2"/>
        <v>90.709217129474737</v>
      </c>
      <c r="J15" s="2">
        <v>130740</v>
      </c>
      <c r="K15" s="2">
        <v>105</v>
      </c>
      <c r="L15" s="144">
        <v>40</v>
      </c>
      <c r="M15" s="144">
        <v>69</v>
      </c>
      <c r="N15" s="144">
        <f t="shared" si="3"/>
        <v>109</v>
      </c>
      <c r="O15" s="27"/>
      <c r="P15" s="28">
        <v>613.20000000000005</v>
      </c>
      <c r="Q15" s="27">
        <f>2244.53+80.2</f>
        <v>2324.73</v>
      </c>
      <c r="R15" s="27">
        <f>9651.66+534.52</f>
        <v>10186.18</v>
      </c>
      <c r="S15" s="29">
        <f t="shared" si="4"/>
        <v>13124.11</v>
      </c>
      <c r="T15" s="41">
        <v>1925</v>
      </c>
      <c r="U15" s="2"/>
      <c r="V15" s="27" t="s">
        <v>448</v>
      </c>
      <c r="W15" s="27" t="s">
        <v>449</v>
      </c>
      <c r="X15" s="27" t="s">
        <v>450</v>
      </c>
      <c r="Y15" s="27" t="s">
        <v>451</v>
      </c>
      <c r="Z15" s="27" t="s">
        <v>452</v>
      </c>
      <c r="AA15" s="27" t="s">
        <v>453</v>
      </c>
      <c r="AB15" s="27" t="s">
        <v>383</v>
      </c>
      <c r="AC15" s="27" t="s">
        <v>454</v>
      </c>
    </row>
    <row r="16" spans="1:29" x14ac:dyDescent="0.25">
      <c r="A16" s="27" t="s">
        <v>1242</v>
      </c>
      <c r="B16" s="27" t="str">
        <f t="shared" si="0"/>
        <v>South Carolina</v>
      </c>
      <c r="C16" s="27" t="str">
        <f t="shared" si="1"/>
        <v>Colleton</v>
      </c>
      <c r="D16" s="2">
        <v>5814</v>
      </c>
      <c r="E16" s="2">
        <v>226</v>
      </c>
      <c r="F16" s="29">
        <v>128</v>
      </c>
      <c r="G16" s="2">
        <v>8270</v>
      </c>
      <c r="H16" s="29">
        <v>138997.6</v>
      </c>
      <c r="I16" s="28">
        <f t="shared" si="2"/>
        <v>96.099004424778755</v>
      </c>
      <c r="J16" s="2">
        <v>227476</v>
      </c>
      <c r="K16" s="2">
        <v>130</v>
      </c>
      <c r="L16" s="144">
        <v>64</v>
      </c>
      <c r="M16" s="144">
        <v>57</v>
      </c>
      <c r="N16" s="144">
        <f t="shared" si="3"/>
        <v>121</v>
      </c>
      <c r="O16" s="27"/>
      <c r="P16" s="28">
        <f>14765.68+231.5</f>
        <v>14997.18</v>
      </c>
      <c r="Q16" s="27">
        <f>8814.84+114.75</f>
        <v>8929.59</v>
      </c>
      <c r="R16" s="27">
        <f>41289.66+6348.27</f>
        <v>47637.930000000008</v>
      </c>
      <c r="S16" s="29">
        <f t="shared" si="4"/>
        <v>71564.700000000012</v>
      </c>
      <c r="T16" s="41">
        <v>1925</v>
      </c>
      <c r="U16" s="2"/>
      <c r="V16" s="27" t="s">
        <v>448</v>
      </c>
      <c r="W16" s="27" t="s">
        <v>449</v>
      </c>
      <c r="X16" s="27" t="s">
        <v>450</v>
      </c>
      <c r="Y16" s="27" t="s">
        <v>451</v>
      </c>
      <c r="Z16" s="27" t="s">
        <v>452</v>
      </c>
      <c r="AA16" s="27" t="s">
        <v>453</v>
      </c>
      <c r="AB16" s="27" t="s">
        <v>383</v>
      </c>
      <c r="AC16" s="27" t="s">
        <v>454</v>
      </c>
    </row>
    <row r="17" spans="1:29" x14ac:dyDescent="0.25">
      <c r="A17" s="27" t="s">
        <v>1243</v>
      </c>
      <c r="B17" s="27" t="str">
        <f t="shared" si="0"/>
        <v>South Carolina</v>
      </c>
      <c r="C17" s="27" t="str">
        <f t="shared" si="1"/>
        <v>Darlington</v>
      </c>
      <c r="D17" s="2">
        <v>8076</v>
      </c>
      <c r="E17" s="2">
        <v>291</v>
      </c>
      <c r="F17" s="2">
        <v>150</v>
      </c>
      <c r="G17" s="2">
        <v>11922</v>
      </c>
      <c r="H17" s="29">
        <v>230121.76</v>
      </c>
      <c r="I17" s="28">
        <f t="shared" si="2"/>
        <v>105.43952348224515</v>
      </c>
      <c r="J17" s="2">
        <v>358631</v>
      </c>
      <c r="K17" s="2">
        <v>67</v>
      </c>
      <c r="L17" s="144">
        <v>29</v>
      </c>
      <c r="M17" s="144">
        <v>43</v>
      </c>
      <c r="N17" s="144">
        <f t="shared" si="3"/>
        <v>72</v>
      </c>
      <c r="O17" s="27">
        <v>40</v>
      </c>
      <c r="P17" s="28">
        <f>5149.98+997.03</f>
        <v>6147.0099999999993</v>
      </c>
      <c r="Q17" s="27">
        <f>17904.23+2242.31</f>
        <v>20146.54</v>
      </c>
      <c r="R17" s="27">
        <f>41531.36+4591.91</f>
        <v>46123.270000000004</v>
      </c>
      <c r="S17" s="29">
        <f t="shared" si="4"/>
        <v>72416.820000000007</v>
      </c>
      <c r="T17" s="41">
        <v>1925</v>
      </c>
      <c r="U17" s="2"/>
      <c r="V17" s="27" t="s">
        <v>448</v>
      </c>
      <c r="W17" s="27" t="s">
        <v>449</v>
      </c>
      <c r="X17" s="27" t="s">
        <v>450</v>
      </c>
      <c r="Y17" s="27" t="s">
        <v>451</v>
      </c>
      <c r="Z17" s="27" t="s">
        <v>452</v>
      </c>
      <c r="AA17" s="27" t="s">
        <v>453</v>
      </c>
      <c r="AB17" s="27" t="s">
        <v>383</v>
      </c>
      <c r="AC17" s="27" t="s">
        <v>454</v>
      </c>
    </row>
    <row r="18" spans="1:29" x14ac:dyDescent="0.25">
      <c r="A18" s="27" t="s">
        <v>1244</v>
      </c>
      <c r="B18" s="27" t="str">
        <f t="shared" si="0"/>
        <v>South Carolina</v>
      </c>
      <c r="C18" s="27" t="str">
        <f t="shared" si="1"/>
        <v>Dillon</v>
      </c>
      <c r="D18" s="2">
        <v>4649</v>
      </c>
      <c r="E18" s="2">
        <v>175</v>
      </c>
      <c r="F18" s="2">
        <v>142</v>
      </c>
      <c r="G18" s="2">
        <v>6872</v>
      </c>
      <c r="H18" s="29">
        <v>133083.06</v>
      </c>
      <c r="I18" s="28">
        <f t="shared" si="2"/>
        <v>107.10910261569417</v>
      </c>
      <c r="J18" s="2">
        <v>295211</v>
      </c>
      <c r="K18" s="2">
        <v>50</v>
      </c>
      <c r="L18" s="144">
        <v>25</v>
      </c>
      <c r="M18" s="144">
        <v>26</v>
      </c>
      <c r="N18" s="144">
        <f t="shared" si="3"/>
        <v>51</v>
      </c>
      <c r="O18" s="27">
        <v>22</v>
      </c>
      <c r="P18" s="28">
        <f>3295.11+3500.44</f>
        <v>6795.55</v>
      </c>
      <c r="Q18" s="27">
        <f>7139.31+362.69</f>
        <v>7502</v>
      </c>
      <c r="R18" s="27">
        <f>76927.43+29621.57</f>
        <v>106549</v>
      </c>
      <c r="S18" s="29">
        <f t="shared" si="4"/>
        <v>120846.55</v>
      </c>
      <c r="T18" s="41">
        <v>1925</v>
      </c>
      <c r="U18" s="2"/>
      <c r="V18" s="27" t="s">
        <v>448</v>
      </c>
      <c r="W18" s="27" t="s">
        <v>449</v>
      </c>
      <c r="X18" s="27" t="s">
        <v>450</v>
      </c>
      <c r="Y18" s="27" t="s">
        <v>451</v>
      </c>
      <c r="Z18" s="27" t="s">
        <v>452</v>
      </c>
      <c r="AA18" s="27" t="s">
        <v>453</v>
      </c>
      <c r="AB18" s="27" t="s">
        <v>383</v>
      </c>
      <c r="AC18" s="27" t="s">
        <v>454</v>
      </c>
    </row>
    <row r="19" spans="1:29" x14ac:dyDescent="0.25">
      <c r="A19" s="27" t="s">
        <v>1245</v>
      </c>
      <c r="B19" s="27" t="str">
        <f t="shared" si="0"/>
        <v>South Carolina</v>
      </c>
      <c r="C19" s="27" t="str">
        <f t="shared" si="1"/>
        <v>Dorchester</v>
      </c>
      <c r="D19" s="2">
        <v>4230</v>
      </c>
      <c r="E19" s="2">
        <v>138</v>
      </c>
      <c r="F19" s="2">
        <v>132</v>
      </c>
      <c r="G19" s="2">
        <v>5585</v>
      </c>
      <c r="H19" s="29">
        <v>96503.31</v>
      </c>
      <c r="I19" s="28">
        <f t="shared" si="2"/>
        <v>105.95444664031621</v>
      </c>
      <c r="J19" s="2">
        <v>195455</v>
      </c>
      <c r="K19" s="2">
        <v>65</v>
      </c>
      <c r="L19" s="144">
        <v>34</v>
      </c>
      <c r="M19" s="144">
        <v>40</v>
      </c>
      <c r="N19" s="144">
        <f t="shared" si="3"/>
        <v>74</v>
      </c>
      <c r="O19" s="27"/>
      <c r="P19" s="28">
        <v>1858.17</v>
      </c>
      <c r="Q19" s="27">
        <f>3422.97+140</f>
        <v>3562.97</v>
      </c>
      <c r="R19" s="27">
        <f>87376.64+5480.39</f>
        <v>92857.03</v>
      </c>
      <c r="S19" s="29">
        <f t="shared" si="4"/>
        <v>98278.17</v>
      </c>
      <c r="T19" s="41">
        <v>1925</v>
      </c>
      <c r="U19" s="2"/>
      <c r="V19" s="27" t="s">
        <v>448</v>
      </c>
      <c r="W19" s="27" t="s">
        <v>449</v>
      </c>
      <c r="X19" s="27" t="s">
        <v>450</v>
      </c>
      <c r="Y19" s="27" t="s">
        <v>451</v>
      </c>
      <c r="Z19" s="27" t="s">
        <v>452</v>
      </c>
      <c r="AA19" s="27" t="s">
        <v>453</v>
      </c>
      <c r="AB19" s="27" t="s">
        <v>383</v>
      </c>
      <c r="AC19" s="27" t="s">
        <v>454</v>
      </c>
    </row>
    <row r="20" spans="1:29" x14ac:dyDescent="0.25">
      <c r="A20" s="27" t="s">
        <v>1246</v>
      </c>
      <c r="B20" s="27" t="str">
        <f t="shared" si="0"/>
        <v>South Carolina</v>
      </c>
      <c r="C20" s="27" t="str">
        <f t="shared" si="1"/>
        <v>Edgefield</v>
      </c>
      <c r="D20" s="2">
        <v>4422</v>
      </c>
      <c r="E20" s="2">
        <v>155</v>
      </c>
      <c r="F20" s="2">
        <v>116</v>
      </c>
      <c r="G20" s="2">
        <v>5959</v>
      </c>
      <c r="H20" s="29">
        <v>83196.44</v>
      </c>
      <c r="I20" s="28">
        <f t="shared" si="2"/>
        <v>92.543314794215803</v>
      </c>
      <c r="J20" s="2">
        <v>165828</v>
      </c>
      <c r="K20" s="2">
        <v>84</v>
      </c>
      <c r="L20" s="144">
        <v>38</v>
      </c>
      <c r="M20" s="144">
        <v>60</v>
      </c>
      <c r="N20" s="144">
        <f t="shared" si="3"/>
        <v>98</v>
      </c>
      <c r="O20" s="27">
        <v>56</v>
      </c>
      <c r="P20" s="28">
        <f>1721.37+676.49</f>
        <v>2397.8599999999997</v>
      </c>
      <c r="Q20" s="27">
        <f>3043.37+3</f>
        <v>3046.37</v>
      </c>
      <c r="R20" s="27">
        <f>61176.38+9971.74</f>
        <v>71148.12</v>
      </c>
      <c r="S20" s="29">
        <f t="shared" si="4"/>
        <v>76592.349999999991</v>
      </c>
      <c r="T20" s="41">
        <v>1925</v>
      </c>
      <c r="U20" s="2"/>
      <c r="V20" s="27" t="s">
        <v>448</v>
      </c>
      <c r="W20" s="27" t="s">
        <v>449</v>
      </c>
      <c r="X20" s="27" t="s">
        <v>450</v>
      </c>
      <c r="Y20" s="27" t="s">
        <v>451</v>
      </c>
      <c r="Z20" s="27" t="s">
        <v>452</v>
      </c>
      <c r="AA20" s="27" t="s">
        <v>453</v>
      </c>
      <c r="AB20" s="27" t="s">
        <v>383</v>
      </c>
      <c r="AC20" s="27" t="s">
        <v>454</v>
      </c>
    </row>
    <row r="21" spans="1:29" x14ac:dyDescent="0.25">
      <c r="A21" s="27" t="s">
        <v>1247</v>
      </c>
      <c r="B21" s="27" t="str">
        <f t="shared" si="0"/>
        <v>South Carolina</v>
      </c>
      <c r="C21" s="27" t="str">
        <f t="shared" si="1"/>
        <v>Fairfield</v>
      </c>
      <c r="D21" s="2">
        <v>5042</v>
      </c>
      <c r="E21" s="2">
        <v>185</v>
      </c>
      <c r="F21" s="2">
        <v>130</v>
      </c>
      <c r="G21" s="2">
        <v>7256</v>
      </c>
      <c r="H21" s="29">
        <v>102030.35</v>
      </c>
      <c r="I21" s="28">
        <f t="shared" si="2"/>
        <v>84.848523908523916</v>
      </c>
      <c r="J21" s="2">
        <v>163704</v>
      </c>
      <c r="K21" s="2">
        <v>99</v>
      </c>
      <c r="L21" s="144">
        <v>38</v>
      </c>
      <c r="M21" s="144">
        <v>68</v>
      </c>
      <c r="N21" s="144">
        <f t="shared" si="3"/>
        <v>106</v>
      </c>
      <c r="O21" s="27">
        <v>65</v>
      </c>
      <c r="P21" s="28">
        <f>6927.58+1534.52</f>
        <v>8462.1</v>
      </c>
      <c r="Q21" s="27">
        <f>10874.26+613.7</f>
        <v>11487.960000000001</v>
      </c>
      <c r="R21" s="27">
        <f>12887.71+6715.75</f>
        <v>19603.46</v>
      </c>
      <c r="S21" s="29">
        <f t="shared" si="4"/>
        <v>39553.520000000004</v>
      </c>
      <c r="T21" s="41">
        <v>1925</v>
      </c>
      <c r="U21" s="2"/>
      <c r="V21" s="27" t="s">
        <v>448</v>
      </c>
      <c r="W21" s="27" t="s">
        <v>449</v>
      </c>
      <c r="X21" s="27" t="s">
        <v>450</v>
      </c>
      <c r="Y21" s="27" t="s">
        <v>451</v>
      </c>
      <c r="Z21" s="27" t="s">
        <v>452</v>
      </c>
      <c r="AA21" s="27" t="s">
        <v>453</v>
      </c>
      <c r="AB21" s="27" t="s">
        <v>383</v>
      </c>
      <c r="AC21" s="27" t="s">
        <v>454</v>
      </c>
    </row>
    <row r="22" spans="1:29" x14ac:dyDescent="0.25">
      <c r="A22" s="27" t="s">
        <v>1248</v>
      </c>
      <c r="B22" s="27" t="str">
        <f t="shared" si="0"/>
        <v>South Carolina</v>
      </c>
      <c r="C22" s="27" t="str">
        <f t="shared" si="1"/>
        <v>Florence</v>
      </c>
      <c r="D22" s="2">
        <v>12068</v>
      </c>
      <c r="E22" s="2">
        <v>479</v>
      </c>
      <c r="F22" s="2">
        <v>152</v>
      </c>
      <c r="G22" s="2">
        <v>17127</v>
      </c>
      <c r="H22" s="29">
        <v>396510.45</v>
      </c>
      <c r="I22" s="28">
        <f t="shared" si="2"/>
        <v>108.91947313482035</v>
      </c>
      <c r="J22" s="2">
        <v>591963</v>
      </c>
      <c r="K22" s="2">
        <v>121</v>
      </c>
      <c r="L22" s="144">
        <v>59</v>
      </c>
      <c r="M22" s="144">
        <v>58</v>
      </c>
      <c r="N22" s="144">
        <f t="shared" si="3"/>
        <v>117</v>
      </c>
      <c r="O22" s="27">
        <v>53</v>
      </c>
      <c r="P22" s="28">
        <f>11908.44+287.5</f>
        <v>12195.94</v>
      </c>
      <c r="Q22" s="27">
        <f>46218.43+9334.41</f>
        <v>55552.84</v>
      </c>
      <c r="R22" s="27">
        <f>34251.51+10210.42</f>
        <v>44461.93</v>
      </c>
      <c r="S22" s="29">
        <f t="shared" si="4"/>
        <v>112210.70999999999</v>
      </c>
      <c r="T22" s="41">
        <v>1925</v>
      </c>
      <c r="U22" s="2"/>
      <c r="V22" s="27" t="s">
        <v>448</v>
      </c>
      <c r="W22" s="27" t="s">
        <v>449</v>
      </c>
      <c r="X22" s="27" t="s">
        <v>450</v>
      </c>
      <c r="Y22" s="27" t="s">
        <v>451</v>
      </c>
      <c r="Z22" s="27" t="s">
        <v>452</v>
      </c>
      <c r="AA22" s="27" t="s">
        <v>453</v>
      </c>
      <c r="AB22" s="27" t="s">
        <v>383</v>
      </c>
      <c r="AC22" s="27" t="s">
        <v>454</v>
      </c>
    </row>
    <row r="23" spans="1:29" x14ac:dyDescent="0.25">
      <c r="A23" s="27" t="s">
        <v>1249</v>
      </c>
      <c r="B23" s="27" t="str">
        <f t="shared" si="0"/>
        <v>South Carolina</v>
      </c>
      <c r="C23" s="27" t="str">
        <f t="shared" si="1"/>
        <v>Georgetown</v>
      </c>
      <c r="D23" s="2">
        <v>4713</v>
      </c>
      <c r="E23" s="2">
        <v>163</v>
      </c>
      <c r="F23" s="2">
        <v>141</v>
      </c>
      <c r="G23" s="2">
        <v>5981</v>
      </c>
      <c r="H23" s="29">
        <v>106564.21</v>
      </c>
      <c r="I23" s="28">
        <f t="shared" si="2"/>
        <v>92.733072270808876</v>
      </c>
      <c r="J23" s="2">
        <v>142391</v>
      </c>
      <c r="K23" s="2">
        <v>66</v>
      </c>
      <c r="L23" s="144">
        <v>33</v>
      </c>
      <c r="M23" s="144">
        <v>41</v>
      </c>
      <c r="N23" s="144">
        <f t="shared" si="3"/>
        <v>74</v>
      </c>
      <c r="O23" s="27">
        <v>40</v>
      </c>
      <c r="P23" s="28">
        <v>1864.2</v>
      </c>
      <c r="Q23" s="27">
        <f>15235.66+824.5</f>
        <v>16060.16</v>
      </c>
      <c r="R23" s="27">
        <f>5690.64+37.5</f>
        <v>5728.14</v>
      </c>
      <c r="S23" s="29">
        <f t="shared" si="4"/>
        <v>23652.5</v>
      </c>
      <c r="T23" s="41">
        <v>1925</v>
      </c>
      <c r="U23" s="2"/>
      <c r="V23" s="27" t="s">
        <v>448</v>
      </c>
      <c r="W23" s="27" t="s">
        <v>449</v>
      </c>
      <c r="X23" s="27" t="s">
        <v>450</v>
      </c>
      <c r="Y23" s="27" t="s">
        <v>451</v>
      </c>
      <c r="Z23" s="27" t="s">
        <v>452</v>
      </c>
      <c r="AA23" s="27" t="s">
        <v>453</v>
      </c>
      <c r="AB23" s="27" t="s">
        <v>383</v>
      </c>
      <c r="AC23" s="27" t="s">
        <v>454</v>
      </c>
    </row>
    <row r="24" spans="1:29" x14ac:dyDescent="0.25">
      <c r="A24" s="27" t="s">
        <v>1250</v>
      </c>
      <c r="B24" s="27" t="str">
        <f t="shared" si="0"/>
        <v>South Carolina</v>
      </c>
      <c r="C24" s="27" t="str">
        <f t="shared" si="1"/>
        <v>Greenville</v>
      </c>
      <c r="D24" s="2">
        <v>20278</v>
      </c>
      <c r="E24" s="2">
        <v>822</v>
      </c>
      <c r="F24" s="2">
        <v>160</v>
      </c>
      <c r="G24" s="2">
        <v>28581</v>
      </c>
      <c r="H24" s="29">
        <v>711676.91</v>
      </c>
      <c r="I24" s="28">
        <f t="shared" si="2"/>
        <v>108.2233743917275</v>
      </c>
      <c r="J24" s="2">
        <v>1058534</v>
      </c>
      <c r="K24" s="2">
        <v>191</v>
      </c>
      <c r="L24" s="144">
        <v>116</v>
      </c>
      <c r="M24" s="144">
        <v>60</v>
      </c>
      <c r="N24" s="144">
        <f t="shared" si="3"/>
        <v>176</v>
      </c>
      <c r="O24" s="27"/>
      <c r="P24" s="28">
        <f>32435.64+81.58</f>
        <v>32517.22</v>
      </c>
      <c r="Q24" s="27">
        <f>37910.64+191.72</f>
        <v>38102.36</v>
      </c>
      <c r="R24" s="27">
        <f>180293.57+2589.59</f>
        <v>182883.16</v>
      </c>
      <c r="S24" s="29">
        <f t="shared" si="4"/>
        <v>253502.74</v>
      </c>
      <c r="T24" s="41">
        <v>1925</v>
      </c>
      <c r="U24" s="2"/>
      <c r="V24" s="27" t="s">
        <v>448</v>
      </c>
      <c r="W24" s="27" t="s">
        <v>449</v>
      </c>
      <c r="X24" s="27" t="s">
        <v>450</v>
      </c>
      <c r="Y24" s="27" t="s">
        <v>451</v>
      </c>
      <c r="Z24" s="27" t="s">
        <v>452</v>
      </c>
      <c r="AA24" s="27" t="s">
        <v>453</v>
      </c>
      <c r="AB24" s="27" t="s">
        <v>383</v>
      </c>
      <c r="AC24" s="27" t="s">
        <v>454</v>
      </c>
    </row>
    <row r="25" spans="1:29" x14ac:dyDescent="0.25">
      <c r="A25" s="27" t="s">
        <v>1758</v>
      </c>
      <c r="B25" s="27" t="str">
        <f t="shared" si="0"/>
        <v>South Carolina</v>
      </c>
      <c r="C25" s="27" t="str">
        <f t="shared" si="1"/>
        <v>Greenwood</v>
      </c>
      <c r="D25" s="2">
        <v>7434</v>
      </c>
      <c r="E25" s="2">
        <v>228</v>
      </c>
      <c r="F25" s="2">
        <v>148</v>
      </c>
      <c r="G25" s="2">
        <v>10430</v>
      </c>
      <c r="H25" s="29">
        <v>184592.47</v>
      </c>
      <c r="I25" s="28">
        <f t="shared" si="2"/>
        <v>109.40758060692271</v>
      </c>
      <c r="J25" s="2">
        <v>286673</v>
      </c>
      <c r="K25" s="2">
        <v>83</v>
      </c>
      <c r="L25" s="144">
        <v>37</v>
      </c>
      <c r="M25" s="144">
        <v>53</v>
      </c>
      <c r="N25" s="144">
        <f t="shared" si="3"/>
        <v>90</v>
      </c>
      <c r="O25" s="27"/>
      <c r="P25" s="28">
        <f>3925.74+800</f>
        <v>4725.74</v>
      </c>
      <c r="Q25" s="27">
        <f>12987.84+600</f>
        <v>13587.84</v>
      </c>
      <c r="R25" s="27">
        <f>58654.21+1687.99</f>
        <v>60342.2</v>
      </c>
      <c r="S25" s="29">
        <f t="shared" si="4"/>
        <v>78655.78</v>
      </c>
      <c r="T25" s="41">
        <v>1925</v>
      </c>
      <c r="U25" s="2"/>
      <c r="V25" s="27" t="s">
        <v>448</v>
      </c>
      <c r="W25" s="27" t="s">
        <v>449</v>
      </c>
      <c r="X25" s="27" t="s">
        <v>450</v>
      </c>
      <c r="Y25" s="27" t="s">
        <v>451</v>
      </c>
      <c r="Z25" s="27" t="s">
        <v>452</v>
      </c>
      <c r="AA25" s="27" t="s">
        <v>453</v>
      </c>
      <c r="AB25" s="27" t="s">
        <v>383</v>
      </c>
      <c r="AC25" s="27" t="s">
        <v>454</v>
      </c>
    </row>
    <row r="26" spans="1:29" x14ac:dyDescent="0.25">
      <c r="A26" s="27" t="s">
        <v>1251</v>
      </c>
      <c r="B26" s="27" t="str">
        <f t="shared" si="0"/>
        <v>South Carolina</v>
      </c>
      <c r="C26" s="27" t="str">
        <f t="shared" si="1"/>
        <v>Hampton</v>
      </c>
      <c r="D26" s="2">
        <v>3713</v>
      </c>
      <c r="E26" s="2">
        <v>146</v>
      </c>
      <c r="F26" s="2">
        <v>135</v>
      </c>
      <c r="G26" s="2">
        <v>5293</v>
      </c>
      <c r="H26" s="29">
        <v>97715.98</v>
      </c>
      <c r="I26" s="28">
        <f t="shared" si="2"/>
        <v>99.153708777270424</v>
      </c>
      <c r="J26" s="2">
        <v>150499</v>
      </c>
      <c r="K26" s="2">
        <v>69</v>
      </c>
      <c r="L26" s="144">
        <v>37</v>
      </c>
      <c r="M26" s="144">
        <v>38</v>
      </c>
      <c r="N26" s="144">
        <f t="shared" si="3"/>
        <v>75</v>
      </c>
      <c r="O26" s="27"/>
      <c r="P26" s="28">
        <v>5828.05</v>
      </c>
      <c r="Q26" s="27">
        <f>4384.37+1.5</f>
        <v>4385.87</v>
      </c>
      <c r="R26" s="27">
        <f>28407.29+151.93</f>
        <v>28559.22</v>
      </c>
      <c r="S26" s="29">
        <f t="shared" si="4"/>
        <v>38773.14</v>
      </c>
      <c r="T26" s="41">
        <v>1925</v>
      </c>
      <c r="U26" s="2"/>
      <c r="V26" s="27" t="s">
        <v>448</v>
      </c>
      <c r="W26" s="27" t="s">
        <v>449</v>
      </c>
      <c r="X26" s="27" t="s">
        <v>450</v>
      </c>
      <c r="Y26" s="27" t="s">
        <v>451</v>
      </c>
      <c r="Z26" s="27" t="s">
        <v>452</v>
      </c>
      <c r="AA26" s="27" t="s">
        <v>453</v>
      </c>
      <c r="AB26" s="27" t="s">
        <v>383</v>
      </c>
      <c r="AC26" s="27" t="s">
        <v>454</v>
      </c>
    </row>
    <row r="27" spans="1:29" x14ac:dyDescent="0.25">
      <c r="A27" s="27" t="s">
        <v>1252</v>
      </c>
      <c r="B27" s="27" t="str">
        <f t="shared" si="0"/>
        <v>South Carolina</v>
      </c>
      <c r="C27" s="27" t="str">
        <f t="shared" si="1"/>
        <v>Horry</v>
      </c>
      <c r="D27" s="2">
        <v>6747</v>
      </c>
      <c r="E27" s="2">
        <v>310</v>
      </c>
      <c r="F27" s="2">
        <v>139</v>
      </c>
      <c r="G27" s="2">
        <v>10284</v>
      </c>
      <c r="H27" s="29">
        <v>210170.7</v>
      </c>
      <c r="I27" s="28">
        <f t="shared" si="2"/>
        <v>97.54964028776979</v>
      </c>
      <c r="J27" s="2">
        <v>306545</v>
      </c>
      <c r="K27" s="2">
        <v>125</v>
      </c>
      <c r="L27" s="144">
        <v>97</v>
      </c>
      <c r="M27" s="144">
        <v>36</v>
      </c>
      <c r="N27" s="144">
        <f t="shared" si="3"/>
        <v>133</v>
      </c>
      <c r="O27" s="27">
        <v>37</v>
      </c>
      <c r="P27" s="28">
        <v>6316.69</v>
      </c>
      <c r="Q27" s="27">
        <f>14236.4+51.35</f>
        <v>14287.75</v>
      </c>
      <c r="R27" s="27">
        <f>60037.19+300</f>
        <v>60337.19</v>
      </c>
      <c r="S27" s="29">
        <f t="shared" si="4"/>
        <v>80941.63</v>
      </c>
      <c r="T27" s="41">
        <v>1925</v>
      </c>
      <c r="U27" s="2"/>
      <c r="V27" s="27" t="s">
        <v>448</v>
      </c>
      <c r="W27" s="27" t="s">
        <v>449</v>
      </c>
      <c r="X27" s="27" t="s">
        <v>450</v>
      </c>
      <c r="Y27" s="27" t="s">
        <v>451</v>
      </c>
      <c r="Z27" s="27" t="s">
        <v>452</v>
      </c>
      <c r="AA27" s="27" t="s">
        <v>453</v>
      </c>
      <c r="AB27" s="27" t="s">
        <v>383</v>
      </c>
      <c r="AC27" s="27" t="s">
        <v>454</v>
      </c>
    </row>
    <row r="28" spans="1:29" x14ac:dyDescent="0.25">
      <c r="A28" s="27" t="s">
        <v>1253</v>
      </c>
      <c r="B28" s="27" t="str">
        <f t="shared" si="0"/>
        <v>South Carolina</v>
      </c>
      <c r="C28" s="27" t="str">
        <f t="shared" si="1"/>
        <v>Jasper</v>
      </c>
      <c r="D28" s="2">
        <v>1932</v>
      </c>
      <c r="E28" s="2">
        <v>77</v>
      </c>
      <c r="F28" s="2">
        <v>108</v>
      </c>
      <c r="G28" s="2">
        <v>2589</v>
      </c>
      <c r="H28" s="29">
        <v>32793.550000000003</v>
      </c>
      <c r="I28" s="28">
        <f t="shared" si="2"/>
        <v>78.868566618566618</v>
      </c>
      <c r="J28" s="2">
        <v>42194</v>
      </c>
      <c r="K28" s="2">
        <v>56</v>
      </c>
      <c r="L28" s="144">
        <v>19</v>
      </c>
      <c r="M28" s="144">
        <v>42</v>
      </c>
      <c r="N28" s="144">
        <f t="shared" si="3"/>
        <v>61</v>
      </c>
      <c r="O28" s="27"/>
      <c r="P28" s="28">
        <f>654+2.2</f>
        <v>656.2</v>
      </c>
      <c r="Q28" s="27">
        <f>1033.75+22.75</f>
        <v>1056.5</v>
      </c>
      <c r="R28" s="27">
        <f>2261.96+83.45</f>
        <v>2345.41</v>
      </c>
      <c r="S28" s="29">
        <f t="shared" si="4"/>
        <v>4058.1099999999997</v>
      </c>
      <c r="T28" s="41">
        <v>1925</v>
      </c>
      <c r="U28" s="2"/>
      <c r="V28" s="27" t="s">
        <v>448</v>
      </c>
      <c r="W28" s="27" t="s">
        <v>449</v>
      </c>
      <c r="X28" s="27" t="s">
        <v>450</v>
      </c>
      <c r="Y28" s="27" t="s">
        <v>451</v>
      </c>
      <c r="Z28" s="27" t="s">
        <v>452</v>
      </c>
      <c r="AA28" s="27" t="s">
        <v>453</v>
      </c>
      <c r="AB28" s="27" t="s">
        <v>383</v>
      </c>
      <c r="AC28" s="27" t="s">
        <v>454</v>
      </c>
    </row>
    <row r="29" spans="1:29" x14ac:dyDescent="0.25">
      <c r="A29" s="27" t="s">
        <v>1254</v>
      </c>
      <c r="B29" s="27" t="str">
        <f t="shared" si="0"/>
        <v>South Carolina</v>
      </c>
      <c r="C29" s="27" t="str">
        <f t="shared" si="1"/>
        <v>Kershaw</v>
      </c>
      <c r="D29" s="2">
        <v>6968</v>
      </c>
      <c r="E29" s="2">
        <v>234</v>
      </c>
      <c r="F29" s="2">
        <v>141</v>
      </c>
      <c r="G29" s="2">
        <v>10235</v>
      </c>
      <c r="H29" s="29">
        <v>152874.29</v>
      </c>
      <c r="I29" s="28">
        <f t="shared" si="2"/>
        <v>92.667933563678261</v>
      </c>
      <c r="J29" s="2">
        <v>305822</v>
      </c>
      <c r="K29" s="2">
        <v>96</v>
      </c>
      <c r="L29" s="144">
        <v>54</v>
      </c>
      <c r="M29" s="144">
        <v>62</v>
      </c>
      <c r="N29" s="144">
        <f t="shared" si="3"/>
        <v>116</v>
      </c>
      <c r="O29" s="27">
        <v>53</v>
      </c>
      <c r="P29" s="28">
        <f>8958.26+2774.99</f>
        <v>11733.25</v>
      </c>
      <c r="Q29" s="27">
        <f>18736.23+5617.8</f>
        <v>24354.03</v>
      </c>
      <c r="R29" s="27">
        <f>85143.57+2449.84</f>
        <v>87593.41</v>
      </c>
      <c r="S29" s="29">
        <f t="shared" si="4"/>
        <v>123680.69</v>
      </c>
      <c r="T29" s="41">
        <v>1925</v>
      </c>
      <c r="U29" s="2"/>
      <c r="V29" s="27" t="s">
        <v>448</v>
      </c>
      <c r="W29" s="27" t="s">
        <v>449</v>
      </c>
      <c r="X29" s="27" t="s">
        <v>450</v>
      </c>
      <c r="Y29" s="27" t="s">
        <v>451</v>
      </c>
      <c r="Z29" s="27" t="s">
        <v>452</v>
      </c>
      <c r="AA29" s="27" t="s">
        <v>453</v>
      </c>
      <c r="AB29" s="27" t="s">
        <v>383</v>
      </c>
      <c r="AC29" s="27" t="s">
        <v>454</v>
      </c>
    </row>
    <row r="30" spans="1:29" x14ac:dyDescent="0.25">
      <c r="A30" s="27" t="s">
        <v>1255</v>
      </c>
      <c r="B30" s="27" t="str">
        <f t="shared" si="0"/>
        <v>South Carolina</v>
      </c>
      <c r="C30" s="27" t="str">
        <f t="shared" si="1"/>
        <v>Lancaster</v>
      </c>
      <c r="D30" s="2">
        <v>6122</v>
      </c>
      <c r="E30" s="2">
        <v>233</v>
      </c>
      <c r="F30" s="2">
        <v>131</v>
      </c>
      <c r="G30" s="2">
        <v>8750</v>
      </c>
      <c r="H30" s="29">
        <v>151408.54</v>
      </c>
      <c r="I30" s="28">
        <f t="shared" si="2"/>
        <v>99.209474822265179</v>
      </c>
      <c r="J30" s="2">
        <v>211362</v>
      </c>
      <c r="K30" s="2">
        <v>87</v>
      </c>
      <c r="L30" s="144">
        <v>47</v>
      </c>
      <c r="M30" s="144">
        <v>49</v>
      </c>
      <c r="N30" s="144">
        <f t="shared" si="3"/>
        <v>96</v>
      </c>
      <c r="O30" s="27"/>
      <c r="P30" s="28">
        <v>1182.22</v>
      </c>
      <c r="Q30" s="27">
        <f>1841.63+20</f>
        <v>1861.63</v>
      </c>
      <c r="R30" s="27">
        <f>40104.59+5.5</f>
        <v>40110.089999999997</v>
      </c>
      <c r="S30" s="29">
        <f t="shared" si="4"/>
        <v>43153.939999999995</v>
      </c>
      <c r="T30" s="41">
        <v>1925</v>
      </c>
      <c r="U30" s="2"/>
      <c r="V30" s="27" t="s">
        <v>455</v>
      </c>
      <c r="W30" s="27" t="s">
        <v>449</v>
      </c>
      <c r="X30" s="27" t="s">
        <v>450</v>
      </c>
      <c r="Y30" s="27" t="s">
        <v>451</v>
      </c>
      <c r="Z30" s="27" t="s">
        <v>452</v>
      </c>
      <c r="AA30" s="27" t="s">
        <v>453</v>
      </c>
      <c r="AB30" s="27" t="s">
        <v>383</v>
      </c>
      <c r="AC30" s="27" t="s">
        <v>454</v>
      </c>
    </row>
    <row r="31" spans="1:29" x14ac:dyDescent="0.25">
      <c r="A31" s="27" t="s">
        <v>1256</v>
      </c>
      <c r="B31" s="27" t="str">
        <f t="shared" si="0"/>
        <v>South Carolina</v>
      </c>
      <c r="C31" s="27" t="str">
        <f t="shared" si="1"/>
        <v>Laurens</v>
      </c>
      <c r="D31" s="2">
        <v>7528</v>
      </c>
      <c r="E31" s="2">
        <v>314</v>
      </c>
      <c r="F31" s="2">
        <v>137</v>
      </c>
      <c r="G31" s="2">
        <v>10626</v>
      </c>
      <c r="H31" s="29">
        <v>230944.16</v>
      </c>
      <c r="I31" s="28">
        <f t="shared" si="2"/>
        <v>107.37094239620625</v>
      </c>
      <c r="J31" s="2">
        <v>304128</v>
      </c>
      <c r="K31" s="2">
        <v>121</v>
      </c>
      <c r="L31" s="144">
        <v>64</v>
      </c>
      <c r="M31" s="144">
        <v>71</v>
      </c>
      <c r="N31" s="144">
        <f t="shared" si="3"/>
        <v>135</v>
      </c>
      <c r="O31" s="27">
        <v>63</v>
      </c>
      <c r="P31" s="28">
        <v>4076.81</v>
      </c>
      <c r="Q31" s="27">
        <f>8453.79+48.34</f>
        <v>8502.130000000001</v>
      </c>
      <c r="R31" s="27">
        <f>33438.73+2425.4</f>
        <v>35864.130000000005</v>
      </c>
      <c r="S31" s="29">
        <f t="shared" si="4"/>
        <v>48443.070000000007</v>
      </c>
      <c r="T31" s="41">
        <v>1925</v>
      </c>
      <c r="U31" s="2"/>
      <c r="V31" s="27" t="s">
        <v>455</v>
      </c>
      <c r="W31" s="27" t="s">
        <v>449</v>
      </c>
      <c r="X31" s="27" t="s">
        <v>450</v>
      </c>
      <c r="Y31" s="27" t="s">
        <v>451</v>
      </c>
      <c r="Z31" s="27" t="s">
        <v>456</v>
      </c>
      <c r="AA31" s="27" t="s">
        <v>457</v>
      </c>
      <c r="AB31" s="27" t="s">
        <v>383</v>
      </c>
      <c r="AC31" s="27" t="s">
        <v>454</v>
      </c>
    </row>
    <row r="32" spans="1:29" x14ac:dyDescent="0.25">
      <c r="A32" s="27" t="s">
        <v>1257</v>
      </c>
      <c r="B32" s="27" t="str">
        <f t="shared" si="0"/>
        <v>South Carolina</v>
      </c>
      <c r="C32" s="27" t="str">
        <f t="shared" si="1"/>
        <v>Lee</v>
      </c>
      <c r="D32" s="2">
        <v>5183</v>
      </c>
      <c r="E32" s="2">
        <v>181</v>
      </c>
      <c r="F32" s="2">
        <v>120</v>
      </c>
      <c r="G32" s="2">
        <v>7669</v>
      </c>
      <c r="H32" s="29">
        <v>111590.32</v>
      </c>
      <c r="I32" s="28">
        <f t="shared" si="2"/>
        <v>102.75351749539595</v>
      </c>
      <c r="J32" s="2">
        <v>185148</v>
      </c>
      <c r="K32" s="2">
        <v>82</v>
      </c>
      <c r="L32" s="144">
        <v>33</v>
      </c>
      <c r="M32" s="144">
        <v>47</v>
      </c>
      <c r="N32" s="144">
        <f t="shared" si="3"/>
        <v>80</v>
      </c>
      <c r="O32" s="27">
        <v>446</v>
      </c>
      <c r="P32" s="28">
        <f>2403.97+62.48</f>
        <v>2466.4499999999998</v>
      </c>
      <c r="Q32" s="27">
        <v>4040.07</v>
      </c>
      <c r="R32" s="27">
        <f>46551.68+498.53</f>
        <v>47050.21</v>
      </c>
      <c r="S32" s="29">
        <f t="shared" si="4"/>
        <v>53556.729999999996</v>
      </c>
      <c r="T32" s="41">
        <v>1925</v>
      </c>
      <c r="U32" s="2"/>
      <c r="V32" s="27" t="s">
        <v>455</v>
      </c>
      <c r="W32" s="27" t="s">
        <v>449</v>
      </c>
      <c r="X32" s="27" t="s">
        <v>450</v>
      </c>
      <c r="Y32" s="27" t="s">
        <v>451</v>
      </c>
      <c r="Z32" s="27" t="s">
        <v>456</v>
      </c>
      <c r="AA32" s="27" t="s">
        <v>457</v>
      </c>
      <c r="AB32" s="27" t="s">
        <v>383</v>
      </c>
      <c r="AC32" s="27" t="s">
        <v>454</v>
      </c>
    </row>
    <row r="33" spans="1:29" x14ac:dyDescent="0.25">
      <c r="A33" s="27" t="s">
        <v>1258</v>
      </c>
      <c r="B33" s="27" t="str">
        <f t="shared" si="0"/>
        <v>South Carolina</v>
      </c>
      <c r="C33" s="27" t="str">
        <f t="shared" si="1"/>
        <v>Lexington</v>
      </c>
      <c r="D33" s="2">
        <v>7437</v>
      </c>
      <c r="E33" s="2">
        <v>317</v>
      </c>
      <c r="F33" s="2">
        <v>142</v>
      </c>
      <c r="G33" s="2">
        <v>10280</v>
      </c>
      <c r="H33" s="29">
        <v>253496.42</v>
      </c>
      <c r="I33" s="28">
        <f t="shared" si="2"/>
        <v>112.63003510019107</v>
      </c>
      <c r="J33" s="2">
        <v>404724</v>
      </c>
      <c r="K33" s="2">
        <v>119</v>
      </c>
      <c r="L33" s="144">
        <v>78</v>
      </c>
      <c r="M33" s="144">
        <v>53</v>
      </c>
      <c r="N33" s="144">
        <f t="shared" si="3"/>
        <v>131</v>
      </c>
      <c r="O33" s="27"/>
      <c r="P33" s="28">
        <v>16097.41</v>
      </c>
      <c r="Q33" s="27">
        <f>9702.87+94</f>
        <v>9796.8700000000008</v>
      </c>
      <c r="R33" s="27">
        <f>80657.26+23</f>
        <v>80680.259999999995</v>
      </c>
      <c r="S33" s="29">
        <f t="shared" si="4"/>
        <v>106574.54</v>
      </c>
      <c r="T33" s="41">
        <v>1925</v>
      </c>
      <c r="U33" s="2"/>
      <c r="V33" s="27" t="s">
        <v>455</v>
      </c>
      <c r="W33" s="27" t="s">
        <v>449</v>
      </c>
      <c r="X33" s="27" t="s">
        <v>450</v>
      </c>
      <c r="Y33" s="27" t="s">
        <v>451</v>
      </c>
      <c r="Z33" s="27" t="s">
        <v>456</v>
      </c>
      <c r="AA33" s="27" t="s">
        <v>457</v>
      </c>
      <c r="AB33" s="27" t="s">
        <v>383</v>
      </c>
      <c r="AC33" s="27" t="s">
        <v>454</v>
      </c>
    </row>
    <row r="34" spans="1:29" x14ac:dyDescent="0.25">
      <c r="A34" s="27" t="s">
        <v>1260</v>
      </c>
      <c r="B34" s="27" t="str">
        <f t="shared" si="0"/>
        <v>South Carolina</v>
      </c>
      <c r="C34" s="27" t="str">
        <f t="shared" si="1"/>
        <v>Marion</v>
      </c>
      <c r="D34" s="2">
        <v>2599</v>
      </c>
      <c r="E34" s="2">
        <v>94</v>
      </c>
      <c r="F34" s="2">
        <v>124</v>
      </c>
      <c r="G34" s="2">
        <v>3900</v>
      </c>
      <c r="H34" s="29">
        <v>51812.51</v>
      </c>
      <c r="I34" s="28">
        <f t="shared" si="2"/>
        <v>88.902728208647915</v>
      </c>
      <c r="J34" s="2">
        <v>120013</v>
      </c>
      <c r="K34" s="2">
        <v>62</v>
      </c>
      <c r="L34" s="144">
        <v>25</v>
      </c>
      <c r="M34" s="144">
        <v>45</v>
      </c>
      <c r="N34" s="144">
        <f t="shared" si="3"/>
        <v>70</v>
      </c>
      <c r="O34" s="27">
        <v>28</v>
      </c>
      <c r="P34" s="28">
        <v>388.2</v>
      </c>
      <c r="Q34" s="27">
        <f>3338.47+650</f>
        <v>3988.47</v>
      </c>
      <c r="R34" s="27">
        <v>52867.09</v>
      </c>
      <c r="S34" s="29">
        <f t="shared" si="4"/>
        <v>57243.759999999995</v>
      </c>
      <c r="T34" s="41">
        <v>1925</v>
      </c>
      <c r="U34" s="2"/>
      <c r="V34" s="27" t="s">
        <v>455</v>
      </c>
      <c r="W34" s="27" t="s">
        <v>449</v>
      </c>
      <c r="X34" s="27" t="s">
        <v>450</v>
      </c>
      <c r="Y34" s="27" t="s">
        <v>451</v>
      </c>
      <c r="Z34" s="27" t="s">
        <v>456</v>
      </c>
      <c r="AA34" s="27" t="s">
        <v>457</v>
      </c>
      <c r="AB34" s="27" t="s">
        <v>383</v>
      </c>
      <c r="AC34" s="27" t="s">
        <v>454</v>
      </c>
    </row>
    <row r="35" spans="1:29" x14ac:dyDescent="0.25">
      <c r="A35" s="27" t="s">
        <v>1261</v>
      </c>
      <c r="B35" s="27" t="str">
        <f t="shared" si="0"/>
        <v>South Carolina</v>
      </c>
      <c r="C35" s="27" t="str">
        <f t="shared" si="1"/>
        <v>Marlboro</v>
      </c>
      <c r="D35" s="2">
        <v>5302</v>
      </c>
      <c r="E35" s="2">
        <v>202</v>
      </c>
      <c r="F35" s="2">
        <v>141</v>
      </c>
      <c r="G35" s="2">
        <v>7504</v>
      </c>
      <c r="H35" s="29">
        <v>160578.29999999999</v>
      </c>
      <c r="I35" s="28">
        <f t="shared" si="2"/>
        <v>112.75774173161997</v>
      </c>
      <c r="J35" s="2">
        <v>281216</v>
      </c>
      <c r="K35" s="2">
        <v>49</v>
      </c>
      <c r="L35" s="144">
        <v>27</v>
      </c>
      <c r="M35" s="144">
        <v>29</v>
      </c>
      <c r="N35" s="144">
        <f t="shared" si="3"/>
        <v>56</v>
      </c>
      <c r="O35" s="27">
        <v>40</v>
      </c>
      <c r="P35" s="28">
        <f>5928.71+636.89</f>
        <v>6565.6</v>
      </c>
      <c r="Q35" s="27">
        <f>19268.65+857.67</f>
        <v>20126.32</v>
      </c>
      <c r="R35" s="27">
        <f>26865.5+21399.65</f>
        <v>48265.15</v>
      </c>
      <c r="S35" s="29">
        <f t="shared" si="4"/>
        <v>74957.070000000007</v>
      </c>
      <c r="T35" s="41">
        <v>1925</v>
      </c>
      <c r="U35" s="2"/>
      <c r="V35" s="27" t="s">
        <v>455</v>
      </c>
      <c r="W35" s="27" t="s">
        <v>449</v>
      </c>
      <c r="X35" s="27" t="s">
        <v>450</v>
      </c>
      <c r="Y35" s="27" t="s">
        <v>451</v>
      </c>
      <c r="Z35" s="27" t="s">
        <v>456</v>
      </c>
      <c r="AA35" s="27" t="s">
        <v>457</v>
      </c>
      <c r="AB35" s="27" t="s">
        <v>383</v>
      </c>
      <c r="AC35" s="27" t="s">
        <v>454</v>
      </c>
    </row>
    <row r="36" spans="1:29" x14ac:dyDescent="0.25">
      <c r="A36" s="27" t="s">
        <v>1259</v>
      </c>
      <c r="B36" s="27" t="str">
        <f t="shared" si="0"/>
        <v>South Carolina</v>
      </c>
      <c r="C36" s="27" t="str">
        <f t="shared" si="1"/>
        <v>McCormick</v>
      </c>
      <c r="D36" s="2">
        <v>5923</v>
      </c>
      <c r="E36" s="2">
        <v>213</v>
      </c>
      <c r="F36" s="2">
        <v>137</v>
      </c>
      <c r="G36" s="2">
        <v>8899</v>
      </c>
      <c r="H36" s="29">
        <v>165613.82</v>
      </c>
      <c r="I36" s="28">
        <f t="shared" si="2"/>
        <v>113.50798122065729</v>
      </c>
      <c r="J36" s="2">
        <v>232089</v>
      </c>
      <c r="K36" s="2">
        <v>76</v>
      </c>
      <c r="L36" s="144">
        <v>37</v>
      </c>
      <c r="M36" s="144">
        <v>43</v>
      </c>
      <c r="N36" s="144">
        <f t="shared" si="3"/>
        <v>80</v>
      </c>
      <c r="O36" s="27">
        <v>45</v>
      </c>
      <c r="P36" s="28">
        <f>5289.22+294.1</f>
        <v>5583.3200000000006</v>
      </c>
      <c r="Q36" s="27">
        <f>43076.44+62.54</f>
        <v>43138.98</v>
      </c>
      <c r="R36" s="27">
        <f>4740.51+10175.71</f>
        <v>14916.22</v>
      </c>
      <c r="S36" s="29">
        <f t="shared" si="4"/>
        <v>63638.520000000004</v>
      </c>
      <c r="T36" s="41">
        <v>1925</v>
      </c>
      <c r="U36" s="2"/>
      <c r="V36" s="27" t="s">
        <v>455</v>
      </c>
      <c r="W36" s="27" t="s">
        <v>449</v>
      </c>
      <c r="X36" s="27" t="s">
        <v>450</v>
      </c>
      <c r="Y36" s="27" t="s">
        <v>451</v>
      </c>
      <c r="Z36" s="27" t="s">
        <v>456</v>
      </c>
      <c r="AA36" s="27" t="s">
        <v>457</v>
      </c>
      <c r="AB36" s="27" t="s">
        <v>383</v>
      </c>
      <c r="AC36" s="27" t="s">
        <v>454</v>
      </c>
    </row>
    <row r="37" spans="1:29" x14ac:dyDescent="0.25">
      <c r="A37" s="27" t="s">
        <v>1262</v>
      </c>
      <c r="B37" s="27" t="str">
        <f t="shared" si="0"/>
        <v>South Carolina</v>
      </c>
      <c r="C37" s="27" t="str">
        <f t="shared" si="1"/>
        <v>Newberry</v>
      </c>
      <c r="D37" s="2">
        <v>6896</v>
      </c>
      <c r="E37" s="2">
        <v>261</v>
      </c>
      <c r="F37" s="2">
        <v>147</v>
      </c>
      <c r="G37" s="2">
        <v>9814</v>
      </c>
      <c r="H37" s="29">
        <v>185471.22</v>
      </c>
      <c r="I37" s="28">
        <f t="shared" si="2"/>
        <v>96.682680428493242</v>
      </c>
      <c r="J37" s="2">
        <v>335404</v>
      </c>
      <c r="K37" s="2">
        <v>107</v>
      </c>
      <c r="L37" s="144">
        <v>57</v>
      </c>
      <c r="M37" s="144">
        <v>55</v>
      </c>
      <c r="N37" s="144">
        <f t="shared" si="3"/>
        <v>112</v>
      </c>
      <c r="O37" s="27">
        <v>60</v>
      </c>
      <c r="P37" s="28">
        <f>16196.27+1320.32</f>
        <v>17516.59</v>
      </c>
      <c r="Q37" s="27">
        <f>28006.55+439</f>
        <v>28445.55</v>
      </c>
      <c r="R37" s="27">
        <f>74294.7+19335.17</f>
        <v>93629.87</v>
      </c>
      <c r="S37" s="29">
        <f t="shared" si="4"/>
        <v>139592.01</v>
      </c>
      <c r="T37" s="41">
        <v>1925</v>
      </c>
      <c r="U37" s="2"/>
      <c r="V37" s="27" t="s">
        <v>455</v>
      </c>
      <c r="W37" s="27" t="s">
        <v>449</v>
      </c>
      <c r="X37" s="27" t="s">
        <v>450</v>
      </c>
      <c r="Y37" s="27" t="s">
        <v>451</v>
      </c>
      <c r="Z37" s="27" t="s">
        <v>456</v>
      </c>
      <c r="AA37" s="27" t="s">
        <v>457</v>
      </c>
      <c r="AB37" s="27" t="s">
        <v>383</v>
      </c>
      <c r="AC37" s="27" t="s">
        <v>454</v>
      </c>
    </row>
    <row r="38" spans="1:29" x14ac:dyDescent="0.25">
      <c r="A38" s="27" t="s">
        <v>1263</v>
      </c>
      <c r="B38" s="27" t="str">
        <f t="shared" si="0"/>
        <v>South Carolina</v>
      </c>
      <c r="C38" s="27" t="str">
        <f t="shared" si="1"/>
        <v>Oconee</v>
      </c>
      <c r="D38" s="2">
        <v>6595</v>
      </c>
      <c r="E38" s="2">
        <v>318</v>
      </c>
      <c r="F38" s="2">
        <v>153</v>
      </c>
      <c r="G38" s="2">
        <v>10319</v>
      </c>
      <c r="H38" s="29">
        <v>232903.03</v>
      </c>
      <c r="I38" s="28">
        <f t="shared" si="2"/>
        <v>95.738492210301303</v>
      </c>
      <c r="J38" s="2">
        <v>398393</v>
      </c>
      <c r="K38" s="2">
        <v>101</v>
      </c>
      <c r="L38" s="144">
        <v>74</v>
      </c>
      <c r="M38" s="144">
        <v>32</v>
      </c>
      <c r="N38" s="144">
        <f t="shared" si="3"/>
        <v>106</v>
      </c>
      <c r="O38" s="27"/>
      <c r="P38" s="28">
        <f>10787.69+21</f>
        <v>10808.69</v>
      </c>
      <c r="Q38" s="27">
        <f>46958.36+97.84</f>
        <v>47056.2</v>
      </c>
      <c r="R38" s="27">
        <f>61207.91+11798.89</f>
        <v>73006.8</v>
      </c>
      <c r="S38" s="29">
        <f t="shared" si="4"/>
        <v>130871.69</v>
      </c>
      <c r="T38" s="41">
        <v>1925</v>
      </c>
      <c r="U38" s="2"/>
      <c r="V38" s="27" t="s">
        <v>455</v>
      </c>
      <c r="W38" s="27" t="s">
        <v>449</v>
      </c>
      <c r="X38" s="27" t="s">
        <v>450</v>
      </c>
      <c r="Y38" s="27" t="s">
        <v>451</v>
      </c>
      <c r="Z38" s="27" t="s">
        <v>456</v>
      </c>
      <c r="AA38" s="27" t="s">
        <v>457</v>
      </c>
      <c r="AB38" s="27" t="s">
        <v>383</v>
      </c>
      <c r="AC38" s="27" t="s">
        <v>454</v>
      </c>
    </row>
    <row r="39" spans="1:29" x14ac:dyDescent="0.25">
      <c r="A39" s="27" t="s">
        <v>1264</v>
      </c>
      <c r="B39" s="27" t="str">
        <f t="shared" si="0"/>
        <v>South Carolina</v>
      </c>
      <c r="C39" s="27" t="str">
        <f t="shared" si="1"/>
        <v>Orangeburg</v>
      </c>
      <c r="D39" s="2">
        <v>13680</v>
      </c>
      <c r="E39" s="2">
        <v>416</v>
      </c>
      <c r="F39" s="2">
        <v>132</v>
      </c>
      <c r="G39" s="2">
        <v>19562</v>
      </c>
      <c r="H39" s="29">
        <v>304401.21999999997</v>
      </c>
      <c r="I39" s="28">
        <f t="shared" si="2"/>
        <v>110.86874271561771</v>
      </c>
      <c r="J39" s="2">
        <v>409206</v>
      </c>
      <c r="K39" s="2">
        <v>159</v>
      </c>
      <c r="L39" s="144">
        <v>68</v>
      </c>
      <c r="M39" s="144">
        <v>107</v>
      </c>
      <c r="N39" s="144">
        <f t="shared" si="3"/>
        <v>175</v>
      </c>
      <c r="O39" s="27"/>
      <c r="P39" s="28">
        <f>17882.03+1684.76</f>
        <v>19566.789999999997</v>
      </c>
      <c r="Q39" s="27">
        <f>32270.84+122.65</f>
        <v>32393.49</v>
      </c>
      <c r="R39" s="27">
        <f>29431.67+11435.54</f>
        <v>40867.21</v>
      </c>
      <c r="S39" s="29">
        <f t="shared" si="4"/>
        <v>92827.489999999991</v>
      </c>
      <c r="T39" s="41">
        <v>1925</v>
      </c>
      <c r="U39" s="2"/>
      <c r="V39" s="27" t="s">
        <v>455</v>
      </c>
      <c r="W39" s="27" t="s">
        <v>449</v>
      </c>
      <c r="X39" s="27" t="s">
        <v>450</v>
      </c>
      <c r="Y39" s="27" t="s">
        <v>451</v>
      </c>
      <c r="Z39" s="27" t="s">
        <v>456</v>
      </c>
      <c r="AA39" s="27" t="s">
        <v>457</v>
      </c>
      <c r="AB39" s="27" t="s">
        <v>383</v>
      </c>
      <c r="AC39" s="27" t="s">
        <v>454</v>
      </c>
    </row>
    <row r="40" spans="1:29" x14ac:dyDescent="0.25">
      <c r="A40" s="27" t="s">
        <v>1265</v>
      </c>
      <c r="B40" s="27" t="str">
        <f t="shared" si="0"/>
        <v>South Carolina</v>
      </c>
      <c r="C40" s="27" t="str">
        <f t="shared" si="1"/>
        <v>Pickens</v>
      </c>
      <c r="D40" s="2">
        <v>6260</v>
      </c>
      <c r="E40" s="2">
        <v>278</v>
      </c>
      <c r="F40" s="29">
        <v>151</v>
      </c>
      <c r="G40" s="2">
        <v>9370</v>
      </c>
      <c r="H40" s="29">
        <v>218857.43</v>
      </c>
      <c r="I40" s="28">
        <f t="shared" si="2"/>
        <v>104.27244270808518</v>
      </c>
      <c r="J40" s="2">
        <v>373347</v>
      </c>
      <c r="K40" s="2">
        <v>75</v>
      </c>
      <c r="L40" s="144">
        <v>59</v>
      </c>
      <c r="M40" s="144">
        <v>24</v>
      </c>
      <c r="N40" s="144">
        <f t="shared" si="3"/>
        <v>83</v>
      </c>
      <c r="O40" s="27"/>
      <c r="P40" s="28">
        <f>9611.79+95.85</f>
        <v>9707.6400000000012</v>
      </c>
      <c r="Q40" s="27">
        <f>20748.95+203.7</f>
        <v>20952.650000000001</v>
      </c>
      <c r="R40" s="27">
        <f>85656.52+3672.5</f>
        <v>89329.02</v>
      </c>
      <c r="S40" s="29">
        <f t="shared" si="4"/>
        <v>119989.31</v>
      </c>
      <c r="T40" s="41">
        <v>1925</v>
      </c>
      <c r="U40" s="2"/>
      <c r="V40" s="27" t="s">
        <v>455</v>
      </c>
      <c r="W40" s="27" t="s">
        <v>449</v>
      </c>
      <c r="X40" s="27" t="s">
        <v>450</v>
      </c>
      <c r="Y40" s="27" t="s">
        <v>451</v>
      </c>
      <c r="Z40" s="27" t="s">
        <v>456</v>
      </c>
      <c r="AA40" s="27" t="s">
        <v>457</v>
      </c>
      <c r="AB40" s="27" t="s">
        <v>383</v>
      </c>
      <c r="AC40" s="27" t="s">
        <v>454</v>
      </c>
    </row>
    <row r="41" spans="1:29" x14ac:dyDescent="0.25">
      <c r="A41" s="27" t="s">
        <v>1266</v>
      </c>
      <c r="B41" s="27" t="str">
        <f t="shared" si="0"/>
        <v>South Carolina</v>
      </c>
      <c r="C41" s="27" t="str">
        <f t="shared" si="1"/>
        <v>Richland</v>
      </c>
      <c r="D41" s="2">
        <v>13898</v>
      </c>
      <c r="E41" s="2">
        <v>505</v>
      </c>
      <c r="F41" s="2">
        <v>159</v>
      </c>
      <c r="G41" s="2">
        <v>19149</v>
      </c>
      <c r="H41" s="29">
        <v>490571.22</v>
      </c>
      <c r="I41" s="28">
        <f t="shared" si="2"/>
        <v>122.19222118438257</v>
      </c>
      <c r="J41" s="2">
        <v>956036</v>
      </c>
      <c r="K41" s="2">
        <v>127</v>
      </c>
      <c r="L41" s="144">
        <v>53</v>
      </c>
      <c r="M41" s="144">
        <v>74</v>
      </c>
      <c r="N41" s="144">
        <f t="shared" si="3"/>
        <v>127</v>
      </c>
      <c r="O41" s="27">
        <v>74</v>
      </c>
      <c r="P41" s="28">
        <f>18082.23+2410.7</f>
        <v>20492.93</v>
      </c>
      <c r="Q41" s="27">
        <f>47170.84+7431.06</f>
        <v>54601.899999999994</v>
      </c>
      <c r="R41" s="27">
        <f>232894.46+68019.15</f>
        <v>300913.61</v>
      </c>
      <c r="S41" s="29">
        <f t="shared" si="4"/>
        <v>376008.43999999994</v>
      </c>
      <c r="T41" s="41">
        <v>1925</v>
      </c>
      <c r="U41" s="2"/>
      <c r="V41" s="27" t="s">
        <v>455</v>
      </c>
      <c r="W41" s="27" t="s">
        <v>449</v>
      </c>
      <c r="X41" s="27" t="s">
        <v>450</v>
      </c>
      <c r="Y41" s="27" t="s">
        <v>451</v>
      </c>
      <c r="Z41" s="27" t="s">
        <v>456</v>
      </c>
      <c r="AA41" s="27" t="s">
        <v>457</v>
      </c>
      <c r="AB41" s="27" t="s">
        <v>383</v>
      </c>
      <c r="AC41" s="27" t="s">
        <v>454</v>
      </c>
    </row>
    <row r="42" spans="1:29" x14ac:dyDescent="0.25">
      <c r="A42" s="27" t="s">
        <v>1267</v>
      </c>
      <c r="B42" s="27" t="str">
        <f t="shared" si="0"/>
        <v>South Carolina</v>
      </c>
      <c r="C42" s="27" t="str">
        <f t="shared" si="1"/>
        <v>Saluda</v>
      </c>
      <c r="D42" s="2">
        <v>4394</v>
      </c>
      <c r="E42" s="2">
        <v>169</v>
      </c>
      <c r="F42" s="2">
        <v>124</v>
      </c>
      <c r="G42" s="2">
        <v>6217</v>
      </c>
      <c r="H42" s="29">
        <v>109943.9</v>
      </c>
      <c r="I42" s="28">
        <f t="shared" si="2"/>
        <v>104.92832601641534</v>
      </c>
      <c r="J42" s="2">
        <v>155311</v>
      </c>
      <c r="K42" s="2">
        <v>86</v>
      </c>
      <c r="L42" s="144">
        <v>43</v>
      </c>
      <c r="M42" s="144">
        <v>48</v>
      </c>
      <c r="N42" s="144">
        <f t="shared" si="3"/>
        <v>91</v>
      </c>
      <c r="O42" s="27">
        <v>43</v>
      </c>
      <c r="P42" s="28">
        <f>662.36+10</f>
        <v>672.36</v>
      </c>
      <c r="Q42" s="27">
        <f>7904.76+170</f>
        <v>8074.76</v>
      </c>
      <c r="R42" s="27">
        <f>27887.1+4092.4</f>
        <v>31979.5</v>
      </c>
      <c r="S42" s="29">
        <f t="shared" si="4"/>
        <v>40726.620000000003</v>
      </c>
      <c r="T42" s="41">
        <v>1925</v>
      </c>
      <c r="U42" s="2"/>
      <c r="V42" s="27" t="s">
        <v>455</v>
      </c>
      <c r="W42" s="27" t="s">
        <v>449</v>
      </c>
      <c r="X42" s="27" t="s">
        <v>450</v>
      </c>
      <c r="Y42" s="27" t="s">
        <v>451</v>
      </c>
      <c r="Z42" s="27" t="s">
        <v>456</v>
      </c>
      <c r="AA42" s="27" t="s">
        <v>457</v>
      </c>
      <c r="AB42" s="27" t="s">
        <v>383</v>
      </c>
      <c r="AC42" s="27" t="s">
        <v>454</v>
      </c>
    </row>
    <row r="43" spans="1:29" x14ac:dyDescent="0.25">
      <c r="A43" s="27" t="s">
        <v>1268</v>
      </c>
      <c r="B43" s="27" t="str">
        <f t="shared" si="0"/>
        <v>South Carolina</v>
      </c>
      <c r="C43" s="27" t="str">
        <f t="shared" si="1"/>
        <v>Spartanburg</v>
      </c>
      <c r="D43" s="2">
        <v>21015</v>
      </c>
      <c r="E43" s="2">
        <v>833</v>
      </c>
      <c r="F43" s="2">
        <v>157</v>
      </c>
      <c r="G43" s="2">
        <v>31116</v>
      </c>
      <c r="H43" s="29">
        <v>649943.94999999995</v>
      </c>
      <c r="I43" s="28">
        <f t="shared" si="2"/>
        <v>99.39424687072281</v>
      </c>
      <c r="J43" s="2">
        <v>1234069</v>
      </c>
      <c r="K43" s="2">
        <v>204</v>
      </c>
      <c r="L43" s="144">
        <v>130</v>
      </c>
      <c r="M43" s="144">
        <v>77</v>
      </c>
      <c r="N43" s="144">
        <f t="shared" si="3"/>
        <v>207</v>
      </c>
      <c r="O43" s="27"/>
      <c r="P43" s="28">
        <f>17895.46+155.05</f>
        <v>18050.509999999998</v>
      </c>
      <c r="Q43" s="27">
        <f>41797.01+4612.83</f>
        <v>46409.840000000004</v>
      </c>
      <c r="R43" s="27">
        <f>396353.86+5416.55</f>
        <v>401770.41</v>
      </c>
      <c r="S43" s="29">
        <f t="shared" si="4"/>
        <v>466230.76</v>
      </c>
      <c r="T43" s="41">
        <v>1925</v>
      </c>
      <c r="U43" s="2"/>
      <c r="V43" s="27" t="s">
        <v>455</v>
      </c>
      <c r="W43" s="27" t="s">
        <v>449</v>
      </c>
      <c r="X43" s="27" t="s">
        <v>450</v>
      </c>
      <c r="Y43" s="27" t="s">
        <v>451</v>
      </c>
      <c r="Z43" s="27" t="s">
        <v>456</v>
      </c>
      <c r="AA43" s="27" t="s">
        <v>457</v>
      </c>
      <c r="AB43" s="27" t="s">
        <v>383</v>
      </c>
      <c r="AC43" s="27" t="s">
        <v>454</v>
      </c>
    </row>
    <row r="44" spans="1:29" x14ac:dyDescent="0.25">
      <c r="A44" s="27" t="s">
        <v>1269</v>
      </c>
      <c r="B44" s="27" t="str">
        <f t="shared" si="0"/>
        <v>South Carolina</v>
      </c>
      <c r="C44" s="27" t="str">
        <f t="shared" si="1"/>
        <v>Sumter</v>
      </c>
      <c r="D44" s="2">
        <v>9620</v>
      </c>
      <c r="E44" s="2">
        <v>280</v>
      </c>
      <c r="F44" s="2">
        <v>134</v>
      </c>
      <c r="G44" s="2">
        <v>13463</v>
      </c>
      <c r="H44" s="29">
        <v>180236.45</v>
      </c>
      <c r="I44" s="28">
        <f t="shared" si="2"/>
        <v>96.074866737739868</v>
      </c>
      <c r="J44" s="2">
        <v>502615</v>
      </c>
      <c r="K44" s="2">
        <v>123</v>
      </c>
      <c r="L44" s="144">
        <v>49</v>
      </c>
      <c r="M44" s="144">
        <v>75</v>
      </c>
      <c r="N44" s="144">
        <f t="shared" si="3"/>
        <v>124</v>
      </c>
      <c r="O44" s="27">
        <v>79</v>
      </c>
      <c r="P44" s="28">
        <f>51925.76+598.29</f>
        <v>52524.05</v>
      </c>
      <c r="Q44" s="27">
        <f>13028.88+262.02</f>
        <v>13290.9</v>
      </c>
      <c r="R44" s="27">
        <f>211712.14+1432.08</f>
        <v>213144.22</v>
      </c>
      <c r="S44" s="29">
        <f t="shared" si="4"/>
        <v>278959.17</v>
      </c>
      <c r="T44" s="41">
        <v>1925</v>
      </c>
      <c r="U44" s="2"/>
      <c r="V44" s="27" t="s">
        <v>455</v>
      </c>
      <c r="W44" s="27" t="s">
        <v>449</v>
      </c>
      <c r="X44" s="27" t="s">
        <v>450</v>
      </c>
      <c r="Y44" s="27" t="s">
        <v>451</v>
      </c>
      <c r="Z44" s="27" t="s">
        <v>456</v>
      </c>
      <c r="AA44" s="27" t="s">
        <v>457</v>
      </c>
      <c r="AB44" s="27" t="s">
        <v>383</v>
      </c>
      <c r="AC44" s="27" t="s">
        <v>454</v>
      </c>
    </row>
    <row r="45" spans="1:29" x14ac:dyDescent="0.25">
      <c r="A45" s="27" t="s">
        <v>1270</v>
      </c>
      <c r="B45" s="27" t="str">
        <f t="shared" si="0"/>
        <v>South Carolina</v>
      </c>
      <c r="C45" s="27" t="str">
        <f t="shared" si="1"/>
        <v>Union</v>
      </c>
      <c r="D45" s="2">
        <v>6474</v>
      </c>
      <c r="E45" s="2">
        <v>232</v>
      </c>
      <c r="F45" s="2">
        <v>144</v>
      </c>
      <c r="G45" s="2">
        <v>9089</v>
      </c>
      <c r="H45" s="29">
        <v>167618.93</v>
      </c>
      <c r="I45" s="28">
        <f t="shared" si="2"/>
        <v>100.34658165708811</v>
      </c>
      <c r="J45" s="2">
        <v>242360</v>
      </c>
      <c r="K45" s="2">
        <v>82</v>
      </c>
      <c r="L45" s="144">
        <v>46</v>
      </c>
      <c r="M45" s="144">
        <v>49</v>
      </c>
      <c r="N45" s="144">
        <f t="shared" si="3"/>
        <v>95</v>
      </c>
      <c r="O45" s="27"/>
      <c r="P45" s="28">
        <f>2267.42+900.71</f>
        <v>3168.13</v>
      </c>
      <c r="Q45" s="27">
        <f>14221.86+80.82</f>
        <v>14302.68</v>
      </c>
      <c r="R45" s="27">
        <f>23740.82+9291.42</f>
        <v>33032.239999999998</v>
      </c>
      <c r="S45" s="29">
        <f t="shared" si="4"/>
        <v>50503.05</v>
      </c>
      <c r="T45" s="41">
        <v>1925</v>
      </c>
      <c r="U45" s="2"/>
      <c r="V45" s="27" t="s">
        <v>455</v>
      </c>
      <c r="W45" s="27" t="s">
        <v>449</v>
      </c>
      <c r="X45" s="27" t="s">
        <v>450</v>
      </c>
      <c r="Y45" s="27" t="s">
        <v>451</v>
      </c>
      <c r="Z45" s="27" t="s">
        <v>456</v>
      </c>
      <c r="AA45" s="27" t="s">
        <v>457</v>
      </c>
      <c r="AB45" s="27" t="s">
        <v>383</v>
      </c>
      <c r="AC45" s="27" t="s">
        <v>454</v>
      </c>
    </row>
    <row r="46" spans="1:29" x14ac:dyDescent="0.25">
      <c r="A46" s="27" t="s">
        <v>1271</v>
      </c>
      <c r="B46" s="27" t="str">
        <f t="shared" si="0"/>
        <v>South Carolina</v>
      </c>
      <c r="C46" s="27" t="str">
        <f t="shared" si="1"/>
        <v>Williamsburg</v>
      </c>
      <c r="D46" s="2">
        <v>7347</v>
      </c>
      <c r="E46" s="1">
        <v>273</v>
      </c>
      <c r="F46" s="2">
        <v>117</v>
      </c>
      <c r="G46" s="2">
        <v>11110</v>
      </c>
      <c r="H46" s="29">
        <v>153809.71</v>
      </c>
      <c r="I46" s="28">
        <f t="shared" si="2"/>
        <v>96.30863780094549</v>
      </c>
      <c r="J46" s="2">
        <v>262146</v>
      </c>
      <c r="K46" s="2">
        <v>131</v>
      </c>
      <c r="L46" s="144">
        <v>57</v>
      </c>
      <c r="M46" s="144">
        <v>81</v>
      </c>
      <c r="N46" s="144">
        <f t="shared" si="3"/>
        <v>138</v>
      </c>
      <c r="O46" s="27"/>
      <c r="P46" s="28">
        <f>9358.52+526.15</f>
        <v>9884.67</v>
      </c>
      <c r="Q46" s="27">
        <f>9486.75+271.75</f>
        <v>9758.5</v>
      </c>
      <c r="R46" s="27">
        <f>53907.96+10870.12</f>
        <v>64778.080000000002</v>
      </c>
      <c r="S46" s="29">
        <f t="shared" si="4"/>
        <v>84421.25</v>
      </c>
      <c r="T46" s="41">
        <v>1925</v>
      </c>
      <c r="U46" s="2"/>
      <c r="V46" s="27" t="s">
        <v>455</v>
      </c>
      <c r="W46" s="27" t="s">
        <v>449</v>
      </c>
      <c r="X46" s="27" t="s">
        <v>450</v>
      </c>
      <c r="Y46" s="27" t="s">
        <v>451</v>
      </c>
      <c r="Z46" s="27" t="s">
        <v>456</v>
      </c>
      <c r="AA46" s="27" t="s">
        <v>457</v>
      </c>
      <c r="AB46" s="27" t="s">
        <v>383</v>
      </c>
      <c r="AC46" s="27" t="s">
        <v>454</v>
      </c>
    </row>
    <row r="47" spans="1:29" x14ac:dyDescent="0.25">
      <c r="A47" s="27" t="s">
        <v>1272</v>
      </c>
      <c r="B47" s="27" t="str">
        <f t="shared" si="0"/>
        <v>South Carolina</v>
      </c>
      <c r="C47" s="27" t="str">
        <f t="shared" si="1"/>
        <v>York</v>
      </c>
      <c r="D47" s="2">
        <v>10538</v>
      </c>
      <c r="E47" s="2">
        <v>392</v>
      </c>
      <c r="F47" s="2">
        <v>145</v>
      </c>
      <c r="G47" s="2">
        <v>15788</v>
      </c>
      <c r="H47" s="29">
        <v>306086</v>
      </c>
      <c r="I47" s="28">
        <f t="shared" si="2"/>
        <v>107.70091484869809</v>
      </c>
      <c r="J47" s="2">
        <v>483715</v>
      </c>
      <c r="K47" s="2">
        <v>132</v>
      </c>
      <c r="L47" s="144">
        <v>65</v>
      </c>
      <c r="M47" s="144">
        <v>78</v>
      </c>
      <c r="N47" s="144">
        <f t="shared" si="3"/>
        <v>143</v>
      </c>
      <c r="O47" s="27"/>
      <c r="P47" s="28">
        <f>13403.02+980.14</f>
        <v>14383.16</v>
      </c>
      <c r="Q47" s="27">
        <f>64371.11+2205.01</f>
        <v>66576.12</v>
      </c>
      <c r="R47" s="27">
        <f>70048.19+7585.02</f>
        <v>77633.210000000006</v>
      </c>
      <c r="S47" s="29">
        <f t="shared" si="4"/>
        <v>158592.49</v>
      </c>
      <c r="T47" s="41">
        <v>1925</v>
      </c>
      <c r="U47" s="2"/>
      <c r="V47" s="27" t="s">
        <v>455</v>
      </c>
      <c r="W47" s="27" t="s">
        <v>449</v>
      </c>
      <c r="X47" s="27" t="s">
        <v>450</v>
      </c>
      <c r="Y47" s="27" t="s">
        <v>451</v>
      </c>
      <c r="Z47" s="27" t="s">
        <v>456</v>
      </c>
      <c r="AA47" s="27" t="s">
        <v>457</v>
      </c>
      <c r="AB47" s="27" t="s">
        <v>383</v>
      </c>
      <c r="AC47" s="27" t="s">
        <v>454</v>
      </c>
    </row>
    <row r="48" spans="1:29" x14ac:dyDescent="0.25">
      <c r="L48" s="144"/>
      <c r="M48" s="144"/>
      <c r="N48" s="144"/>
    </row>
    <row r="49" spans="12:14" x14ac:dyDescent="0.25">
      <c r="L49" s="144"/>
      <c r="M49" s="144"/>
      <c r="N49" s="144"/>
    </row>
    <row r="50" spans="12:14" x14ac:dyDescent="0.25">
      <c r="L50" s="144"/>
      <c r="M50" s="144"/>
      <c r="N50" s="144"/>
    </row>
    <row r="51" spans="12:14" x14ac:dyDescent="0.25">
      <c r="L51" s="144"/>
      <c r="M51" s="144"/>
      <c r="N51" s="144"/>
    </row>
    <row r="52" spans="12:14" x14ac:dyDescent="0.25">
      <c r="L52" s="144"/>
      <c r="M52" s="144"/>
      <c r="N52" s="144"/>
    </row>
    <row r="53" spans="12:14" x14ac:dyDescent="0.25">
      <c r="L53" s="144"/>
      <c r="M53" s="144"/>
      <c r="N53" s="144"/>
    </row>
    <row r="54" spans="12:14" x14ac:dyDescent="0.25">
      <c r="L54" s="144"/>
      <c r="M54" s="144"/>
      <c r="N54" s="144"/>
    </row>
    <row r="55" spans="12:14" x14ac:dyDescent="0.25">
      <c r="L55" s="144"/>
      <c r="M55" s="144"/>
      <c r="N55" s="144"/>
    </row>
    <row r="56" spans="12:14" x14ac:dyDescent="0.25">
      <c r="L56" s="144"/>
      <c r="M56" s="144"/>
      <c r="N56" s="144"/>
    </row>
    <row r="57" spans="12:14" x14ac:dyDescent="0.25">
      <c r="L57" s="144"/>
      <c r="M57" s="144"/>
      <c r="N57" s="144"/>
    </row>
    <row r="58" spans="12:14" x14ac:dyDescent="0.25">
      <c r="L58" s="144"/>
      <c r="M58" s="144"/>
      <c r="N58" s="144"/>
    </row>
    <row r="59" spans="12:14" x14ac:dyDescent="0.25">
      <c r="L59" s="144"/>
      <c r="M59" s="144"/>
      <c r="N59" s="144"/>
    </row>
    <row r="60" spans="12:14" x14ac:dyDescent="0.25">
      <c r="L60" s="144"/>
      <c r="M60" s="144"/>
      <c r="N60" s="144"/>
    </row>
    <row r="61" spans="12:14" x14ac:dyDescent="0.25">
      <c r="L61" s="144"/>
      <c r="M61" s="144"/>
      <c r="N61" s="144"/>
    </row>
    <row r="62" spans="12:14" x14ac:dyDescent="0.25">
      <c r="L62" s="144"/>
      <c r="M62" s="144"/>
      <c r="N62" s="144"/>
    </row>
    <row r="63" spans="12:14" x14ac:dyDescent="0.25">
      <c r="L63" s="144"/>
      <c r="M63" s="144"/>
      <c r="N63" s="144"/>
    </row>
    <row r="64" spans="12:14" x14ac:dyDescent="0.25">
      <c r="L64" s="144"/>
      <c r="M64" s="144"/>
      <c r="N64" s="144"/>
    </row>
    <row r="65" spans="12:14" x14ac:dyDescent="0.25">
      <c r="L65" s="144"/>
      <c r="M65" s="144"/>
      <c r="N65" s="144"/>
    </row>
    <row r="66" spans="12:14" x14ac:dyDescent="0.25">
      <c r="L66" s="144"/>
      <c r="M66" s="144"/>
      <c r="N66" s="144"/>
    </row>
    <row r="67" spans="12:14" x14ac:dyDescent="0.25">
      <c r="L67" s="144"/>
      <c r="M67" s="144"/>
      <c r="N67" s="144"/>
    </row>
    <row r="68" spans="12:14" x14ac:dyDescent="0.25">
      <c r="L68" s="144"/>
      <c r="M68" s="144"/>
      <c r="N68" s="144"/>
    </row>
    <row r="69" spans="12:14" x14ac:dyDescent="0.25">
      <c r="L69" s="144"/>
      <c r="M69" s="144"/>
      <c r="N69" s="144"/>
    </row>
    <row r="70" spans="12:14" x14ac:dyDescent="0.25">
      <c r="L70" s="144"/>
      <c r="M70" s="144"/>
      <c r="N70" s="144"/>
    </row>
    <row r="71" spans="12:14" x14ac:dyDescent="0.25">
      <c r="L71" s="144"/>
      <c r="M71" s="144"/>
      <c r="N71" s="144"/>
    </row>
    <row r="72" spans="12:14" x14ac:dyDescent="0.25">
      <c r="L72" s="144"/>
      <c r="M72" s="144"/>
      <c r="N72" s="144"/>
    </row>
    <row r="73" spans="12:14" x14ac:dyDescent="0.25">
      <c r="L73" s="144"/>
      <c r="M73" s="144"/>
      <c r="N73" s="144"/>
    </row>
    <row r="74" spans="12:14" x14ac:dyDescent="0.25">
      <c r="L74" s="144"/>
      <c r="M74" s="144"/>
      <c r="N74" s="144"/>
    </row>
    <row r="75" spans="12:14" x14ac:dyDescent="0.25">
      <c r="L75" s="144"/>
      <c r="M75" s="144"/>
      <c r="N75" s="144"/>
    </row>
    <row r="76" spans="12:14" x14ac:dyDescent="0.25">
      <c r="L76" s="144"/>
      <c r="M76" s="144"/>
      <c r="N76" s="144"/>
    </row>
    <row r="77" spans="12:14" x14ac:dyDescent="0.25">
      <c r="L77" s="144"/>
      <c r="M77" s="144"/>
      <c r="N77" s="144"/>
    </row>
    <row r="78" spans="12:14" x14ac:dyDescent="0.25">
      <c r="L78" s="144"/>
      <c r="M78" s="144"/>
      <c r="N78" s="144"/>
    </row>
    <row r="79" spans="12:14" x14ac:dyDescent="0.25">
      <c r="L79" s="144"/>
      <c r="M79" s="144"/>
      <c r="N79" s="144"/>
    </row>
    <row r="80" spans="12:14" x14ac:dyDescent="0.25">
      <c r="L80" s="144"/>
      <c r="M80" s="144"/>
      <c r="N80" s="144"/>
    </row>
    <row r="81" spans="12:14" x14ac:dyDescent="0.25">
      <c r="L81" s="144"/>
      <c r="M81" s="144"/>
      <c r="N81" s="144"/>
    </row>
    <row r="82" spans="12:14" x14ac:dyDescent="0.25">
      <c r="L82" s="144"/>
      <c r="M82" s="144"/>
      <c r="N82" s="144"/>
    </row>
    <row r="83" spans="12:14" x14ac:dyDescent="0.25">
      <c r="L83" s="144"/>
      <c r="M83" s="144"/>
      <c r="N83" s="144"/>
    </row>
    <row r="84" spans="12:14" x14ac:dyDescent="0.25">
      <c r="L84" s="144"/>
      <c r="M84" s="144"/>
      <c r="N84" s="144"/>
    </row>
    <row r="85" spans="12:14" x14ac:dyDescent="0.25">
      <c r="L85" s="144"/>
      <c r="M85" s="144"/>
      <c r="N85" s="144"/>
    </row>
    <row r="86" spans="12:14" x14ac:dyDescent="0.25">
      <c r="L86" s="144"/>
      <c r="M86" s="144"/>
      <c r="N86" s="144"/>
    </row>
    <row r="87" spans="12:14" x14ac:dyDescent="0.25">
      <c r="L87" s="144"/>
      <c r="M87" s="144"/>
      <c r="N87" s="144"/>
    </row>
    <row r="88" spans="12:14" x14ac:dyDescent="0.25">
      <c r="L88" s="144"/>
      <c r="M88" s="144"/>
      <c r="N88" s="144"/>
    </row>
    <row r="89" spans="12:14" x14ac:dyDescent="0.25">
      <c r="L89" s="144"/>
      <c r="M89" s="144"/>
      <c r="N89" s="144"/>
    </row>
    <row r="90" spans="12:14" x14ac:dyDescent="0.25">
      <c r="L90" s="144"/>
      <c r="M90" s="144"/>
      <c r="N90" s="144"/>
    </row>
    <row r="91" spans="12:14" x14ac:dyDescent="0.25">
      <c r="L91" s="144"/>
      <c r="M91" s="144"/>
      <c r="N91" s="144"/>
    </row>
    <row r="92" spans="12:14" x14ac:dyDescent="0.25">
      <c r="L92" s="144"/>
      <c r="M92" s="144"/>
      <c r="N92" s="144"/>
    </row>
    <row r="93" spans="12:14" x14ac:dyDescent="0.25">
      <c r="L93" s="144"/>
      <c r="M93" s="144"/>
      <c r="N93" s="144"/>
    </row>
    <row r="94" spans="12:14" x14ac:dyDescent="0.25">
      <c r="L94" s="144"/>
      <c r="M94" s="144"/>
      <c r="N94" s="144"/>
    </row>
    <row r="95" spans="12:14" x14ac:dyDescent="0.25">
      <c r="L95" s="144"/>
      <c r="M95" s="144"/>
      <c r="N95" s="144"/>
    </row>
    <row r="96" spans="12:14" x14ac:dyDescent="0.25">
      <c r="L96" s="144"/>
      <c r="M96" s="144"/>
      <c r="N96" s="144"/>
    </row>
    <row r="97" spans="12:14" x14ac:dyDescent="0.25">
      <c r="L97" s="144"/>
      <c r="M97" s="144"/>
      <c r="N97" s="144"/>
    </row>
    <row r="98" spans="12:14" x14ac:dyDescent="0.25">
      <c r="L98" s="144"/>
      <c r="M98" s="144"/>
      <c r="N98" s="144"/>
    </row>
    <row r="99" spans="12:14" x14ac:dyDescent="0.25">
      <c r="L99" s="144"/>
      <c r="M99" s="144"/>
      <c r="N99" s="144"/>
    </row>
    <row r="100" spans="12:14" x14ac:dyDescent="0.25">
      <c r="L100" s="144"/>
      <c r="M100" s="144"/>
      <c r="N100" s="144"/>
    </row>
    <row r="101" spans="12:14" x14ac:dyDescent="0.25">
      <c r="L101" s="144"/>
      <c r="M101" s="144"/>
      <c r="N101" s="144"/>
    </row>
    <row r="102" spans="12:14" x14ac:dyDescent="0.25">
      <c r="L102" s="144"/>
      <c r="M102" s="144"/>
      <c r="N102" s="144"/>
    </row>
    <row r="103" spans="12:14" x14ac:dyDescent="0.25">
      <c r="L103" s="144"/>
      <c r="M103" s="144"/>
      <c r="N103" s="144"/>
    </row>
    <row r="104" spans="12:14" x14ac:dyDescent="0.25">
      <c r="L104" s="144"/>
      <c r="M104" s="144"/>
      <c r="N104" s="144"/>
    </row>
    <row r="105" spans="12:14" x14ac:dyDescent="0.25">
      <c r="L105" s="144"/>
      <c r="M105" s="144"/>
      <c r="N105" s="144"/>
    </row>
    <row r="106" spans="12:14" x14ac:dyDescent="0.25">
      <c r="L106" s="144"/>
      <c r="M106" s="144"/>
      <c r="N106" s="144"/>
    </row>
    <row r="107" spans="12:14" x14ac:dyDescent="0.25">
      <c r="L107" s="144"/>
      <c r="M107" s="144"/>
      <c r="N107" s="144"/>
    </row>
    <row r="108" spans="12:14" x14ac:dyDescent="0.25">
      <c r="L108" s="144"/>
      <c r="M108" s="144"/>
      <c r="N108" s="144"/>
    </row>
    <row r="109" spans="12:14" x14ac:dyDescent="0.25">
      <c r="L109" s="144"/>
      <c r="M109" s="144"/>
      <c r="N109" s="144"/>
    </row>
    <row r="110" spans="12:14" x14ac:dyDescent="0.25">
      <c r="L110" s="144"/>
      <c r="M110" s="144"/>
      <c r="N110" s="144"/>
    </row>
    <row r="111" spans="12:14" x14ac:dyDescent="0.25">
      <c r="L111" s="144"/>
      <c r="M111" s="144"/>
      <c r="N111" s="144"/>
    </row>
    <row r="112" spans="12:14" x14ac:dyDescent="0.25">
      <c r="L112" s="144"/>
      <c r="M112" s="144"/>
      <c r="N112" s="144"/>
    </row>
    <row r="113" spans="12:14" x14ac:dyDescent="0.25">
      <c r="L113" s="144"/>
      <c r="M113" s="144"/>
      <c r="N113" s="144"/>
    </row>
    <row r="114" spans="12:14" x14ac:dyDescent="0.25">
      <c r="L114" s="144"/>
      <c r="M114" s="144"/>
      <c r="N114" s="144"/>
    </row>
    <row r="115" spans="12:14" x14ac:dyDescent="0.25">
      <c r="L115" s="144"/>
      <c r="M115" s="144"/>
      <c r="N115" s="144"/>
    </row>
    <row r="116" spans="12:14" x14ac:dyDescent="0.25">
      <c r="L116" s="144"/>
      <c r="M116" s="144"/>
      <c r="N116" s="144"/>
    </row>
    <row r="117" spans="12:14" x14ac:dyDescent="0.25">
      <c r="L117" s="144"/>
      <c r="M117" s="144"/>
      <c r="N117" s="144"/>
    </row>
    <row r="118" spans="12:14" x14ac:dyDescent="0.25">
      <c r="L118" s="144"/>
      <c r="M118" s="144"/>
      <c r="N118" s="144"/>
    </row>
    <row r="119" spans="12:14" x14ac:dyDescent="0.25">
      <c r="L119" s="144"/>
      <c r="M119" s="144"/>
      <c r="N119" s="144"/>
    </row>
    <row r="120" spans="12:14" x14ac:dyDescent="0.25">
      <c r="L120" s="144"/>
      <c r="M120" s="144"/>
      <c r="N120" s="144"/>
    </row>
    <row r="121" spans="12:14" x14ac:dyDescent="0.25">
      <c r="L121" s="144"/>
      <c r="M121" s="144"/>
      <c r="N121" s="144"/>
    </row>
    <row r="122" spans="12:14" x14ac:dyDescent="0.25">
      <c r="L122" s="144"/>
      <c r="M122" s="144"/>
      <c r="N122" s="144"/>
    </row>
    <row r="123" spans="12:14" x14ac:dyDescent="0.25">
      <c r="L123" s="144"/>
      <c r="M123" s="144"/>
      <c r="N123" s="144"/>
    </row>
    <row r="124" spans="12:14" x14ac:dyDescent="0.25">
      <c r="L124" s="144"/>
      <c r="M124" s="144"/>
      <c r="N124" s="144"/>
    </row>
    <row r="125" spans="12:14" x14ac:dyDescent="0.25">
      <c r="L125" s="144"/>
      <c r="M125" s="144"/>
      <c r="N125" s="144"/>
    </row>
    <row r="126" spans="12:14" x14ac:dyDescent="0.25">
      <c r="L126" s="144"/>
      <c r="M126" s="144"/>
      <c r="N126" s="144"/>
    </row>
    <row r="127" spans="12:14" x14ac:dyDescent="0.25">
      <c r="L127" s="144"/>
      <c r="M127" s="144"/>
      <c r="N127" s="144"/>
    </row>
    <row r="128" spans="12:14" x14ac:dyDescent="0.25">
      <c r="L128" s="144"/>
      <c r="M128" s="144"/>
      <c r="N128" s="144"/>
    </row>
    <row r="129" spans="12:14" x14ac:dyDescent="0.25">
      <c r="L129" s="144"/>
      <c r="M129" s="144"/>
      <c r="N129" s="144"/>
    </row>
    <row r="130" spans="12:14" x14ac:dyDescent="0.25">
      <c r="L130" s="144"/>
      <c r="M130" s="144"/>
      <c r="N130" s="144"/>
    </row>
    <row r="131" spans="12:14" x14ac:dyDescent="0.25">
      <c r="L131" s="144"/>
      <c r="M131" s="144"/>
      <c r="N131" s="144"/>
    </row>
    <row r="132" spans="12:14" x14ac:dyDescent="0.25">
      <c r="L132" s="144"/>
      <c r="M132" s="144"/>
      <c r="N132" s="144"/>
    </row>
    <row r="133" spans="12:14" x14ac:dyDescent="0.25">
      <c r="L133" s="144"/>
      <c r="M133" s="144"/>
      <c r="N133" s="144"/>
    </row>
    <row r="134" spans="12:14" x14ac:dyDescent="0.25">
      <c r="L134" s="144"/>
      <c r="M134" s="144"/>
      <c r="N134" s="144"/>
    </row>
    <row r="135" spans="12:14" x14ac:dyDescent="0.25">
      <c r="L135" s="144"/>
      <c r="M135" s="144"/>
      <c r="N135" s="144"/>
    </row>
    <row r="136" spans="12:14" x14ac:dyDescent="0.25">
      <c r="L136" s="144"/>
      <c r="M136" s="144"/>
      <c r="N136" s="144"/>
    </row>
    <row r="137" spans="12:14" x14ac:dyDescent="0.25">
      <c r="L137" s="144"/>
      <c r="M137" s="144"/>
      <c r="N137" s="144"/>
    </row>
    <row r="138" spans="12:14" x14ac:dyDescent="0.25">
      <c r="L138" s="144"/>
      <c r="M138" s="144"/>
      <c r="N138" s="144"/>
    </row>
    <row r="139" spans="12:14" x14ac:dyDescent="0.25">
      <c r="L139" s="144"/>
      <c r="M139" s="144"/>
      <c r="N139" s="144"/>
    </row>
    <row r="140" spans="12:14" x14ac:dyDescent="0.25">
      <c r="L140" s="144"/>
      <c r="M140" s="144"/>
      <c r="N140" s="144"/>
    </row>
    <row r="141" spans="12:14" x14ac:dyDescent="0.25">
      <c r="L141" s="144"/>
      <c r="M141" s="144"/>
      <c r="N141" s="144"/>
    </row>
    <row r="142" spans="12:14" x14ac:dyDescent="0.25">
      <c r="L142" s="144"/>
      <c r="M142" s="144"/>
      <c r="N142" s="144"/>
    </row>
    <row r="143" spans="12:14" x14ac:dyDescent="0.25">
      <c r="L143" s="144"/>
      <c r="M143" s="144"/>
      <c r="N143" s="144"/>
    </row>
    <row r="144" spans="12:14" x14ac:dyDescent="0.25">
      <c r="L144" s="144"/>
      <c r="M144" s="144"/>
      <c r="N144" s="144"/>
    </row>
    <row r="145" spans="12:14" x14ac:dyDescent="0.25">
      <c r="L145" s="144"/>
      <c r="M145" s="144"/>
      <c r="N145" s="144"/>
    </row>
    <row r="146" spans="12:14" x14ac:dyDescent="0.25">
      <c r="L146" s="144"/>
      <c r="M146" s="144"/>
      <c r="N146" s="144"/>
    </row>
    <row r="147" spans="12:14" x14ac:dyDescent="0.25">
      <c r="L147" s="144"/>
      <c r="M147" s="144"/>
      <c r="N147" s="144"/>
    </row>
    <row r="148" spans="12:14" x14ac:dyDescent="0.25">
      <c r="L148" s="144"/>
      <c r="M148" s="144"/>
      <c r="N148" s="144"/>
    </row>
    <row r="149" spans="12:14" x14ac:dyDescent="0.25">
      <c r="L149" s="144"/>
      <c r="M149" s="144"/>
      <c r="N149" s="144"/>
    </row>
    <row r="150" spans="12:14" x14ac:dyDescent="0.25">
      <c r="L150" s="144"/>
      <c r="M150" s="144"/>
      <c r="N150" s="144"/>
    </row>
    <row r="151" spans="12:14" x14ac:dyDescent="0.25">
      <c r="L151" s="144"/>
      <c r="M151" s="144"/>
      <c r="N151" s="144"/>
    </row>
    <row r="152" spans="12:14" x14ac:dyDescent="0.25">
      <c r="L152" s="144"/>
      <c r="M152" s="144"/>
      <c r="N152" s="144"/>
    </row>
    <row r="153" spans="12:14" x14ac:dyDescent="0.25">
      <c r="L153" s="144"/>
      <c r="M153" s="144"/>
      <c r="N153" s="144"/>
    </row>
    <row r="154" spans="12:14" x14ac:dyDescent="0.25">
      <c r="L154" s="144"/>
      <c r="M154" s="144"/>
      <c r="N154" s="144"/>
    </row>
    <row r="155" spans="12:14" x14ac:dyDescent="0.25">
      <c r="L155" s="144"/>
      <c r="M155" s="144"/>
      <c r="N155" s="144"/>
    </row>
    <row r="156" spans="12:14" x14ac:dyDescent="0.25">
      <c r="L156" s="144"/>
      <c r="M156" s="144"/>
      <c r="N156" s="144"/>
    </row>
    <row r="157" spans="12:14" x14ac:dyDescent="0.25">
      <c r="L157" s="144"/>
      <c r="M157" s="144"/>
      <c r="N157" s="144"/>
    </row>
    <row r="158" spans="12:14" x14ac:dyDescent="0.25">
      <c r="L158" s="144"/>
      <c r="M158" s="144"/>
      <c r="N158" s="144"/>
    </row>
    <row r="159" spans="12:14" x14ac:dyDescent="0.25">
      <c r="L159" s="144"/>
      <c r="M159" s="144"/>
      <c r="N159" s="144"/>
    </row>
    <row r="160" spans="12:14" x14ac:dyDescent="0.25">
      <c r="L160" s="144"/>
      <c r="M160" s="144"/>
      <c r="N160" s="144"/>
    </row>
    <row r="161" spans="12:14" x14ac:dyDescent="0.25">
      <c r="L161" s="144"/>
      <c r="M161" s="144"/>
      <c r="N161" s="144"/>
    </row>
    <row r="162" spans="12:14" x14ac:dyDescent="0.25">
      <c r="L162" s="144"/>
      <c r="M162" s="144"/>
      <c r="N162" s="144"/>
    </row>
    <row r="163" spans="12:14" x14ac:dyDescent="0.25">
      <c r="L163" s="144"/>
      <c r="M163" s="144"/>
      <c r="N163" s="144"/>
    </row>
    <row r="164" spans="12:14" x14ac:dyDescent="0.25">
      <c r="L164" s="144"/>
      <c r="M164" s="144"/>
      <c r="N164" s="144"/>
    </row>
    <row r="165" spans="12:14" x14ac:dyDescent="0.25">
      <c r="L165" s="144"/>
      <c r="M165" s="144"/>
      <c r="N165" s="144"/>
    </row>
    <row r="166" spans="12:14" x14ac:dyDescent="0.25">
      <c r="L166" s="144"/>
      <c r="M166" s="144"/>
      <c r="N166" s="144"/>
    </row>
    <row r="167" spans="12:14" x14ac:dyDescent="0.25">
      <c r="L167" s="144"/>
      <c r="M167" s="144"/>
      <c r="N167" s="144"/>
    </row>
    <row r="168" spans="12:14" x14ac:dyDescent="0.25">
      <c r="L168" s="144"/>
      <c r="M168" s="144"/>
      <c r="N168" s="144"/>
    </row>
    <row r="169" spans="12:14" x14ac:dyDescent="0.25">
      <c r="L169" s="144"/>
      <c r="M169" s="144"/>
      <c r="N169" s="144"/>
    </row>
    <row r="170" spans="12:14" x14ac:dyDescent="0.25">
      <c r="L170" s="144"/>
      <c r="M170" s="144"/>
      <c r="N170" s="144"/>
    </row>
    <row r="171" spans="12:14" x14ac:dyDescent="0.25">
      <c r="L171" s="144"/>
      <c r="M171" s="144"/>
      <c r="N171" s="144"/>
    </row>
    <row r="172" spans="12:14" x14ac:dyDescent="0.25">
      <c r="L172" s="144"/>
      <c r="M172" s="144"/>
      <c r="N172" s="144"/>
    </row>
    <row r="173" spans="12:14" x14ac:dyDescent="0.25">
      <c r="L173" s="144"/>
      <c r="M173" s="144"/>
      <c r="N173" s="144"/>
    </row>
    <row r="174" spans="12:14" x14ac:dyDescent="0.25">
      <c r="L174" s="144"/>
      <c r="M174" s="144"/>
      <c r="N174" s="144"/>
    </row>
    <row r="175" spans="12:14" x14ac:dyDescent="0.25">
      <c r="L175" s="144"/>
      <c r="M175" s="144"/>
      <c r="N175" s="144"/>
    </row>
    <row r="176" spans="12:14" x14ac:dyDescent="0.25">
      <c r="L176" s="144"/>
      <c r="M176" s="144"/>
      <c r="N176" s="144"/>
    </row>
    <row r="177" spans="12:14" x14ac:dyDescent="0.25">
      <c r="L177" s="144"/>
      <c r="M177" s="144"/>
      <c r="N177" s="144"/>
    </row>
    <row r="178" spans="12:14" x14ac:dyDescent="0.25">
      <c r="L178" s="144"/>
      <c r="M178" s="144"/>
      <c r="N178" s="144"/>
    </row>
    <row r="179" spans="12:14" x14ac:dyDescent="0.25">
      <c r="L179" s="144"/>
      <c r="M179" s="144"/>
      <c r="N179" s="144"/>
    </row>
    <row r="180" spans="12:14" x14ac:dyDescent="0.25">
      <c r="L180" s="144"/>
      <c r="M180" s="144"/>
      <c r="N180" s="144"/>
    </row>
    <row r="181" spans="12:14" x14ac:dyDescent="0.25">
      <c r="L181" s="144"/>
      <c r="M181" s="144"/>
      <c r="N181" s="144"/>
    </row>
    <row r="182" spans="12:14" x14ac:dyDescent="0.25">
      <c r="L182" s="144"/>
      <c r="M182" s="144"/>
      <c r="N182" s="144"/>
    </row>
    <row r="183" spans="12:14" x14ac:dyDescent="0.25">
      <c r="L183" s="144"/>
      <c r="M183" s="144"/>
      <c r="N183" s="144"/>
    </row>
    <row r="184" spans="12:14" x14ac:dyDescent="0.25">
      <c r="L184" s="144"/>
      <c r="M184" s="144"/>
      <c r="N184" s="144"/>
    </row>
    <row r="185" spans="12:14" x14ac:dyDescent="0.25">
      <c r="L185" s="144"/>
      <c r="M185" s="144"/>
      <c r="N185" s="144"/>
    </row>
    <row r="186" spans="12:14" x14ac:dyDescent="0.25">
      <c r="L186" s="144"/>
      <c r="M186" s="144"/>
      <c r="N186" s="144"/>
    </row>
    <row r="187" spans="12:14" x14ac:dyDescent="0.25">
      <c r="L187" s="144"/>
      <c r="M187" s="144"/>
      <c r="N187" s="144"/>
    </row>
    <row r="188" spans="12:14" x14ac:dyDescent="0.25">
      <c r="L188" s="144"/>
      <c r="M188" s="144"/>
      <c r="N188" s="144"/>
    </row>
    <row r="189" spans="12:14" x14ac:dyDescent="0.25">
      <c r="L189" s="144"/>
      <c r="M189" s="144"/>
      <c r="N189" s="144"/>
    </row>
    <row r="190" spans="12:14" x14ac:dyDescent="0.25">
      <c r="L190" s="144"/>
      <c r="M190" s="144"/>
      <c r="N190" s="144"/>
    </row>
    <row r="191" spans="12:14" x14ac:dyDescent="0.25">
      <c r="L191" s="144"/>
      <c r="M191" s="144"/>
      <c r="N191" s="144"/>
    </row>
    <row r="192" spans="12:14" x14ac:dyDescent="0.25">
      <c r="L192" s="144"/>
      <c r="M192" s="144"/>
      <c r="N192" s="144"/>
    </row>
    <row r="193" spans="12:14" x14ac:dyDescent="0.25">
      <c r="L193" s="144"/>
      <c r="M193" s="144"/>
      <c r="N193" s="144"/>
    </row>
    <row r="194" spans="12:14" x14ac:dyDescent="0.25">
      <c r="L194" s="144"/>
      <c r="M194" s="144"/>
      <c r="N194" s="144"/>
    </row>
    <row r="195" spans="12:14" x14ac:dyDescent="0.25">
      <c r="L195" s="144"/>
      <c r="M195" s="144"/>
      <c r="N195" s="144"/>
    </row>
    <row r="196" spans="12:14" x14ac:dyDescent="0.25">
      <c r="L196" s="144"/>
      <c r="M196" s="144"/>
      <c r="N196" s="144"/>
    </row>
    <row r="197" spans="12:14" x14ac:dyDescent="0.25">
      <c r="L197" s="144"/>
      <c r="M197" s="144"/>
      <c r="N197" s="144"/>
    </row>
    <row r="198" spans="12:14" x14ac:dyDescent="0.25">
      <c r="L198" s="144"/>
      <c r="M198" s="144"/>
      <c r="N198" s="144"/>
    </row>
    <row r="199" spans="12:14" x14ac:dyDescent="0.25">
      <c r="L199" s="144"/>
      <c r="M199" s="144"/>
      <c r="N199" s="144"/>
    </row>
    <row r="200" spans="12:14" x14ac:dyDescent="0.25">
      <c r="L200" s="144"/>
      <c r="M200" s="144"/>
      <c r="N200" s="144"/>
    </row>
    <row r="201" spans="12:14" x14ac:dyDescent="0.25">
      <c r="L201" s="144"/>
      <c r="M201" s="144"/>
      <c r="N201" s="144"/>
    </row>
    <row r="202" spans="12:14" x14ac:dyDescent="0.25">
      <c r="L202" s="144"/>
      <c r="M202" s="144"/>
      <c r="N202" s="144"/>
    </row>
    <row r="203" spans="12:14" x14ac:dyDescent="0.25">
      <c r="L203" s="144"/>
      <c r="M203" s="144"/>
      <c r="N203" s="144"/>
    </row>
    <row r="204" spans="12:14" x14ac:dyDescent="0.25">
      <c r="L204" s="144"/>
      <c r="M204" s="144"/>
      <c r="N204" s="144"/>
    </row>
    <row r="205" spans="12:14" x14ac:dyDescent="0.25">
      <c r="L205" s="144"/>
      <c r="M205" s="144"/>
      <c r="N205" s="144"/>
    </row>
    <row r="206" spans="12:14" x14ac:dyDescent="0.25">
      <c r="L206" s="144"/>
      <c r="M206" s="144"/>
      <c r="N206" s="144"/>
    </row>
    <row r="207" spans="12:14" x14ac:dyDescent="0.25">
      <c r="L207" s="144"/>
      <c r="M207" s="144"/>
      <c r="N207" s="144"/>
    </row>
    <row r="208" spans="12:14" x14ac:dyDescent="0.25">
      <c r="L208" s="144"/>
      <c r="M208" s="144"/>
      <c r="N208" s="144"/>
    </row>
    <row r="209" spans="12:14" x14ac:dyDescent="0.25">
      <c r="L209" s="144"/>
      <c r="M209" s="144"/>
      <c r="N209" s="144"/>
    </row>
    <row r="210" spans="12:14" x14ac:dyDescent="0.25">
      <c r="L210" s="144"/>
      <c r="M210" s="144"/>
      <c r="N210" s="144"/>
    </row>
    <row r="211" spans="12:14" x14ac:dyDescent="0.25">
      <c r="L211" s="144"/>
      <c r="M211" s="144"/>
      <c r="N211" s="144"/>
    </row>
    <row r="212" spans="12:14" x14ac:dyDescent="0.25">
      <c r="L212" s="144"/>
      <c r="M212" s="144"/>
      <c r="N212" s="144"/>
    </row>
    <row r="213" spans="12:14" x14ac:dyDescent="0.25">
      <c r="L213" s="144"/>
      <c r="M213" s="144"/>
      <c r="N213" s="144"/>
    </row>
    <row r="214" spans="12:14" x14ac:dyDescent="0.25">
      <c r="L214" s="144"/>
      <c r="M214" s="144"/>
      <c r="N214" s="144"/>
    </row>
    <row r="216" spans="12:14" x14ac:dyDescent="0.25">
      <c r="L216" s="144"/>
      <c r="M216" s="144"/>
      <c r="N216" s="144"/>
    </row>
    <row r="217" spans="12:14" x14ac:dyDescent="0.25">
      <c r="L217" s="144"/>
      <c r="M217" s="144"/>
      <c r="N217" s="144"/>
    </row>
    <row r="218" spans="12:14" x14ac:dyDescent="0.25">
      <c r="L218" s="144"/>
      <c r="M218" s="144"/>
      <c r="N218" s="144"/>
    </row>
    <row r="219" spans="12:14" x14ac:dyDescent="0.25">
      <c r="L219" s="144"/>
      <c r="M219" s="144"/>
      <c r="N219" s="144"/>
    </row>
    <row r="220" spans="12:14" x14ac:dyDescent="0.25">
      <c r="L220" s="144"/>
      <c r="M220" s="144"/>
      <c r="N220" s="144"/>
    </row>
    <row r="221" spans="12:14" x14ac:dyDescent="0.25">
      <c r="L221" s="144"/>
      <c r="M221" s="144"/>
      <c r="N221" s="144"/>
    </row>
    <row r="222" spans="12:14" x14ac:dyDescent="0.25">
      <c r="L222" s="144"/>
      <c r="M222" s="144"/>
      <c r="N222" s="144"/>
    </row>
    <row r="223" spans="12:14" x14ac:dyDescent="0.25">
      <c r="L223" s="144"/>
      <c r="M223" s="144"/>
      <c r="N223" s="144"/>
    </row>
    <row r="224" spans="12:14" x14ac:dyDescent="0.25">
      <c r="L224" s="144"/>
      <c r="M224" s="144"/>
      <c r="N224" s="144"/>
    </row>
    <row r="225" spans="12:14" x14ac:dyDescent="0.25">
      <c r="L225" s="144"/>
      <c r="M225" s="144"/>
      <c r="N225" s="144"/>
    </row>
    <row r="226" spans="12:14" x14ac:dyDescent="0.25">
      <c r="L226" s="144"/>
      <c r="M226" s="144"/>
      <c r="N226" s="144"/>
    </row>
    <row r="227" spans="12:14" x14ac:dyDescent="0.25">
      <c r="L227" s="144"/>
      <c r="M227" s="144"/>
      <c r="N227" s="144"/>
    </row>
    <row r="228" spans="12:14" x14ac:dyDescent="0.25">
      <c r="L228" s="144"/>
      <c r="M228" s="144"/>
      <c r="N228" s="144"/>
    </row>
    <row r="229" spans="12:14" x14ac:dyDescent="0.25">
      <c r="L229" s="144"/>
      <c r="M229" s="144"/>
      <c r="N229" s="144"/>
    </row>
    <row r="230" spans="12:14" x14ac:dyDescent="0.25">
      <c r="L230" s="144"/>
      <c r="M230" s="144"/>
      <c r="N230" s="144"/>
    </row>
    <row r="231" spans="12:14" x14ac:dyDescent="0.25">
      <c r="L231" s="144"/>
      <c r="M231" s="144"/>
      <c r="N231" s="144"/>
    </row>
    <row r="232" spans="12:14" x14ac:dyDescent="0.25">
      <c r="L232" s="144"/>
      <c r="M232" s="144"/>
      <c r="N232" s="144"/>
    </row>
    <row r="233" spans="12:14" x14ac:dyDescent="0.25">
      <c r="L233" s="144"/>
      <c r="M233" s="144"/>
      <c r="N233" s="144"/>
    </row>
    <row r="234" spans="12:14" x14ac:dyDescent="0.25">
      <c r="L234" s="144"/>
      <c r="M234" s="144"/>
      <c r="N234" s="144"/>
    </row>
    <row r="235" spans="12:14" x14ac:dyDescent="0.25">
      <c r="L235" s="144"/>
      <c r="M235" s="144"/>
      <c r="N235" s="144"/>
    </row>
    <row r="236" spans="12:14" x14ac:dyDescent="0.25">
      <c r="L236" s="144"/>
      <c r="M236" s="144"/>
      <c r="N236" s="144"/>
    </row>
    <row r="237" spans="12:14" x14ac:dyDescent="0.25">
      <c r="L237" s="144"/>
      <c r="M237" s="144"/>
      <c r="N237" s="144"/>
    </row>
    <row r="238" spans="12:14" x14ac:dyDescent="0.25">
      <c r="L238" s="144"/>
      <c r="M238" s="144"/>
      <c r="N238" s="144"/>
    </row>
    <row r="239" spans="12:14" x14ac:dyDescent="0.25">
      <c r="L239" s="144"/>
      <c r="M239" s="144"/>
      <c r="N239" s="144"/>
    </row>
    <row r="240" spans="12:14" x14ac:dyDescent="0.25">
      <c r="L240" s="144"/>
      <c r="M240" s="144"/>
      <c r="N240" s="144"/>
    </row>
    <row r="241" spans="12:14" x14ac:dyDescent="0.25">
      <c r="L241" s="144"/>
      <c r="M241" s="144"/>
      <c r="N241" s="144"/>
    </row>
    <row r="242" spans="12:14" x14ac:dyDescent="0.25">
      <c r="L242" s="144"/>
      <c r="M242" s="144"/>
      <c r="N242" s="144"/>
    </row>
    <row r="243" spans="12:14" x14ac:dyDescent="0.25">
      <c r="L243" s="144"/>
      <c r="M243" s="144"/>
      <c r="N243" s="144"/>
    </row>
    <row r="244" spans="12:14" x14ac:dyDescent="0.25">
      <c r="L244" s="144"/>
      <c r="M244" s="144"/>
      <c r="N244" s="144"/>
    </row>
    <row r="245" spans="12:14" x14ac:dyDescent="0.25">
      <c r="L245" s="144"/>
      <c r="M245" s="144"/>
      <c r="N245" s="144"/>
    </row>
    <row r="246" spans="12:14" x14ac:dyDescent="0.25">
      <c r="L246" s="144"/>
      <c r="M246" s="144"/>
      <c r="N246" s="144"/>
    </row>
    <row r="247" spans="12:14" x14ac:dyDescent="0.25">
      <c r="L247" s="144"/>
      <c r="M247" s="144"/>
      <c r="N247" s="144"/>
    </row>
    <row r="248" spans="12:14" x14ac:dyDescent="0.25">
      <c r="L248" s="144"/>
      <c r="M248" s="144"/>
      <c r="N248" s="144"/>
    </row>
    <row r="249" spans="12:14" x14ac:dyDescent="0.25">
      <c r="L249" s="144"/>
      <c r="M249" s="144"/>
      <c r="N249" s="144"/>
    </row>
    <row r="250" spans="12:14" x14ac:dyDescent="0.25">
      <c r="L250" s="144"/>
      <c r="M250" s="144"/>
      <c r="N250" s="144"/>
    </row>
    <row r="251" spans="12:14" x14ac:dyDescent="0.25">
      <c r="L251" s="144"/>
      <c r="M251" s="144"/>
      <c r="N251" s="144"/>
    </row>
    <row r="252" spans="12:14" x14ac:dyDescent="0.25">
      <c r="L252" s="144"/>
      <c r="M252" s="144"/>
      <c r="N252" s="144"/>
    </row>
    <row r="253" spans="12:14" x14ac:dyDescent="0.25">
      <c r="L253" s="144"/>
      <c r="M253" s="144"/>
      <c r="N253" s="144"/>
    </row>
    <row r="254" spans="12:14" x14ac:dyDescent="0.25">
      <c r="L254" s="144"/>
      <c r="M254" s="144"/>
      <c r="N254" s="144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1:BE9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.42578125" defaultRowHeight="15" x14ac:dyDescent="0.25"/>
  <cols>
    <col min="1" max="1" width="19.7109375" customWidth="1"/>
    <col min="4" max="4" width="11.42578125" customWidth="1"/>
    <col min="5" max="5" width="11.42578125" style="27" customWidth="1"/>
    <col min="6" max="6" width="11.42578125" customWidth="1"/>
    <col min="7" max="9" width="11.42578125" style="27" customWidth="1"/>
    <col min="11" max="11" width="0" style="27" hidden="1" customWidth="1"/>
    <col min="13" max="16" width="11.42578125" customWidth="1"/>
    <col min="18" max="18" width="10.85546875" hidden="1" customWidth="1"/>
    <col min="19" max="20" width="11.42578125" style="27" hidden="1" customWidth="1"/>
    <col min="22" max="22" width="11.42578125" style="7"/>
    <col min="23" max="27" width="11.42578125" style="27"/>
    <col min="29" max="29" width="11.42578125" customWidth="1"/>
    <col min="30" max="30" width="11.42578125" style="27" customWidth="1"/>
    <col min="31" max="31" width="11.42578125" customWidth="1"/>
    <col min="33" max="33" width="11.28515625" customWidth="1"/>
    <col min="43" max="46" width="11.42578125" style="27"/>
  </cols>
  <sheetData>
    <row r="1" spans="1:57" s="20" customFormat="1" ht="90" x14ac:dyDescent="0.25">
      <c r="B1" s="20" t="s">
        <v>2</v>
      </c>
      <c r="C1" s="20" t="s">
        <v>0</v>
      </c>
      <c r="D1" s="20" t="s">
        <v>2068</v>
      </c>
      <c r="E1" s="20" t="s">
        <v>2120</v>
      </c>
      <c r="F1" s="20" t="s">
        <v>2114</v>
      </c>
      <c r="G1" s="20" t="s">
        <v>2115</v>
      </c>
      <c r="H1" s="20" t="s">
        <v>2116</v>
      </c>
      <c r="I1" s="20" t="s">
        <v>2121</v>
      </c>
      <c r="J1" s="92" t="s">
        <v>1956</v>
      </c>
      <c r="K1" s="124"/>
      <c r="L1" s="92" t="s">
        <v>372</v>
      </c>
      <c r="M1" s="20" t="s">
        <v>2060</v>
      </c>
      <c r="N1" s="20" t="s">
        <v>2061</v>
      </c>
      <c r="O1" s="20" t="s">
        <v>2062</v>
      </c>
      <c r="P1" s="20" t="s">
        <v>2063</v>
      </c>
      <c r="Q1" s="94" t="s">
        <v>357</v>
      </c>
      <c r="R1" s="83" t="s">
        <v>2119</v>
      </c>
      <c r="S1" s="83" t="s">
        <v>2122</v>
      </c>
      <c r="T1" s="83" t="s">
        <v>2113</v>
      </c>
      <c r="U1" s="94" t="s">
        <v>377</v>
      </c>
      <c r="V1" s="83" t="s">
        <v>2354</v>
      </c>
      <c r="W1" s="83" t="s">
        <v>2112</v>
      </c>
      <c r="X1" s="83" t="s">
        <v>2355</v>
      </c>
      <c r="Y1" s="83" t="s">
        <v>2123</v>
      </c>
      <c r="Z1" s="83" t="s">
        <v>2356</v>
      </c>
      <c r="AA1" s="83" t="s">
        <v>2118</v>
      </c>
      <c r="AB1" s="92" t="s">
        <v>358</v>
      </c>
      <c r="AC1" s="84" t="s">
        <v>2066</v>
      </c>
      <c r="AD1" s="84" t="s">
        <v>2117</v>
      </c>
      <c r="AE1" s="84" t="s">
        <v>2067</v>
      </c>
      <c r="AF1" s="93" t="s">
        <v>360</v>
      </c>
      <c r="AG1" s="92" t="s">
        <v>374</v>
      </c>
      <c r="AH1" s="109" t="s">
        <v>2065</v>
      </c>
      <c r="AI1" s="109" t="s">
        <v>2064</v>
      </c>
      <c r="AJ1" s="39" t="s">
        <v>2358</v>
      </c>
      <c r="AK1" s="39" t="s">
        <v>2357</v>
      </c>
      <c r="AL1" s="91" t="s">
        <v>375</v>
      </c>
      <c r="AM1" s="81" t="s">
        <v>1</v>
      </c>
      <c r="AN1" s="20" t="s">
        <v>1960</v>
      </c>
      <c r="AO1" s="20" t="s">
        <v>1957</v>
      </c>
      <c r="AP1" s="20" t="s">
        <v>1949</v>
      </c>
      <c r="AQ1" s="165" t="s">
        <v>2716</v>
      </c>
      <c r="AR1" s="165" t="s">
        <v>2717</v>
      </c>
      <c r="AS1" s="165" t="s">
        <v>2718</v>
      </c>
      <c r="AT1" s="165" t="s">
        <v>2719</v>
      </c>
      <c r="AU1" s="20" t="s">
        <v>1950</v>
      </c>
      <c r="AV1" s="20" t="s">
        <v>1954</v>
      </c>
      <c r="AW1" s="20" t="s">
        <v>1952</v>
      </c>
      <c r="AX1" s="20" t="s">
        <v>1953</v>
      </c>
      <c r="AY1" s="20" t="s">
        <v>1948</v>
      </c>
    </row>
    <row r="2" spans="1:57" x14ac:dyDescent="0.25">
      <c r="A2" s="27" t="s">
        <v>1275</v>
      </c>
      <c r="B2" s="27" t="str">
        <f t="shared" ref="B2:B64" si="0">LEFT(A2,FIND(";",A2)-1)</f>
        <v>Tennessee</v>
      </c>
      <c r="C2" s="27" t="str">
        <f t="shared" ref="C2:C64" si="1">MID(A2,FIND(";",A2)+1,100)</f>
        <v>Anderson</v>
      </c>
      <c r="D2" s="27">
        <v>3371</v>
      </c>
      <c r="E2" s="27">
        <v>681</v>
      </c>
      <c r="F2" s="27">
        <v>278</v>
      </c>
      <c r="G2" s="27">
        <v>0</v>
      </c>
      <c r="H2" s="27">
        <v>0</v>
      </c>
      <c r="I2" s="27">
        <v>0</v>
      </c>
      <c r="J2" s="27">
        <f>D2+E2+F2+G2+H2+I2</f>
        <v>4330</v>
      </c>
      <c r="K2" s="27" t="b">
        <f>J2&lt;U2</f>
        <v>1</v>
      </c>
      <c r="L2" s="27">
        <v>122</v>
      </c>
      <c r="M2" s="27">
        <v>106</v>
      </c>
      <c r="N2" s="27">
        <v>177</v>
      </c>
      <c r="O2" s="27">
        <v>177</v>
      </c>
      <c r="P2" s="27"/>
      <c r="Q2" s="2">
        <f>((D2*M2)+(E2*N2)+((F2+G2)*O2)+((H2+I2)*P2))/J2</f>
        <v>121.72494226327944</v>
      </c>
      <c r="R2" s="2">
        <v>5088</v>
      </c>
      <c r="S2" s="2"/>
      <c r="T2" s="2">
        <v>359</v>
      </c>
      <c r="U2" s="2">
        <v>4944</v>
      </c>
      <c r="V2" s="29">
        <v>18</v>
      </c>
      <c r="W2" s="2">
        <v>15527.5</v>
      </c>
      <c r="X2" s="2">
        <v>87</v>
      </c>
      <c r="Y2" s="2">
        <v>37485.17</v>
      </c>
      <c r="Z2" s="2">
        <v>17</v>
      </c>
      <c r="AA2" s="108">
        <v>17142</v>
      </c>
      <c r="AB2" s="28">
        <f>(W2+Y2+AA2)/L2/(Q2/20)</f>
        <v>94.481585778002923</v>
      </c>
      <c r="AC2" s="29">
        <v>77470</v>
      </c>
      <c r="AD2" s="29">
        <v>19590.650000000001</v>
      </c>
      <c r="AE2" s="29">
        <v>25177.71</v>
      </c>
      <c r="AF2" s="2">
        <f>AC2+AD2+AE2</f>
        <v>122238.35999999999</v>
      </c>
      <c r="AG2" s="27">
        <v>48</v>
      </c>
      <c r="AH2" s="110">
        <v>233340</v>
      </c>
      <c r="AI2" s="27">
        <f>103500+6875</f>
        <v>110375</v>
      </c>
      <c r="AJ2" s="27">
        <v>71500</v>
      </c>
      <c r="AK2" s="27"/>
      <c r="AL2" s="40">
        <f>AH2+AI2+AJ2</f>
        <v>415215</v>
      </c>
      <c r="AM2" s="41">
        <v>1925</v>
      </c>
      <c r="AN2" s="27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27"/>
      <c r="BA2" s="27"/>
      <c r="BB2" s="27"/>
      <c r="BC2" s="27"/>
      <c r="BD2" s="27"/>
      <c r="BE2" s="27"/>
    </row>
    <row r="3" spans="1:57" x14ac:dyDescent="0.25">
      <c r="A3" s="27" t="s">
        <v>1276</v>
      </c>
      <c r="B3" s="27" t="str">
        <f t="shared" si="0"/>
        <v>Tennessee</v>
      </c>
      <c r="C3" s="27" t="str">
        <f t="shared" si="1"/>
        <v>Bedford</v>
      </c>
      <c r="D3" s="27">
        <v>4294</v>
      </c>
      <c r="E3" s="27">
        <v>1012</v>
      </c>
      <c r="F3" s="27">
        <v>500</v>
      </c>
      <c r="G3" s="27">
        <v>34</v>
      </c>
      <c r="H3" s="27">
        <v>0</v>
      </c>
      <c r="I3" s="27">
        <v>0</v>
      </c>
      <c r="J3" s="27">
        <f t="shared" ref="J3:J66" si="2">D3+E3+F3+G3+H3+I3</f>
        <v>5840</v>
      </c>
      <c r="K3" s="27" t="b">
        <f t="shared" ref="K3:K66" si="3">J3&lt;U3</f>
        <v>0</v>
      </c>
      <c r="L3" s="27">
        <v>142</v>
      </c>
      <c r="M3" s="27">
        <v>178</v>
      </c>
      <c r="N3" s="27">
        <v>179</v>
      </c>
      <c r="O3" s="27">
        <v>179</v>
      </c>
      <c r="P3" s="27"/>
      <c r="Q3" s="2">
        <f t="shared" ref="Q3:Q66" si="4">((D3*M3)+(E3*N3)+((F3+G3)*O3)+((H3+I3)*P3))/J3</f>
        <v>178.26472602739727</v>
      </c>
      <c r="R3" s="2">
        <v>5426</v>
      </c>
      <c r="S3" s="2"/>
      <c r="T3" s="2">
        <v>611</v>
      </c>
      <c r="U3" s="2">
        <v>5388</v>
      </c>
      <c r="V3" s="29">
        <v>27</v>
      </c>
      <c r="W3" s="2">
        <v>19138</v>
      </c>
      <c r="X3" s="2">
        <v>86</v>
      </c>
      <c r="Y3" s="2">
        <v>47020.42</v>
      </c>
      <c r="Z3" s="2">
        <v>29</v>
      </c>
      <c r="AA3" s="108">
        <v>21921</v>
      </c>
      <c r="AB3" s="28">
        <f t="shared" ref="AB3:AB66" si="5">(W3+Y3+AA3)/L3/(Q3/20)</f>
        <v>69.590616097373413</v>
      </c>
      <c r="AC3" s="2">
        <v>114189</v>
      </c>
      <c r="AD3" s="2">
        <v>43993.15</v>
      </c>
      <c r="AE3" s="2">
        <v>22488.55</v>
      </c>
      <c r="AF3" s="2">
        <f t="shared" ref="AF3:AF65" si="6">AC3+AD3+AE3</f>
        <v>180670.69999999998</v>
      </c>
      <c r="AG3" s="27">
        <v>71</v>
      </c>
      <c r="AH3" s="108">
        <v>137724</v>
      </c>
      <c r="AI3" s="27">
        <f>52600+7150</f>
        <v>59750</v>
      </c>
      <c r="AJ3" s="27">
        <v>68700</v>
      </c>
      <c r="AK3" s="27"/>
      <c r="AL3" s="29">
        <f>AH3+AI3+AJ3</f>
        <v>266174</v>
      </c>
      <c r="AM3" s="41">
        <v>1925</v>
      </c>
      <c r="AN3" s="27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27"/>
      <c r="BA3" s="27"/>
      <c r="BB3" s="27"/>
      <c r="BC3" s="27"/>
      <c r="BD3" s="27"/>
      <c r="BE3" s="27"/>
    </row>
    <row r="4" spans="1:57" x14ac:dyDescent="0.25">
      <c r="A4" s="27" t="s">
        <v>1277</v>
      </c>
      <c r="B4" s="27" t="str">
        <f t="shared" si="0"/>
        <v>Tennessee</v>
      </c>
      <c r="C4" s="27" t="str">
        <f t="shared" si="1"/>
        <v>Benton</v>
      </c>
      <c r="D4" s="27">
        <v>2315</v>
      </c>
      <c r="E4" s="27">
        <v>0</v>
      </c>
      <c r="F4" s="27">
        <v>140</v>
      </c>
      <c r="G4" s="27">
        <v>0</v>
      </c>
      <c r="H4" s="27">
        <v>0</v>
      </c>
      <c r="I4" s="27">
        <v>0</v>
      </c>
      <c r="J4" s="27">
        <f t="shared" si="2"/>
        <v>2455</v>
      </c>
      <c r="K4" s="27" t="b">
        <f t="shared" si="3"/>
        <v>1</v>
      </c>
      <c r="L4" s="27">
        <v>90</v>
      </c>
      <c r="M4" s="27">
        <v>144</v>
      </c>
      <c r="N4" s="27"/>
      <c r="O4" s="27">
        <v>176</v>
      </c>
      <c r="P4" s="27"/>
      <c r="Q4" s="2">
        <f t="shared" si="4"/>
        <v>145.82484725050915</v>
      </c>
      <c r="R4" s="27">
        <v>3333</v>
      </c>
      <c r="T4" s="27">
        <v>170</v>
      </c>
      <c r="U4" s="2">
        <v>3709</v>
      </c>
      <c r="V4" s="29">
        <v>0</v>
      </c>
      <c r="W4" s="2">
        <v>0</v>
      </c>
      <c r="X4" s="2">
        <v>81</v>
      </c>
      <c r="Y4" s="2">
        <v>39782.559999999998</v>
      </c>
      <c r="Z4" s="2">
        <v>9</v>
      </c>
      <c r="AA4" s="108">
        <v>9786</v>
      </c>
      <c r="AB4" s="28">
        <f t="shared" si="5"/>
        <v>75.537439354438249</v>
      </c>
      <c r="AC4" s="2">
        <v>61044</v>
      </c>
      <c r="AD4" s="2">
        <v>10667.92</v>
      </c>
      <c r="AE4" s="2">
        <v>0</v>
      </c>
      <c r="AF4" s="2">
        <f t="shared" si="6"/>
        <v>71711.92</v>
      </c>
      <c r="AG4" s="27">
        <v>63</v>
      </c>
      <c r="AH4" s="108">
        <v>92865</v>
      </c>
      <c r="AI4" s="27">
        <v>82865</v>
      </c>
      <c r="AJ4" s="27">
        <v>0</v>
      </c>
      <c r="AK4" s="27"/>
      <c r="AL4" s="29">
        <f t="shared" ref="AL4:AL67" si="7">AH4+AI4+AJ4</f>
        <v>175730</v>
      </c>
      <c r="AM4" s="41">
        <v>1925</v>
      </c>
      <c r="AN4" s="27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27"/>
      <c r="BA4" s="27"/>
      <c r="BB4" s="27"/>
      <c r="BC4" s="27"/>
      <c r="BD4" s="27"/>
      <c r="BE4" s="27"/>
    </row>
    <row r="5" spans="1:57" x14ac:dyDescent="0.25">
      <c r="A5" s="27" t="s">
        <v>1759</v>
      </c>
      <c r="B5" s="27" t="str">
        <f t="shared" si="0"/>
        <v>Tennessee</v>
      </c>
      <c r="C5" s="27" t="str">
        <f t="shared" si="1"/>
        <v>Bledsoe</v>
      </c>
      <c r="D5" s="27">
        <v>1545</v>
      </c>
      <c r="E5" s="27">
        <v>0</v>
      </c>
      <c r="F5" s="27">
        <v>87</v>
      </c>
      <c r="G5" s="27">
        <v>0</v>
      </c>
      <c r="H5" s="27">
        <v>0</v>
      </c>
      <c r="I5" s="27">
        <v>0</v>
      </c>
      <c r="J5" s="27">
        <f t="shared" si="2"/>
        <v>1632</v>
      </c>
      <c r="K5" s="27" t="b">
        <f t="shared" si="3"/>
        <v>1</v>
      </c>
      <c r="L5" s="27">
        <v>62</v>
      </c>
      <c r="M5" s="27">
        <v>111</v>
      </c>
      <c r="N5" s="27"/>
      <c r="O5" s="27">
        <v>166</v>
      </c>
      <c r="P5" s="27"/>
      <c r="Q5" s="2">
        <f t="shared" si="4"/>
        <v>113.93198529411765</v>
      </c>
      <c r="R5" s="2">
        <v>2577</v>
      </c>
      <c r="S5" s="2"/>
      <c r="T5" s="2">
        <v>105</v>
      </c>
      <c r="U5" s="2">
        <v>2263</v>
      </c>
      <c r="V5" s="29">
        <v>0</v>
      </c>
      <c r="W5" s="2">
        <v>0</v>
      </c>
      <c r="X5" s="2">
        <v>54</v>
      </c>
      <c r="Y5" s="2">
        <v>23659.54</v>
      </c>
      <c r="Z5" s="2">
        <v>8</v>
      </c>
      <c r="AA5" s="108">
        <v>10690</v>
      </c>
      <c r="AB5" s="28">
        <f t="shared" si="5"/>
        <v>97.255364642238334</v>
      </c>
      <c r="AC5" s="2">
        <v>47936</v>
      </c>
      <c r="AD5" s="2">
        <v>17557.38</v>
      </c>
      <c r="AE5" s="2">
        <v>0</v>
      </c>
      <c r="AF5" s="2">
        <f t="shared" si="6"/>
        <v>65493.380000000005</v>
      </c>
      <c r="AG5" s="27">
        <v>34</v>
      </c>
      <c r="AH5" s="108">
        <v>104290</v>
      </c>
      <c r="AI5" s="27">
        <v>0</v>
      </c>
      <c r="AJ5" s="27">
        <v>65800</v>
      </c>
      <c r="AK5" s="27"/>
      <c r="AL5" s="29">
        <f t="shared" si="7"/>
        <v>170090</v>
      </c>
      <c r="AM5" s="41">
        <v>1925</v>
      </c>
      <c r="AN5" s="27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27"/>
      <c r="BA5" s="27"/>
      <c r="BB5" s="27"/>
      <c r="BC5" s="27"/>
      <c r="BD5" s="27"/>
      <c r="BE5" s="27"/>
    </row>
    <row r="6" spans="1:57" x14ac:dyDescent="0.25">
      <c r="A6" s="27" t="s">
        <v>1278</v>
      </c>
      <c r="B6" s="27" t="str">
        <f t="shared" si="0"/>
        <v>Tennessee</v>
      </c>
      <c r="C6" s="27" t="str">
        <f t="shared" si="1"/>
        <v>Blount</v>
      </c>
      <c r="D6" s="27">
        <v>6059</v>
      </c>
      <c r="E6" s="27">
        <v>1444</v>
      </c>
      <c r="F6" s="27">
        <v>538</v>
      </c>
      <c r="G6" s="27">
        <v>0</v>
      </c>
      <c r="H6" s="27">
        <v>57</v>
      </c>
      <c r="I6" s="27">
        <v>0</v>
      </c>
      <c r="J6" s="27">
        <f t="shared" si="2"/>
        <v>8098</v>
      </c>
      <c r="K6" s="27" t="b">
        <f t="shared" si="3"/>
        <v>1</v>
      </c>
      <c r="L6" s="27">
        <v>211</v>
      </c>
      <c r="M6" s="27">
        <v>154</v>
      </c>
      <c r="N6" s="27">
        <v>176</v>
      </c>
      <c r="O6" s="27">
        <v>176</v>
      </c>
      <c r="P6" s="27">
        <v>177</v>
      </c>
      <c r="Q6" s="2">
        <f t="shared" si="4"/>
        <v>159.5464312175846</v>
      </c>
      <c r="R6" s="2">
        <v>7822</v>
      </c>
      <c r="S6" s="2"/>
      <c r="T6" s="2">
        <v>713</v>
      </c>
      <c r="U6" s="2">
        <v>8701</v>
      </c>
      <c r="V6" s="29">
        <f>39+4</f>
        <v>43</v>
      </c>
      <c r="W6" s="2">
        <v>46861.64</v>
      </c>
      <c r="X6" s="2">
        <v>143</v>
      </c>
      <c r="Y6" s="2">
        <v>84240.44</v>
      </c>
      <c r="Z6" s="2">
        <v>25</v>
      </c>
      <c r="AA6" s="108">
        <v>31263</v>
      </c>
      <c r="AB6" s="28">
        <f t="shared" si="5"/>
        <v>96.461292545709327</v>
      </c>
      <c r="AC6" s="2">
        <v>224717</v>
      </c>
      <c r="AD6" s="2">
        <v>37889.06</v>
      </c>
      <c r="AE6" s="2">
        <v>68679.210000000006</v>
      </c>
      <c r="AF6" s="2">
        <f t="shared" si="6"/>
        <v>331285.27</v>
      </c>
      <c r="AG6" s="27">
        <v>86</v>
      </c>
      <c r="AH6" s="108">
        <v>260605</v>
      </c>
      <c r="AI6" s="27">
        <f>220732+7000</f>
        <v>227732</v>
      </c>
      <c r="AJ6" s="27">
        <v>0</v>
      </c>
      <c r="AK6" s="27"/>
      <c r="AL6" s="29">
        <f t="shared" si="7"/>
        <v>488337</v>
      </c>
      <c r="AM6" s="41">
        <v>1925</v>
      </c>
      <c r="AN6" s="27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27"/>
      <c r="BA6" s="27"/>
      <c r="BB6" s="27"/>
      <c r="BC6" s="27"/>
      <c r="BD6" s="27"/>
      <c r="BE6" s="27"/>
    </row>
    <row r="7" spans="1:57" x14ac:dyDescent="0.25">
      <c r="A7" s="27" t="s">
        <v>1279</v>
      </c>
      <c r="B7" s="27" t="str">
        <f t="shared" si="0"/>
        <v>Tennessee</v>
      </c>
      <c r="C7" s="27" t="str">
        <f t="shared" si="1"/>
        <v>Bradley</v>
      </c>
      <c r="D7" s="27">
        <v>4029</v>
      </c>
      <c r="E7" s="27">
        <v>1400</v>
      </c>
      <c r="F7" s="27">
        <v>382</v>
      </c>
      <c r="G7" s="27">
        <v>28</v>
      </c>
      <c r="H7" s="27">
        <v>0</v>
      </c>
      <c r="I7" s="27">
        <v>0</v>
      </c>
      <c r="J7" s="27">
        <f t="shared" si="2"/>
        <v>5839</v>
      </c>
      <c r="K7" s="27" t="b">
        <f t="shared" si="3"/>
        <v>1</v>
      </c>
      <c r="L7" s="27">
        <v>145</v>
      </c>
      <c r="M7" s="27">
        <v>131</v>
      </c>
      <c r="N7" s="2">
        <v>177</v>
      </c>
      <c r="O7" s="27">
        <v>166</v>
      </c>
      <c r="P7" s="27"/>
      <c r="Q7" s="2">
        <f t="shared" si="4"/>
        <v>144.48689844151394</v>
      </c>
      <c r="R7" s="2">
        <v>5382</v>
      </c>
      <c r="S7" s="2"/>
      <c r="T7" s="2">
        <v>426</v>
      </c>
      <c r="U7" s="2">
        <v>5857</v>
      </c>
      <c r="V7" s="29">
        <v>38</v>
      </c>
      <c r="W7" s="2">
        <v>29719.18</v>
      </c>
      <c r="X7" s="2">
        <v>86</v>
      </c>
      <c r="Y7" s="2">
        <v>46577.279999999999</v>
      </c>
      <c r="Z7" s="2">
        <v>21</v>
      </c>
      <c r="AA7" s="108">
        <v>23459</v>
      </c>
      <c r="AB7" s="28">
        <f t="shared" si="5"/>
        <v>95.229214146866255</v>
      </c>
      <c r="AC7" s="2">
        <v>131096</v>
      </c>
      <c r="AD7" s="2">
        <v>31699.3</v>
      </c>
      <c r="AE7" s="2">
        <v>107485.84</v>
      </c>
      <c r="AF7" s="2">
        <f t="shared" si="6"/>
        <v>270281.14</v>
      </c>
      <c r="AG7" s="27">
        <v>48</v>
      </c>
      <c r="AH7" s="108">
        <v>193327</v>
      </c>
      <c r="AI7" s="27">
        <f>195000+45000</f>
        <v>240000</v>
      </c>
      <c r="AJ7" s="27">
        <v>181500</v>
      </c>
      <c r="AK7" s="27"/>
      <c r="AL7" s="29">
        <f t="shared" si="7"/>
        <v>614827</v>
      </c>
      <c r="AM7" s="41">
        <v>1925</v>
      </c>
      <c r="AN7" s="27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27"/>
      <c r="BA7" s="27"/>
      <c r="BB7" s="27"/>
      <c r="BC7" s="27"/>
      <c r="BD7" s="27"/>
      <c r="BE7" s="27"/>
    </row>
    <row r="8" spans="1:57" x14ac:dyDescent="0.25">
      <c r="A8" s="27" t="s">
        <v>1280</v>
      </c>
      <c r="B8" s="27" t="str">
        <f t="shared" si="0"/>
        <v>Tennessee</v>
      </c>
      <c r="C8" s="27" t="str">
        <f t="shared" si="1"/>
        <v>Campbell</v>
      </c>
      <c r="D8" s="27">
        <v>5206</v>
      </c>
      <c r="E8" s="27">
        <v>1173</v>
      </c>
      <c r="F8" s="27">
        <v>496</v>
      </c>
      <c r="G8" s="27">
        <v>0</v>
      </c>
      <c r="H8" s="27">
        <v>0</v>
      </c>
      <c r="I8" s="27">
        <v>2</v>
      </c>
      <c r="J8" s="27">
        <f t="shared" si="2"/>
        <v>6877</v>
      </c>
      <c r="K8" s="27" t="b">
        <f t="shared" si="3"/>
        <v>1</v>
      </c>
      <c r="L8" s="27">
        <v>203</v>
      </c>
      <c r="M8" s="27">
        <v>134</v>
      </c>
      <c r="N8" s="27">
        <v>172</v>
      </c>
      <c r="O8" s="27">
        <v>176</v>
      </c>
      <c r="P8" s="27"/>
      <c r="Q8" s="2">
        <f t="shared" si="4"/>
        <v>143.47186273084193</v>
      </c>
      <c r="R8" s="2">
        <v>8356</v>
      </c>
      <c r="S8" s="2"/>
      <c r="T8" s="2">
        <v>638</v>
      </c>
      <c r="U8" s="2">
        <v>8480</v>
      </c>
      <c r="V8" s="29">
        <v>40</v>
      </c>
      <c r="W8" s="2">
        <v>31681.18</v>
      </c>
      <c r="X8" s="2">
        <v>137</v>
      </c>
      <c r="Y8" s="2">
        <v>80146.55</v>
      </c>
      <c r="Z8" s="2">
        <v>26</v>
      </c>
      <c r="AA8" s="108">
        <v>31271</v>
      </c>
      <c r="AB8" s="28">
        <f t="shared" si="5"/>
        <v>98.265937139075461</v>
      </c>
      <c r="AC8" s="2">
        <v>133658</v>
      </c>
      <c r="AD8" s="2">
        <v>39173.78</v>
      </c>
      <c r="AE8" s="2">
        <v>39424.300000000003</v>
      </c>
      <c r="AF8" s="2">
        <f t="shared" si="6"/>
        <v>212256.08000000002</v>
      </c>
      <c r="AG8" s="27">
        <v>79</v>
      </c>
      <c r="AH8" s="108">
        <v>201778</v>
      </c>
      <c r="AI8" s="27">
        <f>89000+16250</f>
        <v>105250</v>
      </c>
      <c r="AJ8" s="27">
        <v>211400</v>
      </c>
      <c r="AK8" s="27"/>
      <c r="AL8" s="29">
        <f t="shared" si="7"/>
        <v>518428</v>
      </c>
      <c r="AM8" s="41">
        <v>1925</v>
      </c>
      <c r="AN8" s="27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27"/>
      <c r="BA8" s="27"/>
      <c r="BB8" s="27"/>
      <c r="BC8" s="27"/>
      <c r="BD8" s="27"/>
      <c r="BE8" s="27"/>
    </row>
    <row r="9" spans="1:57" x14ac:dyDescent="0.25">
      <c r="A9" s="27" t="s">
        <v>1281</v>
      </c>
      <c r="B9" s="27" t="str">
        <f t="shared" si="0"/>
        <v>Tennessee</v>
      </c>
      <c r="C9" s="27" t="str">
        <f t="shared" si="1"/>
        <v>Cannon</v>
      </c>
      <c r="D9" s="27">
        <v>2322</v>
      </c>
      <c r="E9" s="27">
        <v>0</v>
      </c>
      <c r="F9" s="27">
        <v>62</v>
      </c>
      <c r="G9" s="27">
        <v>0</v>
      </c>
      <c r="H9" s="27">
        <v>0</v>
      </c>
      <c r="I9" s="27">
        <v>0</v>
      </c>
      <c r="J9" s="27">
        <f t="shared" si="2"/>
        <v>2384</v>
      </c>
      <c r="K9" s="27" t="b">
        <f t="shared" si="3"/>
        <v>1</v>
      </c>
      <c r="L9" s="27">
        <v>76</v>
      </c>
      <c r="M9" s="27">
        <v>113</v>
      </c>
      <c r="N9" s="27"/>
      <c r="O9" s="27">
        <v>179</v>
      </c>
      <c r="P9" s="27">
        <v>179</v>
      </c>
      <c r="Q9" s="2">
        <f t="shared" si="4"/>
        <v>114.71644295302013</v>
      </c>
      <c r="R9" s="2">
        <v>2961</v>
      </c>
      <c r="S9" s="2"/>
      <c r="T9" s="2">
        <v>86</v>
      </c>
      <c r="U9" s="2">
        <v>2852</v>
      </c>
      <c r="V9" s="29">
        <v>0</v>
      </c>
      <c r="W9" s="2">
        <v>0</v>
      </c>
      <c r="X9" s="2">
        <v>72</v>
      </c>
      <c r="Y9" s="2">
        <v>28203.75</v>
      </c>
      <c r="Z9" s="2">
        <v>4</v>
      </c>
      <c r="AA9" s="108">
        <v>4410</v>
      </c>
      <c r="AB9" s="28">
        <f t="shared" si="5"/>
        <v>74.815480401432126</v>
      </c>
      <c r="AC9" s="2">
        <v>58558</v>
      </c>
      <c r="AD9" s="2">
        <v>7929.01</v>
      </c>
      <c r="AE9" s="2">
        <v>0</v>
      </c>
      <c r="AF9" s="2">
        <f t="shared" si="6"/>
        <v>66487.009999999995</v>
      </c>
      <c r="AG9" s="27">
        <v>44</v>
      </c>
      <c r="AH9" s="108">
        <v>115252</v>
      </c>
      <c r="AI9" s="27">
        <v>115252</v>
      </c>
      <c r="AJ9" s="27">
        <v>87500</v>
      </c>
      <c r="AK9" s="27"/>
      <c r="AL9" s="29">
        <f t="shared" si="7"/>
        <v>318004</v>
      </c>
      <c r="AM9" s="41">
        <v>1925</v>
      </c>
      <c r="AN9" s="27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27"/>
      <c r="BA9" s="27"/>
      <c r="BB9" s="27"/>
      <c r="BC9" s="27"/>
      <c r="BD9" s="27"/>
      <c r="BE9" s="27"/>
    </row>
    <row r="10" spans="1:57" x14ac:dyDescent="0.25">
      <c r="A10" s="27" t="s">
        <v>1282</v>
      </c>
      <c r="B10" s="27" t="str">
        <f t="shared" si="0"/>
        <v>Tennessee</v>
      </c>
      <c r="C10" s="27" t="str">
        <f t="shared" si="1"/>
        <v>Carroll</v>
      </c>
      <c r="D10" s="27">
        <v>5199</v>
      </c>
      <c r="E10" s="27">
        <v>0</v>
      </c>
      <c r="F10" s="27">
        <v>511</v>
      </c>
      <c r="G10" s="27">
        <v>0</v>
      </c>
      <c r="H10" s="27">
        <v>0</v>
      </c>
      <c r="I10" s="27">
        <v>0</v>
      </c>
      <c r="J10" s="27">
        <f t="shared" si="2"/>
        <v>5710</v>
      </c>
      <c r="K10" s="27" t="b">
        <f t="shared" si="3"/>
        <v>1</v>
      </c>
      <c r="L10" s="27">
        <v>190</v>
      </c>
      <c r="M10" s="27">
        <v>138</v>
      </c>
      <c r="N10" s="27"/>
      <c r="O10" s="27">
        <v>178</v>
      </c>
      <c r="P10" s="27"/>
      <c r="Q10" s="2">
        <f t="shared" si="4"/>
        <v>141.57968476357269</v>
      </c>
      <c r="R10" s="2">
        <v>7059</v>
      </c>
      <c r="S10" s="2"/>
      <c r="T10" s="2">
        <v>640</v>
      </c>
      <c r="U10" s="2">
        <v>7952</v>
      </c>
      <c r="V10" s="29">
        <v>0</v>
      </c>
      <c r="W10" s="2">
        <v>0</v>
      </c>
      <c r="X10" s="2">
        <v>158</v>
      </c>
      <c r="Y10" s="2">
        <v>75991.23</v>
      </c>
      <c r="Z10" s="2">
        <v>32</v>
      </c>
      <c r="AA10" s="108">
        <v>32832</v>
      </c>
      <c r="AB10" s="28">
        <f t="shared" si="5"/>
        <v>80.909043280004269</v>
      </c>
      <c r="AC10" s="2">
        <v>147118</v>
      </c>
      <c r="AD10" s="2">
        <v>39938.89</v>
      </c>
      <c r="AE10" s="2">
        <v>0</v>
      </c>
      <c r="AF10" s="2">
        <f t="shared" si="6"/>
        <v>187056.89</v>
      </c>
      <c r="AG10" s="27">
        <v>101</v>
      </c>
      <c r="AH10" s="108">
        <v>256740</v>
      </c>
      <c r="AI10" s="27">
        <v>0</v>
      </c>
      <c r="AJ10" s="27">
        <v>156000</v>
      </c>
      <c r="AK10" s="27"/>
      <c r="AL10" s="29">
        <f t="shared" si="7"/>
        <v>412740</v>
      </c>
      <c r="AM10" s="41">
        <v>1925</v>
      </c>
      <c r="AN10" s="27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27"/>
      <c r="BA10" s="27"/>
      <c r="BB10" s="27"/>
      <c r="BC10" s="27"/>
      <c r="BD10" s="27"/>
      <c r="BE10" s="27"/>
    </row>
    <row r="11" spans="1:57" x14ac:dyDescent="0.25">
      <c r="A11" s="27" t="s">
        <v>1283</v>
      </c>
      <c r="B11" s="27" t="str">
        <f t="shared" si="0"/>
        <v>Tennessee</v>
      </c>
      <c r="C11" s="27" t="str">
        <f t="shared" si="1"/>
        <v>Carter</v>
      </c>
      <c r="D11" s="27">
        <v>4914</v>
      </c>
      <c r="E11" s="27">
        <v>790</v>
      </c>
      <c r="F11" s="27">
        <v>275</v>
      </c>
      <c r="G11" s="27">
        <v>0</v>
      </c>
      <c r="H11" s="27">
        <v>0</v>
      </c>
      <c r="I11" s="27">
        <v>0</v>
      </c>
      <c r="J11" s="27">
        <f t="shared" si="2"/>
        <v>5979</v>
      </c>
      <c r="K11" s="27" t="b">
        <f t="shared" si="3"/>
        <v>1</v>
      </c>
      <c r="L11" s="27">
        <v>141</v>
      </c>
      <c r="M11" s="27">
        <v>140</v>
      </c>
      <c r="N11" s="27">
        <v>178</v>
      </c>
      <c r="O11" s="27">
        <v>177</v>
      </c>
      <c r="P11" s="27"/>
      <c r="Q11" s="2">
        <f t="shared" si="4"/>
        <v>146.72269610302726</v>
      </c>
      <c r="R11" s="2">
        <v>6875</v>
      </c>
      <c r="S11" s="2"/>
      <c r="T11" s="2">
        <v>344</v>
      </c>
      <c r="U11" s="2">
        <v>6384</v>
      </c>
      <c r="V11" s="29">
        <v>18</v>
      </c>
      <c r="W11" s="2">
        <v>19930</v>
      </c>
      <c r="X11" s="2">
        <v>107</v>
      </c>
      <c r="Y11" s="2">
        <v>49975.5</v>
      </c>
      <c r="Z11" s="2">
        <v>16</v>
      </c>
      <c r="AA11" s="108">
        <v>15017</v>
      </c>
      <c r="AB11" s="28">
        <f t="shared" si="5"/>
        <v>82.098714110274116</v>
      </c>
      <c r="AC11" s="2">
        <v>101355</v>
      </c>
      <c r="AD11" s="2">
        <v>21411.82</v>
      </c>
      <c r="AE11" s="2">
        <v>99717.5</v>
      </c>
      <c r="AF11" s="2">
        <f t="shared" si="6"/>
        <v>222484.32</v>
      </c>
      <c r="AG11" s="27">
        <v>63</v>
      </c>
      <c r="AH11" s="108">
        <v>204225</v>
      </c>
      <c r="AI11" s="27">
        <v>29500</v>
      </c>
      <c r="AJ11" s="27">
        <v>192400</v>
      </c>
      <c r="AK11" s="27"/>
      <c r="AL11" s="29">
        <f t="shared" si="7"/>
        <v>426125</v>
      </c>
      <c r="AM11" s="41">
        <v>1925</v>
      </c>
      <c r="AN11" s="27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27"/>
      <c r="BA11" s="27"/>
      <c r="BB11" s="27"/>
      <c r="BC11" s="27"/>
      <c r="BD11" s="27"/>
      <c r="BE11" s="27"/>
    </row>
    <row r="12" spans="1:57" x14ac:dyDescent="0.25">
      <c r="A12" s="27" t="s">
        <v>1284</v>
      </c>
      <c r="B12" s="27" t="str">
        <f t="shared" si="0"/>
        <v>Tennessee</v>
      </c>
      <c r="C12" s="27" t="str">
        <f t="shared" si="1"/>
        <v>Cheatham</v>
      </c>
      <c r="D12" s="27">
        <v>1801</v>
      </c>
      <c r="E12" s="27">
        <v>0</v>
      </c>
      <c r="F12" s="27">
        <v>139</v>
      </c>
      <c r="G12" s="27">
        <v>0</v>
      </c>
      <c r="H12" s="27">
        <v>0</v>
      </c>
      <c r="I12" s="27">
        <v>0</v>
      </c>
      <c r="J12" s="27">
        <f t="shared" si="2"/>
        <v>1940</v>
      </c>
      <c r="K12" s="27" t="b">
        <f t="shared" si="3"/>
        <v>1</v>
      </c>
      <c r="L12" s="27">
        <v>76</v>
      </c>
      <c r="M12" s="27">
        <v>120</v>
      </c>
      <c r="N12" s="2"/>
      <c r="O12" s="27">
        <v>180</v>
      </c>
      <c r="P12" s="27"/>
      <c r="Q12" s="2">
        <f t="shared" si="4"/>
        <v>124.29896907216495</v>
      </c>
      <c r="R12" s="2">
        <v>2523</v>
      </c>
      <c r="S12" s="2"/>
      <c r="T12" s="2">
        <v>165</v>
      </c>
      <c r="U12" s="2">
        <v>2644</v>
      </c>
      <c r="V12" s="29">
        <v>0</v>
      </c>
      <c r="W12" s="2">
        <v>0</v>
      </c>
      <c r="X12" s="2">
        <v>67</v>
      </c>
      <c r="Y12" s="2">
        <v>25637.5</v>
      </c>
      <c r="Z12" s="2">
        <v>9</v>
      </c>
      <c r="AA12" s="108">
        <v>10193</v>
      </c>
      <c r="AB12" s="28">
        <f t="shared" si="5"/>
        <v>75.858062361676772</v>
      </c>
      <c r="AC12" s="2">
        <v>53248</v>
      </c>
      <c r="AD12" s="2">
        <v>12086.51</v>
      </c>
      <c r="AE12" s="2">
        <v>0</v>
      </c>
      <c r="AF12" s="2">
        <f t="shared" si="6"/>
        <v>65334.51</v>
      </c>
      <c r="AG12" s="27">
        <v>48</v>
      </c>
      <c r="AH12" s="108">
        <v>143325</v>
      </c>
      <c r="AI12" s="27">
        <v>0</v>
      </c>
      <c r="AJ12" s="27">
        <v>30000</v>
      </c>
      <c r="AK12" s="27"/>
      <c r="AL12" s="29">
        <f t="shared" si="7"/>
        <v>173325</v>
      </c>
      <c r="AM12" s="41">
        <v>1925</v>
      </c>
      <c r="AN12" s="27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27"/>
      <c r="BA12" s="27"/>
      <c r="BB12" s="27"/>
      <c r="BC12" s="27"/>
      <c r="BD12" s="27"/>
      <c r="BE12" s="27"/>
    </row>
    <row r="13" spans="1:57" x14ac:dyDescent="0.25">
      <c r="A13" s="27" t="s">
        <v>1285</v>
      </c>
      <c r="B13" s="27" t="str">
        <f t="shared" si="0"/>
        <v>Tennessee</v>
      </c>
      <c r="C13" s="27" t="str">
        <f t="shared" si="1"/>
        <v>Chester</v>
      </c>
      <c r="D13" s="27">
        <v>1878</v>
      </c>
      <c r="E13" s="27">
        <v>325</v>
      </c>
      <c r="F13" s="27">
        <v>116</v>
      </c>
      <c r="G13" s="27">
        <v>0</v>
      </c>
      <c r="H13" s="27">
        <v>0</v>
      </c>
      <c r="I13" s="27">
        <v>0</v>
      </c>
      <c r="J13" s="27">
        <f t="shared" si="2"/>
        <v>2319</v>
      </c>
      <c r="K13" s="27" t="b">
        <f t="shared" si="3"/>
        <v>1</v>
      </c>
      <c r="L13" s="27">
        <v>76</v>
      </c>
      <c r="M13" s="27">
        <v>120</v>
      </c>
      <c r="N13" s="2">
        <v>180</v>
      </c>
      <c r="O13" s="27">
        <v>180</v>
      </c>
      <c r="P13" s="27">
        <v>120</v>
      </c>
      <c r="Q13" s="2">
        <f t="shared" si="4"/>
        <v>131.41009055627427</v>
      </c>
      <c r="R13" s="2">
        <v>2661</v>
      </c>
      <c r="S13" s="2"/>
      <c r="T13" s="2">
        <v>118</v>
      </c>
      <c r="U13" s="2">
        <v>2837</v>
      </c>
      <c r="V13" s="29">
        <v>11</v>
      </c>
      <c r="W13" s="2">
        <v>5590.75</v>
      </c>
      <c r="X13" s="2">
        <v>59</v>
      </c>
      <c r="Y13" s="2">
        <v>23695.5</v>
      </c>
      <c r="Z13" s="2">
        <v>6</v>
      </c>
      <c r="AA13" s="108">
        <v>6458</v>
      </c>
      <c r="AB13" s="28">
        <f t="shared" si="5"/>
        <v>71.580359918550059</v>
      </c>
      <c r="AC13" s="2">
        <v>44822</v>
      </c>
      <c r="AD13" s="2">
        <v>8313.11</v>
      </c>
      <c r="AE13" s="2">
        <v>9679.57</v>
      </c>
      <c r="AF13" s="2">
        <f t="shared" si="6"/>
        <v>62814.68</v>
      </c>
      <c r="AG13" s="27">
        <v>42</v>
      </c>
      <c r="AH13" s="108">
        <v>47260</v>
      </c>
      <c r="AI13" s="27">
        <f>100000+5100</f>
        <v>105100</v>
      </c>
      <c r="AJ13" s="27">
        <v>100000</v>
      </c>
      <c r="AK13" s="27"/>
      <c r="AL13" s="29">
        <f t="shared" si="7"/>
        <v>252360</v>
      </c>
      <c r="AM13" s="41">
        <v>1925</v>
      </c>
      <c r="AN13" s="27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27"/>
      <c r="BA13" s="27"/>
      <c r="BB13" s="27"/>
      <c r="BC13" s="27"/>
      <c r="BD13" s="27"/>
      <c r="BE13" s="27"/>
    </row>
    <row r="14" spans="1:57" x14ac:dyDescent="0.25">
      <c r="A14" s="27" t="s">
        <v>1286</v>
      </c>
      <c r="B14" s="27" t="str">
        <f t="shared" si="0"/>
        <v>Tennessee</v>
      </c>
      <c r="C14" s="27" t="str">
        <f t="shared" si="1"/>
        <v>Claiborne</v>
      </c>
      <c r="D14" s="27">
        <v>4473</v>
      </c>
      <c r="E14" s="27">
        <v>0</v>
      </c>
      <c r="F14" s="27">
        <v>212</v>
      </c>
      <c r="G14" s="27">
        <v>0</v>
      </c>
      <c r="H14" s="27">
        <v>0</v>
      </c>
      <c r="I14" s="27">
        <v>0</v>
      </c>
      <c r="J14" s="27">
        <f t="shared" si="2"/>
        <v>4685</v>
      </c>
      <c r="K14" s="27" t="b">
        <f t="shared" si="3"/>
        <v>1</v>
      </c>
      <c r="L14" s="27">
        <v>138</v>
      </c>
      <c r="M14" s="27">
        <v>137</v>
      </c>
      <c r="N14" s="2"/>
      <c r="O14" s="27">
        <v>180</v>
      </c>
      <c r="P14" s="27"/>
      <c r="Q14" s="2">
        <f t="shared" si="4"/>
        <v>138.94578441835645</v>
      </c>
      <c r="R14" s="2">
        <v>6941</v>
      </c>
      <c r="S14" s="2"/>
      <c r="T14" s="2">
        <v>266</v>
      </c>
      <c r="U14" s="2">
        <v>6685</v>
      </c>
      <c r="V14" s="29">
        <v>0</v>
      </c>
      <c r="W14" s="2">
        <v>0</v>
      </c>
      <c r="X14" s="2">
        <v>129</v>
      </c>
      <c r="Y14" s="2">
        <v>63228.95</v>
      </c>
      <c r="Z14" s="2">
        <v>9</v>
      </c>
      <c r="AA14" s="108">
        <v>11208</v>
      </c>
      <c r="AB14" s="28">
        <f t="shared" si="5"/>
        <v>77.641533446125337</v>
      </c>
      <c r="AC14" s="2">
        <v>95033</v>
      </c>
      <c r="AD14" s="2">
        <v>17397.59</v>
      </c>
      <c r="AE14" s="2">
        <v>0</v>
      </c>
      <c r="AF14" s="2">
        <f t="shared" si="6"/>
        <v>112430.59</v>
      </c>
      <c r="AG14" s="27">
        <v>98</v>
      </c>
      <c r="AH14" s="108">
        <v>100280</v>
      </c>
      <c r="AI14" s="27">
        <v>100280</v>
      </c>
      <c r="AJ14" s="27">
        <v>20166.8</v>
      </c>
      <c r="AK14" s="27"/>
      <c r="AL14" s="29">
        <f t="shared" si="7"/>
        <v>220726.8</v>
      </c>
      <c r="AM14" s="41">
        <v>1925</v>
      </c>
      <c r="AN14" s="27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27"/>
      <c r="BA14" s="27"/>
      <c r="BB14" s="27"/>
      <c r="BC14" s="27"/>
      <c r="BD14" s="27"/>
      <c r="BE14" s="27"/>
    </row>
    <row r="15" spans="1:57" x14ac:dyDescent="0.25">
      <c r="A15" s="27" t="s">
        <v>1287</v>
      </c>
      <c r="B15" s="27" t="str">
        <f t="shared" si="0"/>
        <v>Tennessee</v>
      </c>
      <c r="C15" s="27" t="str">
        <f t="shared" si="1"/>
        <v>Clay</v>
      </c>
      <c r="D15" s="27">
        <v>1605</v>
      </c>
      <c r="E15" s="27">
        <v>0</v>
      </c>
      <c r="F15" s="27">
        <v>106</v>
      </c>
      <c r="G15" s="27">
        <v>0</v>
      </c>
      <c r="H15" s="27">
        <v>0</v>
      </c>
      <c r="I15" s="27">
        <v>0</v>
      </c>
      <c r="J15" s="27">
        <f t="shared" si="2"/>
        <v>1711</v>
      </c>
      <c r="K15" s="27" t="b">
        <f t="shared" si="3"/>
        <v>1</v>
      </c>
      <c r="L15" s="27">
        <v>45</v>
      </c>
      <c r="M15" s="27">
        <v>112</v>
      </c>
      <c r="N15" s="2"/>
      <c r="O15" s="27">
        <v>177</v>
      </c>
      <c r="P15" s="27"/>
      <c r="Q15" s="2">
        <f t="shared" si="4"/>
        <v>116.02688486265342</v>
      </c>
      <c r="R15" s="2">
        <v>2700</v>
      </c>
      <c r="S15" s="2"/>
      <c r="T15" s="2">
        <v>187</v>
      </c>
      <c r="U15" s="2">
        <v>2659</v>
      </c>
      <c r="V15" s="29">
        <v>0</v>
      </c>
      <c r="W15" s="2">
        <v>0</v>
      </c>
      <c r="X15" s="2">
        <v>41</v>
      </c>
      <c r="Y15" s="2">
        <v>26019.14</v>
      </c>
      <c r="Z15" s="2">
        <v>4</v>
      </c>
      <c r="AA15" s="108">
        <v>9619</v>
      </c>
      <c r="AB15" s="28">
        <f t="shared" si="5"/>
        <v>136.51295863094938</v>
      </c>
      <c r="AC15" s="2">
        <v>38742</v>
      </c>
      <c r="AD15" s="2">
        <v>10551.59</v>
      </c>
      <c r="AE15" s="2">
        <v>0</v>
      </c>
      <c r="AF15" s="2">
        <f t="shared" si="6"/>
        <v>49293.59</v>
      </c>
      <c r="AG15" s="27">
        <v>41</v>
      </c>
      <c r="AH15" s="108">
        <v>47036</v>
      </c>
      <c r="AI15" s="27">
        <v>0</v>
      </c>
      <c r="AJ15" s="27">
        <v>38475</v>
      </c>
      <c r="AK15" s="27"/>
      <c r="AL15" s="29">
        <f t="shared" si="7"/>
        <v>85511</v>
      </c>
      <c r="AM15" s="41">
        <v>1925</v>
      </c>
      <c r="AN15" s="27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27"/>
      <c r="BA15" s="27"/>
      <c r="BB15" s="27"/>
      <c r="BC15" s="27"/>
      <c r="BD15" s="27"/>
      <c r="BE15" s="27"/>
    </row>
    <row r="16" spans="1:57" x14ac:dyDescent="0.25">
      <c r="A16" s="27" t="s">
        <v>1288</v>
      </c>
      <c r="B16" s="27" t="str">
        <f t="shared" si="0"/>
        <v>Tennessee</v>
      </c>
      <c r="C16" s="27" t="str">
        <f t="shared" si="1"/>
        <v>Cocke</v>
      </c>
      <c r="D16" s="27">
        <v>3779</v>
      </c>
      <c r="E16" s="27">
        <v>503</v>
      </c>
      <c r="F16" s="27">
        <v>191</v>
      </c>
      <c r="G16" s="27">
        <v>0</v>
      </c>
      <c r="H16" s="27">
        <v>0</v>
      </c>
      <c r="I16" s="27">
        <v>0</v>
      </c>
      <c r="J16" s="27">
        <f t="shared" si="2"/>
        <v>4473</v>
      </c>
      <c r="K16" s="27" t="b">
        <f t="shared" si="3"/>
        <v>1</v>
      </c>
      <c r="L16" s="27">
        <v>152</v>
      </c>
      <c r="M16" s="27">
        <v>136</v>
      </c>
      <c r="N16" s="2"/>
      <c r="O16" s="27">
        <v>180</v>
      </c>
      <c r="P16" s="27"/>
      <c r="Q16" s="2">
        <f t="shared" si="4"/>
        <v>122.58528951486699</v>
      </c>
      <c r="R16" s="2">
        <v>6243</v>
      </c>
      <c r="S16" s="2"/>
      <c r="T16" s="2">
        <v>228</v>
      </c>
      <c r="U16" s="2">
        <v>5966</v>
      </c>
      <c r="V16" s="29">
        <v>15</v>
      </c>
      <c r="W16" s="2">
        <v>0</v>
      </c>
      <c r="X16" s="2">
        <v>127</v>
      </c>
      <c r="Y16" s="2">
        <v>53001.03</v>
      </c>
      <c r="Z16" s="2">
        <v>10</v>
      </c>
      <c r="AA16" s="108">
        <v>9626</v>
      </c>
      <c r="AB16" s="28">
        <f t="shared" si="5"/>
        <v>67.221758147507089</v>
      </c>
      <c r="AC16" s="2">
        <v>105404</v>
      </c>
      <c r="AD16" s="2">
        <v>12504.47</v>
      </c>
      <c r="AE16" s="2">
        <v>0</v>
      </c>
      <c r="AF16" s="2">
        <f t="shared" si="6"/>
        <v>117908.47</v>
      </c>
      <c r="AG16" s="27">
        <v>82</v>
      </c>
      <c r="AH16" s="108">
        <v>151290</v>
      </c>
      <c r="AI16" s="27">
        <f>118500+13400</f>
        <v>131900</v>
      </c>
      <c r="AJ16" s="27">
        <v>195000</v>
      </c>
      <c r="AK16" s="27"/>
      <c r="AL16" s="29">
        <f t="shared" si="7"/>
        <v>478190</v>
      </c>
      <c r="AM16" s="41">
        <v>1925</v>
      </c>
      <c r="AN16" s="27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27"/>
      <c r="BA16" s="27"/>
      <c r="BB16" s="27"/>
      <c r="BC16" s="27"/>
      <c r="BD16" s="27"/>
      <c r="BE16" s="27"/>
    </row>
    <row r="17" spans="1:57" x14ac:dyDescent="0.25">
      <c r="A17" s="27" t="s">
        <v>1289</v>
      </c>
      <c r="B17" s="27" t="str">
        <f t="shared" si="0"/>
        <v>Tennessee</v>
      </c>
      <c r="C17" s="27" t="str">
        <f t="shared" si="1"/>
        <v>Coffee</v>
      </c>
      <c r="D17" s="27">
        <v>3317</v>
      </c>
      <c r="E17" s="27">
        <v>885</v>
      </c>
      <c r="F17" s="27">
        <v>247</v>
      </c>
      <c r="G17" s="27">
        <v>0</v>
      </c>
      <c r="H17" s="27">
        <v>90</v>
      </c>
      <c r="I17" s="27">
        <v>6</v>
      </c>
      <c r="J17" s="27">
        <f t="shared" si="2"/>
        <v>4545</v>
      </c>
      <c r="K17" s="27" t="b">
        <f t="shared" si="3"/>
        <v>1</v>
      </c>
      <c r="L17" s="27">
        <v>134</v>
      </c>
      <c r="M17" s="27">
        <v>100</v>
      </c>
      <c r="N17" s="2">
        <v>176</v>
      </c>
      <c r="O17" s="27">
        <v>136</v>
      </c>
      <c r="P17" s="27"/>
      <c r="Q17" s="2">
        <f t="shared" si="4"/>
        <v>114.64290429042904</v>
      </c>
      <c r="R17" s="2">
        <v>4353</v>
      </c>
      <c r="S17" s="2"/>
      <c r="T17" s="2">
        <v>454</v>
      </c>
      <c r="U17" s="2">
        <v>4939</v>
      </c>
      <c r="V17" s="29">
        <f>24+6</f>
        <v>30</v>
      </c>
      <c r="W17" s="2">
        <v>28455</v>
      </c>
      <c r="X17" s="2">
        <v>89</v>
      </c>
      <c r="Y17" s="2">
        <v>31262.75</v>
      </c>
      <c r="Z17" s="2">
        <v>15</v>
      </c>
      <c r="AA17" s="108">
        <v>14912</v>
      </c>
      <c r="AB17" s="28">
        <f t="shared" si="5"/>
        <v>97.160558916914468</v>
      </c>
      <c r="AC17" s="2">
        <v>100216</v>
      </c>
      <c r="AD17" s="2">
        <v>33676.22</v>
      </c>
      <c r="AE17" s="2">
        <v>43294.29</v>
      </c>
      <c r="AF17" s="2">
        <f t="shared" si="6"/>
        <v>177186.51</v>
      </c>
      <c r="AG17" s="27">
        <v>49</v>
      </c>
      <c r="AH17" s="108">
        <v>79559</v>
      </c>
      <c r="AI17" s="27">
        <f>20000+750</f>
        <v>20750</v>
      </c>
      <c r="AJ17" s="27">
        <v>46700</v>
      </c>
      <c r="AK17" s="27"/>
      <c r="AL17" s="29">
        <f t="shared" si="7"/>
        <v>147009</v>
      </c>
      <c r="AM17" s="41">
        <v>1925</v>
      </c>
      <c r="AN17" s="27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27"/>
      <c r="BA17" s="27"/>
      <c r="BB17" s="27"/>
      <c r="BC17" s="27"/>
      <c r="BD17" s="27"/>
      <c r="BE17" s="27"/>
    </row>
    <row r="18" spans="1:57" x14ac:dyDescent="0.25">
      <c r="A18" s="27" t="s">
        <v>1290</v>
      </c>
      <c r="B18" s="27" t="str">
        <f t="shared" si="0"/>
        <v>Tennessee</v>
      </c>
      <c r="C18" s="27" t="str">
        <f t="shared" si="1"/>
        <v>Crockett</v>
      </c>
      <c r="D18" s="27">
        <v>4561</v>
      </c>
      <c r="E18" s="27">
        <v>0</v>
      </c>
      <c r="F18" s="27">
        <v>433</v>
      </c>
      <c r="G18" s="27">
        <v>0</v>
      </c>
      <c r="H18" s="27">
        <v>0</v>
      </c>
      <c r="I18" s="27">
        <v>0</v>
      </c>
      <c r="J18" s="27">
        <f t="shared" si="2"/>
        <v>4994</v>
      </c>
      <c r="K18" s="27" t="b">
        <f t="shared" si="3"/>
        <v>1</v>
      </c>
      <c r="L18" s="27">
        <v>136</v>
      </c>
      <c r="M18" s="27">
        <v>136</v>
      </c>
      <c r="N18" s="2"/>
      <c r="O18" s="27">
        <v>176</v>
      </c>
      <c r="P18" s="27"/>
      <c r="Q18" s="2">
        <f t="shared" si="4"/>
        <v>139.46816179415299</v>
      </c>
      <c r="R18" s="2">
        <v>5337</v>
      </c>
      <c r="S18" s="2"/>
      <c r="T18" s="2">
        <v>556</v>
      </c>
      <c r="U18" s="2">
        <v>6245</v>
      </c>
      <c r="V18" s="29">
        <v>0</v>
      </c>
      <c r="W18" s="2">
        <v>0</v>
      </c>
      <c r="X18" s="2">
        <v>113</v>
      </c>
      <c r="Y18" s="2">
        <v>61041.82</v>
      </c>
      <c r="Z18" s="2">
        <v>23</v>
      </c>
      <c r="AA18" s="108">
        <v>21734</v>
      </c>
      <c r="AB18" s="28">
        <f t="shared" si="5"/>
        <v>87.280957526699737</v>
      </c>
      <c r="AC18" s="2">
        <v>84059</v>
      </c>
      <c r="AD18" s="2">
        <v>22114.29</v>
      </c>
      <c r="AE18" s="2">
        <v>0</v>
      </c>
      <c r="AF18" s="2">
        <f t="shared" si="6"/>
        <v>106173.29000000001</v>
      </c>
      <c r="AG18" s="27">
        <v>50</v>
      </c>
      <c r="AH18" s="108">
        <v>205345</v>
      </c>
      <c r="AI18" s="27">
        <v>0</v>
      </c>
      <c r="AJ18" s="27">
        <v>175500</v>
      </c>
      <c r="AK18" s="27"/>
      <c r="AL18" s="29">
        <f t="shared" si="7"/>
        <v>380845</v>
      </c>
      <c r="AM18" s="41">
        <v>1925</v>
      </c>
      <c r="AN18" s="27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27"/>
      <c r="BA18" s="27"/>
      <c r="BB18" s="27"/>
      <c r="BC18" s="27"/>
      <c r="BD18" s="27"/>
      <c r="BE18" s="27"/>
    </row>
    <row r="19" spans="1:57" x14ac:dyDescent="0.25">
      <c r="A19" s="27" t="s">
        <v>1291</v>
      </c>
      <c r="B19" s="27" t="str">
        <f t="shared" si="0"/>
        <v>Tennessee</v>
      </c>
      <c r="C19" s="27" t="str">
        <f t="shared" si="1"/>
        <v>Cumberland</v>
      </c>
      <c r="D19" s="27">
        <v>2546</v>
      </c>
      <c r="E19" s="27">
        <v>297</v>
      </c>
      <c r="F19" s="27">
        <v>58</v>
      </c>
      <c r="G19" s="27">
        <v>0</v>
      </c>
      <c r="H19" s="27">
        <v>0</v>
      </c>
      <c r="I19" s="27">
        <v>0</v>
      </c>
      <c r="J19" s="27">
        <f t="shared" si="2"/>
        <v>2901</v>
      </c>
      <c r="K19" s="27" t="b">
        <f t="shared" si="3"/>
        <v>1</v>
      </c>
      <c r="L19" s="27">
        <v>83</v>
      </c>
      <c r="M19" s="27">
        <v>117</v>
      </c>
      <c r="N19" s="2">
        <v>155</v>
      </c>
      <c r="O19" s="27">
        <v>175</v>
      </c>
      <c r="P19" s="27"/>
      <c r="Q19" s="2">
        <f t="shared" si="4"/>
        <v>122.04998276456395</v>
      </c>
      <c r="R19" s="2">
        <v>3340</v>
      </c>
      <c r="S19" s="2"/>
      <c r="T19" s="2">
        <v>66</v>
      </c>
      <c r="U19" s="2">
        <v>3398</v>
      </c>
      <c r="V19" s="29">
        <v>7</v>
      </c>
      <c r="W19" s="2">
        <v>6535</v>
      </c>
      <c r="X19" s="2">
        <v>73</v>
      </c>
      <c r="Y19" s="2">
        <v>27609.8</v>
      </c>
      <c r="Z19" s="2">
        <v>3</v>
      </c>
      <c r="AA19" s="108">
        <v>4044</v>
      </c>
      <c r="AB19" s="28">
        <f t="shared" si="5"/>
        <v>75.396327582271965</v>
      </c>
      <c r="AC19" s="2">
        <v>69620</v>
      </c>
      <c r="AD19" s="2">
        <v>9371.5400000000009</v>
      </c>
      <c r="AE19" s="2">
        <v>9604.27</v>
      </c>
      <c r="AF19" s="2">
        <f t="shared" si="6"/>
        <v>88595.810000000012</v>
      </c>
      <c r="AG19" s="27">
        <v>61</v>
      </c>
      <c r="AH19" s="108">
        <v>61264</v>
      </c>
      <c r="AI19" s="27">
        <v>21500</v>
      </c>
      <c r="AJ19" s="27">
        <v>11385</v>
      </c>
      <c r="AK19" s="27"/>
      <c r="AL19" s="29">
        <f t="shared" si="7"/>
        <v>94149</v>
      </c>
      <c r="AM19" s="41">
        <v>1925</v>
      </c>
      <c r="AN19" s="27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27"/>
      <c r="BA19" s="27"/>
      <c r="BB19" s="27"/>
      <c r="BC19" s="27"/>
      <c r="BD19" s="27"/>
      <c r="BE19" s="27"/>
    </row>
    <row r="20" spans="1:57" x14ac:dyDescent="0.25">
      <c r="A20" s="27" t="s">
        <v>1292</v>
      </c>
      <c r="B20" s="27" t="str">
        <f t="shared" si="0"/>
        <v>Tennessee</v>
      </c>
      <c r="C20" s="27" t="str">
        <f t="shared" si="1"/>
        <v>Davidson</v>
      </c>
      <c r="D20" s="27">
        <v>24924</v>
      </c>
      <c r="E20" s="27">
        <v>14467</v>
      </c>
      <c r="F20" s="27">
        <v>1137</v>
      </c>
      <c r="G20" s="27">
        <v>0</v>
      </c>
      <c r="H20" s="27">
        <v>1766</v>
      </c>
      <c r="I20" s="27">
        <v>643</v>
      </c>
      <c r="J20" s="27">
        <f t="shared" si="2"/>
        <v>42937</v>
      </c>
      <c r="K20" s="27" t="b">
        <f t="shared" si="3"/>
        <v>0</v>
      </c>
      <c r="L20" s="27">
        <v>853</v>
      </c>
      <c r="M20" s="27">
        <v>171</v>
      </c>
      <c r="N20" s="2">
        <v>177</v>
      </c>
      <c r="O20" s="27">
        <v>171</v>
      </c>
      <c r="P20" s="27"/>
      <c r="Q20" s="2">
        <f t="shared" si="4"/>
        <v>163.42757994270676</v>
      </c>
      <c r="R20" s="2">
        <v>45169</v>
      </c>
      <c r="S20" s="2"/>
      <c r="T20" s="2">
        <v>4037</v>
      </c>
      <c r="U20" s="2">
        <v>39394</v>
      </c>
      <c r="V20" s="29">
        <f>437+81</f>
        <v>518</v>
      </c>
      <c r="W20" s="2">
        <v>597762.30000000005</v>
      </c>
      <c r="X20" s="2">
        <v>280</v>
      </c>
      <c r="Y20" s="2">
        <v>210994.22</v>
      </c>
      <c r="Z20" s="2">
        <v>55</v>
      </c>
      <c r="AA20" s="108">
        <v>75891</v>
      </c>
      <c r="AB20" s="28">
        <f t="shared" si="5"/>
        <v>126.91877718678441</v>
      </c>
      <c r="AC20" s="2">
        <v>1036740</v>
      </c>
      <c r="AD20" s="2">
        <v>168650.13</v>
      </c>
      <c r="AE20" s="2">
        <v>1212066.3400000001</v>
      </c>
      <c r="AF20" s="2">
        <f t="shared" si="6"/>
        <v>2417456.4699999997</v>
      </c>
      <c r="AG20" s="27">
        <v>143</v>
      </c>
      <c r="AH20" s="108">
        <v>695150</v>
      </c>
      <c r="AI20" s="27">
        <f>1237400+146800</f>
        <v>1384200</v>
      </c>
      <c r="AJ20" s="27">
        <v>238697.23</v>
      </c>
      <c r="AK20" s="27"/>
      <c r="AL20" s="29">
        <f t="shared" si="7"/>
        <v>2318047.23</v>
      </c>
      <c r="AM20" s="41">
        <v>1925</v>
      </c>
      <c r="AN20" s="27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27"/>
      <c r="BA20" s="27"/>
      <c r="BB20" s="27"/>
      <c r="BC20" s="27"/>
      <c r="BD20" s="27"/>
      <c r="BE20" s="27"/>
    </row>
    <row r="21" spans="1:57" x14ac:dyDescent="0.25">
      <c r="A21" s="27" t="s">
        <v>1293</v>
      </c>
      <c r="B21" s="27" t="str">
        <f t="shared" si="0"/>
        <v>Tennessee</v>
      </c>
      <c r="C21" s="27" t="str">
        <f t="shared" si="1"/>
        <v>Decatur</v>
      </c>
      <c r="D21" s="27">
        <v>1926</v>
      </c>
      <c r="E21" s="27">
        <v>0</v>
      </c>
      <c r="F21" s="27">
        <v>145</v>
      </c>
      <c r="G21" s="27">
        <v>0</v>
      </c>
      <c r="H21" s="27">
        <v>0</v>
      </c>
      <c r="I21" s="27">
        <v>0</v>
      </c>
      <c r="J21" s="27">
        <f t="shared" si="2"/>
        <v>2071</v>
      </c>
      <c r="K21" s="27" t="b">
        <f t="shared" si="3"/>
        <v>1</v>
      </c>
      <c r="L21" s="27">
        <v>85</v>
      </c>
      <c r="M21" s="27">
        <v>119</v>
      </c>
      <c r="N21" s="2"/>
      <c r="O21" s="27">
        <v>162</v>
      </c>
      <c r="P21" s="27"/>
      <c r="Q21" s="2">
        <f t="shared" si="4"/>
        <v>122.01062288749397</v>
      </c>
      <c r="R21" s="2">
        <v>2643</v>
      </c>
      <c r="S21" s="2"/>
      <c r="T21" s="2">
        <v>189</v>
      </c>
      <c r="U21" s="2">
        <v>3222</v>
      </c>
      <c r="V21" s="29">
        <v>0</v>
      </c>
      <c r="W21" s="2">
        <v>0</v>
      </c>
      <c r="X21" s="2">
        <v>77</v>
      </c>
      <c r="Y21" s="2">
        <v>35189.51</v>
      </c>
      <c r="Z21" s="2">
        <v>8</v>
      </c>
      <c r="AA21" s="108">
        <v>9788</v>
      </c>
      <c r="AB21" s="28">
        <f t="shared" si="5"/>
        <v>86.737886250857855</v>
      </c>
      <c r="AC21" s="2">
        <v>42727</v>
      </c>
      <c r="AD21" s="2">
        <v>10002.780000000001</v>
      </c>
      <c r="AE21" s="2">
        <v>0</v>
      </c>
      <c r="AF21" s="2">
        <f t="shared" si="6"/>
        <v>52729.78</v>
      </c>
      <c r="AG21" s="27"/>
      <c r="AH21" s="108">
        <v>55300</v>
      </c>
      <c r="AI21" s="27">
        <v>0</v>
      </c>
      <c r="AJ21" s="27">
        <v>54150</v>
      </c>
      <c r="AK21" s="27"/>
      <c r="AL21" s="29">
        <f t="shared" si="7"/>
        <v>109450</v>
      </c>
      <c r="AM21" s="41">
        <v>1925</v>
      </c>
      <c r="AN21" s="27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27"/>
      <c r="BA21" s="27"/>
      <c r="BB21" s="27"/>
      <c r="BC21" s="27"/>
      <c r="BD21" s="27"/>
      <c r="BE21" s="27"/>
    </row>
    <row r="22" spans="1:57" x14ac:dyDescent="0.25">
      <c r="A22" s="27" t="s">
        <v>1760</v>
      </c>
      <c r="B22" s="27" t="str">
        <f t="shared" si="0"/>
        <v>Tennessee</v>
      </c>
      <c r="C22" s="27" t="str">
        <f t="shared" si="1"/>
        <v>DeKalb</v>
      </c>
      <c r="D22" s="27">
        <v>2982</v>
      </c>
      <c r="E22" s="27">
        <v>682</v>
      </c>
      <c r="F22" s="27">
        <v>175</v>
      </c>
      <c r="G22" s="27">
        <v>0</v>
      </c>
      <c r="H22" s="27">
        <v>0</v>
      </c>
      <c r="I22" s="27">
        <v>0</v>
      </c>
      <c r="J22" s="27">
        <f t="shared" si="2"/>
        <v>3839</v>
      </c>
      <c r="K22" s="27" t="b">
        <f t="shared" si="3"/>
        <v>1</v>
      </c>
      <c r="L22" s="27">
        <v>116</v>
      </c>
      <c r="M22" s="27">
        <v>107</v>
      </c>
      <c r="N22" s="2">
        <v>165</v>
      </c>
      <c r="O22" s="27">
        <v>177</v>
      </c>
      <c r="P22" s="27"/>
      <c r="Q22" s="2">
        <f t="shared" si="4"/>
        <v>120.49466006772597</v>
      </c>
      <c r="R22" s="2">
        <v>4451</v>
      </c>
      <c r="S22" s="2"/>
      <c r="T22" s="2">
        <v>228</v>
      </c>
      <c r="U22" s="2">
        <v>4382</v>
      </c>
      <c r="V22" s="29">
        <v>18</v>
      </c>
      <c r="W22" s="2">
        <v>17459.52</v>
      </c>
      <c r="X22" s="2">
        <v>86</v>
      </c>
      <c r="Y22" s="2">
        <v>28600</v>
      </c>
      <c r="Z22" s="2">
        <v>12</v>
      </c>
      <c r="AA22" s="108">
        <v>8365</v>
      </c>
      <c r="AB22" s="28">
        <f t="shared" si="5"/>
        <v>77.875135095284008</v>
      </c>
      <c r="AC22" s="2">
        <v>75391</v>
      </c>
      <c r="AD22" s="2">
        <v>16130.02</v>
      </c>
      <c r="AE22" s="2">
        <v>26035.13</v>
      </c>
      <c r="AF22" s="2">
        <f t="shared" si="6"/>
        <v>117556.15000000001</v>
      </c>
      <c r="AG22" s="27">
        <v>65</v>
      </c>
      <c r="AH22" s="108">
        <v>43040</v>
      </c>
      <c r="AI22" s="27">
        <v>110100</v>
      </c>
      <c r="AJ22" s="27">
        <v>0</v>
      </c>
      <c r="AK22" s="27"/>
      <c r="AL22" s="29">
        <f t="shared" si="7"/>
        <v>153140</v>
      </c>
      <c r="AM22" s="41">
        <v>1925</v>
      </c>
      <c r="AN22" s="27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27"/>
      <c r="BA22" s="27"/>
      <c r="BB22" s="27"/>
      <c r="BC22" s="27"/>
      <c r="BD22" s="27"/>
      <c r="BE22" s="27"/>
    </row>
    <row r="23" spans="1:57" x14ac:dyDescent="0.25">
      <c r="A23" s="27" t="s">
        <v>1294</v>
      </c>
      <c r="B23" s="27" t="str">
        <f t="shared" si="0"/>
        <v>Tennessee</v>
      </c>
      <c r="C23" s="27" t="str">
        <f t="shared" si="1"/>
        <v>Dickson</v>
      </c>
      <c r="D23" s="27">
        <v>3722</v>
      </c>
      <c r="E23" s="27">
        <v>539</v>
      </c>
      <c r="F23" s="27">
        <v>236</v>
      </c>
      <c r="G23" s="27">
        <v>0</v>
      </c>
      <c r="H23" s="27">
        <v>0</v>
      </c>
      <c r="I23" s="27">
        <v>0</v>
      </c>
      <c r="J23" s="27">
        <f t="shared" si="2"/>
        <v>4497</v>
      </c>
      <c r="K23" s="27" t="b">
        <f t="shared" si="3"/>
        <v>1</v>
      </c>
      <c r="L23" s="27">
        <v>131</v>
      </c>
      <c r="M23" s="27">
        <v>131</v>
      </c>
      <c r="N23" s="2">
        <v>177</v>
      </c>
      <c r="O23" s="27">
        <v>176</v>
      </c>
      <c r="P23" s="27"/>
      <c r="Q23" s="2">
        <f t="shared" si="4"/>
        <v>138.87502779630864</v>
      </c>
      <c r="R23" s="2">
        <v>5491</v>
      </c>
      <c r="S23" s="2"/>
      <c r="T23" s="2">
        <v>37</v>
      </c>
      <c r="U23" s="2">
        <v>5500</v>
      </c>
      <c r="V23" s="29">
        <v>10</v>
      </c>
      <c r="W23" s="2">
        <v>7425</v>
      </c>
      <c r="X23" s="2">
        <v>111</v>
      </c>
      <c r="Y23" s="2">
        <v>43185</v>
      </c>
      <c r="Z23" s="2">
        <v>10</v>
      </c>
      <c r="AA23" s="108">
        <v>11475</v>
      </c>
      <c r="AB23" s="28">
        <f t="shared" si="5"/>
        <v>68.252918502389093</v>
      </c>
      <c r="AC23" s="2">
        <v>100347</v>
      </c>
      <c r="AD23" s="2">
        <v>18627.560000000001</v>
      </c>
      <c r="AE23" s="2">
        <v>9292.4</v>
      </c>
      <c r="AF23" s="2">
        <f t="shared" si="6"/>
        <v>128266.95999999999</v>
      </c>
      <c r="AG23" s="27">
        <v>82</v>
      </c>
      <c r="AH23" s="108">
        <v>99380</v>
      </c>
      <c r="AI23" s="27">
        <v>45000</v>
      </c>
      <c r="AJ23" s="27">
        <v>50850</v>
      </c>
      <c r="AK23" s="27"/>
      <c r="AL23" s="29">
        <f t="shared" si="7"/>
        <v>195230</v>
      </c>
      <c r="AM23" s="41">
        <v>1925</v>
      </c>
      <c r="AN23" s="27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27"/>
      <c r="BA23" s="27"/>
      <c r="BB23" s="27"/>
      <c r="BC23" s="27"/>
      <c r="BD23" s="27"/>
      <c r="BE23" s="27"/>
    </row>
    <row r="24" spans="1:57" x14ac:dyDescent="0.25">
      <c r="A24" s="27" t="s">
        <v>1295</v>
      </c>
      <c r="B24" s="27" t="str">
        <f t="shared" si="0"/>
        <v>Tennessee</v>
      </c>
      <c r="C24" s="27" t="str">
        <f t="shared" si="1"/>
        <v>Dyer</v>
      </c>
      <c r="D24" s="27">
        <v>6308</v>
      </c>
      <c r="E24" s="27">
        <v>2087</v>
      </c>
      <c r="F24" s="27">
        <v>695</v>
      </c>
      <c r="G24" s="27">
        <v>134</v>
      </c>
      <c r="H24" s="27">
        <v>0</v>
      </c>
      <c r="I24" s="27">
        <v>0</v>
      </c>
      <c r="J24" s="27">
        <f t="shared" si="2"/>
        <v>9224</v>
      </c>
      <c r="K24" s="27" t="b">
        <f t="shared" si="3"/>
        <v>1</v>
      </c>
      <c r="L24" s="27">
        <v>245</v>
      </c>
      <c r="M24" s="27">
        <v>135</v>
      </c>
      <c r="N24" s="2">
        <v>170</v>
      </c>
      <c r="O24" s="27">
        <v>178</v>
      </c>
      <c r="P24" s="27">
        <v>170</v>
      </c>
      <c r="Q24" s="2">
        <f t="shared" si="4"/>
        <v>146.78360797918472</v>
      </c>
      <c r="R24" s="2">
        <v>9646</v>
      </c>
      <c r="S24" s="2"/>
      <c r="T24" s="2">
        <v>851</v>
      </c>
      <c r="U24" s="2">
        <v>9967</v>
      </c>
      <c r="V24" s="29">
        <f>63+31</f>
        <v>94</v>
      </c>
      <c r="W24" s="2">
        <v>92096.75</v>
      </c>
      <c r="X24" s="2">
        <v>135</v>
      </c>
      <c r="Y24" s="2">
        <v>55546.57</v>
      </c>
      <c r="Z24" s="2">
        <v>16</v>
      </c>
      <c r="AA24" s="108">
        <v>16036</v>
      </c>
      <c r="AB24" s="28">
        <f t="shared" si="5"/>
        <v>91.029082380588022</v>
      </c>
      <c r="AC24" s="2">
        <v>153641</v>
      </c>
      <c r="AD24" s="2">
        <v>45833.89</v>
      </c>
      <c r="AE24" s="2">
        <v>134177.34</v>
      </c>
      <c r="AF24" s="2">
        <f t="shared" si="6"/>
        <v>333652.23</v>
      </c>
      <c r="AG24" s="27">
        <v>84</v>
      </c>
      <c r="AH24" s="108">
        <v>165575</v>
      </c>
      <c r="AI24" s="27">
        <f>117129+22000</f>
        <v>139129</v>
      </c>
      <c r="AJ24" s="27">
        <v>268882</v>
      </c>
      <c r="AK24" s="27"/>
      <c r="AL24" s="29">
        <f t="shared" si="7"/>
        <v>573586</v>
      </c>
      <c r="AM24" s="41">
        <v>1925</v>
      </c>
      <c r="AN24" s="27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27"/>
      <c r="BA24" s="27"/>
      <c r="BB24" s="27"/>
      <c r="BC24" s="27"/>
      <c r="BD24" s="27"/>
      <c r="BE24" s="27"/>
    </row>
    <row r="25" spans="1:57" x14ac:dyDescent="0.25">
      <c r="A25" s="27" t="s">
        <v>1296</v>
      </c>
      <c r="B25" s="27" t="str">
        <f t="shared" si="0"/>
        <v>Tennessee</v>
      </c>
      <c r="C25" s="27" t="str">
        <f t="shared" si="1"/>
        <v>Fayette</v>
      </c>
      <c r="D25" s="27">
        <v>5168</v>
      </c>
      <c r="E25" s="27">
        <v>0</v>
      </c>
      <c r="F25" s="27">
        <v>65</v>
      </c>
      <c r="G25" s="27">
        <v>0</v>
      </c>
      <c r="H25" s="27">
        <v>0</v>
      </c>
      <c r="I25" s="27">
        <v>0</v>
      </c>
      <c r="J25" s="27">
        <f t="shared" si="2"/>
        <v>5233</v>
      </c>
      <c r="K25" s="27" t="b">
        <f t="shared" si="3"/>
        <v>1</v>
      </c>
      <c r="L25" s="27">
        <v>166</v>
      </c>
      <c r="M25" s="27">
        <v>121</v>
      </c>
      <c r="N25" s="2"/>
      <c r="O25" s="27">
        <v>175</v>
      </c>
      <c r="P25" s="27"/>
      <c r="Q25" s="2">
        <f t="shared" si="4"/>
        <v>121.67074335944965</v>
      </c>
      <c r="R25" s="2">
        <v>9357</v>
      </c>
      <c r="S25" s="2"/>
      <c r="T25" s="2">
        <v>72</v>
      </c>
      <c r="U25" s="2">
        <v>7904</v>
      </c>
      <c r="V25" s="29">
        <v>0</v>
      </c>
      <c r="W25" s="2">
        <v>0</v>
      </c>
      <c r="X25" s="2">
        <v>161</v>
      </c>
      <c r="Y25" s="2">
        <v>65029.5</v>
      </c>
      <c r="Z25" s="2">
        <v>5</v>
      </c>
      <c r="AA25" s="108">
        <v>6409</v>
      </c>
      <c r="AB25" s="28">
        <f t="shared" si="5"/>
        <v>70.740491552216795</v>
      </c>
      <c r="AC25" s="2">
        <v>92958</v>
      </c>
      <c r="AD25" s="2">
        <v>9433.5400000000009</v>
      </c>
      <c r="AE25" s="2">
        <v>0</v>
      </c>
      <c r="AF25" s="2">
        <f t="shared" si="6"/>
        <v>102391.54000000001</v>
      </c>
      <c r="AG25" s="27">
        <v>114</v>
      </c>
      <c r="AH25" s="108">
        <v>204258</v>
      </c>
      <c r="AI25" s="27">
        <v>0</v>
      </c>
      <c r="AJ25" s="27">
        <v>38500</v>
      </c>
      <c r="AK25" s="27"/>
      <c r="AL25" s="29">
        <f t="shared" si="7"/>
        <v>242758</v>
      </c>
      <c r="AM25" s="41">
        <v>1925</v>
      </c>
      <c r="AN25" s="27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27"/>
      <c r="BA25" s="27"/>
      <c r="BB25" s="27"/>
      <c r="BC25" s="27"/>
      <c r="BD25" s="27"/>
      <c r="BE25" s="27"/>
    </row>
    <row r="26" spans="1:57" x14ac:dyDescent="0.25">
      <c r="A26" s="27" t="s">
        <v>1297</v>
      </c>
      <c r="B26" s="27" t="str">
        <f t="shared" si="0"/>
        <v>Tennessee</v>
      </c>
      <c r="C26" s="27" t="str">
        <f t="shared" si="1"/>
        <v>Fentress</v>
      </c>
      <c r="D26" s="27">
        <v>1851</v>
      </c>
      <c r="E26" s="27">
        <v>0</v>
      </c>
      <c r="F26" s="27">
        <v>96</v>
      </c>
      <c r="G26" s="27">
        <v>0</v>
      </c>
      <c r="H26" s="27">
        <v>0</v>
      </c>
      <c r="I26" s="27">
        <v>0</v>
      </c>
      <c r="J26" s="27">
        <f t="shared" si="2"/>
        <v>1947</v>
      </c>
      <c r="K26" s="27" t="b">
        <f t="shared" si="3"/>
        <v>1</v>
      </c>
      <c r="L26" s="27">
        <v>76</v>
      </c>
      <c r="M26" s="27">
        <v>114</v>
      </c>
      <c r="N26" s="2"/>
      <c r="O26" s="27">
        <v>154</v>
      </c>
      <c r="P26" s="27"/>
      <c r="Q26" s="2">
        <f t="shared" si="4"/>
        <v>115.97226502311248</v>
      </c>
      <c r="R26" s="2">
        <v>3602</v>
      </c>
      <c r="S26" s="2"/>
      <c r="T26" s="2">
        <v>115</v>
      </c>
      <c r="U26" s="2">
        <v>2941</v>
      </c>
      <c r="V26" s="29">
        <v>0</v>
      </c>
      <c r="W26" s="2">
        <v>0</v>
      </c>
      <c r="X26" s="2">
        <v>67</v>
      </c>
      <c r="Y26" s="2">
        <v>26035.35</v>
      </c>
      <c r="Z26" s="2">
        <v>9</v>
      </c>
      <c r="AA26" s="108">
        <v>6567</v>
      </c>
      <c r="AB26" s="28">
        <f t="shared" si="5"/>
        <v>73.979462139191938</v>
      </c>
      <c r="AC26" s="2">
        <v>63368</v>
      </c>
      <c r="AD26" s="2">
        <v>10060.379999999999</v>
      </c>
      <c r="AE26" s="2">
        <v>0</v>
      </c>
      <c r="AF26" s="2">
        <f t="shared" si="6"/>
        <v>73428.38</v>
      </c>
      <c r="AG26" s="27">
        <v>57</v>
      </c>
      <c r="AH26" s="108">
        <v>75935</v>
      </c>
      <c r="AI26" s="27">
        <v>0</v>
      </c>
      <c r="AJ26" s="27">
        <v>13500</v>
      </c>
      <c r="AK26" s="27"/>
      <c r="AL26" s="29">
        <f t="shared" si="7"/>
        <v>89435</v>
      </c>
      <c r="AM26" s="41">
        <v>1925</v>
      </c>
      <c r="AN26" s="27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27"/>
      <c r="BA26" s="27"/>
      <c r="BB26" s="27"/>
      <c r="BC26" s="27"/>
      <c r="BD26" s="27"/>
      <c r="BE26" s="27"/>
    </row>
    <row r="27" spans="1:57" x14ac:dyDescent="0.25">
      <c r="A27" s="27" t="s">
        <v>1298</v>
      </c>
      <c r="B27" s="27" t="str">
        <f t="shared" si="0"/>
        <v>Tennessee</v>
      </c>
      <c r="C27" s="27" t="str">
        <f t="shared" si="1"/>
        <v>Franklin</v>
      </c>
      <c r="D27" s="27">
        <v>4178</v>
      </c>
      <c r="E27" s="27">
        <v>0</v>
      </c>
      <c r="F27" s="27">
        <v>400</v>
      </c>
      <c r="G27" s="27">
        <v>0</v>
      </c>
      <c r="H27" s="27">
        <v>0</v>
      </c>
      <c r="I27" s="27">
        <v>0</v>
      </c>
      <c r="J27" s="27">
        <f t="shared" si="2"/>
        <v>4578</v>
      </c>
      <c r="K27" s="27" t="b">
        <f t="shared" si="3"/>
        <v>1</v>
      </c>
      <c r="L27" s="27">
        <v>139</v>
      </c>
      <c r="M27" s="27">
        <v>159</v>
      </c>
      <c r="N27" s="2"/>
      <c r="O27" s="27">
        <v>179</v>
      </c>
      <c r="P27" s="27"/>
      <c r="Q27" s="2">
        <f t="shared" si="4"/>
        <v>160.7474879860201</v>
      </c>
      <c r="R27" s="2">
        <v>5852</v>
      </c>
      <c r="S27" s="2"/>
      <c r="T27" s="2">
        <v>490</v>
      </c>
      <c r="U27" s="2">
        <v>6029</v>
      </c>
      <c r="V27" s="29">
        <v>0</v>
      </c>
      <c r="W27" s="2">
        <v>0</v>
      </c>
      <c r="X27" s="2">
        <v>124</v>
      </c>
      <c r="Y27" s="2">
        <f>62704.65</f>
        <v>62704.65</v>
      </c>
      <c r="Z27" s="2">
        <v>15</v>
      </c>
      <c r="AA27" s="108">
        <v>18285</v>
      </c>
      <c r="AB27" s="28">
        <f t="shared" si="5"/>
        <v>72.493742803453117</v>
      </c>
      <c r="AC27" s="2">
        <v>102889</v>
      </c>
      <c r="AD27" s="2">
        <v>23081.439999999999</v>
      </c>
      <c r="AE27" s="2">
        <v>0</v>
      </c>
      <c r="AF27" s="2">
        <f t="shared" si="6"/>
        <v>125970.44</v>
      </c>
      <c r="AG27" s="27">
        <v>72</v>
      </c>
      <c r="AH27" s="108">
        <v>165915</v>
      </c>
      <c r="AI27" s="27">
        <v>0</v>
      </c>
      <c r="AJ27" s="27">
        <v>104250</v>
      </c>
      <c r="AK27" s="27"/>
      <c r="AL27" s="29">
        <f t="shared" si="7"/>
        <v>270165</v>
      </c>
      <c r="AM27" s="41">
        <v>1925</v>
      </c>
      <c r="AN27" s="27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27"/>
      <c r="BA27" s="27"/>
      <c r="BB27" s="27"/>
      <c r="BC27" s="27"/>
      <c r="BD27" s="27"/>
      <c r="BE27" s="27"/>
    </row>
    <row r="28" spans="1:57" x14ac:dyDescent="0.25">
      <c r="A28" s="27" t="s">
        <v>1299</v>
      </c>
      <c r="B28" s="27" t="str">
        <f t="shared" si="0"/>
        <v>Tennessee</v>
      </c>
      <c r="C28" s="27" t="str">
        <f t="shared" si="1"/>
        <v>Gibson</v>
      </c>
      <c r="D28" s="27">
        <v>9102</v>
      </c>
      <c r="E28" s="27">
        <v>1666</v>
      </c>
      <c r="F28" s="27">
        <v>989</v>
      </c>
      <c r="G28" s="27">
        <v>37</v>
      </c>
      <c r="H28" s="27">
        <v>0</v>
      </c>
      <c r="I28" s="27">
        <v>0</v>
      </c>
      <c r="J28" s="27">
        <f t="shared" si="2"/>
        <v>11794</v>
      </c>
      <c r="K28" s="27" t="b">
        <f t="shared" si="3"/>
        <v>1</v>
      </c>
      <c r="L28" s="27">
        <v>332</v>
      </c>
      <c r="M28" s="27">
        <v>136</v>
      </c>
      <c r="N28" s="2">
        <v>180</v>
      </c>
      <c r="O28" s="27">
        <v>173</v>
      </c>
      <c r="P28" s="27"/>
      <c r="Q28" s="2">
        <f t="shared" si="4"/>
        <v>145.43411904358149</v>
      </c>
      <c r="R28" s="2">
        <v>12713</v>
      </c>
      <c r="S28" s="2"/>
      <c r="T28" s="2">
        <v>1231</v>
      </c>
      <c r="U28" s="2">
        <v>13539</v>
      </c>
      <c r="V28" s="29">
        <v>37</v>
      </c>
      <c r="W28" s="2">
        <v>21520</v>
      </c>
      <c r="X28" s="2">
        <v>227</v>
      </c>
      <c r="Y28" s="2">
        <f>112230.52</f>
        <v>112230.52</v>
      </c>
      <c r="Z28" s="2">
        <v>68</v>
      </c>
      <c r="AA28" s="108">
        <v>70000</v>
      </c>
      <c r="AB28" s="28">
        <f t="shared" si="5"/>
        <v>84.396479942682845</v>
      </c>
      <c r="AC28" s="2">
        <v>261507</v>
      </c>
      <c r="AD28" s="2">
        <v>85916.68</v>
      </c>
      <c r="AE28" s="2">
        <v>67324.87</v>
      </c>
      <c r="AF28" s="2">
        <f t="shared" si="6"/>
        <v>414748.55</v>
      </c>
      <c r="AG28" s="27">
        <v>121</v>
      </c>
      <c r="AH28" s="108">
        <v>214705</v>
      </c>
      <c r="AI28" s="27">
        <f>120950+14850</f>
        <v>135800</v>
      </c>
      <c r="AJ28" s="27">
        <f>259550+25100</f>
        <v>284650</v>
      </c>
      <c r="AK28" s="27"/>
      <c r="AL28" s="29">
        <f t="shared" si="7"/>
        <v>635155</v>
      </c>
      <c r="AM28" s="41">
        <v>1925</v>
      </c>
      <c r="AN28" s="27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27"/>
      <c r="BA28" s="27"/>
      <c r="BB28" s="27"/>
      <c r="BC28" s="27"/>
      <c r="BD28" s="27"/>
      <c r="BE28" s="27"/>
    </row>
    <row r="29" spans="1:57" x14ac:dyDescent="0.25">
      <c r="A29" s="27" t="s">
        <v>1300</v>
      </c>
      <c r="B29" s="27" t="str">
        <f t="shared" si="0"/>
        <v>Tennessee</v>
      </c>
      <c r="C29" s="27" t="str">
        <f t="shared" si="1"/>
        <v>Giles</v>
      </c>
      <c r="D29" s="27">
        <v>5207</v>
      </c>
      <c r="E29" s="27">
        <v>462</v>
      </c>
      <c r="F29" s="27">
        <v>696</v>
      </c>
      <c r="G29" s="27">
        <v>0</v>
      </c>
      <c r="H29" s="27">
        <v>0</v>
      </c>
      <c r="I29" s="27">
        <v>20</v>
      </c>
      <c r="J29" s="27">
        <f t="shared" si="2"/>
        <v>6385</v>
      </c>
      <c r="K29" s="27" t="b">
        <f t="shared" si="3"/>
        <v>1</v>
      </c>
      <c r="L29" s="27">
        <v>186</v>
      </c>
      <c r="M29" s="27">
        <v>149</v>
      </c>
      <c r="N29" s="2">
        <v>180</v>
      </c>
      <c r="O29" s="27">
        <v>176</v>
      </c>
      <c r="P29" s="27">
        <v>180</v>
      </c>
      <c r="Q29" s="2">
        <f t="shared" si="4"/>
        <v>154.28332028191073</v>
      </c>
      <c r="R29" s="2">
        <v>7881</v>
      </c>
      <c r="S29" s="2"/>
      <c r="T29" s="2">
        <v>483</v>
      </c>
      <c r="U29" s="2">
        <v>8249</v>
      </c>
      <c r="V29" s="29">
        <f>10+2</f>
        <v>12</v>
      </c>
      <c r="W29" s="2">
        <v>13761</v>
      </c>
      <c r="X29" s="2">
        <v>145</v>
      </c>
      <c r="Y29" s="2">
        <v>65682.58</v>
      </c>
      <c r="Z29" s="2">
        <v>29</v>
      </c>
      <c r="AA29" s="108">
        <v>24155</v>
      </c>
      <c r="AB29" s="28">
        <f t="shared" si="5"/>
        <v>72.202440534141175</v>
      </c>
      <c r="AC29" s="2">
        <v>166676</v>
      </c>
      <c r="AD29" s="2">
        <v>48982.05</v>
      </c>
      <c r="AE29" s="2">
        <v>25711.86</v>
      </c>
      <c r="AF29" s="2">
        <f t="shared" si="6"/>
        <v>241369.90999999997</v>
      </c>
      <c r="AG29" s="27">
        <v>81</v>
      </c>
      <c r="AH29" s="108">
        <v>108240</v>
      </c>
      <c r="AI29" s="27">
        <f>67580+11250</f>
        <v>78830</v>
      </c>
      <c r="AJ29" s="27">
        <v>76250</v>
      </c>
      <c r="AK29" s="27"/>
      <c r="AL29" s="29">
        <f t="shared" si="7"/>
        <v>263320</v>
      </c>
      <c r="AM29" s="41">
        <v>1925</v>
      </c>
      <c r="AN29" s="27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27"/>
      <c r="BA29" s="27"/>
      <c r="BB29" s="27"/>
      <c r="BC29" s="27"/>
      <c r="BD29" s="27"/>
      <c r="BE29" s="27"/>
    </row>
    <row r="30" spans="1:57" x14ac:dyDescent="0.25">
      <c r="A30" s="27" t="s">
        <v>1761</v>
      </c>
      <c r="B30" s="27" t="str">
        <f t="shared" si="0"/>
        <v>Tennessee</v>
      </c>
      <c r="C30" s="27" t="str">
        <f t="shared" si="1"/>
        <v>Grainger</v>
      </c>
      <c r="D30" s="27">
        <v>2178</v>
      </c>
      <c r="E30" s="27">
        <v>0</v>
      </c>
      <c r="F30" s="27">
        <v>132</v>
      </c>
      <c r="G30" s="27">
        <v>0</v>
      </c>
      <c r="H30" s="27">
        <v>0</v>
      </c>
      <c r="I30" s="27">
        <v>0</v>
      </c>
      <c r="J30" s="27">
        <f t="shared" si="2"/>
        <v>2310</v>
      </c>
      <c r="K30" s="27" t="b">
        <f t="shared" si="3"/>
        <v>1</v>
      </c>
      <c r="L30" s="27">
        <v>89</v>
      </c>
      <c r="M30" s="27">
        <v>145</v>
      </c>
      <c r="N30" s="2"/>
      <c r="O30" s="27">
        <v>176</v>
      </c>
      <c r="P30" s="27"/>
      <c r="Q30" s="2">
        <f t="shared" si="4"/>
        <v>146.77142857142857</v>
      </c>
      <c r="R30" s="2">
        <v>3470</v>
      </c>
      <c r="S30" s="2"/>
      <c r="T30" s="2">
        <v>156</v>
      </c>
      <c r="U30" s="2">
        <v>3736</v>
      </c>
      <c r="V30" s="29">
        <v>0</v>
      </c>
      <c r="W30" s="2">
        <v>0</v>
      </c>
      <c r="X30" s="2">
        <v>81</v>
      </c>
      <c r="Y30" s="2">
        <v>41874.25</v>
      </c>
      <c r="Z30" s="2">
        <v>8</v>
      </c>
      <c r="AA30" s="108">
        <v>5899</v>
      </c>
      <c r="AB30" s="28">
        <f t="shared" si="5"/>
        <v>73.14476599597981</v>
      </c>
      <c r="AC30" s="2">
        <v>57319</v>
      </c>
      <c r="AD30" s="2">
        <v>8312.32</v>
      </c>
      <c r="AE30" s="2">
        <v>0</v>
      </c>
      <c r="AF30" s="2">
        <f t="shared" si="6"/>
        <v>65631.320000000007</v>
      </c>
      <c r="AG30" s="27"/>
      <c r="AH30" s="108"/>
      <c r="AI30" s="27">
        <v>0</v>
      </c>
      <c r="AJ30" s="27">
        <v>6250</v>
      </c>
      <c r="AK30" s="27"/>
      <c r="AL30" s="29">
        <f t="shared" si="7"/>
        <v>6250</v>
      </c>
      <c r="AM30" s="41">
        <v>1925</v>
      </c>
      <c r="AN30" s="27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27"/>
      <c r="BA30" s="27"/>
      <c r="BB30" s="27"/>
      <c r="BC30" s="27"/>
      <c r="BD30" s="27"/>
      <c r="BE30" s="27"/>
    </row>
    <row r="31" spans="1:57" x14ac:dyDescent="0.25">
      <c r="A31" s="27" t="s">
        <v>1301</v>
      </c>
      <c r="B31" s="27" t="str">
        <f t="shared" si="0"/>
        <v>Tennessee</v>
      </c>
      <c r="C31" s="27" t="str">
        <f t="shared" si="1"/>
        <v>Greene</v>
      </c>
      <c r="D31" s="27">
        <v>8223</v>
      </c>
      <c r="E31" s="27">
        <v>792</v>
      </c>
      <c r="F31" s="27">
        <v>713</v>
      </c>
      <c r="G31" s="27">
        <v>40</v>
      </c>
      <c r="H31" s="27">
        <v>0</v>
      </c>
      <c r="I31" s="27">
        <v>0</v>
      </c>
      <c r="J31" s="27">
        <f t="shared" si="2"/>
        <v>9768</v>
      </c>
      <c r="K31" s="27" t="b">
        <f t="shared" si="3"/>
        <v>1</v>
      </c>
      <c r="L31" s="27">
        <v>258</v>
      </c>
      <c r="M31" s="27">
        <v>160</v>
      </c>
      <c r="N31" s="2">
        <v>170</v>
      </c>
      <c r="O31" s="27">
        <v>180</v>
      </c>
      <c r="P31" s="27"/>
      <c r="Q31" s="2">
        <f t="shared" si="4"/>
        <v>162.35257985257985</v>
      </c>
      <c r="R31" s="2">
        <v>10071</v>
      </c>
      <c r="S31" s="2"/>
      <c r="T31" s="2">
        <v>783</v>
      </c>
      <c r="U31" s="2">
        <v>10562</v>
      </c>
      <c r="V31" s="29">
        <v>24</v>
      </c>
      <c r="W31" s="2">
        <v>16939.77</v>
      </c>
      <c r="X31" s="2">
        <v>194</v>
      </c>
      <c r="Y31" s="2">
        <v>97003.31</v>
      </c>
      <c r="Z31" s="2">
        <v>40</v>
      </c>
      <c r="AA31" s="108">
        <v>28338</v>
      </c>
      <c r="AB31" s="28">
        <f t="shared" si="5"/>
        <v>67.935730342483097</v>
      </c>
      <c r="AC31" s="2">
        <v>180807</v>
      </c>
      <c r="AD31" s="2">
        <v>29526.99</v>
      </c>
      <c r="AE31" s="2">
        <v>24913.11</v>
      </c>
      <c r="AF31" s="2">
        <f t="shared" si="6"/>
        <v>235247.09999999998</v>
      </c>
      <c r="AG31" s="27">
        <v>115</v>
      </c>
      <c r="AH31" s="108">
        <v>323210</v>
      </c>
      <c r="AI31" s="27">
        <v>18800</v>
      </c>
      <c r="AJ31" s="27">
        <v>407350</v>
      </c>
      <c r="AK31" s="27"/>
      <c r="AL31" s="29">
        <f t="shared" si="7"/>
        <v>749360</v>
      </c>
      <c r="AM31" s="41">
        <v>1925</v>
      </c>
      <c r="AN31" s="27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27"/>
      <c r="BA31" s="27"/>
      <c r="BB31" s="27"/>
      <c r="BC31" s="27"/>
      <c r="BD31" s="27"/>
      <c r="BE31" s="27"/>
    </row>
    <row r="32" spans="1:57" x14ac:dyDescent="0.25">
      <c r="A32" s="27" t="s">
        <v>1302</v>
      </c>
      <c r="B32" s="27" t="str">
        <f t="shared" si="0"/>
        <v>Tennessee</v>
      </c>
      <c r="C32" s="27" t="str">
        <f t="shared" si="1"/>
        <v>Grundy</v>
      </c>
      <c r="D32" s="27">
        <v>1867</v>
      </c>
      <c r="E32" s="27">
        <v>412</v>
      </c>
      <c r="F32" s="27">
        <v>149</v>
      </c>
      <c r="G32" s="27">
        <v>0</v>
      </c>
      <c r="H32" s="27">
        <v>0</v>
      </c>
      <c r="I32" s="27">
        <v>0</v>
      </c>
      <c r="J32" s="27">
        <f t="shared" si="2"/>
        <v>2428</v>
      </c>
      <c r="K32" s="27" t="b">
        <f t="shared" si="3"/>
        <v>1</v>
      </c>
      <c r="L32" s="27">
        <v>75</v>
      </c>
      <c r="M32" s="27">
        <v>115</v>
      </c>
      <c r="N32" s="2">
        <v>173</v>
      </c>
      <c r="O32" s="27">
        <v>162</v>
      </c>
      <c r="P32" s="27"/>
      <c r="Q32" s="2">
        <f t="shared" si="4"/>
        <v>127.72611202635915</v>
      </c>
      <c r="R32" s="2">
        <v>2681</v>
      </c>
      <c r="S32" s="2"/>
      <c r="T32" s="2">
        <v>174</v>
      </c>
      <c r="U32" s="2">
        <v>2813</v>
      </c>
      <c r="V32" s="29">
        <v>12</v>
      </c>
      <c r="W32" s="2">
        <v>0</v>
      </c>
      <c r="X32" s="2">
        <v>55</v>
      </c>
      <c r="Y32" s="2">
        <v>26206.240000000002</v>
      </c>
      <c r="Z32" s="2">
        <v>8</v>
      </c>
      <c r="AA32" s="108">
        <v>8667</v>
      </c>
      <c r="AB32" s="28">
        <f t="shared" si="5"/>
        <v>72.808375038829183</v>
      </c>
      <c r="AC32" s="2">
        <v>58452</v>
      </c>
      <c r="AD32" s="2">
        <v>10367.41</v>
      </c>
      <c r="AE32" s="2">
        <v>0</v>
      </c>
      <c r="AF32" s="2">
        <f t="shared" si="6"/>
        <v>68819.41</v>
      </c>
      <c r="AG32" s="27">
        <v>33</v>
      </c>
      <c r="AH32" s="108">
        <v>32995</v>
      </c>
      <c r="AI32" s="27">
        <v>45000</v>
      </c>
      <c r="AJ32" s="27">
        <v>0</v>
      </c>
      <c r="AK32" s="27"/>
      <c r="AL32" s="29">
        <f t="shared" si="7"/>
        <v>77995</v>
      </c>
      <c r="AM32" s="41">
        <v>1925</v>
      </c>
      <c r="AN32" s="27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27"/>
      <c r="BA32" s="27"/>
      <c r="BB32" s="27"/>
      <c r="BC32" s="27"/>
      <c r="BD32" s="27"/>
      <c r="BE32" s="27"/>
    </row>
    <row r="33" spans="1:57" x14ac:dyDescent="0.25">
      <c r="A33" s="27" t="s">
        <v>1303</v>
      </c>
      <c r="B33" s="27" t="str">
        <f t="shared" si="0"/>
        <v>Tennessee</v>
      </c>
      <c r="C33" s="27" t="str">
        <f t="shared" si="1"/>
        <v>Hamblen</v>
      </c>
      <c r="D33" s="27">
        <v>3452</v>
      </c>
      <c r="E33" s="27">
        <v>1460</v>
      </c>
      <c r="F33" s="27">
        <v>474</v>
      </c>
      <c r="G33" s="27">
        <v>4</v>
      </c>
      <c r="H33" s="27">
        <v>0</v>
      </c>
      <c r="I33" s="27">
        <v>51</v>
      </c>
      <c r="J33" s="27">
        <f t="shared" si="2"/>
        <v>5441</v>
      </c>
      <c r="K33" s="27" t="b">
        <f t="shared" si="3"/>
        <v>0</v>
      </c>
      <c r="L33" s="27">
        <v>132</v>
      </c>
      <c r="M33" s="27">
        <v>138</v>
      </c>
      <c r="N33" s="2">
        <v>180</v>
      </c>
      <c r="O33" s="27">
        <v>180</v>
      </c>
      <c r="P33" s="27">
        <v>180</v>
      </c>
      <c r="Q33" s="2">
        <f t="shared" si="4"/>
        <v>153.35342767873553</v>
      </c>
      <c r="R33" s="2">
        <v>4573</v>
      </c>
      <c r="S33" s="2"/>
      <c r="T33" s="2">
        <v>568</v>
      </c>
      <c r="U33" s="2">
        <v>4344</v>
      </c>
      <c r="V33" s="29">
        <f>42+26</f>
        <v>68</v>
      </c>
      <c r="W33" s="2">
        <v>51916.18</v>
      </c>
      <c r="X33" s="2">
        <v>58</v>
      </c>
      <c r="Y33" s="2">
        <v>30046.59</v>
      </c>
      <c r="Z33" s="2">
        <v>6</v>
      </c>
      <c r="AA33" s="108">
        <v>15007</v>
      </c>
      <c r="AB33" s="28">
        <f t="shared" si="5"/>
        <v>95.807375265969938</v>
      </c>
      <c r="AC33" s="2">
        <v>77527</v>
      </c>
      <c r="AD33" s="2">
        <v>16212.32</v>
      </c>
      <c r="AE33" s="2">
        <v>77042.39</v>
      </c>
      <c r="AF33" s="2">
        <f t="shared" si="6"/>
        <v>170781.71000000002</v>
      </c>
      <c r="AG33" s="27">
        <v>39</v>
      </c>
      <c r="AH33" s="108">
        <v>102680</v>
      </c>
      <c r="AI33" s="27">
        <f>120000+6500</f>
        <v>126500</v>
      </c>
      <c r="AJ33" s="27">
        <v>333900</v>
      </c>
      <c r="AK33" s="27"/>
      <c r="AL33" s="29">
        <f t="shared" si="7"/>
        <v>563080</v>
      </c>
      <c r="AM33" s="41">
        <v>1925</v>
      </c>
      <c r="AN33" s="27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27"/>
      <c r="BA33" s="27"/>
      <c r="BB33" s="27"/>
      <c r="BC33" s="27"/>
      <c r="BD33" s="27"/>
      <c r="BE33" s="27"/>
    </row>
    <row r="34" spans="1:57" x14ac:dyDescent="0.25">
      <c r="A34" s="27" t="s">
        <v>1304</v>
      </c>
      <c r="B34" s="27" t="str">
        <f t="shared" si="0"/>
        <v>Tennessee</v>
      </c>
      <c r="C34" s="27" t="str">
        <f t="shared" si="1"/>
        <v>Hamilton</v>
      </c>
      <c r="D34" s="27">
        <v>22072</v>
      </c>
      <c r="E34" s="27">
        <v>11850</v>
      </c>
      <c r="F34" s="27">
        <v>1690</v>
      </c>
      <c r="G34" s="27">
        <v>0</v>
      </c>
      <c r="H34" s="27">
        <v>952</v>
      </c>
      <c r="I34" s="27">
        <v>327</v>
      </c>
      <c r="J34" s="27">
        <f t="shared" si="2"/>
        <v>36891</v>
      </c>
      <c r="K34" s="27" t="b">
        <f t="shared" si="3"/>
        <v>0</v>
      </c>
      <c r="L34" s="27">
        <v>827</v>
      </c>
      <c r="M34" s="27">
        <v>180</v>
      </c>
      <c r="N34" s="2">
        <v>180</v>
      </c>
      <c r="O34" s="27">
        <v>180</v>
      </c>
      <c r="P34" s="27">
        <v>180</v>
      </c>
      <c r="Q34" s="2">
        <f t="shared" si="4"/>
        <v>180</v>
      </c>
      <c r="R34" s="2">
        <v>23937</v>
      </c>
      <c r="S34" s="2"/>
      <c r="T34" s="2">
        <v>3632</v>
      </c>
      <c r="U34" s="2">
        <v>30850</v>
      </c>
      <c r="V34" s="29">
        <f>372+62</f>
        <v>434</v>
      </c>
      <c r="W34" s="2">
        <v>347360.73</v>
      </c>
      <c r="X34" s="2">
        <v>300</v>
      </c>
      <c r="Y34" s="2">
        <v>399039.82</v>
      </c>
      <c r="Z34" s="2">
        <v>93</v>
      </c>
      <c r="AA34" s="108">
        <v>130012</v>
      </c>
      <c r="AB34" s="28">
        <f t="shared" si="5"/>
        <v>117.74990595190113</v>
      </c>
      <c r="AC34" s="2">
        <v>770254</v>
      </c>
      <c r="AD34" s="2">
        <v>221421.06</v>
      </c>
      <c r="AE34" s="2">
        <v>698650.11</v>
      </c>
      <c r="AF34" s="2">
        <f t="shared" si="6"/>
        <v>1690325.17</v>
      </c>
      <c r="AG34" s="27">
        <v>127</v>
      </c>
      <c r="AH34" s="108">
        <v>1003401</v>
      </c>
      <c r="AI34" s="27">
        <f>2641582.11+597074.29</f>
        <v>3238656.4</v>
      </c>
      <c r="AJ34" s="27">
        <v>1063500</v>
      </c>
      <c r="AK34" s="27"/>
      <c r="AL34" s="29">
        <f t="shared" si="7"/>
        <v>5305557.4000000004</v>
      </c>
      <c r="AM34" s="41">
        <v>1925</v>
      </c>
      <c r="AN34" s="27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27"/>
      <c r="BA34" s="27"/>
      <c r="BB34" s="27"/>
      <c r="BC34" s="27"/>
      <c r="BD34" s="27"/>
      <c r="BE34" s="27"/>
    </row>
    <row r="35" spans="1:57" x14ac:dyDescent="0.25">
      <c r="A35" s="27" t="s">
        <v>1305</v>
      </c>
      <c r="B35" s="27" t="str">
        <f t="shared" si="0"/>
        <v>Tennessee</v>
      </c>
      <c r="C35" s="27" t="str">
        <f t="shared" si="1"/>
        <v>Hancock</v>
      </c>
      <c r="D35" s="27">
        <v>1923</v>
      </c>
      <c r="E35" s="27">
        <v>0</v>
      </c>
      <c r="F35" s="27">
        <v>46</v>
      </c>
      <c r="G35" s="27">
        <v>0</v>
      </c>
      <c r="H35" s="27">
        <v>0</v>
      </c>
      <c r="I35" s="27">
        <v>0</v>
      </c>
      <c r="J35" s="27">
        <f t="shared" si="2"/>
        <v>1969</v>
      </c>
      <c r="K35" s="27" t="b">
        <f t="shared" si="3"/>
        <v>1</v>
      </c>
      <c r="L35" s="27">
        <v>64</v>
      </c>
      <c r="M35" s="27">
        <v>130</v>
      </c>
      <c r="N35" s="2"/>
      <c r="O35" s="27">
        <v>175</v>
      </c>
      <c r="P35" s="27"/>
      <c r="Q35" s="2">
        <f t="shared" si="4"/>
        <v>131.05129507364146</v>
      </c>
      <c r="R35" s="2">
        <v>2863</v>
      </c>
      <c r="S35" s="2"/>
      <c r="T35" s="2">
        <v>56</v>
      </c>
      <c r="U35" s="2">
        <v>2946</v>
      </c>
      <c r="V35" s="29">
        <v>0</v>
      </c>
      <c r="W35" s="2">
        <v>0</v>
      </c>
      <c r="X35" s="2">
        <v>61</v>
      </c>
      <c r="Y35" s="2">
        <v>25892</v>
      </c>
      <c r="Z35" s="2">
        <v>3</v>
      </c>
      <c r="AA35" s="108">
        <v>3060</v>
      </c>
      <c r="AB35" s="28">
        <f t="shared" si="5"/>
        <v>69.037852658502558</v>
      </c>
      <c r="AC35" s="2">
        <v>40056</v>
      </c>
      <c r="AD35" s="2">
        <v>5715.72</v>
      </c>
      <c r="AE35" s="2">
        <v>0</v>
      </c>
      <c r="AF35" s="2">
        <f t="shared" si="6"/>
        <v>45771.72</v>
      </c>
      <c r="AG35" s="27">
        <v>48</v>
      </c>
      <c r="AH35" s="108">
        <v>48820</v>
      </c>
      <c r="AI35" s="27"/>
      <c r="AJ35" s="27">
        <v>28700</v>
      </c>
      <c r="AK35" s="27"/>
      <c r="AL35" s="29">
        <f t="shared" si="7"/>
        <v>77520</v>
      </c>
      <c r="AM35" s="41">
        <v>1925</v>
      </c>
      <c r="AN35" s="27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27"/>
      <c r="BA35" s="27"/>
      <c r="BB35" s="27"/>
      <c r="BC35" s="27"/>
      <c r="BD35" s="27"/>
      <c r="BE35" s="27"/>
    </row>
    <row r="36" spans="1:57" x14ac:dyDescent="0.25">
      <c r="A36" s="27" t="s">
        <v>1306</v>
      </c>
      <c r="B36" s="27" t="str">
        <f t="shared" si="0"/>
        <v>Tennessee</v>
      </c>
      <c r="C36" s="27" t="str">
        <f t="shared" si="1"/>
        <v>Hardeman</v>
      </c>
      <c r="D36" s="27">
        <v>3843</v>
      </c>
      <c r="E36" s="27">
        <v>438</v>
      </c>
      <c r="F36" s="27">
        <v>236</v>
      </c>
      <c r="G36" s="27">
        <v>0</v>
      </c>
      <c r="H36" s="27">
        <v>0</v>
      </c>
      <c r="I36" s="27">
        <v>0</v>
      </c>
      <c r="J36" s="27">
        <f t="shared" si="2"/>
        <v>4517</v>
      </c>
      <c r="K36" s="27" t="b">
        <f t="shared" si="3"/>
        <v>1</v>
      </c>
      <c r="L36" s="27">
        <v>150</v>
      </c>
      <c r="M36" s="27">
        <v>115</v>
      </c>
      <c r="N36" s="2">
        <v>179</v>
      </c>
      <c r="O36" s="27">
        <v>170</v>
      </c>
      <c r="P36" s="27"/>
      <c r="Q36" s="2">
        <f t="shared" si="4"/>
        <v>124.07947752933363</v>
      </c>
      <c r="R36" s="2">
        <v>5186</v>
      </c>
      <c r="S36" s="2"/>
      <c r="T36" s="2">
        <v>293</v>
      </c>
      <c r="U36" s="2">
        <v>6012</v>
      </c>
      <c r="V36" s="29">
        <v>16</v>
      </c>
      <c r="W36" s="2">
        <v>10781.25</v>
      </c>
      <c r="X36" s="2">
        <v>119</v>
      </c>
      <c r="Y36" s="2">
        <v>42553.43</v>
      </c>
      <c r="Z36" s="2">
        <v>15</v>
      </c>
      <c r="AA36" s="108">
        <v>18450</v>
      </c>
      <c r="AB36" s="28">
        <f t="shared" si="5"/>
        <v>77.13838627668234</v>
      </c>
      <c r="AC36" s="2">
        <v>92111</v>
      </c>
      <c r="AD36" s="2">
        <v>24322.15</v>
      </c>
      <c r="AE36" s="2">
        <v>22029.37</v>
      </c>
      <c r="AF36" s="2">
        <f t="shared" si="6"/>
        <v>138462.51999999999</v>
      </c>
      <c r="AG36" s="27">
        <v>88</v>
      </c>
      <c r="AH36" s="108">
        <v>124643</v>
      </c>
      <c r="AI36" s="27">
        <v>39250</v>
      </c>
      <c r="AJ36" s="27">
        <v>0</v>
      </c>
      <c r="AK36" s="27"/>
      <c r="AL36" s="29">
        <f t="shared" si="7"/>
        <v>163893</v>
      </c>
      <c r="AM36" s="41">
        <v>1925</v>
      </c>
      <c r="AN36" s="27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27"/>
      <c r="BA36" s="27"/>
      <c r="BB36" s="27"/>
      <c r="BC36" s="27"/>
      <c r="BD36" s="27"/>
      <c r="BE36" s="27"/>
    </row>
    <row r="37" spans="1:57" x14ac:dyDescent="0.25">
      <c r="A37" s="27" t="s">
        <v>1307</v>
      </c>
      <c r="B37" s="27" t="str">
        <f t="shared" si="0"/>
        <v>Tennessee</v>
      </c>
      <c r="C37" s="27" t="str">
        <f t="shared" si="1"/>
        <v>Hardin</v>
      </c>
      <c r="D37" s="27">
        <v>3352</v>
      </c>
      <c r="E37" s="27">
        <v>220</v>
      </c>
      <c r="F37" s="27">
        <v>135</v>
      </c>
      <c r="G37" s="27">
        <v>0</v>
      </c>
      <c r="H37" s="27">
        <v>0</v>
      </c>
      <c r="I37" s="27">
        <v>0</v>
      </c>
      <c r="J37" s="27">
        <f t="shared" si="2"/>
        <v>3707</v>
      </c>
      <c r="K37" s="27" t="b">
        <f t="shared" si="3"/>
        <v>1</v>
      </c>
      <c r="L37" s="27">
        <v>138</v>
      </c>
      <c r="M37" s="27">
        <v>115</v>
      </c>
      <c r="N37" s="2">
        <v>178</v>
      </c>
      <c r="O37" s="27">
        <v>178</v>
      </c>
      <c r="P37" s="27"/>
      <c r="Q37" s="2">
        <f t="shared" si="4"/>
        <v>121.03318046938224</v>
      </c>
      <c r="R37" s="2">
        <v>4431</v>
      </c>
      <c r="S37" s="2"/>
      <c r="T37" s="2">
        <v>162</v>
      </c>
      <c r="U37" s="2">
        <v>4982</v>
      </c>
      <c r="V37" s="29">
        <v>8</v>
      </c>
      <c r="W37" s="2">
        <v>7220.5</v>
      </c>
      <c r="X37" s="2">
        <v>121</v>
      </c>
      <c r="Y37" s="2">
        <v>44227.85</v>
      </c>
      <c r="Z37" s="2">
        <v>9</v>
      </c>
      <c r="AA37" s="108">
        <v>12395</v>
      </c>
      <c r="AB37" s="28">
        <f t="shared" si="5"/>
        <v>76.447296389360773</v>
      </c>
      <c r="AC37" s="2">
        <v>91640</v>
      </c>
      <c r="AD37" s="2">
        <v>92065.58</v>
      </c>
      <c r="AE37" s="2">
        <v>11710.12</v>
      </c>
      <c r="AF37" s="2">
        <f t="shared" si="6"/>
        <v>195415.7</v>
      </c>
      <c r="AG37" s="27">
        <v>78</v>
      </c>
      <c r="AH37" s="108">
        <v>94360</v>
      </c>
      <c r="AI37" s="27">
        <v>18600</v>
      </c>
      <c r="AJ37" s="27">
        <v>94150</v>
      </c>
      <c r="AK37" s="27"/>
      <c r="AL37" s="29">
        <f t="shared" si="7"/>
        <v>207110</v>
      </c>
      <c r="AM37" s="41">
        <v>1925</v>
      </c>
      <c r="AN37" s="27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27"/>
      <c r="BA37" s="27"/>
      <c r="BB37" s="27"/>
      <c r="BC37" s="27"/>
      <c r="BD37" s="27"/>
      <c r="BE37" s="27"/>
    </row>
    <row r="38" spans="1:57" x14ac:dyDescent="0.25">
      <c r="A38" s="27" t="s">
        <v>1308</v>
      </c>
      <c r="B38" s="27" t="str">
        <f t="shared" si="0"/>
        <v>Tennessee</v>
      </c>
      <c r="C38" s="27" t="str">
        <f t="shared" si="1"/>
        <v>Hawkins</v>
      </c>
      <c r="D38" s="27">
        <v>4530</v>
      </c>
      <c r="E38" s="27">
        <v>373</v>
      </c>
      <c r="F38" s="27">
        <v>383</v>
      </c>
      <c r="G38" s="27">
        <v>0</v>
      </c>
      <c r="H38" s="27">
        <v>0</v>
      </c>
      <c r="I38" s="27">
        <v>0</v>
      </c>
      <c r="J38" s="27">
        <f t="shared" si="2"/>
        <v>5286</v>
      </c>
      <c r="K38" s="27" t="b">
        <f t="shared" si="3"/>
        <v>1</v>
      </c>
      <c r="L38" s="27">
        <v>176</v>
      </c>
      <c r="M38" s="27">
        <v>133</v>
      </c>
      <c r="N38" s="2">
        <v>175</v>
      </c>
      <c r="O38" s="27">
        <v>175</v>
      </c>
      <c r="P38" s="27"/>
      <c r="Q38" s="2">
        <f t="shared" si="4"/>
        <v>139.00681044267878</v>
      </c>
      <c r="R38" s="2">
        <v>7213</v>
      </c>
      <c r="S38" s="2"/>
      <c r="T38" s="2">
        <v>453</v>
      </c>
      <c r="U38" s="2">
        <v>6558</v>
      </c>
      <c r="V38" s="29">
        <v>10</v>
      </c>
      <c r="W38" s="2">
        <v>6930</v>
      </c>
      <c r="X38" s="2">
        <v>143</v>
      </c>
      <c r="Y38" s="2">
        <v>63122.44</v>
      </c>
      <c r="Z38" s="2">
        <v>23</v>
      </c>
      <c r="AA38" s="108">
        <v>20706</v>
      </c>
      <c r="AB38" s="28">
        <f t="shared" si="5"/>
        <v>74.193912212394636</v>
      </c>
      <c r="AC38" s="2">
        <v>88289</v>
      </c>
      <c r="AD38" s="2">
        <v>24172.35</v>
      </c>
      <c r="AE38" s="2">
        <v>13139.21</v>
      </c>
      <c r="AF38" s="2">
        <f t="shared" si="6"/>
        <v>125600.56</v>
      </c>
      <c r="AG38" s="27">
        <v>100</v>
      </c>
      <c r="AH38" s="108">
        <v>147305</v>
      </c>
      <c r="AI38" s="27">
        <v>150000</v>
      </c>
      <c r="AJ38" s="27">
        <v>317940</v>
      </c>
      <c r="AK38" s="27"/>
      <c r="AL38" s="29">
        <f t="shared" si="7"/>
        <v>615245</v>
      </c>
      <c r="AM38" s="41">
        <v>1925</v>
      </c>
      <c r="AN38" s="27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27"/>
      <c r="BA38" s="27"/>
      <c r="BB38" s="27"/>
      <c r="BC38" s="27"/>
      <c r="BD38" s="27"/>
      <c r="BE38" s="27"/>
    </row>
    <row r="39" spans="1:57" x14ac:dyDescent="0.25">
      <c r="A39" s="27" t="s">
        <v>1309</v>
      </c>
      <c r="B39" s="27" t="str">
        <f t="shared" si="0"/>
        <v>Tennessee</v>
      </c>
      <c r="C39" s="27" t="str">
        <f t="shared" si="1"/>
        <v>Haywood</v>
      </c>
      <c r="D39" s="27">
        <v>4372</v>
      </c>
      <c r="E39" s="27">
        <v>777</v>
      </c>
      <c r="F39" s="27">
        <v>178</v>
      </c>
      <c r="G39" s="27">
        <v>0</v>
      </c>
      <c r="H39" s="27">
        <v>0</v>
      </c>
      <c r="I39" s="27">
        <v>0</v>
      </c>
      <c r="J39" s="27">
        <f t="shared" si="2"/>
        <v>5327</v>
      </c>
      <c r="K39" s="27" t="b">
        <f t="shared" si="3"/>
        <v>1</v>
      </c>
      <c r="L39" s="27">
        <v>126</v>
      </c>
      <c r="M39" s="27">
        <v>116</v>
      </c>
      <c r="N39" s="2">
        <v>168</v>
      </c>
      <c r="O39" s="27">
        <v>175</v>
      </c>
      <c r="P39" s="27"/>
      <c r="Q39" s="2">
        <f t="shared" si="4"/>
        <v>125.55622301483011</v>
      </c>
      <c r="R39" s="2">
        <v>7420</v>
      </c>
      <c r="S39" s="2"/>
      <c r="T39" s="2">
        <v>204</v>
      </c>
      <c r="U39" s="2">
        <v>6422</v>
      </c>
      <c r="V39" s="29">
        <v>19</v>
      </c>
      <c r="W39" s="2">
        <v>18035.419999999998</v>
      </c>
      <c r="X39" s="2">
        <v>100</v>
      </c>
      <c r="Y39" s="2">
        <v>43491.75</v>
      </c>
      <c r="Z39" s="2">
        <v>7</v>
      </c>
      <c r="AA39" s="108">
        <v>11070</v>
      </c>
      <c r="AB39" s="28">
        <f t="shared" si="5"/>
        <v>91.778488080986889</v>
      </c>
      <c r="AC39" s="2">
        <v>102323</v>
      </c>
      <c r="AD39" s="2">
        <v>13351.61</v>
      </c>
      <c r="AE39" s="2">
        <v>27866.16</v>
      </c>
      <c r="AF39" s="2">
        <f t="shared" si="6"/>
        <v>143540.76999999999</v>
      </c>
      <c r="AG39" s="27">
        <v>72</v>
      </c>
      <c r="AH39" s="108">
        <v>86995</v>
      </c>
      <c r="AI39" s="27">
        <v>34000</v>
      </c>
      <c r="AJ39" s="27">
        <v>65000</v>
      </c>
      <c r="AK39" s="27"/>
      <c r="AL39" s="29">
        <f t="shared" si="7"/>
        <v>185995</v>
      </c>
      <c r="AM39" s="41">
        <v>1925</v>
      </c>
      <c r="AN39" s="27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27"/>
      <c r="BA39" s="27"/>
      <c r="BB39" s="27"/>
      <c r="BC39" s="27"/>
      <c r="BD39" s="27"/>
      <c r="BE39" s="27"/>
    </row>
    <row r="40" spans="1:57" x14ac:dyDescent="0.25">
      <c r="A40" s="27" t="s">
        <v>1310</v>
      </c>
      <c r="B40" s="27" t="str">
        <f t="shared" si="0"/>
        <v>Tennessee</v>
      </c>
      <c r="C40" s="27" t="str">
        <f t="shared" si="1"/>
        <v>Henderson</v>
      </c>
      <c r="D40" s="27">
        <v>3842</v>
      </c>
      <c r="E40" s="27">
        <v>491</v>
      </c>
      <c r="F40" s="27">
        <v>193</v>
      </c>
      <c r="G40" s="27">
        <v>0</v>
      </c>
      <c r="H40" s="27">
        <v>0</v>
      </c>
      <c r="I40" s="27">
        <v>0</v>
      </c>
      <c r="J40" s="27">
        <f t="shared" si="2"/>
        <v>4526</v>
      </c>
      <c r="K40" s="27" t="b">
        <f t="shared" si="3"/>
        <v>1</v>
      </c>
      <c r="L40" s="2">
        <v>140</v>
      </c>
      <c r="M40" s="2">
        <v>121</v>
      </c>
      <c r="N40" s="2">
        <v>180</v>
      </c>
      <c r="O40" s="2">
        <v>174</v>
      </c>
      <c r="P40" s="2"/>
      <c r="Q40" s="2">
        <f t="shared" si="4"/>
        <v>129.66062748563854</v>
      </c>
      <c r="R40" s="2">
        <v>6128</v>
      </c>
      <c r="S40" s="2"/>
      <c r="T40" s="2">
        <v>247</v>
      </c>
      <c r="U40" s="2">
        <v>5815</v>
      </c>
      <c r="V40" s="29">
        <v>11</v>
      </c>
      <c r="W40" s="2">
        <v>6755</v>
      </c>
      <c r="X40" s="2">
        <v>122</v>
      </c>
      <c r="Y40" s="2">
        <v>39500.480000000003</v>
      </c>
      <c r="Z40" s="2">
        <v>7</v>
      </c>
      <c r="AA40" s="108">
        <v>9104</v>
      </c>
      <c r="AB40" s="28">
        <f t="shared" si="5"/>
        <v>60.993821302716611</v>
      </c>
      <c r="AC40" s="2">
        <v>55737</v>
      </c>
      <c r="AD40" s="2">
        <v>11763.73</v>
      </c>
      <c r="AE40" s="2">
        <v>8323.94</v>
      </c>
      <c r="AF40" s="2">
        <f t="shared" si="6"/>
        <v>75824.67</v>
      </c>
      <c r="AG40" s="2">
        <v>90</v>
      </c>
      <c r="AH40" s="108">
        <v>135150</v>
      </c>
      <c r="AI40" s="27">
        <v>29000</v>
      </c>
      <c r="AJ40" s="27">
        <v>85000</v>
      </c>
      <c r="AK40" s="27"/>
      <c r="AL40" s="29">
        <f t="shared" si="7"/>
        <v>249150</v>
      </c>
      <c r="AM40" s="41">
        <v>1925</v>
      </c>
      <c r="AN40" s="27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27"/>
      <c r="BA40" s="27"/>
      <c r="BB40" s="27"/>
      <c r="BC40" s="27"/>
      <c r="BD40" s="27"/>
      <c r="BE40" s="27"/>
    </row>
    <row r="41" spans="1:57" x14ac:dyDescent="0.25">
      <c r="A41" s="27" t="s">
        <v>1311</v>
      </c>
      <c r="B41" s="27" t="str">
        <f t="shared" si="0"/>
        <v>Tennessee</v>
      </c>
      <c r="C41" s="27" t="str">
        <f t="shared" si="1"/>
        <v>Henry</v>
      </c>
      <c r="D41" s="27">
        <v>5046</v>
      </c>
      <c r="E41" s="27">
        <v>1347</v>
      </c>
      <c r="F41" s="27">
        <v>453</v>
      </c>
      <c r="G41" s="27">
        <v>19</v>
      </c>
      <c r="H41" s="27">
        <v>0</v>
      </c>
      <c r="I41" s="27">
        <v>0</v>
      </c>
      <c r="J41" s="27">
        <f t="shared" si="2"/>
        <v>6865</v>
      </c>
      <c r="K41" s="27" t="b">
        <f t="shared" si="3"/>
        <v>1</v>
      </c>
      <c r="L41" s="27">
        <v>215</v>
      </c>
      <c r="M41" s="27">
        <v>123</v>
      </c>
      <c r="N41" s="2">
        <v>170</v>
      </c>
      <c r="O41" s="27">
        <v>173</v>
      </c>
      <c r="P41" s="27"/>
      <c r="Q41" s="2">
        <f t="shared" si="4"/>
        <v>135.65972323379461</v>
      </c>
      <c r="R41" s="2">
        <v>6956</v>
      </c>
      <c r="S41" s="2"/>
      <c r="T41" s="2">
        <v>571</v>
      </c>
      <c r="U41" s="2">
        <v>7283</v>
      </c>
      <c r="V41" s="29">
        <v>48</v>
      </c>
      <c r="W41" s="2">
        <v>30777.08</v>
      </c>
      <c r="X41" s="2">
        <v>141</v>
      </c>
      <c r="Y41" s="2">
        <v>51741.65</v>
      </c>
      <c r="Z41" s="2">
        <v>26</v>
      </c>
      <c r="AA41" s="108">
        <v>33416</v>
      </c>
      <c r="AB41" s="28">
        <f t="shared" si="5"/>
        <v>79.497626778476558</v>
      </c>
      <c r="AC41" s="2">
        <v>142883.37</v>
      </c>
      <c r="AD41" s="2">
        <v>44347.21</v>
      </c>
      <c r="AE41" s="2">
        <v>53274.720000000001</v>
      </c>
      <c r="AF41" s="2">
        <f t="shared" si="6"/>
        <v>240505.3</v>
      </c>
      <c r="AG41" s="27">
        <v>97</v>
      </c>
      <c r="AH41" s="108">
        <v>100275</v>
      </c>
      <c r="AI41" s="27">
        <v>93000</v>
      </c>
      <c r="AJ41" s="27">
        <v>128900</v>
      </c>
      <c r="AK41" s="27"/>
      <c r="AL41" s="29">
        <f t="shared" si="7"/>
        <v>322175</v>
      </c>
      <c r="AM41" s="41">
        <v>1925</v>
      </c>
      <c r="AN41" s="27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27"/>
      <c r="BA41" s="27"/>
      <c r="BB41" s="27"/>
      <c r="BC41" s="27"/>
      <c r="BD41" s="27"/>
      <c r="BE41" s="27"/>
    </row>
    <row r="42" spans="1:57" x14ac:dyDescent="0.25">
      <c r="A42" s="27" t="s">
        <v>1312</v>
      </c>
      <c r="B42" s="27" t="str">
        <f t="shared" si="0"/>
        <v>Tennessee</v>
      </c>
      <c r="C42" s="27" t="str">
        <f t="shared" si="1"/>
        <v>Hickman</v>
      </c>
      <c r="D42" s="27">
        <v>3014</v>
      </c>
      <c r="F42" s="27">
        <v>177</v>
      </c>
      <c r="G42" s="27">
        <v>0</v>
      </c>
      <c r="H42" s="27">
        <v>0</v>
      </c>
      <c r="I42" s="27">
        <v>0</v>
      </c>
      <c r="J42" s="27">
        <f t="shared" si="2"/>
        <v>3191</v>
      </c>
      <c r="K42" s="27" t="b">
        <f t="shared" si="3"/>
        <v>1</v>
      </c>
      <c r="L42" s="27">
        <v>118</v>
      </c>
      <c r="M42" s="27">
        <v>145</v>
      </c>
      <c r="N42" s="2">
        <v>173</v>
      </c>
      <c r="O42" s="27">
        <v>173</v>
      </c>
      <c r="P42" s="27"/>
      <c r="Q42" s="2">
        <f t="shared" si="4"/>
        <v>146.55311814478219</v>
      </c>
      <c r="R42" s="27"/>
      <c r="T42" s="2">
        <v>226</v>
      </c>
      <c r="U42" s="2">
        <v>4400</v>
      </c>
      <c r="V42" s="29">
        <v>5</v>
      </c>
      <c r="W42" s="2">
        <v>5248.75</v>
      </c>
      <c r="X42" s="2">
        <v>109</v>
      </c>
      <c r="Y42" s="29">
        <v>44534.8</v>
      </c>
      <c r="Z42" s="7">
        <v>11</v>
      </c>
      <c r="AA42" s="108">
        <v>14990</v>
      </c>
      <c r="AB42" s="28">
        <f t="shared" si="5"/>
        <v>74.911867694034768</v>
      </c>
      <c r="AC42" s="2">
        <v>87134.12</v>
      </c>
      <c r="AD42" s="7">
        <v>18552.96</v>
      </c>
      <c r="AE42" s="2">
        <v>8992.07</v>
      </c>
      <c r="AF42" s="2">
        <f t="shared" si="6"/>
        <v>114679.15</v>
      </c>
      <c r="AG42" s="27">
        <v>82</v>
      </c>
      <c r="AH42" s="108">
        <v>106565</v>
      </c>
      <c r="AI42" s="27">
        <v>42500</v>
      </c>
      <c r="AJ42" s="27">
        <v>52850</v>
      </c>
      <c r="AK42" s="27"/>
      <c r="AL42" s="29">
        <f t="shared" si="7"/>
        <v>201915</v>
      </c>
      <c r="AM42" s="41">
        <v>1925</v>
      </c>
      <c r="AN42" s="27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27"/>
      <c r="BA42" s="27"/>
      <c r="BB42" s="27"/>
      <c r="BC42" s="27"/>
      <c r="BD42" s="27"/>
      <c r="BE42" s="27"/>
    </row>
    <row r="43" spans="1:57" x14ac:dyDescent="0.25">
      <c r="A43" s="27" t="s">
        <v>1313</v>
      </c>
      <c r="B43" s="27" t="str">
        <f t="shared" si="0"/>
        <v>Tennessee</v>
      </c>
      <c r="C43" s="27" t="str">
        <f t="shared" si="1"/>
        <v>Houston</v>
      </c>
      <c r="D43" s="27">
        <v>974</v>
      </c>
      <c r="E43" s="27">
        <v>0</v>
      </c>
      <c r="F43" s="27">
        <v>85</v>
      </c>
      <c r="G43" s="27">
        <v>0</v>
      </c>
      <c r="H43" s="27">
        <v>0</v>
      </c>
      <c r="I43" s="27">
        <v>0</v>
      </c>
      <c r="J43" s="27">
        <f t="shared" si="2"/>
        <v>1059</v>
      </c>
      <c r="K43" s="27" t="b">
        <f t="shared" si="3"/>
        <v>1</v>
      </c>
      <c r="L43" s="2">
        <v>44</v>
      </c>
      <c r="M43" s="2">
        <v>150</v>
      </c>
      <c r="N43" s="2"/>
      <c r="O43" s="2">
        <v>180</v>
      </c>
      <c r="P43" s="2"/>
      <c r="Q43" s="2">
        <f t="shared" si="4"/>
        <v>152.40793201133144</v>
      </c>
      <c r="R43" s="27"/>
      <c r="T43" s="2">
        <v>104</v>
      </c>
      <c r="U43" s="2">
        <v>1559</v>
      </c>
      <c r="V43" s="29"/>
      <c r="W43" s="2"/>
      <c r="X43" s="7">
        <v>40</v>
      </c>
      <c r="Y43" s="29">
        <v>19252.599999999999</v>
      </c>
      <c r="Z43" s="7">
        <v>4</v>
      </c>
      <c r="AA43" s="108">
        <v>5090</v>
      </c>
      <c r="AB43" s="28">
        <f t="shared" si="5"/>
        <v>72.600015207840485</v>
      </c>
      <c r="AC43" s="2">
        <v>27593.14</v>
      </c>
      <c r="AD43" s="29">
        <v>5611.97</v>
      </c>
      <c r="AE43" s="2"/>
      <c r="AF43" s="2">
        <f t="shared" si="6"/>
        <v>33205.11</v>
      </c>
      <c r="AG43" s="27">
        <v>20</v>
      </c>
      <c r="AH43" s="108">
        <v>27030</v>
      </c>
      <c r="AI43" s="27"/>
      <c r="AJ43" s="27">
        <v>27650</v>
      </c>
      <c r="AK43" s="27"/>
      <c r="AL43" s="29">
        <f t="shared" si="7"/>
        <v>54680</v>
      </c>
      <c r="AM43" s="41">
        <v>1925</v>
      </c>
      <c r="AN43" s="27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27"/>
      <c r="BA43" s="27"/>
      <c r="BB43" s="27"/>
      <c r="BC43" s="27"/>
      <c r="BD43" s="27"/>
      <c r="BE43" s="27"/>
    </row>
    <row r="44" spans="1:57" x14ac:dyDescent="0.25">
      <c r="A44" s="27" t="s">
        <v>1314</v>
      </c>
      <c r="B44" s="27" t="str">
        <f t="shared" si="0"/>
        <v>Tennessee</v>
      </c>
      <c r="C44" s="27" t="str">
        <f t="shared" si="1"/>
        <v>Humphreys</v>
      </c>
      <c r="D44" s="27">
        <f>2387+117</f>
        <v>2504</v>
      </c>
      <c r="E44" s="27">
        <v>400</v>
      </c>
      <c r="F44" s="27">
        <v>117</v>
      </c>
      <c r="G44" s="27">
        <v>0</v>
      </c>
      <c r="H44" s="27">
        <v>0</v>
      </c>
      <c r="I44" s="27">
        <v>0</v>
      </c>
      <c r="J44" s="27">
        <f t="shared" si="2"/>
        <v>3021</v>
      </c>
      <c r="K44" s="27" t="b">
        <f t="shared" si="3"/>
        <v>1</v>
      </c>
      <c r="L44" s="27">
        <v>98</v>
      </c>
      <c r="M44" s="27">
        <v>136</v>
      </c>
      <c r="N44" s="2">
        <v>175</v>
      </c>
      <c r="O44" s="27">
        <v>177</v>
      </c>
      <c r="P44" s="27"/>
      <c r="Q44" s="2">
        <f t="shared" si="4"/>
        <v>142.75173783515393</v>
      </c>
      <c r="R44" s="27"/>
      <c r="T44" s="2">
        <v>152</v>
      </c>
      <c r="U44" s="2">
        <v>3753</v>
      </c>
      <c r="V44" s="29"/>
      <c r="W44" s="2">
        <v>7515</v>
      </c>
      <c r="X44" s="29">
        <v>84</v>
      </c>
      <c r="Y44" s="29">
        <v>28796.59</v>
      </c>
      <c r="Z44" s="7">
        <v>8</v>
      </c>
      <c r="AA44" s="108">
        <v>9884.77</v>
      </c>
      <c r="AB44" s="28">
        <f t="shared" si="5"/>
        <v>66.043529237560577</v>
      </c>
      <c r="AC44" s="2">
        <v>66320.179999999993</v>
      </c>
      <c r="AD44" s="29">
        <v>30630.87</v>
      </c>
      <c r="AE44" s="2">
        <v>8660.2800000000007</v>
      </c>
      <c r="AF44" s="2">
        <f t="shared" si="6"/>
        <v>105611.32999999999</v>
      </c>
      <c r="AG44" s="27">
        <v>66</v>
      </c>
      <c r="AH44" s="108">
        <v>87345</v>
      </c>
      <c r="AI44" s="27">
        <v>20400</v>
      </c>
      <c r="AJ44" s="27">
        <v>41000</v>
      </c>
      <c r="AK44" s="27"/>
      <c r="AL44" s="29">
        <f t="shared" si="7"/>
        <v>148745</v>
      </c>
      <c r="AM44" s="41">
        <v>1925</v>
      </c>
      <c r="AN44" s="27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27"/>
      <c r="BA44" s="27"/>
      <c r="BB44" s="27"/>
      <c r="BC44" s="27"/>
      <c r="BD44" s="27"/>
      <c r="BE44" s="27"/>
    </row>
    <row r="45" spans="1:57" x14ac:dyDescent="0.25">
      <c r="A45" s="27" t="s">
        <v>1315</v>
      </c>
      <c r="B45" s="27" t="str">
        <f t="shared" si="0"/>
        <v>Tennessee</v>
      </c>
      <c r="C45" s="27" t="str">
        <f t="shared" si="1"/>
        <v>Jackson</v>
      </c>
      <c r="D45" s="27">
        <v>2357</v>
      </c>
      <c r="E45" s="27">
        <v>0</v>
      </c>
      <c r="F45" s="27">
        <v>68</v>
      </c>
      <c r="G45" s="27">
        <v>0</v>
      </c>
      <c r="H45" s="27">
        <v>0</v>
      </c>
      <c r="I45" s="27">
        <v>0</v>
      </c>
      <c r="J45" s="27">
        <f t="shared" si="2"/>
        <v>2425</v>
      </c>
      <c r="K45" s="27" t="b">
        <f t="shared" si="3"/>
        <v>1</v>
      </c>
      <c r="L45" s="27">
        <v>94</v>
      </c>
      <c r="M45" s="27">
        <v>142</v>
      </c>
      <c r="N45" s="27"/>
      <c r="O45" s="27">
        <v>167</v>
      </c>
      <c r="P45" s="27"/>
      <c r="Q45" s="2">
        <f t="shared" si="4"/>
        <v>142.70103092783506</v>
      </c>
      <c r="R45" s="27"/>
      <c r="T45" s="27">
        <v>92</v>
      </c>
      <c r="U45" s="2">
        <v>3844</v>
      </c>
      <c r="V45" s="29">
        <v>0</v>
      </c>
      <c r="W45" s="2"/>
      <c r="X45" s="2">
        <v>87</v>
      </c>
      <c r="Y45" s="2">
        <v>40162.31</v>
      </c>
      <c r="Z45" s="27">
        <v>7</v>
      </c>
      <c r="AA45" s="108">
        <v>5328</v>
      </c>
      <c r="AB45" s="28">
        <f t="shared" si="5"/>
        <v>67.825644277207502</v>
      </c>
      <c r="AC45" s="2">
        <v>55644</v>
      </c>
      <c r="AD45" s="2">
        <v>7214.41</v>
      </c>
      <c r="AE45" s="2"/>
      <c r="AF45" s="2">
        <f t="shared" si="6"/>
        <v>62858.41</v>
      </c>
      <c r="AG45" s="27">
        <v>58</v>
      </c>
      <c r="AH45" s="108">
        <v>61830</v>
      </c>
      <c r="AI45" s="27"/>
      <c r="AJ45" s="27">
        <v>14985</v>
      </c>
      <c r="AK45" s="27"/>
      <c r="AL45" s="29">
        <f t="shared" si="7"/>
        <v>76815</v>
      </c>
      <c r="AM45" s="41">
        <v>1925</v>
      </c>
      <c r="AN45" s="2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27"/>
      <c r="BA45" s="27"/>
      <c r="BB45" s="27"/>
      <c r="BC45" s="27"/>
      <c r="BD45" s="27"/>
      <c r="BE45" s="27"/>
    </row>
    <row r="46" spans="1:57" x14ac:dyDescent="0.25">
      <c r="A46" s="27" t="s">
        <v>1317</v>
      </c>
      <c r="B46" s="27" t="str">
        <f t="shared" si="0"/>
        <v>Tennessee</v>
      </c>
      <c r="C46" s="27" t="str">
        <f t="shared" si="1"/>
        <v>Jefferson</v>
      </c>
      <c r="D46" s="27">
        <v>3332</v>
      </c>
      <c r="E46" s="27">
        <v>364</v>
      </c>
      <c r="F46" s="27">
        <v>314</v>
      </c>
      <c r="G46" s="27">
        <v>0</v>
      </c>
      <c r="H46" s="27">
        <v>0</v>
      </c>
      <c r="I46" s="27">
        <v>0</v>
      </c>
      <c r="J46" s="27">
        <f t="shared" si="2"/>
        <v>4010</v>
      </c>
      <c r="K46" s="27" t="b">
        <f t="shared" si="3"/>
        <v>1</v>
      </c>
      <c r="L46" s="27">
        <v>124</v>
      </c>
      <c r="M46" s="27">
        <v>133</v>
      </c>
      <c r="N46" s="27">
        <v>176</v>
      </c>
      <c r="O46" s="27">
        <v>176</v>
      </c>
      <c r="P46" s="27"/>
      <c r="Q46" s="2">
        <f t="shared" si="4"/>
        <v>140.27032418952618</v>
      </c>
      <c r="R46" s="27"/>
      <c r="T46" s="27">
        <v>399</v>
      </c>
      <c r="U46" s="2">
        <v>4968</v>
      </c>
      <c r="V46" s="29">
        <f>9+4</f>
        <v>13</v>
      </c>
      <c r="W46" s="2">
        <v>9515</v>
      </c>
      <c r="X46" s="2">
        <v>99</v>
      </c>
      <c r="Y46" s="2">
        <v>51576.17</v>
      </c>
      <c r="Z46" s="2">
        <v>12</v>
      </c>
      <c r="AA46" s="108">
        <v>12190</v>
      </c>
      <c r="AB46" s="28">
        <f t="shared" si="5"/>
        <v>84.262609476949137</v>
      </c>
      <c r="AC46" s="2">
        <v>90253</v>
      </c>
      <c r="AD46" s="2">
        <v>18861.52</v>
      </c>
      <c r="AE46" s="2">
        <v>19208.080000000002</v>
      </c>
      <c r="AF46" s="2">
        <f t="shared" si="6"/>
        <v>128322.6</v>
      </c>
      <c r="AG46" s="27">
        <v>60</v>
      </c>
      <c r="AH46" s="108">
        <v>102930</v>
      </c>
      <c r="AI46" s="2">
        <v>59000</v>
      </c>
      <c r="AJ46" s="27">
        <v>120000</v>
      </c>
      <c r="AK46" s="27"/>
      <c r="AL46" s="29">
        <f t="shared" si="7"/>
        <v>281930</v>
      </c>
      <c r="AM46" s="41">
        <v>1925</v>
      </c>
      <c r="AN46" s="27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27"/>
      <c r="BA46" s="27"/>
      <c r="BB46" s="27"/>
      <c r="BC46" s="27"/>
      <c r="BD46" s="27"/>
      <c r="BE46" s="27"/>
    </row>
    <row r="47" spans="1:57" x14ac:dyDescent="0.25">
      <c r="A47" s="27" t="s">
        <v>1318</v>
      </c>
      <c r="B47" s="27" t="str">
        <f t="shared" si="0"/>
        <v>Tennessee</v>
      </c>
      <c r="C47" s="27" t="str">
        <f t="shared" si="1"/>
        <v>Johnson</v>
      </c>
      <c r="D47" s="27">
        <v>2914</v>
      </c>
      <c r="E47" s="27">
        <v>405</v>
      </c>
      <c r="F47" s="27">
        <v>151</v>
      </c>
      <c r="G47" s="27">
        <v>0</v>
      </c>
      <c r="H47" s="27">
        <v>0</v>
      </c>
      <c r="I47" s="27">
        <v>0</v>
      </c>
      <c r="J47" s="27">
        <f t="shared" si="2"/>
        <v>3470</v>
      </c>
      <c r="K47" s="27" t="b">
        <f t="shared" si="3"/>
        <v>1</v>
      </c>
      <c r="L47" s="27">
        <v>82</v>
      </c>
      <c r="M47" s="27">
        <v>120</v>
      </c>
      <c r="N47" s="27">
        <v>180</v>
      </c>
      <c r="O47" s="27">
        <v>180</v>
      </c>
      <c r="P47" s="27"/>
      <c r="Q47" s="2">
        <f t="shared" si="4"/>
        <v>129.61383285302594</v>
      </c>
      <c r="R47" s="27">
        <v>3526</v>
      </c>
      <c r="T47" s="27">
        <v>197</v>
      </c>
      <c r="U47" s="2">
        <v>3761</v>
      </c>
      <c r="V47" s="29">
        <v>9</v>
      </c>
      <c r="W47" s="2">
        <v>7751.12</v>
      </c>
      <c r="X47" s="2">
        <v>68</v>
      </c>
      <c r="Y47" s="2">
        <v>33137.25</v>
      </c>
      <c r="Z47" s="2">
        <v>5</v>
      </c>
      <c r="AA47" s="108">
        <v>7080</v>
      </c>
      <c r="AB47" s="28">
        <f t="shared" si="5"/>
        <v>90.26507573686996</v>
      </c>
      <c r="AC47" s="2">
        <v>50784</v>
      </c>
      <c r="AD47" s="2">
        <v>8674.91</v>
      </c>
      <c r="AE47" s="2">
        <v>10470.27</v>
      </c>
      <c r="AF47" s="2">
        <f t="shared" si="6"/>
        <v>69929.180000000008</v>
      </c>
      <c r="AG47" s="27">
        <v>47</v>
      </c>
      <c r="AH47" s="108">
        <v>37380</v>
      </c>
      <c r="AI47" s="27">
        <v>17400</v>
      </c>
      <c r="AJ47" s="27">
        <v>55397</v>
      </c>
      <c r="AK47" s="27"/>
      <c r="AL47" s="29">
        <f t="shared" si="7"/>
        <v>110177</v>
      </c>
      <c r="AM47" s="41">
        <v>1925</v>
      </c>
      <c r="AN47" s="27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27"/>
      <c r="BA47" s="27"/>
      <c r="BB47" s="27"/>
      <c r="BC47" s="27"/>
      <c r="BD47" s="27"/>
      <c r="BE47" s="27"/>
    </row>
    <row r="48" spans="1:57" x14ac:dyDescent="0.25">
      <c r="A48" s="27" t="s">
        <v>1319</v>
      </c>
      <c r="B48" s="27" t="str">
        <f t="shared" si="0"/>
        <v>Tennessee</v>
      </c>
      <c r="C48" s="27" t="str">
        <f t="shared" si="1"/>
        <v>Knox</v>
      </c>
      <c r="D48" s="27">
        <v>20359</v>
      </c>
      <c r="E48" s="27">
        <v>12577</v>
      </c>
      <c r="F48" s="27">
        <v>1136</v>
      </c>
      <c r="G48" s="27">
        <v>0</v>
      </c>
      <c r="H48" s="27">
        <v>1779</v>
      </c>
      <c r="I48" s="27">
        <v>350</v>
      </c>
      <c r="J48" s="27">
        <f t="shared" si="2"/>
        <v>36201</v>
      </c>
      <c r="K48" s="27" t="b">
        <f t="shared" si="3"/>
        <v>0</v>
      </c>
      <c r="L48" s="27">
        <v>730</v>
      </c>
      <c r="M48" s="27">
        <v>160</v>
      </c>
      <c r="N48" s="27">
        <v>177</v>
      </c>
      <c r="O48" s="27">
        <v>180</v>
      </c>
      <c r="P48" s="27">
        <v>177</v>
      </c>
      <c r="Q48" s="2">
        <f t="shared" si="4"/>
        <v>167.53354879699455</v>
      </c>
      <c r="R48" s="27">
        <v>37677</v>
      </c>
      <c r="T48" s="27">
        <v>3927</v>
      </c>
      <c r="U48" s="2">
        <v>30327</v>
      </c>
      <c r="V48" s="29">
        <f>385+102</f>
        <v>487</v>
      </c>
      <c r="W48" s="2"/>
      <c r="X48" s="2">
        <v>191</v>
      </c>
      <c r="Y48" s="2">
        <v>119803.25</v>
      </c>
      <c r="Z48" s="2">
        <v>52</v>
      </c>
      <c r="AA48" s="108">
        <v>67753</v>
      </c>
      <c r="AB48" s="28">
        <f t="shared" si="5"/>
        <v>30.671632244158943</v>
      </c>
      <c r="AC48" s="2">
        <v>525968</v>
      </c>
      <c r="AD48" s="2">
        <v>113842.22</v>
      </c>
      <c r="AE48" s="2">
        <v>702863.64</v>
      </c>
      <c r="AF48" s="2">
        <f t="shared" si="6"/>
        <v>1342673.8599999999</v>
      </c>
      <c r="AG48" s="27">
        <v>134</v>
      </c>
      <c r="AH48" s="108">
        <v>466395</v>
      </c>
      <c r="AI48" s="27"/>
      <c r="AJ48" s="27">
        <v>375360</v>
      </c>
      <c r="AK48" s="27"/>
      <c r="AL48" s="29">
        <f t="shared" si="7"/>
        <v>841755</v>
      </c>
      <c r="AM48" s="41">
        <v>1925</v>
      </c>
      <c r="AN48" s="27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27"/>
      <c r="BA48" s="27"/>
      <c r="BB48" s="27"/>
      <c r="BC48" s="27"/>
      <c r="BD48" s="27"/>
      <c r="BE48" s="27"/>
    </row>
    <row r="49" spans="1:57" x14ac:dyDescent="0.25">
      <c r="A49" s="27" t="s">
        <v>1320</v>
      </c>
      <c r="B49" s="27" t="str">
        <f t="shared" si="0"/>
        <v>Tennessee</v>
      </c>
      <c r="C49" s="27" t="str">
        <f t="shared" si="1"/>
        <v>Lake</v>
      </c>
      <c r="D49" s="27">
        <v>1929</v>
      </c>
      <c r="E49" s="27">
        <v>753</v>
      </c>
      <c r="F49" s="27">
        <v>119</v>
      </c>
      <c r="G49" s="27">
        <v>0</v>
      </c>
      <c r="H49" s="27">
        <v>0</v>
      </c>
      <c r="I49" s="27">
        <v>0</v>
      </c>
      <c r="J49" s="27">
        <f t="shared" si="2"/>
        <v>2801</v>
      </c>
      <c r="K49" s="27" t="b">
        <f t="shared" si="3"/>
        <v>1</v>
      </c>
      <c r="L49" s="27">
        <v>60</v>
      </c>
      <c r="M49" s="27">
        <v>141</v>
      </c>
      <c r="N49" s="27">
        <v>148</v>
      </c>
      <c r="O49" s="27">
        <v>176</v>
      </c>
      <c r="P49" s="27"/>
      <c r="Q49" s="2">
        <f t="shared" si="4"/>
        <v>144.36879685826491</v>
      </c>
      <c r="R49" s="27">
        <v>2360</v>
      </c>
      <c r="T49" s="27">
        <v>146</v>
      </c>
      <c r="U49" s="2">
        <v>3112</v>
      </c>
      <c r="V49" s="29">
        <f>20+8</f>
        <v>28</v>
      </c>
      <c r="W49" s="2"/>
      <c r="X49" s="2">
        <v>32</v>
      </c>
      <c r="Y49" s="2">
        <v>35525.54</v>
      </c>
      <c r="Z49" s="2">
        <v>0</v>
      </c>
      <c r="AA49" s="108">
        <v>7250</v>
      </c>
      <c r="AB49" s="28">
        <f t="shared" si="5"/>
        <v>98.764508977183823</v>
      </c>
      <c r="AC49" s="2">
        <v>61707</v>
      </c>
      <c r="AD49" s="2">
        <v>14100.92</v>
      </c>
      <c r="AE49" s="2"/>
      <c r="AF49" s="2">
        <f t="shared" si="6"/>
        <v>75807.92</v>
      </c>
      <c r="AG49" s="27">
        <v>18</v>
      </c>
      <c r="AH49" s="108">
        <v>49675</v>
      </c>
      <c r="AI49" s="27">
        <f>131500+5900</f>
        <v>137400</v>
      </c>
      <c r="AJ49" s="27">
        <v>40000</v>
      </c>
      <c r="AK49" s="27"/>
      <c r="AL49" s="29">
        <f t="shared" si="7"/>
        <v>227075</v>
      </c>
      <c r="AM49" s="41">
        <v>1925</v>
      </c>
      <c r="AN49" s="27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27"/>
      <c r="BA49" s="27"/>
      <c r="BB49" s="27"/>
      <c r="BC49" s="27"/>
      <c r="BD49" s="27"/>
      <c r="BE49" s="27"/>
    </row>
    <row r="50" spans="1:57" x14ac:dyDescent="0.25">
      <c r="A50" s="27" t="s">
        <v>1321</v>
      </c>
      <c r="B50" s="27" t="str">
        <f t="shared" si="0"/>
        <v>Tennessee</v>
      </c>
      <c r="C50" s="27" t="str">
        <f t="shared" si="1"/>
        <v>Lauderdale</v>
      </c>
      <c r="D50" s="27">
        <v>5285</v>
      </c>
      <c r="E50" s="27">
        <v>0</v>
      </c>
      <c r="F50" s="27">
        <v>356</v>
      </c>
      <c r="G50" s="27">
        <v>18</v>
      </c>
      <c r="H50" s="27">
        <v>0</v>
      </c>
      <c r="I50" s="27">
        <v>0</v>
      </c>
      <c r="J50" s="27">
        <f t="shared" si="2"/>
        <v>5659</v>
      </c>
      <c r="K50" s="27" t="b">
        <f t="shared" si="3"/>
        <v>1</v>
      </c>
      <c r="L50" s="27">
        <v>169</v>
      </c>
      <c r="M50" s="27">
        <v>147</v>
      </c>
      <c r="N50" s="27"/>
      <c r="O50" s="27">
        <v>178</v>
      </c>
      <c r="P50" s="27"/>
      <c r="Q50" s="2">
        <f t="shared" si="4"/>
        <v>149.04877186782116</v>
      </c>
      <c r="R50" s="27">
        <v>8692</v>
      </c>
      <c r="T50" s="27">
        <v>390</v>
      </c>
      <c r="U50" s="2">
        <v>7285</v>
      </c>
      <c r="V50" s="29">
        <v>0</v>
      </c>
      <c r="W50" s="2"/>
      <c r="X50" s="2">
        <v>150</v>
      </c>
      <c r="Y50" s="2">
        <v>70891.63</v>
      </c>
      <c r="Z50" s="2">
        <v>19</v>
      </c>
      <c r="AA50" s="108">
        <v>24525</v>
      </c>
      <c r="AB50" s="28">
        <f t="shared" si="5"/>
        <v>75.759825017233226</v>
      </c>
      <c r="AC50" s="2">
        <v>140619</v>
      </c>
      <c r="AD50" s="2">
        <v>28580.39</v>
      </c>
      <c r="AE50" s="2"/>
      <c r="AF50" s="2">
        <f t="shared" si="6"/>
        <v>169199.39</v>
      </c>
      <c r="AG50" s="27">
        <v>62</v>
      </c>
      <c r="AH50" s="108">
        <v>221665</v>
      </c>
      <c r="AI50" s="27"/>
      <c r="AJ50" s="27">
        <f>134500+250</f>
        <v>134750</v>
      </c>
      <c r="AK50" s="27"/>
      <c r="AL50" s="29">
        <f t="shared" si="7"/>
        <v>356415</v>
      </c>
      <c r="AM50" s="41">
        <v>1925</v>
      </c>
      <c r="AN50" s="27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27"/>
      <c r="BA50" s="27"/>
      <c r="BB50" s="27"/>
      <c r="BC50" s="27"/>
      <c r="BD50" s="27"/>
      <c r="BE50" s="27"/>
    </row>
    <row r="51" spans="1:57" x14ac:dyDescent="0.25">
      <c r="A51" s="27" t="s">
        <v>1322</v>
      </c>
      <c r="B51" s="27" t="str">
        <f t="shared" si="0"/>
        <v>Tennessee</v>
      </c>
      <c r="C51" s="27" t="str">
        <f t="shared" si="1"/>
        <v>Lawrence</v>
      </c>
      <c r="D51" s="27">
        <v>5289</v>
      </c>
      <c r="E51" s="27">
        <v>0</v>
      </c>
      <c r="F51" s="27">
        <v>405</v>
      </c>
      <c r="G51" s="27">
        <v>0</v>
      </c>
      <c r="H51" s="27">
        <v>0</v>
      </c>
      <c r="I51" s="27">
        <v>0</v>
      </c>
      <c r="J51" s="27">
        <f t="shared" si="2"/>
        <v>5694</v>
      </c>
      <c r="K51" s="27" t="b">
        <f t="shared" si="3"/>
        <v>1</v>
      </c>
      <c r="L51" s="2">
        <v>181</v>
      </c>
      <c r="M51" s="2">
        <v>117</v>
      </c>
      <c r="N51" s="27"/>
      <c r="O51" s="2">
        <v>180</v>
      </c>
      <c r="P51" s="2"/>
      <c r="Q51" s="2">
        <f t="shared" si="4"/>
        <v>121.48103266596418</v>
      </c>
      <c r="R51" s="27">
        <v>8712</v>
      </c>
      <c r="T51" s="27">
        <v>520</v>
      </c>
      <c r="U51" s="2">
        <v>8664</v>
      </c>
      <c r="V51" s="29">
        <v>0</v>
      </c>
      <c r="W51" s="2"/>
      <c r="X51" s="2">
        <v>163</v>
      </c>
      <c r="Y51" s="2">
        <v>63821.41</v>
      </c>
      <c r="Z51" s="2">
        <v>18</v>
      </c>
      <c r="AA51" s="108">
        <v>17796</v>
      </c>
      <c r="AB51" s="28">
        <f t="shared" si="5"/>
        <v>74.237913068615072</v>
      </c>
      <c r="AC51" s="2">
        <v>117389</v>
      </c>
      <c r="AD51" s="2">
        <v>27437.33</v>
      </c>
      <c r="AE51" s="2"/>
      <c r="AF51" s="2">
        <f t="shared" si="6"/>
        <v>144826.33000000002</v>
      </c>
      <c r="AG51" s="27">
        <v>92</v>
      </c>
      <c r="AH51" s="108">
        <v>221182</v>
      </c>
      <c r="AI51" s="27"/>
      <c r="AJ51" s="27">
        <v>62500</v>
      </c>
      <c r="AK51" s="27"/>
      <c r="AL51" s="29">
        <f t="shared" si="7"/>
        <v>283682</v>
      </c>
      <c r="AM51" s="41">
        <v>1925</v>
      </c>
      <c r="AN51" s="27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27"/>
      <c r="BA51" s="27"/>
      <c r="BB51" s="27"/>
      <c r="BC51" s="27"/>
      <c r="BD51" s="27"/>
      <c r="BE51" s="27"/>
    </row>
    <row r="52" spans="1:57" x14ac:dyDescent="0.25">
      <c r="A52" s="27" t="s">
        <v>1323</v>
      </c>
      <c r="B52" s="27" t="str">
        <f t="shared" si="0"/>
        <v>Tennessee</v>
      </c>
      <c r="C52" s="27" t="str">
        <f t="shared" si="1"/>
        <v>Lewis</v>
      </c>
      <c r="D52" s="27">
        <v>1096</v>
      </c>
      <c r="E52" s="27">
        <v>0</v>
      </c>
      <c r="F52" s="27">
        <v>96</v>
      </c>
      <c r="G52" s="27">
        <v>0</v>
      </c>
      <c r="H52" s="27">
        <v>0</v>
      </c>
      <c r="I52" s="27">
        <v>0</v>
      </c>
      <c r="J52" s="27">
        <f t="shared" si="2"/>
        <v>1192</v>
      </c>
      <c r="K52" s="27" t="b">
        <f t="shared" si="3"/>
        <v>1</v>
      </c>
      <c r="L52" s="27">
        <v>46</v>
      </c>
      <c r="M52" s="27">
        <v>137</v>
      </c>
      <c r="N52" s="27"/>
      <c r="O52" s="27">
        <v>175</v>
      </c>
      <c r="P52" s="27"/>
      <c r="Q52" s="2">
        <f t="shared" si="4"/>
        <v>140.06040268456377</v>
      </c>
      <c r="R52" s="27">
        <v>1692</v>
      </c>
      <c r="T52" s="27">
        <v>121</v>
      </c>
      <c r="U52" s="2">
        <v>1600</v>
      </c>
      <c r="V52" s="29">
        <v>0</v>
      </c>
      <c r="W52" s="2"/>
      <c r="X52" s="2">
        <v>42</v>
      </c>
      <c r="Y52" s="2">
        <v>20674.37</v>
      </c>
      <c r="Z52" s="2">
        <v>4</v>
      </c>
      <c r="AA52" s="108">
        <v>5490</v>
      </c>
      <c r="AB52" s="28">
        <f t="shared" si="5"/>
        <v>81.220764937383706</v>
      </c>
      <c r="AC52" s="2">
        <v>42656</v>
      </c>
      <c r="AD52" s="2">
        <v>7590.41</v>
      </c>
      <c r="AE52" s="2"/>
      <c r="AF52" s="2">
        <f t="shared" si="6"/>
        <v>50246.41</v>
      </c>
      <c r="AG52" s="27">
        <v>31</v>
      </c>
      <c r="AH52" s="108">
        <v>25690</v>
      </c>
      <c r="AI52" s="27"/>
      <c r="AJ52" s="27">
        <v>1100</v>
      </c>
      <c r="AK52" s="27"/>
      <c r="AL52" s="29">
        <f t="shared" si="7"/>
        <v>26790</v>
      </c>
      <c r="AM52" s="41">
        <v>1925</v>
      </c>
      <c r="AN52" s="27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27"/>
      <c r="BA52" s="27"/>
      <c r="BB52" s="27"/>
      <c r="BC52" s="27"/>
      <c r="BD52" s="27"/>
      <c r="BE52" s="27"/>
    </row>
    <row r="53" spans="1:57" x14ac:dyDescent="0.25">
      <c r="A53" s="27" t="s">
        <v>1324</v>
      </c>
      <c r="B53" s="27" t="str">
        <f t="shared" si="0"/>
        <v>Tennessee</v>
      </c>
      <c r="C53" s="27" t="str">
        <f t="shared" si="1"/>
        <v>Lincoln</v>
      </c>
      <c r="D53" s="27">
        <v>4685</v>
      </c>
      <c r="E53" s="27">
        <v>556</v>
      </c>
      <c r="F53" s="27">
        <v>522</v>
      </c>
      <c r="G53" s="27">
        <v>0</v>
      </c>
      <c r="H53" s="27">
        <v>0</v>
      </c>
      <c r="I53" s="27">
        <v>0</v>
      </c>
      <c r="J53" s="27">
        <f t="shared" si="2"/>
        <v>5763</v>
      </c>
      <c r="K53" s="27" t="b">
        <f t="shared" si="3"/>
        <v>1</v>
      </c>
      <c r="L53" s="27">
        <v>142</v>
      </c>
      <c r="M53" s="27">
        <v>154</v>
      </c>
      <c r="N53" s="27">
        <v>176</v>
      </c>
      <c r="O53" s="27">
        <v>160</v>
      </c>
      <c r="P53" s="27"/>
      <c r="Q53" s="2">
        <f t="shared" si="4"/>
        <v>156.66597258372374</v>
      </c>
      <c r="R53" s="27">
        <v>6710</v>
      </c>
      <c r="T53" s="27">
        <v>689</v>
      </c>
      <c r="U53" s="2">
        <v>7291</v>
      </c>
      <c r="V53" s="29">
        <v>14</v>
      </c>
      <c r="W53" s="2">
        <v>9142.7000000000007</v>
      </c>
      <c r="X53" s="2">
        <v>102</v>
      </c>
      <c r="Y53" s="2">
        <v>70366.289999999994</v>
      </c>
      <c r="Z53" s="2">
        <v>26</v>
      </c>
      <c r="AA53" s="108">
        <v>26408</v>
      </c>
      <c r="AB53" s="28">
        <f t="shared" si="5"/>
        <v>95.22097025581418</v>
      </c>
      <c r="AC53" s="2">
        <v>134952</v>
      </c>
      <c r="AD53" s="2">
        <v>42492.59</v>
      </c>
      <c r="AE53" s="2">
        <v>16928.79</v>
      </c>
      <c r="AF53" s="2">
        <f t="shared" si="6"/>
        <v>194373.38</v>
      </c>
      <c r="AG53" s="27">
        <v>66</v>
      </c>
      <c r="AH53" s="108">
        <v>124350</v>
      </c>
      <c r="AI53" s="27">
        <f>56000+3900</f>
        <v>59900</v>
      </c>
      <c r="AJ53" s="27">
        <f>134605+8400</f>
        <v>143005</v>
      </c>
      <c r="AK53" s="27"/>
      <c r="AL53" s="29">
        <f t="shared" si="7"/>
        <v>327255</v>
      </c>
      <c r="AM53" s="41">
        <v>1925</v>
      </c>
      <c r="AN53" s="27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27"/>
      <c r="BA53" s="27"/>
      <c r="BB53" s="27"/>
      <c r="BC53" s="27"/>
      <c r="BD53" s="27"/>
      <c r="BE53" s="27"/>
    </row>
    <row r="54" spans="1:57" x14ac:dyDescent="0.25">
      <c r="A54" s="27" t="s">
        <v>1325</v>
      </c>
      <c r="B54" s="27" t="str">
        <f t="shared" si="0"/>
        <v>Tennessee</v>
      </c>
      <c r="C54" s="27" t="str">
        <f t="shared" si="1"/>
        <v>Loudon</v>
      </c>
      <c r="D54" s="27">
        <v>3081</v>
      </c>
      <c r="E54" s="27">
        <v>1411</v>
      </c>
      <c r="F54" s="27">
        <v>279</v>
      </c>
      <c r="G54" s="27">
        <v>0</v>
      </c>
      <c r="I54" s="27">
        <v>0</v>
      </c>
      <c r="J54" s="27">
        <f t="shared" si="2"/>
        <v>4771</v>
      </c>
      <c r="K54" s="27" t="b">
        <f t="shared" si="3"/>
        <v>0</v>
      </c>
      <c r="L54" s="27">
        <v>118</v>
      </c>
      <c r="M54" s="27">
        <v>155</v>
      </c>
      <c r="N54" s="27">
        <v>180</v>
      </c>
      <c r="O54" s="27">
        <v>171</v>
      </c>
      <c r="P54" s="27">
        <v>180</v>
      </c>
      <c r="Q54" s="2">
        <f t="shared" si="4"/>
        <v>163.32928107315027</v>
      </c>
      <c r="R54" s="27">
        <v>4500</v>
      </c>
      <c r="T54" s="27">
        <v>331</v>
      </c>
      <c r="U54" s="2">
        <v>4495</v>
      </c>
      <c r="V54" s="29">
        <f>34+12</f>
        <v>46</v>
      </c>
      <c r="W54" s="2">
        <v>37383.75</v>
      </c>
      <c r="X54" s="2">
        <v>62</v>
      </c>
      <c r="Y54" s="2">
        <v>27267.59</v>
      </c>
      <c r="Z54" s="2">
        <v>10</v>
      </c>
      <c r="AA54" s="108">
        <v>5691</v>
      </c>
      <c r="AB54" s="28">
        <f t="shared" si="5"/>
        <v>72.996283520864083</v>
      </c>
      <c r="AC54" s="2">
        <v>140835</v>
      </c>
      <c r="AD54" s="2">
        <v>15819.91</v>
      </c>
      <c r="AE54" s="2">
        <v>84500.19</v>
      </c>
      <c r="AF54" s="2">
        <f t="shared" si="6"/>
        <v>241155.1</v>
      </c>
      <c r="AG54" s="27">
        <v>40</v>
      </c>
      <c r="AH54" s="108">
        <v>85200</v>
      </c>
      <c r="AI54" s="27">
        <f>133000+11500</f>
        <v>144500</v>
      </c>
      <c r="AJ54" s="27">
        <f>29650</f>
        <v>29650</v>
      </c>
      <c r="AK54" s="27"/>
      <c r="AL54" s="29">
        <f t="shared" si="7"/>
        <v>259350</v>
      </c>
      <c r="AM54" s="41">
        <v>1925</v>
      </c>
      <c r="AN54" s="27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27"/>
      <c r="BA54" s="27"/>
      <c r="BB54" s="27"/>
      <c r="BC54" s="27"/>
      <c r="BD54" s="27"/>
      <c r="BE54" s="27"/>
    </row>
    <row r="55" spans="1:57" x14ac:dyDescent="0.25">
      <c r="A55" s="27" t="s">
        <v>1326</v>
      </c>
      <c r="B55" s="27" t="str">
        <f t="shared" si="0"/>
        <v>Tennessee</v>
      </c>
      <c r="C55" s="27" t="str">
        <f t="shared" si="1"/>
        <v>McMinn</v>
      </c>
      <c r="D55" s="27">
        <v>6223</v>
      </c>
      <c r="E55" s="27">
        <v>1639</v>
      </c>
      <c r="F55" s="27">
        <v>479</v>
      </c>
      <c r="G55" s="27">
        <v>0</v>
      </c>
      <c r="H55" s="27">
        <v>0</v>
      </c>
      <c r="I55" s="27">
        <v>0</v>
      </c>
      <c r="J55" s="27">
        <f t="shared" si="2"/>
        <v>8341</v>
      </c>
      <c r="K55" s="27" t="b">
        <f t="shared" si="3"/>
        <v>1</v>
      </c>
      <c r="L55" s="27">
        <v>176</v>
      </c>
      <c r="M55" s="27">
        <v>109</v>
      </c>
      <c r="N55" s="27">
        <v>160</v>
      </c>
      <c r="O55" s="27">
        <v>177</v>
      </c>
      <c r="P55" s="27"/>
      <c r="Q55" s="2">
        <f t="shared" si="4"/>
        <v>122.92650761299605</v>
      </c>
      <c r="R55" s="27">
        <v>7898</v>
      </c>
      <c r="T55" s="27">
        <v>583</v>
      </c>
      <c r="U55" s="2">
        <v>8573</v>
      </c>
      <c r="V55" s="29">
        <f>30+2</f>
        <v>32</v>
      </c>
      <c r="W55" s="2">
        <v>30225.5</v>
      </c>
      <c r="X55" s="2">
        <v>126</v>
      </c>
      <c r="Y55" s="2">
        <v>60224.55</v>
      </c>
      <c r="Z55" s="2">
        <v>18</v>
      </c>
      <c r="AA55" s="108">
        <v>21723</v>
      </c>
      <c r="AB55" s="28">
        <f t="shared" si="5"/>
        <v>103.69559623487073</v>
      </c>
      <c r="AC55" s="2">
        <v>114615</v>
      </c>
      <c r="AD55" s="2">
        <v>27170.69</v>
      </c>
      <c r="AE55" s="2">
        <v>81437.17</v>
      </c>
      <c r="AF55" s="2">
        <f t="shared" si="6"/>
        <v>223222.86</v>
      </c>
      <c r="AG55" s="27">
        <v>88</v>
      </c>
      <c r="AH55" s="108">
        <v>120425</v>
      </c>
      <c r="AI55" s="27">
        <v>206500</v>
      </c>
      <c r="AJ55" s="27">
        <f>187389+8375</f>
        <v>195764</v>
      </c>
      <c r="AK55" s="27"/>
      <c r="AL55" s="29">
        <f t="shared" si="7"/>
        <v>522689</v>
      </c>
      <c r="AM55" s="41">
        <v>1925</v>
      </c>
      <c r="AN55" s="27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27"/>
      <c r="BA55" s="27"/>
      <c r="BB55" s="27"/>
      <c r="BC55" s="27"/>
      <c r="BD55" s="27"/>
      <c r="BE55" s="27"/>
    </row>
    <row r="56" spans="1:57" x14ac:dyDescent="0.25">
      <c r="A56" s="27" t="s">
        <v>1327</v>
      </c>
      <c r="B56" s="27" t="str">
        <f t="shared" si="0"/>
        <v>Tennessee</v>
      </c>
      <c r="C56" s="27" t="str">
        <f t="shared" si="1"/>
        <v>McNairy</v>
      </c>
      <c r="D56" s="27">
        <v>3739</v>
      </c>
      <c r="E56" s="27">
        <v>0</v>
      </c>
      <c r="F56" s="27">
        <v>201</v>
      </c>
      <c r="G56" s="27">
        <v>0</v>
      </c>
      <c r="H56" s="27">
        <v>0</v>
      </c>
      <c r="I56" s="27">
        <v>0</v>
      </c>
      <c r="J56" s="27">
        <f t="shared" si="2"/>
        <v>3940</v>
      </c>
      <c r="K56" s="27" t="b">
        <f t="shared" si="3"/>
        <v>1</v>
      </c>
      <c r="L56" s="2">
        <v>150</v>
      </c>
      <c r="M56" s="2">
        <v>120</v>
      </c>
      <c r="N56" s="27"/>
      <c r="O56" s="2">
        <v>177</v>
      </c>
      <c r="P56" s="2"/>
      <c r="Q56" s="2">
        <f t="shared" si="4"/>
        <v>122.90786802030456</v>
      </c>
      <c r="R56" s="27">
        <v>5075</v>
      </c>
      <c r="T56" s="27">
        <v>247</v>
      </c>
      <c r="U56" s="2">
        <v>5604</v>
      </c>
      <c r="V56" s="29">
        <v>0</v>
      </c>
      <c r="W56" s="2"/>
      <c r="X56" s="2">
        <v>134</v>
      </c>
      <c r="Y56" s="2">
        <v>57212.98</v>
      </c>
      <c r="Z56" s="2">
        <v>16</v>
      </c>
      <c r="AA56" s="108">
        <v>10009</v>
      </c>
      <c r="AB56" s="28">
        <f t="shared" si="5"/>
        <v>72.923978025442423</v>
      </c>
      <c r="AC56" s="2">
        <v>78174</v>
      </c>
      <c r="AD56" s="2">
        <v>13132.14</v>
      </c>
      <c r="AE56" s="2"/>
      <c r="AF56" s="2">
        <f t="shared" si="6"/>
        <v>91306.14</v>
      </c>
      <c r="AG56" s="27">
        <v>98</v>
      </c>
      <c r="AH56" s="108">
        <v>176090</v>
      </c>
      <c r="AI56" s="27"/>
      <c r="AJ56" s="27">
        <v>0</v>
      </c>
      <c r="AK56" s="27"/>
      <c r="AL56" s="29">
        <f t="shared" si="7"/>
        <v>176090</v>
      </c>
      <c r="AM56" s="41">
        <v>1925</v>
      </c>
      <c r="AN56" s="27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27"/>
      <c r="BA56" s="27"/>
      <c r="BB56" s="27"/>
      <c r="BC56" s="27"/>
      <c r="BD56" s="27"/>
      <c r="BE56" s="27"/>
    </row>
    <row r="57" spans="1:57" x14ac:dyDescent="0.25">
      <c r="A57" s="27" t="s">
        <v>1328</v>
      </c>
      <c r="B57" s="27" t="str">
        <f t="shared" si="0"/>
        <v>Tennessee</v>
      </c>
      <c r="C57" s="27" t="str">
        <f t="shared" si="1"/>
        <v>Macon</v>
      </c>
      <c r="D57" s="27">
        <v>2169</v>
      </c>
      <c r="E57" s="27">
        <v>95</v>
      </c>
      <c r="F57" s="27">
        <v>36</v>
      </c>
      <c r="G57" s="27">
        <v>0</v>
      </c>
      <c r="H57" s="27">
        <v>0</v>
      </c>
      <c r="I57" s="27">
        <v>0</v>
      </c>
      <c r="J57" s="27">
        <f t="shared" si="2"/>
        <v>2300</v>
      </c>
      <c r="K57" s="27" t="b">
        <f t="shared" si="3"/>
        <v>1</v>
      </c>
      <c r="L57" s="2">
        <v>80</v>
      </c>
      <c r="M57" s="2">
        <v>120</v>
      </c>
      <c r="N57" s="27">
        <v>180</v>
      </c>
      <c r="O57" s="2">
        <v>180</v>
      </c>
      <c r="P57" s="2"/>
      <c r="Q57" s="2">
        <f t="shared" si="4"/>
        <v>123.41739130434783</v>
      </c>
      <c r="R57" s="27">
        <v>3844</v>
      </c>
      <c r="T57" s="27">
        <v>68</v>
      </c>
      <c r="U57" s="2">
        <v>3642</v>
      </c>
      <c r="V57" s="29">
        <f>3+2</f>
        <v>5</v>
      </c>
      <c r="W57" s="2">
        <v>2376.35</v>
      </c>
      <c r="X57" s="2">
        <v>75</v>
      </c>
      <c r="Y57" s="2">
        <v>31216.31</v>
      </c>
      <c r="Z57" s="2">
        <v>0</v>
      </c>
      <c r="AA57" s="108">
        <v>2475</v>
      </c>
      <c r="AB57" s="28">
        <f t="shared" si="5"/>
        <v>73.060327274008316</v>
      </c>
      <c r="AC57" s="2">
        <v>51153</v>
      </c>
      <c r="AD57" s="2">
        <v>4613.6000000000004</v>
      </c>
      <c r="AE57" s="2">
        <v>2891.18</v>
      </c>
      <c r="AF57" s="2">
        <f t="shared" si="6"/>
        <v>58657.78</v>
      </c>
      <c r="AG57" s="27">
        <v>59</v>
      </c>
      <c r="AH57" s="108">
        <v>45285</v>
      </c>
      <c r="AI57" s="27"/>
      <c r="AJ57" s="27">
        <v>23000</v>
      </c>
      <c r="AK57" s="27"/>
      <c r="AL57" s="29">
        <f t="shared" si="7"/>
        <v>68285</v>
      </c>
      <c r="AM57" s="41">
        <v>1925</v>
      </c>
      <c r="AN57" s="27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27"/>
      <c r="BA57" s="27"/>
      <c r="BB57" s="27"/>
      <c r="BC57" s="27"/>
      <c r="BD57" s="27"/>
      <c r="BE57" s="27"/>
    </row>
    <row r="58" spans="1:57" x14ac:dyDescent="0.25">
      <c r="A58" s="27" t="s">
        <v>1329</v>
      </c>
      <c r="B58" s="27" t="str">
        <f t="shared" si="0"/>
        <v>Tennessee</v>
      </c>
      <c r="C58" s="27" t="str">
        <f t="shared" si="1"/>
        <v>Madison</v>
      </c>
      <c r="D58" s="27">
        <v>8880</v>
      </c>
      <c r="E58" s="27">
        <v>3446</v>
      </c>
      <c r="F58" s="27">
        <v>316</v>
      </c>
      <c r="G58" s="27">
        <v>0</v>
      </c>
      <c r="H58" s="27">
        <v>565</v>
      </c>
      <c r="I58" s="27">
        <v>115</v>
      </c>
      <c r="J58" s="27">
        <f t="shared" si="2"/>
        <v>13322</v>
      </c>
      <c r="K58" s="27" t="b">
        <f t="shared" si="3"/>
        <v>1</v>
      </c>
      <c r="L58" s="2">
        <v>310</v>
      </c>
      <c r="M58" s="2">
        <v>110</v>
      </c>
      <c r="N58" s="27">
        <v>180</v>
      </c>
      <c r="O58" s="2">
        <v>180</v>
      </c>
      <c r="P58" s="2">
        <v>180</v>
      </c>
      <c r="Q58" s="2">
        <f t="shared" si="4"/>
        <v>133.34033928839514</v>
      </c>
      <c r="R58" s="27">
        <v>12956</v>
      </c>
      <c r="T58" s="27">
        <v>1215</v>
      </c>
      <c r="U58" s="2">
        <v>13491</v>
      </c>
      <c r="V58" s="29">
        <f>79+21</f>
        <v>100</v>
      </c>
      <c r="W58" s="2">
        <v>83669.75</v>
      </c>
      <c r="X58" s="2">
        <v>173</v>
      </c>
      <c r="Y58" s="2">
        <v>85366.02</v>
      </c>
      <c r="Z58" s="2">
        <v>37</v>
      </c>
      <c r="AA58" s="108">
        <v>32011</v>
      </c>
      <c r="AB58" s="28">
        <f t="shared" si="5"/>
        <v>97.27558384852243</v>
      </c>
      <c r="AC58" s="2">
        <v>234906</v>
      </c>
      <c r="AD58" s="2">
        <v>42430.239999999998</v>
      </c>
      <c r="AE58" s="2">
        <v>161486.69</v>
      </c>
      <c r="AF58" s="2">
        <f t="shared" si="6"/>
        <v>438822.93</v>
      </c>
      <c r="AG58" s="27">
        <v>99</v>
      </c>
      <c r="AH58" s="108">
        <v>165205</v>
      </c>
      <c r="AI58" s="27">
        <f>244000+63000</f>
        <v>307000</v>
      </c>
      <c r="AJ58" s="27">
        <v>296900</v>
      </c>
      <c r="AK58" s="27"/>
      <c r="AL58" s="29">
        <f t="shared" si="7"/>
        <v>769105</v>
      </c>
      <c r="AM58" s="41">
        <v>1925</v>
      </c>
      <c r="AN58" s="27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27"/>
      <c r="BA58" s="27"/>
      <c r="BB58" s="27"/>
      <c r="BC58" s="27"/>
      <c r="BD58" s="27"/>
      <c r="BE58" s="27"/>
    </row>
    <row r="59" spans="1:57" x14ac:dyDescent="0.25">
      <c r="A59" s="27" t="s">
        <v>1330</v>
      </c>
      <c r="B59" s="27" t="str">
        <f t="shared" si="0"/>
        <v>Tennessee</v>
      </c>
      <c r="C59" s="27" t="str">
        <f t="shared" si="1"/>
        <v>Marion</v>
      </c>
      <c r="D59" s="27">
        <v>3469</v>
      </c>
      <c r="E59" s="27">
        <v>1238</v>
      </c>
      <c r="F59" s="27">
        <v>331</v>
      </c>
      <c r="G59" s="27">
        <v>23</v>
      </c>
      <c r="H59" s="27">
        <v>0</v>
      </c>
      <c r="I59" s="27">
        <v>0</v>
      </c>
      <c r="J59" s="27">
        <f t="shared" si="2"/>
        <v>5061</v>
      </c>
      <c r="K59" s="27" t="b">
        <f t="shared" si="3"/>
        <v>0</v>
      </c>
      <c r="L59" s="2">
        <v>141</v>
      </c>
      <c r="M59" s="2">
        <v>98</v>
      </c>
      <c r="N59" s="27">
        <v>178</v>
      </c>
      <c r="O59" s="2">
        <v>178</v>
      </c>
      <c r="P59" s="2"/>
      <c r="Q59" s="2">
        <f t="shared" si="4"/>
        <v>123.1649871566884</v>
      </c>
      <c r="R59" s="27">
        <v>4829</v>
      </c>
      <c r="T59" s="27">
        <v>372</v>
      </c>
      <c r="U59" s="2">
        <v>4797</v>
      </c>
      <c r="V59" s="29">
        <v>39</v>
      </c>
      <c r="W59" s="2">
        <v>52508.52</v>
      </c>
      <c r="X59" s="2">
        <v>82</v>
      </c>
      <c r="Y59" s="2">
        <v>30239.25</v>
      </c>
      <c r="Z59" s="2">
        <v>20</v>
      </c>
      <c r="AA59" s="108">
        <v>10433</v>
      </c>
      <c r="AB59" s="28">
        <f t="shared" si="5"/>
        <v>107.31240104494381</v>
      </c>
      <c r="AC59" s="2">
        <v>115020</v>
      </c>
      <c r="AD59" s="2">
        <v>18212.12</v>
      </c>
      <c r="AE59" s="2">
        <v>63399.35</v>
      </c>
      <c r="AF59" s="2">
        <f t="shared" si="6"/>
        <v>196631.47</v>
      </c>
      <c r="AG59" s="27">
        <v>56</v>
      </c>
      <c r="AH59" s="108">
        <v>219075</v>
      </c>
      <c r="AI59" s="27">
        <f>166000+4750</f>
        <v>170750</v>
      </c>
      <c r="AJ59" s="27">
        <v>158000</v>
      </c>
      <c r="AK59" s="27"/>
      <c r="AL59" s="29">
        <f t="shared" si="7"/>
        <v>547825</v>
      </c>
      <c r="AM59" s="41">
        <v>1925</v>
      </c>
      <c r="AN59" s="27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27"/>
      <c r="BA59" s="27"/>
      <c r="BB59" s="27"/>
      <c r="BC59" s="27"/>
      <c r="BD59" s="27"/>
      <c r="BE59" s="27"/>
    </row>
    <row r="60" spans="1:57" x14ac:dyDescent="0.25">
      <c r="A60" s="27" t="s">
        <v>1331</v>
      </c>
      <c r="B60" s="27" t="str">
        <f t="shared" si="0"/>
        <v>Tennessee</v>
      </c>
      <c r="C60" s="27" t="str">
        <f t="shared" si="1"/>
        <v>Marshall</v>
      </c>
      <c r="D60" s="27">
        <v>2523</v>
      </c>
      <c r="E60" s="27">
        <v>0</v>
      </c>
      <c r="F60" s="27">
        <v>248</v>
      </c>
      <c r="G60" s="27">
        <v>0</v>
      </c>
      <c r="H60" s="27">
        <v>0</v>
      </c>
      <c r="I60" s="27">
        <v>0</v>
      </c>
      <c r="J60" s="27">
        <f t="shared" si="2"/>
        <v>2771</v>
      </c>
      <c r="K60" s="27" t="b">
        <f t="shared" si="3"/>
        <v>1</v>
      </c>
      <c r="L60" s="2">
        <v>96</v>
      </c>
      <c r="M60" s="2">
        <v>160</v>
      </c>
      <c r="N60" s="27"/>
      <c r="O60" s="2">
        <v>180</v>
      </c>
      <c r="P60" s="2"/>
      <c r="Q60" s="2">
        <f t="shared" si="4"/>
        <v>161.78996752075062</v>
      </c>
      <c r="R60" s="27">
        <v>3702</v>
      </c>
      <c r="T60" s="27">
        <v>297</v>
      </c>
      <c r="U60" s="2">
        <v>3628</v>
      </c>
      <c r="V60" s="29">
        <v>0</v>
      </c>
      <c r="W60" s="2">
        <v>0</v>
      </c>
      <c r="X60" s="2">
        <v>82</v>
      </c>
      <c r="Y60" s="2">
        <v>45246.400000000001</v>
      </c>
      <c r="Z60" s="2">
        <v>14</v>
      </c>
      <c r="AA60" s="108">
        <v>15520</v>
      </c>
      <c r="AB60" s="28">
        <f t="shared" si="5"/>
        <v>78.247538216749945</v>
      </c>
      <c r="AC60" s="2">
        <v>100927</v>
      </c>
      <c r="AD60" s="2">
        <v>23942.65</v>
      </c>
      <c r="AE60" s="2">
        <v>0</v>
      </c>
      <c r="AF60" s="2">
        <f t="shared" si="6"/>
        <v>124869.65</v>
      </c>
      <c r="AG60" s="27">
        <v>49</v>
      </c>
      <c r="AH60" s="108">
        <v>146785</v>
      </c>
      <c r="AI60" s="27">
        <v>0</v>
      </c>
      <c r="AJ60" s="27">
        <v>84000</v>
      </c>
      <c r="AK60" s="27"/>
      <c r="AL60" s="29">
        <f t="shared" si="7"/>
        <v>230785</v>
      </c>
      <c r="AM60" s="41">
        <v>1925</v>
      </c>
      <c r="AN60" s="27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27"/>
      <c r="BA60" s="27"/>
      <c r="BB60" s="27"/>
      <c r="BC60" s="27"/>
      <c r="BD60" s="27"/>
      <c r="BE60" s="27"/>
    </row>
    <row r="61" spans="1:57" x14ac:dyDescent="0.25">
      <c r="A61" s="27" t="s">
        <v>1332</v>
      </c>
      <c r="B61" s="27" t="str">
        <f t="shared" si="0"/>
        <v>Tennessee</v>
      </c>
      <c r="C61" s="27" t="str">
        <f t="shared" si="1"/>
        <v>Maury</v>
      </c>
      <c r="D61" s="27">
        <v>6898</v>
      </c>
      <c r="E61" s="27">
        <v>1352</v>
      </c>
      <c r="F61" s="27">
        <v>505</v>
      </c>
      <c r="G61" s="27">
        <v>0</v>
      </c>
      <c r="H61" s="27">
        <v>0</v>
      </c>
      <c r="I61" s="27">
        <v>0</v>
      </c>
      <c r="J61" s="27">
        <f t="shared" si="2"/>
        <v>8755</v>
      </c>
      <c r="K61" s="27" t="b">
        <f t="shared" si="3"/>
        <v>1</v>
      </c>
      <c r="L61" s="2">
        <v>240</v>
      </c>
      <c r="M61" s="2">
        <v>156</v>
      </c>
      <c r="N61" s="27">
        <v>172</v>
      </c>
      <c r="O61" s="2">
        <v>169</v>
      </c>
      <c r="P61" s="2"/>
      <c r="Q61" s="2">
        <f t="shared" si="4"/>
        <v>159.22067390062821</v>
      </c>
      <c r="R61" s="27">
        <v>8522</v>
      </c>
      <c r="T61" s="27">
        <v>567</v>
      </c>
      <c r="U61" s="2">
        <v>9172</v>
      </c>
      <c r="V61" s="29">
        <v>27</v>
      </c>
      <c r="W61" s="2">
        <v>46707</v>
      </c>
      <c r="X61" s="2">
        <v>184</v>
      </c>
      <c r="Y61" s="2">
        <v>102678.47</v>
      </c>
      <c r="Z61" s="2">
        <v>29</v>
      </c>
      <c r="AA61" s="108">
        <v>29376</v>
      </c>
      <c r="AB61" s="28">
        <f t="shared" si="5"/>
        <v>93.560646376637976</v>
      </c>
      <c r="AC61" s="2">
        <v>162760</v>
      </c>
      <c r="AD61" s="2">
        <v>30800.27</v>
      </c>
      <c r="AE61" s="2">
        <v>62923.11</v>
      </c>
      <c r="AF61" s="2">
        <f t="shared" si="6"/>
        <v>256483.38</v>
      </c>
      <c r="AG61" s="27">
        <v>90</v>
      </c>
      <c r="AH61" s="108">
        <v>344050</v>
      </c>
      <c r="AI61" s="27">
        <f>97000+59500</f>
        <v>156500</v>
      </c>
      <c r="AJ61" s="27">
        <v>95000</v>
      </c>
      <c r="AK61" s="27"/>
      <c r="AL61" s="29">
        <f t="shared" si="7"/>
        <v>595550</v>
      </c>
      <c r="AM61" s="41">
        <v>1925</v>
      </c>
      <c r="AN61" s="27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27"/>
      <c r="BA61" s="27"/>
      <c r="BB61" s="27"/>
      <c r="BC61" s="27"/>
      <c r="BD61" s="27"/>
      <c r="BE61" s="27"/>
    </row>
    <row r="62" spans="1:57" x14ac:dyDescent="0.25">
      <c r="A62" s="27" t="s">
        <v>1333</v>
      </c>
      <c r="B62" s="27" t="str">
        <f t="shared" si="0"/>
        <v>Tennessee</v>
      </c>
      <c r="C62" s="27" t="str">
        <f t="shared" si="1"/>
        <v>Meigs</v>
      </c>
      <c r="D62" s="27">
        <v>1191</v>
      </c>
      <c r="E62" s="27">
        <v>0</v>
      </c>
      <c r="F62" s="27">
        <v>52</v>
      </c>
      <c r="G62" s="27">
        <v>0</v>
      </c>
      <c r="H62" s="27">
        <v>0</v>
      </c>
      <c r="I62" s="27">
        <v>0</v>
      </c>
      <c r="J62" s="27">
        <f t="shared" si="2"/>
        <v>1243</v>
      </c>
      <c r="K62" s="27" t="b">
        <f t="shared" si="3"/>
        <v>1</v>
      </c>
      <c r="L62" s="2">
        <v>44</v>
      </c>
      <c r="M62" s="2">
        <v>116</v>
      </c>
      <c r="N62" s="27"/>
      <c r="O62" s="2">
        <v>180</v>
      </c>
      <c r="P62" s="2">
        <v>145</v>
      </c>
      <c r="Q62" s="2">
        <f t="shared" si="4"/>
        <v>118.67739340305712</v>
      </c>
      <c r="R62" s="27">
        <v>1677</v>
      </c>
      <c r="T62" s="27">
        <v>76</v>
      </c>
      <c r="U62" s="2">
        <v>1743</v>
      </c>
      <c r="V62" s="29">
        <v>0</v>
      </c>
      <c r="W62" s="2">
        <v>0</v>
      </c>
      <c r="X62" s="2">
        <v>37</v>
      </c>
      <c r="Y62" s="2">
        <v>17542.12</v>
      </c>
      <c r="Z62" s="2">
        <v>7</v>
      </c>
      <c r="AA62" s="108">
        <v>4500</v>
      </c>
      <c r="AB62" s="28">
        <f t="shared" si="5"/>
        <v>84.423369668374946</v>
      </c>
      <c r="AC62" s="2">
        <v>31889</v>
      </c>
      <c r="AD62" s="2">
        <v>5643.78</v>
      </c>
      <c r="AE62" s="2">
        <v>0</v>
      </c>
      <c r="AF62" s="2">
        <f t="shared" si="6"/>
        <v>37532.78</v>
      </c>
      <c r="AG62" s="27">
        <v>25</v>
      </c>
      <c r="AH62" s="108">
        <v>32220</v>
      </c>
      <c r="AI62" s="27">
        <v>0</v>
      </c>
      <c r="AJ62" s="27">
        <v>27700</v>
      </c>
      <c r="AK62" s="27"/>
      <c r="AL62" s="29">
        <f t="shared" si="7"/>
        <v>59920</v>
      </c>
      <c r="AM62" s="41">
        <v>1925</v>
      </c>
      <c r="AN62" s="27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27"/>
      <c r="BA62" s="27"/>
      <c r="BB62" s="27"/>
      <c r="BC62" s="27"/>
      <c r="BD62" s="27"/>
      <c r="BE62" s="27"/>
    </row>
    <row r="63" spans="1:57" x14ac:dyDescent="0.25">
      <c r="A63" s="27" t="s">
        <v>1334</v>
      </c>
      <c r="B63" s="27" t="str">
        <f t="shared" si="0"/>
        <v>Tennessee</v>
      </c>
      <c r="C63" s="27" t="str">
        <f t="shared" si="1"/>
        <v>Monroe</v>
      </c>
      <c r="D63" s="27">
        <v>4041</v>
      </c>
      <c r="E63" s="27">
        <v>1127</v>
      </c>
      <c r="F63" s="27">
        <v>420</v>
      </c>
      <c r="G63" s="27">
        <v>9</v>
      </c>
      <c r="H63" s="27">
        <v>0</v>
      </c>
      <c r="I63" s="27">
        <v>0</v>
      </c>
      <c r="J63" s="27">
        <f t="shared" si="2"/>
        <v>5597</v>
      </c>
      <c r="K63" s="27" t="b">
        <f t="shared" si="3"/>
        <v>1</v>
      </c>
      <c r="L63" s="2">
        <v>160</v>
      </c>
      <c r="M63" s="2">
        <v>136</v>
      </c>
      <c r="N63" s="27">
        <v>176</v>
      </c>
      <c r="O63" s="2">
        <v>177</v>
      </c>
      <c r="P63" s="2"/>
      <c r="Q63" s="2">
        <f t="shared" si="4"/>
        <v>147.19689119170985</v>
      </c>
      <c r="R63" s="27">
        <v>6463</v>
      </c>
      <c r="T63" s="27">
        <v>524</v>
      </c>
      <c r="U63" s="2">
        <v>6608</v>
      </c>
      <c r="V63" s="29">
        <v>35</v>
      </c>
      <c r="W63" s="2">
        <v>24467.5</v>
      </c>
      <c r="X63" s="2">
        <v>106</v>
      </c>
      <c r="Y63" s="2">
        <v>47040.29</v>
      </c>
      <c r="Z63" s="2">
        <v>19</v>
      </c>
      <c r="AA63" s="108">
        <v>23744</v>
      </c>
      <c r="AB63" s="28">
        <f t="shared" si="5"/>
        <v>80.88807890985251</v>
      </c>
      <c r="AC63" s="2">
        <v>151323</v>
      </c>
      <c r="AD63" s="2">
        <v>46257.45</v>
      </c>
      <c r="AE63" s="2">
        <v>115707.65</v>
      </c>
      <c r="AF63" s="2">
        <f t="shared" si="6"/>
        <v>313288.09999999998</v>
      </c>
      <c r="AG63" s="27">
        <v>85</v>
      </c>
      <c r="AH63" s="108">
        <v>93390</v>
      </c>
      <c r="AI63" s="27">
        <v>0</v>
      </c>
      <c r="AJ63" s="27">
        <f>121500+4450</f>
        <v>125950</v>
      </c>
      <c r="AK63" s="27"/>
      <c r="AL63" s="29">
        <f t="shared" si="7"/>
        <v>219340</v>
      </c>
      <c r="AM63" s="41">
        <v>1925</v>
      </c>
      <c r="AN63" s="27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27"/>
      <c r="BA63" s="27"/>
      <c r="BB63" s="27"/>
      <c r="BC63" s="27"/>
      <c r="BD63" s="27"/>
      <c r="BE63" s="27"/>
    </row>
    <row r="64" spans="1:57" x14ac:dyDescent="0.25">
      <c r="A64" s="27" t="s">
        <v>1335</v>
      </c>
      <c r="B64" s="27" t="str">
        <f t="shared" si="0"/>
        <v>Tennessee</v>
      </c>
      <c r="C64" s="27" t="str">
        <f t="shared" si="1"/>
        <v>Montgomery</v>
      </c>
      <c r="D64" s="27">
        <v>5987</v>
      </c>
      <c r="E64" s="27">
        <v>1485</v>
      </c>
      <c r="F64" s="27">
        <v>519</v>
      </c>
      <c r="G64" s="27">
        <v>0</v>
      </c>
      <c r="H64" s="27">
        <v>0</v>
      </c>
      <c r="I64" s="27">
        <v>0</v>
      </c>
      <c r="J64" s="27">
        <f t="shared" si="2"/>
        <v>7991</v>
      </c>
      <c r="K64" s="27" t="b">
        <f t="shared" si="3"/>
        <v>1</v>
      </c>
      <c r="L64" s="2">
        <v>217</v>
      </c>
      <c r="M64" s="2">
        <v>153</v>
      </c>
      <c r="N64" s="27">
        <v>174</v>
      </c>
      <c r="O64" s="2">
        <v>174</v>
      </c>
      <c r="P64" s="2"/>
      <c r="Q64" s="2">
        <f t="shared" si="4"/>
        <v>158.26642472781879</v>
      </c>
      <c r="R64" s="27">
        <v>8219</v>
      </c>
      <c r="T64" s="27">
        <v>634</v>
      </c>
      <c r="U64" s="2">
        <v>8923</v>
      </c>
      <c r="V64" s="29">
        <v>44</v>
      </c>
      <c r="W64" s="2">
        <v>62480.22</v>
      </c>
      <c r="X64" s="2">
        <v>147</v>
      </c>
      <c r="Y64" s="2">
        <v>67051.679999999993</v>
      </c>
      <c r="Z64" s="2">
        <v>26</v>
      </c>
      <c r="AA64" s="108">
        <v>5800</v>
      </c>
      <c r="AB64" s="28">
        <f t="shared" si="5"/>
        <v>78.810058397198418</v>
      </c>
      <c r="AC64" s="2">
        <v>154690</v>
      </c>
      <c r="AD64" s="2">
        <v>50988.4</v>
      </c>
      <c r="AE64" s="2">
        <v>99995.47</v>
      </c>
      <c r="AF64" s="2">
        <f t="shared" si="6"/>
        <v>305673.87</v>
      </c>
      <c r="AG64" s="27">
        <v>97</v>
      </c>
      <c r="AH64" s="108">
        <v>178501</v>
      </c>
      <c r="AI64" s="27">
        <f>154000+51000</f>
        <v>205000</v>
      </c>
      <c r="AJ64" s="27">
        <v>168635</v>
      </c>
      <c r="AK64" s="27"/>
      <c r="AL64" s="29">
        <f t="shared" si="7"/>
        <v>552136</v>
      </c>
      <c r="AM64" s="41">
        <v>1925</v>
      </c>
      <c r="AN64" s="27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27"/>
      <c r="BA64" s="27"/>
      <c r="BB64" s="27"/>
      <c r="BC64" s="27"/>
      <c r="BD64" s="27"/>
      <c r="BE64" s="27"/>
    </row>
    <row r="65" spans="1:57" x14ac:dyDescent="0.25">
      <c r="A65" s="27" t="s">
        <v>1336</v>
      </c>
      <c r="B65" s="27" t="str">
        <f t="shared" ref="B65:B98" si="8">LEFT(A65,FIND(";",A65)-1)</f>
        <v>Tennessee</v>
      </c>
      <c r="C65" s="27" t="str">
        <f t="shared" ref="C65:C98" si="9">MID(A65,FIND(";",A65)+1,100)</f>
        <v>Moore</v>
      </c>
      <c r="D65" s="27">
        <v>825</v>
      </c>
      <c r="E65" s="27">
        <v>0</v>
      </c>
      <c r="F65" s="27">
        <v>100</v>
      </c>
      <c r="G65" s="27">
        <v>0</v>
      </c>
      <c r="H65" s="27">
        <v>0</v>
      </c>
      <c r="I65" s="27">
        <v>0</v>
      </c>
      <c r="J65" s="27">
        <f t="shared" si="2"/>
        <v>925</v>
      </c>
      <c r="K65" s="27" t="b">
        <f t="shared" si="3"/>
        <v>1</v>
      </c>
      <c r="L65" s="2">
        <v>32</v>
      </c>
      <c r="M65" s="2">
        <v>165</v>
      </c>
      <c r="N65" s="27"/>
      <c r="O65" s="2">
        <v>176</v>
      </c>
      <c r="P65" s="2"/>
      <c r="Q65" s="2">
        <f t="shared" si="4"/>
        <v>166.18918918918919</v>
      </c>
      <c r="R65" s="27">
        <v>1001</v>
      </c>
      <c r="T65" s="27">
        <v>110</v>
      </c>
      <c r="U65" s="2">
        <v>1136</v>
      </c>
      <c r="V65" s="29">
        <v>0</v>
      </c>
      <c r="W65" s="2">
        <v>0</v>
      </c>
      <c r="X65" s="2">
        <v>28</v>
      </c>
      <c r="Y65" s="2">
        <v>16060</v>
      </c>
      <c r="Z65" s="2">
        <v>4</v>
      </c>
      <c r="AA65" s="108">
        <v>5555</v>
      </c>
      <c r="AB65" s="28">
        <f t="shared" si="5"/>
        <v>81.289132379248656</v>
      </c>
      <c r="AC65" s="2">
        <v>38896</v>
      </c>
      <c r="AD65" s="2">
        <v>5762.02</v>
      </c>
      <c r="AE65" s="2">
        <v>0</v>
      </c>
      <c r="AF65" s="2">
        <f t="shared" si="6"/>
        <v>44658.020000000004</v>
      </c>
      <c r="AG65" s="27">
        <v>20</v>
      </c>
      <c r="AH65" s="108">
        <v>15832</v>
      </c>
      <c r="AI65" s="27">
        <v>0</v>
      </c>
      <c r="AJ65" s="27">
        <v>5850</v>
      </c>
      <c r="AK65" s="27"/>
      <c r="AL65" s="29">
        <f t="shared" si="7"/>
        <v>21682</v>
      </c>
      <c r="AM65" s="41">
        <v>1925</v>
      </c>
      <c r="AN65" s="27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27"/>
      <c r="BA65" s="27"/>
      <c r="BB65" s="27"/>
      <c r="BC65" s="27"/>
      <c r="BD65" s="27"/>
      <c r="BE65" s="27"/>
    </row>
    <row r="66" spans="1:57" x14ac:dyDescent="0.25">
      <c r="A66" s="27" t="s">
        <v>1337</v>
      </c>
      <c r="B66" s="27" t="str">
        <f t="shared" si="8"/>
        <v>Tennessee</v>
      </c>
      <c r="C66" s="27" t="str">
        <f t="shared" si="9"/>
        <v>Morgan</v>
      </c>
      <c r="D66" s="27">
        <v>2656</v>
      </c>
      <c r="E66" s="27">
        <v>262</v>
      </c>
      <c r="F66" s="27">
        <v>122</v>
      </c>
      <c r="G66" s="27">
        <v>0</v>
      </c>
      <c r="H66" s="27">
        <v>24</v>
      </c>
      <c r="I66" s="27">
        <v>0</v>
      </c>
      <c r="J66" s="27">
        <f t="shared" si="2"/>
        <v>3064</v>
      </c>
      <c r="K66" s="27" t="b">
        <f t="shared" si="3"/>
        <v>1</v>
      </c>
      <c r="L66" s="2">
        <v>93</v>
      </c>
      <c r="M66" s="2">
        <v>118</v>
      </c>
      <c r="N66" s="27">
        <v>178</v>
      </c>
      <c r="O66" s="2">
        <v>176</v>
      </c>
      <c r="P66" s="2">
        <v>178</v>
      </c>
      <c r="Q66" s="2">
        <f t="shared" si="4"/>
        <v>125.90992167101828</v>
      </c>
      <c r="R66" s="27">
        <v>3725</v>
      </c>
      <c r="T66" s="27">
        <v>193</v>
      </c>
      <c r="U66" s="2">
        <v>3704</v>
      </c>
      <c r="V66" s="29">
        <f>7+2</f>
        <v>9</v>
      </c>
      <c r="W66" s="2">
        <v>0</v>
      </c>
      <c r="X66" s="2">
        <v>71</v>
      </c>
      <c r="Y66" s="2">
        <v>46134.06</v>
      </c>
      <c r="Z66" s="2">
        <v>13</v>
      </c>
      <c r="AA66" s="108">
        <v>15345</v>
      </c>
      <c r="AB66" s="28">
        <f t="shared" si="5"/>
        <v>105.00604758020199</v>
      </c>
      <c r="AC66" s="2">
        <v>87870</v>
      </c>
      <c r="AD66" s="2">
        <v>15742.57</v>
      </c>
      <c r="AE66" s="2">
        <v>0</v>
      </c>
      <c r="AF66" s="2">
        <f t="shared" ref="AF66:AF96" si="10">AC66+AD66+AE66</f>
        <v>103612.57</v>
      </c>
      <c r="AG66" s="27">
        <v>53</v>
      </c>
      <c r="AH66" s="108">
        <v>221997</v>
      </c>
      <c r="AI66" s="27">
        <v>37300</v>
      </c>
      <c r="AJ66" s="27">
        <v>231525</v>
      </c>
      <c r="AK66" s="27"/>
      <c r="AL66" s="29">
        <f t="shared" si="7"/>
        <v>490822</v>
      </c>
      <c r="AM66" s="41">
        <v>1925</v>
      </c>
      <c r="AN66" s="27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27"/>
      <c r="BA66" s="27"/>
      <c r="BB66" s="27"/>
      <c r="BC66" s="27"/>
      <c r="BD66" s="27"/>
      <c r="BE66" s="27"/>
    </row>
    <row r="67" spans="1:57" x14ac:dyDescent="0.25">
      <c r="A67" s="27" t="s">
        <v>1338</v>
      </c>
      <c r="B67" s="27" t="str">
        <f t="shared" si="8"/>
        <v>Tennessee</v>
      </c>
      <c r="C67" s="27" t="str">
        <f t="shared" si="9"/>
        <v>Obion</v>
      </c>
      <c r="D67" s="27">
        <v>5642</v>
      </c>
      <c r="E67" s="27">
        <v>788</v>
      </c>
      <c r="F67" s="27">
        <v>559</v>
      </c>
      <c r="G67" s="27">
        <v>0</v>
      </c>
      <c r="H67" s="27">
        <v>165</v>
      </c>
      <c r="I67" s="27">
        <v>12</v>
      </c>
      <c r="J67" s="27">
        <f t="shared" ref="J67:J96" si="11">D67+E67+F67+G67+H67+I67</f>
        <v>7166</v>
      </c>
      <c r="K67" s="27" t="b">
        <f t="shared" ref="K67:K96" si="12">J67&lt;U67</f>
        <v>1</v>
      </c>
      <c r="L67" s="2">
        <v>227</v>
      </c>
      <c r="M67" s="2">
        <v>152</v>
      </c>
      <c r="N67" s="27">
        <v>175</v>
      </c>
      <c r="O67" s="2">
        <v>178</v>
      </c>
      <c r="P67" s="2">
        <v>179</v>
      </c>
      <c r="Q67" s="2">
        <f t="shared" ref="Q67:Q96" si="13">((D67*M67)+(E67*N67)+((F67+G67)*O67)+((H67+I67)*P67))/J67</f>
        <v>157.2242534189227</v>
      </c>
      <c r="R67" s="27">
        <v>7992</v>
      </c>
      <c r="T67" s="27">
        <v>903</v>
      </c>
      <c r="U67" s="2">
        <v>9285</v>
      </c>
      <c r="V67" s="29">
        <f>23+10</f>
        <v>33</v>
      </c>
      <c r="W67" s="2">
        <v>31320</v>
      </c>
      <c r="X67" s="2">
        <v>156</v>
      </c>
      <c r="Y67" s="2">
        <v>102821.28</v>
      </c>
      <c r="Z67" s="2">
        <v>38</v>
      </c>
      <c r="AA67" s="108">
        <v>36120</v>
      </c>
      <c r="AB67" s="28">
        <f t="shared" ref="AB67:AB96" si="14">(W67+Y67+AA67)/L67/(Q67/20)</f>
        <v>95.411448974281967</v>
      </c>
      <c r="AC67" s="2">
        <v>180312</v>
      </c>
      <c r="AD67" s="2">
        <v>91167.38</v>
      </c>
      <c r="AE67" s="2">
        <v>43758.23</v>
      </c>
      <c r="AF67" s="2">
        <f t="shared" si="10"/>
        <v>315237.61</v>
      </c>
      <c r="AG67" s="27">
        <v>88</v>
      </c>
      <c r="AH67" s="108">
        <v>314815</v>
      </c>
      <c r="AI67" s="27">
        <f>135000+12000</f>
        <v>147000</v>
      </c>
      <c r="AJ67" s="27">
        <v>148025</v>
      </c>
      <c r="AK67" s="27"/>
      <c r="AL67" s="29">
        <f t="shared" si="7"/>
        <v>609840</v>
      </c>
      <c r="AM67" s="41">
        <v>1925</v>
      </c>
      <c r="AN67" s="27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27"/>
      <c r="BA67" s="27"/>
      <c r="BB67" s="27"/>
      <c r="BC67" s="27"/>
      <c r="BD67" s="27"/>
      <c r="BE67" s="27"/>
    </row>
    <row r="68" spans="1:57" x14ac:dyDescent="0.25">
      <c r="A68" s="27" t="s">
        <v>1339</v>
      </c>
      <c r="B68" s="27" t="str">
        <f t="shared" si="8"/>
        <v>Tennessee</v>
      </c>
      <c r="C68" s="27" t="str">
        <f t="shared" si="9"/>
        <v>Overton</v>
      </c>
      <c r="D68" s="27">
        <v>4142</v>
      </c>
      <c r="E68" s="27">
        <v>423</v>
      </c>
      <c r="F68" s="27">
        <v>174</v>
      </c>
      <c r="G68" s="27">
        <v>0</v>
      </c>
      <c r="H68" s="27">
        <v>0</v>
      </c>
      <c r="I68" s="27">
        <v>0</v>
      </c>
      <c r="J68" s="27">
        <f t="shared" si="11"/>
        <v>4739</v>
      </c>
      <c r="K68" s="27" t="b">
        <f t="shared" si="12"/>
        <v>1</v>
      </c>
      <c r="L68" s="2">
        <v>130</v>
      </c>
      <c r="M68" s="2">
        <v>108</v>
      </c>
      <c r="N68" s="27">
        <v>110</v>
      </c>
      <c r="O68" s="2">
        <v>110</v>
      </c>
      <c r="P68" s="2">
        <v>85</v>
      </c>
      <c r="Q68" s="2">
        <f t="shared" si="13"/>
        <v>108.25195188858409</v>
      </c>
      <c r="R68" s="27">
        <v>5132</v>
      </c>
      <c r="T68" s="27">
        <v>210</v>
      </c>
      <c r="U68" s="2">
        <v>6089</v>
      </c>
      <c r="V68" s="29">
        <f>8+8</f>
        <v>16</v>
      </c>
      <c r="W68" s="2">
        <v>0</v>
      </c>
      <c r="X68" s="2">
        <v>108</v>
      </c>
      <c r="Y68" s="2">
        <v>40009.839999999997</v>
      </c>
      <c r="Z68" s="2">
        <v>6</v>
      </c>
      <c r="AA68" s="108">
        <v>7271</v>
      </c>
      <c r="AB68" s="28">
        <f t="shared" si="14"/>
        <v>67.194865845023841</v>
      </c>
      <c r="AC68" s="2">
        <v>84724</v>
      </c>
      <c r="AD68" s="2">
        <v>7918.75</v>
      </c>
      <c r="AE68" s="2">
        <v>8067.03</v>
      </c>
      <c r="AF68" s="2">
        <f t="shared" si="10"/>
        <v>100709.78</v>
      </c>
      <c r="AG68" s="27">
        <v>76</v>
      </c>
      <c r="AH68" s="108">
        <v>40385</v>
      </c>
      <c r="AI68" s="27">
        <v>415</v>
      </c>
      <c r="AJ68" s="27">
        <v>262405</v>
      </c>
      <c r="AK68" s="27"/>
      <c r="AL68" s="29">
        <f t="shared" ref="AL68:AL96" si="15">AH68+AI68+AJ68</f>
        <v>303205</v>
      </c>
      <c r="AM68" s="41">
        <v>1925</v>
      </c>
      <c r="AN68" s="27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27"/>
      <c r="BA68" s="27"/>
      <c r="BB68" s="27"/>
      <c r="BC68" s="27"/>
      <c r="BD68" s="27"/>
      <c r="BE68" s="27"/>
    </row>
    <row r="69" spans="1:57" x14ac:dyDescent="0.25">
      <c r="A69" s="27" t="s">
        <v>1340</v>
      </c>
      <c r="B69" s="27" t="str">
        <f t="shared" si="8"/>
        <v>Tennessee</v>
      </c>
      <c r="C69" s="27" t="str">
        <f t="shared" si="9"/>
        <v>Perry</v>
      </c>
      <c r="D69" s="27">
        <v>1404</v>
      </c>
      <c r="E69" s="27">
        <v>0</v>
      </c>
      <c r="F69" s="27">
        <v>80</v>
      </c>
      <c r="G69" s="27">
        <v>0</v>
      </c>
      <c r="H69" s="27">
        <v>0</v>
      </c>
      <c r="I69" s="27">
        <v>0</v>
      </c>
      <c r="J69" s="27">
        <f t="shared" si="11"/>
        <v>1484</v>
      </c>
      <c r="K69" s="27" t="b">
        <f t="shared" si="12"/>
        <v>1</v>
      </c>
      <c r="L69" s="2">
        <v>61</v>
      </c>
      <c r="M69" s="2">
        <v>107</v>
      </c>
      <c r="N69" s="27"/>
      <c r="O69" s="2">
        <v>175</v>
      </c>
      <c r="P69" s="2"/>
      <c r="Q69" s="2">
        <f t="shared" si="13"/>
        <v>110.66576819407008</v>
      </c>
      <c r="R69" s="27">
        <v>2144</v>
      </c>
      <c r="T69" s="27">
        <v>106</v>
      </c>
      <c r="U69" s="2">
        <v>1980</v>
      </c>
      <c r="V69" s="29">
        <v>0</v>
      </c>
      <c r="W69" s="2">
        <v>0</v>
      </c>
      <c r="X69" s="2">
        <v>55</v>
      </c>
      <c r="Y69" s="2">
        <v>21674.11</v>
      </c>
      <c r="Z69" s="2">
        <v>6</v>
      </c>
      <c r="AA69" s="108">
        <v>6989</v>
      </c>
      <c r="AB69" s="28">
        <f t="shared" si="14"/>
        <v>84.920035680104078</v>
      </c>
      <c r="AC69" s="2">
        <v>47242</v>
      </c>
      <c r="AD69" s="2">
        <v>7739.33</v>
      </c>
      <c r="AE69" s="2">
        <v>0</v>
      </c>
      <c r="AF69" s="2">
        <f t="shared" si="10"/>
        <v>54981.33</v>
      </c>
      <c r="AG69" s="27">
        <v>43</v>
      </c>
      <c r="AH69" s="108">
        <v>52230</v>
      </c>
      <c r="AI69" s="27">
        <v>0</v>
      </c>
      <c r="AJ69" s="27">
        <v>0</v>
      </c>
      <c r="AK69" s="27"/>
      <c r="AL69" s="29">
        <f t="shared" si="15"/>
        <v>52230</v>
      </c>
      <c r="AM69" s="41">
        <v>1925</v>
      </c>
      <c r="AN69" s="27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27"/>
      <c r="BA69" s="27"/>
      <c r="BB69" s="27"/>
      <c r="BC69" s="27"/>
      <c r="BD69" s="27"/>
      <c r="BE69" s="27"/>
    </row>
    <row r="70" spans="1:57" x14ac:dyDescent="0.25">
      <c r="A70" s="27" t="s">
        <v>1341</v>
      </c>
      <c r="B70" s="27" t="str">
        <f t="shared" si="8"/>
        <v>Tennessee</v>
      </c>
      <c r="C70" s="27" t="str">
        <f t="shared" si="9"/>
        <v>Pickett</v>
      </c>
      <c r="D70" s="27">
        <v>1035</v>
      </c>
      <c r="E70" s="27">
        <v>0</v>
      </c>
      <c r="F70" s="27">
        <v>23</v>
      </c>
      <c r="G70" s="27">
        <v>0</v>
      </c>
      <c r="H70" s="27">
        <v>0</v>
      </c>
      <c r="I70" s="27">
        <v>0</v>
      </c>
      <c r="J70" s="27">
        <f t="shared" si="11"/>
        <v>1058</v>
      </c>
      <c r="K70" s="27" t="b">
        <f t="shared" si="12"/>
        <v>1</v>
      </c>
      <c r="L70" s="2">
        <v>40</v>
      </c>
      <c r="M70" s="2">
        <v>118</v>
      </c>
      <c r="N70" s="27"/>
      <c r="O70" s="2">
        <v>180</v>
      </c>
      <c r="P70" s="2"/>
      <c r="Q70" s="2">
        <f t="shared" si="13"/>
        <v>119.34782608695652</v>
      </c>
      <c r="R70" s="27">
        <v>1627</v>
      </c>
      <c r="T70" s="27">
        <v>43</v>
      </c>
      <c r="U70" s="2">
        <v>1707</v>
      </c>
      <c r="V70" s="29">
        <v>0</v>
      </c>
      <c r="W70" s="2">
        <v>0</v>
      </c>
      <c r="X70" s="2">
        <v>37</v>
      </c>
      <c r="Y70" s="2">
        <v>14200.77</v>
      </c>
      <c r="Z70" s="2">
        <v>3</v>
      </c>
      <c r="AA70" s="108">
        <v>3241</v>
      </c>
      <c r="AB70" s="28">
        <f t="shared" si="14"/>
        <v>73.07116757741349</v>
      </c>
      <c r="AC70" s="2">
        <v>31431</v>
      </c>
      <c r="AD70" s="2">
        <v>5156.3599999999997</v>
      </c>
      <c r="AE70" s="2">
        <v>0</v>
      </c>
      <c r="AF70" s="2">
        <f t="shared" si="10"/>
        <v>36587.360000000001</v>
      </c>
      <c r="AG70" s="27">
        <v>32</v>
      </c>
      <c r="AH70" s="108">
        <v>21695</v>
      </c>
      <c r="AI70" s="27">
        <v>0</v>
      </c>
      <c r="AJ70" s="27">
        <v>9885</v>
      </c>
      <c r="AK70" s="27"/>
      <c r="AL70" s="29">
        <f t="shared" si="15"/>
        <v>31580</v>
      </c>
      <c r="AM70" s="41">
        <v>1925</v>
      </c>
      <c r="AN70" s="27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27"/>
      <c r="BA70" s="27"/>
      <c r="BB70" s="27"/>
      <c r="BC70" s="27"/>
      <c r="BD70" s="27"/>
      <c r="BE70" s="27"/>
    </row>
    <row r="71" spans="1:57" x14ac:dyDescent="0.25">
      <c r="A71" s="27" t="s">
        <v>1342</v>
      </c>
      <c r="B71" s="27" t="str">
        <f t="shared" si="8"/>
        <v>Tennessee</v>
      </c>
      <c r="C71" s="27" t="str">
        <f t="shared" si="9"/>
        <v>Polk</v>
      </c>
      <c r="D71" s="27">
        <v>2756</v>
      </c>
      <c r="E71" s="27">
        <v>0</v>
      </c>
      <c r="F71" s="27">
        <v>361</v>
      </c>
      <c r="G71" s="27">
        <v>0</v>
      </c>
      <c r="H71" s="27">
        <v>0</v>
      </c>
      <c r="I71" s="27">
        <v>0</v>
      </c>
      <c r="J71" s="27">
        <f t="shared" si="11"/>
        <v>3117</v>
      </c>
      <c r="K71" s="27" t="b">
        <f t="shared" si="12"/>
        <v>1</v>
      </c>
      <c r="L71" s="2">
        <v>123</v>
      </c>
      <c r="M71" s="2">
        <v>153</v>
      </c>
      <c r="N71" s="27"/>
      <c r="O71" s="2">
        <v>174</v>
      </c>
      <c r="P71" s="2"/>
      <c r="Q71" s="2">
        <f t="shared" si="13"/>
        <v>155.43214629451396</v>
      </c>
      <c r="R71" s="27">
        <v>3978</v>
      </c>
      <c r="T71" s="27">
        <v>428</v>
      </c>
      <c r="U71" s="2">
        <v>4401</v>
      </c>
      <c r="V71" s="29">
        <v>0</v>
      </c>
      <c r="W71" s="2">
        <v>0</v>
      </c>
      <c r="X71" s="2">
        <v>97</v>
      </c>
      <c r="Y71" s="2">
        <v>75359.740000000005</v>
      </c>
      <c r="Z71" s="2">
        <v>26</v>
      </c>
      <c r="AA71" s="108">
        <v>32215</v>
      </c>
      <c r="AB71" s="28">
        <f t="shared" si="14"/>
        <v>112.536743905812</v>
      </c>
      <c r="AC71" s="2">
        <v>170595</v>
      </c>
      <c r="AD71" s="2">
        <v>53730.26</v>
      </c>
      <c r="AE71" s="2">
        <v>0</v>
      </c>
      <c r="AF71" s="2">
        <f t="shared" si="10"/>
        <v>224325.26</v>
      </c>
      <c r="AG71" s="27">
        <v>40</v>
      </c>
      <c r="AH71" s="108">
        <v>203725</v>
      </c>
      <c r="AI71" s="27">
        <v>0</v>
      </c>
      <c r="AJ71" s="27">
        <v>114450</v>
      </c>
      <c r="AK71" s="27"/>
      <c r="AL71" s="29">
        <f t="shared" si="15"/>
        <v>318175</v>
      </c>
      <c r="AM71" s="41">
        <v>1925</v>
      </c>
      <c r="AN71" s="27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27"/>
      <c r="BA71" s="27"/>
      <c r="BB71" s="27"/>
      <c r="BC71" s="27"/>
      <c r="BD71" s="27"/>
      <c r="BE71" s="27"/>
    </row>
    <row r="72" spans="1:57" x14ac:dyDescent="0.25">
      <c r="A72" s="27" t="s">
        <v>1343</v>
      </c>
      <c r="B72" s="27" t="str">
        <f t="shared" si="8"/>
        <v>Tennessee</v>
      </c>
      <c r="C72" s="27" t="str">
        <f t="shared" si="9"/>
        <v>Putnam</v>
      </c>
      <c r="D72" s="27">
        <v>4204</v>
      </c>
      <c r="E72" s="27">
        <v>561</v>
      </c>
      <c r="F72" s="27">
        <v>278</v>
      </c>
      <c r="G72" s="27">
        <v>0</v>
      </c>
      <c r="H72" s="27">
        <v>0</v>
      </c>
      <c r="I72" s="27">
        <v>0</v>
      </c>
      <c r="J72" s="27">
        <f t="shared" si="11"/>
        <v>5043</v>
      </c>
      <c r="K72" s="27" t="b">
        <f t="shared" si="12"/>
        <v>1</v>
      </c>
      <c r="L72" s="2">
        <v>152</v>
      </c>
      <c r="M72" s="2">
        <v>138</v>
      </c>
      <c r="N72" s="27">
        <v>178</v>
      </c>
      <c r="O72" s="2">
        <v>178</v>
      </c>
      <c r="P72" s="2"/>
      <c r="Q72" s="2">
        <f t="shared" si="13"/>
        <v>144.65476898671426</v>
      </c>
      <c r="R72" s="27">
        <v>6316</v>
      </c>
      <c r="T72" s="27">
        <v>339</v>
      </c>
      <c r="U72" s="2">
        <v>6914</v>
      </c>
      <c r="V72" s="29">
        <v>14</v>
      </c>
      <c r="W72" s="2">
        <v>11196.61</v>
      </c>
      <c r="X72" s="2">
        <v>122</v>
      </c>
      <c r="Y72" s="2">
        <v>59579.18</v>
      </c>
      <c r="Z72" s="2">
        <v>16</v>
      </c>
      <c r="AA72" s="108">
        <v>10378</v>
      </c>
      <c r="AB72" s="28">
        <f t="shared" si="14"/>
        <v>73.818031288955453</v>
      </c>
      <c r="AC72" s="2">
        <v>109882</v>
      </c>
      <c r="AD72" s="2">
        <v>19426.64</v>
      </c>
      <c r="AE72" s="2">
        <v>17210</v>
      </c>
      <c r="AF72" s="2">
        <f t="shared" si="10"/>
        <v>146518.64000000001</v>
      </c>
      <c r="AG72" s="27">
        <v>71</v>
      </c>
      <c r="AH72" s="108">
        <v>161915</v>
      </c>
      <c r="AI72" s="27">
        <v>160000</v>
      </c>
      <c r="AJ72" s="27">
        <v>180000</v>
      </c>
      <c r="AK72" s="27"/>
      <c r="AL72" s="29">
        <f t="shared" si="15"/>
        <v>501915</v>
      </c>
      <c r="AM72" s="41">
        <v>1925</v>
      </c>
      <c r="AN72" s="27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27"/>
      <c r="BA72" s="27"/>
      <c r="BB72" s="27"/>
      <c r="BC72" s="27"/>
      <c r="BD72" s="27"/>
      <c r="BE72" s="27"/>
    </row>
    <row r="73" spans="1:57" x14ac:dyDescent="0.25">
      <c r="A73" s="27" t="s">
        <v>1344</v>
      </c>
      <c r="B73" s="27" t="str">
        <f t="shared" si="8"/>
        <v>Tennessee</v>
      </c>
      <c r="C73" s="27" t="str">
        <f t="shared" si="9"/>
        <v>Rhea</v>
      </c>
      <c r="D73" s="27">
        <v>2809</v>
      </c>
      <c r="E73" s="27">
        <v>409</v>
      </c>
      <c r="F73" s="27">
        <v>276</v>
      </c>
      <c r="G73" s="27">
        <v>0</v>
      </c>
      <c r="H73" s="27">
        <v>0</v>
      </c>
      <c r="I73" s="27">
        <v>0</v>
      </c>
      <c r="J73" s="27">
        <f t="shared" si="11"/>
        <v>3494</v>
      </c>
      <c r="K73" s="27" t="b">
        <f t="shared" si="12"/>
        <v>1</v>
      </c>
      <c r="L73" s="2">
        <v>117</v>
      </c>
      <c r="M73" s="2">
        <v>119</v>
      </c>
      <c r="N73" s="27">
        <v>157</v>
      </c>
      <c r="O73" s="2">
        <v>178</v>
      </c>
      <c r="P73" s="2"/>
      <c r="Q73" s="2">
        <f t="shared" si="13"/>
        <v>128.10875787063537</v>
      </c>
      <c r="R73" s="27">
        <v>3913</v>
      </c>
      <c r="T73" s="27">
        <v>381</v>
      </c>
      <c r="U73" s="2">
        <v>4212</v>
      </c>
      <c r="V73" s="29">
        <v>12</v>
      </c>
      <c r="W73" s="2">
        <v>7111.75</v>
      </c>
      <c r="X73" s="2">
        <v>91</v>
      </c>
      <c r="Y73" s="2">
        <v>30899.56</v>
      </c>
      <c r="Z73" s="2">
        <v>14</v>
      </c>
      <c r="AA73" s="108">
        <v>9081.36</v>
      </c>
      <c r="AB73" s="28">
        <f t="shared" si="14"/>
        <v>62.837460870224071</v>
      </c>
      <c r="AC73" s="2">
        <v>71397</v>
      </c>
      <c r="AD73" s="2">
        <v>13671.36</v>
      </c>
      <c r="AE73" s="2">
        <v>12723.47</v>
      </c>
      <c r="AF73" s="2">
        <f t="shared" si="10"/>
        <v>97791.83</v>
      </c>
      <c r="AG73" s="27">
        <v>49</v>
      </c>
      <c r="AH73" s="108">
        <v>127055</v>
      </c>
      <c r="AI73" s="27">
        <f>47400+3200</f>
        <v>50600</v>
      </c>
      <c r="AJ73" s="27">
        <v>101900</v>
      </c>
      <c r="AK73" s="27"/>
      <c r="AL73" s="29">
        <f t="shared" si="15"/>
        <v>279555</v>
      </c>
      <c r="AM73" s="41">
        <v>1925</v>
      </c>
      <c r="AN73" s="27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27"/>
      <c r="BA73" s="27"/>
      <c r="BB73" s="27"/>
      <c r="BC73" s="27"/>
      <c r="BD73" s="27"/>
      <c r="BE73" s="27"/>
    </row>
    <row r="74" spans="1:57" x14ac:dyDescent="0.25">
      <c r="A74" s="27" t="s">
        <v>1345</v>
      </c>
      <c r="B74" s="27" t="str">
        <f t="shared" si="8"/>
        <v>Tennessee</v>
      </c>
      <c r="C74" s="27" t="str">
        <f t="shared" si="9"/>
        <v>Roane</v>
      </c>
      <c r="D74" s="27">
        <v>5129</v>
      </c>
      <c r="E74" s="27">
        <v>2190</v>
      </c>
      <c r="F74" s="27">
        <v>468</v>
      </c>
      <c r="G74" s="27">
        <v>0</v>
      </c>
      <c r="H74" s="27">
        <v>0</v>
      </c>
      <c r="I74" s="27">
        <v>8</v>
      </c>
      <c r="J74" s="27">
        <f t="shared" si="11"/>
        <v>7795</v>
      </c>
      <c r="K74" s="27" t="b">
        <f t="shared" si="12"/>
        <v>0</v>
      </c>
      <c r="L74" s="2">
        <v>176</v>
      </c>
      <c r="M74" s="2">
        <v>127</v>
      </c>
      <c r="N74" s="27">
        <v>171</v>
      </c>
      <c r="O74" s="2">
        <v>174</v>
      </c>
      <c r="P74" s="2">
        <v>175</v>
      </c>
      <c r="Q74" s="2">
        <f t="shared" si="13"/>
        <v>142.23284156510584</v>
      </c>
      <c r="R74" s="27">
        <v>6720</v>
      </c>
      <c r="T74" s="27">
        <v>580</v>
      </c>
      <c r="U74" s="2">
        <v>7255</v>
      </c>
      <c r="V74" s="29">
        <f>53+1</f>
        <v>54</v>
      </c>
      <c r="W74" s="2">
        <v>57546.6</v>
      </c>
      <c r="X74" s="2">
        <v>93</v>
      </c>
      <c r="Y74" s="2">
        <v>48766.16</v>
      </c>
      <c r="Z74" s="2">
        <v>29</v>
      </c>
      <c r="AA74" s="108">
        <v>33108</v>
      </c>
      <c r="AB74" s="28">
        <f t="shared" si="14"/>
        <v>111.38966224313296</v>
      </c>
      <c r="AC74" s="2">
        <v>120662</v>
      </c>
      <c r="AD74" s="2">
        <v>43928.81</v>
      </c>
      <c r="AE74" s="2">
        <v>76491.509999999995</v>
      </c>
      <c r="AF74" s="2">
        <f t="shared" si="10"/>
        <v>241082.32</v>
      </c>
      <c r="AG74" s="27">
        <v>67</v>
      </c>
      <c r="AH74" s="108">
        <v>131830</v>
      </c>
      <c r="AI74" s="27">
        <f>259935+26550</f>
        <v>286485</v>
      </c>
      <c r="AJ74" s="27">
        <v>146625</v>
      </c>
      <c r="AK74" s="27"/>
      <c r="AL74" s="29">
        <f t="shared" si="15"/>
        <v>564940</v>
      </c>
      <c r="AM74" s="41">
        <v>1925</v>
      </c>
      <c r="AN74" s="27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27"/>
      <c r="BA74" s="27"/>
      <c r="BB74" s="27"/>
      <c r="BC74" s="27"/>
      <c r="BD74" s="27"/>
      <c r="BE74" s="27"/>
    </row>
    <row r="75" spans="1:57" x14ac:dyDescent="0.25">
      <c r="A75" s="27" t="s">
        <v>1346</v>
      </c>
      <c r="B75" s="27" t="str">
        <f t="shared" si="8"/>
        <v>Tennessee</v>
      </c>
      <c r="C75" s="27" t="str">
        <f t="shared" si="9"/>
        <v>Robertson</v>
      </c>
      <c r="D75" s="27">
        <v>4353</v>
      </c>
      <c r="E75" s="27">
        <v>743</v>
      </c>
      <c r="F75" s="27">
        <v>321</v>
      </c>
      <c r="G75" s="27">
        <v>0</v>
      </c>
      <c r="H75" s="27">
        <v>148</v>
      </c>
      <c r="I75" s="27">
        <v>22</v>
      </c>
      <c r="J75" s="27">
        <f t="shared" si="11"/>
        <v>5587</v>
      </c>
      <c r="K75" s="27" t="b">
        <f t="shared" si="12"/>
        <v>1</v>
      </c>
      <c r="L75" s="2">
        <v>189</v>
      </c>
      <c r="M75" s="2">
        <v>144</v>
      </c>
      <c r="N75" s="27">
        <v>178</v>
      </c>
      <c r="O75" s="2">
        <v>177</v>
      </c>
      <c r="P75" s="2">
        <v>176</v>
      </c>
      <c r="Q75" s="2">
        <f t="shared" si="13"/>
        <v>151.39126543762305</v>
      </c>
      <c r="R75" s="27">
        <v>6984</v>
      </c>
      <c r="T75" s="27">
        <v>609</v>
      </c>
      <c r="U75" s="2">
        <v>7221</v>
      </c>
      <c r="V75" s="29">
        <f>20+10</f>
        <v>30</v>
      </c>
      <c r="W75" s="2">
        <v>22735</v>
      </c>
      <c r="X75" s="2">
        <v>133</v>
      </c>
      <c r="Y75" s="2">
        <v>64277.14</v>
      </c>
      <c r="Z75" s="2">
        <v>26</v>
      </c>
      <c r="AA75" s="108">
        <v>25195</v>
      </c>
      <c r="AB75" s="28">
        <f t="shared" si="14"/>
        <v>78.431020404302757</v>
      </c>
      <c r="AC75" s="2">
        <v>158248</v>
      </c>
      <c r="AD75" s="2">
        <v>31565.9</v>
      </c>
      <c r="AE75" s="2">
        <v>40810.51</v>
      </c>
      <c r="AF75" s="2">
        <f t="shared" si="10"/>
        <v>230624.41</v>
      </c>
      <c r="AG75" s="27">
        <v>89</v>
      </c>
      <c r="AH75" s="108">
        <v>219635</v>
      </c>
      <c r="AI75" s="27">
        <f>45000+2700</f>
        <v>47700</v>
      </c>
      <c r="AJ75" s="27">
        <v>186750</v>
      </c>
      <c r="AK75" s="27"/>
      <c r="AL75" s="29">
        <f t="shared" si="15"/>
        <v>454085</v>
      </c>
      <c r="AM75" s="41">
        <v>1925</v>
      </c>
      <c r="AN75" s="27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27"/>
      <c r="BA75" s="27"/>
      <c r="BB75" s="27"/>
      <c r="BC75" s="27"/>
      <c r="BD75" s="27"/>
      <c r="BE75" s="27"/>
    </row>
    <row r="76" spans="1:57" x14ac:dyDescent="0.25">
      <c r="A76" s="27" t="s">
        <v>1347</v>
      </c>
      <c r="B76" s="27" t="str">
        <f t="shared" si="8"/>
        <v>Tennessee</v>
      </c>
      <c r="C76" s="27" t="str">
        <f t="shared" si="9"/>
        <v>Rutherford</v>
      </c>
      <c r="D76" s="27">
        <v>6173</v>
      </c>
      <c r="E76" s="27">
        <v>767</v>
      </c>
      <c r="F76" s="27">
        <v>709</v>
      </c>
      <c r="G76" s="27">
        <v>49</v>
      </c>
      <c r="H76" s="27">
        <v>0</v>
      </c>
      <c r="I76" s="27">
        <v>0</v>
      </c>
      <c r="J76" s="27">
        <f t="shared" si="11"/>
        <v>7698</v>
      </c>
      <c r="K76" s="27" t="b">
        <f t="shared" si="12"/>
        <v>1</v>
      </c>
      <c r="L76" s="2">
        <v>224</v>
      </c>
      <c r="M76" s="2">
        <v>157</v>
      </c>
      <c r="N76" s="27">
        <v>176</v>
      </c>
      <c r="O76" s="2">
        <v>177</v>
      </c>
      <c r="P76" s="2"/>
      <c r="Q76" s="2">
        <f t="shared" si="13"/>
        <v>160.86243180046765</v>
      </c>
      <c r="R76" s="27">
        <v>9020</v>
      </c>
      <c r="T76" s="27">
        <v>910</v>
      </c>
      <c r="U76" s="2">
        <v>9430</v>
      </c>
      <c r="V76" s="29">
        <v>18</v>
      </c>
      <c r="W76" s="2">
        <v>12394.93</v>
      </c>
      <c r="X76" s="2">
        <v>163</v>
      </c>
      <c r="Y76" s="2">
        <v>88090.01</v>
      </c>
      <c r="Z76" s="2">
        <v>41</v>
      </c>
      <c r="AA76" s="108">
        <v>50263</v>
      </c>
      <c r="AB76" s="28">
        <f t="shared" si="14"/>
        <v>83.671727135738053</v>
      </c>
      <c r="AC76" s="2">
        <v>157895</v>
      </c>
      <c r="AD76" s="2">
        <v>55849.04</v>
      </c>
      <c r="AE76" s="2">
        <v>18940.53</v>
      </c>
      <c r="AF76" s="2">
        <f t="shared" si="10"/>
        <v>232684.57</v>
      </c>
      <c r="AG76" s="27">
        <v>99</v>
      </c>
      <c r="AH76" s="108">
        <v>337700</v>
      </c>
      <c r="AI76" s="27">
        <f>35000+19000</f>
        <v>54000</v>
      </c>
      <c r="AJ76" s="27">
        <f>300850+22000</f>
        <v>322850</v>
      </c>
      <c r="AK76" s="27"/>
      <c r="AL76" s="29">
        <f t="shared" si="15"/>
        <v>714550</v>
      </c>
      <c r="AM76" s="41">
        <v>1925</v>
      </c>
      <c r="AN76" s="27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27"/>
      <c r="BA76" s="27"/>
      <c r="BB76" s="27"/>
      <c r="BC76" s="27"/>
      <c r="BD76" s="27"/>
      <c r="BE76" s="27"/>
    </row>
    <row r="77" spans="1:57" x14ac:dyDescent="0.25">
      <c r="A77" s="27" t="s">
        <v>1348</v>
      </c>
      <c r="B77" s="27" t="str">
        <f t="shared" si="8"/>
        <v>Tennessee</v>
      </c>
      <c r="C77" s="27" t="str">
        <f t="shared" si="9"/>
        <v>Scott</v>
      </c>
      <c r="D77" s="27">
        <v>2670</v>
      </c>
      <c r="E77" s="27">
        <v>0</v>
      </c>
      <c r="F77" s="27">
        <v>183</v>
      </c>
      <c r="G77" s="27">
        <v>0</v>
      </c>
      <c r="H77" s="27">
        <v>0</v>
      </c>
      <c r="I77" s="27">
        <v>0</v>
      </c>
      <c r="J77" s="27">
        <f t="shared" si="11"/>
        <v>2853</v>
      </c>
      <c r="K77" s="27" t="b">
        <f t="shared" si="12"/>
        <v>1</v>
      </c>
      <c r="L77" s="2">
        <v>125</v>
      </c>
      <c r="M77" s="2">
        <v>123</v>
      </c>
      <c r="N77" s="27"/>
      <c r="O77" s="2">
        <v>175</v>
      </c>
      <c r="P77" s="2"/>
      <c r="Q77" s="2">
        <f t="shared" si="13"/>
        <v>126.33543638275499</v>
      </c>
      <c r="R77" s="27">
        <v>5236</v>
      </c>
      <c r="T77" s="27">
        <v>256</v>
      </c>
      <c r="U77" s="2">
        <v>4438</v>
      </c>
      <c r="V77" s="29">
        <v>0</v>
      </c>
      <c r="W77" s="2">
        <v>0</v>
      </c>
      <c r="X77" s="2">
        <v>108</v>
      </c>
      <c r="Y77" s="2">
        <v>41711.75</v>
      </c>
      <c r="Z77" s="2">
        <v>17</v>
      </c>
      <c r="AA77" s="108">
        <v>35741</v>
      </c>
      <c r="AB77" s="28">
        <f t="shared" si="14"/>
        <v>98.091559698697395</v>
      </c>
      <c r="AC77" s="2">
        <v>93914</v>
      </c>
      <c r="AD77" s="2">
        <v>67242.98</v>
      </c>
      <c r="AE77" s="2">
        <v>0</v>
      </c>
      <c r="AF77" s="2">
        <f t="shared" si="10"/>
        <v>161156.97999999998</v>
      </c>
      <c r="AG77" s="27">
        <v>63</v>
      </c>
      <c r="AH77" s="108">
        <v>132835</v>
      </c>
      <c r="AI77" s="27">
        <v>0</v>
      </c>
      <c r="AJ77" s="27">
        <v>120835</v>
      </c>
      <c r="AK77" s="27"/>
      <c r="AL77" s="29">
        <f t="shared" si="15"/>
        <v>253670</v>
      </c>
      <c r="AM77" s="41">
        <v>1925</v>
      </c>
      <c r="AN77" s="27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27"/>
      <c r="BA77" s="27"/>
      <c r="BB77" s="27"/>
      <c r="BC77" s="27"/>
      <c r="BD77" s="27"/>
      <c r="BE77" s="27"/>
    </row>
    <row r="78" spans="1:57" x14ac:dyDescent="0.25">
      <c r="A78" s="27" t="s">
        <v>1762</v>
      </c>
      <c r="B78" s="27" t="str">
        <f t="shared" si="8"/>
        <v>Tennessee</v>
      </c>
      <c r="C78" s="27" t="str">
        <f t="shared" si="9"/>
        <v>Sequatchie</v>
      </c>
      <c r="D78" s="27">
        <v>882</v>
      </c>
      <c r="E78" s="27">
        <v>242</v>
      </c>
      <c r="F78" s="27">
        <v>84</v>
      </c>
      <c r="G78" s="27">
        <v>0</v>
      </c>
      <c r="H78" s="27">
        <v>0</v>
      </c>
      <c r="I78" s="27">
        <v>0</v>
      </c>
      <c r="J78" s="27">
        <f t="shared" si="11"/>
        <v>1208</v>
      </c>
      <c r="K78" s="27" t="b">
        <f t="shared" si="12"/>
        <v>1</v>
      </c>
      <c r="L78" s="2">
        <v>30</v>
      </c>
      <c r="M78" s="2">
        <v>112</v>
      </c>
      <c r="N78" s="27">
        <v>178</v>
      </c>
      <c r="O78" s="2">
        <v>117</v>
      </c>
      <c r="P78" s="2"/>
      <c r="Q78" s="2">
        <f t="shared" si="13"/>
        <v>125.56953642384106</v>
      </c>
      <c r="R78" s="27">
        <v>1215</v>
      </c>
      <c r="T78" s="27">
        <v>96</v>
      </c>
      <c r="U78" s="2">
        <v>1759</v>
      </c>
      <c r="V78" s="29">
        <v>6</v>
      </c>
      <c r="W78" s="2">
        <v>4664.9799999999996</v>
      </c>
      <c r="X78" s="2">
        <v>21</v>
      </c>
      <c r="Y78" s="2">
        <v>9250.5</v>
      </c>
      <c r="Z78" s="2">
        <v>3</v>
      </c>
      <c r="AA78" s="108">
        <v>3200</v>
      </c>
      <c r="AB78" s="28">
        <f t="shared" si="14"/>
        <v>90.868536469595483</v>
      </c>
      <c r="AC78" s="2">
        <v>21553</v>
      </c>
      <c r="AD78" s="2">
        <v>36570.33</v>
      </c>
      <c r="AE78" s="2">
        <v>10001.15</v>
      </c>
      <c r="AF78" s="2">
        <f t="shared" si="10"/>
        <v>68124.479999999996</v>
      </c>
      <c r="AG78" s="27">
        <v>14</v>
      </c>
      <c r="AH78" s="108">
        <v>17050</v>
      </c>
      <c r="AI78" s="27">
        <v>10620</v>
      </c>
      <c r="AJ78" s="27">
        <v>42050</v>
      </c>
      <c r="AK78" s="27"/>
      <c r="AL78" s="29">
        <f t="shared" si="15"/>
        <v>69720</v>
      </c>
      <c r="AM78" s="41">
        <v>1925</v>
      </c>
      <c r="AN78" s="27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27"/>
      <c r="BA78" s="27"/>
      <c r="BB78" s="27"/>
      <c r="BC78" s="27"/>
      <c r="BD78" s="27"/>
      <c r="BE78" s="27"/>
    </row>
    <row r="79" spans="1:57" x14ac:dyDescent="0.25">
      <c r="A79" s="27" t="s">
        <v>1349</v>
      </c>
      <c r="B79" s="27" t="str">
        <f t="shared" si="8"/>
        <v>Tennessee</v>
      </c>
      <c r="C79" s="27" t="str">
        <f t="shared" si="9"/>
        <v>Sevier</v>
      </c>
      <c r="D79" s="27">
        <v>4699</v>
      </c>
      <c r="E79" s="27">
        <v>0</v>
      </c>
      <c r="F79" s="27">
        <v>165</v>
      </c>
      <c r="G79" s="27">
        <v>0</v>
      </c>
      <c r="H79" s="27">
        <v>0</v>
      </c>
      <c r="I79" s="27">
        <v>0</v>
      </c>
      <c r="J79" s="27">
        <f t="shared" si="11"/>
        <v>4864</v>
      </c>
      <c r="K79" s="27" t="b">
        <f t="shared" si="12"/>
        <v>1</v>
      </c>
      <c r="L79" s="2">
        <v>157</v>
      </c>
      <c r="M79" s="2">
        <v>100</v>
      </c>
      <c r="N79" s="27"/>
      <c r="O79" s="2">
        <v>180</v>
      </c>
      <c r="P79" s="2"/>
      <c r="Q79" s="2">
        <f t="shared" si="13"/>
        <v>102.71381578947368</v>
      </c>
      <c r="R79" s="27">
        <v>6277</v>
      </c>
      <c r="T79" s="27">
        <v>183</v>
      </c>
      <c r="U79" s="2">
        <v>6365</v>
      </c>
      <c r="V79" s="29">
        <v>0</v>
      </c>
      <c r="W79" s="2">
        <v>0</v>
      </c>
      <c r="X79" s="2">
        <v>150</v>
      </c>
      <c r="Y79" s="2">
        <v>52623.5</v>
      </c>
      <c r="Z79" s="2">
        <v>7</v>
      </c>
      <c r="AA79" s="108">
        <v>5970</v>
      </c>
      <c r="AB79" s="28">
        <f t="shared" si="14"/>
        <v>72.669290591709043</v>
      </c>
      <c r="AC79" s="2">
        <v>77825</v>
      </c>
      <c r="AD79" s="2">
        <v>8843.69</v>
      </c>
      <c r="AE79" s="2">
        <v>0</v>
      </c>
      <c r="AF79" s="2">
        <f t="shared" si="10"/>
        <v>86668.69</v>
      </c>
      <c r="AG79" s="27">
        <v>94</v>
      </c>
      <c r="AH79" s="108">
        <v>201397</v>
      </c>
      <c r="AI79" s="27">
        <v>0</v>
      </c>
      <c r="AJ79" s="27">
        <v>47675</v>
      </c>
      <c r="AK79" s="27"/>
      <c r="AL79" s="29">
        <f t="shared" si="15"/>
        <v>249072</v>
      </c>
      <c r="AM79" s="41">
        <v>1925</v>
      </c>
      <c r="AN79" s="27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27"/>
      <c r="BA79" s="27"/>
      <c r="BB79" s="27"/>
      <c r="BC79" s="27"/>
      <c r="BD79" s="27"/>
      <c r="BE79" s="27"/>
    </row>
    <row r="80" spans="1:57" x14ac:dyDescent="0.25">
      <c r="A80" s="27" t="s">
        <v>1350</v>
      </c>
      <c r="B80" s="27" t="str">
        <f t="shared" si="8"/>
        <v>Tennessee</v>
      </c>
      <c r="C80" s="27" t="str">
        <f t="shared" si="9"/>
        <v>Shelby</v>
      </c>
      <c r="D80" s="27">
        <v>43058</v>
      </c>
      <c r="E80" s="27">
        <v>24232</v>
      </c>
      <c r="F80" s="27">
        <v>1388</v>
      </c>
      <c r="G80" s="27">
        <v>379</v>
      </c>
      <c r="H80" s="27">
        <v>2780</v>
      </c>
      <c r="I80" s="27">
        <v>490</v>
      </c>
      <c r="J80" s="27">
        <f t="shared" si="11"/>
        <v>72327</v>
      </c>
      <c r="K80" s="27" t="b">
        <f t="shared" si="12"/>
        <v>0</v>
      </c>
      <c r="L80" s="2">
        <v>1527</v>
      </c>
      <c r="M80" s="2">
        <v>160</v>
      </c>
      <c r="N80" s="27">
        <v>180</v>
      </c>
      <c r="O80" s="2">
        <v>180</v>
      </c>
      <c r="P80" s="2">
        <v>180</v>
      </c>
      <c r="Q80" s="2">
        <f t="shared" si="13"/>
        <v>168.09351970909896</v>
      </c>
      <c r="R80" s="27">
        <v>19467</v>
      </c>
      <c r="T80" s="27">
        <v>5575</v>
      </c>
      <c r="U80" s="2">
        <v>58673</v>
      </c>
      <c r="V80" s="29">
        <f>733+156</f>
        <v>889</v>
      </c>
      <c r="W80" s="2">
        <v>1210449.52</v>
      </c>
      <c r="X80" s="2">
        <v>497</v>
      </c>
      <c r="Y80" s="2">
        <v>389047.15</v>
      </c>
      <c r="Z80" s="2">
        <v>141</v>
      </c>
      <c r="AA80" s="108">
        <v>201034</v>
      </c>
      <c r="AB80" s="28">
        <f t="shared" si="14"/>
        <v>140.29445655517932</v>
      </c>
      <c r="AC80" s="2">
        <v>1205466</v>
      </c>
      <c r="AD80" s="2">
        <v>608067.52</v>
      </c>
      <c r="AE80" s="2">
        <v>4432713.66</v>
      </c>
      <c r="AF80" s="2">
        <f t="shared" si="10"/>
        <v>6246247.1799999997</v>
      </c>
      <c r="AG80" s="27">
        <v>161</v>
      </c>
      <c r="AH80" s="108">
        <v>2061947</v>
      </c>
      <c r="AI80" s="27">
        <v>5137347.91</v>
      </c>
      <c r="AJ80" s="27">
        <v>68200</v>
      </c>
      <c r="AK80" s="27"/>
      <c r="AL80" s="29">
        <f t="shared" si="15"/>
        <v>7267494.9100000001</v>
      </c>
      <c r="AM80" s="41">
        <v>1925</v>
      </c>
      <c r="AN80" s="27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27"/>
      <c r="BA80" s="27"/>
      <c r="BB80" s="27"/>
      <c r="BC80" s="27"/>
      <c r="BD80" s="27"/>
      <c r="BE80" s="27"/>
    </row>
    <row r="81" spans="1:57" x14ac:dyDescent="0.25">
      <c r="A81" s="27" t="s">
        <v>1351</v>
      </c>
      <c r="B81" s="27" t="str">
        <f t="shared" si="8"/>
        <v>Tennessee</v>
      </c>
      <c r="C81" s="27" t="str">
        <f t="shared" si="9"/>
        <v>Smith</v>
      </c>
      <c r="D81" s="27">
        <v>3250</v>
      </c>
      <c r="E81" s="27">
        <v>191</v>
      </c>
      <c r="F81" s="27">
        <v>202</v>
      </c>
      <c r="G81" s="27">
        <v>0</v>
      </c>
      <c r="H81" s="27">
        <v>0</v>
      </c>
      <c r="I81" s="27">
        <v>0</v>
      </c>
      <c r="J81" s="27">
        <f t="shared" si="11"/>
        <v>3643</v>
      </c>
      <c r="K81" s="27" t="b">
        <f t="shared" si="12"/>
        <v>1</v>
      </c>
      <c r="L81" s="2">
        <v>121</v>
      </c>
      <c r="M81" s="2">
        <v>155</v>
      </c>
      <c r="N81" s="27">
        <v>177</v>
      </c>
      <c r="O81" s="2">
        <v>177</v>
      </c>
      <c r="P81" s="2"/>
      <c r="Q81" s="2">
        <f t="shared" si="13"/>
        <v>157.37331869338456</v>
      </c>
      <c r="R81" s="27">
        <v>4884</v>
      </c>
      <c r="T81" s="27">
        <v>239</v>
      </c>
      <c r="U81" s="2">
        <v>4787</v>
      </c>
      <c r="V81" s="29">
        <v>6</v>
      </c>
      <c r="W81" s="2">
        <v>5127.25</v>
      </c>
      <c r="X81" s="2">
        <v>104</v>
      </c>
      <c r="Y81" s="2">
        <v>60050.35</v>
      </c>
      <c r="Z81" s="2">
        <v>11</v>
      </c>
      <c r="AA81" s="108">
        <v>14575</v>
      </c>
      <c r="AB81" s="28">
        <f t="shared" si="14"/>
        <v>83.764185970861362</v>
      </c>
      <c r="AC81" s="2">
        <v>100033</v>
      </c>
      <c r="AD81" s="2">
        <v>16663.400000000001</v>
      </c>
      <c r="AE81" s="2">
        <v>8733.52</v>
      </c>
      <c r="AF81" s="2">
        <f t="shared" si="10"/>
        <v>125429.92</v>
      </c>
      <c r="AG81" s="27">
        <v>70</v>
      </c>
      <c r="AH81" s="108">
        <v>121375</v>
      </c>
      <c r="AI81" s="27">
        <f>42000+800</f>
        <v>42800</v>
      </c>
      <c r="AJ81" s="27">
        <v>20000</v>
      </c>
      <c r="AK81" s="27"/>
      <c r="AL81" s="29">
        <f t="shared" si="15"/>
        <v>184175</v>
      </c>
      <c r="AM81" s="41">
        <v>1925</v>
      </c>
      <c r="AN81" s="27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27"/>
      <c r="BA81" s="27"/>
      <c r="BB81" s="27"/>
      <c r="BC81" s="27"/>
      <c r="BD81" s="27"/>
      <c r="BE81" s="27"/>
    </row>
    <row r="82" spans="1:57" x14ac:dyDescent="0.25">
      <c r="A82" s="27" t="s">
        <v>1352</v>
      </c>
      <c r="B82" s="27" t="str">
        <f t="shared" si="8"/>
        <v>Tennessee</v>
      </c>
      <c r="C82" s="27" t="str">
        <f t="shared" si="9"/>
        <v>Stewart</v>
      </c>
      <c r="D82" s="27">
        <v>2847</v>
      </c>
      <c r="E82" s="27">
        <v>0</v>
      </c>
      <c r="F82" s="27">
        <v>154</v>
      </c>
      <c r="G82" s="27">
        <v>0</v>
      </c>
      <c r="H82" s="27">
        <v>0</v>
      </c>
      <c r="I82" s="27">
        <v>0</v>
      </c>
      <c r="J82" s="27">
        <f t="shared" si="11"/>
        <v>3001</v>
      </c>
      <c r="K82" s="27" t="b">
        <f t="shared" si="12"/>
        <v>1</v>
      </c>
      <c r="L82" s="2">
        <v>95</v>
      </c>
      <c r="M82" s="2">
        <v>140</v>
      </c>
      <c r="N82" s="27"/>
      <c r="O82" s="2">
        <v>179</v>
      </c>
      <c r="P82" s="2"/>
      <c r="Q82" s="2">
        <f t="shared" si="13"/>
        <v>142.00133288903697</v>
      </c>
      <c r="R82" s="27">
        <v>4367</v>
      </c>
      <c r="T82" s="27">
        <v>201</v>
      </c>
      <c r="U82" s="2">
        <v>4549</v>
      </c>
      <c r="V82" s="29">
        <v>0</v>
      </c>
      <c r="W82" s="2">
        <v>0</v>
      </c>
      <c r="X82" s="2">
        <v>85</v>
      </c>
      <c r="Y82" s="2">
        <v>41183.5</v>
      </c>
      <c r="Z82" s="2">
        <v>10</v>
      </c>
      <c r="AA82" s="108">
        <v>9650</v>
      </c>
      <c r="AB82" s="28">
        <f t="shared" si="14"/>
        <v>75.364007195952368</v>
      </c>
      <c r="AC82" s="2">
        <v>95835</v>
      </c>
      <c r="AD82" s="2">
        <v>13429.67</v>
      </c>
      <c r="AE82" s="2">
        <v>0</v>
      </c>
      <c r="AF82" s="2">
        <f t="shared" si="10"/>
        <v>109264.67</v>
      </c>
      <c r="AG82" s="27">
        <v>62</v>
      </c>
      <c r="AH82" s="108">
        <v>97160</v>
      </c>
      <c r="AI82" s="27">
        <v>0</v>
      </c>
      <c r="AJ82" s="27">
        <v>0</v>
      </c>
      <c r="AK82" s="27"/>
      <c r="AL82" s="29">
        <f t="shared" si="15"/>
        <v>97160</v>
      </c>
      <c r="AM82" s="41">
        <v>1925</v>
      </c>
      <c r="AN82" s="27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27"/>
      <c r="BA82" s="27"/>
      <c r="BB82" s="27"/>
      <c r="BC82" s="27"/>
      <c r="BD82" s="27"/>
      <c r="BE82" s="27"/>
    </row>
    <row r="83" spans="1:57" x14ac:dyDescent="0.25">
      <c r="A83" s="27" t="s">
        <v>1353</v>
      </c>
      <c r="B83" s="27" t="str">
        <f t="shared" si="8"/>
        <v>Tennessee</v>
      </c>
      <c r="C83" s="27" t="str">
        <f t="shared" si="9"/>
        <v>Sullivan</v>
      </c>
      <c r="D83" s="27">
        <v>7154</v>
      </c>
      <c r="E83" s="27">
        <v>3065</v>
      </c>
      <c r="F83" s="27">
        <v>210</v>
      </c>
      <c r="G83" s="27">
        <v>0</v>
      </c>
      <c r="H83" s="27">
        <v>385</v>
      </c>
      <c r="I83" s="27">
        <v>31</v>
      </c>
      <c r="J83" s="27">
        <f t="shared" si="11"/>
        <v>10845</v>
      </c>
      <c r="K83" s="27" t="b">
        <f t="shared" si="12"/>
        <v>0</v>
      </c>
      <c r="L83" s="2">
        <v>275</v>
      </c>
      <c r="M83" s="2">
        <v>157</v>
      </c>
      <c r="N83" s="27">
        <v>178</v>
      </c>
      <c r="O83" s="2">
        <v>179</v>
      </c>
      <c r="P83" s="2">
        <v>178</v>
      </c>
      <c r="Q83" s="2">
        <f t="shared" si="13"/>
        <v>164.16652835408021</v>
      </c>
      <c r="R83" s="27">
        <v>10243</v>
      </c>
      <c r="T83" s="27">
        <v>750</v>
      </c>
      <c r="U83" s="2">
        <v>10470</v>
      </c>
      <c r="V83" s="29">
        <f>87+35</f>
        <v>122</v>
      </c>
      <c r="W83" s="2">
        <v>114600.99</v>
      </c>
      <c r="X83" s="2">
        <v>138</v>
      </c>
      <c r="Y83" s="2">
        <v>86582.33</v>
      </c>
      <c r="Z83" s="2">
        <v>15</v>
      </c>
      <c r="AA83" s="108">
        <v>17661</v>
      </c>
      <c r="AB83" s="28">
        <f t="shared" si="14"/>
        <v>96.950034242829673</v>
      </c>
      <c r="AC83" s="2">
        <v>196876</v>
      </c>
      <c r="AD83" s="2">
        <v>21610.54</v>
      </c>
      <c r="AE83" s="2">
        <v>153468.01999999999</v>
      </c>
      <c r="AF83" s="2">
        <f t="shared" si="10"/>
        <v>371954.56</v>
      </c>
      <c r="AG83" s="27">
        <v>91</v>
      </c>
      <c r="AH83" s="108">
        <v>206850</v>
      </c>
      <c r="AI83" s="27">
        <f>367720+30500</f>
        <v>398220</v>
      </c>
      <c r="AJ83" s="27">
        <v>71775</v>
      </c>
      <c r="AK83" s="27"/>
      <c r="AL83" s="29">
        <f t="shared" si="15"/>
        <v>676845</v>
      </c>
      <c r="AM83" s="41">
        <v>1925</v>
      </c>
      <c r="AN83" s="27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27"/>
      <c r="BA83" s="27"/>
      <c r="BB83" s="27"/>
      <c r="BC83" s="27"/>
      <c r="BD83" s="27"/>
      <c r="BE83" s="27"/>
    </row>
    <row r="84" spans="1:57" x14ac:dyDescent="0.25">
      <c r="A84" s="27" t="s">
        <v>1354</v>
      </c>
      <c r="B84" s="27" t="str">
        <f t="shared" si="8"/>
        <v>Tennessee</v>
      </c>
      <c r="C84" s="27" t="str">
        <f t="shared" si="9"/>
        <v>Sumner</v>
      </c>
      <c r="D84" s="27">
        <v>5244</v>
      </c>
      <c r="E84" s="27">
        <v>345</v>
      </c>
      <c r="F84" s="27">
        <v>544</v>
      </c>
      <c r="G84" s="27">
        <v>34</v>
      </c>
      <c r="H84" s="27">
        <v>0</v>
      </c>
      <c r="I84" s="27">
        <v>0</v>
      </c>
      <c r="J84" s="27">
        <f t="shared" si="11"/>
        <v>6167</v>
      </c>
      <c r="K84" s="27" t="b">
        <f t="shared" si="12"/>
        <v>1</v>
      </c>
      <c r="L84" s="2">
        <v>195</v>
      </c>
      <c r="M84" s="2">
        <v>143</v>
      </c>
      <c r="N84" s="27">
        <v>179</v>
      </c>
      <c r="O84" s="2">
        <v>159</v>
      </c>
      <c r="P84" s="2"/>
      <c r="Q84" s="2">
        <f t="shared" si="13"/>
        <v>146.513539808659</v>
      </c>
      <c r="R84" s="27">
        <v>8226</v>
      </c>
      <c r="T84" s="27">
        <v>640</v>
      </c>
      <c r="U84" s="2">
        <v>7685</v>
      </c>
      <c r="V84" s="29">
        <v>9</v>
      </c>
      <c r="W84" s="2">
        <v>8994.14</v>
      </c>
      <c r="X84" s="2">
        <v>159</v>
      </c>
      <c r="Y84" s="2">
        <v>65880.55</v>
      </c>
      <c r="Z84" s="2">
        <v>27</v>
      </c>
      <c r="AA84" s="108">
        <v>27689</v>
      </c>
      <c r="AB84" s="28">
        <f t="shared" si="14"/>
        <v>71.797820421584831</v>
      </c>
      <c r="AC84" s="2">
        <v>129746</v>
      </c>
      <c r="AD84" s="2">
        <v>32813.660000000003</v>
      </c>
      <c r="AE84" s="2">
        <v>14389.71</v>
      </c>
      <c r="AF84" s="2">
        <f t="shared" si="10"/>
        <v>176949.37</v>
      </c>
      <c r="AG84" s="27">
        <v>110</v>
      </c>
      <c r="AH84" s="108">
        <v>300921</v>
      </c>
      <c r="AI84" s="27">
        <f>54200+14000</f>
        <v>68200</v>
      </c>
      <c r="AJ84" s="27">
        <v>0</v>
      </c>
      <c r="AK84" s="27"/>
      <c r="AL84" s="29">
        <f t="shared" si="15"/>
        <v>369121</v>
      </c>
      <c r="AM84" s="41">
        <v>1925</v>
      </c>
      <c r="AN84" s="27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27"/>
      <c r="BA84" s="27"/>
      <c r="BB84" s="27"/>
      <c r="BC84" s="27"/>
      <c r="BD84" s="27"/>
      <c r="BE84" s="27"/>
    </row>
    <row r="85" spans="1:57" x14ac:dyDescent="0.25">
      <c r="A85" s="27" t="s">
        <v>1355</v>
      </c>
      <c r="B85" s="27" t="str">
        <f t="shared" si="8"/>
        <v>Tennessee</v>
      </c>
      <c r="C85" s="27" t="str">
        <f t="shared" si="9"/>
        <v>Tipton</v>
      </c>
      <c r="D85" s="27">
        <v>4932</v>
      </c>
      <c r="E85" s="27">
        <v>518</v>
      </c>
      <c r="F85" s="27">
        <v>278</v>
      </c>
      <c r="G85" s="27">
        <v>0</v>
      </c>
      <c r="H85" s="27">
        <v>0</v>
      </c>
      <c r="I85" s="27">
        <v>0</v>
      </c>
      <c r="J85" s="27">
        <f t="shared" si="11"/>
        <v>5728</v>
      </c>
      <c r="K85" s="27" t="b">
        <f t="shared" si="12"/>
        <v>1</v>
      </c>
      <c r="L85" s="2">
        <v>157</v>
      </c>
      <c r="M85" s="2">
        <v>130</v>
      </c>
      <c r="N85" s="27">
        <v>177</v>
      </c>
      <c r="O85" s="2">
        <v>176</v>
      </c>
      <c r="P85" s="2"/>
      <c r="Q85" s="2">
        <f t="shared" si="13"/>
        <v>136.48289106145251</v>
      </c>
      <c r="R85" s="27">
        <v>6967</v>
      </c>
      <c r="T85" s="27">
        <v>326</v>
      </c>
      <c r="U85" s="2">
        <v>7651</v>
      </c>
      <c r="V85" s="29">
        <v>19</v>
      </c>
      <c r="W85" s="2">
        <v>15467.27</v>
      </c>
      <c r="X85" s="2">
        <v>121</v>
      </c>
      <c r="Y85" s="2">
        <v>60847.75</v>
      </c>
      <c r="Z85" s="2">
        <v>17</v>
      </c>
      <c r="AA85" s="108">
        <v>19202</v>
      </c>
      <c r="AB85" s="28">
        <f t="shared" si="14"/>
        <v>89.152370335773483</v>
      </c>
      <c r="AC85" s="2">
        <v>117853</v>
      </c>
      <c r="AD85" s="2">
        <v>28154.39</v>
      </c>
      <c r="AE85" s="2">
        <v>23605.56</v>
      </c>
      <c r="AF85" s="2">
        <f t="shared" si="10"/>
        <v>169612.95</v>
      </c>
      <c r="AG85" s="27">
        <v>80</v>
      </c>
      <c r="AH85" s="108">
        <v>189495</v>
      </c>
      <c r="AI85" s="27">
        <f>80300+5750</f>
        <v>86050</v>
      </c>
      <c r="AJ85" s="27">
        <v>77000</v>
      </c>
      <c r="AK85" s="27"/>
      <c r="AL85" s="29">
        <f t="shared" si="15"/>
        <v>352545</v>
      </c>
      <c r="AM85" s="41">
        <v>1925</v>
      </c>
      <c r="AN85" s="27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27"/>
      <c r="BA85" s="27"/>
      <c r="BB85" s="27"/>
      <c r="BC85" s="27"/>
      <c r="BD85" s="27"/>
      <c r="BE85" s="27"/>
    </row>
    <row r="86" spans="1:57" x14ac:dyDescent="0.25">
      <c r="A86" s="27" t="s">
        <v>1356</v>
      </c>
      <c r="B86" s="27" t="str">
        <f t="shared" si="8"/>
        <v>Tennessee</v>
      </c>
      <c r="C86" s="27" t="str">
        <f t="shared" si="9"/>
        <v>Trousdale</v>
      </c>
      <c r="D86" s="27">
        <v>996</v>
      </c>
      <c r="E86" s="27">
        <v>0</v>
      </c>
      <c r="F86" s="27">
        <v>84</v>
      </c>
      <c r="G86" s="27">
        <v>0</v>
      </c>
      <c r="H86" s="27">
        <v>0</v>
      </c>
      <c r="I86" s="27">
        <v>0</v>
      </c>
      <c r="J86" s="27">
        <f t="shared" si="11"/>
        <v>1080</v>
      </c>
      <c r="K86" s="27" t="b">
        <f t="shared" si="12"/>
        <v>1</v>
      </c>
      <c r="L86" s="2">
        <v>39</v>
      </c>
      <c r="M86" s="2">
        <v>172</v>
      </c>
      <c r="N86" s="2"/>
      <c r="O86" s="2">
        <v>180</v>
      </c>
      <c r="P86" s="2"/>
      <c r="Q86" s="2">
        <f t="shared" si="13"/>
        <v>172.62222222222223</v>
      </c>
      <c r="R86" s="27">
        <v>1538</v>
      </c>
      <c r="T86" s="27">
        <v>110</v>
      </c>
      <c r="U86" s="2">
        <v>1518</v>
      </c>
      <c r="V86" s="29">
        <v>0</v>
      </c>
      <c r="W86" s="2">
        <v>0</v>
      </c>
      <c r="X86" s="2">
        <v>34</v>
      </c>
      <c r="Y86" s="2">
        <v>21062.5</v>
      </c>
      <c r="Z86" s="2">
        <v>5</v>
      </c>
      <c r="AA86" s="108">
        <v>7671</v>
      </c>
      <c r="AB86" s="28">
        <f t="shared" si="14"/>
        <v>85.360552166679867</v>
      </c>
      <c r="AC86" s="2">
        <v>56156</v>
      </c>
      <c r="AD86" s="2">
        <v>9127.5</v>
      </c>
      <c r="AE86" s="2">
        <v>0</v>
      </c>
      <c r="AF86" s="2">
        <f t="shared" si="10"/>
        <v>65283.5</v>
      </c>
      <c r="AG86" s="27">
        <v>20</v>
      </c>
      <c r="AH86" s="108">
        <v>48090</v>
      </c>
      <c r="AI86" s="27">
        <v>0</v>
      </c>
      <c r="AJ86" s="27">
        <v>22750</v>
      </c>
      <c r="AK86" s="27"/>
      <c r="AL86" s="29">
        <f t="shared" si="15"/>
        <v>70840</v>
      </c>
      <c r="AM86" s="41">
        <v>1925</v>
      </c>
      <c r="AN86" s="27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27"/>
      <c r="BA86" s="27"/>
      <c r="BB86" s="27"/>
      <c r="BC86" s="27"/>
      <c r="BD86" s="27"/>
      <c r="BE86" s="27"/>
    </row>
    <row r="87" spans="1:57" x14ac:dyDescent="0.25">
      <c r="A87" s="27" t="s">
        <v>1357</v>
      </c>
      <c r="B87" s="27" t="str">
        <f t="shared" si="8"/>
        <v>Tennessee</v>
      </c>
      <c r="C87" s="27" t="str">
        <f t="shared" si="9"/>
        <v>Unicoi</v>
      </c>
      <c r="D87" s="27">
        <v>2717</v>
      </c>
      <c r="E87" s="27">
        <v>775</v>
      </c>
      <c r="F87" s="27">
        <v>214</v>
      </c>
      <c r="G87" s="27">
        <v>0</v>
      </c>
      <c r="H87" s="27">
        <v>0</v>
      </c>
      <c r="I87" s="27">
        <v>0</v>
      </c>
      <c r="J87" s="27">
        <f t="shared" si="11"/>
        <v>3706</v>
      </c>
      <c r="K87" s="27" t="b">
        <f t="shared" si="12"/>
        <v>0</v>
      </c>
      <c r="L87" s="2">
        <v>76</v>
      </c>
      <c r="M87" s="2">
        <v>117</v>
      </c>
      <c r="N87" s="2">
        <v>174</v>
      </c>
      <c r="O87" s="2">
        <v>172</v>
      </c>
      <c r="P87" s="2"/>
      <c r="Q87" s="2">
        <f t="shared" si="13"/>
        <v>132.0957906098219</v>
      </c>
      <c r="R87" s="27">
        <v>3452</v>
      </c>
      <c r="T87" s="2">
        <v>260</v>
      </c>
      <c r="U87" s="2">
        <v>3459</v>
      </c>
      <c r="V87" s="29">
        <v>21</v>
      </c>
      <c r="W87" s="2">
        <v>17460</v>
      </c>
      <c r="X87" s="2">
        <v>45</v>
      </c>
      <c r="Y87" s="2">
        <v>23023</v>
      </c>
      <c r="Z87" s="2">
        <v>10</v>
      </c>
      <c r="AA87" s="108">
        <v>12152</v>
      </c>
      <c r="AB87" s="28">
        <f t="shared" si="14"/>
        <v>104.85811641331573</v>
      </c>
      <c r="AC87" s="2">
        <v>72393</v>
      </c>
      <c r="AD87" s="2">
        <v>17806.32</v>
      </c>
      <c r="AE87" s="2">
        <v>23345.59</v>
      </c>
      <c r="AF87" s="2">
        <f t="shared" si="10"/>
        <v>113544.91</v>
      </c>
      <c r="AG87" s="27">
        <v>28</v>
      </c>
      <c r="AH87" s="108">
        <v>118840</v>
      </c>
      <c r="AI87" s="27">
        <v>125000</v>
      </c>
      <c r="AJ87" s="27">
        <v>55000</v>
      </c>
      <c r="AK87" s="27"/>
      <c r="AL87" s="29">
        <f t="shared" si="15"/>
        <v>298840</v>
      </c>
      <c r="AM87" s="41">
        <v>1925</v>
      </c>
      <c r="AN87" s="27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27"/>
      <c r="BA87" s="27"/>
      <c r="BB87" s="27"/>
      <c r="BC87" s="27"/>
      <c r="BD87" s="27"/>
      <c r="BE87" s="27"/>
    </row>
    <row r="88" spans="1:57" x14ac:dyDescent="0.25">
      <c r="A88" s="27" t="s">
        <v>1358</v>
      </c>
      <c r="B88" s="27" t="str">
        <f t="shared" si="8"/>
        <v>Tennessee</v>
      </c>
      <c r="C88" s="27" t="str">
        <f t="shared" si="9"/>
        <v>Union</v>
      </c>
      <c r="D88" s="27">
        <v>2115</v>
      </c>
      <c r="E88" s="27">
        <v>0</v>
      </c>
      <c r="F88" s="27">
        <v>83</v>
      </c>
      <c r="G88" s="27">
        <v>0</v>
      </c>
      <c r="H88" s="27">
        <v>0</v>
      </c>
      <c r="I88" s="27">
        <v>0</v>
      </c>
      <c r="J88" s="27">
        <f t="shared" si="11"/>
        <v>2198</v>
      </c>
      <c r="K88" s="27" t="b">
        <f t="shared" si="12"/>
        <v>1</v>
      </c>
      <c r="L88" s="2">
        <v>75</v>
      </c>
      <c r="M88" s="2">
        <v>120</v>
      </c>
      <c r="N88" s="2"/>
      <c r="O88" s="2">
        <v>180</v>
      </c>
      <c r="P88" s="2"/>
      <c r="Q88" s="2">
        <f t="shared" si="13"/>
        <v>122.26569608735214</v>
      </c>
      <c r="R88" s="27">
        <v>3474</v>
      </c>
      <c r="T88" s="27">
        <v>135</v>
      </c>
      <c r="U88" s="2">
        <v>3208</v>
      </c>
      <c r="V88" s="29">
        <v>0</v>
      </c>
      <c r="W88" s="2">
        <v>0</v>
      </c>
      <c r="X88" s="2">
        <v>70</v>
      </c>
      <c r="Y88" s="2">
        <v>31716.75</v>
      </c>
      <c r="Z88" s="2">
        <v>5</v>
      </c>
      <c r="AA88" s="108">
        <v>6280</v>
      </c>
      <c r="AB88" s="28">
        <f t="shared" si="14"/>
        <v>82.872522636501202</v>
      </c>
      <c r="AC88" s="2">
        <v>46075</v>
      </c>
      <c r="AD88" s="2">
        <v>6361.75</v>
      </c>
      <c r="AE88" s="2">
        <v>0</v>
      </c>
      <c r="AF88" s="2">
        <f t="shared" si="10"/>
        <v>52436.75</v>
      </c>
      <c r="AG88" s="27">
        <v>53</v>
      </c>
      <c r="AH88" s="108"/>
      <c r="AI88" s="27">
        <v>0</v>
      </c>
      <c r="AJ88" s="27">
        <v>31150</v>
      </c>
      <c r="AK88" s="27"/>
      <c r="AL88" s="29">
        <f t="shared" si="15"/>
        <v>31150</v>
      </c>
      <c r="AM88" s="41">
        <v>1925</v>
      </c>
      <c r="AN88" s="27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27"/>
      <c r="BA88" s="27"/>
      <c r="BB88" s="27"/>
      <c r="BC88" s="27"/>
      <c r="BD88" s="27"/>
      <c r="BE88" s="27"/>
    </row>
    <row r="89" spans="1:57" x14ac:dyDescent="0.25">
      <c r="A89" s="27" t="s">
        <v>1359</v>
      </c>
      <c r="B89" s="27" t="str">
        <f t="shared" si="8"/>
        <v>Tennessee</v>
      </c>
      <c r="C89" s="27" t="str">
        <f t="shared" si="9"/>
        <v>Van Buren</v>
      </c>
      <c r="D89" s="27">
        <v>706</v>
      </c>
      <c r="E89" s="27">
        <v>0</v>
      </c>
      <c r="F89" s="27">
        <v>98</v>
      </c>
      <c r="G89" s="27">
        <v>0</v>
      </c>
      <c r="H89" s="27">
        <v>0</v>
      </c>
      <c r="I89" s="27">
        <v>0</v>
      </c>
      <c r="J89" s="27">
        <f t="shared" si="11"/>
        <v>804</v>
      </c>
      <c r="K89" s="27" t="b">
        <f t="shared" si="12"/>
        <v>1</v>
      </c>
      <c r="L89" s="2">
        <v>30</v>
      </c>
      <c r="M89" s="2">
        <v>135</v>
      </c>
      <c r="N89" s="2"/>
      <c r="O89" s="2">
        <v>180</v>
      </c>
      <c r="P89" s="2"/>
      <c r="Q89" s="2">
        <f t="shared" si="13"/>
        <v>140.48507462686567</v>
      </c>
      <c r="R89" s="27">
        <v>1050</v>
      </c>
      <c r="T89" s="27">
        <v>117</v>
      </c>
      <c r="U89" s="2">
        <v>1012</v>
      </c>
      <c r="V89" s="29">
        <v>0</v>
      </c>
      <c r="W89" s="2">
        <v>0</v>
      </c>
      <c r="X89" s="2">
        <v>25</v>
      </c>
      <c r="Y89" s="2">
        <v>12260</v>
      </c>
      <c r="Z89" s="2">
        <v>5</v>
      </c>
      <c r="AA89" s="108">
        <v>3000</v>
      </c>
      <c r="AB89" s="28">
        <f t="shared" si="14"/>
        <v>72.415759185480297</v>
      </c>
      <c r="AC89" s="2">
        <v>31599</v>
      </c>
      <c r="AD89" s="2">
        <v>4252.71</v>
      </c>
      <c r="AE89" s="2">
        <v>0</v>
      </c>
      <c r="AF89" s="2">
        <f t="shared" si="10"/>
        <v>35851.71</v>
      </c>
      <c r="AG89" s="27">
        <v>19</v>
      </c>
      <c r="AH89" s="108">
        <v>19155</v>
      </c>
      <c r="AI89" s="27">
        <v>0</v>
      </c>
      <c r="AJ89" s="27">
        <v>26500</v>
      </c>
      <c r="AK89" s="27"/>
      <c r="AL89" s="29">
        <f t="shared" si="15"/>
        <v>45655</v>
      </c>
      <c r="AM89" s="41">
        <v>1925</v>
      </c>
      <c r="AN89" s="27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27"/>
      <c r="BA89" s="27"/>
      <c r="BB89" s="27"/>
      <c r="BC89" s="27"/>
      <c r="BD89" s="27"/>
      <c r="BE89" s="27"/>
    </row>
    <row r="90" spans="1:57" x14ac:dyDescent="0.25">
      <c r="A90" s="27" t="s">
        <v>1360</v>
      </c>
      <c r="B90" s="27" t="str">
        <f t="shared" si="8"/>
        <v>Tennessee</v>
      </c>
      <c r="C90" s="27" t="str">
        <f t="shared" si="9"/>
        <v>Warren</v>
      </c>
      <c r="D90" s="27">
        <v>3670</v>
      </c>
      <c r="E90" s="27">
        <v>722</v>
      </c>
      <c r="F90" s="27">
        <v>282</v>
      </c>
      <c r="G90" s="27">
        <v>0</v>
      </c>
      <c r="H90" s="27">
        <v>0</v>
      </c>
      <c r="I90" s="27">
        <v>20</v>
      </c>
      <c r="J90" s="27">
        <f t="shared" si="11"/>
        <v>4694</v>
      </c>
      <c r="K90" s="27" t="b">
        <f t="shared" si="12"/>
        <v>1</v>
      </c>
      <c r="L90" s="2">
        <v>131</v>
      </c>
      <c r="M90" s="2">
        <v>137</v>
      </c>
      <c r="N90" s="2">
        <v>176</v>
      </c>
      <c r="O90" s="2">
        <v>176</v>
      </c>
      <c r="P90" s="2"/>
      <c r="Q90" s="2">
        <f t="shared" si="13"/>
        <v>144.75798892202812</v>
      </c>
      <c r="R90" s="27">
        <v>4620</v>
      </c>
      <c r="T90" s="2">
        <v>393</v>
      </c>
      <c r="U90" s="2">
        <v>5304</v>
      </c>
      <c r="V90" s="29">
        <f>15+5</f>
        <v>20</v>
      </c>
      <c r="W90" s="2">
        <v>17585</v>
      </c>
      <c r="X90" s="2">
        <v>91</v>
      </c>
      <c r="Y90" s="2">
        <v>43521.25</v>
      </c>
      <c r="Z90" s="2">
        <v>20</v>
      </c>
      <c r="AA90" s="108">
        <v>16036</v>
      </c>
      <c r="AB90" s="28">
        <f t="shared" si="14"/>
        <v>81.359535565497239</v>
      </c>
      <c r="AC90" s="2">
        <v>99857</v>
      </c>
      <c r="AD90" s="2">
        <v>21376.95</v>
      </c>
      <c r="AE90" s="2">
        <v>25276.98</v>
      </c>
      <c r="AF90" s="2">
        <f t="shared" si="10"/>
        <v>146510.93</v>
      </c>
      <c r="AG90" s="27">
        <v>62</v>
      </c>
      <c r="AH90" s="108">
        <v>109040</v>
      </c>
      <c r="AI90" s="27">
        <v>78500</v>
      </c>
      <c r="AJ90" s="27">
        <f>158433+17500</f>
        <v>175933</v>
      </c>
      <c r="AK90" s="27"/>
      <c r="AL90" s="29">
        <f t="shared" si="15"/>
        <v>363473</v>
      </c>
      <c r="AM90" s="41">
        <v>1925</v>
      </c>
      <c r="AN90" s="27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27"/>
      <c r="BA90" s="27"/>
      <c r="BB90" s="27"/>
      <c r="BC90" s="27"/>
      <c r="BD90" s="27"/>
      <c r="BE90" s="27"/>
    </row>
    <row r="91" spans="1:57" x14ac:dyDescent="0.25">
      <c r="A91" s="27" t="s">
        <v>1361</v>
      </c>
      <c r="B91" s="27" t="str">
        <f t="shared" si="8"/>
        <v>Tennessee</v>
      </c>
      <c r="C91" s="27" t="str">
        <f t="shared" si="9"/>
        <v>Washington</v>
      </c>
      <c r="D91" s="27">
        <v>7166</v>
      </c>
      <c r="E91" s="27">
        <v>3304</v>
      </c>
      <c r="F91" s="27">
        <v>1011</v>
      </c>
      <c r="G91" s="27">
        <v>35</v>
      </c>
      <c r="H91" s="27">
        <v>0</v>
      </c>
      <c r="I91" s="27">
        <v>0</v>
      </c>
      <c r="J91" s="27">
        <f t="shared" si="11"/>
        <v>11516</v>
      </c>
      <c r="K91" s="27" t="b">
        <f t="shared" si="12"/>
        <v>0</v>
      </c>
      <c r="L91" s="2">
        <v>266</v>
      </c>
      <c r="M91" s="2">
        <v>140</v>
      </c>
      <c r="N91" s="2">
        <v>180</v>
      </c>
      <c r="O91" s="2">
        <v>174</v>
      </c>
      <c r="P91" s="2"/>
      <c r="Q91" s="2">
        <f t="shared" si="13"/>
        <v>154.56443209447724</v>
      </c>
      <c r="R91" s="27">
        <v>8722</v>
      </c>
      <c r="T91" s="2">
        <v>1149</v>
      </c>
      <c r="U91" s="2">
        <v>9470</v>
      </c>
      <c r="V91" s="29">
        <v>104</v>
      </c>
      <c r="W91" s="2">
        <v>137915</v>
      </c>
      <c r="X91" s="2">
        <v>111</v>
      </c>
      <c r="Y91" s="2">
        <v>48167.8</v>
      </c>
      <c r="Z91" s="2">
        <v>51</v>
      </c>
      <c r="AA91" s="108">
        <v>21042</v>
      </c>
      <c r="AB91" s="28">
        <f t="shared" si="14"/>
        <v>100.75599555506767</v>
      </c>
      <c r="AC91" s="2">
        <v>150495</v>
      </c>
      <c r="AD91" s="2">
        <v>33469.79</v>
      </c>
      <c r="AE91" s="2">
        <v>173332.63</v>
      </c>
      <c r="AF91" s="2">
        <f t="shared" si="10"/>
        <v>357297.42000000004</v>
      </c>
      <c r="AG91" s="27">
        <v>86</v>
      </c>
      <c r="AH91" s="108">
        <v>151375</v>
      </c>
      <c r="AI91" s="27">
        <f>540400+61000</f>
        <v>601400</v>
      </c>
      <c r="AJ91" s="27">
        <v>403750</v>
      </c>
      <c r="AK91" s="27"/>
      <c r="AL91" s="29">
        <f t="shared" si="15"/>
        <v>1156525</v>
      </c>
      <c r="AM91" s="41">
        <v>1925</v>
      </c>
      <c r="AN91" s="27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27"/>
      <c r="BA91" s="27"/>
      <c r="BB91" s="27"/>
      <c r="BC91" s="27"/>
      <c r="BD91" s="27"/>
      <c r="BE91" s="27"/>
    </row>
    <row r="92" spans="1:57" x14ac:dyDescent="0.25">
      <c r="A92" s="27" t="s">
        <v>1362</v>
      </c>
      <c r="B92" s="27" t="str">
        <f t="shared" si="8"/>
        <v>Tennessee</v>
      </c>
      <c r="C92" s="27" t="str">
        <f t="shared" si="9"/>
        <v>Wayne</v>
      </c>
      <c r="D92" s="27">
        <v>2617</v>
      </c>
      <c r="E92" s="27">
        <v>163</v>
      </c>
      <c r="F92" s="27">
        <v>98</v>
      </c>
      <c r="G92" s="27">
        <v>0</v>
      </c>
      <c r="H92" s="27">
        <v>0</v>
      </c>
      <c r="I92" s="27">
        <v>0</v>
      </c>
      <c r="J92" s="27">
        <f t="shared" si="11"/>
        <v>2878</v>
      </c>
      <c r="K92" s="27" t="b">
        <f t="shared" si="12"/>
        <v>1</v>
      </c>
      <c r="L92" s="2">
        <v>106</v>
      </c>
      <c r="M92" s="2">
        <v>99</v>
      </c>
      <c r="N92" s="2">
        <v>178</v>
      </c>
      <c r="O92" s="2">
        <v>176</v>
      </c>
      <c r="P92" s="2"/>
      <c r="Q92" s="2">
        <f t="shared" si="13"/>
        <v>106.09624739402362</v>
      </c>
      <c r="R92" s="27">
        <v>3310</v>
      </c>
      <c r="T92" s="2">
        <v>121</v>
      </c>
      <c r="U92" s="2">
        <v>3623</v>
      </c>
      <c r="V92" s="29">
        <v>4</v>
      </c>
      <c r="W92" s="2">
        <v>3891.69</v>
      </c>
      <c r="X92" s="2">
        <v>95</v>
      </c>
      <c r="Y92" s="2">
        <v>31960.1</v>
      </c>
      <c r="Z92" s="2">
        <v>7</v>
      </c>
      <c r="AA92" s="108">
        <v>9253</v>
      </c>
      <c r="AB92" s="28">
        <f t="shared" si="14"/>
        <v>80.213371772171115</v>
      </c>
      <c r="AC92" s="2">
        <v>49915</v>
      </c>
      <c r="AD92" s="2">
        <v>12324.54</v>
      </c>
      <c r="AE92" s="2">
        <v>9229.61</v>
      </c>
      <c r="AF92" s="2">
        <f t="shared" si="10"/>
        <v>71469.149999999994</v>
      </c>
      <c r="AG92" s="27">
        <v>69</v>
      </c>
      <c r="AH92" s="108">
        <v>94400</v>
      </c>
      <c r="AI92" s="27">
        <v>2750</v>
      </c>
      <c r="AJ92" s="27">
        <v>24350</v>
      </c>
      <c r="AK92" s="27"/>
      <c r="AL92" s="29">
        <f t="shared" si="15"/>
        <v>121500</v>
      </c>
      <c r="AM92" s="41">
        <v>1925</v>
      </c>
      <c r="AN92" s="27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27"/>
      <c r="BA92" s="27"/>
      <c r="BB92" s="27"/>
      <c r="BC92" s="27"/>
      <c r="BD92" s="27"/>
      <c r="BE92" s="27"/>
    </row>
    <row r="93" spans="1:57" x14ac:dyDescent="0.25">
      <c r="A93" s="27" t="s">
        <v>1363</v>
      </c>
      <c r="B93" s="27" t="str">
        <f t="shared" si="8"/>
        <v>Tennessee</v>
      </c>
      <c r="C93" s="27" t="str">
        <f t="shared" si="9"/>
        <v>Weakley</v>
      </c>
      <c r="D93" s="27">
        <v>6565</v>
      </c>
      <c r="E93" s="27">
        <v>2366</v>
      </c>
      <c r="F93" s="27">
        <v>643</v>
      </c>
      <c r="G93" s="27">
        <v>21</v>
      </c>
      <c r="H93" s="27">
        <v>0</v>
      </c>
      <c r="I93" s="27">
        <v>0</v>
      </c>
      <c r="J93" s="27">
        <f t="shared" si="11"/>
        <v>9595</v>
      </c>
      <c r="K93" s="27" t="b">
        <f t="shared" si="12"/>
        <v>0</v>
      </c>
      <c r="L93" s="2">
        <v>220</v>
      </c>
      <c r="M93" s="2">
        <v>130</v>
      </c>
      <c r="N93" s="2">
        <v>164</v>
      </c>
      <c r="O93" s="2">
        <v>167</v>
      </c>
      <c r="P93" s="2"/>
      <c r="Q93" s="2">
        <f t="shared" si="13"/>
        <v>140.94445023449714</v>
      </c>
      <c r="R93" s="27">
        <v>8620</v>
      </c>
      <c r="T93" s="2">
        <v>840</v>
      </c>
      <c r="U93" s="2">
        <v>8842</v>
      </c>
      <c r="V93" s="29">
        <v>51</v>
      </c>
      <c r="W93" s="2">
        <v>54250</v>
      </c>
      <c r="X93" s="2">
        <v>134</v>
      </c>
      <c r="Y93" s="2">
        <v>64728.46</v>
      </c>
      <c r="Z93" s="2">
        <v>35</v>
      </c>
      <c r="AA93" s="108">
        <v>6457</v>
      </c>
      <c r="AB93" s="28">
        <f t="shared" si="14"/>
        <v>80.905800954854612</v>
      </c>
      <c r="AC93" s="2">
        <v>188935</v>
      </c>
      <c r="AD93" s="2">
        <v>30794.01</v>
      </c>
      <c r="AE93" s="2">
        <v>85295.05</v>
      </c>
      <c r="AF93" s="2">
        <f t="shared" si="10"/>
        <v>305024.06</v>
      </c>
      <c r="AG93" s="27">
        <v>94</v>
      </c>
      <c r="AH93" s="108">
        <v>172040</v>
      </c>
      <c r="AI93" s="27">
        <f>146075+5175</f>
        <v>151250</v>
      </c>
      <c r="AJ93" s="27">
        <v>179180</v>
      </c>
      <c r="AK93" s="27"/>
      <c r="AL93" s="29">
        <f t="shared" si="15"/>
        <v>502470</v>
      </c>
      <c r="AM93" s="41">
        <v>1925</v>
      </c>
      <c r="AN93" s="27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27"/>
      <c r="BA93" s="27"/>
      <c r="BB93" s="27"/>
      <c r="BC93" s="27"/>
      <c r="BD93" s="27"/>
      <c r="BE93" s="27"/>
    </row>
    <row r="94" spans="1:57" x14ac:dyDescent="0.25">
      <c r="A94" s="27" t="s">
        <v>1364</v>
      </c>
      <c r="B94" s="27" t="str">
        <f t="shared" si="8"/>
        <v>Tennessee</v>
      </c>
      <c r="C94" s="27" t="str">
        <f t="shared" si="9"/>
        <v>White</v>
      </c>
      <c r="D94" s="27">
        <v>3441</v>
      </c>
      <c r="E94" s="27">
        <v>892</v>
      </c>
      <c r="F94" s="27">
        <v>167</v>
      </c>
      <c r="G94" s="27">
        <v>0</v>
      </c>
      <c r="H94" s="27">
        <v>0</v>
      </c>
      <c r="I94" s="27">
        <v>0</v>
      </c>
      <c r="J94" s="27">
        <f t="shared" si="11"/>
        <v>4500</v>
      </c>
      <c r="K94" s="27" t="b">
        <f t="shared" si="12"/>
        <v>0</v>
      </c>
      <c r="L94" s="2">
        <v>112</v>
      </c>
      <c r="M94" s="2">
        <v>98</v>
      </c>
      <c r="N94" s="2">
        <v>176</v>
      </c>
      <c r="O94" s="2">
        <v>176</v>
      </c>
      <c r="P94" s="2"/>
      <c r="Q94" s="2">
        <f t="shared" si="13"/>
        <v>116.35599999999999</v>
      </c>
      <c r="R94" s="27">
        <v>5105</v>
      </c>
      <c r="T94" s="2">
        <v>234</v>
      </c>
      <c r="U94" s="2">
        <v>4167</v>
      </c>
      <c r="V94" s="29">
        <v>21</v>
      </c>
      <c r="W94" s="2">
        <v>17185</v>
      </c>
      <c r="X94" s="2">
        <v>81</v>
      </c>
      <c r="Y94" s="2">
        <v>27835.35</v>
      </c>
      <c r="Z94" s="2">
        <v>10</v>
      </c>
      <c r="AA94" s="108">
        <v>10469</v>
      </c>
      <c r="AB94" s="28">
        <f t="shared" si="14"/>
        <v>85.159446010519446</v>
      </c>
      <c r="AC94" s="2">
        <v>90082</v>
      </c>
      <c r="AD94" s="2">
        <v>22957.08</v>
      </c>
      <c r="AE94" s="2">
        <v>103678.15</v>
      </c>
      <c r="AF94" s="2">
        <f t="shared" si="10"/>
        <v>216717.22999999998</v>
      </c>
      <c r="AG94" s="27">
        <v>67</v>
      </c>
      <c r="AH94" s="108">
        <v>105997</v>
      </c>
      <c r="AI94" s="27">
        <f>203585+1000</f>
        <v>204585</v>
      </c>
      <c r="AJ94" s="27">
        <v>95410</v>
      </c>
      <c r="AK94" s="27"/>
      <c r="AL94" s="29">
        <f t="shared" si="15"/>
        <v>405992</v>
      </c>
      <c r="AM94" s="41">
        <v>1925</v>
      </c>
      <c r="AN94" s="27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27"/>
      <c r="BA94" s="27"/>
      <c r="BB94" s="27"/>
      <c r="BC94" s="27"/>
      <c r="BD94" s="27"/>
      <c r="BE94" s="27"/>
    </row>
    <row r="95" spans="1:57" x14ac:dyDescent="0.25">
      <c r="A95" s="27" t="s">
        <v>1365</v>
      </c>
      <c r="B95" s="27" t="str">
        <f t="shared" si="8"/>
        <v>Tennessee</v>
      </c>
      <c r="C95" s="27" t="str">
        <f t="shared" si="9"/>
        <v>Williamson</v>
      </c>
      <c r="D95" s="27">
        <v>4643</v>
      </c>
      <c r="E95" s="27">
        <v>731</v>
      </c>
      <c r="F95" s="27">
        <v>327</v>
      </c>
      <c r="G95" s="27">
        <v>21</v>
      </c>
      <c r="H95" s="27">
        <v>0</v>
      </c>
      <c r="I95" s="27">
        <v>0</v>
      </c>
      <c r="J95" s="27">
        <f t="shared" si="11"/>
        <v>5722</v>
      </c>
      <c r="K95" s="27" t="b">
        <f t="shared" si="12"/>
        <v>1</v>
      </c>
      <c r="L95" s="2">
        <v>174</v>
      </c>
      <c r="M95" s="2">
        <v>158</v>
      </c>
      <c r="N95" s="2">
        <v>172</v>
      </c>
      <c r="O95" s="2">
        <v>171</v>
      </c>
      <c r="P95" s="2"/>
      <c r="Q95" s="2">
        <f t="shared" si="13"/>
        <v>160.5791681230339</v>
      </c>
      <c r="R95" s="27">
        <v>8236</v>
      </c>
      <c r="T95" s="2">
        <v>391</v>
      </c>
      <c r="U95" s="2">
        <v>6464</v>
      </c>
      <c r="V95" s="29">
        <v>20</v>
      </c>
      <c r="W95" s="2">
        <v>10680</v>
      </c>
      <c r="X95" s="2">
        <v>134</v>
      </c>
      <c r="Y95" s="2">
        <v>71503.28</v>
      </c>
      <c r="Z95" s="2">
        <v>20</v>
      </c>
      <c r="AA95" s="108">
        <v>16575</v>
      </c>
      <c r="AB95" s="28">
        <f t="shared" si="14"/>
        <v>70.69115234227769</v>
      </c>
      <c r="AC95" s="2">
        <v>153086</v>
      </c>
      <c r="AD95" s="2">
        <v>24829.62</v>
      </c>
      <c r="AE95" s="2">
        <v>22284.01</v>
      </c>
      <c r="AF95" s="2">
        <f t="shared" si="10"/>
        <v>200199.63</v>
      </c>
      <c r="AG95" s="27">
        <v>90</v>
      </c>
      <c r="AH95" s="108">
        <v>244660</v>
      </c>
      <c r="AI95" s="27">
        <f>52078+16871</f>
        <v>68949</v>
      </c>
      <c r="AJ95" s="27">
        <v>79815</v>
      </c>
      <c r="AK95" s="27"/>
      <c r="AL95" s="29">
        <f t="shared" si="15"/>
        <v>393424</v>
      </c>
      <c r="AM95" s="41">
        <v>1925</v>
      </c>
      <c r="AN95" s="27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27"/>
      <c r="BA95" s="27"/>
      <c r="BB95" s="27"/>
      <c r="BC95" s="27"/>
      <c r="BD95" s="27"/>
      <c r="BE95" s="27"/>
    </row>
    <row r="96" spans="1:57" x14ac:dyDescent="0.25">
      <c r="A96" s="27" t="s">
        <v>1366</v>
      </c>
      <c r="B96" s="27" t="str">
        <f t="shared" si="8"/>
        <v>Tennessee</v>
      </c>
      <c r="C96" s="27" t="str">
        <f t="shared" si="9"/>
        <v>Wilson</v>
      </c>
      <c r="D96" s="27">
        <v>4264</v>
      </c>
      <c r="E96" s="27">
        <v>835</v>
      </c>
      <c r="F96" s="27">
        <v>510</v>
      </c>
      <c r="G96" s="27">
        <v>38</v>
      </c>
      <c r="H96" s="27">
        <v>0</v>
      </c>
      <c r="I96" s="27">
        <v>0</v>
      </c>
      <c r="J96" s="27">
        <f t="shared" si="11"/>
        <v>5647</v>
      </c>
      <c r="K96" s="27" t="b">
        <f t="shared" si="12"/>
        <v>1</v>
      </c>
      <c r="L96" s="2">
        <v>172</v>
      </c>
      <c r="M96" s="2">
        <v>158</v>
      </c>
      <c r="N96" s="2">
        <v>168</v>
      </c>
      <c r="O96" s="2">
        <v>175</v>
      </c>
      <c r="P96" s="2"/>
      <c r="Q96" s="2">
        <f t="shared" si="13"/>
        <v>161.1283867540287</v>
      </c>
      <c r="R96" s="27">
        <v>6186</v>
      </c>
      <c r="T96" s="2">
        <v>628</v>
      </c>
      <c r="U96" s="2">
        <v>6031</v>
      </c>
      <c r="V96" s="29">
        <v>21</v>
      </c>
      <c r="W96" s="2">
        <v>30583.93</v>
      </c>
      <c r="X96" s="2">
        <v>119</v>
      </c>
      <c r="Y96" s="2">
        <v>47857.75</v>
      </c>
      <c r="Z96" s="2">
        <v>32</v>
      </c>
      <c r="AA96" s="108">
        <v>32024</v>
      </c>
      <c r="AB96" s="28">
        <f t="shared" si="14"/>
        <v>79.71808549933705</v>
      </c>
      <c r="AC96" s="2">
        <v>137147</v>
      </c>
      <c r="AD96" s="2">
        <v>36484.199999999997</v>
      </c>
      <c r="AE96" s="2">
        <v>76399.259999999995</v>
      </c>
      <c r="AF96" s="2">
        <f t="shared" si="10"/>
        <v>250030.46000000002</v>
      </c>
      <c r="AG96" s="27">
        <v>97</v>
      </c>
      <c r="AH96" s="108">
        <v>142165</v>
      </c>
      <c r="AI96" s="27">
        <f>100000+10500</f>
        <v>110500</v>
      </c>
      <c r="AJ96" s="27">
        <f>10450+5700</f>
        <v>16150</v>
      </c>
      <c r="AK96" s="27"/>
      <c r="AL96" s="29">
        <f t="shared" si="15"/>
        <v>268815</v>
      </c>
      <c r="AM96" s="41">
        <v>1925</v>
      </c>
      <c r="AN96" s="27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27"/>
      <c r="BA96" s="27"/>
      <c r="BB96" s="27"/>
      <c r="BC96" s="27"/>
      <c r="BD96" s="27"/>
      <c r="BE96" s="27"/>
    </row>
    <row r="97" spans="1:57" x14ac:dyDescent="0.25">
      <c r="A97" s="27" t="s">
        <v>1367</v>
      </c>
      <c r="B97" s="27" t="str">
        <f t="shared" si="8"/>
        <v/>
      </c>
      <c r="C97" s="27" t="str">
        <f t="shared" si="9"/>
        <v/>
      </c>
      <c r="D97" s="2">
        <f>SUM(D2:D96)</f>
        <v>449985</v>
      </c>
      <c r="E97" s="2"/>
      <c r="F97" s="2"/>
      <c r="G97" s="2"/>
      <c r="H97" s="2"/>
      <c r="I97" s="2"/>
      <c r="J97" s="27"/>
      <c r="L97" s="2">
        <f>SUM(L2:L96)</f>
        <v>16208</v>
      </c>
      <c r="M97" s="2"/>
      <c r="N97" s="2"/>
      <c r="O97" s="2"/>
      <c r="P97" s="2"/>
      <c r="Q97" s="27"/>
      <c r="R97" s="27"/>
      <c r="U97" s="2">
        <f>SUM(U2:U96)</f>
        <v>659402</v>
      </c>
      <c r="V97" s="29"/>
      <c r="W97" s="2"/>
      <c r="Y97" s="2"/>
      <c r="Z97" s="2"/>
      <c r="AA97" s="2"/>
      <c r="AB97" s="27"/>
      <c r="AC97" s="2">
        <f>SUM(AC2:AC96)</f>
        <v>12653233.809999999</v>
      </c>
      <c r="AD97" s="2"/>
      <c r="AE97" s="2"/>
      <c r="AF97" s="2"/>
      <c r="AG97" s="27">
        <f>SUM(AG2:AG96)</f>
        <v>6493</v>
      </c>
      <c r="AH97" s="108">
        <v>16008501</v>
      </c>
      <c r="AI97" s="27"/>
      <c r="AJ97" s="27"/>
      <c r="AK97" s="27"/>
      <c r="AL97" s="2"/>
      <c r="AM97" s="82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27"/>
      <c r="BA97" s="27"/>
      <c r="BB97" s="27"/>
      <c r="BC97" s="27"/>
      <c r="BD97" s="27"/>
      <c r="BE97" s="27"/>
    </row>
    <row r="98" spans="1:57" x14ac:dyDescent="0.25">
      <c r="A98" s="27" t="s">
        <v>1367</v>
      </c>
      <c r="B98" s="27" t="str">
        <f t="shared" si="8"/>
        <v/>
      </c>
      <c r="C98" s="27" t="str">
        <f t="shared" si="9"/>
        <v/>
      </c>
      <c r="D98" s="2">
        <v>449985</v>
      </c>
      <c r="E98" s="2"/>
      <c r="F98" s="2"/>
      <c r="G98" s="2"/>
      <c r="H98" s="2"/>
      <c r="I98" s="2"/>
      <c r="J98" s="27"/>
      <c r="L98" s="2">
        <v>16208</v>
      </c>
      <c r="M98" s="2"/>
      <c r="N98" s="2"/>
      <c r="O98" s="2"/>
      <c r="P98" s="2"/>
      <c r="Q98" s="27"/>
      <c r="R98" s="27"/>
      <c r="U98" s="2">
        <v>659402</v>
      </c>
      <c r="V98" s="29"/>
      <c r="W98" s="2"/>
      <c r="X98" s="2"/>
      <c r="Y98" s="2"/>
      <c r="Z98" s="2"/>
      <c r="AA98" s="2"/>
      <c r="AB98" s="27"/>
      <c r="AC98" s="2">
        <v>12653275</v>
      </c>
      <c r="AD98" s="2"/>
      <c r="AE98" s="2"/>
      <c r="AF98" s="2"/>
      <c r="AG98" s="27">
        <v>6493</v>
      </c>
      <c r="AH98" s="108">
        <v>16184706</v>
      </c>
      <c r="AI98" s="27"/>
      <c r="AJ98" s="27"/>
      <c r="AK98" s="27"/>
      <c r="AL98" s="2"/>
      <c r="AM98" s="82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27"/>
      <c r="BA98" s="27"/>
      <c r="BB98" s="27"/>
      <c r="BC98" s="27"/>
      <c r="BD98" s="27"/>
      <c r="BE98" s="27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1:AE321"/>
  <sheetViews>
    <sheetView workbookViewId="0"/>
  </sheetViews>
  <sheetFormatPr defaultColWidth="11.42578125" defaultRowHeight="15" x14ac:dyDescent="0.25"/>
  <cols>
    <col min="1" max="1" width="20.28515625" customWidth="1"/>
    <col min="2" max="3" width="10.85546875" customWidth="1"/>
    <col min="5" max="5" width="11.42578125" style="27"/>
    <col min="6" max="6" width="0" hidden="1" customWidth="1"/>
    <col min="8" max="8" width="0" hidden="1" customWidth="1"/>
    <col min="9" max="9" width="11.42578125" style="27"/>
    <col min="10" max="10" width="0" style="27" hidden="1" customWidth="1"/>
    <col min="11" max="11" width="11.42578125" style="27"/>
    <col min="12" max="12" width="0" hidden="1" customWidth="1"/>
    <col min="14" max="15" width="0" style="27" hidden="1" customWidth="1"/>
    <col min="17" max="17" width="12" customWidth="1"/>
    <col min="18" max="19" width="12" style="27" customWidth="1"/>
  </cols>
  <sheetData>
    <row r="1" spans="1:31" s="20" customFormat="1" ht="75" x14ac:dyDescent="0.25">
      <c r="B1" s="20" t="s">
        <v>2</v>
      </c>
      <c r="C1" s="20" t="s">
        <v>0</v>
      </c>
      <c r="D1" s="92" t="s">
        <v>1956</v>
      </c>
      <c r="E1" s="92" t="s">
        <v>2391</v>
      </c>
      <c r="F1" s="92" t="s">
        <v>2392</v>
      </c>
      <c r="G1" s="94" t="s">
        <v>357</v>
      </c>
      <c r="H1" s="94" t="s">
        <v>2390</v>
      </c>
      <c r="I1" s="94" t="s">
        <v>2525</v>
      </c>
      <c r="J1" s="94" t="s">
        <v>2393</v>
      </c>
      <c r="K1" s="123" t="s">
        <v>2352</v>
      </c>
      <c r="L1" s="83" t="s">
        <v>2353</v>
      </c>
      <c r="M1" s="92" t="s">
        <v>358</v>
      </c>
      <c r="N1" s="92" t="s">
        <v>2526</v>
      </c>
      <c r="O1" s="92" t="s">
        <v>2527</v>
      </c>
      <c r="P1" s="93" t="s">
        <v>360</v>
      </c>
      <c r="Q1" s="92" t="s">
        <v>374</v>
      </c>
      <c r="R1" s="91" t="s">
        <v>2534</v>
      </c>
      <c r="S1" s="91" t="s">
        <v>2535</v>
      </c>
      <c r="T1" s="91" t="s">
        <v>375</v>
      </c>
      <c r="U1" s="81" t="s">
        <v>1</v>
      </c>
      <c r="V1" s="20" t="s">
        <v>1960</v>
      </c>
      <c r="W1" s="20" t="s">
        <v>1957</v>
      </c>
      <c r="X1" s="20" t="s">
        <v>1949</v>
      </c>
      <c r="Y1" s="20" t="s">
        <v>1955</v>
      </c>
      <c r="Z1" s="20" t="s">
        <v>1950</v>
      </c>
      <c r="AA1" s="20" t="s">
        <v>1954</v>
      </c>
      <c r="AB1" s="20" t="s">
        <v>1952</v>
      </c>
      <c r="AC1" s="20" t="s">
        <v>1953</v>
      </c>
      <c r="AD1" s="20" t="s">
        <v>1948</v>
      </c>
    </row>
    <row r="2" spans="1:31" x14ac:dyDescent="0.25">
      <c r="A2" s="116" t="s">
        <v>1368</v>
      </c>
      <c r="B2" s="116" t="s">
        <v>204</v>
      </c>
      <c r="C2" s="116" t="s">
        <v>121</v>
      </c>
      <c r="D2" s="117">
        <v>6175</v>
      </c>
      <c r="E2" s="117">
        <v>258</v>
      </c>
      <c r="F2" s="116">
        <v>169</v>
      </c>
      <c r="G2" s="116">
        <v>115</v>
      </c>
      <c r="H2" s="118">
        <v>5648</v>
      </c>
      <c r="I2" s="118">
        <v>9306</v>
      </c>
      <c r="J2" s="27">
        <v>10052</v>
      </c>
      <c r="K2" s="12">
        <v>712.21</v>
      </c>
      <c r="L2" s="120">
        <v>583.01</v>
      </c>
      <c r="M2" s="121">
        <f>K2/(G2/20)</f>
        <v>123.86260869565218</v>
      </c>
      <c r="N2" s="121"/>
      <c r="O2" s="142">
        <v>15081</v>
      </c>
      <c r="P2" s="117">
        <v>265010.52</v>
      </c>
      <c r="Q2" s="116">
        <v>92</v>
      </c>
      <c r="R2" s="116">
        <f>92660+18525+8000+1600+31650+6150</f>
        <v>158585</v>
      </c>
      <c r="S2" s="116"/>
      <c r="T2" s="117"/>
      <c r="U2" s="116">
        <v>1922</v>
      </c>
      <c r="V2" s="117"/>
      <c r="W2" s="117"/>
      <c r="X2" s="4" t="s">
        <v>1972</v>
      </c>
      <c r="Y2" s="4" t="s">
        <v>548</v>
      </c>
      <c r="Z2" s="4" t="s">
        <v>549</v>
      </c>
      <c r="AA2" s="4" t="s">
        <v>547</v>
      </c>
      <c r="AB2" s="27"/>
      <c r="AC2" s="27"/>
      <c r="AD2" s="27"/>
      <c r="AE2" s="27"/>
    </row>
    <row r="3" spans="1:31" x14ac:dyDescent="0.25">
      <c r="A3" s="116" t="s">
        <v>1371</v>
      </c>
      <c r="B3" s="116" t="s">
        <v>204</v>
      </c>
      <c r="C3" s="116" t="s">
        <v>2141</v>
      </c>
      <c r="D3" s="117">
        <v>44</v>
      </c>
      <c r="E3" s="117">
        <v>5</v>
      </c>
      <c r="F3" s="116">
        <v>5</v>
      </c>
      <c r="G3" s="116">
        <v>163</v>
      </c>
      <c r="H3" s="116">
        <v>71</v>
      </c>
      <c r="I3" s="116">
        <v>71</v>
      </c>
      <c r="J3" s="116">
        <v>70</v>
      </c>
      <c r="K3" s="119">
        <v>859</v>
      </c>
      <c r="L3" s="120">
        <v>859</v>
      </c>
      <c r="M3" s="121">
        <f t="shared" ref="M3:M66" si="0">K3/(G3/20)</f>
        <v>105.39877300613496</v>
      </c>
      <c r="N3" s="121"/>
      <c r="O3" s="142">
        <v>13978</v>
      </c>
      <c r="P3" s="117">
        <v>9175.02</v>
      </c>
      <c r="Q3" s="116">
        <v>4</v>
      </c>
      <c r="R3" s="116">
        <f>13000+5000+3000</f>
        <v>21000</v>
      </c>
      <c r="S3" s="116"/>
      <c r="T3" s="117"/>
      <c r="U3" s="116">
        <v>1922</v>
      </c>
      <c r="V3" s="117"/>
      <c r="W3" s="117"/>
      <c r="X3" s="4" t="s">
        <v>1972</v>
      </c>
      <c r="Y3" s="4" t="s">
        <v>548</v>
      </c>
      <c r="Z3" s="4" t="s">
        <v>549</v>
      </c>
      <c r="AA3" s="4" t="s">
        <v>547</v>
      </c>
      <c r="AB3" s="27"/>
      <c r="AC3" s="27"/>
      <c r="AD3" s="27"/>
      <c r="AE3" s="27"/>
    </row>
    <row r="4" spans="1:31" x14ac:dyDescent="0.25">
      <c r="A4" s="116" t="s">
        <v>1369</v>
      </c>
      <c r="B4" s="116" t="s">
        <v>204</v>
      </c>
      <c r="C4" s="116" t="s">
        <v>2142</v>
      </c>
      <c r="D4" s="117">
        <v>5309</v>
      </c>
      <c r="E4" s="117">
        <v>179</v>
      </c>
      <c r="F4" s="116">
        <v>122</v>
      </c>
      <c r="G4" s="116">
        <v>116</v>
      </c>
      <c r="H4" s="118">
        <v>4273</v>
      </c>
      <c r="I4" s="118">
        <v>7040</v>
      </c>
      <c r="J4" s="27">
        <f>4351+311+2266</f>
        <v>6928</v>
      </c>
      <c r="K4" s="12">
        <v>786.71</v>
      </c>
      <c r="L4" s="120">
        <v>364.9</v>
      </c>
      <c r="M4" s="121">
        <f t="shared" si="0"/>
        <v>135.6396551724138</v>
      </c>
      <c r="N4" s="121"/>
      <c r="O4" s="142"/>
      <c r="P4" s="117">
        <v>234537.04</v>
      </c>
      <c r="Q4" s="116">
        <v>59</v>
      </c>
      <c r="R4" s="116">
        <f>118050+500+19046.25+23172+150</f>
        <v>160918.25</v>
      </c>
      <c r="S4" s="116"/>
      <c r="T4" s="117"/>
      <c r="U4" s="116">
        <v>1922</v>
      </c>
      <c r="V4" s="117"/>
      <c r="W4" s="117"/>
      <c r="X4" s="4" t="s">
        <v>1972</v>
      </c>
      <c r="Y4" s="4" t="s">
        <v>548</v>
      </c>
      <c r="Z4" s="4" t="s">
        <v>549</v>
      </c>
      <c r="AA4" s="4" t="s">
        <v>547</v>
      </c>
      <c r="AB4" s="27"/>
      <c r="AC4" s="27"/>
      <c r="AD4" s="27"/>
      <c r="AE4" s="27"/>
    </row>
    <row r="5" spans="1:31" x14ac:dyDescent="0.25">
      <c r="A5" s="116" t="s">
        <v>1370</v>
      </c>
      <c r="B5" s="116" t="s">
        <v>204</v>
      </c>
      <c r="C5" s="116" t="s">
        <v>2143</v>
      </c>
      <c r="D5" s="117">
        <v>424</v>
      </c>
      <c r="E5" s="117">
        <v>15</v>
      </c>
      <c r="F5" s="116">
        <v>9</v>
      </c>
      <c r="G5" s="116">
        <v>127</v>
      </c>
      <c r="H5" s="116">
        <v>292</v>
      </c>
      <c r="I5" s="116">
        <v>510</v>
      </c>
      <c r="J5" s="116">
        <v>502</v>
      </c>
      <c r="K5" s="119">
        <v>834.26</v>
      </c>
      <c r="L5" s="120">
        <v>751.11</v>
      </c>
      <c r="M5" s="121">
        <f t="shared" si="0"/>
        <v>131.37952755905513</v>
      </c>
      <c r="N5" s="121"/>
      <c r="O5" s="142">
        <v>4495</v>
      </c>
      <c r="P5" s="117">
        <v>9861.75</v>
      </c>
      <c r="Q5" s="116">
        <v>4</v>
      </c>
      <c r="R5" s="116">
        <f>28000+200+3500+200+3000+50</f>
        <v>34950</v>
      </c>
      <c r="S5" s="116"/>
      <c r="T5" s="117"/>
      <c r="U5" s="116">
        <v>1922</v>
      </c>
      <c r="V5" s="117"/>
      <c r="W5" s="117"/>
      <c r="X5" s="4" t="s">
        <v>1972</v>
      </c>
      <c r="Y5" s="4" t="s">
        <v>548</v>
      </c>
      <c r="Z5" s="4" t="s">
        <v>549</v>
      </c>
      <c r="AA5" s="4" t="s">
        <v>547</v>
      </c>
      <c r="AB5" s="27"/>
      <c r="AC5" s="27"/>
      <c r="AD5" s="27"/>
      <c r="AE5" s="27"/>
    </row>
    <row r="6" spans="1:31" x14ac:dyDescent="0.25">
      <c r="A6" s="116" t="s">
        <v>1372</v>
      </c>
      <c r="B6" s="116" t="s">
        <v>204</v>
      </c>
      <c r="C6" s="116" t="s">
        <v>2144</v>
      </c>
      <c r="D6" s="117">
        <v>449</v>
      </c>
      <c r="E6" s="117">
        <v>58</v>
      </c>
      <c r="F6" s="116">
        <v>43</v>
      </c>
      <c r="G6" s="116">
        <v>140</v>
      </c>
      <c r="H6" s="116">
        <v>1008</v>
      </c>
      <c r="I6" s="116">
        <v>1259</v>
      </c>
      <c r="J6" s="116">
        <v>1602</v>
      </c>
      <c r="K6" s="119">
        <v>804.07</v>
      </c>
      <c r="L6" s="120">
        <v>694.56</v>
      </c>
      <c r="M6" s="121">
        <f t="shared" si="0"/>
        <v>114.86714285714287</v>
      </c>
      <c r="N6" s="121"/>
      <c r="O6" s="142">
        <v>1750</v>
      </c>
      <c r="P6" s="117">
        <v>115699.55</v>
      </c>
      <c r="Q6" s="116">
        <v>30</v>
      </c>
      <c r="R6" s="116">
        <f>61000+3500+8000</f>
        <v>72500</v>
      </c>
      <c r="S6" s="116"/>
      <c r="T6" s="117"/>
      <c r="U6" s="116">
        <v>1922</v>
      </c>
      <c r="V6" s="117"/>
      <c r="W6" s="117"/>
      <c r="X6" s="4" t="s">
        <v>1972</v>
      </c>
      <c r="Y6" s="4" t="s">
        <v>548</v>
      </c>
      <c r="Z6" s="4" t="s">
        <v>549</v>
      </c>
      <c r="AA6" s="4" t="s">
        <v>547</v>
      </c>
      <c r="AB6" s="27"/>
      <c r="AC6" s="27"/>
      <c r="AD6" s="27"/>
      <c r="AE6" s="27"/>
    </row>
    <row r="7" spans="1:31" x14ac:dyDescent="0.25">
      <c r="A7" s="116" t="s">
        <v>1373</v>
      </c>
      <c r="B7" s="116" t="s">
        <v>204</v>
      </c>
      <c r="C7" s="116" t="s">
        <v>2145</v>
      </c>
      <c r="D7" s="117">
        <v>633</v>
      </c>
      <c r="E7" s="117">
        <v>34</v>
      </c>
      <c r="F7" s="116">
        <v>16</v>
      </c>
      <c r="G7" s="116">
        <v>160</v>
      </c>
      <c r="H7" s="116">
        <v>286</v>
      </c>
      <c r="I7" s="116">
        <v>837</v>
      </c>
      <c r="J7" s="116">
        <v>851</v>
      </c>
      <c r="K7" s="119">
        <v>942.33</v>
      </c>
      <c r="L7" s="120">
        <v>874.65</v>
      </c>
      <c r="M7" s="121">
        <f t="shared" si="0"/>
        <v>117.79125000000001</v>
      </c>
      <c r="N7" s="121"/>
      <c r="O7" s="142">
        <v>6287</v>
      </c>
      <c r="P7" s="117">
        <v>53937.279999999999</v>
      </c>
      <c r="Q7" s="116">
        <v>8</v>
      </c>
      <c r="R7" s="116">
        <f>25000+1150+5000</f>
        <v>31150</v>
      </c>
      <c r="S7" s="116"/>
      <c r="T7" s="117"/>
      <c r="U7" s="116">
        <v>1922</v>
      </c>
      <c r="V7" s="117"/>
      <c r="W7" s="117"/>
      <c r="X7" s="4" t="s">
        <v>1972</v>
      </c>
      <c r="Y7" s="4" t="s">
        <v>548</v>
      </c>
      <c r="Z7" s="4" t="s">
        <v>549</v>
      </c>
      <c r="AA7" s="4" t="s">
        <v>547</v>
      </c>
      <c r="AB7" s="27"/>
      <c r="AC7" s="27"/>
      <c r="AD7" s="27"/>
      <c r="AE7" s="27"/>
    </row>
    <row r="8" spans="1:31" x14ac:dyDescent="0.25">
      <c r="A8" s="116" t="s">
        <v>1374</v>
      </c>
      <c r="B8" s="116" t="s">
        <v>204</v>
      </c>
      <c r="C8" s="116" t="s">
        <v>2146</v>
      </c>
      <c r="D8" s="117">
        <v>1925</v>
      </c>
      <c r="E8" s="117">
        <v>101</v>
      </c>
      <c r="F8" s="116">
        <v>56</v>
      </c>
      <c r="G8" s="116">
        <v>136</v>
      </c>
      <c r="H8" s="118">
        <v>1590</v>
      </c>
      <c r="I8" s="118">
        <v>3103</v>
      </c>
      <c r="J8" s="116">
        <v>3062</v>
      </c>
      <c r="K8" s="119">
        <v>816.63</v>
      </c>
      <c r="L8" s="120">
        <v>713.61</v>
      </c>
      <c r="M8" s="121">
        <f t="shared" si="0"/>
        <v>120.09264705882353</v>
      </c>
      <c r="N8" s="121"/>
      <c r="O8" s="142">
        <v>560</v>
      </c>
      <c r="P8" s="117">
        <v>133600.23000000001</v>
      </c>
      <c r="Q8" s="116">
        <v>35</v>
      </c>
      <c r="R8" s="116">
        <f>90650+600+6365+100+12337+200</f>
        <v>110252</v>
      </c>
      <c r="S8" s="116"/>
      <c r="T8" s="117"/>
      <c r="U8" s="116">
        <v>1922</v>
      </c>
      <c r="V8" s="117"/>
      <c r="W8" s="117"/>
      <c r="X8" s="4" t="s">
        <v>1972</v>
      </c>
      <c r="Y8" s="4" t="s">
        <v>548</v>
      </c>
      <c r="Z8" s="4" t="s">
        <v>549</v>
      </c>
      <c r="AA8" s="4" t="s">
        <v>547</v>
      </c>
      <c r="AB8" s="27"/>
      <c r="AC8" s="27"/>
      <c r="AD8" s="27"/>
      <c r="AE8" s="27"/>
    </row>
    <row r="9" spans="1:31" x14ac:dyDescent="0.25">
      <c r="A9" s="116" t="s">
        <v>1375</v>
      </c>
      <c r="B9" s="116" t="s">
        <v>204</v>
      </c>
      <c r="C9" s="116" t="s">
        <v>2147</v>
      </c>
      <c r="D9" s="117">
        <v>2687</v>
      </c>
      <c r="E9" s="117">
        <v>111</v>
      </c>
      <c r="F9" s="116">
        <v>77</v>
      </c>
      <c r="G9" s="116">
        <v>134</v>
      </c>
      <c r="H9" s="118">
        <v>2749</v>
      </c>
      <c r="I9" s="118">
        <v>3789</v>
      </c>
      <c r="J9" s="116">
        <v>3877</v>
      </c>
      <c r="K9" s="119">
        <v>745.13</v>
      </c>
      <c r="L9" s="120">
        <v>623.29999999999995</v>
      </c>
      <c r="M9" s="121">
        <f t="shared" si="0"/>
        <v>111.2134328358209</v>
      </c>
      <c r="N9" s="121"/>
      <c r="O9" s="142">
        <v>770</v>
      </c>
      <c r="P9" s="117">
        <v>103599.84</v>
      </c>
      <c r="Q9" s="116">
        <v>56</v>
      </c>
      <c r="R9" s="116">
        <f>46995+4220+10704+1330+9197+850</f>
        <v>73296</v>
      </c>
      <c r="S9" s="116"/>
      <c r="T9" s="117"/>
      <c r="U9" s="116">
        <v>1922</v>
      </c>
      <c r="V9" s="117"/>
      <c r="W9" s="117"/>
      <c r="X9" s="4" t="s">
        <v>1972</v>
      </c>
      <c r="Y9" s="4" t="s">
        <v>548</v>
      </c>
      <c r="Z9" s="4" t="s">
        <v>549</v>
      </c>
      <c r="AA9" s="4" t="s">
        <v>547</v>
      </c>
      <c r="AB9" s="27"/>
      <c r="AC9" s="27"/>
      <c r="AD9" s="27"/>
      <c r="AE9" s="27"/>
    </row>
    <row r="10" spans="1:31" x14ac:dyDescent="0.25">
      <c r="A10" s="116" t="s">
        <v>1376</v>
      </c>
      <c r="B10" s="116" t="s">
        <v>204</v>
      </c>
      <c r="C10" s="116" t="s">
        <v>2148</v>
      </c>
      <c r="D10" s="117">
        <v>222</v>
      </c>
      <c r="E10" s="117">
        <v>11</v>
      </c>
      <c r="F10" s="116">
        <v>11</v>
      </c>
      <c r="G10" s="116">
        <v>157</v>
      </c>
      <c r="H10" s="116">
        <v>225</v>
      </c>
      <c r="I10" s="116">
        <v>225</v>
      </c>
      <c r="J10" s="116">
        <v>300</v>
      </c>
      <c r="K10" s="119">
        <v>1073.3599999999999</v>
      </c>
      <c r="L10" s="120">
        <v>1073.3599999999999</v>
      </c>
      <c r="M10" s="121">
        <f t="shared" si="0"/>
        <v>136.73375796178343</v>
      </c>
      <c r="N10" s="121"/>
      <c r="O10" s="142">
        <v>1900</v>
      </c>
      <c r="P10" s="117">
        <v>42937.7</v>
      </c>
      <c r="Q10" s="116">
        <v>9</v>
      </c>
      <c r="R10" s="116">
        <f>10700+1000+2100</f>
        <v>13800</v>
      </c>
      <c r="S10" s="116"/>
      <c r="T10" s="117"/>
      <c r="U10" s="116">
        <v>1922</v>
      </c>
      <c r="V10" s="117"/>
      <c r="W10" s="117"/>
      <c r="X10" s="4" t="s">
        <v>1972</v>
      </c>
      <c r="Y10" s="4" t="s">
        <v>548</v>
      </c>
      <c r="Z10" s="4" t="s">
        <v>549</v>
      </c>
      <c r="AA10" s="4" t="s">
        <v>547</v>
      </c>
      <c r="AB10" s="27"/>
      <c r="AC10" s="27"/>
      <c r="AD10" s="27"/>
      <c r="AE10" s="27"/>
    </row>
    <row r="11" spans="1:31" x14ac:dyDescent="0.25">
      <c r="A11" s="116" t="s">
        <v>1377</v>
      </c>
      <c r="B11" s="116" t="s">
        <v>204</v>
      </c>
      <c r="C11" s="116" t="s">
        <v>2149</v>
      </c>
      <c r="D11" s="117">
        <v>681</v>
      </c>
      <c r="E11" s="117">
        <v>38</v>
      </c>
      <c r="F11" s="116">
        <v>38</v>
      </c>
      <c r="G11" s="116">
        <v>134</v>
      </c>
      <c r="H11" s="116">
        <v>971</v>
      </c>
      <c r="I11" s="116">
        <v>971</v>
      </c>
      <c r="J11" s="116">
        <v>1013</v>
      </c>
      <c r="K11" s="119">
        <v>603.6</v>
      </c>
      <c r="L11" s="120">
        <v>603.6</v>
      </c>
      <c r="M11" s="121">
        <f t="shared" si="0"/>
        <v>90.089552238805965</v>
      </c>
      <c r="N11" s="121"/>
      <c r="O11" s="142">
        <v>4000</v>
      </c>
      <c r="P11" s="117">
        <v>29765</v>
      </c>
      <c r="Q11" s="116">
        <v>25</v>
      </c>
      <c r="R11" s="116">
        <f>24500+100+2820+3263</f>
        <v>30683</v>
      </c>
      <c r="S11" s="116"/>
      <c r="T11" s="117"/>
      <c r="U11" s="116">
        <v>1922</v>
      </c>
      <c r="V11" s="117"/>
      <c r="W11" s="117"/>
      <c r="X11" s="4" t="s">
        <v>1972</v>
      </c>
      <c r="Y11" s="4" t="s">
        <v>548</v>
      </c>
      <c r="Z11" s="4" t="s">
        <v>549</v>
      </c>
      <c r="AA11" s="4" t="s">
        <v>547</v>
      </c>
      <c r="AB11" s="27"/>
      <c r="AC11" s="27"/>
      <c r="AD11" s="27"/>
      <c r="AE11" s="27"/>
    </row>
    <row r="12" spans="1:31" x14ac:dyDescent="0.25">
      <c r="A12" s="116" t="s">
        <v>1378</v>
      </c>
      <c r="B12" s="116" t="s">
        <v>204</v>
      </c>
      <c r="C12" s="116" t="s">
        <v>2150</v>
      </c>
      <c r="D12" s="117">
        <v>4260</v>
      </c>
      <c r="E12" s="117">
        <v>179</v>
      </c>
      <c r="F12" s="116">
        <v>109</v>
      </c>
      <c r="G12" s="116">
        <v>123</v>
      </c>
      <c r="H12" s="118">
        <v>3658</v>
      </c>
      <c r="I12" s="118">
        <v>6386</v>
      </c>
      <c r="J12" s="118">
        <v>6426</v>
      </c>
      <c r="K12" s="119">
        <v>729.05</v>
      </c>
      <c r="L12" s="120">
        <v>608.83000000000004</v>
      </c>
      <c r="M12" s="121">
        <f t="shared" si="0"/>
        <v>118.54471544715446</v>
      </c>
      <c r="N12" s="121"/>
      <c r="O12" s="142">
        <v>4270</v>
      </c>
      <c r="P12" s="117">
        <v>173543.09</v>
      </c>
      <c r="Q12" s="116">
        <v>80</v>
      </c>
      <c r="R12" s="116">
        <f>68000+20300+5500+1000+11800+4500</f>
        <v>111100</v>
      </c>
      <c r="S12" s="116"/>
      <c r="T12" s="117"/>
      <c r="U12" s="116">
        <v>1922</v>
      </c>
      <c r="V12" s="117"/>
      <c r="W12" s="117"/>
      <c r="X12" s="4" t="s">
        <v>1972</v>
      </c>
      <c r="Y12" s="4" t="s">
        <v>548</v>
      </c>
      <c r="Z12" s="4" t="s">
        <v>549</v>
      </c>
      <c r="AA12" s="4" t="s">
        <v>547</v>
      </c>
      <c r="AB12" s="27"/>
      <c r="AC12" s="27"/>
      <c r="AD12" s="27"/>
      <c r="AE12" s="27"/>
    </row>
    <row r="13" spans="1:31" x14ac:dyDescent="0.25">
      <c r="A13" s="116" t="s">
        <v>1379</v>
      </c>
      <c r="B13" s="116" t="s">
        <v>204</v>
      </c>
      <c r="C13" s="116" t="s">
        <v>2151</v>
      </c>
      <c r="D13" s="117">
        <v>2218</v>
      </c>
      <c r="E13" s="117">
        <v>70</v>
      </c>
      <c r="F13" s="116">
        <v>48</v>
      </c>
      <c r="G13" s="116">
        <v>121</v>
      </c>
      <c r="H13" s="118">
        <v>1325</v>
      </c>
      <c r="I13" s="118">
        <v>2330</v>
      </c>
      <c r="J13" s="118">
        <v>2256</v>
      </c>
      <c r="K13" s="119">
        <v>847.57</v>
      </c>
      <c r="L13" s="120">
        <v>887.08</v>
      </c>
      <c r="M13" s="121">
        <f t="shared" si="0"/>
        <v>140.09421487603308</v>
      </c>
      <c r="N13" s="121"/>
      <c r="O13" s="142">
        <v>5294</v>
      </c>
      <c r="P13" s="117">
        <v>101576.03</v>
      </c>
      <c r="Q13" s="116">
        <v>24</v>
      </c>
      <c r="R13" s="116">
        <f>75000+3000+25000</f>
        <v>103000</v>
      </c>
      <c r="S13" s="116"/>
      <c r="T13" s="117"/>
      <c r="U13" s="116">
        <v>1922</v>
      </c>
      <c r="V13" s="117"/>
      <c r="W13" s="117"/>
      <c r="X13" s="4" t="s">
        <v>1972</v>
      </c>
      <c r="Y13" s="4" t="s">
        <v>548</v>
      </c>
      <c r="Z13" s="4" t="s">
        <v>549</v>
      </c>
      <c r="AA13" s="4" t="s">
        <v>547</v>
      </c>
      <c r="AB13" s="27"/>
      <c r="AC13" s="27"/>
      <c r="AD13" s="27"/>
      <c r="AE13" s="27"/>
    </row>
    <row r="14" spans="1:31" x14ac:dyDescent="0.25">
      <c r="A14" s="116" t="s">
        <v>1380</v>
      </c>
      <c r="B14" s="116" t="s">
        <v>204</v>
      </c>
      <c r="C14" s="116" t="s">
        <v>2152</v>
      </c>
      <c r="D14" s="117">
        <v>1752</v>
      </c>
      <c r="E14" s="117">
        <v>80</v>
      </c>
      <c r="F14" s="116">
        <v>39</v>
      </c>
      <c r="G14" s="116">
        <v>135</v>
      </c>
      <c r="H14" s="118">
        <v>1293</v>
      </c>
      <c r="I14" s="118">
        <v>2627</v>
      </c>
      <c r="J14" s="118">
        <v>2643</v>
      </c>
      <c r="K14" s="119">
        <v>1025.71</v>
      </c>
      <c r="L14" s="120">
        <v>728.21</v>
      </c>
      <c r="M14" s="121">
        <f t="shared" si="0"/>
        <v>151.95703703703705</v>
      </c>
      <c r="N14" s="121"/>
      <c r="O14" s="142">
        <v>20258</v>
      </c>
      <c r="P14" s="117">
        <v>97795.36</v>
      </c>
      <c r="Q14" s="116">
        <v>29</v>
      </c>
      <c r="R14" s="116">
        <f>57890+75+8340+50+9093+25</f>
        <v>75473</v>
      </c>
      <c r="S14" s="116"/>
      <c r="T14" s="117"/>
      <c r="U14" s="116">
        <v>1922</v>
      </c>
      <c r="V14" s="117"/>
      <c r="W14" s="117"/>
      <c r="X14" s="4" t="s">
        <v>1972</v>
      </c>
      <c r="Y14" s="4" t="s">
        <v>548</v>
      </c>
      <c r="Z14" s="4" t="s">
        <v>549</v>
      </c>
      <c r="AA14" s="4" t="s">
        <v>547</v>
      </c>
      <c r="AB14" s="27"/>
      <c r="AC14" s="27"/>
      <c r="AD14" s="27"/>
      <c r="AE14" s="27"/>
    </row>
    <row r="15" spans="1:31" x14ac:dyDescent="0.25">
      <c r="A15" s="116" t="s">
        <v>1381</v>
      </c>
      <c r="B15" s="116" t="s">
        <v>204</v>
      </c>
      <c r="C15" s="116" t="s">
        <v>123</v>
      </c>
      <c r="D15" s="117">
        <v>9546</v>
      </c>
      <c r="E15" s="117">
        <v>329</v>
      </c>
      <c r="F15" s="116">
        <v>139</v>
      </c>
      <c r="G15" s="116">
        <v>115</v>
      </c>
      <c r="H15" s="118">
        <v>11087</v>
      </c>
      <c r="I15" s="118">
        <v>13946</v>
      </c>
      <c r="J15" s="118">
        <f>5908+692+1676+181+413+547+249+637+244+3500+283</f>
        <v>14330</v>
      </c>
      <c r="K15" s="119">
        <v>956.85</v>
      </c>
      <c r="L15" s="120">
        <v>774.84</v>
      </c>
      <c r="M15" s="121">
        <f t="shared" si="0"/>
        <v>166.40869565217392</v>
      </c>
      <c r="N15" s="121"/>
      <c r="O15" s="142">
        <v>2205</v>
      </c>
      <c r="P15" s="117">
        <v>459408.95</v>
      </c>
      <c r="Q15" s="116">
        <v>89</v>
      </c>
      <c r="R15" s="116">
        <f>223300+3000+19500+400+30000+600</f>
        <v>276800</v>
      </c>
      <c r="S15" s="116"/>
      <c r="T15" s="117"/>
      <c r="U15" s="116">
        <v>1922</v>
      </c>
      <c r="V15" s="117"/>
      <c r="W15" s="117"/>
      <c r="X15" s="4" t="s">
        <v>1972</v>
      </c>
      <c r="Y15" s="4" t="s">
        <v>548</v>
      </c>
      <c r="Z15" s="4" t="s">
        <v>549</v>
      </c>
      <c r="AA15" s="4" t="s">
        <v>547</v>
      </c>
      <c r="AB15" s="27"/>
      <c r="AC15" s="27"/>
      <c r="AD15" s="27"/>
      <c r="AE15" s="27"/>
    </row>
    <row r="16" spans="1:31" x14ac:dyDescent="0.25">
      <c r="A16" s="116" t="s">
        <v>1382</v>
      </c>
      <c r="B16" s="116" t="s">
        <v>204</v>
      </c>
      <c r="C16" s="116" t="s">
        <v>2153</v>
      </c>
      <c r="D16" s="117">
        <v>4155</v>
      </c>
      <c r="E16" s="117">
        <v>803</v>
      </c>
      <c r="F16" s="116">
        <v>147</v>
      </c>
      <c r="G16" s="116">
        <v>174</v>
      </c>
      <c r="H16" s="118">
        <v>5391</v>
      </c>
      <c r="I16" s="118">
        <v>33649</v>
      </c>
      <c r="J16" s="118">
        <v>36054</v>
      </c>
      <c r="K16" s="119">
        <v>1209.3</v>
      </c>
      <c r="L16" s="120">
        <v>819.07</v>
      </c>
      <c r="M16" s="121">
        <f t="shared" si="0"/>
        <v>139</v>
      </c>
      <c r="N16" s="121"/>
      <c r="O16" s="142">
        <v>2845</v>
      </c>
      <c r="P16" s="117">
        <v>2234437.46</v>
      </c>
      <c r="Q16" s="116">
        <v>62</v>
      </c>
      <c r="R16" s="116">
        <f>309300+2700+33830+400+36988+250</f>
        <v>383468</v>
      </c>
      <c r="S16" s="116"/>
      <c r="T16" s="117"/>
      <c r="U16" s="116">
        <v>1922</v>
      </c>
      <c r="V16" s="117"/>
      <c r="W16" s="117"/>
      <c r="X16" s="4" t="s">
        <v>1972</v>
      </c>
      <c r="Y16" s="4" t="s">
        <v>548</v>
      </c>
      <c r="Z16" s="4" t="s">
        <v>549</v>
      </c>
      <c r="AA16" s="4" t="s">
        <v>547</v>
      </c>
      <c r="AB16" s="27"/>
      <c r="AC16" s="27"/>
      <c r="AD16" s="27"/>
      <c r="AE16" s="27"/>
    </row>
    <row r="17" spans="1:31" x14ac:dyDescent="0.25">
      <c r="A17" s="116" t="s">
        <v>1383</v>
      </c>
      <c r="B17" s="116" t="s">
        <v>204</v>
      </c>
      <c r="C17" s="116" t="s">
        <v>2154</v>
      </c>
      <c r="D17" s="117">
        <v>751</v>
      </c>
      <c r="E17" s="117">
        <v>34</v>
      </c>
      <c r="F17" s="116">
        <v>29</v>
      </c>
      <c r="G17" s="116">
        <v>134</v>
      </c>
      <c r="H17" s="116">
        <v>721</v>
      </c>
      <c r="I17" s="116">
        <v>902</v>
      </c>
      <c r="J17" s="116">
        <v>919</v>
      </c>
      <c r="K17" s="119">
        <v>596.64</v>
      </c>
      <c r="L17" s="120">
        <v>631.24</v>
      </c>
      <c r="M17" s="121">
        <f t="shared" si="0"/>
        <v>89.05074626865671</v>
      </c>
      <c r="N17" s="121"/>
      <c r="O17" s="142">
        <v>265</v>
      </c>
      <c r="P17" s="117">
        <v>18358.580000000002</v>
      </c>
      <c r="Q17" s="116">
        <v>23</v>
      </c>
      <c r="R17" s="116">
        <f>18015+300+2000+15+2198+75</f>
        <v>22603</v>
      </c>
      <c r="S17" s="116"/>
      <c r="T17" s="117"/>
      <c r="U17" s="116">
        <v>1922</v>
      </c>
      <c r="V17" s="117"/>
      <c r="W17" s="117"/>
      <c r="X17" s="4" t="s">
        <v>1972</v>
      </c>
      <c r="Y17" s="4" t="s">
        <v>548</v>
      </c>
      <c r="Z17" s="4" t="s">
        <v>549</v>
      </c>
      <c r="AA17" s="4" t="s">
        <v>547</v>
      </c>
      <c r="AB17" s="27"/>
      <c r="AC17" s="27"/>
      <c r="AD17" s="27"/>
      <c r="AE17" s="27"/>
    </row>
    <row r="18" spans="1:31" x14ac:dyDescent="0.25">
      <c r="A18" s="116" t="s">
        <v>1384</v>
      </c>
      <c r="B18" s="116" t="s">
        <v>204</v>
      </c>
      <c r="C18" s="116" t="s">
        <v>2155</v>
      </c>
      <c r="D18" s="117">
        <v>225</v>
      </c>
      <c r="E18" s="117">
        <v>21</v>
      </c>
      <c r="F18" s="116">
        <v>21</v>
      </c>
      <c r="G18" s="116">
        <v>130</v>
      </c>
      <c r="H18" s="116">
        <v>620</v>
      </c>
      <c r="I18" s="116">
        <v>333</v>
      </c>
      <c r="J18" s="116">
        <v>378</v>
      </c>
      <c r="K18" s="119">
        <v>605.52</v>
      </c>
      <c r="L18" s="120">
        <v>586.41999999999996</v>
      </c>
      <c r="M18" s="121">
        <f t="shared" si="0"/>
        <v>93.156923076923078</v>
      </c>
      <c r="N18" s="121"/>
      <c r="O18" s="142">
        <v>13667</v>
      </c>
      <c r="P18" s="117">
        <v>10629.64</v>
      </c>
      <c r="Q18" s="116">
        <v>11</v>
      </c>
      <c r="R18" s="116">
        <f>14200+1125+2525</f>
        <v>17850</v>
      </c>
      <c r="S18" s="116"/>
      <c r="T18" s="117"/>
      <c r="U18" s="116">
        <v>1922</v>
      </c>
      <c r="V18" s="117"/>
      <c r="W18" s="117"/>
      <c r="X18" s="4" t="s">
        <v>1972</v>
      </c>
      <c r="Y18" s="4" t="s">
        <v>548</v>
      </c>
      <c r="Z18" s="4" t="s">
        <v>549</v>
      </c>
      <c r="AA18" s="4" t="s">
        <v>547</v>
      </c>
      <c r="AB18" s="27"/>
      <c r="AC18" s="27"/>
      <c r="AD18" s="27"/>
      <c r="AE18" s="27"/>
    </row>
    <row r="19" spans="1:31" x14ac:dyDescent="0.25">
      <c r="A19" s="116" t="s">
        <v>1385</v>
      </c>
      <c r="B19" s="116" t="s">
        <v>204</v>
      </c>
      <c r="C19" s="116" t="s">
        <v>2156</v>
      </c>
      <c r="D19" s="117">
        <v>3546</v>
      </c>
      <c r="E19" s="117">
        <v>160</v>
      </c>
      <c r="F19" s="116">
        <v>100</v>
      </c>
      <c r="G19" s="116">
        <v>118</v>
      </c>
      <c r="H19" s="118">
        <v>2835</v>
      </c>
      <c r="I19" s="118">
        <v>5000</v>
      </c>
      <c r="J19" s="118">
        <v>4960</v>
      </c>
      <c r="K19" s="119">
        <v>673.91</v>
      </c>
      <c r="L19" s="120">
        <v>587.28</v>
      </c>
      <c r="M19" s="121">
        <f t="shared" si="0"/>
        <v>114.22203389830507</v>
      </c>
      <c r="N19" s="121"/>
      <c r="O19" s="142">
        <v>8900</v>
      </c>
      <c r="P19" s="117">
        <v>151522.54</v>
      </c>
      <c r="Q19" s="116">
        <v>55</v>
      </c>
      <c r="R19" s="116">
        <f>110725+4650+8450+550+17034+1040</f>
        <v>142449</v>
      </c>
      <c r="S19" s="116"/>
      <c r="T19" s="117"/>
      <c r="U19" s="116">
        <v>1922</v>
      </c>
      <c r="V19" s="117"/>
      <c r="W19" s="117"/>
      <c r="X19" s="4" t="s">
        <v>1972</v>
      </c>
      <c r="Y19" s="4" t="s">
        <v>548</v>
      </c>
      <c r="Z19" s="4" t="s">
        <v>549</v>
      </c>
      <c r="AA19" s="4" t="s">
        <v>547</v>
      </c>
      <c r="AB19" s="27"/>
      <c r="AC19" s="27"/>
      <c r="AD19" s="27"/>
      <c r="AE19" s="27"/>
    </row>
    <row r="20" spans="1:31" x14ac:dyDescent="0.25">
      <c r="A20" s="116" t="s">
        <v>1386</v>
      </c>
      <c r="B20" s="116" t="s">
        <v>204</v>
      </c>
      <c r="C20" s="116" t="s">
        <v>2157</v>
      </c>
      <c r="D20" s="117">
        <v>7592</v>
      </c>
      <c r="E20" s="117">
        <v>278</v>
      </c>
      <c r="F20" s="116">
        <v>144</v>
      </c>
      <c r="G20" s="116">
        <v>133</v>
      </c>
      <c r="H20" s="118">
        <v>7314</v>
      </c>
      <c r="I20" s="118">
        <v>12057</v>
      </c>
      <c r="J20" s="118">
        <v>11357</v>
      </c>
      <c r="K20" s="119">
        <v>731.88</v>
      </c>
      <c r="L20" s="120">
        <v>668.68</v>
      </c>
      <c r="M20" s="121">
        <f t="shared" si="0"/>
        <v>110.05714285714285</v>
      </c>
      <c r="N20" s="121"/>
      <c r="O20" s="142">
        <v>4520</v>
      </c>
      <c r="P20" s="117">
        <v>322241.69</v>
      </c>
      <c r="Q20" s="116">
        <v>90</v>
      </c>
      <c r="R20" s="116">
        <f>8900+1840+8900+1840+10500+1695</f>
        <v>33675</v>
      </c>
      <c r="S20" s="116"/>
      <c r="T20" s="117"/>
      <c r="U20" s="116">
        <v>1922</v>
      </c>
      <c r="V20" s="117"/>
      <c r="W20" s="117"/>
      <c r="X20" s="4" t="s">
        <v>1972</v>
      </c>
      <c r="Y20" s="4" t="s">
        <v>548</v>
      </c>
      <c r="Z20" s="4" t="s">
        <v>550</v>
      </c>
      <c r="AA20" s="4" t="s">
        <v>547</v>
      </c>
      <c r="AB20" s="27"/>
      <c r="AC20" s="27"/>
      <c r="AD20" s="27"/>
      <c r="AE20" s="27"/>
    </row>
    <row r="21" spans="1:31" x14ac:dyDescent="0.25">
      <c r="A21" s="116" t="s">
        <v>1387</v>
      </c>
      <c r="B21" s="116" t="s">
        <v>204</v>
      </c>
      <c r="C21" s="116" t="s">
        <v>2158</v>
      </c>
      <c r="D21" s="117">
        <v>2911</v>
      </c>
      <c r="E21" s="117">
        <v>165</v>
      </c>
      <c r="F21" s="116">
        <v>107</v>
      </c>
      <c r="G21" s="116">
        <v>155</v>
      </c>
      <c r="H21" s="118">
        <v>3187</v>
      </c>
      <c r="I21" s="118">
        <v>5016</v>
      </c>
      <c r="J21" s="116">
        <f>3058+492+370+213+477+205</f>
        <v>4815</v>
      </c>
      <c r="K21" s="119">
        <v>871.53</v>
      </c>
      <c r="L21" s="120">
        <v>790.08</v>
      </c>
      <c r="M21" s="121">
        <f t="shared" si="0"/>
        <v>112.45548387096774</v>
      </c>
      <c r="N21" s="121"/>
      <c r="O21" s="142">
        <v>5300</v>
      </c>
      <c r="P21" s="117">
        <v>261975.58</v>
      </c>
      <c r="Q21" s="116">
        <v>59</v>
      </c>
      <c r="R21" s="116">
        <f>156350+10875+17200+1710+44125+2015</f>
        <v>232275</v>
      </c>
      <c r="S21" s="116"/>
      <c r="T21" s="117"/>
      <c r="U21" s="116">
        <v>1922</v>
      </c>
      <c r="V21" s="117"/>
      <c r="W21" s="117"/>
      <c r="X21" s="4" t="s">
        <v>1972</v>
      </c>
      <c r="Y21" s="4" t="s">
        <v>548</v>
      </c>
      <c r="Z21" s="4" t="s">
        <v>550</v>
      </c>
      <c r="AA21" s="4" t="s">
        <v>547</v>
      </c>
      <c r="AB21" s="27"/>
      <c r="AC21" s="27"/>
      <c r="AD21" s="27"/>
      <c r="AE21" s="27"/>
    </row>
    <row r="22" spans="1:31" x14ac:dyDescent="0.25">
      <c r="A22" s="116" t="s">
        <v>1388</v>
      </c>
      <c r="B22" s="116" t="s">
        <v>204</v>
      </c>
      <c r="C22" s="116" t="s">
        <v>2159</v>
      </c>
      <c r="D22" s="117">
        <v>3935</v>
      </c>
      <c r="E22" s="117">
        <v>138</v>
      </c>
      <c r="F22" s="116">
        <v>93</v>
      </c>
      <c r="G22" s="116">
        <v>126</v>
      </c>
      <c r="H22" s="118">
        <v>3543</v>
      </c>
      <c r="I22" s="118">
        <v>5085</v>
      </c>
      <c r="J22" s="118">
        <v>5625</v>
      </c>
      <c r="K22" s="119">
        <v>931.86</v>
      </c>
      <c r="L22" s="120">
        <v>189.24</v>
      </c>
      <c r="M22" s="121">
        <f t="shared" si="0"/>
        <v>147.91428571428571</v>
      </c>
      <c r="N22" s="121"/>
      <c r="O22" s="142">
        <v>4145</v>
      </c>
      <c r="P22" s="117">
        <v>163491.10999999999</v>
      </c>
      <c r="Q22" s="116">
        <v>64</v>
      </c>
      <c r="R22" s="116">
        <f>58600+20150+14550+2690+15840+1000</f>
        <v>112830</v>
      </c>
      <c r="S22" s="116"/>
      <c r="T22" s="117"/>
      <c r="U22" s="116">
        <v>1922</v>
      </c>
      <c r="V22" s="117"/>
      <c r="W22" s="117"/>
      <c r="X22" s="4" t="s">
        <v>1972</v>
      </c>
      <c r="Y22" s="4" t="s">
        <v>548</v>
      </c>
      <c r="Z22" s="4" t="s">
        <v>550</v>
      </c>
      <c r="AA22" s="4" t="s">
        <v>547</v>
      </c>
      <c r="AB22" s="27"/>
      <c r="AC22" s="27"/>
      <c r="AD22" s="27"/>
      <c r="AE22" s="27"/>
    </row>
    <row r="23" spans="1:31" x14ac:dyDescent="0.25">
      <c r="A23" s="116" t="s">
        <v>1389</v>
      </c>
      <c r="B23" s="116" t="s">
        <v>204</v>
      </c>
      <c r="C23" s="116" t="s">
        <v>2160</v>
      </c>
      <c r="D23" s="117">
        <v>553</v>
      </c>
      <c r="E23" s="117">
        <v>36</v>
      </c>
      <c r="F23" s="116">
        <v>12</v>
      </c>
      <c r="G23" s="116">
        <v>149</v>
      </c>
      <c r="H23" s="116">
        <v>300</v>
      </c>
      <c r="I23" s="116">
        <v>11903</v>
      </c>
      <c r="J23" s="116">
        <v>797</v>
      </c>
      <c r="K23" s="119">
        <v>720.72</v>
      </c>
      <c r="L23" s="120">
        <v>403.33</v>
      </c>
      <c r="M23" s="121">
        <f t="shared" si="0"/>
        <v>96.740939597315432</v>
      </c>
      <c r="N23" s="121"/>
      <c r="P23" s="117">
        <v>47378.55</v>
      </c>
      <c r="Q23" s="116">
        <v>6</v>
      </c>
      <c r="R23" s="116">
        <f>1700+100+275.5</f>
        <v>2075.5</v>
      </c>
      <c r="S23" s="116"/>
      <c r="T23" s="117"/>
      <c r="U23" s="116">
        <v>1922</v>
      </c>
      <c r="V23" s="117"/>
      <c r="W23" s="117"/>
      <c r="X23" s="4" t="s">
        <v>1972</v>
      </c>
      <c r="Y23" s="4" t="s">
        <v>548</v>
      </c>
      <c r="Z23" s="4" t="s">
        <v>550</v>
      </c>
      <c r="AA23" s="4" t="s">
        <v>547</v>
      </c>
      <c r="AB23" s="27"/>
      <c r="AC23" s="27"/>
      <c r="AD23" s="27"/>
      <c r="AE23" s="27"/>
    </row>
    <row r="24" spans="1:31" x14ac:dyDescent="0.25">
      <c r="A24" s="116" t="s">
        <v>1390</v>
      </c>
      <c r="B24" s="116" t="s">
        <v>204</v>
      </c>
      <c r="C24" s="116" t="s">
        <v>2161</v>
      </c>
      <c r="D24" s="117">
        <v>607</v>
      </c>
      <c r="E24" s="117">
        <v>40</v>
      </c>
      <c r="F24" s="116">
        <v>40</v>
      </c>
      <c r="G24" s="116">
        <v>154</v>
      </c>
      <c r="H24" s="118">
        <v>1124</v>
      </c>
      <c r="I24" s="118">
        <v>1124</v>
      </c>
      <c r="J24" s="116">
        <v>1135</v>
      </c>
      <c r="K24" s="119">
        <v>964.25</v>
      </c>
      <c r="L24" s="120">
        <v>964.25</v>
      </c>
      <c r="M24" s="121">
        <f t="shared" si="0"/>
        <v>125.22727272727272</v>
      </c>
      <c r="N24" s="121"/>
      <c r="P24" s="117">
        <v>51387.92</v>
      </c>
      <c r="Q24" s="116">
        <v>12</v>
      </c>
      <c r="R24" s="116">
        <f>56900+4680+10710</f>
        <v>72290</v>
      </c>
      <c r="S24" s="116"/>
      <c r="T24" s="117"/>
      <c r="U24" s="116">
        <v>1922</v>
      </c>
      <c r="V24" s="117"/>
      <c r="W24" s="117"/>
      <c r="X24" s="4" t="s">
        <v>1972</v>
      </c>
      <c r="Y24" s="4" t="s">
        <v>548</v>
      </c>
      <c r="Z24" s="4" t="s">
        <v>550</v>
      </c>
      <c r="AA24" s="4" t="s">
        <v>547</v>
      </c>
      <c r="AB24" s="27"/>
      <c r="AC24" s="27"/>
      <c r="AD24" s="27"/>
      <c r="AE24" s="27"/>
    </row>
    <row r="25" spans="1:31" x14ac:dyDescent="0.25">
      <c r="A25" s="116" t="s">
        <v>1391</v>
      </c>
      <c r="B25" s="116" t="s">
        <v>204</v>
      </c>
      <c r="C25" s="116" t="s">
        <v>90</v>
      </c>
      <c r="D25" s="117">
        <v>453</v>
      </c>
      <c r="E25" s="117">
        <v>17</v>
      </c>
      <c r="F25" s="116">
        <v>3</v>
      </c>
      <c r="G25" s="116">
        <v>160</v>
      </c>
      <c r="H25" s="116">
        <v>95</v>
      </c>
      <c r="I25" s="116">
        <v>603</v>
      </c>
      <c r="J25" s="116">
        <v>641</v>
      </c>
      <c r="K25" s="119">
        <v>1418.23</v>
      </c>
      <c r="L25" s="120">
        <v>930</v>
      </c>
      <c r="M25" s="121">
        <f t="shared" si="0"/>
        <v>177.27875</v>
      </c>
      <c r="N25" s="121"/>
      <c r="P25" s="117">
        <v>27356.19</v>
      </c>
      <c r="Q25" s="116">
        <v>3</v>
      </c>
      <c r="R25" s="116">
        <f>450+20+330</f>
        <v>800</v>
      </c>
      <c r="S25" s="116"/>
      <c r="T25" s="117"/>
      <c r="U25" s="116">
        <v>1922</v>
      </c>
      <c r="V25" s="117"/>
      <c r="W25" s="117"/>
      <c r="X25" s="4" t="s">
        <v>1972</v>
      </c>
      <c r="Y25" s="4" t="s">
        <v>548</v>
      </c>
      <c r="Z25" s="4" t="s">
        <v>550</v>
      </c>
      <c r="AA25" s="4" t="s">
        <v>547</v>
      </c>
      <c r="AB25" s="27"/>
      <c r="AC25" s="27"/>
      <c r="AD25" s="27"/>
      <c r="AE25" s="27"/>
    </row>
    <row r="26" spans="1:31" x14ac:dyDescent="0.25">
      <c r="A26" s="116" t="s">
        <v>1392</v>
      </c>
      <c r="B26" s="116" t="s">
        <v>204</v>
      </c>
      <c r="C26" s="116" t="s">
        <v>2162</v>
      </c>
      <c r="D26" s="117">
        <v>4433</v>
      </c>
      <c r="E26" s="117">
        <v>181</v>
      </c>
      <c r="F26" s="116">
        <v>96</v>
      </c>
      <c r="G26" s="116">
        <v>118</v>
      </c>
      <c r="H26" s="118">
        <v>2974</v>
      </c>
      <c r="I26" s="118">
        <v>7072</v>
      </c>
      <c r="J26" s="118">
        <f>2877+318+2499+261</f>
        <v>5955</v>
      </c>
      <c r="K26" s="119">
        <v>880.87</v>
      </c>
      <c r="L26" s="120">
        <v>661.9</v>
      </c>
      <c r="M26" s="121">
        <f t="shared" si="0"/>
        <v>149.29999999999998</v>
      </c>
      <c r="N26" s="121"/>
      <c r="O26" s="142">
        <v>11950</v>
      </c>
      <c r="P26" s="117">
        <v>219550.77</v>
      </c>
      <c r="Q26" s="116">
        <v>50</v>
      </c>
      <c r="R26" s="116">
        <f>178550+6405+19220</f>
        <v>204175</v>
      </c>
      <c r="S26" s="116"/>
      <c r="T26" s="117"/>
      <c r="U26" s="116">
        <v>1922</v>
      </c>
      <c r="V26" s="117"/>
      <c r="W26" s="117"/>
      <c r="X26" s="4" t="s">
        <v>1972</v>
      </c>
      <c r="Y26" s="4" t="s">
        <v>548</v>
      </c>
      <c r="Z26" s="4" t="s">
        <v>550</v>
      </c>
      <c r="AA26" s="4" t="s">
        <v>547</v>
      </c>
      <c r="AB26" s="27"/>
      <c r="AC26" s="27"/>
      <c r="AD26" s="27"/>
      <c r="AE26" s="27"/>
    </row>
    <row r="27" spans="1:31" x14ac:dyDescent="0.25">
      <c r="A27" s="116" t="s">
        <v>1393</v>
      </c>
      <c r="B27" s="116" t="s">
        <v>204</v>
      </c>
      <c r="C27" s="116" t="s">
        <v>2163</v>
      </c>
      <c r="D27" s="117">
        <v>4015</v>
      </c>
      <c r="E27" s="117">
        <v>134</v>
      </c>
      <c r="F27" s="116">
        <v>104</v>
      </c>
      <c r="G27" s="116">
        <v>129</v>
      </c>
      <c r="H27" s="118">
        <v>3962</v>
      </c>
      <c r="I27" s="118">
        <v>5251</v>
      </c>
      <c r="J27" s="118">
        <f>4002+656+558</f>
        <v>5216</v>
      </c>
      <c r="K27" s="119">
        <v>720.82</v>
      </c>
      <c r="L27" s="120">
        <v>644.23</v>
      </c>
      <c r="M27" s="121">
        <f t="shared" si="0"/>
        <v>111.75503875968992</v>
      </c>
      <c r="N27" s="121"/>
      <c r="O27" s="142">
        <v>4675</v>
      </c>
      <c r="P27" s="117">
        <v>132909.94</v>
      </c>
      <c r="Q27" s="116">
        <v>69</v>
      </c>
      <c r="R27" s="116">
        <f>85000+30000+6000+2500+2400+500</f>
        <v>126400</v>
      </c>
      <c r="S27" s="116"/>
      <c r="T27" s="117"/>
      <c r="U27" s="116">
        <v>1922</v>
      </c>
      <c r="V27" s="117"/>
      <c r="W27" s="117"/>
      <c r="X27" s="4" t="s">
        <v>1972</v>
      </c>
      <c r="Y27" s="4" t="s">
        <v>548</v>
      </c>
      <c r="Z27" s="4" t="s">
        <v>550</v>
      </c>
      <c r="AA27" s="4" t="s">
        <v>547</v>
      </c>
      <c r="AB27" s="27"/>
      <c r="AC27" s="27"/>
      <c r="AD27" s="27"/>
      <c r="AE27" s="27"/>
    </row>
    <row r="28" spans="1:31" x14ac:dyDescent="0.25">
      <c r="A28" s="116" t="s">
        <v>1394</v>
      </c>
      <c r="B28" s="116" t="s">
        <v>204</v>
      </c>
      <c r="C28" s="116" t="s">
        <v>2164</v>
      </c>
      <c r="D28" s="117">
        <v>1728</v>
      </c>
      <c r="E28" s="117">
        <v>83</v>
      </c>
      <c r="F28" s="116">
        <v>53</v>
      </c>
      <c r="G28" s="116">
        <v>121</v>
      </c>
      <c r="H28" s="118">
        <v>1649</v>
      </c>
      <c r="I28" s="118">
        <v>2642</v>
      </c>
      <c r="J28" s="116">
        <v>2543</v>
      </c>
      <c r="K28" s="119">
        <v>590.19000000000005</v>
      </c>
      <c r="L28" s="120">
        <v>421.96</v>
      </c>
      <c r="M28" s="121">
        <f t="shared" si="0"/>
        <v>97.552066115702488</v>
      </c>
      <c r="N28" s="121"/>
      <c r="O28" s="142">
        <v>4020</v>
      </c>
      <c r="P28" s="117">
        <v>75831.39</v>
      </c>
      <c r="Q28" s="116">
        <v>36</v>
      </c>
      <c r="R28" s="116">
        <f>44200+1000+6600</f>
        <v>51800</v>
      </c>
      <c r="S28" s="116"/>
      <c r="T28" s="117"/>
      <c r="U28" s="116">
        <v>1922</v>
      </c>
      <c r="V28" s="117"/>
      <c r="W28" s="117"/>
      <c r="X28" s="4" t="s">
        <v>1972</v>
      </c>
      <c r="Y28" s="4" t="s">
        <v>548</v>
      </c>
      <c r="Z28" s="4" t="s">
        <v>550</v>
      </c>
      <c r="AA28" s="4" t="s">
        <v>547</v>
      </c>
      <c r="AB28" s="27"/>
      <c r="AC28" s="27"/>
      <c r="AD28" s="27"/>
      <c r="AE28" s="27"/>
    </row>
    <row r="29" spans="1:31" x14ac:dyDescent="0.25">
      <c r="A29" s="116" t="s">
        <v>1395</v>
      </c>
      <c r="B29" s="116" t="s">
        <v>204</v>
      </c>
      <c r="C29" s="116" t="s">
        <v>127</v>
      </c>
      <c r="D29" s="117">
        <v>3283</v>
      </c>
      <c r="E29" s="117">
        <v>150</v>
      </c>
      <c r="F29" s="116">
        <v>77</v>
      </c>
      <c r="G29" s="116">
        <v>140</v>
      </c>
      <c r="H29" s="116">
        <v>2898</v>
      </c>
      <c r="I29" s="116">
        <v>5217</v>
      </c>
      <c r="J29" s="116">
        <f>2655+1056+527+144+185+224</f>
        <v>4791</v>
      </c>
      <c r="K29" s="119">
        <v>694.96</v>
      </c>
      <c r="L29" s="120">
        <v>522.58000000000004</v>
      </c>
      <c r="M29" s="121">
        <f t="shared" si="0"/>
        <v>99.28</v>
      </c>
      <c r="N29" s="121"/>
      <c r="O29" s="142">
        <v>42405</v>
      </c>
      <c r="P29" s="117">
        <v>184656.43</v>
      </c>
      <c r="Q29" s="116">
        <v>61</v>
      </c>
      <c r="R29" s="116">
        <f>82200+4125+7000+1000+12500+700</f>
        <v>107525</v>
      </c>
      <c r="S29" s="116"/>
      <c r="T29" s="117"/>
      <c r="U29" s="116">
        <v>1922</v>
      </c>
      <c r="V29" s="117"/>
      <c r="W29" s="117"/>
      <c r="X29" s="4" t="s">
        <v>1972</v>
      </c>
      <c r="Y29" s="4" t="s">
        <v>548</v>
      </c>
      <c r="Z29" s="4" t="s">
        <v>550</v>
      </c>
      <c r="AA29" s="4" t="s">
        <v>547</v>
      </c>
      <c r="AB29" s="27"/>
      <c r="AC29" s="27"/>
      <c r="AD29" s="27"/>
      <c r="AE29" s="27"/>
    </row>
    <row r="30" spans="1:31" x14ac:dyDescent="0.25">
      <c r="A30" s="116" t="s">
        <v>1396</v>
      </c>
      <c r="B30" s="116" t="s">
        <v>204</v>
      </c>
      <c r="C30" s="116" t="s">
        <v>2165</v>
      </c>
      <c r="D30" s="117">
        <v>667</v>
      </c>
      <c r="E30" s="117">
        <v>29</v>
      </c>
      <c r="F30" s="116">
        <v>17</v>
      </c>
      <c r="G30" s="116">
        <v>137</v>
      </c>
      <c r="H30" s="116">
        <v>415</v>
      </c>
      <c r="I30" s="116">
        <v>894</v>
      </c>
      <c r="J30" s="116">
        <v>944</v>
      </c>
      <c r="K30" s="119">
        <v>628.72</v>
      </c>
      <c r="L30" s="120">
        <v>681.17</v>
      </c>
      <c r="M30" s="121">
        <f t="shared" si="0"/>
        <v>91.783941605839431</v>
      </c>
      <c r="N30" s="121"/>
      <c r="O30" s="142">
        <v>500</v>
      </c>
      <c r="P30" s="117">
        <v>45541.58</v>
      </c>
      <c r="Q30" s="116">
        <v>10</v>
      </c>
      <c r="R30" s="116">
        <f>28100+2640+1935+45</f>
        <v>32720</v>
      </c>
      <c r="S30" s="116"/>
      <c r="T30" s="117"/>
      <c r="U30" s="116">
        <v>1922</v>
      </c>
      <c r="V30" s="117"/>
      <c r="W30" s="117"/>
      <c r="X30" s="4" t="s">
        <v>1972</v>
      </c>
      <c r="Y30" s="4" t="s">
        <v>548</v>
      </c>
      <c r="Z30" s="4" t="s">
        <v>550</v>
      </c>
      <c r="AA30" s="4" t="s">
        <v>547</v>
      </c>
      <c r="AB30" s="27"/>
      <c r="AC30" s="27"/>
      <c r="AD30" s="27"/>
      <c r="AE30" s="27"/>
    </row>
    <row r="31" spans="1:31" x14ac:dyDescent="0.25">
      <c r="A31" s="116" t="s">
        <v>1397</v>
      </c>
      <c r="B31" s="116" t="s">
        <v>204</v>
      </c>
      <c r="C31" s="116" t="s">
        <v>2166</v>
      </c>
      <c r="D31" s="117">
        <v>1644</v>
      </c>
      <c r="E31" s="117">
        <v>98</v>
      </c>
      <c r="F31" s="116">
        <v>64</v>
      </c>
      <c r="G31" s="116">
        <v>126</v>
      </c>
      <c r="H31" s="118">
        <v>1321</v>
      </c>
      <c r="I31" s="118">
        <v>2826</v>
      </c>
      <c r="J31" s="118">
        <v>3191</v>
      </c>
      <c r="K31" s="119">
        <v>723.38</v>
      </c>
      <c r="L31" s="120">
        <v>653.9</v>
      </c>
      <c r="M31" s="121">
        <f t="shared" si="0"/>
        <v>114.82222222222222</v>
      </c>
      <c r="N31" s="121"/>
      <c r="O31" s="142">
        <v>11283</v>
      </c>
      <c r="P31" s="117">
        <v>121655.5</v>
      </c>
      <c r="Q31" s="116">
        <v>34</v>
      </c>
      <c r="R31" s="116">
        <f>1020+42+2300</f>
        <v>3362</v>
      </c>
      <c r="S31" s="116"/>
      <c r="T31" s="117"/>
      <c r="U31" s="116">
        <v>1922</v>
      </c>
      <c r="V31" s="117"/>
      <c r="W31" s="117"/>
      <c r="X31" s="4" t="s">
        <v>1972</v>
      </c>
      <c r="Y31" s="4" t="s">
        <v>548</v>
      </c>
      <c r="Z31" s="4" t="s">
        <v>550</v>
      </c>
      <c r="AA31" s="4" t="s">
        <v>547</v>
      </c>
      <c r="AB31" s="27"/>
      <c r="AC31" s="27"/>
      <c r="AD31" s="27"/>
      <c r="AE31" s="27"/>
    </row>
    <row r="32" spans="1:31" x14ac:dyDescent="0.25">
      <c r="A32" s="116" t="s">
        <v>1398</v>
      </c>
      <c r="B32" s="116" t="s">
        <v>204</v>
      </c>
      <c r="C32" s="116" t="s">
        <v>2078</v>
      </c>
      <c r="D32" s="117">
        <v>4993</v>
      </c>
      <c r="E32" s="117">
        <v>164</v>
      </c>
      <c r="F32" s="116">
        <v>33</v>
      </c>
      <c r="G32" s="116">
        <v>156</v>
      </c>
      <c r="H32" s="116">
        <v>1135</v>
      </c>
      <c r="I32" s="116">
        <v>5100</v>
      </c>
      <c r="J32" s="116">
        <f>1262+2062+125+1052+124+149+372+1187+127+99+168</f>
        <v>6727</v>
      </c>
      <c r="K32" s="119">
        <v>1255.81</v>
      </c>
      <c r="L32" s="120">
        <v>1078.21</v>
      </c>
      <c r="M32" s="121">
        <f t="shared" si="0"/>
        <v>161.00128205128206</v>
      </c>
      <c r="N32" s="121"/>
      <c r="O32" s="142">
        <v>1000</v>
      </c>
      <c r="P32" s="117">
        <v>387301.24</v>
      </c>
      <c r="Q32" s="116">
        <v>16</v>
      </c>
      <c r="R32" s="116">
        <f>84000+18000+7500</f>
        <v>109500</v>
      </c>
      <c r="S32" s="116"/>
      <c r="T32" s="117"/>
      <c r="U32" s="116">
        <v>1922</v>
      </c>
      <c r="V32" s="117"/>
      <c r="W32" s="117"/>
      <c r="X32" s="4" t="s">
        <v>1972</v>
      </c>
      <c r="Y32" s="4" t="s">
        <v>548</v>
      </c>
      <c r="Z32" s="4" t="s">
        <v>550</v>
      </c>
      <c r="AA32" s="4" t="s">
        <v>547</v>
      </c>
      <c r="AB32" s="27"/>
      <c r="AC32" s="27"/>
      <c r="AD32" s="27"/>
      <c r="AE32" s="27"/>
    </row>
    <row r="33" spans="1:31" x14ac:dyDescent="0.25">
      <c r="A33" s="116" t="s">
        <v>1399</v>
      </c>
      <c r="B33" s="116" t="s">
        <v>204</v>
      </c>
      <c r="C33" s="116" t="s">
        <v>1848</v>
      </c>
      <c r="D33" s="117">
        <v>2237</v>
      </c>
      <c r="E33" s="117">
        <v>76</v>
      </c>
      <c r="F33" s="116">
        <v>53</v>
      </c>
      <c r="G33" s="116">
        <v>120</v>
      </c>
      <c r="H33" s="116">
        <v>2105</v>
      </c>
      <c r="I33" s="116">
        <v>3197</v>
      </c>
      <c r="J33" s="116">
        <v>3272</v>
      </c>
      <c r="K33" s="119">
        <v>675.9</v>
      </c>
      <c r="L33" s="120">
        <v>578.66</v>
      </c>
      <c r="M33" s="121">
        <f t="shared" si="0"/>
        <v>112.64999999999999</v>
      </c>
      <c r="N33" s="121"/>
      <c r="O33" s="142">
        <v>4762</v>
      </c>
      <c r="P33" s="117">
        <v>81048.52</v>
      </c>
      <c r="Q33" s="116">
        <v>24</v>
      </c>
      <c r="R33" s="116">
        <f>30000+13300+2190+1000+10300+3550</f>
        <v>60340</v>
      </c>
      <c r="S33" s="116"/>
      <c r="T33" s="117"/>
      <c r="U33" s="116">
        <v>1922</v>
      </c>
      <c r="V33" s="117"/>
      <c r="W33" s="117"/>
      <c r="X33" s="4" t="s">
        <v>1972</v>
      </c>
      <c r="Y33" s="4" t="s">
        <v>548</v>
      </c>
      <c r="Z33" s="4" t="s">
        <v>550</v>
      </c>
      <c r="AA33" s="4" t="s">
        <v>547</v>
      </c>
      <c r="AB33" s="27"/>
      <c r="AC33" s="27"/>
      <c r="AD33" s="27"/>
      <c r="AE33" s="27"/>
    </row>
    <row r="34" spans="1:31" x14ac:dyDescent="0.25">
      <c r="A34" s="116" t="s">
        <v>1400</v>
      </c>
      <c r="B34" s="116" t="s">
        <v>204</v>
      </c>
      <c r="C34" s="116" t="s">
        <v>2167</v>
      </c>
      <c r="D34" s="117">
        <v>709</v>
      </c>
      <c r="E34" s="117">
        <v>35</v>
      </c>
      <c r="F34" s="116">
        <v>11</v>
      </c>
      <c r="G34" s="116">
        <v>153</v>
      </c>
      <c r="H34" s="116">
        <v>217</v>
      </c>
      <c r="I34" s="116">
        <v>930</v>
      </c>
      <c r="J34" s="116">
        <v>971</v>
      </c>
      <c r="K34" s="119">
        <v>1168.03</v>
      </c>
      <c r="L34" s="120">
        <v>855.56</v>
      </c>
      <c r="M34" s="121">
        <f t="shared" si="0"/>
        <v>152.68366013071895</v>
      </c>
      <c r="N34" s="121"/>
      <c r="O34" s="142">
        <v>200</v>
      </c>
      <c r="P34" s="117">
        <v>78496.62</v>
      </c>
      <c r="Q34" s="116">
        <v>14</v>
      </c>
      <c r="R34" s="116">
        <f>12960+1450+1765</f>
        <v>16175</v>
      </c>
      <c r="S34" s="116"/>
      <c r="T34" s="117"/>
      <c r="U34" s="116">
        <v>1922</v>
      </c>
      <c r="V34" s="117"/>
      <c r="W34" s="117"/>
      <c r="X34" s="4" t="s">
        <v>1972</v>
      </c>
      <c r="Y34" s="4" t="s">
        <v>548</v>
      </c>
      <c r="Z34" s="4" t="s">
        <v>550</v>
      </c>
      <c r="AA34" s="4" t="s">
        <v>547</v>
      </c>
      <c r="AB34" s="27"/>
      <c r="AC34" s="27"/>
      <c r="AD34" s="27"/>
      <c r="AE34" s="27"/>
    </row>
    <row r="35" spans="1:31" x14ac:dyDescent="0.25">
      <c r="A35" s="116" t="s">
        <v>1790</v>
      </c>
      <c r="B35" s="116" t="s">
        <v>204</v>
      </c>
      <c r="C35" s="116" t="s">
        <v>2168</v>
      </c>
      <c r="D35" s="117">
        <v>5853</v>
      </c>
      <c r="E35" s="117">
        <v>227</v>
      </c>
      <c r="F35" s="116">
        <v>178</v>
      </c>
      <c r="G35" s="116">
        <v>118</v>
      </c>
      <c r="H35" s="118">
        <v>7796</v>
      </c>
      <c r="I35" s="118">
        <v>9864</v>
      </c>
      <c r="J35" s="118">
        <v>9533</v>
      </c>
      <c r="K35" s="119">
        <v>655.14</v>
      </c>
      <c r="L35" s="120">
        <v>626.89</v>
      </c>
      <c r="M35" s="121">
        <f t="shared" si="0"/>
        <v>111.04067796610168</v>
      </c>
      <c r="N35" s="121"/>
      <c r="O35" s="142">
        <v>13045</v>
      </c>
      <c r="P35" s="117">
        <v>202693.5</v>
      </c>
      <c r="Q35" s="116">
        <v>99</v>
      </c>
      <c r="R35" s="116">
        <f>90275+15770+6315+2425+18281.35+4350.75</f>
        <v>137417.1</v>
      </c>
      <c r="S35" s="116"/>
      <c r="T35" s="117"/>
      <c r="U35" s="116">
        <v>1922</v>
      </c>
      <c r="V35" s="117"/>
      <c r="W35" s="117"/>
      <c r="X35" s="4" t="s">
        <v>1972</v>
      </c>
      <c r="Y35" s="4" t="s">
        <v>548</v>
      </c>
      <c r="Z35" s="4" t="s">
        <v>550</v>
      </c>
      <c r="AA35" s="4" t="s">
        <v>547</v>
      </c>
      <c r="AB35" s="27"/>
      <c r="AC35" s="27"/>
      <c r="AD35" s="27"/>
      <c r="AE35" s="27"/>
    </row>
    <row r="36" spans="1:31" x14ac:dyDescent="0.25">
      <c r="A36" s="116" t="s">
        <v>1401</v>
      </c>
      <c r="B36" s="116" t="s">
        <v>204</v>
      </c>
      <c r="C36" s="116" t="s">
        <v>2169</v>
      </c>
      <c r="D36" s="117">
        <v>360</v>
      </c>
      <c r="E36" s="117">
        <v>25</v>
      </c>
      <c r="F36" s="116">
        <v>25</v>
      </c>
      <c r="G36" s="116">
        <v>127</v>
      </c>
      <c r="H36" s="116">
        <v>456</v>
      </c>
      <c r="I36" s="116">
        <v>456</v>
      </c>
      <c r="J36" s="116">
        <v>458</v>
      </c>
      <c r="K36" s="119">
        <v>855.4</v>
      </c>
      <c r="L36" s="120">
        <v>855.4</v>
      </c>
      <c r="M36" s="121">
        <f t="shared" si="0"/>
        <v>134.70866141732284</v>
      </c>
      <c r="N36" s="121"/>
      <c r="O36" s="142">
        <v>1920</v>
      </c>
      <c r="P36" s="117">
        <v>39788.94</v>
      </c>
      <c r="Q36" s="116">
        <v>19</v>
      </c>
      <c r="R36" s="116">
        <f>55450+2935+4689</f>
        <v>63074</v>
      </c>
      <c r="S36" s="116"/>
      <c r="T36" s="117"/>
      <c r="U36" s="116">
        <v>1922</v>
      </c>
      <c r="V36" s="117"/>
      <c r="W36" s="117"/>
      <c r="X36" s="4" t="s">
        <v>1972</v>
      </c>
      <c r="Y36" s="4" t="s">
        <v>548</v>
      </c>
      <c r="Z36" s="4" t="s">
        <v>550</v>
      </c>
      <c r="AA36" s="4" t="s">
        <v>547</v>
      </c>
      <c r="AB36" s="27"/>
      <c r="AC36" s="27"/>
      <c r="AD36" s="27"/>
      <c r="AE36" s="27"/>
    </row>
    <row r="37" spans="1:31" x14ac:dyDescent="0.25">
      <c r="A37" s="116" t="s">
        <v>1402</v>
      </c>
      <c r="B37" s="116" t="s">
        <v>204</v>
      </c>
      <c r="C37" s="116" t="s">
        <v>11</v>
      </c>
      <c r="D37" s="117">
        <v>616</v>
      </c>
      <c r="E37" s="117">
        <v>30</v>
      </c>
      <c r="F37" s="116">
        <v>30</v>
      </c>
      <c r="G37" s="116">
        <v>158</v>
      </c>
      <c r="H37" s="116">
        <v>902</v>
      </c>
      <c r="I37" s="116">
        <v>902</v>
      </c>
      <c r="J37" s="116">
        <v>868</v>
      </c>
      <c r="K37" s="119">
        <v>1006.96</v>
      </c>
      <c r="L37" s="120">
        <v>1006.96</v>
      </c>
      <c r="M37" s="121">
        <f t="shared" si="0"/>
        <v>127.46329113924051</v>
      </c>
      <c r="N37" s="121"/>
      <c r="O37" s="142">
        <v>4657</v>
      </c>
      <c r="P37" s="117">
        <v>49375.360000000001</v>
      </c>
      <c r="Q37" s="116">
        <v>24</v>
      </c>
      <c r="R37" s="116">
        <f>34500+4800+1900+100+6500+1960</f>
        <v>49760</v>
      </c>
      <c r="S37" s="116"/>
      <c r="T37" s="117"/>
      <c r="U37" s="116">
        <v>1922</v>
      </c>
      <c r="V37" s="117"/>
      <c r="W37" s="117"/>
      <c r="X37" s="4" t="s">
        <v>1972</v>
      </c>
      <c r="Y37" s="4" t="s">
        <v>548</v>
      </c>
      <c r="Z37" s="4" t="s">
        <v>550</v>
      </c>
      <c r="AA37" s="4" t="s">
        <v>547</v>
      </c>
      <c r="AB37" s="27"/>
      <c r="AC37" s="27"/>
      <c r="AD37" s="27"/>
      <c r="AE37" s="27"/>
    </row>
    <row r="38" spans="1:31" x14ac:dyDescent="0.25">
      <c r="A38" s="116" t="s">
        <v>1403</v>
      </c>
      <c r="B38" s="116" t="s">
        <v>204</v>
      </c>
      <c r="C38" s="116" t="s">
        <v>92</v>
      </c>
      <c r="D38" s="117">
        <v>7806</v>
      </c>
      <c r="E38" s="117">
        <v>280</v>
      </c>
      <c r="F38" s="116">
        <v>188</v>
      </c>
      <c r="G38" s="116">
        <v>117</v>
      </c>
      <c r="H38" s="118">
        <v>6538</v>
      </c>
      <c r="I38" s="118">
        <v>10667</v>
      </c>
      <c r="J38" s="118">
        <v>11188</v>
      </c>
      <c r="K38" s="119">
        <v>659.66</v>
      </c>
      <c r="L38" s="120">
        <v>588.45000000000005</v>
      </c>
      <c r="M38" s="121">
        <f t="shared" si="0"/>
        <v>112.76239316239317</v>
      </c>
      <c r="N38" s="121"/>
      <c r="O38" s="142">
        <v>18225</v>
      </c>
      <c r="P38" s="117">
        <v>259327.27</v>
      </c>
      <c r="Q38" s="116">
        <v>93</v>
      </c>
      <c r="R38" s="116">
        <f>149980+32750+11650+2560+47985+7325</f>
        <v>252250</v>
      </c>
      <c r="S38" s="116"/>
      <c r="T38" s="117"/>
      <c r="U38" s="116">
        <v>1922</v>
      </c>
      <c r="V38" s="117"/>
      <c r="W38" s="117"/>
      <c r="X38" s="4" t="s">
        <v>1972</v>
      </c>
      <c r="Y38" s="4" t="s">
        <v>548</v>
      </c>
      <c r="Z38" s="4" t="s">
        <v>550</v>
      </c>
      <c r="AA38" s="4" t="s">
        <v>547</v>
      </c>
      <c r="AB38" s="27"/>
      <c r="AC38" s="27"/>
      <c r="AD38" s="27"/>
      <c r="AE38" s="27"/>
    </row>
    <row r="39" spans="1:31" x14ac:dyDescent="0.25">
      <c r="A39" s="116" t="s">
        <v>1404</v>
      </c>
      <c r="B39" s="116" t="s">
        <v>204</v>
      </c>
      <c r="C39" s="116" t="s">
        <v>2170</v>
      </c>
      <c r="D39" s="117">
        <v>2322</v>
      </c>
      <c r="E39" s="117">
        <v>94</v>
      </c>
      <c r="F39" s="116">
        <v>54</v>
      </c>
      <c r="G39" s="116">
        <v>136</v>
      </c>
      <c r="H39" s="118">
        <v>2037</v>
      </c>
      <c r="I39" s="118">
        <v>3997</v>
      </c>
      <c r="J39" s="118">
        <v>3803</v>
      </c>
      <c r="K39" s="119">
        <v>855.42</v>
      </c>
      <c r="L39" s="120">
        <v>679.24</v>
      </c>
      <c r="M39" s="121">
        <f t="shared" si="0"/>
        <v>125.79705882352941</v>
      </c>
      <c r="N39" s="121"/>
      <c r="O39" s="142">
        <v>9910</v>
      </c>
      <c r="P39" s="117">
        <v>143781.98000000001</v>
      </c>
      <c r="Q39" s="116">
        <v>29</v>
      </c>
      <c r="R39" s="116">
        <f>58875+4180+11935.25</f>
        <v>74990.25</v>
      </c>
      <c r="S39" s="116"/>
      <c r="T39" s="117"/>
      <c r="U39" s="116">
        <v>1922</v>
      </c>
      <c r="V39" s="117"/>
      <c r="W39" s="117"/>
      <c r="X39" s="4" t="s">
        <v>1972</v>
      </c>
      <c r="Y39" s="4" t="s">
        <v>548</v>
      </c>
      <c r="Z39" s="4" t="s">
        <v>550</v>
      </c>
      <c r="AA39" s="4" t="s">
        <v>547</v>
      </c>
      <c r="AB39" s="27"/>
      <c r="AC39" s="27"/>
      <c r="AD39" s="27"/>
      <c r="AE39" s="27"/>
    </row>
    <row r="40" spans="1:31" x14ac:dyDescent="0.25">
      <c r="A40" s="116" t="s">
        <v>1405</v>
      </c>
      <c r="B40" s="116" t="s">
        <v>204</v>
      </c>
      <c r="C40" s="116" t="s">
        <v>2171</v>
      </c>
      <c r="D40" s="117">
        <v>3079</v>
      </c>
      <c r="E40" s="117">
        <v>148</v>
      </c>
      <c r="F40" s="116">
        <v>104</v>
      </c>
      <c r="G40" s="116">
        <v>123</v>
      </c>
      <c r="H40" s="118">
        <v>2881</v>
      </c>
      <c r="I40" s="118">
        <v>4743</v>
      </c>
      <c r="J40" s="118">
        <v>4473</v>
      </c>
      <c r="K40" s="119">
        <v>715.93</v>
      </c>
      <c r="L40" s="120">
        <v>577.58000000000004</v>
      </c>
      <c r="M40" s="121">
        <f t="shared" si="0"/>
        <v>116.41138211382112</v>
      </c>
      <c r="N40" s="121"/>
      <c r="O40" s="142">
        <v>10845</v>
      </c>
      <c r="P40" s="117">
        <v>169563.18</v>
      </c>
      <c r="Q40" s="116">
        <v>60</v>
      </c>
      <c r="R40" s="116">
        <f>58000+6000+13200</f>
        <v>77200</v>
      </c>
      <c r="S40" s="116"/>
      <c r="T40" s="117"/>
      <c r="U40" s="116">
        <v>1922</v>
      </c>
      <c r="V40" s="117"/>
      <c r="W40" s="117"/>
      <c r="X40" s="4" t="s">
        <v>1972</v>
      </c>
      <c r="Y40" s="4" t="s">
        <v>548</v>
      </c>
      <c r="Z40" s="4" t="s">
        <v>550</v>
      </c>
      <c r="AA40" s="4" t="s">
        <v>547</v>
      </c>
      <c r="AB40" s="27"/>
      <c r="AC40" s="27"/>
      <c r="AD40" s="27"/>
      <c r="AE40" s="27"/>
    </row>
    <row r="41" spans="1:31" x14ac:dyDescent="0.25">
      <c r="A41" s="116" t="s">
        <v>1791</v>
      </c>
      <c r="B41" s="116" t="s">
        <v>204</v>
      </c>
      <c r="C41" s="116" t="s">
        <v>2172</v>
      </c>
      <c r="F41" s="117"/>
      <c r="G41" s="117"/>
      <c r="H41" s="117"/>
      <c r="I41" s="117"/>
      <c r="J41" s="117"/>
      <c r="K41" s="140"/>
      <c r="L41" s="122"/>
      <c r="M41" s="121" t="e">
        <f t="shared" si="0"/>
        <v>#DIV/0!</v>
      </c>
      <c r="N41" s="121"/>
      <c r="O41" s="142">
        <v>3559</v>
      </c>
      <c r="P41" s="117">
        <v>11368.19</v>
      </c>
      <c r="Q41" s="117"/>
      <c r="R41" s="117"/>
      <c r="S41" s="117"/>
      <c r="T41" s="117"/>
      <c r="U41" s="116">
        <v>1922</v>
      </c>
      <c r="V41" s="117"/>
      <c r="W41" s="117"/>
      <c r="X41" s="4" t="s">
        <v>1972</v>
      </c>
      <c r="Y41" s="4" t="s">
        <v>548</v>
      </c>
      <c r="Z41" s="4" t="s">
        <v>550</v>
      </c>
      <c r="AA41" s="4" t="s">
        <v>547</v>
      </c>
      <c r="AB41" s="27"/>
      <c r="AC41" s="27"/>
      <c r="AD41" s="27"/>
      <c r="AE41" s="27"/>
    </row>
    <row r="42" spans="1:31" x14ac:dyDescent="0.25">
      <c r="A42" s="116" t="s">
        <v>1406</v>
      </c>
      <c r="B42" s="116" t="s">
        <v>204</v>
      </c>
      <c r="C42" s="116" t="s">
        <v>2173</v>
      </c>
      <c r="D42" s="117">
        <v>1173</v>
      </c>
      <c r="E42" s="117">
        <v>54</v>
      </c>
      <c r="F42" s="116">
        <v>43</v>
      </c>
      <c r="G42" s="116">
        <v>106</v>
      </c>
      <c r="H42" s="116">
        <v>1618</v>
      </c>
      <c r="I42" s="116">
        <v>1618</v>
      </c>
      <c r="J42" s="116">
        <v>1197</v>
      </c>
      <c r="K42" s="119">
        <v>625.46</v>
      </c>
      <c r="L42" s="120">
        <v>654.29999999999995</v>
      </c>
      <c r="M42" s="121">
        <f t="shared" si="0"/>
        <v>118.01132075471699</v>
      </c>
      <c r="N42" s="121"/>
      <c r="O42" s="142">
        <v>13307</v>
      </c>
      <c r="P42" s="117">
        <v>55449.45</v>
      </c>
      <c r="Q42" s="116">
        <v>27</v>
      </c>
      <c r="R42" s="116">
        <f>4600+1570+6700</f>
        <v>12870</v>
      </c>
      <c r="S42" s="116"/>
      <c r="T42" s="117"/>
      <c r="U42" s="116">
        <v>1922</v>
      </c>
      <c r="V42" s="117"/>
      <c r="W42" s="117"/>
      <c r="X42" s="4" t="s">
        <v>1972</v>
      </c>
      <c r="Y42" s="4" t="s">
        <v>548</v>
      </c>
      <c r="Z42" s="4" t="s">
        <v>550</v>
      </c>
      <c r="AA42" s="4" t="s">
        <v>551</v>
      </c>
      <c r="AB42" s="27"/>
      <c r="AC42" s="27"/>
      <c r="AD42" s="27"/>
      <c r="AE42" s="27"/>
    </row>
    <row r="43" spans="1:31" x14ac:dyDescent="0.25">
      <c r="A43" s="116" t="s">
        <v>1407</v>
      </c>
      <c r="B43" s="116" t="s">
        <v>204</v>
      </c>
      <c r="C43" s="116" t="s">
        <v>2174</v>
      </c>
      <c r="D43" s="117">
        <v>3976</v>
      </c>
      <c r="E43" s="117">
        <v>157</v>
      </c>
      <c r="F43" s="116">
        <v>113</v>
      </c>
      <c r="G43" s="116">
        <v>126</v>
      </c>
      <c r="H43" s="118">
        <v>4005</v>
      </c>
      <c r="I43" s="118">
        <v>5723</v>
      </c>
      <c r="J43" s="118">
        <f>4339+1091+167+575</f>
        <v>6172</v>
      </c>
      <c r="K43" s="119">
        <v>791.85</v>
      </c>
      <c r="L43" s="120">
        <v>700.26</v>
      </c>
      <c r="M43" s="121">
        <f t="shared" si="0"/>
        <v>125.6904761904762</v>
      </c>
      <c r="N43" s="121"/>
      <c r="O43" s="142">
        <v>21385</v>
      </c>
      <c r="P43" s="117">
        <v>224945.82</v>
      </c>
      <c r="Q43" s="116">
        <v>59</v>
      </c>
      <c r="R43" s="116">
        <f>151200+7950+30000</f>
        <v>189150</v>
      </c>
      <c r="S43" s="116"/>
      <c r="T43" s="117"/>
      <c r="U43" s="116">
        <v>1922</v>
      </c>
      <c r="V43" s="117"/>
      <c r="W43" s="117"/>
      <c r="X43" s="4" t="s">
        <v>1972</v>
      </c>
      <c r="Y43" s="4" t="s">
        <v>548</v>
      </c>
      <c r="Z43" s="4" t="s">
        <v>550</v>
      </c>
      <c r="AA43" s="4" t="s">
        <v>551</v>
      </c>
      <c r="AB43" s="27"/>
      <c r="AC43" s="27"/>
      <c r="AD43" s="27"/>
      <c r="AE43" s="27"/>
    </row>
    <row r="44" spans="1:31" x14ac:dyDescent="0.25">
      <c r="A44" s="116" t="s">
        <v>1408</v>
      </c>
      <c r="B44" s="116" t="s">
        <v>204</v>
      </c>
      <c r="C44" s="116" t="s">
        <v>2175</v>
      </c>
      <c r="D44" s="117">
        <v>9198</v>
      </c>
      <c r="E44" s="117">
        <v>399</v>
      </c>
      <c r="F44" s="116">
        <v>203</v>
      </c>
      <c r="G44" s="116">
        <v>155</v>
      </c>
      <c r="H44" s="118">
        <v>7300</v>
      </c>
      <c r="I44" s="118">
        <v>16601</v>
      </c>
      <c r="J44" s="118">
        <f>7662+328+340+232+591+683+462+265+2272+276+169+302+414+183+270+353</f>
        <v>14802</v>
      </c>
      <c r="K44" s="119">
        <v>738.1</v>
      </c>
      <c r="L44" s="120">
        <v>625.52</v>
      </c>
      <c r="M44" s="121">
        <f t="shared" si="0"/>
        <v>95.238709677419351</v>
      </c>
      <c r="N44" s="121"/>
      <c r="O44" s="26"/>
      <c r="P44" s="117">
        <v>472116.24</v>
      </c>
      <c r="Q44" s="116">
        <v>103</v>
      </c>
      <c r="R44" s="116">
        <f>184650+1400+38000+800+44600+500</f>
        <v>269950</v>
      </c>
      <c r="S44" s="116"/>
      <c r="T44" s="117"/>
      <c r="U44" s="116">
        <v>1922</v>
      </c>
      <c r="V44" s="117"/>
      <c r="W44" s="117"/>
      <c r="X44" s="4" t="s">
        <v>1972</v>
      </c>
      <c r="Y44" s="4" t="s">
        <v>548</v>
      </c>
      <c r="Z44" s="4" t="s">
        <v>550</v>
      </c>
      <c r="AA44" s="4" t="s">
        <v>551</v>
      </c>
      <c r="AB44" s="27"/>
      <c r="AC44" s="27"/>
      <c r="AD44" s="27"/>
      <c r="AE44" s="27"/>
    </row>
    <row r="45" spans="1:31" x14ac:dyDescent="0.25">
      <c r="A45" s="116" t="s">
        <v>1409</v>
      </c>
      <c r="B45" s="116" t="s">
        <v>204</v>
      </c>
      <c r="C45" s="116" t="s">
        <v>2176</v>
      </c>
      <c r="D45" s="117">
        <v>2279</v>
      </c>
      <c r="E45" s="117">
        <v>88</v>
      </c>
      <c r="F45" s="116">
        <v>66</v>
      </c>
      <c r="G45" s="116">
        <v>125</v>
      </c>
      <c r="H45" s="118">
        <v>2244</v>
      </c>
      <c r="I45" s="118">
        <v>3241</v>
      </c>
      <c r="J45" s="118">
        <v>3173</v>
      </c>
      <c r="K45" s="119">
        <v>726.7</v>
      </c>
      <c r="L45" s="120">
        <v>685.73</v>
      </c>
      <c r="M45" s="121">
        <f t="shared" si="0"/>
        <v>116.27200000000001</v>
      </c>
      <c r="N45" s="121"/>
      <c r="O45" s="142">
        <v>8130</v>
      </c>
      <c r="P45" s="117">
        <v>123264.48</v>
      </c>
      <c r="Q45" s="116">
        <v>38</v>
      </c>
      <c r="R45" s="116">
        <f>400000+3300+22500</f>
        <v>425800</v>
      </c>
      <c r="S45" s="116"/>
      <c r="T45" s="117"/>
      <c r="U45" s="116">
        <v>1922</v>
      </c>
      <c r="V45" s="117"/>
      <c r="W45" s="117"/>
      <c r="X45" s="4" t="s">
        <v>1972</v>
      </c>
      <c r="Y45" s="4" t="s">
        <v>548</v>
      </c>
      <c r="Z45" s="4" t="s">
        <v>550</v>
      </c>
      <c r="AA45" s="4" t="s">
        <v>551</v>
      </c>
      <c r="AB45" s="27"/>
      <c r="AC45" s="27"/>
      <c r="AD45" s="27"/>
      <c r="AE45" s="27"/>
    </row>
    <row r="46" spans="1:31" x14ac:dyDescent="0.25">
      <c r="A46" s="116" t="s">
        <v>1410</v>
      </c>
      <c r="B46" s="116" t="s">
        <v>204</v>
      </c>
      <c r="C46" s="116" t="s">
        <v>173</v>
      </c>
      <c r="D46" s="117">
        <v>1914</v>
      </c>
      <c r="E46" s="117">
        <v>139</v>
      </c>
      <c r="F46" s="116">
        <v>88</v>
      </c>
      <c r="G46" s="116">
        <v>134</v>
      </c>
      <c r="H46" s="118">
        <v>2477</v>
      </c>
      <c r="I46" s="118">
        <v>4230</v>
      </c>
      <c r="J46" s="118">
        <v>4130</v>
      </c>
      <c r="K46" s="119">
        <v>671.7</v>
      </c>
      <c r="L46" s="120">
        <v>541.07000000000005</v>
      </c>
      <c r="M46" s="121">
        <f t="shared" si="0"/>
        <v>100.25373134328359</v>
      </c>
      <c r="N46" s="121"/>
      <c r="O46" s="142">
        <v>2625</v>
      </c>
      <c r="P46" s="117">
        <v>146403.91</v>
      </c>
      <c r="Q46" s="116">
        <v>56</v>
      </c>
      <c r="R46" s="116">
        <f>53800+6405+5410+1370+10370+650</f>
        <v>78005</v>
      </c>
      <c r="S46" s="116"/>
      <c r="T46" s="117"/>
      <c r="U46" s="116">
        <v>1922</v>
      </c>
      <c r="V46" s="117"/>
      <c r="W46" s="117"/>
      <c r="X46" s="4" t="s">
        <v>1972</v>
      </c>
      <c r="Y46" s="4" t="s">
        <v>548</v>
      </c>
      <c r="Z46" s="4" t="s">
        <v>550</v>
      </c>
      <c r="AA46" s="4" t="s">
        <v>551</v>
      </c>
      <c r="AB46" s="27"/>
      <c r="AC46" s="27"/>
      <c r="AD46" s="27"/>
      <c r="AE46" s="27"/>
    </row>
    <row r="47" spans="1:31" x14ac:dyDescent="0.25">
      <c r="A47" s="116" t="s">
        <v>1411</v>
      </c>
      <c r="B47" s="116" t="s">
        <v>204</v>
      </c>
      <c r="C47" s="116" t="s">
        <v>2177</v>
      </c>
      <c r="D47" s="117">
        <v>1020</v>
      </c>
      <c r="E47" s="117">
        <v>47</v>
      </c>
      <c r="F47" s="116">
        <v>28</v>
      </c>
      <c r="G47" s="116">
        <v>165</v>
      </c>
      <c r="H47" s="116">
        <v>768</v>
      </c>
      <c r="I47" s="116">
        <v>1445</v>
      </c>
      <c r="J47" s="116">
        <v>1469</v>
      </c>
      <c r="K47" s="119">
        <v>885.38</v>
      </c>
      <c r="L47" s="120">
        <v>783.68</v>
      </c>
      <c r="M47" s="121">
        <f t="shared" si="0"/>
        <v>107.31878787878787</v>
      </c>
      <c r="N47" s="121"/>
      <c r="O47" s="142">
        <v>1060</v>
      </c>
      <c r="P47" s="117">
        <v>67712.12</v>
      </c>
      <c r="Q47" s="116">
        <v>26</v>
      </c>
      <c r="R47" s="116">
        <f>19200+4890+2239</f>
        <v>26329</v>
      </c>
      <c r="S47" s="116"/>
      <c r="T47" s="117"/>
      <c r="U47" s="116">
        <v>1922</v>
      </c>
      <c r="V47" s="117"/>
      <c r="W47" s="117"/>
      <c r="X47" s="4" t="s">
        <v>1972</v>
      </c>
      <c r="Y47" s="4" t="s">
        <v>548</v>
      </c>
      <c r="Z47" s="4" t="s">
        <v>550</v>
      </c>
      <c r="AA47" s="4" t="s">
        <v>551</v>
      </c>
      <c r="AB47" s="27"/>
      <c r="AC47" s="27"/>
      <c r="AD47" s="27"/>
      <c r="AE47" s="27"/>
    </row>
    <row r="48" spans="1:31" x14ac:dyDescent="0.25">
      <c r="A48" s="116" t="s">
        <v>1412</v>
      </c>
      <c r="B48" s="116" t="s">
        <v>204</v>
      </c>
      <c r="C48" s="116" t="s">
        <v>2178</v>
      </c>
      <c r="D48" s="117">
        <v>4907</v>
      </c>
      <c r="E48" s="117">
        <v>211</v>
      </c>
      <c r="F48" s="116">
        <v>131</v>
      </c>
      <c r="G48" s="116">
        <v>116</v>
      </c>
      <c r="H48" s="118">
        <v>3448</v>
      </c>
      <c r="I48" s="118">
        <v>7416</v>
      </c>
      <c r="J48" s="118">
        <v>6651</v>
      </c>
      <c r="K48" s="119">
        <v>734.2</v>
      </c>
      <c r="L48" s="120">
        <v>639.4</v>
      </c>
      <c r="M48" s="121">
        <f t="shared" si="0"/>
        <v>126.58620689655173</v>
      </c>
      <c r="N48" s="121"/>
      <c r="O48" s="142">
        <v>18014</v>
      </c>
      <c r="P48" s="117">
        <v>209999.83</v>
      </c>
      <c r="Q48" s="116">
        <v>66</v>
      </c>
      <c r="R48" s="116">
        <f>161500+12500+35700</f>
        <v>209700</v>
      </c>
      <c r="S48" s="116"/>
      <c r="T48" s="117"/>
      <c r="U48" s="116">
        <v>1922</v>
      </c>
      <c r="V48" s="117"/>
      <c r="W48" s="117"/>
      <c r="X48" s="4" t="s">
        <v>1972</v>
      </c>
      <c r="Y48" s="4" t="s">
        <v>548</v>
      </c>
      <c r="Z48" s="4" t="s">
        <v>550</v>
      </c>
      <c r="AA48" s="4" t="s">
        <v>551</v>
      </c>
      <c r="AB48" s="27"/>
      <c r="AC48" s="27"/>
      <c r="AD48" s="27"/>
      <c r="AE48" s="27"/>
    </row>
    <row r="49" spans="1:31" x14ac:dyDescent="0.25">
      <c r="A49" s="116" t="s">
        <v>1413</v>
      </c>
      <c r="B49" s="116" t="s">
        <v>204</v>
      </c>
      <c r="C49" s="116" t="s">
        <v>2179</v>
      </c>
      <c r="D49" s="117">
        <v>755</v>
      </c>
      <c r="E49" s="117">
        <v>42</v>
      </c>
      <c r="F49" s="116">
        <v>24</v>
      </c>
      <c r="G49" s="116">
        <v>130</v>
      </c>
      <c r="H49" s="116">
        <v>540</v>
      </c>
      <c r="I49" s="116">
        <v>1064</v>
      </c>
      <c r="J49" s="116">
        <v>1227</v>
      </c>
      <c r="K49" s="119">
        <v>770.47</v>
      </c>
      <c r="L49" s="120">
        <v>570.83000000000004</v>
      </c>
      <c r="M49" s="121">
        <f t="shared" si="0"/>
        <v>118.53384615384616</v>
      </c>
      <c r="N49" s="121"/>
      <c r="O49" s="142">
        <v>5770</v>
      </c>
      <c r="P49" s="117">
        <v>49187.83</v>
      </c>
      <c r="Q49" s="116">
        <v>15</v>
      </c>
      <c r="R49" s="116">
        <f>25300+2435+6225</f>
        <v>33960</v>
      </c>
      <c r="S49" s="116"/>
      <c r="T49" s="117"/>
      <c r="U49" s="116">
        <v>1922</v>
      </c>
      <c r="V49" s="117"/>
      <c r="W49" s="117"/>
      <c r="X49" s="4" t="s">
        <v>1972</v>
      </c>
      <c r="Y49" s="4" t="s">
        <v>548</v>
      </c>
      <c r="Z49" s="4" t="s">
        <v>550</v>
      </c>
      <c r="AA49" s="4" t="s">
        <v>551</v>
      </c>
      <c r="AB49" s="27"/>
      <c r="AC49" s="27"/>
      <c r="AD49" s="27"/>
      <c r="AE49" s="27"/>
    </row>
    <row r="50" spans="1:31" x14ac:dyDescent="0.25">
      <c r="A50" s="116" t="s">
        <v>1414</v>
      </c>
      <c r="B50" s="116" t="s">
        <v>204</v>
      </c>
      <c r="C50" s="116" t="s">
        <v>2180</v>
      </c>
      <c r="D50" s="117">
        <v>4427</v>
      </c>
      <c r="E50" s="117">
        <v>193</v>
      </c>
      <c r="F50" s="116">
        <v>123</v>
      </c>
      <c r="G50" s="116">
        <v>124</v>
      </c>
      <c r="H50" s="116">
        <v>4164</v>
      </c>
      <c r="I50" s="116">
        <v>6809</v>
      </c>
      <c r="J50" s="116">
        <f>4128+2251+194+232</f>
        <v>6805</v>
      </c>
      <c r="K50" s="119">
        <v>805.72</v>
      </c>
      <c r="L50" s="120">
        <v>718.6</v>
      </c>
      <c r="M50" s="121">
        <f t="shared" si="0"/>
        <v>129.95483870967743</v>
      </c>
      <c r="N50" s="121"/>
      <c r="O50" s="142">
        <v>6650</v>
      </c>
      <c r="P50" s="117">
        <v>246299.12</v>
      </c>
      <c r="Q50" s="116">
        <v>82</v>
      </c>
      <c r="R50" s="116">
        <f>125000+1500+6400+50+7500+150</f>
        <v>140600</v>
      </c>
      <c r="S50" s="116"/>
      <c r="T50" s="117"/>
      <c r="U50" s="116">
        <v>1922</v>
      </c>
      <c r="V50" s="117"/>
      <c r="W50" s="117"/>
      <c r="X50" s="4" t="s">
        <v>1972</v>
      </c>
      <c r="Y50" s="4" t="s">
        <v>548</v>
      </c>
      <c r="Z50" s="4" t="s">
        <v>550</v>
      </c>
      <c r="AA50" s="4" t="s">
        <v>551</v>
      </c>
      <c r="AB50" s="27"/>
      <c r="AC50" s="27"/>
      <c r="AD50" s="27"/>
      <c r="AE50" s="27"/>
    </row>
    <row r="51" spans="1:31" x14ac:dyDescent="0.25">
      <c r="A51" s="116" t="s">
        <v>1415</v>
      </c>
      <c r="B51" s="116" t="s">
        <v>204</v>
      </c>
      <c r="C51" s="116" t="s">
        <v>2181</v>
      </c>
      <c r="D51" s="117">
        <v>4766</v>
      </c>
      <c r="E51" s="117">
        <v>297</v>
      </c>
      <c r="F51" s="116">
        <v>143</v>
      </c>
      <c r="G51" s="116">
        <v>122</v>
      </c>
      <c r="H51" s="116">
        <v>4596</v>
      </c>
      <c r="I51" s="116">
        <v>7310</v>
      </c>
      <c r="J51" s="116">
        <v>7468</v>
      </c>
      <c r="K51" s="119">
        <v>404.72</v>
      </c>
      <c r="L51" s="120">
        <v>577.38</v>
      </c>
      <c r="M51" s="121">
        <f t="shared" si="0"/>
        <v>66.347540983606564</v>
      </c>
      <c r="N51" s="121"/>
      <c r="O51" s="142">
        <v>14100</v>
      </c>
      <c r="P51" s="117">
        <v>206163.04</v>
      </c>
      <c r="Q51" s="116">
        <v>68</v>
      </c>
      <c r="R51" s="116">
        <f>126300+100+10015+100+26630+50</f>
        <v>163195</v>
      </c>
      <c r="S51" s="116"/>
      <c r="T51" s="117"/>
      <c r="U51" s="116">
        <v>1922</v>
      </c>
      <c r="V51" s="117"/>
      <c r="W51" s="117"/>
      <c r="X51" s="4" t="s">
        <v>1972</v>
      </c>
      <c r="Y51" s="4" t="s">
        <v>548</v>
      </c>
      <c r="Z51" s="4" t="s">
        <v>550</v>
      </c>
      <c r="AA51" s="4" t="s">
        <v>551</v>
      </c>
      <c r="AB51" s="27"/>
      <c r="AC51" s="27"/>
      <c r="AD51" s="27"/>
      <c r="AE51" s="27"/>
    </row>
    <row r="52" spans="1:31" x14ac:dyDescent="0.25">
      <c r="A52" s="116" t="s">
        <v>1416</v>
      </c>
      <c r="B52" s="116" t="s">
        <v>204</v>
      </c>
      <c r="C52" s="116" t="s">
        <v>2182</v>
      </c>
      <c r="D52" s="117">
        <v>1117</v>
      </c>
      <c r="E52" s="117">
        <v>59</v>
      </c>
      <c r="F52" s="116">
        <v>42</v>
      </c>
      <c r="G52" s="116">
        <v>128</v>
      </c>
      <c r="H52" s="118">
        <v>1420</v>
      </c>
      <c r="I52" s="118">
        <v>2138</v>
      </c>
      <c r="J52" s="118">
        <v>2004</v>
      </c>
      <c r="K52" s="119">
        <v>805.38</v>
      </c>
      <c r="L52" s="120">
        <v>755.95</v>
      </c>
      <c r="M52" s="121">
        <f t="shared" si="0"/>
        <v>125.84062499999999</v>
      </c>
      <c r="N52" s="121"/>
      <c r="O52" s="142">
        <v>3955</v>
      </c>
      <c r="P52" s="117">
        <v>79439.8</v>
      </c>
      <c r="Q52" s="116">
        <v>23</v>
      </c>
      <c r="R52" s="116">
        <f>75550+3382+10912</f>
        <v>89844</v>
      </c>
      <c r="S52" s="116"/>
      <c r="T52" s="117"/>
      <c r="U52" s="116">
        <v>1922</v>
      </c>
      <c r="V52" s="117"/>
      <c r="W52" s="117"/>
      <c r="X52" s="4" t="s">
        <v>1972</v>
      </c>
      <c r="Y52" s="4" t="s">
        <v>548</v>
      </c>
      <c r="Z52" s="4" t="s">
        <v>550</v>
      </c>
      <c r="AA52" s="4" t="s">
        <v>551</v>
      </c>
      <c r="AB52" s="27"/>
      <c r="AC52" s="27"/>
      <c r="AD52" s="27"/>
      <c r="AE52" s="27"/>
    </row>
    <row r="53" spans="1:31" x14ac:dyDescent="0.25">
      <c r="A53" s="116" t="s">
        <v>1418</v>
      </c>
      <c r="B53" s="116" t="s">
        <v>204</v>
      </c>
      <c r="C53" s="116" t="s">
        <v>2183</v>
      </c>
      <c r="D53" s="117">
        <v>242</v>
      </c>
      <c r="E53" s="117">
        <v>13</v>
      </c>
      <c r="F53" s="116">
        <v>13</v>
      </c>
      <c r="G53" s="116">
        <v>150</v>
      </c>
      <c r="H53" s="116">
        <v>302</v>
      </c>
      <c r="I53" s="116">
        <v>302</v>
      </c>
      <c r="J53" s="116">
        <v>316</v>
      </c>
      <c r="K53" s="119">
        <v>1318.84</v>
      </c>
      <c r="L53" s="120">
        <v>1318.84</v>
      </c>
      <c r="M53" s="121">
        <f t="shared" si="0"/>
        <v>175.84533333333331</v>
      </c>
      <c r="N53" s="121"/>
      <c r="O53" s="142">
        <v>6895</v>
      </c>
      <c r="P53" s="117">
        <v>18332.8</v>
      </c>
      <c r="Q53" s="116">
        <v>2</v>
      </c>
      <c r="R53" s="116">
        <f>100000+4000+3000</f>
        <v>107000</v>
      </c>
      <c r="S53" s="116"/>
      <c r="T53" s="117"/>
      <c r="U53" s="116">
        <v>1922</v>
      </c>
      <c r="V53" s="117"/>
      <c r="W53" s="117"/>
      <c r="X53" s="4" t="s">
        <v>1972</v>
      </c>
      <c r="Y53" s="4" t="s">
        <v>548</v>
      </c>
      <c r="Z53" s="4" t="s">
        <v>550</v>
      </c>
      <c r="AA53" s="4" t="s">
        <v>551</v>
      </c>
      <c r="AB53" s="27"/>
      <c r="AC53" s="27"/>
      <c r="AD53" s="27"/>
      <c r="AE53" s="27"/>
    </row>
    <row r="54" spans="1:31" x14ac:dyDescent="0.25">
      <c r="A54" s="116" t="s">
        <v>1419</v>
      </c>
      <c r="B54" s="116" t="s">
        <v>204</v>
      </c>
      <c r="C54" s="116" t="s">
        <v>2184</v>
      </c>
      <c r="D54" s="117">
        <v>1243</v>
      </c>
      <c r="E54" s="117">
        <v>72</v>
      </c>
      <c r="F54" s="116">
        <v>32</v>
      </c>
      <c r="G54" s="116">
        <v>134</v>
      </c>
      <c r="H54" s="116">
        <v>757</v>
      </c>
      <c r="I54" s="116">
        <v>2832</v>
      </c>
      <c r="J54" s="116">
        <v>2853</v>
      </c>
      <c r="K54" s="119">
        <v>999.72</v>
      </c>
      <c r="L54" s="120">
        <v>676.87</v>
      </c>
      <c r="M54" s="121">
        <f t="shared" si="0"/>
        <v>149.21194029850747</v>
      </c>
      <c r="N54" s="121"/>
      <c r="O54" s="142">
        <v>1000</v>
      </c>
      <c r="P54" s="117">
        <v>124106.42</v>
      </c>
      <c r="Q54" s="116">
        <v>13</v>
      </c>
      <c r="R54" s="116">
        <f>24500+650+7413.75</f>
        <v>32563.75</v>
      </c>
      <c r="S54" s="116"/>
      <c r="T54" s="117"/>
      <c r="U54" s="116">
        <v>1922</v>
      </c>
      <c r="V54" s="117"/>
      <c r="W54" s="117"/>
      <c r="X54" s="4" t="s">
        <v>1972</v>
      </c>
      <c r="Y54" s="4" t="s">
        <v>548</v>
      </c>
      <c r="Z54" s="4" t="s">
        <v>550</v>
      </c>
      <c r="AA54" s="4" t="s">
        <v>551</v>
      </c>
      <c r="AB54" s="27"/>
      <c r="AC54" s="27"/>
      <c r="AD54" s="27"/>
      <c r="AE54" s="27"/>
    </row>
    <row r="55" spans="1:31" x14ac:dyDescent="0.25">
      <c r="A55" s="116" t="s">
        <v>1420</v>
      </c>
      <c r="B55" s="116" t="s">
        <v>204</v>
      </c>
      <c r="C55" s="116" t="s">
        <v>2185</v>
      </c>
      <c r="D55" s="117">
        <v>102</v>
      </c>
      <c r="E55" s="117">
        <v>25</v>
      </c>
      <c r="F55" s="116">
        <v>25</v>
      </c>
      <c r="G55" s="116">
        <v>175</v>
      </c>
      <c r="H55" s="116">
        <v>161</v>
      </c>
      <c r="I55" s="116">
        <v>1161</v>
      </c>
      <c r="J55" s="116">
        <v>139</v>
      </c>
      <c r="K55" s="119">
        <v>384</v>
      </c>
      <c r="L55" s="120">
        <v>384</v>
      </c>
      <c r="M55" s="121">
        <f t="shared" si="0"/>
        <v>43.885714285714286</v>
      </c>
      <c r="N55" s="121"/>
      <c r="O55" s="142"/>
      <c r="P55" s="117">
        <v>11068.85</v>
      </c>
      <c r="Q55" s="116">
        <v>9</v>
      </c>
      <c r="R55" s="116">
        <f>12500+600+2000</f>
        <v>15100</v>
      </c>
      <c r="S55" s="116"/>
      <c r="T55" s="117"/>
      <c r="U55" s="116">
        <v>1922</v>
      </c>
      <c r="V55" s="117"/>
      <c r="W55" s="117"/>
      <c r="X55" s="4" t="s">
        <v>1972</v>
      </c>
      <c r="Y55" s="4" t="s">
        <v>548</v>
      </c>
      <c r="Z55" s="4" t="s">
        <v>550</v>
      </c>
      <c r="AA55" s="4" t="s">
        <v>551</v>
      </c>
      <c r="AB55" s="27"/>
      <c r="AC55" s="27"/>
      <c r="AD55" s="27"/>
      <c r="AE55" s="27"/>
    </row>
    <row r="56" spans="1:31" x14ac:dyDescent="0.25">
      <c r="A56" s="116" t="s">
        <v>1421</v>
      </c>
      <c r="B56" s="116" t="s">
        <v>204</v>
      </c>
      <c r="C56" s="116" t="s">
        <v>2186</v>
      </c>
      <c r="D56" s="117">
        <v>1107</v>
      </c>
      <c r="E56" s="117">
        <v>41</v>
      </c>
      <c r="F56" s="116">
        <v>12</v>
      </c>
      <c r="G56" s="116">
        <v>170</v>
      </c>
      <c r="H56" s="116">
        <v>208</v>
      </c>
      <c r="I56" s="116">
        <v>1326</v>
      </c>
      <c r="J56" s="116">
        <v>1392</v>
      </c>
      <c r="K56" s="119">
        <v>1202.06</v>
      </c>
      <c r="L56" s="120">
        <v>936.62</v>
      </c>
      <c r="M56" s="121">
        <f t="shared" si="0"/>
        <v>141.41882352941175</v>
      </c>
      <c r="N56" s="121"/>
      <c r="O56" s="142">
        <v>20075</v>
      </c>
      <c r="P56" s="117">
        <v>79898.490000000005</v>
      </c>
      <c r="Q56" s="116">
        <v>10</v>
      </c>
      <c r="R56" s="116">
        <f>19620+1455+4360</f>
        <v>25435</v>
      </c>
      <c r="S56" s="116"/>
      <c r="T56" s="117"/>
      <c r="U56" s="116">
        <v>1922</v>
      </c>
      <c r="V56" s="117"/>
      <c r="W56" s="117"/>
      <c r="X56" s="4" t="s">
        <v>1972</v>
      </c>
      <c r="Y56" s="4" t="s">
        <v>548</v>
      </c>
      <c r="Z56" s="4" t="s">
        <v>550</v>
      </c>
      <c r="AA56" s="4" t="s">
        <v>551</v>
      </c>
      <c r="AB56" s="27"/>
      <c r="AC56" s="27"/>
      <c r="AD56" s="27"/>
      <c r="AE56" s="27"/>
    </row>
    <row r="57" spans="1:31" x14ac:dyDescent="0.25">
      <c r="A57" s="116" t="s">
        <v>1422</v>
      </c>
      <c r="B57" s="116" t="s">
        <v>204</v>
      </c>
      <c r="C57" s="116" t="s">
        <v>21</v>
      </c>
      <c r="D57" s="117">
        <v>33627</v>
      </c>
      <c r="E57" s="117">
        <v>1262</v>
      </c>
      <c r="F57" s="116">
        <v>142</v>
      </c>
      <c r="G57" s="116">
        <v>136</v>
      </c>
      <c r="H57" s="116">
        <v>5193</v>
      </c>
      <c r="I57" s="116">
        <v>44741</v>
      </c>
      <c r="J57" s="116">
        <f>5079+208+571+285+268+209+34701+245+209+204+557+583+744+319+356+653+383+466+266+310+201+333+866+554+242</f>
        <v>48812</v>
      </c>
      <c r="K57" s="119">
        <v>1512.59</v>
      </c>
      <c r="L57" s="120">
        <v>721.5</v>
      </c>
      <c r="M57" s="121">
        <f t="shared" si="0"/>
        <v>222.43970588235294</v>
      </c>
      <c r="N57" s="121"/>
      <c r="O57" s="142">
        <v>6982</v>
      </c>
      <c r="P57" s="117">
        <v>2721912.39</v>
      </c>
      <c r="Q57" s="116">
        <v>70</v>
      </c>
      <c r="R57" s="116">
        <f>160500+7425+21470+2570+29523+7505</f>
        <v>228993</v>
      </c>
      <c r="S57" s="116"/>
      <c r="T57" s="117"/>
      <c r="U57" s="116">
        <v>1922</v>
      </c>
      <c r="V57" s="117"/>
      <c r="W57" s="117"/>
      <c r="X57" s="4" t="s">
        <v>1972</v>
      </c>
      <c r="Y57" s="4" t="s">
        <v>548</v>
      </c>
      <c r="Z57" s="4" t="s">
        <v>550</v>
      </c>
      <c r="AA57" s="4" t="s">
        <v>551</v>
      </c>
      <c r="AB57" s="27"/>
      <c r="AC57" s="27"/>
      <c r="AD57" s="27"/>
      <c r="AE57" s="27"/>
    </row>
    <row r="58" spans="1:31" x14ac:dyDescent="0.25">
      <c r="A58" s="116" t="s">
        <v>1423</v>
      </c>
      <c r="B58" s="116" t="s">
        <v>204</v>
      </c>
      <c r="C58" s="116" t="s">
        <v>2187</v>
      </c>
      <c r="D58" s="117">
        <v>1984</v>
      </c>
      <c r="E58" s="117">
        <v>53</v>
      </c>
      <c r="F58" s="116">
        <v>42</v>
      </c>
      <c r="G58" s="116">
        <v>131</v>
      </c>
      <c r="H58" s="118">
        <v>1099</v>
      </c>
      <c r="I58" s="118">
        <v>1701</v>
      </c>
      <c r="J58" s="118">
        <v>2102</v>
      </c>
      <c r="K58" s="119">
        <v>778.2</v>
      </c>
      <c r="L58" s="120">
        <v>699.16</v>
      </c>
      <c r="M58" s="121">
        <f t="shared" si="0"/>
        <v>118.80916030534353</v>
      </c>
      <c r="N58" s="121"/>
      <c r="O58" s="142">
        <v>9300</v>
      </c>
      <c r="P58" s="117">
        <v>137752.32999999999</v>
      </c>
      <c r="Q58" s="116">
        <v>25</v>
      </c>
      <c r="R58" s="116">
        <f>44800+1500+9000</f>
        <v>55300</v>
      </c>
      <c r="S58" s="116"/>
      <c r="T58" s="117"/>
      <c r="U58" s="116">
        <v>1922</v>
      </c>
      <c r="V58" s="117"/>
      <c r="W58" s="117"/>
      <c r="X58" s="4" t="s">
        <v>1972</v>
      </c>
      <c r="Y58" s="4" t="s">
        <v>548</v>
      </c>
      <c r="Z58" s="4" t="s">
        <v>550</v>
      </c>
      <c r="AA58" s="4" t="s">
        <v>551</v>
      </c>
      <c r="AB58" s="27"/>
      <c r="AC58" s="27"/>
      <c r="AD58" s="27"/>
      <c r="AE58" s="27"/>
    </row>
    <row r="59" spans="1:31" x14ac:dyDescent="0.25">
      <c r="A59" s="116" t="s">
        <v>1424</v>
      </c>
      <c r="B59" s="116" t="s">
        <v>204</v>
      </c>
      <c r="C59" s="116" t="s">
        <v>2188</v>
      </c>
      <c r="D59" s="117">
        <v>758</v>
      </c>
      <c r="E59" s="117">
        <v>46</v>
      </c>
      <c r="F59" s="116">
        <v>24</v>
      </c>
      <c r="G59" s="116">
        <v>165</v>
      </c>
      <c r="H59" s="116">
        <v>370</v>
      </c>
      <c r="I59" s="116">
        <v>1086</v>
      </c>
      <c r="J59" s="116">
        <v>1073</v>
      </c>
      <c r="K59" s="119">
        <v>870.75</v>
      </c>
      <c r="L59" s="120">
        <v>800</v>
      </c>
      <c r="M59" s="121">
        <f t="shared" si="0"/>
        <v>105.54545454545455</v>
      </c>
      <c r="N59" s="121"/>
      <c r="O59" s="142">
        <v>15685</v>
      </c>
      <c r="P59" s="117">
        <v>82961.570000000007</v>
      </c>
      <c r="Q59" s="116">
        <v>20</v>
      </c>
      <c r="R59" s="116">
        <f>29000+3000+600</f>
        <v>32600</v>
      </c>
      <c r="S59" s="116"/>
      <c r="T59" s="117"/>
      <c r="U59" s="116">
        <v>1922</v>
      </c>
      <c r="V59" s="117"/>
      <c r="W59" s="117"/>
      <c r="X59" s="4" t="s">
        <v>1972</v>
      </c>
      <c r="Y59" s="4" t="s">
        <v>548</v>
      </c>
      <c r="Z59" s="4" t="s">
        <v>550</v>
      </c>
      <c r="AA59" s="4" t="s">
        <v>551</v>
      </c>
      <c r="AB59" s="27"/>
      <c r="AC59" s="27"/>
      <c r="AD59" s="27"/>
      <c r="AE59" s="27"/>
    </row>
    <row r="60" spans="1:31" x14ac:dyDescent="0.25">
      <c r="A60" s="116" t="s">
        <v>1425</v>
      </c>
      <c r="B60" s="116" t="s">
        <v>204</v>
      </c>
      <c r="C60" s="116" t="s">
        <v>2189</v>
      </c>
      <c r="D60" s="117">
        <v>3123</v>
      </c>
      <c r="E60" s="117">
        <v>196</v>
      </c>
      <c r="F60" s="116">
        <v>73</v>
      </c>
      <c r="G60" s="116">
        <v>121</v>
      </c>
      <c r="H60" s="118">
        <v>2940</v>
      </c>
      <c r="I60" s="118">
        <v>4825</v>
      </c>
      <c r="J60" s="118">
        <v>4808</v>
      </c>
      <c r="K60" s="119">
        <v>601.04999999999995</v>
      </c>
      <c r="L60" s="120">
        <v>641.45000000000005</v>
      </c>
      <c r="M60" s="121">
        <f t="shared" si="0"/>
        <v>99.347107438016522</v>
      </c>
      <c r="N60" s="121"/>
      <c r="O60" s="142">
        <v>2200</v>
      </c>
      <c r="P60" s="117">
        <v>132459.72</v>
      </c>
      <c r="Q60" s="116">
        <v>38</v>
      </c>
      <c r="R60" s="116">
        <f>88400+10850+20050</f>
        <v>119300</v>
      </c>
      <c r="S60" s="116"/>
      <c r="T60" s="117"/>
      <c r="U60" s="116">
        <v>1922</v>
      </c>
      <c r="V60" s="117"/>
      <c r="W60" s="117"/>
      <c r="X60" s="4" t="s">
        <v>1972</v>
      </c>
      <c r="Y60" s="4" t="s">
        <v>548</v>
      </c>
      <c r="Z60" s="4" t="s">
        <v>550</v>
      </c>
      <c r="AA60" s="4" t="s">
        <v>551</v>
      </c>
      <c r="AB60" s="27"/>
      <c r="AC60" s="27"/>
      <c r="AD60" s="27"/>
      <c r="AE60" s="27"/>
    </row>
    <row r="61" spans="1:31" x14ac:dyDescent="0.25">
      <c r="A61" s="116" t="s">
        <v>1426</v>
      </c>
      <c r="B61" s="116" t="s">
        <v>204</v>
      </c>
      <c r="C61" s="116" t="s">
        <v>2190</v>
      </c>
      <c r="D61" s="117">
        <v>6567</v>
      </c>
      <c r="E61" s="117">
        <v>272</v>
      </c>
      <c r="F61" s="116">
        <v>156</v>
      </c>
      <c r="G61" s="116">
        <v>129</v>
      </c>
      <c r="H61" s="118">
        <v>5515</v>
      </c>
      <c r="I61" s="118">
        <v>9816</v>
      </c>
      <c r="J61" s="118">
        <v>9179</v>
      </c>
      <c r="K61" s="119">
        <v>740.88</v>
      </c>
      <c r="L61" s="120">
        <v>628.41999999999996</v>
      </c>
      <c r="M61" s="121">
        <f t="shared" si="0"/>
        <v>114.86511627906977</v>
      </c>
      <c r="N61" s="121"/>
      <c r="O61" s="142">
        <v>8460</v>
      </c>
      <c r="P61" s="117">
        <v>308516.49</v>
      </c>
      <c r="Q61" s="116">
        <v>71</v>
      </c>
      <c r="R61" s="116">
        <f>158525+2550+13685+295+31350+860</f>
        <v>207265</v>
      </c>
      <c r="S61" s="116"/>
      <c r="T61" s="117"/>
      <c r="U61" s="116">
        <v>1922</v>
      </c>
      <c r="V61" s="117"/>
      <c r="W61" s="117"/>
      <c r="X61" s="4" t="s">
        <v>1972</v>
      </c>
      <c r="Y61" s="4" t="s">
        <v>548</v>
      </c>
      <c r="Z61" s="4" t="s">
        <v>550</v>
      </c>
      <c r="AA61" s="4" t="s">
        <v>551</v>
      </c>
      <c r="AB61" s="27"/>
      <c r="AC61" s="27"/>
      <c r="AD61" s="27"/>
      <c r="AE61" s="27"/>
    </row>
    <row r="62" spans="1:31" x14ac:dyDescent="0.25">
      <c r="A62" s="116" t="s">
        <v>1427</v>
      </c>
      <c r="B62" s="116" t="s">
        <v>204</v>
      </c>
      <c r="C62" s="116" t="s">
        <v>2191</v>
      </c>
      <c r="D62" s="117">
        <v>4861</v>
      </c>
      <c r="E62" s="117">
        <v>197</v>
      </c>
      <c r="F62" s="116">
        <v>113</v>
      </c>
      <c r="G62" s="116">
        <v>144</v>
      </c>
      <c r="H62" s="116">
        <v>3483</v>
      </c>
      <c r="I62" s="116">
        <v>6508</v>
      </c>
      <c r="J62" s="116">
        <v>7270</v>
      </c>
      <c r="K62" s="119">
        <v>796.34</v>
      </c>
      <c r="L62" s="120">
        <v>641</v>
      </c>
      <c r="M62" s="121">
        <f t="shared" si="0"/>
        <v>110.60277777777777</v>
      </c>
      <c r="N62" s="121"/>
      <c r="O62" s="142">
        <v>500</v>
      </c>
      <c r="P62" s="117">
        <v>231206.95</v>
      </c>
      <c r="Q62" s="116">
        <v>65</v>
      </c>
      <c r="R62" s="116">
        <f>67000+2800+7000+400+6500+200</f>
        <v>83900</v>
      </c>
      <c r="S62" s="116"/>
      <c r="T62" s="117"/>
      <c r="U62" s="116">
        <v>1922</v>
      </c>
      <c r="V62" s="117"/>
      <c r="W62" s="117"/>
      <c r="X62" s="4" t="s">
        <v>1972</v>
      </c>
      <c r="Y62" s="4" t="s">
        <v>548</v>
      </c>
      <c r="Z62" s="4" t="s">
        <v>550</v>
      </c>
      <c r="AA62" s="4" t="s">
        <v>551</v>
      </c>
      <c r="AB62" s="27"/>
      <c r="AC62" s="27"/>
      <c r="AD62" s="27"/>
      <c r="AE62" s="27"/>
    </row>
    <row r="63" spans="1:31" x14ac:dyDescent="0.25">
      <c r="A63" s="116" t="s">
        <v>1428</v>
      </c>
      <c r="B63" s="116" t="s">
        <v>204</v>
      </c>
      <c r="C63" s="116" t="s">
        <v>2192</v>
      </c>
      <c r="D63" s="117">
        <v>1311</v>
      </c>
      <c r="E63" s="117">
        <v>66</v>
      </c>
      <c r="F63" s="116">
        <v>51</v>
      </c>
      <c r="G63" s="116">
        <v>121</v>
      </c>
      <c r="H63" s="118">
        <v>1682</v>
      </c>
      <c r="I63" s="118">
        <v>2242</v>
      </c>
      <c r="J63" s="118">
        <v>2422</v>
      </c>
      <c r="K63" s="119">
        <v>810.13</v>
      </c>
      <c r="L63" s="120">
        <v>736.45</v>
      </c>
      <c r="M63" s="121">
        <f t="shared" si="0"/>
        <v>133.90578512396695</v>
      </c>
      <c r="N63" s="121"/>
      <c r="O63" s="142">
        <v>3445</v>
      </c>
      <c r="P63" s="117">
        <v>89234.86</v>
      </c>
      <c r="Q63" s="116">
        <v>23</v>
      </c>
      <c r="R63" s="116">
        <f>76700+3285+14695</f>
        <v>94680</v>
      </c>
      <c r="S63" s="116"/>
      <c r="T63" s="117"/>
      <c r="U63" s="116">
        <v>1922</v>
      </c>
      <c r="V63" s="117"/>
      <c r="W63" s="117"/>
      <c r="X63" s="4" t="s">
        <v>1972</v>
      </c>
      <c r="Y63" s="4" t="s">
        <v>548</v>
      </c>
      <c r="Z63" s="4" t="s">
        <v>550</v>
      </c>
      <c r="AA63" s="4" t="s">
        <v>551</v>
      </c>
      <c r="AB63" s="27"/>
      <c r="AC63" s="27"/>
      <c r="AD63" s="27"/>
      <c r="AE63" s="27"/>
    </row>
    <row r="64" spans="1:31" x14ac:dyDescent="0.25">
      <c r="A64" s="116" t="s">
        <v>1429</v>
      </c>
      <c r="B64" s="116" t="s">
        <v>204</v>
      </c>
      <c r="C64" s="116" t="s">
        <v>2193</v>
      </c>
      <c r="D64" s="117">
        <v>243</v>
      </c>
      <c r="E64" s="117">
        <v>37</v>
      </c>
      <c r="F64" s="116">
        <v>26</v>
      </c>
      <c r="G64" s="116">
        <v>166</v>
      </c>
      <c r="H64" s="116">
        <v>625</v>
      </c>
      <c r="I64" s="116">
        <v>997</v>
      </c>
      <c r="J64" s="116">
        <v>346</v>
      </c>
      <c r="K64" s="119">
        <v>523.30999999999995</v>
      </c>
      <c r="L64" s="120">
        <v>730.87</v>
      </c>
      <c r="M64" s="121">
        <f t="shared" si="0"/>
        <v>63.049397590361437</v>
      </c>
      <c r="N64" s="121"/>
      <c r="O64" s="142">
        <v>14480</v>
      </c>
      <c r="P64" s="117">
        <v>48875.4</v>
      </c>
      <c r="Q64" s="116">
        <v>8</v>
      </c>
      <c r="R64" s="116"/>
      <c r="S64" s="116"/>
      <c r="T64" s="117"/>
      <c r="U64" s="116">
        <v>1922</v>
      </c>
      <c r="V64" s="117"/>
      <c r="W64" s="117"/>
      <c r="X64" s="4" t="s">
        <v>1972</v>
      </c>
      <c r="Y64" s="4" t="s">
        <v>548</v>
      </c>
      <c r="Z64" s="4" t="s">
        <v>550</v>
      </c>
      <c r="AA64" s="4" t="s">
        <v>551</v>
      </c>
      <c r="AB64" s="27"/>
      <c r="AC64" s="27"/>
      <c r="AD64" s="27"/>
      <c r="AE64" s="27"/>
    </row>
    <row r="65" spans="1:31" x14ac:dyDescent="0.25">
      <c r="A65" s="116" t="s">
        <v>1430</v>
      </c>
      <c r="B65" s="116" t="s">
        <v>204</v>
      </c>
      <c r="C65" s="116" t="s">
        <v>2194</v>
      </c>
      <c r="D65" s="117">
        <v>1161</v>
      </c>
      <c r="E65" s="117">
        <v>73</v>
      </c>
      <c r="F65" s="116">
        <v>34</v>
      </c>
      <c r="G65" s="116">
        <v>135</v>
      </c>
      <c r="H65" s="118">
        <v>1164</v>
      </c>
      <c r="I65" s="118">
        <v>2783</v>
      </c>
      <c r="J65" s="118">
        <v>2734</v>
      </c>
      <c r="K65" s="119">
        <v>895.75</v>
      </c>
      <c r="L65" s="120">
        <v>724.26</v>
      </c>
      <c r="M65" s="121">
        <f t="shared" si="0"/>
        <v>132.7037037037037</v>
      </c>
      <c r="N65" s="121"/>
      <c r="O65" s="142"/>
      <c r="P65" s="117">
        <v>111752.88</v>
      </c>
      <c r="Q65" s="116">
        <v>20</v>
      </c>
      <c r="R65" s="116">
        <f>82750+5990+7540</f>
        <v>96280</v>
      </c>
      <c r="S65" s="116"/>
      <c r="T65" s="117"/>
      <c r="U65" s="116">
        <v>1922</v>
      </c>
      <c r="V65" s="117"/>
      <c r="W65" s="117"/>
      <c r="X65" s="4" t="s">
        <v>1972</v>
      </c>
      <c r="Y65" s="4" t="s">
        <v>548</v>
      </c>
      <c r="Z65" s="4" t="s">
        <v>550</v>
      </c>
      <c r="AA65" s="4" t="s">
        <v>551</v>
      </c>
      <c r="AB65" s="27"/>
      <c r="AC65" s="27"/>
      <c r="AD65" s="27"/>
      <c r="AE65" s="27"/>
    </row>
    <row r="66" spans="1:31" x14ac:dyDescent="0.25">
      <c r="A66" s="116" t="s">
        <v>1431</v>
      </c>
      <c r="B66" s="116" t="s">
        <v>204</v>
      </c>
      <c r="C66" s="116" t="s">
        <v>2195</v>
      </c>
      <c r="D66" s="117">
        <v>1055</v>
      </c>
      <c r="E66" s="117">
        <v>62</v>
      </c>
      <c r="F66" s="116">
        <v>30</v>
      </c>
      <c r="G66" s="116">
        <v>143</v>
      </c>
      <c r="H66" s="116">
        <v>992</v>
      </c>
      <c r="I66" s="116">
        <v>1976</v>
      </c>
      <c r="J66" s="116">
        <v>2010</v>
      </c>
      <c r="K66" s="119">
        <v>677.74</v>
      </c>
      <c r="L66" s="120">
        <v>567.33000000000004</v>
      </c>
      <c r="M66" s="121">
        <f t="shared" si="0"/>
        <v>94.788811188811181</v>
      </c>
      <c r="N66" s="121"/>
      <c r="O66" s="142">
        <v>550</v>
      </c>
      <c r="P66" s="117">
        <v>64548.88</v>
      </c>
      <c r="Q66" s="116">
        <v>26</v>
      </c>
      <c r="R66" s="116">
        <f>5200+775+4000</f>
        <v>9975</v>
      </c>
      <c r="S66" s="116"/>
      <c r="T66" s="117"/>
      <c r="U66" s="116">
        <v>1922</v>
      </c>
      <c r="V66" s="117"/>
      <c r="W66" s="117"/>
      <c r="X66" s="4" t="s">
        <v>1972</v>
      </c>
      <c r="Y66" s="4" t="s">
        <v>548</v>
      </c>
      <c r="Z66" s="4" t="s">
        <v>550</v>
      </c>
      <c r="AA66" s="4" t="s">
        <v>551</v>
      </c>
      <c r="AB66" s="27"/>
      <c r="AC66" s="27"/>
      <c r="AD66" s="27"/>
      <c r="AE66" s="27"/>
    </row>
    <row r="67" spans="1:31" x14ac:dyDescent="0.25">
      <c r="A67" s="116" t="s">
        <v>1432</v>
      </c>
      <c r="B67" s="116" t="s">
        <v>204</v>
      </c>
      <c r="C67" s="116" t="s">
        <v>2196</v>
      </c>
      <c r="D67" s="117">
        <v>7244</v>
      </c>
      <c r="E67" s="117">
        <v>306</v>
      </c>
      <c r="F67" s="116">
        <v>119</v>
      </c>
      <c r="G67" s="116">
        <v>129</v>
      </c>
      <c r="H67" s="118">
        <v>3611</v>
      </c>
      <c r="I67" s="118">
        <v>10917</v>
      </c>
      <c r="J67" s="118">
        <v>11292</v>
      </c>
      <c r="K67" s="119">
        <v>999.77</v>
      </c>
      <c r="L67" s="120">
        <v>639.59</v>
      </c>
      <c r="M67" s="121">
        <f t="shared" ref="M67:M130" si="1">K67/(G67/20)</f>
        <v>155.00310077519379</v>
      </c>
      <c r="N67" s="121"/>
      <c r="O67" s="142">
        <v>19750</v>
      </c>
      <c r="P67" s="117">
        <v>456758.22</v>
      </c>
      <c r="Q67" s="116">
        <v>69</v>
      </c>
      <c r="R67" s="116">
        <f>141200+5500+18000</f>
        <v>164700</v>
      </c>
      <c r="S67" s="116"/>
      <c r="T67" s="117"/>
      <c r="U67" s="116">
        <v>1922</v>
      </c>
      <c r="V67" s="117"/>
      <c r="W67" s="117"/>
      <c r="X67" s="4" t="s">
        <v>1972</v>
      </c>
      <c r="Y67" s="4" t="s">
        <v>548</v>
      </c>
      <c r="Z67" s="4" t="s">
        <v>550</v>
      </c>
      <c r="AA67" s="4" t="s">
        <v>551</v>
      </c>
      <c r="AB67" s="27"/>
      <c r="AC67" s="27"/>
      <c r="AD67" s="27"/>
      <c r="AE67" s="27"/>
    </row>
    <row r="68" spans="1:31" x14ac:dyDescent="0.25">
      <c r="A68" s="116" t="s">
        <v>1433</v>
      </c>
      <c r="B68" s="116" t="s">
        <v>204</v>
      </c>
      <c r="C68" s="116" t="s">
        <v>2197</v>
      </c>
      <c r="D68" s="117">
        <v>126</v>
      </c>
      <c r="E68" s="117">
        <v>9</v>
      </c>
      <c r="F68" s="116">
        <v>9</v>
      </c>
      <c r="G68" s="116">
        <v>180</v>
      </c>
      <c r="H68" s="116">
        <v>175</v>
      </c>
      <c r="I68" s="116">
        <v>175</v>
      </c>
      <c r="J68" s="116">
        <v>182</v>
      </c>
      <c r="K68" s="119">
        <v>1353.88</v>
      </c>
      <c r="L68" s="120">
        <v>1353.88</v>
      </c>
      <c r="M68" s="121">
        <f t="shared" si="1"/>
        <v>150.43111111111114</v>
      </c>
      <c r="N68" s="121"/>
      <c r="O68" s="142">
        <v>500</v>
      </c>
      <c r="P68" s="117">
        <v>16516.13</v>
      </c>
      <c r="Q68" s="116">
        <v>1</v>
      </c>
      <c r="R68" s="116">
        <f>60000+9000</f>
        <v>69000</v>
      </c>
      <c r="S68" s="116"/>
      <c r="T68" s="117"/>
      <c r="U68" s="116">
        <v>1922</v>
      </c>
      <c r="V68" s="117"/>
      <c r="W68" s="117"/>
      <c r="X68" s="4" t="s">
        <v>1972</v>
      </c>
      <c r="Y68" s="4" t="s">
        <v>548</v>
      </c>
      <c r="Z68" s="4" t="s">
        <v>550</v>
      </c>
      <c r="AA68" s="4" t="s">
        <v>551</v>
      </c>
      <c r="AB68" s="27"/>
      <c r="AC68" s="27"/>
      <c r="AD68" s="27"/>
      <c r="AE68" s="27"/>
    </row>
    <row r="69" spans="1:31" x14ac:dyDescent="0.25">
      <c r="A69" s="116" t="s">
        <v>1434</v>
      </c>
      <c r="B69" s="116" t="s">
        <v>204</v>
      </c>
      <c r="C69" s="116" t="s">
        <v>2198</v>
      </c>
      <c r="D69" s="117">
        <v>232</v>
      </c>
      <c r="E69" s="117">
        <v>23</v>
      </c>
      <c r="F69" s="116">
        <v>23</v>
      </c>
      <c r="G69" s="116">
        <v>153</v>
      </c>
      <c r="H69" s="116">
        <v>566</v>
      </c>
      <c r="I69" s="116">
        <v>566</v>
      </c>
      <c r="J69" s="116">
        <v>592</v>
      </c>
      <c r="K69" s="119">
        <v>896</v>
      </c>
      <c r="L69" s="120">
        <v>895.86</v>
      </c>
      <c r="M69" s="121">
        <f t="shared" si="1"/>
        <v>117.12418300653594</v>
      </c>
      <c r="N69" s="121"/>
      <c r="O69" s="142">
        <v>17635</v>
      </c>
      <c r="P69" s="117">
        <v>29146.3</v>
      </c>
      <c r="Q69" s="116">
        <v>9</v>
      </c>
      <c r="R69" s="116">
        <f>25950+1500+1950</f>
        <v>29400</v>
      </c>
      <c r="S69" s="116"/>
      <c r="T69" s="117"/>
      <c r="U69" s="116">
        <v>1922</v>
      </c>
      <c r="V69" s="117"/>
      <c r="W69" s="117"/>
      <c r="X69" s="4" t="s">
        <v>1972</v>
      </c>
      <c r="Y69" s="4" t="s">
        <v>548</v>
      </c>
      <c r="Z69" s="4" t="s">
        <v>550</v>
      </c>
      <c r="AA69" s="4" t="s">
        <v>551</v>
      </c>
      <c r="AB69" s="27"/>
      <c r="AC69" s="27"/>
      <c r="AD69" s="27"/>
      <c r="AE69" s="27"/>
    </row>
    <row r="70" spans="1:31" x14ac:dyDescent="0.25">
      <c r="A70" s="116" t="s">
        <v>1436</v>
      </c>
      <c r="B70" s="116" t="s">
        <v>204</v>
      </c>
      <c r="C70" s="116" t="s">
        <v>2199</v>
      </c>
      <c r="D70" s="117">
        <v>11634</v>
      </c>
      <c r="E70" s="117">
        <v>429</v>
      </c>
      <c r="F70" s="116">
        <v>185</v>
      </c>
      <c r="G70" s="117"/>
      <c r="H70" s="118">
        <v>6703</v>
      </c>
      <c r="I70" s="118">
        <v>16760</v>
      </c>
      <c r="J70" s="118">
        <f>6392+288+322+225+2104+733+367+235+573+401+570+189+553+377+2594</f>
        <v>15923</v>
      </c>
      <c r="K70" s="119">
        <v>852.48</v>
      </c>
      <c r="L70" s="120">
        <v>701.36</v>
      </c>
      <c r="M70" s="121" t="e">
        <f t="shared" si="1"/>
        <v>#DIV/0!</v>
      </c>
      <c r="N70" s="121"/>
      <c r="O70" s="142">
        <v>11200</v>
      </c>
      <c r="P70" s="117">
        <v>519031.94</v>
      </c>
      <c r="Q70" s="117"/>
      <c r="R70" s="117">
        <f>239081.9+5740+20009+1590+44140+1250</f>
        <v>311810.90000000002</v>
      </c>
      <c r="S70" s="117"/>
      <c r="T70" s="117"/>
      <c r="U70" s="116">
        <v>1922</v>
      </c>
      <c r="V70" s="117"/>
      <c r="W70" s="117"/>
      <c r="X70" s="4" t="s">
        <v>1972</v>
      </c>
      <c r="Y70" s="4" t="s">
        <v>548</v>
      </c>
      <c r="Z70" s="4" t="s">
        <v>550</v>
      </c>
      <c r="AA70" s="4" t="s">
        <v>551</v>
      </c>
      <c r="AB70" s="27"/>
      <c r="AC70" s="27"/>
      <c r="AD70" s="27"/>
      <c r="AE70" s="27"/>
    </row>
    <row r="71" spans="1:31" x14ac:dyDescent="0.25">
      <c r="A71" s="116" t="s">
        <v>1435</v>
      </c>
      <c r="B71" s="116" t="s">
        <v>204</v>
      </c>
      <c r="C71" s="116" t="s">
        <v>2200</v>
      </c>
      <c r="D71" s="117">
        <v>15210</v>
      </c>
      <c r="E71" s="117">
        <v>537</v>
      </c>
      <c r="F71" s="116">
        <v>55</v>
      </c>
      <c r="G71" s="116">
        <v>176</v>
      </c>
      <c r="H71" s="118">
        <v>2709</v>
      </c>
      <c r="I71" s="118">
        <v>18408</v>
      </c>
      <c r="J71" s="118">
        <v>19038</v>
      </c>
      <c r="K71" s="119">
        <v>1308.1600000000001</v>
      </c>
      <c r="L71" s="120">
        <v>889.01</v>
      </c>
      <c r="M71" s="121">
        <f t="shared" si="1"/>
        <v>148.65454545454546</v>
      </c>
      <c r="N71" s="121"/>
      <c r="O71" s="142">
        <v>22200</v>
      </c>
      <c r="P71" s="117">
        <v>1178439.67</v>
      </c>
      <c r="Q71" s="116">
        <v>14</v>
      </c>
      <c r="R71" s="116">
        <f>253367.29+25500+14365.45</f>
        <v>293232.74000000005</v>
      </c>
      <c r="S71" s="116"/>
      <c r="T71" s="117"/>
      <c r="U71" s="116">
        <v>1922</v>
      </c>
      <c r="V71" s="117"/>
      <c r="W71" s="117"/>
      <c r="X71" s="4" t="s">
        <v>1972</v>
      </c>
      <c r="Y71" s="4" t="s">
        <v>548</v>
      </c>
      <c r="Z71" s="4" t="s">
        <v>550</v>
      </c>
      <c r="AA71" s="4" t="s">
        <v>551</v>
      </c>
      <c r="AB71" s="27"/>
      <c r="AC71" s="27"/>
      <c r="AD71" s="27"/>
      <c r="AE71" s="27"/>
    </row>
    <row r="72" spans="1:31" x14ac:dyDescent="0.25">
      <c r="A72" s="116" t="s">
        <v>1437</v>
      </c>
      <c r="B72" s="116" t="s">
        <v>204</v>
      </c>
      <c r="C72" s="116" t="s">
        <v>2201</v>
      </c>
      <c r="D72" s="117">
        <v>4760</v>
      </c>
      <c r="E72" s="117">
        <v>210</v>
      </c>
      <c r="F72" s="116">
        <v>152</v>
      </c>
      <c r="G72" s="116">
        <v>128</v>
      </c>
      <c r="H72" s="118">
        <v>5908</v>
      </c>
      <c r="I72" s="118">
        <v>8325</v>
      </c>
      <c r="J72" s="118">
        <v>7151</v>
      </c>
      <c r="K72" s="119">
        <v>600</v>
      </c>
      <c r="L72" s="120">
        <v>479.63</v>
      </c>
      <c r="M72" s="121">
        <f t="shared" si="1"/>
        <v>93.75</v>
      </c>
      <c r="N72" s="121"/>
      <c r="O72" s="142">
        <v>4185</v>
      </c>
      <c r="P72" s="117">
        <v>167088.79</v>
      </c>
      <c r="Q72" s="116">
        <v>21</v>
      </c>
      <c r="R72" s="116">
        <f>148920+400+9080+40+20800+50</f>
        <v>179290</v>
      </c>
      <c r="S72" s="116"/>
      <c r="T72" s="117"/>
      <c r="U72" s="116">
        <v>1922</v>
      </c>
      <c r="V72" s="117"/>
      <c r="W72" s="117"/>
      <c r="X72" s="4" t="s">
        <v>1972</v>
      </c>
      <c r="Y72" s="4" t="s">
        <v>548</v>
      </c>
      <c r="Z72" s="4" t="s">
        <v>550</v>
      </c>
      <c r="AA72" s="4" t="s">
        <v>551</v>
      </c>
      <c r="AB72" s="27"/>
      <c r="AC72" s="27"/>
      <c r="AD72" s="27"/>
      <c r="AE72" s="27"/>
    </row>
    <row r="73" spans="1:31" x14ac:dyDescent="0.25">
      <c r="A73" s="116" t="s">
        <v>1438</v>
      </c>
      <c r="B73" s="116" t="s">
        <v>204</v>
      </c>
      <c r="C73" s="116" t="s">
        <v>2202</v>
      </c>
      <c r="D73" s="117">
        <v>8895</v>
      </c>
      <c r="E73" s="117">
        <v>234</v>
      </c>
      <c r="F73" s="116">
        <v>132</v>
      </c>
      <c r="G73" s="116">
        <v>139</v>
      </c>
      <c r="H73" s="118">
        <v>6055</v>
      </c>
      <c r="I73" s="118">
        <v>9964</v>
      </c>
      <c r="J73" s="118">
        <v>9798</v>
      </c>
      <c r="K73" s="119">
        <v>810.88</v>
      </c>
      <c r="L73" s="120">
        <v>795.46</v>
      </c>
      <c r="M73" s="121">
        <f t="shared" si="1"/>
        <v>116.67338129496403</v>
      </c>
      <c r="N73" s="121"/>
      <c r="O73" s="142">
        <v>11200</v>
      </c>
      <c r="P73" s="117">
        <v>289481.37</v>
      </c>
      <c r="Q73" s="116">
        <v>82</v>
      </c>
      <c r="R73" s="116">
        <f>168550+14450+16520+2000+28857+2180</f>
        <v>232557</v>
      </c>
      <c r="S73" s="116"/>
      <c r="T73" s="117"/>
      <c r="U73" s="116">
        <v>1922</v>
      </c>
      <c r="V73" s="117"/>
      <c r="W73" s="117"/>
      <c r="X73" s="4" t="s">
        <v>1972</v>
      </c>
      <c r="Y73" s="4" t="s">
        <v>548</v>
      </c>
      <c r="Z73" s="4" t="s">
        <v>550</v>
      </c>
      <c r="AA73" s="4" t="s">
        <v>555</v>
      </c>
      <c r="AB73" s="27"/>
      <c r="AC73" s="27"/>
      <c r="AD73" s="27"/>
      <c r="AE73" s="27"/>
    </row>
    <row r="74" spans="1:31" x14ac:dyDescent="0.25">
      <c r="A74" s="116" t="s">
        <v>1439</v>
      </c>
      <c r="B74" s="116" t="s">
        <v>204</v>
      </c>
      <c r="C74" s="116" t="s">
        <v>2203</v>
      </c>
      <c r="D74" s="117">
        <v>8792</v>
      </c>
      <c r="E74" s="117">
        <v>352</v>
      </c>
      <c r="F74" s="116">
        <v>210</v>
      </c>
      <c r="G74" s="116">
        <v>129</v>
      </c>
      <c r="H74" s="116">
        <v>8138</v>
      </c>
      <c r="I74" s="116">
        <v>13716</v>
      </c>
      <c r="J74" s="116">
        <v>13084</v>
      </c>
      <c r="K74" s="119">
        <v>762.38</v>
      </c>
      <c r="L74" s="120">
        <v>661.69</v>
      </c>
      <c r="M74" s="121">
        <f t="shared" si="1"/>
        <v>118.1984496124031</v>
      </c>
      <c r="N74" s="121"/>
      <c r="O74" s="142">
        <v>4630</v>
      </c>
      <c r="P74" s="117">
        <v>374017.65</v>
      </c>
      <c r="Q74" s="116">
        <v>130</v>
      </c>
      <c r="R74" s="116">
        <f>275000+10000+25000+1000+60000+3000</f>
        <v>374000</v>
      </c>
      <c r="S74" s="116"/>
      <c r="T74" s="117"/>
      <c r="U74" s="116">
        <v>1922</v>
      </c>
      <c r="V74" s="117"/>
      <c r="W74" s="117"/>
      <c r="X74" s="4" t="s">
        <v>1972</v>
      </c>
      <c r="Y74" s="4" t="s">
        <v>548</v>
      </c>
      <c r="Z74" s="4" t="s">
        <v>550</v>
      </c>
      <c r="AA74" s="4" t="s">
        <v>556</v>
      </c>
      <c r="AB74" s="27"/>
      <c r="AC74" s="27"/>
      <c r="AD74" s="27"/>
      <c r="AE74" s="27"/>
    </row>
    <row r="75" spans="1:31" x14ac:dyDescent="0.25">
      <c r="A75" s="116" t="s">
        <v>1440</v>
      </c>
      <c r="B75" s="116" t="s">
        <v>204</v>
      </c>
      <c r="C75" s="116" t="s">
        <v>25</v>
      </c>
      <c r="D75" s="117">
        <v>4029</v>
      </c>
      <c r="E75" s="117">
        <v>190</v>
      </c>
      <c r="F75" s="116">
        <v>147</v>
      </c>
      <c r="G75" s="117"/>
      <c r="H75" s="116">
        <v>4817</v>
      </c>
      <c r="I75" s="116">
        <v>5994</v>
      </c>
      <c r="J75" s="116">
        <v>6164</v>
      </c>
      <c r="K75" s="119">
        <v>693.94</v>
      </c>
      <c r="L75" s="120">
        <v>638.88</v>
      </c>
      <c r="M75" s="121" t="e">
        <f t="shared" si="1"/>
        <v>#DIV/0!</v>
      </c>
      <c r="N75" s="121"/>
      <c r="O75" s="142">
        <v>3118</v>
      </c>
      <c r="P75" s="117">
        <v>173501.54</v>
      </c>
      <c r="Q75" s="117"/>
      <c r="R75" s="117">
        <f>82293+11460+12625+1859+16008+1660</f>
        <v>125905</v>
      </c>
      <c r="S75" s="117"/>
      <c r="T75" s="117"/>
      <c r="U75" s="116">
        <v>1922</v>
      </c>
      <c r="V75" s="117"/>
      <c r="W75" s="117"/>
      <c r="X75" s="4" t="s">
        <v>1972</v>
      </c>
      <c r="Y75" s="4" t="s">
        <v>548</v>
      </c>
      <c r="Z75" s="4" t="s">
        <v>550</v>
      </c>
      <c r="AA75" s="4" t="s">
        <v>557</v>
      </c>
      <c r="AB75" s="27"/>
      <c r="AC75" s="27"/>
      <c r="AD75" s="27"/>
      <c r="AE75" s="27"/>
    </row>
    <row r="76" spans="1:31" x14ac:dyDescent="0.25">
      <c r="A76" s="116" t="s">
        <v>1441</v>
      </c>
      <c r="B76" s="116" t="s">
        <v>204</v>
      </c>
      <c r="C76" s="116" t="s">
        <v>2204</v>
      </c>
      <c r="D76" s="117">
        <v>4400</v>
      </c>
      <c r="E76" s="117">
        <v>141</v>
      </c>
      <c r="F76" s="116">
        <v>102</v>
      </c>
      <c r="G76" s="116">
        <v>121</v>
      </c>
      <c r="H76" s="118">
        <v>2360</v>
      </c>
      <c r="I76" s="118">
        <v>3791</v>
      </c>
      <c r="J76" s="118">
        <v>3971</v>
      </c>
      <c r="K76" s="119">
        <v>619.91999999999996</v>
      </c>
      <c r="L76" s="120">
        <v>541.16999999999996</v>
      </c>
      <c r="M76" s="121">
        <f t="shared" si="1"/>
        <v>102.46611570247933</v>
      </c>
      <c r="N76" s="121"/>
      <c r="O76" s="142">
        <v>3875</v>
      </c>
      <c r="P76" s="117">
        <v>171784.34</v>
      </c>
      <c r="Q76" s="116">
        <v>36</v>
      </c>
      <c r="R76" s="116">
        <f>90000+500+6000+32000</f>
        <v>128500</v>
      </c>
      <c r="S76" s="116"/>
      <c r="T76" s="117"/>
      <c r="U76" s="116">
        <v>1922</v>
      </c>
      <c r="V76" s="117"/>
      <c r="W76" s="117"/>
      <c r="X76" s="4" t="s">
        <v>1972</v>
      </c>
      <c r="Y76" s="4" t="s">
        <v>548</v>
      </c>
      <c r="Z76" s="4" t="s">
        <v>550</v>
      </c>
      <c r="AA76" s="4" t="s">
        <v>551</v>
      </c>
      <c r="AB76" s="27"/>
      <c r="AC76" s="27"/>
      <c r="AD76" s="27"/>
      <c r="AE76" s="27"/>
    </row>
    <row r="77" spans="1:31" x14ac:dyDescent="0.25">
      <c r="A77" s="116" t="s">
        <v>1442</v>
      </c>
      <c r="B77" s="116" t="s">
        <v>204</v>
      </c>
      <c r="C77" s="116" t="s">
        <v>99</v>
      </c>
      <c r="D77" s="117">
        <v>595</v>
      </c>
      <c r="E77" s="117">
        <v>102</v>
      </c>
      <c r="F77" s="116">
        <v>67</v>
      </c>
      <c r="G77" s="116">
        <v>153</v>
      </c>
      <c r="H77" s="118">
        <v>2439</v>
      </c>
      <c r="I77" s="118">
        <v>3756</v>
      </c>
      <c r="J77" s="118">
        <v>3208</v>
      </c>
      <c r="K77" s="119">
        <v>1000.82</v>
      </c>
      <c r="L77" s="120">
        <v>972.29</v>
      </c>
      <c r="M77" s="121">
        <f t="shared" si="1"/>
        <v>130.82614379084967</v>
      </c>
      <c r="N77" s="121"/>
      <c r="O77" s="142">
        <v>6160</v>
      </c>
      <c r="P77" s="117">
        <v>153613.59</v>
      </c>
      <c r="Q77" s="116">
        <v>33</v>
      </c>
      <c r="R77" s="116">
        <f>80100+9105+12788</f>
        <v>101993</v>
      </c>
      <c r="S77" s="116"/>
      <c r="T77" s="117"/>
      <c r="U77" s="116">
        <v>1922</v>
      </c>
      <c r="V77" s="117"/>
      <c r="W77" s="117"/>
      <c r="X77" s="4" t="s">
        <v>1972</v>
      </c>
      <c r="Y77" s="4" t="s">
        <v>548</v>
      </c>
      <c r="Z77" s="4" t="s">
        <v>550</v>
      </c>
      <c r="AA77" s="4" t="s">
        <v>551</v>
      </c>
      <c r="AB77" s="27"/>
      <c r="AC77" s="27"/>
      <c r="AD77" s="27"/>
      <c r="AE77" s="27"/>
    </row>
    <row r="78" spans="1:31" x14ac:dyDescent="0.25">
      <c r="A78" s="116" t="s">
        <v>1443</v>
      </c>
      <c r="B78" s="116" t="s">
        <v>204</v>
      </c>
      <c r="C78" s="116" t="s">
        <v>2205</v>
      </c>
      <c r="D78" s="117">
        <v>1150</v>
      </c>
      <c r="E78" s="117">
        <v>45</v>
      </c>
      <c r="F78" s="116">
        <v>33</v>
      </c>
      <c r="G78" s="116">
        <v>155</v>
      </c>
      <c r="H78" s="116">
        <v>953</v>
      </c>
      <c r="I78" s="116">
        <v>1530</v>
      </c>
      <c r="J78" s="116">
        <v>1552</v>
      </c>
      <c r="K78" s="119">
        <v>898.6</v>
      </c>
      <c r="L78" s="120">
        <v>852.48</v>
      </c>
      <c r="M78" s="121">
        <f t="shared" si="1"/>
        <v>115.9483870967742</v>
      </c>
      <c r="N78" s="121"/>
      <c r="O78" s="142">
        <v>8855</v>
      </c>
      <c r="P78" s="117">
        <v>72710.820000000007</v>
      </c>
      <c r="Q78" s="116">
        <v>16</v>
      </c>
      <c r="R78" s="116">
        <f>25000+9000+10000</f>
        <v>44000</v>
      </c>
      <c r="S78" s="116"/>
      <c r="T78" s="117"/>
      <c r="U78" s="116">
        <v>1922</v>
      </c>
      <c r="V78" s="117"/>
      <c r="W78" s="117"/>
      <c r="X78" s="4" t="s">
        <v>1972</v>
      </c>
      <c r="Y78" s="4" t="s">
        <v>548</v>
      </c>
      <c r="Z78" s="4" t="s">
        <v>550</v>
      </c>
      <c r="AA78" s="4" t="s">
        <v>551</v>
      </c>
      <c r="AB78" s="27"/>
      <c r="AC78" s="27"/>
      <c r="AD78" s="27"/>
      <c r="AE78" s="27"/>
    </row>
    <row r="79" spans="1:31" x14ac:dyDescent="0.25">
      <c r="A79" s="116" t="s">
        <v>1444</v>
      </c>
      <c r="B79" s="116" t="s">
        <v>204</v>
      </c>
      <c r="C79" s="116" t="s">
        <v>2206</v>
      </c>
      <c r="D79" s="117">
        <v>3557</v>
      </c>
      <c r="E79" s="117">
        <v>162</v>
      </c>
      <c r="F79" s="116">
        <v>107</v>
      </c>
      <c r="G79" s="116">
        <v>148</v>
      </c>
      <c r="H79" s="118">
        <v>3862</v>
      </c>
      <c r="I79" s="118">
        <v>5299</v>
      </c>
      <c r="J79" s="118">
        <v>5289</v>
      </c>
      <c r="K79" s="141">
        <v>716</v>
      </c>
      <c r="L79" s="120">
        <v>652.13</v>
      </c>
      <c r="M79" s="121">
        <f t="shared" si="1"/>
        <v>96.756756756756758</v>
      </c>
      <c r="N79" s="121"/>
      <c r="O79" s="142">
        <v>2325</v>
      </c>
      <c r="P79" s="117">
        <v>181350.19</v>
      </c>
      <c r="Q79" s="116">
        <v>62</v>
      </c>
      <c r="R79" s="116">
        <f>63250+27270+8915+3020+14700+4605</f>
        <v>121760</v>
      </c>
      <c r="S79" s="116"/>
      <c r="T79" s="117"/>
      <c r="U79" s="116">
        <v>1922</v>
      </c>
      <c r="V79" s="117"/>
      <c r="W79" s="117"/>
      <c r="X79" s="4" t="s">
        <v>1972</v>
      </c>
      <c r="Y79" s="4" t="s">
        <v>548</v>
      </c>
      <c r="Z79" s="4" t="s">
        <v>550</v>
      </c>
      <c r="AA79" s="4" t="s">
        <v>551</v>
      </c>
      <c r="AB79" s="27"/>
      <c r="AC79" s="27"/>
      <c r="AD79" s="27"/>
      <c r="AE79" s="27"/>
    </row>
    <row r="80" spans="1:31" x14ac:dyDescent="0.25">
      <c r="A80" s="116" t="s">
        <v>1445</v>
      </c>
      <c r="B80" s="116" t="s">
        <v>204</v>
      </c>
      <c r="C80" s="116" t="s">
        <v>26</v>
      </c>
      <c r="D80" s="117">
        <v>1990</v>
      </c>
      <c r="E80" s="117">
        <v>72</v>
      </c>
      <c r="F80" s="116">
        <v>60</v>
      </c>
      <c r="G80" s="116">
        <v>103</v>
      </c>
      <c r="H80" s="118">
        <v>2622</v>
      </c>
      <c r="I80" s="118">
        <v>3211</v>
      </c>
      <c r="J80" s="128"/>
      <c r="K80" s="119">
        <v>606.37</v>
      </c>
      <c r="L80" s="120">
        <v>541.98</v>
      </c>
      <c r="M80" s="121">
        <f t="shared" si="1"/>
        <v>117.74174757281553</v>
      </c>
      <c r="N80" s="121"/>
      <c r="O80" s="142">
        <v>3550</v>
      </c>
      <c r="P80" s="117">
        <v>59965.61</v>
      </c>
      <c r="Q80" s="116">
        <v>33</v>
      </c>
      <c r="R80" s="116">
        <f>40000+380+2800+200+8000</f>
        <v>51380</v>
      </c>
      <c r="S80" s="116"/>
      <c r="T80" s="117"/>
      <c r="U80" s="116">
        <v>1922</v>
      </c>
      <c r="V80" s="117"/>
      <c r="W80" s="117"/>
      <c r="X80" s="4" t="s">
        <v>1972</v>
      </c>
      <c r="Y80" s="4" t="s">
        <v>548</v>
      </c>
      <c r="Z80" s="4" t="s">
        <v>550</v>
      </c>
      <c r="AA80" s="4" t="s">
        <v>551</v>
      </c>
      <c r="AB80" s="27"/>
      <c r="AC80" s="27"/>
      <c r="AD80" s="27"/>
      <c r="AE80" s="27"/>
    </row>
    <row r="81" spans="1:31" x14ac:dyDescent="0.25">
      <c r="A81" s="116" t="s">
        <v>1763</v>
      </c>
      <c r="B81" s="116" t="s">
        <v>204</v>
      </c>
      <c r="C81" s="116" t="s">
        <v>2207</v>
      </c>
      <c r="D81" s="117">
        <v>4320</v>
      </c>
      <c r="E81" s="117">
        <v>198</v>
      </c>
      <c r="F81" s="116">
        <v>120</v>
      </c>
      <c r="G81" s="116">
        <v>118</v>
      </c>
      <c r="H81" s="118">
        <v>3955</v>
      </c>
      <c r="I81" s="118">
        <v>6796</v>
      </c>
      <c r="J81" s="118">
        <v>6644</v>
      </c>
      <c r="K81" s="119">
        <v>551.9</v>
      </c>
      <c r="L81" s="120">
        <v>451</v>
      </c>
      <c r="M81" s="121">
        <f t="shared" si="1"/>
        <v>93.542372881355917</v>
      </c>
      <c r="N81" s="121"/>
      <c r="O81" s="142">
        <v>1490</v>
      </c>
      <c r="P81" s="117">
        <v>139045.72</v>
      </c>
      <c r="Q81" s="116">
        <v>65</v>
      </c>
      <c r="R81" s="116">
        <f>43250+17520+4355+1595+11330+5510</f>
        <v>83560</v>
      </c>
      <c r="S81" s="116"/>
      <c r="T81" s="117"/>
      <c r="U81" s="116">
        <v>1922</v>
      </c>
      <c r="V81" s="117"/>
      <c r="W81" s="117"/>
      <c r="X81" s="4" t="s">
        <v>1972</v>
      </c>
      <c r="Y81" s="4" t="s">
        <v>548</v>
      </c>
      <c r="Z81" s="4" t="s">
        <v>550</v>
      </c>
      <c r="AA81" s="4" t="s">
        <v>551</v>
      </c>
      <c r="AB81" s="27"/>
      <c r="AC81" s="27"/>
      <c r="AD81" s="27"/>
      <c r="AE81" s="27"/>
    </row>
    <row r="82" spans="1:31" x14ac:dyDescent="0.25">
      <c r="A82" s="116" t="s">
        <v>1446</v>
      </c>
      <c r="B82" s="116" t="s">
        <v>204</v>
      </c>
      <c r="C82" s="116" t="s">
        <v>2208</v>
      </c>
      <c r="D82" s="117">
        <v>508</v>
      </c>
      <c r="E82" s="117">
        <v>62</v>
      </c>
      <c r="F82" s="116">
        <v>48</v>
      </c>
      <c r="G82" s="116">
        <v>163</v>
      </c>
      <c r="H82" s="116">
        <v>997</v>
      </c>
      <c r="I82" s="116">
        <v>1559</v>
      </c>
      <c r="J82" s="116">
        <v>1683</v>
      </c>
      <c r="K82" s="119">
        <v>1075.6099999999999</v>
      </c>
      <c r="L82" s="120">
        <v>307.5</v>
      </c>
      <c r="M82" s="121">
        <f t="shared" si="1"/>
        <v>131.97668711656439</v>
      </c>
      <c r="N82" s="121"/>
      <c r="O82" s="142">
        <v>4410</v>
      </c>
      <c r="P82" s="117">
        <v>90520.8</v>
      </c>
      <c r="Q82" s="116">
        <v>18</v>
      </c>
      <c r="R82" s="116">
        <f>72580+6500+9675</f>
        <v>88755</v>
      </c>
      <c r="S82" s="116"/>
      <c r="T82" s="117"/>
      <c r="U82" s="116">
        <v>1922</v>
      </c>
      <c r="V82" s="117"/>
      <c r="W82" s="117"/>
      <c r="X82" s="4" t="s">
        <v>1972</v>
      </c>
      <c r="Y82" s="4" t="s">
        <v>548</v>
      </c>
      <c r="Z82" s="4" t="s">
        <v>550</v>
      </c>
      <c r="AA82" s="4" t="s">
        <v>551</v>
      </c>
      <c r="AB82" s="27"/>
      <c r="AC82" s="27"/>
      <c r="AD82" s="27"/>
      <c r="AE82" s="27"/>
    </row>
    <row r="83" spans="1:31" x14ac:dyDescent="0.25">
      <c r="A83" s="116" t="s">
        <v>1447</v>
      </c>
      <c r="B83" s="116" t="s">
        <v>204</v>
      </c>
      <c r="C83" s="116" t="s">
        <v>2209</v>
      </c>
      <c r="D83" s="117">
        <v>521</v>
      </c>
      <c r="E83" s="117">
        <v>22</v>
      </c>
      <c r="F83" s="116">
        <v>17</v>
      </c>
      <c r="G83" s="116">
        <v>148</v>
      </c>
      <c r="H83" s="116">
        <v>312</v>
      </c>
      <c r="I83" s="116">
        <v>458</v>
      </c>
      <c r="J83" s="116">
        <v>637</v>
      </c>
      <c r="K83" s="119">
        <v>816.68</v>
      </c>
      <c r="L83" s="120">
        <v>825.41</v>
      </c>
      <c r="M83" s="121">
        <f t="shared" si="1"/>
        <v>110.36216216216215</v>
      </c>
      <c r="N83" s="121"/>
      <c r="O83" s="142">
        <v>1521</v>
      </c>
      <c r="P83" s="117">
        <v>49239.23</v>
      </c>
      <c r="Q83" s="116">
        <v>11</v>
      </c>
      <c r="R83" s="116">
        <f>30000+3000+5000</f>
        <v>38000</v>
      </c>
      <c r="S83" s="116"/>
      <c r="T83" s="117"/>
      <c r="U83" s="116">
        <v>1922</v>
      </c>
      <c r="V83" s="117"/>
      <c r="W83" s="117"/>
      <c r="X83" s="4" t="s">
        <v>1973</v>
      </c>
      <c r="Y83" s="4" t="s">
        <v>559</v>
      </c>
      <c r="Z83" s="4" t="s">
        <v>560</v>
      </c>
      <c r="AA83" s="4" t="s">
        <v>558</v>
      </c>
      <c r="AB83" s="27"/>
      <c r="AC83" s="27"/>
      <c r="AD83" s="27"/>
      <c r="AE83" s="27"/>
    </row>
    <row r="84" spans="1:31" x14ac:dyDescent="0.25">
      <c r="A84" s="116" t="s">
        <v>1448</v>
      </c>
      <c r="B84" s="116" t="s">
        <v>204</v>
      </c>
      <c r="C84" s="116" t="s">
        <v>2210</v>
      </c>
      <c r="D84" s="117">
        <v>6612</v>
      </c>
      <c r="E84" s="117">
        <v>278</v>
      </c>
      <c r="F84" s="116">
        <v>39</v>
      </c>
      <c r="G84" s="116">
        <v>161</v>
      </c>
      <c r="H84" s="118">
        <v>1147</v>
      </c>
      <c r="I84" s="118">
        <v>8733</v>
      </c>
      <c r="J84" s="118">
        <v>8823</v>
      </c>
      <c r="K84" s="119">
        <v>1324.17</v>
      </c>
      <c r="L84" s="120">
        <v>1645.51</v>
      </c>
      <c r="M84" s="121">
        <f t="shared" si="1"/>
        <v>164.49316770186334</v>
      </c>
      <c r="N84" s="121"/>
      <c r="O84" s="142">
        <v>1000</v>
      </c>
      <c r="P84" s="117">
        <v>504814.13</v>
      </c>
      <c r="Q84" s="116">
        <v>15</v>
      </c>
      <c r="R84" s="116">
        <f>136900+4700+12600+900+9725+400</f>
        <v>165225</v>
      </c>
      <c r="S84" s="116"/>
      <c r="T84" s="117"/>
      <c r="U84" s="116">
        <v>1922</v>
      </c>
      <c r="V84" s="117"/>
      <c r="W84" s="117"/>
      <c r="X84" s="4" t="s">
        <v>1973</v>
      </c>
      <c r="Y84" s="4" t="s">
        <v>559</v>
      </c>
      <c r="Z84" s="4" t="s">
        <v>560</v>
      </c>
      <c r="AA84" s="4" t="s">
        <v>558</v>
      </c>
      <c r="AB84" s="27"/>
      <c r="AC84" s="27"/>
      <c r="AD84" s="27"/>
      <c r="AE84" s="27"/>
    </row>
    <row r="85" spans="1:31" x14ac:dyDescent="0.25">
      <c r="A85" s="116" t="s">
        <v>1449</v>
      </c>
      <c r="B85" s="116" t="s">
        <v>204</v>
      </c>
      <c r="C85" s="116" t="s">
        <v>2211</v>
      </c>
      <c r="D85" s="117">
        <v>712</v>
      </c>
      <c r="E85" s="117">
        <v>21</v>
      </c>
      <c r="F85" s="117"/>
      <c r="G85" s="116">
        <v>130</v>
      </c>
      <c r="H85" s="116">
        <v>608</v>
      </c>
      <c r="I85" s="116">
        <v>903</v>
      </c>
      <c r="J85" s="116">
        <v>1357</v>
      </c>
      <c r="K85" s="119">
        <v>973.42</v>
      </c>
      <c r="L85" s="120">
        <v>973</v>
      </c>
      <c r="M85" s="121">
        <f t="shared" si="1"/>
        <v>149.75692307692307</v>
      </c>
      <c r="N85" s="121"/>
      <c r="O85" s="142">
        <v>1657</v>
      </c>
      <c r="P85" s="117">
        <v>75426.3</v>
      </c>
      <c r="Q85" s="116">
        <v>14</v>
      </c>
      <c r="R85" s="116">
        <f>12925+775+3906</f>
        <v>17606</v>
      </c>
      <c r="S85" s="116"/>
      <c r="T85" s="117"/>
      <c r="U85" s="116">
        <v>1922</v>
      </c>
      <c r="V85" s="117"/>
      <c r="W85" s="117"/>
      <c r="X85" s="4" t="s">
        <v>1973</v>
      </c>
      <c r="Y85" s="4" t="s">
        <v>559</v>
      </c>
      <c r="Z85" s="4" t="s">
        <v>560</v>
      </c>
      <c r="AA85" s="4" t="s">
        <v>558</v>
      </c>
      <c r="AB85" s="27"/>
      <c r="AC85" s="27"/>
      <c r="AD85" s="27"/>
      <c r="AE85" s="27"/>
    </row>
    <row r="86" spans="1:31" x14ac:dyDescent="0.25">
      <c r="A86" s="116" t="s">
        <v>1450</v>
      </c>
      <c r="B86" s="116" t="s">
        <v>204</v>
      </c>
      <c r="C86" s="116" t="s">
        <v>2212</v>
      </c>
      <c r="D86" s="117">
        <v>1560</v>
      </c>
      <c r="E86" s="117">
        <v>66</v>
      </c>
      <c r="F86" s="116">
        <v>52</v>
      </c>
      <c r="G86" s="116">
        <v>157</v>
      </c>
      <c r="H86" s="118">
        <v>1418</v>
      </c>
      <c r="I86" s="118">
        <v>1915</v>
      </c>
      <c r="J86" s="118">
        <v>1863</v>
      </c>
      <c r="K86" s="119">
        <v>692.69</v>
      </c>
      <c r="L86" s="120">
        <v>351.11</v>
      </c>
      <c r="M86" s="121">
        <f t="shared" si="1"/>
        <v>88.240764331210201</v>
      </c>
      <c r="N86" s="121"/>
      <c r="O86" s="142">
        <v>4695</v>
      </c>
      <c r="P86" s="117">
        <v>58818.07</v>
      </c>
      <c r="Q86" s="116">
        <v>38</v>
      </c>
      <c r="R86" s="116">
        <f>40315+6490.5+5617.5</f>
        <v>52423</v>
      </c>
      <c r="S86" s="116"/>
      <c r="T86" s="117"/>
      <c r="U86" s="116">
        <v>1922</v>
      </c>
      <c r="V86" s="117"/>
      <c r="W86" s="117"/>
      <c r="X86" s="4" t="s">
        <v>1973</v>
      </c>
      <c r="Y86" s="4" t="s">
        <v>559</v>
      </c>
      <c r="Z86" s="4" t="s">
        <v>560</v>
      </c>
      <c r="AA86" s="4" t="s">
        <v>558</v>
      </c>
      <c r="AB86" s="27"/>
      <c r="AC86" s="27"/>
      <c r="AD86" s="27"/>
      <c r="AE86" s="27"/>
    </row>
    <row r="87" spans="1:31" x14ac:dyDescent="0.25">
      <c r="A87" s="116" t="s">
        <v>1451</v>
      </c>
      <c r="B87" s="116" t="s">
        <v>204</v>
      </c>
      <c r="C87" s="116" t="s">
        <v>2213</v>
      </c>
      <c r="E87" s="117">
        <v>10</v>
      </c>
      <c r="F87" s="116">
        <v>10</v>
      </c>
      <c r="G87" s="116">
        <v>140</v>
      </c>
      <c r="H87" s="116">
        <v>129</v>
      </c>
      <c r="I87" s="116">
        <v>129</v>
      </c>
      <c r="J87" s="116">
        <v>108</v>
      </c>
      <c r="K87" s="119">
        <v>598.5</v>
      </c>
      <c r="L87" s="120">
        <v>598.5</v>
      </c>
      <c r="M87" s="121">
        <f t="shared" si="1"/>
        <v>85.5</v>
      </c>
      <c r="N87" s="121"/>
      <c r="O87" s="142">
        <v>1750</v>
      </c>
      <c r="P87" s="117">
        <v>8303.51</v>
      </c>
      <c r="Q87" s="116">
        <v>6</v>
      </c>
      <c r="R87" s="116">
        <f>8800+800+300</f>
        <v>9900</v>
      </c>
      <c r="S87" s="116"/>
      <c r="T87" s="117"/>
      <c r="U87" s="116">
        <v>1922</v>
      </c>
      <c r="V87" s="117"/>
      <c r="W87" s="117"/>
      <c r="X87" s="4" t="s">
        <v>1973</v>
      </c>
      <c r="Y87" s="4" t="s">
        <v>559</v>
      </c>
      <c r="Z87" s="4" t="s">
        <v>560</v>
      </c>
      <c r="AA87" s="4" t="s">
        <v>558</v>
      </c>
      <c r="AB87" s="27"/>
      <c r="AC87" s="27"/>
      <c r="AD87" s="27"/>
      <c r="AE87" s="27"/>
    </row>
    <row r="88" spans="1:31" x14ac:dyDescent="0.25">
      <c r="A88" s="116" t="s">
        <v>1452</v>
      </c>
      <c r="B88" s="116" t="s">
        <v>204</v>
      </c>
      <c r="C88" s="116" t="s">
        <v>2214</v>
      </c>
      <c r="D88" s="117">
        <v>1156</v>
      </c>
      <c r="E88" s="117">
        <v>65</v>
      </c>
      <c r="F88" s="116">
        <v>41</v>
      </c>
      <c r="G88" s="116">
        <v>132</v>
      </c>
      <c r="H88" s="118">
        <v>1463</v>
      </c>
      <c r="I88" s="118">
        <v>2116</v>
      </c>
      <c r="J88" s="118">
        <v>1848</v>
      </c>
      <c r="K88" s="119">
        <v>836.86</v>
      </c>
      <c r="L88" s="120">
        <v>642.53</v>
      </c>
      <c r="M88" s="121">
        <f t="shared" si="1"/>
        <v>126.79696969696971</v>
      </c>
      <c r="N88" s="121"/>
      <c r="O88" s="142">
        <v>20232</v>
      </c>
      <c r="P88" s="117">
        <v>79366.649999999994</v>
      </c>
      <c r="Q88" s="116">
        <v>32</v>
      </c>
      <c r="R88" s="116">
        <f>36600+800+3900+250+4600+400</f>
        <v>46550</v>
      </c>
      <c r="S88" s="116"/>
      <c r="T88" s="117"/>
      <c r="U88" s="116">
        <v>1922</v>
      </c>
      <c r="V88" s="117"/>
      <c r="W88" s="117"/>
      <c r="X88" s="4" t="s">
        <v>1973</v>
      </c>
      <c r="Y88" s="4" t="s">
        <v>559</v>
      </c>
      <c r="Z88" s="4" t="s">
        <v>560</v>
      </c>
      <c r="AA88" s="4" t="s">
        <v>558</v>
      </c>
      <c r="AB88" s="27"/>
      <c r="AC88" s="27"/>
      <c r="AD88" s="27"/>
      <c r="AE88" s="27"/>
    </row>
    <row r="89" spans="1:31" x14ac:dyDescent="0.25">
      <c r="A89" s="116" t="s">
        <v>1453</v>
      </c>
      <c r="B89" s="116" t="s">
        <v>204</v>
      </c>
      <c r="C89" s="116" t="s">
        <v>2215</v>
      </c>
      <c r="D89" s="117">
        <v>4448</v>
      </c>
      <c r="E89" s="117">
        <v>215</v>
      </c>
      <c r="F89" s="116">
        <v>142</v>
      </c>
      <c r="G89" s="116">
        <v>140</v>
      </c>
      <c r="H89" s="118">
        <v>4426</v>
      </c>
      <c r="I89" s="118">
        <v>6842</v>
      </c>
      <c r="J89" s="118">
        <v>6887</v>
      </c>
      <c r="K89" s="119">
        <v>679.18</v>
      </c>
      <c r="L89" s="120">
        <v>591.94000000000005</v>
      </c>
      <c r="M89" s="121">
        <f t="shared" si="1"/>
        <v>97.025714285714272</v>
      </c>
      <c r="N89" s="121"/>
      <c r="O89" s="142">
        <v>4335</v>
      </c>
      <c r="P89" s="117">
        <v>206311.5</v>
      </c>
      <c r="Q89" s="116">
        <v>91</v>
      </c>
      <c r="R89" s="116">
        <f>78770+4940+6425+1348+15907+650</f>
        <v>108040</v>
      </c>
      <c r="S89" s="116"/>
      <c r="T89" s="117"/>
      <c r="U89" s="116">
        <v>1922</v>
      </c>
      <c r="V89" s="117"/>
      <c r="W89" s="117"/>
      <c r="X89" s="4" t="s">
        <v>1973</v>
      </c>
      <c r="Y89" s="4" t="s">
        <v>559</v>
      </c>
      <c r="Z89" s="4" t="s">
        <v>560</v>
      </c>
      <c r="AA89" s="4" t="s">
        <v>558</v>
      </c>
      <c r="AB89" s="27"/>
      <c r="AC89" s="27"/>
      <c r="AD89" s="27"/>
      <c r="AE89" s="27"/>
    </row>
    <row r="90" spans="1:31" x14ac:dyDescent="0.25">
      <c r="A90" s="116" t="s">
        <v>1454</v>
      </c>
      <c r="B90" s="116" t="s">
        <v>204</v>
      </c>
      <c r="C90" s="116" t="s">
        <v>2216</v>
      </c>
      <c r="D90" s="117">
        <v>1174</v>
      </c>
      <c r="E90" s="117">
        <v>45</v>
      </c>
      <c r="F90" s="116">
        <v>16</v>
      </c>
      <c r="G90" s="116">
        <v>130</v>
      </c>
      <c r="H90" s="116">
        <v>325</v>
      </c>
      <c r="I90" s="116">
        <v>1264</v>
      </c>
      <c r="J90" s="116">
        <f>314+168+485+510</f>
        <v>1477</v>
      </c>
      <c r="K90" s="119">
        <v>955.77</v>
      </c>
      <c r="L90" s="120">
        <v>673.42</v>
      </c>
      <c r="M90" s="121">
        <f t="shared" si="1"/>
        <v>147.04153846153847</v>
      </c>
      <c r="N90" s="121"/>
      <c r="O90" s="142">
        <v>10529</v>
      </c>
      <c r="P90" s="117">
        <v>68322.94</v>
      </c>
      <c r="Q90" s="116">
        <v>14</v>
      </c>
      <c r="R90" s="116">
        <f>14000+900+2000</f>
        <v>16900</v>
      </c>
      <c r="S90" s="116"/>
      <c r="T90" s="117"/>
      <c r="U90" s="116">
        <v>1922</v>
      </c>
      <c r="V90" s="117"/>
      <c r="W90" s="117"/>
      <c r="X90" s="4" t="s">
        <v>1973</v>
      </c>
      <c r="Y90" s="4" t="s">
        <v>559</v>
      </c>
      <c r="Z90" s="4" t="s">
        <v>560</v>
      </c>
      <c r="AA90" s="4" t="s">
        <v>558</v>
      </c>
      <c r="AB90" s="27"/>
      <c r="AC90" s="27"/>
      <c r="AD90" s="27"/>
      <c r="AE90" s="27"/>
    </row>
    <row r="91" spans="1:31" x14ac:dyDescent="0.25">
      <c r="A91" s="116" t="s">
        <v>1455</v>
      </c>
      <c r="B91" s="116" t="s">
        <v>204</v>
      </c>
      <c r="C91" s="116" t="s">
        <v>2217</v>
      </c>
      <c r="D91" s="117">
        <v>16185</v>
      </c>
      <c r="E91" s="117">
        <v>506</v>
      </c>
      <c r="F91" s="116">
        <v>207</v>
      </c>
      <c r="G91" s="116">
        <v>131</v>
      </c>
      <c r="H91" s="118">
        <v>9661</v>
      </c>
      <c r="I91" s="118">
        <v>21392</v>
      </c>
      <c r="J91" s="118">
        <v>22730</v>
      </c>
      <c r="K91" s="119">
        <v>895.74</v>
      </c>
      <c r="L91" s="120">
        <v>596.94000000000005</v>
      </c>
      <c r="M91" s="121">
        <f t="shared" si="1"/>
        <v>136.75419847328246</v>
      </c>
      <c r="N91" s="121"/>
      <c r="O91" s="142">
        <v>4875</v>
      </c>
      <c r="P91" s="117">
        <v>676766.8</v>
      </c>
      <c r="Q91" s="116">
        <v>118</v>
      </c>
      <c r="R91" s="116">
        <f>343000+5000+20000+800+75000+500</f>
        <v>444300</v>
      </c>
      <c r="S91" s="116"/>
      <c r="T91" s="117"/>
      <c r="U91" s="116">
        <v>1922</v>
      </c>
      <c r="V91" s="117"/>
      <c r="W91" s="117"/>
      <c r="X91" s="4" t="s">
        <v>1973</v>
      </c>
      <c r="Y91" s="4" t="s">
        <v>559</v>
      </c>
      <c r="Z91" s="4" t="s">
        <v>560</v>
      </c>
      <c r="AA91" s="4" t="s">
        <v>558</v>
      </c>
      <c r="AB91" s="27"/>
      <c r="AC91" s="27"/>
      <c r="AD91" s="27"/>
      <c r="AE91" s="27"/>
    </row>
    <row r="92" spans="1:31" x14ac:dyDescent="0.25">
      <c r="A92" s="116" t="s">
        <v>1456</v>
      </c>
      <c r="B92" s="116" t="s">
        <v>204</v>
      </c>
      <c r="C92" s="116" t="s">
        <v>2218</v>
      </c>
      <c r="D92" s="117">
        <v>3309</v>
      </c>
      <c r="E92" s="117">
        <v>117</v>
      </c>
      <c r="F92" s="116">
        <v>59</v>
      </c>
      <c r="G92" s="116">
        <v>133</v>
      </c>
      <c r="H92" s="118">
        <v>2394</v>
      </c>
      <c r="I92" s="118">
        <v>4916</v>
      </c>
      <c r="J92" s="118">
        <v>4781</v>
      </c>
      <c r="K92" s="119">
        <v>771.13</v>
      </c>
      <c r="L92" s="120">
        <v>536.91</v>
      </c>
      <c r="M92" s="121">
        <f t="shared" si="1"/>
        <v>115.9593984962406</v>
      </c>
      <c r="N92" s="121"/>
      <c r="O92" s="142"/>
      <c r="P92" s="117">
        <v>130983.89</v>
      </c>
      <c r="Q92" s="116">
        <v>31</v>
      </c>
      <c r="R92" s="116">
        <f>26000+17000+1500+1000</f>
        <v>45500</v>
      </c>
      <c r="S92" s="116"/>
      <c r="T92" s="117"/>
      <c r="U92" s="116">
        <v>1922</v>
      </c>
      <c r="V92" s="117"/>
      <c r="W92" s="117"/>
      <c r="X92" s="4" t="s">
        <v>1973</v>
      </c>
      <c r="Y92" s="4" t="s">
        <v>559</v>
      </c>
      <c r="Z92" s="4" t="s">
        <v>560</v>
      </c>
      <c r="AA92" s="4" t="s">
        <v>558</v>
      </c>
      <c r="AB92" s="27"/>
      <c r="AC92" s="27"/>
      <c r="AD92" s="27"/>
      <c r="AE92" s="27"/>
    </row>
    <row r="93" spans="1:31" x14ac:dyDescent="0.25">
      <c r="A93" s="116" t="s">
        <v>1457</v>
      </c>
      <c r="B93" s="116" t="s">
        <v>204</v>
      </c>
      <c r="C93" s="116" t="s">
        <v>2219</v>
      </c>
      <c r="D93" s="117">
        <v>3522</v>
      </c>
      <c r="E93" s="117">
        <v>174</v>
      </c>
      <c r="F93" s="116">
        <v>96</v>
      </c>
      <c r="G93" s="116">
        <v>140</v>
      </c>
      <c r="H93" s="118">
        <v>2876</v>
      </c>
      <c r="I93" s="118">
        <v>5873</v>
      </c>
      <c r="J93" s="118">
        <v>5717</v>
      </c>
      <c r="K93" s="119">
        <v>723.49</v>
      </c>
      <c r="L93" s="120">
        <v>621.82000000000005</v>
      </c>
      <c r="M93" s="121">
        <f t="shared" si="1"/>
        <v>103.35571428571428</v>
      </c>
      <c r="N93" s="121"/>
      <c r="O93" s="142"/>
      <c r="P93" s="117">
        <v>167994.18</v>
      </c>
      <c r="Q93" s="116">
        <v>62</v>
      </c>
      <c r="R93" s="116">
        <f>60000+11000+6000+1550+17000+5200</f>
        <v>100750</v>
      </c>
      <c r="S93" s="116"/>
      <c r="T93" s="117"/>
      <c r="U93" s="116">
        <v>1922</v>
      </c>
      <c r="V93" s="117"/>
      <c r="W93" s="117"/>
      <c r="X93" s="4" t="s">
        <v>1973</v>
      </c>
      <c r="Y93" s="4" t="s">
        <v>559</v>
      </c>
      <c r="Z93" s="4" t="s">
        <v>560</v>
      </c>
      <c r="AA93" s="4" t="s">
        <v>558</v>
      </c>
      <c r="AB93" s="27"/>
      <c r="AC93" s="27"/>
      <c r="AD93" s="27"/>
      <c r="AE93" s="27"/>
    </row>
    <row r="94" spans="1:31" x14ac:dyDescent="0.25">
      <c r="A94" s="116" t="s">
        <v>1764</v>
      </c>
      <c r="B94" s="116" t="s">
        <v>204</v>
      </c>
      <c r="C94" s="116" t="s">
        <v>2220</v>
      </c>
      <c r="D94" s="117">
        <v>3191</v>
      </c>
      <c r="E94" s="117">
        <v>154</v>
      </c>
      <c r="F94" s="116">
        <v>129</v>
      </c>
      <c r="G94" s="116">
        <v>155</v>
      </c>
      <c r="H94" s="118">
        <v>3825</v>
      </c>
      <c r="I94" s="118">
        <v>4904</v>
      </c>
      <c r="J94" s="118">
        <v>5016</v>
      </c>
      <c r="K94" s="119">
        <v>803.96</v>
      </c>
      <c r="L94" s="120">
        <v>775.79</v>
      </c>
      <c r="M94" s="121">
        <f t="shared" si="1"/>
        <v>103.73677419354838</v>
      </c>
      <c r="N94" s="121"/>
      <c r="O94" s="142"/>
      <c r="P94" s="117">
        <v>165196.01</v>
      </c>
      <c r="Q94" s="116">
        <v>72</v>
      </c>
      <c r="R94" s="116">
        <f>158500+22100+14275+2475+20305+3205</f>
        <v>220860</v>
      </c>
      <c r="S94" s="116"/>
      <c r="T94" s="117"/>
      <c r="U94" s="116">
        <v>1922</v>
      </c>
      <c r="V94" s="117"/>
      <c r="W94" s="117"/>
      <c r="X94" s="4" t="s">
        <v>1973</v>
      </c>
      <c r="Y94" s="4" t="s">
        <v>559</v>
      </c>
      <c r="Z94" s="4" t="s">
        <v>560</v>
      </c>
      <c r="AA94" s="4" t="s">
        <v>558</v>
      </c>
      <c r="AB94" s="27"/>
      <c r="AC94" s="27"/>
      <c r="AD94" s="27"/>
      <c r="AE94" s="27"/>
    </row>
    <row r="95" spans="1:31" x14ac:dyDescent="0.25">
      <c r="A95" s="116" t="s">
        <v>1458</v>
      </c>
      <c r="B95" s="116" t="s">
        <v>204</v>
      </c>
      <c r="C95" s="116" t="s">
        <v>2221</v>
      </c>
      <c r="D95" s="117">
        <v>1786</v>
      </c>
      <c r="E95" s="117">
        <v>115</v>
      </c>
      <c r="F95" s="116">
        <v>50</v>
      </c>
      <c r="G95" s="116">
        <v>148</v>
      </c>
      <c r="H95" s="116">
        <v>787</v>
      </c>
      <c r="I95" s="116">
        <v>3106</v>
      </c>
      <c r="J95" s="116">
        <v>3774</v>
      </c>
      <c r="K95" s="119">
        <v>882.81</v>
      </c>
      <c r="L95" s="120">
        <v>545.09</v>
      </c>
      <c r="M95" s="121">
        <f t="shared" si="1"/>
        <v>119.29864864864864</v>
      </c>
      <c r="N95" s="121"/>
      <c r="O95" s="142">
        <v>6563</v>
      </c>
      <c r="P95" s="117">
        <v>210643.32</v>
      </c>
      <c r="Q95" s="116">
        <v>17</v>
      </c>
      <c r="R95" s="116">
        <f>90000+55000+20000</f>
        <v>165000</v>
      </c>
      <c r="S95" s="116"/>
      <c r="T95" s="117"/>
      <c r="U95" s="116">
        <v>1922</v>
      </c>
      <c r="V95" s="117"/>
      <c r="W95" s="117"/>
      <c r="X95" s="4" t="s">
        <v>1973</v>
      </c>
      <c r="Y95" s="4" t="s">
        <v>559</v>
      </c>
      <c r="Z95" s="4" t="s">
        <v>560</v>
      </c>
      <c r="AA95" s="4" t="s">
        <v>558</v>
      </c>
      <c r="AB95" s="27"/>
      <c r="AC95" s="27"/>
      <c r="AD95" s="27"/>
      <c r="AE95" s="27"/>
    </row>
    <row r="96" spans="1:31" x14ac:dyDescent="0.25">
      <c r="A96" s="116" t="s">
        <v>1459</v>
      </c>
      <c r="B96" s="116" t="s">
        <v>204</v>
      </c>
      <c r="C96" s="116" t="s">
        <v>103</v>
      </c>
      <c r="D96" s="117">
        <v>2531</v>
      </c>
      <c r="E96" s="117">
        <v>102</v>
      </c>
      <c r="F96" s="116">
        <v>42</v>
      </c>
      <c r="G96" s="116">
        <v>137</v>
      </c>
      <c r="H96" s="118">
        <v>1617</v>
      </c>
      <c r="I96" s="118">
        <v>4127</v>
      </c>
      <c r="J96" s="118">
        <v>4024</v>
      </c>
      <c r="K96" s="119">
        <v>848.1</v>
      </c>
      <c r="L96" s="120">
        <v>768.42</v>
      </c>
      <c r="M96" s="121">
        <f t="shared" si="1"/>
        <v>123.8102189781022</v>
      </c>
      <c r="N96" s="121"/>
      <c r="O96" s="142"/>
      <c r="P96" s="117">
        <v>162946.93</v>
      </c>
      <c r="Q96" s="116">
        <v>19</v>
      </c>
      <c r="R96" s="116">
        <f>47250+2775+10745</f>
        <v>60770</v>
      </c>
      <c r="S96" s="116"/>
      <c r="T96" s="117"/>
      <c r="U96" s="116">
        <v>1922</v>
      </c>
      <c r="V96" s="117"/>
      <c r="W96" s="117"/>
      <c r="X96" s="4" t="s">
        <v>1973</v>
      </c>
      <c r="Y96" s="4" t="s">
        <v>559</v>
      </c>
      <c r="Z96" s="4" t="s">
        <v>561</v>
      </c>
      <c r="AA96" s="4" t="s">
        <v>558</v>
      </c>
      <c r="AB96" s="27"/>
      <c r="AC96" s="27"/>
      <c r="AD96" s="27"/>
      <c r="AE96" s="27"/>
    </row>
    <row r="97" spans="1:31" x14ac:dyDescent="0.25">
      <c r="A97" s="116" t="s">
        <v>1460</v>
      </c>
      <c r="B97" s="116" t="s">
        <v>204</v>
      </c>
      <c r="C97" s="116" t="s">
        <v>318</v>
      </c>
      <c r="D97" s="117">
        <v>2919</v>
      </c>
      <c r="E97" s="117">
        <v>127</v>
      </c>
      <c r="F97" s="116">
        <v>91</v>
      </c>
      <c r="G97" s="116">
        <v>123</v>
      </c>
      <c r="H97" s="118">
        <v>2671</v>
      </c>
      <c r="I97" s="118">
        <v>4060</v>
      </c>
      <c r="J97" s="118">
        <v>4006</v>
      </c>
      <c r="K97" s="119">
        <v>682.22</v>
      </c>
      <c r="L97" s="120">
        <v>631.84</v>
      </c>
      <c r="M97" s="121">
        <f t="shared" si="1"/>
        <v>110.930081300813</v>
      </c>
      <c r="N97" s="121"/>
      <c r="O97" s="142"/>
      <c r="P97" s="117">
        <v>138914.62</v>
      </c>
      <c r="Q97" s="116">
        <v>47</v>
      </c>
      <c r="R97" s="116">
        <f>90105+6420+15608</f>
        <v>112133</v>
      </c>
      <c r="S97" s="116"/>
      <c r="T97" s="117"/>
      <c r="U97" s="116">
        <v>1922</v>
      </c>
      <c r="V97" s="117"/>
      <c r="W97" s="117"/>
      <c r="X97" s="4" t="s">
        <v>1973</v>
      </c>
      <c r="Y97" s="4" t="s">
        <v>559</v>
      </c>
      <c r="Z97" s="4" t="s">
        <v>561</v>
      </c>
      <c r="AA97" s="4" t="s">
        <v>558</v>
      </c>
      <c r="AB97" s="27"/>
      <c r="AC97" s="27"/>
      <c r="AD97" s="27"/>
      <c r="AE97" s="27"/>
    </row>
    <row r="98" spans="1:31" x14ac:dyDescent="0.25">
      <c r="A98" s="116" t="s">
        <v>1461</v>
      </c>
      <c r="B98" s="116" t="s">
        <v>204</v>
      </c>
      <c r="C98" s="116" t="s">
        <v>2222</v>
      </c>
      <c r="D98" s="117">
        <v>337</v>
      </c>
      <c r="E98" s="117">
        <v>14</v>
      </c>
      <c r="F98" s="116">
        <v>14</v>
      </c>
      <c r="G98" s="116">
        <v>134</v>
      </c>
      <c r="H98" s="116">
        <v>166</v>
      </c>
      <c r="I98" s="116">
        <v>166</v>
      </c>
      <c r="J98" s="116">
        <v>402</v>
      </c>
      <c r="K98" s="119">
        <v>1443.14</v>
      </c>
      <c r="L98" s="120">
        <v>602.78</v>
      </c>
      <c r="M98" s="121">
        <f t="shared" si="1"/>
        <v>215.39402985074628</v>
      </c>
      <c r="N98" s="121"/>
      <c r="O98" s="142"/>
      <c r="P98" s="117">
        <v>27660.74</v>
      </c>
      <c r="Q98" s="116">
        <v>11</v>
      </c>
      <c r="R98" s="116">
        <f>10050+500+2140</f>
        <v>12690</v>
      </c>
      <c r="S98" s="116"/>
      <c r="T98" s="117"/>
      <c r="U98" s="116">
        <v>1922</v>
      </c>
      <c r="V98" s="117"/>
      <c r="W98" s="117"/>
      <c r="X98" s="4" t="s">
        <v>1973</v>
      </c>
      <c r="Y98" s="4" t="s">
        <v>559</v>
      </c>
      <c r="Z98" s="4" t="s">
        <v>561</v>
      </c>
      <c r="AA98" s="4" t="s">
        <v>558</v>
      </c>
      <c r="AB98" s="27"/>
      <c r="AC98" s="27"/>
      <c r="AD98" s="27"/>
      <c r="AE98" s="27"/>
    </row>
    <row r="99" spans="1:31" x14ac:dyDescent="0.25">
      <c r="A99" s="116" t="s">
        <v>1462</v>
      </c>
      <c r="B99" s="116" t="s">
        <v>204</v>
      </c>
      <c r="C99" s="116" t="s">
        <v>2223</v>
      </c>
      <c r="D99" s="117">
        <v>2785</v>
      </c>
      <c r="E99" s="117">
        <v>100</v>
      </c>
      <c r="F99" s="116">
        <v>55</v>
      </c>
      <c r="G99" s="116">
        <v>160</v>
      </c>
      <c r="H99" s="118">
        <v>2264</v>
      </c>
      <c r="I99" s="118">
        <v>3945</v>
      </c>
      <c r="J99" s="118">
        <v>4064</v>
      </c>
      <c r="K99" s="119">
        <v>860.59</v>
      </c>
      <c r="L99" s="120">
        <v>775.07</v>
      </c>
      <c r="M99" s="121">
        <f t="shared" si="1"/>
        <v>107.57375</v>
      </c>
      <c r="N99" s="121"/>
      <c r="O99" s="142"/>
      <c r="P99" s="117">
        <v>159990</v>
      </c>
      <c r="Q99" s="116">
        <v>27</v>
      </c>
      <c r="R99" s="116">
        <f>72600+4725+6000</f>
        <v>83325</v>
      </c>
      <c r="S99" s="116"/>
      <c r="T99" s="117"/>
      <c r="U99" s="116">
        <v>1922</v>
      </c>
      <c r="V99" s="117"/>
      <c r="W99" s="117"/>
      <c r="X99" s="4" t="s">
        <v>1973</v>
      </c>
      <c r="Y99" s="4" t="s">
        <v>559</v>
      </c>
      <c r="Z99" s="4" t="s">
        <v>561</v>
      </c>
      <c r="AA99" s="4" t="s">
        <v>558</v>
      </c>
      <c r="AB99" s="27"/>
      <c r="AC99" s="27"/>
      <c r="AD99" s="27"/>
      <c r="AE99" s="27"/>
    </row>
    <row r="100" spans="1:31" x14ac:dyDescent="0.25">
      <c r="A100" s="116" t="s">
        <v>1463</v>
      </c>
      <c r="B100" s="116" t="s">
        <v>204</v>
      </c>
      <c r="C100" s="116" t="s">
        <v>2224</v>
      </c>
      <c r="D100" s="117">
        <v>3264</v>
      </c>
      <c r="E100" s="117">
        <v>132</v>
      </c>
      <c r="F100" s="116">
        <v>40</v>
      </c>
      <c r="G100" s="116">
        <v>152</v>
      </c>
      <c r="H100" s="118">
        <v>1026</v>
      </c>
      <c r="I100" s="118">
        <v>4282</v>
      </c>
      <c r="J100" s="118">
        <v>4486</v>
      </c>
      <c r="K100" s="119">
        <v>976.18</v>
      </c>
      <c r="L100" s="120">
        <v>779.32</v>
      </c>
      <c r="M100" s="121">
        <f t="shared" si="1"/>
        <v>128.44473684210527</v>
      </c>
      <c r="N100" s="121"/>
      <c r="O100" s="142"/>
      <c r="P100" s="117">
        <v>169910.39</v>
      </c>
      <c r="Q100" s="116">
        <v>21</v>
      </c>
      <c r="R100" s="116">
        <f>9250+1000+1120+100+7150+500</f>
        <v>19120</v>
      </c>
      <c r="S100" s="116"/>
      <c r="T100" s="117"/>
      <c r="U100" s="116">
        <v>1922</v>
      </c>
      <c r="V100" s="117"/>
      <c r="W100" s="117"/>
      <c r="X100" s="4" t="s">
        <v>1973</v>
      </c>
      <c r="Y100" s="4" t="s">
        <v>559</v>
      </c>
      <c r="Z100" s="4" t="s">
        <v>561</v>
      </c>
      <c r="AA100" s="4" t="s">
        <v>558</v>
      </c>
      <c r="AB100" s="27"/>
      <c r="AC100" s="27"/>
      <c r="AD100" s="27"/>
      <c r="AE100" s="27"/>
    </row>
    <row r="101" spans="1:31" x14ac:dyDescent="0.25">
      <c r="A101" s="116" t="s">
        <v>1464</v>
      </c>
      <c r="B101" s="116" t="s">
        <v>204</v>
      </c>
      <c r="C101" s="116" t="s">
        <v>2225</v>
      </c>
      <c r="D101" s="117">
        <v>34234</v>
      </c>
      <c r="E101" s="117">
        <v>1381</v>
      </c>
      <c r="F101" s="116">
        <v>186</v>
      </c>
      <c r="G101" s="116">
        <v>151</v>
      </c>
      <c r="H101" s="118">
        <v>5524</v>
      </c>
      <c r="I101" s="118">
        <v>40635</v>
      </c>
      <c r="J101" s="118">
        <v>42634</v>
      </c>
      <c r="K101" s="119">
        <v>1091.22</v>
      </c>
      <c r="L101" s="120">
        <v>673.36</v>
      </c>
      <c r="M101" s="121">
        <f t="shared" si="1"/>
        <v>144.53245033112583</v>
      </c>
      <c r="N101" s="121"/>
      <c r="O101" s="142"/>
      <c r="P101" s="117">
        <v>3065148.36</v>
      </c>
      <c r="Q101" s="116">
        <v>58</v>
      </c>
      <c r="R101" s="116">
        <f>225450+10250+20925+3825+25000+3660</f>
        <v>289110</v>
      </c>
      <c r="S101" s="116"/>
      <c r="T101" s="117"/>
      <c r="U101" s="116">
        <v>1922</v>
      </c>
      <c r="V101" s="117"/>
      <c r="W101" s="117"/>
      <c r="X101" s="4" t="s">
        <v>1973</v>
      </c>
      <c r="Y101" s="4" t="s">
        <v>559</v>
      </c>
      <c r="Z101" s="4" t="s">
        <v>561</v>
      </c>
      <c r="AA101" s="4" t="s">
        <v>558</v>
      </c>
      <c r="AB101" s="27"/>
      <c r="AC101" s="27"/>
      <c r="AD101" s="27"/>
      <c r="AE101" s="27"/>
    </row>
    <row r="102" spans="1:31" x14ac:dyDescent="0.25">
      <c r="A102" s="116" t="s">
        <v>1465</v>
      </c>
      <c r="B102" s="116" t="s">
        <v>204</v>
      </c>
      <c r="C102" s="116" t="s">
        <v>132</v>
      </c>
      <c r="D102" s="117">
        <v>8511</v>
      </c>
      <c r="E102" s="117">
        <v>240</v>
      </c>
      <c r="F102" s="116">
        <v>168</v>
      </c>
      <c r="G102" s="116">
        <v>125</v>
      </c>
      <c r="H102" s="118">
        <v>7650</v>
      </c>
      <c r="I102" s="118">
        <v>12151</v>
      </c>
      <c r="J102" s="118">
        <v>12922</v>
      </c>
      <c r="K102" s="119">
        <v>794.93</v>
      </c>
      <c r="L102" s="120">
        <v>509.63</v>
      </c>
      <c r="M102" s="121">
        <f t="shared" si="1"/>
        <v>127.18879999999999</v>
      </c>
      <c r="N102" s="121"/>
      <c r="O102" s="142"/>
      <c r="P102" s="117">
        <v>272954.37</v>
      </c>
      <c r="Q102" s="116">
        <v>115</v>
      </c>
      <c r="R102" s="116">
        <f>71300+35855+6375+4330+12900+5345</f>
        <v>136105</v>
      </c>
      <c r="S102" s="116"/>
      <c r="T102" s="117"/>
      <c r="U102" s="116">
        <v>1922</v>
      </c>
      <c r="V102" s="117"/>
      <c r="W102" s="117"/>
      <c r="X102" s="4" t="s">
        <v>1973</v>
      </c>
      <c r="Y102" s="4" t="s">
        <v>559</v>
      </c>
      <c r="Z102" s="4" t="s">
        <v>561</v>
      </c>
      <c r="AA102" s="4" t="s">
        <v>558</v>
      </c>
      <c r="AB102" s="27"/>
      <c r="AC102" s="27"/>
      <c r="AD102" s="27"/>
      <c r="AE102" s="27"/>
    </row>
    <row r="103" spans="1:31" x14ac:dyDescent="0.25">
      <c r="A103" s="116" t="s">
        <v>1466</v>
      </c>
      <c r="B103" s="116" t="s">
        <v>204</v>
      </c>
      <c r="C103" s="116" t="s">
        <v>2226</v>
      </c>
      <c r="D103" s="117">
        <v>200</v>
      </c>
      <c r="E103" s="117">
        <v>18</v>
      </c>
      <c r="F103" s="116">
        <v>18</v>
      </c>
      <c r="G103" s="116">
        <v>174</v>
      </c>
      <c r="H103" s="116">
        <v>296</v>
      </c>
      <c r="I103" s="116">
        <v>296</v>
      </c>
      <c r="J103" s="116">
        <v>270</v>
      </c>
      <c r="K103" s="119">
        <v>983.05</v>
      </c>
      <c r="L103" s="120">
        <v>983.05</v>
      </c>
      <c r="M103" s="121">
        <f t="shared" si="1"/>
        <v>112.99425287356323</v>
      </c>
      <c r="N103" s="121"/>
      <c r="O103" s="142"/>
      <c r="P103" s="117">
        <v>27527.15</v>
      </c>
      <c r="Q103" s="116">
        <v>10</v>
      </c>
      <c r="R103" s="116">
        <f>50400+6990+4100</f>
        <v>61490</v>
      </c>
      <c r="S103" s="116"/>
      <c r="T103" s="117"/>
      <c r="U103" s="116">
        <v>1922</v>
      </c>
      <c r="V103" s="117"/>
      <c r="W103" s="117"/>
      <c r="X103" s="4" t="s">
        <v>1973</v>
      </c>
      <c r="Y103" s="4" t="s">
        <v>559</v>
      </c>
      <c r="Z103" s="4" t="s">
        <v>561</v>
      </c>
      <c r="AA103" s="4" t="s">
        <v>558</v>
      </c>
      <c r="AB103" s="27"/>
      <c r="AC103" s="27"/>
      <c r="AD103" s="27"/>
      <c r="AE103" s="27"/>
    </row>
    <row r="104" spans="1:31" x14ac:dyDescent="0.25">
      <c r="A104" s="116" t="s">
        <v>1467</v>
      </c>
      <c r="B104" s="116" t="s">
        <v>204</v>
      </c>
      <c r="C104" s="116" t="s">
        <v>2227</v>
      </c>
      <c r="D104" s="117">
        <v>3291</v>
      </c>
      <c r="E104" s="117">
        <v>133</v>
      </c>
      <c r="F104" s="116">
        <v>82</v>
      </c>
      <c r="G104" s="116">
        <v>126</v>
      </c>
      <c r="H104" s="118">
        <v>2599</v>
      </c>
      <c r="I104" s="118">
        <v>4652</v>
      </c>
      <c r="J104" s="118">
        <v>4963</v>
      </c>
      <c r="K104" s="119">
        <v>728.91</v>
      </c>
      <c r="L104" s="120">
        <v>715.97</v>
      </c>
      <c r="M104" s="121">
        <f t="shared" si="1"/>
        <v>115.7</v>
      </c>
      <c r="N104" s="121"/>
      <c r="O104" s="142"/>
      <c r="P104" s="117">
        <v>186348.95</v>
      </c>
      <c r="Q104" s="116">
        <v>46</v>
      </c>
      <c r="R104" s="116">
        <f>100000+4000+14000</f>
        <v>118000</v>
      </c>
      <c r="S104" s="116"/>
      <c r="T104" s="117"/>
      <c r="U104" s="116">
        <v>1922</v>
      </c>
      <c r="V104" s="117"/>
      <c r="W104" s="117"/>
      <c r="X104" s="4" t="s">
        <v>1973</v>
      </c>
      <c r="Y104" s="4" t="s">
        <v>559</v>
      </c>
      <c r="Z104" s="4" t="s">
        <v>561</v>
      </c>
      <c r="AA104" s="4" t="s">
        <v>558</v>
      </c>
      <c r="AB104" s="27"/>
      <c r="AC104" s="27"/>
      <c r="AD104" s="27"/>
      <c r="AE104" s="27"/>
    </row>
    <row r="105" spans="1:31" x14ac:dyDescent="0.25">
      <c r="A105" s="116" t="s">
        <v>1468</v>
      </c>
      <c r="B105" s="116" t="s">
        <v>204</v>
      </c>
      <c r="C105" s="116" t="s">
        <v>2228</v>
      </c>
      <c r="D105" s="117">
        <v>2044</v>
      </c>
      <c r="E105" s="117">
        <v>107</v>
      </c>
      <c r="F105" s="116">
        <v>53</v>
      </c>
      <c r="G105" s="116">
        <v>139</v>
      </c>
      <c r="H105" s="118">
        <v>1518</v>
      </c>
      <c r="I105" s="118">
        <v>3112</v>
      </c>
      <c r="J105" s="118">
        <v>3256</v>
      </c>
      <c r="K105" s="119">
        <v>934.21</v>
      </c>
      <c r="L105" s="120">
        <v>923.54</v>
      </c>
      <c r="M105" s="121">
        <f t="shared" si="1"/>
        <v>134.41870503597121</v>
      </c>
      <c r="N105" s="121"/>
      <c r="O105" s="142"/>
      <c r="P105" s="117">
        <v>123024.64</v>
      </c>
      <c r="Q105" s="116">
        <v>38</v>
      </c>
      <c r="R105" s="116">
        <f>53550+900+5540+300+1000+80</f>
        <v>61370</v>
      </c>
      <c r="S105" s="116"/>
      <c r="T105" s="117"/>
      <c r="U105" s="116">
        <v>1922</v>
      </c>
      <c r="V105" s="117"/>
      <c r="W105" s="117"/>
      <c r="X105" s="4" t="s">
        <v>1973</v>
      </c>
      <c r="Y105" s="4" t="s">
        <v>559</v>
      </c>
      <c r="Z105" s="4" t="s">
        <v>561</v>
      </c>
      <c r="AA105" s="4" t="s">
        <v>558</v>
      </c>
      <c r="AB105" s="27"/>
      <c r="AC105" s="27"/>
      <c r="AD105" s="27"/>
      <c r="AE105" s="27"/>
    </row>
    <row r="106" spans="1:31" x14ac:dyDescent="0.25">
      <c r="A106" s="116" t="s">
        <v>1469</v>
      </c>
      <c r="B106" s="116" t="s">
        <v>204</v>
      </c>
      <c r="C106" s="116" t="s">
        <v>2229</v>
      </c>
      <c r="D106" s="117">
        <v>764</v>
      </c>
      <c r="E106" s="117">
        <v>41</v>
      </c>
      <c r="F106" s="116">
        <v>26</v>
      </c>
      <c r="G106" s="116">
        <v>144</v>
      </c>
      <c r="H106" s="116">
        <v>475</v>
      </c>
      <c r="I106" s="116">
        <v>1065</v>
      </c>
      <c r="J106" s="116">
        <v>1067</v>
      </c>
      <c r="K106" s="119">
        <v>1010.21</v>
      </c>
      <c r="L106" s="120">
        <v>774.8</v>
      </c>
      <c r="M106" s="121">
        <f t="shared" si="1"/>
        <v>140.30694444444444</v>
      </c>
      <c r="N106" s="121"/>
      <c r="O106" s="142"/>
      <c r="P106" s="117">
        <v>61710.69</v>
      </c>
      <c r="Q106" s="116">
        <v>18</v>
      </c>
      <c r="R106" s="116">
        <f>20000+3500+2500</f>
        <v>26000</v>
      </c>
      <c r="S106" s="116"/>
      <c r="T106" s="117"/>
      <c r="U106" s="116">
        <v>1922</v>
      </c>
      <c r="V106" s="117"/>
      <c r="W106" s="117"/>
      <c r="X106" s="4" t="s">
        <v>1973</v>
      </c>
      <c r="Y106" s="4" t="s">
        <v>559</v>
      </c>
      <c r="Z106" s="4" t="s">
        <v>561</v>
      </c>
      <c r="AA106" s="4" t="s">
        <v>558</v>
      </c>
      <c r="AB106" s="27"/>
      <c r="AC106" s="27"/>
      <c r="AD106" s="27"/>
      <c r="AE106" s="27"/>
    </row>
    <row r="107" spans="1:31" x14ac:dyDescent="0.25">
      <c r="A107" s="116" t="s">
        <v>1470</v>
      </c>
      <c r="B107" s="116" t="s">
        <v>204</v>
      </c>
      <c r="C107" s="116" t="s">
        <v>133</v>
      </c>
      <c r="D107" s="117">
        <v>5892</v>
      </c>
      <c r="E107" s="117">
        <v>217</v>
      </c>
      <c r="F107" s="116">
        <v>144</v>
      </c>
      <c r="G107" s="116">
        <v>114</v>
      </c>
      <c r="H107" s="118">
        <v>6086</v>
      </c>
      <c r="I107" s="118">
        <v>9144</v>
      </c>
      <c r="J107" s="118">
        <v>7917</v>
      </c>
      <c r="K107" s="119">
        <v>707.43</v>
      </c>
      <c r="L107" s="120">
        <v>671.81</v>
      </c>
      <c r="M107" s="121">
        <f t="shared" si="1"/>
        <v>124.11052631578946</v>
      </c>
      <c r="N107" s="121"/>
      <c r="O107" s="142"/>
      <c r="P107" s="117">
        <v>203000.06</v>
      </c>
      <c r="Q107" s="116">
        <v>85</v>
      </c>
      <c r="R107" s="116">
        <f>75000+10000+2000+500+2500+2000</f>
        <v>92000</v>
      </c>
      <c r="S107" s="116"/>
      <c r="T107" s="117"/>
      <c r="U107" s="116">
        <v>1922</v>
      </c>
      <c r="V107" s="117"/>
      <c r="W107" s="117"/>
      <c r="X107" s="4" t="s">
        <v>1973</v>
      </c>
      <c r="Y107" s="4" t="s">
        <v>559</v>
      </c>
      <c r="Z107" s="4" t="s">
        <v>561</v>
      </c>
      <c r="AA107" s="4" t="s">
        <v>558</v>
      </c>
      <c r="AB107" s="27"/>
      <c r="AC107" s="27"/>
      <c r="AD107" s="27"/>
      <c r="AE107" s="27"/>
    </row>
    <row r="108" spans="1:31" x14ac:dyDescent="0.25">
      <c r="A108" s="116" t="s">
        <v>1471</v>
      </c>
      <c r="B108" s="116" t="s">
        <v>204</v>
      </c>
      <c r="C108" s="116" t="s">
        <v>2230</v>
      </c>
      <c r="D108" s="117">
        <v>6158</v>
      </c>
      <c r="E108" s="117">
        <v>213</v>
      </c>
      <c r="F108" s="116">
        <v>48</v>
      </c>
      <c r="G108" s="116">
        <v>160</v>
      </c>
      <c r="H108" s="116">
        <v>2435</v>
      </c>
      <c r="I108" s="116">
        <v>8026</v>
      </c>
      <c r="J108" s="116">
        <v>9027</v>
      </c>
      <c r="K108" s="119">
        <v>1201.56</v>
      </c>
      <c r="L108" s="120">
        <v>998.75</v>
      </c>
      <c r="M108" s="121">
        <f t="shared" si="1"/>
        <v>150.19499999999999</v>
      </c>
      <c r="N108" s="121"/>
      <c r="O108" s="142"/>
      <c r="P108" s="117">
        <v>458223.35</v>
      </c>
      <c r="Q108" s="116">
        <v>27</v>
      </c>
      <c r="R108" s="116">
        <f>170000+7800+23500</f>
        <v>201300</v>
      </c>
      <c r="S108" s="116"/>
      <c r="T108" s="117"/>
      <c r="U108" s="116">
        <v>1922</v>
      </c>
      <c r="V108" s="117"/>
      <c r="W108" s="117"/>
      <c r="X108" s="4" t="s">
        <v>1973</v>
      </c>
      <c r="Y108" s="4" t="s">
        <v>559</v>
      </c>
      <c r="Z108" s="4" t="s">
        <v>561</v>
      </c>
      <c r="AA108" s="4" t="s">
        <v>558</v>
      </c>
      <c r="AB108" s="27"/>
      <c r="AC108" s="27"/>
      <c r="AD108" s="27"/>
      <c r="AE108" s="27"/>
    </row>
    <row r="109" spans="1:31" x14ac:dyDescent="0.25">
      <c r="A109" s="116" t="s">
        <v>1472</v>
      </c>
      <c r="B109" s="116" t="s">
        <v>204</v>
      </c>
      <c r="C109" s="116" t="s">
        <v>2231</v>
      </c>
      <c r="D109" s="117">
        <v>13010</v>
      </c>
      <c r="E109" s="117">
        <v>359</v>
      </c>
      <c r="F109" s="116">
        <v>179</v>
      </c>
      <c r="G109" s="116">
        <v>125</v>
      </c>
      <c r="H109" s="118">
        <v>6468</v>
      </c>
      <c r="I109" s="118">
        <v>13637</v>
      </c>
      <c r="J109" s="118">
        <f>5799+312+191+292+251+291+2185+703+229+787+305+364+369+262+472</f>
        <v>12812</v>
      </c>
      <c r="K109" s="119">
        <v>798.28</v>
      </c>
      <c r="L109" s="120">
        <v>636.19000000000005</v>
      </c>
      <c r="M109" s="121">
        <f t="shared" si="1"/>
        <v>127.7248</v>
      </c>
      <c r="N109" s="121"/>
      <c r="O109" s="142"/>
      <c r="P109" s="117">
        <v>400660.53</v>
      </c>
      <c r="Q109" s="116">
        <v>89</v>
      </c>
      <c r="R109" s="116">
        <f>177151+595+15535+29800</f>
        <v>223081</v>
      </c>
      <c r="S109" s="116"/>
      <c r="T109" s="117"/>
      <c r="U109" s="116">
        <v>1922</v>
      </c>
      <c r="V109" s="117"/>
      <c r="W109" s="117"/>
      <c r="X109" s="4" t="s">
        <v>1973</v>
      </c>
      <c r="Y109" s="4" t="s">
        <v>559</v>
      </c>
      <c r="Z109" s="4" t="s">
        <v>561</v>
      </c>
      <c r="AA109" s="4" t="s">
        <v>558</v>
      </c>
      <c r="AB109" s="27"/>
      <c r="AC109" s="27"/>
      <c r="AD109" s="27"/>
      <c r="AE109" s="27"/>
    </row>
    <row r="110" spans="1:31" x14ac:dyDescent="0.25">
      <c r="A110" s="116" t="s">
        <v>1473</v>
      </c>
      <c r="B110" s="116" t="s">
        <v>204</v>
      </c>
      <c r="C110" s="116" t="s">
        <v>2232</v>
      </c>
      <c r="D110" s="117">
        <v>186</v>
      </c>
      <c r="E110" s="117">
        <v>8</v>
      </c>
      <c r="F110" s="116">
        <v>8</v>
      </c>
      <c r="G110" s="116">
        <v>180</v>
      </c>
      <c r="H110" s="116">
        <v>105</v>
      </c>
      <c r="I110" s="116">
        <v>105</v>
      </c>
      <c r="J110" s="116">
        <v>208</v>
      </c>
      <c r="K110" s="119">
        <v>1023.75</v>
      </c>
      <c r="L110" s="120">
        <v>1023.75</v>
      </c>
      <c r="M110" s="121">
        <f t="shared" si="1"/>
        <v>113.75</v>
      </c>
      <c r="N110" s="121"/>
      <c r="O110" s="142"/>
      <c r="P110" s="117">
        <v>14000.4</v>
      </c>
      <c r="Q110" s="116">
        <v>6</v>
      </c>
      <c r="R110" s="116">
        <f>32050+1750+4550</f>
        <v>38350</v>
      </c>
      <c r="S110" s="116"/>
      <c r="T110" s="117"/>
      <c r="U110" s="116">
        <v>1922</v>
      </c>
      <c r="V110" s="117"/>
      <c r="W110" s="117"/>
      <c r="X110" s="4" t="s">
        <v>1973</v>
      </c>
      <c r="Y110" s="4" t="s">
        <v>559</v>
      </c>
      <c r="Z110" s="4" t="s">
        <v>561</v>
      </c>
      <c r="AA110" s="4" t="s">
        <v>558</v>
      </c>
      <c r="AB110" s="27"/>
      <c r="AC110" s="27"/>
      <c r="AD110" s="27"/>
      <c r="AE110" s="27"/>
    </row>
    <row r="111" spans="1:31" x14ac:dyDescent="0.25">
      <c r="A111" s="116" t="s">
        <v>1474</v>
      </c>
      <c r="B111" s="116" t="s">
        <v>204</v>
      </c>
      <c r="C111" s="116" t="s">
        <v>2233</v>
      </c>
      <c r="D111" s="117">
        <v>30051</v>
      </c>
      <c r="E111" s="117">
        <v>65</v>
      </c>
      <c r="F111" s="116">
        <v>43</v>
      </c>
      <c r="G111" s="116">
        <v>121</v>
      </c>
      <c r="H111" s="118">
        <v>1474</v>
      </c>
      <c r="I111" s="118">
        <v>2437</v>
      </c>
      <c r="J111" s="118">
        <v>2291</v>
      </c>
      <c r="K111" s="119">
        <v>774.5</v>
      </c>
      <c r="L111" s="120">
        <v>609.17999999999995</v>
      </c>
      <c r="M111" s="121">
        <f t="shared" si="1"/>
        <v>128.01652892561984</v>
      </c>
      <c r="N111" s="121"/>
      <c r="O111" s="142"/>
      <c r="P111" s="117">
        <v>59874.92</v>
      </c>
      <c r="Q111" s="116">
        <v>28</v>
      </c>
      <c r="R111" s="116">
        <f>51200+100+4990+50+7890+75</f>
        <v>64305</v>
      </c>
      <c r="S111" s="116"/>
      <c r="T111" s="117"/>
      <c r="U111" s="116">
        <v>1922</v>
      </c>
      <c r="V111" s="117"/>
      <c r="W111" s="117"/>
      <c r="X111" s="4" t="s">
        <v>1973</v>
      </c>
      <c r="Y111" s="4" t="s">
        <v>559</v>
      </c>
      <c r="Z111" s="4" t="s">
        <v>561</v>
      </c>
      <c r="AA111" s="4" t="s">
        <v>558</v>
      </c>
      <c r="AB111" s="27"/>
      <c r="AC111" s="27"/>
      <c r="AD111" s="27"/>
      <c r="AE111" s="27"/>
    </row>
    <row r="112" spans="1:31" x14ac:dyDescent="0.25">
      <c r="A112" s="116" t="s">
        <v>1475</v>
      </c>
      <c r="B112" s="116" t="s">
        <v>204</v>
      </c>
      <c r="C112" s="116" t="s">
        <v>135</v>
      </c>
      <c r="D112" s="117">
        <v>7999</v>
      </c>
      <c r="E112" s="117">
        <v>262</v>
      </c>
      <c r="F112" s="116">
        <v>203</v>
      </c>
      <c r="G112" s="116">
        <v>115</v>
      </c>
      <c r="H112" s="118">
        <v>7936</v>
      </c>
      <c r="I112" s="118">
        <v>10951</v>
      </c>
      <c r="J112" s="118">
        <v>11761</v>
      </c>
      <c r="K112" s="119">
        <v>821.28</v>
      </c>
      <c r="L112" s="120">
        <v>806.58</v>
      </c>
      <c r="M112" s="121">
        <f t="shared" si="1"/>
        <v>142.83130434782609</v>
      </c>
      <c r="N112" s="121"/>
      <c r="O112" s="142"/>
      <c r="P112" s="117">
        <v>249431.75</v>
      </c>
      <c r="Q112" s="116">
        <v>95</v>
      </c>
      <c r="R112" s="116">
        <f>196050+5462+20550+1260+29465+523</f>
        <v>253310</v>
      </c>
      <c r="S112" s="116"/>
      <c r="T112" s="117"/>
      <c r="U112" s="116">
        <v>1922</v>
      </c>
      <c r="V112" s="117"/>
      <c r="W112" s="117"/>
      <c r="X112" s="4" t="s">
        <v>1973</v>
      </c>
      <c r="Y112" s="4" t="s">
        <v>559</v>
      </c>
      <c r="Z112" s="4" t="s">
        <v>561</v>
      </c>
      <c r="AA112" s="4" t="s">
        <v>558</v>
      </c>
      <c r="AB112" s="27"/>
      <c r="AC112" s="27"/>
      <c r="AD112" s="27"/>
      <c r="AE112" s="27"/>
    </row>
    <row r="113" spans="1:31" x14ac:dyDescent="0.25">
      <c r="A113" s="116" t="s">
        <v>1476</v>
      </c>
      <c r="B113" s="116" t="s">
        <v>204</v>
      </c>
      <c r="C113" s="116" t="s">
        <v>28</v>
      </c>
      <c r="D113" s="117">
        <v>5663</v>
      </c>
      <c r="E113" s="117">
        <v>247</v>
      </c>
      <c r="F113" s="116">
        <v>205</v>
      </c>
      <c r="G113" s="116">
        <v>136</v>
      </c>
      <c r="H113" s="118">
        <v>7262</v>
      </c>
      <c r="I113" s="118">
        <v>8902</v>
      </c>
      <c r="J113" s="118">
        <v>8659</v>
      </c>
      <c r="K113" s="119">
        <v>643.42999999999995</v>
      </c>
      <c r="L113" s="120">
        <v>612.78</v>
      </c>
      <c r="M113" s="121">
        <f t="shared" si="1"/>
        <v>94.6220588235294</v>
      </c>
      <c r="N113" s="121"/>
      <c r="O113" s="142"/>
      <c r="P113" s="117">
        <v>222000.47</v>
      </c>
      <c r="Q113" s="116">
        <v>110</v>
      </c>
      <c r="R113" s="116">
        <f>145000+36000+5000+3000+34000+11000</f>
        <v>234000</v>
      </c>
      <c r="S113" s="116"/>
      <c r="T113" s="117"/>
      <c r="U113" s="116">
        <v>1922</v>
      </c>
      <c r="V113" s="117"/>
      <c r="W113" s="117"/>
      <c r="X113" s="4" t="s">
        <v>1973</v>
      </c>
      <c r="Y113" s="4" t="s">
        <v>559</v>
      </c>
      <c r="Z113" s="4" t="s">
        <v>561</v>
      </c>
      <c r="AA113" s="4" t="s">
        <v>558</v>
      </c>
      <c r="AB113" s="27"/>
      <c r="AC113" s="27"/>
      <c r="AD113" s="27"/>
      <c r="AE113" s="27"/>
    </row>
    <row r="114" spans="1:31" x14ac:dyDescent="0.25">
      <c r="A114" s="116" t="s">
        <v>1477</v>
      </c>
      <c r="B114" s="116" t="s">
        <v>204</v>
      </c>
      <c r="C114" s="116" t="s">
        <v>2234</v>
      </c>
      <c r="D114" s="117">
        <v>1648</v>
      </c>
      <c r="E114" s="117">
        <v>57</v>
      </c>
      <c r="F114" s="116">
        <v>31</v>
      </c>
      <c r="G114" s="116">
        <v>131</v>
      </c>
      <c r="H114" s="116">
        <v>934</v>
      </c>
      <c r="I114" s="116">
        <v>2059</v>
      </c>
      <c r="J114" s="116">
        <v>2165</v>
      </c>
      <c r="K114" s="119">
        <v>976.4</v>
      </c>
      <c r="L114" s="120">
        <v>728.33</v>
      </c>
      <c r="M114" s="121">
        <f t="shared" si="1"/>
        <v>149.06870229007635</v>
      </c>
      <c r="N114" s="121"/>
      <c r="O114" s="142"/>
      <c r="P114" s="117">
        <v>94644.37</v>
      </c>
      <c r="Q114" s="116">
        <v>18</v>
      </c>
      <c r="R114" s="116">
        <f>40000+2500+9000</f>
        <v>51500</v>
      </c>
      <c r="S114" s="116"/>
      <c r="T114" s="117"/>
      <c r="U114" s="116">
        <v>1922</v>
      </c>
      <c r="V114" s="117"/>
      <c r="W114" s="117"/>
      <c r="X114" s="4" t="s">
        <v>1973</v>
      </c>
      <c r="Y114" s="4" t="s">
        <v>559</v>
      </c>
      <c r="Z114" s="4" t="s">
        <v>561</v>
      </c>
      <c r="AA114" s="4" t="s">
        <v>558</v>
      </c>
      <c r="AB114" s="27"/>
      <c r="AC114" s="27"/>
      <c r="AD114" s="27"/>
      <c r="AE114" s="27"/>
    </row>
    <row r="115" spans="1:31" x14ac:dyDescent="0.25">
      <c r="A115" s="116" t="s">
        <v>1478</v>
      </c>
      <c r="B115" s="116" t="s">
        <v>204</v>
      </c>
      <c r="C115" s="116" t="s">
        <v>2235</v>
      </c>
      <c r="D115" s="117">
        <v>191</v>
      </c>
      <c r="E115" s="117">
        <v>9</v>
      </c>
      <c r="F115" s="116">
        <v>9</v>
      </c>
      <c r="G115" s="116">
        <v>177</v>
      </c>
      <c r="H115" s="116">
        <v>173</v>
      </c>
      <c r="I115" s="116">
        <v>173</v>
      </c>
      <c r="J115" s="116">
        <v>273</v>
      </c>
      <c r="K115" s="119">
        <v>1070.1199999999999</v>
      </c>
      <c r="L115" s="120">
        <v>95.22</v>
      </c>
      <c r="M115" s="121">
        <f t="shared" si="1"/>
        <v>120.91751412429377</v>
      </c>
      <c r="N115" s="121"/>
      <c r="O115" s="142"/>
      <c r="P115" s="117">
        <v>16086.95</v>
      </c>
      <c r="Q115" s="116">
        <v>6</v>
      </c>
      <c r="R115" s="116">
        <f>8716+1000+1000</f>
        <v>10716</v>
      </c>
      <c r="S115" s="116"/>
      <c r="T115" s="117"/>
      <c r="U115" s="116">
        <v>1922</v>
      </c>
      <c r="V115" s="117"/>
      <c r="W115" s="117"/>
      <c r="X115" s="4" t="s">
        <v>1973</v>
      </c>
      <c r="Y115" s="4" t="s">
        <v>559</v>
      </c>
      <c r="Z115" s="4" t="s">
        <v>561</v>
      </c>
      <c r="AA115" s="4" t="s">
        <v>558</v>
      </c>
      <c r="AB115" s="27"/>
      <c r="AC115" s="27"/>
      <c r="AD115" s="27"/>
      <c r="AE115" s="27"/>
    </row>
    <row r="116" spans="1:31" x14ac:dyDescent="0.25">
      <c r="A116" s="116" t="s">
        <v>1479</v>
      </c>
      <c r="B116" s="116" t="s">
        <v>204</v>
      </c>
      <c r="C116" s="116" t="s">
        <v>2236</v>
      </c>
      <c r="D116" s="117">
        <v>10856</v>
      </c>
      <c r="E116" s="117">
        <v>394</v>
      </c>
      <c r="F116" s="116">
        <v>219</v>
      </c>
      <c r="G116" s="116">
        <v>117</v>
      </c>
      <c r="H116" s="118">
        <v>7779</v>
      </c>
      <c r="I116" s="118">
        <v>15086</v>
      </c>
      <c r="J116" s="118">
        <v>15631</v>
      </c>
      <c r="K116" s="119">
        <v>762.7</v>
      </c>
      <c r="L116" s="120">
        <v>619.9</v>
      </c>
      <c r="M116" s="121">
        <f t="shared" si="1"/>
        <v>130.37606837606839</v>
      </c>
      <c r="N116" s="121"/>
      <c r="O116" s="142"/>
      <c r="P116" s="117">
        <v>451026.56</v>
      </c>
      <c r="Q116" s="116">
        <v>108</v>
      </c>
      <c r="R116" s="116">
        <f>350000+2500+15000+1100+10890+600</f>
        <v>380090</v>
      </c>
      <c r="S116" s="116"/>
      <c r="T116" s="117"/>
      <c r="U116" s="116">
        <v>1922</v>
      </c>
      <c r="V116" s="117"/>
      <c r="W116" s="117"/>
      <c r="X116" s="4" t="s">
        <v>1973</v>
      </c>
      <c r="Y116" s="4" t="s">
        <v>559</v>
      </c>
      <c r="Z116" s="4" t="s">
        <v>561</v>
      </c>
      <c r="AA116" s="4" t="s">
        <v>558</v>
      </c>
      <c r="AB116" s="27"/>
      <c r="AC116" s="27"/>
      <c r="AD116" s="27"/>
      <c r="AE116" s="27"/>
    </row>
    <row r="117" spans="1:31" x14ac:dyDescent="0.25">
      <c r="A117" s="116" t="s">
        <v>1480</v>
      </c>
      <c r="B117" s="116" t="s">
        <v>204</v>
      </c>
      <c r="C117" s="116" t="s">
        <v>2237</v>
      </c>
      <c r="D117" s="117">
        <v>171</v>
      </c>
      <c r="E117" s="117">
        <v>17</v>
      </c>
      <c r="F117" s="116">
        <v>17</v>
      </c>
      <c r="G117" s="116">
        <v>146</v>
      </c>
      <c r="H117" s="116">
        <v>219</v>
      </c>
      <c r="I117" s="116">
        <v>219</v>
      </c>
      <c r="J117" s="116">
        <v>240</v>
      </c>
      <c r="K117" s="119">
        <v>779.35</v>
      </c>
      <c r="L117" s="120">
        <v>779.35</v>
      </c>
      <c r="M117" s="121">
        <f t="shared" si="1"/>
        <v>106.76027397260275</v>
      </c>
      <c r="N117" s="121"/>
      <c r="O117" s="142"/>
      <c r="P117" s="117">
        <v>18882.59</v>
      </c>
      <c r="Q117" s="116">
        <v>15</v>
      </c>
      <c r="R117" s="116">
        <f>16000+1000+3800</f>
        <v>20800</v>
      </c>
      <c r="S117" s="116"/>
      <c r="T117" s="117"/>
      <c r="U117" s="116">
        <v>1922</v>
      </c>
      <c r="V117" s="117"/>
      <c r="W117" s="117"/>
      <c r="X117" s="4" t="s">
        <v>1973</v>
      </c>
      <c r="Y117" s="4" t="s">
        <v>559</v>
      </c>
      <c r="Z117" s="4" t="s">
        <v>561</v>
      </c>
      <c r="AA117" s="4" t="s">
        <v>558</v>
      </c>
      <c r="AB117" s="27"/>
      <c r="AC117" s="27"/>
      <c r="AD117" s="27"/>
      <c r="AE117" s="27"/>
    </row>
    <row r="118" spans="1:31" x14ac:dyDescent="0.25">
      <c r="A118" s="116" t="s">
        <v>1481</v>
      </c>
      <c r="B118" s="116" t="s">
        <v>204</v>
      </c>
      <c r="C118" s="116" t="s">
        <v>2238</v>
      </c>
      <c r="D118" s="117">
        <v>308</v>
      </c>
      <c r="E118" s="117">
        <v>23</v>
      </c>
      <c r="F118" s="116">
        <v>11</v>
      </c>
      <c r="G118" s="116">
        <v>160</v>
      </c>
      <c r="H118" s="116">
        <v>198</v>
      </c>
      <c r="I118" s="116">
        <v>436</v>
      </c>
      <c r="J118" s="116">
        <v>431</v>
      </c>
      <c r="K118" s="119">
        <v>1135.8699999999999</v>
      </c>
      <c r="L118" s="120">
        <v>1007.72</v>
      </c>
      <c r="M118" s="121">
        <f t="shared" si="1"/>
        <v>141.98374999999999</v>
      </c>
      <c r="N118" s="121"/>
      <c r="O118" s="142"/>
      <c r="P118" s="117">
        <v>18360.95</v>
      </c>
      <c r="Q118" s="116">
        <v>3</v>
      </c>
      <c r="R118" s="116">
        <f>71500+2250+1000</f>
        <v>74750</v>
      </c>
      <c r="S118" s="116"/>
      <c r="T118" s="117"/>
      <c r="U118" s="116">
        <v>1922</v>
      </c>
      <c r="V118" s="117"/>
      <c r="W118" s="117"/>
      <c r="X118" s="4" t="s">
        <v>1973</v>
      </c>
      <c r="Y118" s="4" t="s">
        <v>559</v>
      </c>
      <c r="Z118" s="4" t="s">
        <v>561</v>
      </c>
      <c r="AA118" s="4" t="s">
        <v>558</v>
      </c>
      <c r="AB118" s="27"/>
      <c r="AC118" s="27"/>
      <c r="AD118" s="27"/>
      <c r="AE118" s="27"/>
    </row>
    <row r="119" spans="1:31" x14ac:dyDescent="0.25">
      <c r="A119" s="116" t="s">
        <v>1482</v>
      </c>
      <c r="B119" s="116" t="s">
        <v>204</v>
      </c>
      <c r="C119" s="116" t="s">
        <v>2239</v>
      </c>
      <c r="D119" s="117">
        <v>2604</v>
      </c>
      <c r="E119" s="117">
        <v>102</v>
      </c>
      <c r="F119" s="116">
        <v>74</v>
      </c>
      <c r="G119" s="116">
        <v>116</v>
      </c>
      <c r="H119" s="118">
        <v>2160</v>
      </c>
      <c r="I119" s="118">
        <v>3005</v>
      </c>
      <c r="J119" s="118">
        <v>2998</v>
      </c>
      <c r="K119" s="119">
        <v>611.54</v>
      </c>
      <c r="L119" s="120">
        <v>538.13</v>
      </c>
      <c r="M119" s="121">
        <f t="shared" si="1"/>
        <v>105.43793103448276</v>
      </c>
      <c r="N119" s="121"/>
      <c r="O119" s="142"/>
      <c r="P119" s="117">
        <v>92180.99</v>
      </c>
      <c r="Q119" s="116">
        <v>51</v>
      </c>
      <c r="R119" s="116">
        <f>50000+3000+14000</f>
        <v>67000</v>
      </c>
      <c r="S119" s="116"/>
      <c r="T119" s="117"/>
      <c r="U119" s="116">
        <v>1922</v>
      </c>
      <c r="V119" s="117"/>
      <c r="W119" s="117"/>
      <c r="X119" s="4" t="s">
        <v>1973</v>
      </c>
      <c r="Y119" s="4" t="s">
        <v>559</v>
      </c>
      <c r="Z119" s="4" t="s">
        <v>561</v>
      </c>
      <c r="AA119" s="4" t="s">
        <v>558</v>
      </c>
      <c r="AB119" s="27"/>
      <c r="AC119" s="27"/>
      <c r="AD119" s="27"/>
      <c r="AE119" s="27"/>
    </row>
    <row r="120" spans="1:31" x14ac:dyDescent="0.25">
      <c r="A120" s="116" t="s">
        <v>1483</v>
      </c>
      <c r="B120" s="116" t="s">
        <v>204</v>
      </c>
      <c r="C120" s="116" t="s">
        <v>29</v>
      </c>
      <c r="D120" s="117">
        <v>1469</v>
      </c>
      <c r="E120" s="117">
        <v>75</v>
      </c>
      <c r="F120" s="116">
        <v>57</v>
      </c>
      <c r="G120" s="116">
        <v>126</v>
      </c>
      <c r="H120" s="118">
        <v>1739</v>
      </c>
      <c r="I120" s="118">
        <v>2549</v>
      </c>
      <c r="J120" s="118">
        <v>2407</v>
      </c>
      <c r="K120" s="119">
        <v>786.42</v>
      </c>
      <c r="L120" s="120">
        <v>736.08</v>
      </c>
      <c r="M120" s="121">
        <f t="shared" si="1"/>
        <v>124.82857142857142</v>
      </c>
      <c r="N120" s="121"/>
      <c r="O120" s="142"/>
      <c r="P120" s="117">
        <v>100951.85</v>
      </c>
      <c r="Q120" s="116">
        <v>37</v>
      </c>
      <c r="R120" s="116">
        <f>127800+8400+2700+900+30000+3800</f>
        <v>173600</v>
      </c>
      <c r="S120" s="116"/>
      <c r="T120" s="117"/>
      <c r="U120" s="116">
        <v>1922</v>
      </c>
      <c r="V120" s="117"/>
      <c r="W120" s="117"/>
      <c r="X120" s="4" t="s">
        <v>1973</v>
      </c>
      <c r="Y120" s="4" t="s">
        <v>559</v>
      </c>
      <c r="Z120" s="4" t="s">
        <v>561</v>
      </c>
      <c r="AA120" s="4" t="s">
        <v>562</v>
      </c>
      <c r="AB120" s="27"/>
      <c r="AC120" s="27"/>
      <c r="AD120" s="27"/>
      <c r="AE120" s="27"/>
    </row>
    <row r="121" spans="1:31" x14ac:dyDescent="0.25">
      <c r="A121" s="116" t="s">
        <v>1484</v>
      </c>
      <c r="B121" s="116" t="s">
        <v>204</v>
      </c>
      <c r="C121" s="116" t="s">
        <v>2240</v>
      </c>
      <c r="D121" s="117">
        <v>34233</v>
      </c>
      <c r="E121" s="117">
        <v>134</v>
      </c>
      <c r="F121" s="116">
        <v>72</v>
      </c>
      <c r="G121" s="116">
        <v>147</v>
      </c>
      <c r="H121" s="116">
        <v>2152</v>
      </c>
      <c r="I121" s="116">
        <v>4944</v>
      </c>
      <c r="J121" s="116">
        <v>5333</v>
      </c>
      <c r="K121" s="119">
        <v>817.55799999999999</v>
      </c>
      <c r="L121" s="120">
        <v>670.88</v>
      </c>
      <c r="M121" s="121">
        <f t="shared" si="1"/>
        <v>111.23238095238095</v>
      </c>
      <c r="N121" s="121"/>
      <c r="O121" s="142"/>
      <c r="P121" s="117">
        <v>168978.1</v>
      </c>
      <c r="Q121" s="116">
        <v>41</v>
      </c>
      <c r="R121" s="116">
        <f>45100+12375+5625+575+10998+625</f>
        <v>75298</v>
      </c>
      <c r="S121" s="116"/>
      <c r="T121" s="117"/>
      <c r="U121" s="116">
        <v>1922</v>
      </c>
      <c r="V121" s="117"/>
      <c r="W121" s="117"/>
      <c r="X121" s="4" t="s">
        <v>1973</v>
      </c>
      <c r="Y121" s="4" t="s">
        <v>559</v>
      </c>
      <c r="Z121" s="4" t="s">
        <v>561</v>
      </c>
      <c r="AA121" s="4" t="s">
        <v>562</v>
      </c>
      <c r="AB121" s="27"/>
      <c r="AC121" s="27"/>
      <c r="AD121" s="27"/>
      <c r="AE121" s="27"/>
    </row>
    <row r="122" spans="1:31" x14ac:dyDescent="0.25">
      <c r="A122" s="116" t="s">
        <v>1485</v>
      </c>
      <c r="B122" s="116" t="s">
        <v>204</v>
      </c>
      <c r="C122" s="116" t="s">
        <v>2241</v>
      </c>
      <c r="D122" s="117">
        <v>240</v>
      </c>
      <c r="E122" s="117">
        <v>14</v>
      </c>
      <c r="F122" s="116">
        <v>14</v>
      </c>
      <c r="G122" s="116">
        <v>170</v>
      </c>
      <c r="H122" s="116">
        <v>273</v>
      </c>
      <c r="I122" s="116">
        <v>273</v>
      </c>
      <c r="J122" s="116">
        <v>313</v>
      </c>
      <c r="K122" s="119">
        <v>827.57</v>
      </c>
      <c r="L122" s="120">
        <v>827.57</v>
      </c>
      <c r="M122" s="121">
        <f t="shared" si="1"/>
        <v>97.361176470588248</v>
      </c>
      <c r="N122" s="121"/>
      <c r="O122" s="142"/>
      <c r="P122" s="117">
        <v>20122.63</v>
      </c>
      <c r="Q122" s="116">
        <v>6</v>
      </c>
      <c r="R122" s="116">
        <f>12850+2500+1000</f>
        <v>16350</v>
      </c>
      <c r="S122" s="116"/>
      <c r="T122" s="117"/>
      <c r="U122" s="116">
        <v>1922</v>
      </c>
      <c r="V122" s="117"/>
      <c r="W122" s="117"/>
      <c r="X122" s="4" t="s">
        <v>1973</v>
      </c>
      <c r="Y122" s="4" t="s">
        <v>559</v>
      </c>
      <c r="Z122" s="4" t="s">
        <v>561</v>
      </c>
      <c r="AA122" s="4" t="s">
        <v>562</v>
      </c>
      <c r="AB122" s="27"/>
      <c r="AC122" s="27"/>
      <c r="AD122" s="27"/>
      <c r="AE122" s="27"/>
    </row>
    <row r="123" spans="1:31" x14ac:dyDescent="0.25">
      <c r="A123" s="116" t="s">
        <v>1486</v>
      </c>
      <c r="B123" s="116" t="s">
        <v>204</v>
      </c>
      <c r="C123" s="116" t="s">
        <v>30</v>
      </c>
      <c r="D123" s="117">
        <v>15167</v>
      </c>
      <c r="E123" s="117">
        <v>445</v>
      </c>
      <c r="F123" s="116">
        <v>44</v>
      </c>
      <c r="G123" s="116">
        <v>176</v>
      </c>
      <c r="H123" s="118">
        <v>1756</v>
      </c>
      <c r="I123" s="118">
        <v>17041</v>
      </c>
      <c r="J123" s="118">
        <v>18127</v>
      </c>
      <c r="K123" s="119">
        <v>1289.07</v>
      </c>
      <c r="L123" s="120">
        <v>1251.7</v>
      </c>
      <c r="M123" s="121">
        <f t="shared" si="1"/>
        <v>146.48522727272726</v>
      </c>
      <c r="N123" s="121"/>
      <c r="O123" s="142"/>
      <c r="P123" s="117">
        <v>1261764.23</v>
      </c>
      <c r="Q123" s="116">
        <v>17</v>
      </c>
      <c r="R123" s="116">
        <f>224950+20280+15978</f>
        <v>261208</v>
      </c>
      <c r="S123" s="116"/>
      <c r="T123" s="117"/>
      <c r="U123" s="116">
        <v>1922</v>
      </c>
      <c r="V123" s="117"/>
      <c r="W123" s="117"/>
      <c r="X123" s="4" t="s">
        <v>1973</v>
      </c>
      <c r="Y123" s="4" t="s">
        <v>559</v>
      </c>
      <c r="Z123" s="4" t="s">
        <v>561</v>
      </c>
      <c r="AA123" s="4" t="s">
        <v>562</v>
      </c>
      <c r="AB123" s="27"/>
      <c r="AC123" s="27"/>
      <c r="AD123" s="27"/>
      <c r="AE123" s="27"/>
    </row>
    <row r="124" spans="1:31" x14ac:dyDescent="0.25">
      <c r="A124" s="116" t="s">
        <v>1487</v>
      </c>
      <c r="B124" s="116" t="s">
        <v>204</v>
      </c>
      <c r="C124" s="116" t="s">
        <v>2242</v>
      </c>
      <c r="D124" s="117">
        <v>257</v>
      </c>
      <c r="E124" s="117">
        <v>15</v>
      </c>
      <c r="F124" s="116">
        <v>8</v>
      </c>
      <c r="G124" s="116">
        <v>134</v>
      </c>
      <c r="H124" s="116">
        <v>181</v>
      </c>
      <c r="I124" s="116">
        <v>356</v>
      </c>
      <c r="J124" s="116">
        <v>445</v>
      </c>
      <c r="K124" s="119">
        <v>812.75</v>
      </c>
      <c r="L124" s="120">
        <v>664.5</v>
      </c>
      <c r="M124" s="121">
        <f t="shared" si="1"/>
        <v>121.30597014925372</v>
      </c>
      <c r="N124" s="121"/>
      <c r="O124" s="142"/>
      <c r="P124" s="117">
        <v>18055.57</v>
      </c>
      <c r="Q124" s="116">
        <v>10</v>
      </c>
      <c r="R124" s="116">
        <v>150</v>
      </c>
      <c r="S124" s="116"/>
      <c r="T124" s="117"/>
      <c r="U124" s="116">
        <v>1922</v>
      </c>
      <c r="V124" s="117"/>
      <c r="W124" s="117"/>
      <c r="X124" s="4" t="s">
        <v>1973</v>
      </c>
      <c r="Y124" s="4" t="s">
        <v>559</v>
      </c>
      <c r="Z124" s="4" t="s">
        <v>561</v>
      </c>
      <c r="AA124" s="4" t="s">
        <v>562</v>
      </c>
      <c r="AB124" s="27"/>
      <c r="AC124" s="27"/>
      <c r="AD124" s="27"/>
      <c r="AE124" s="27"/>
    </row>
    <row r="125" spans="1:31" x14ac:dyDescent="0.25">
      <c r="A125" s="116" t="s">
        <v>1488</v>
      </c>
      <c r="B125" s="116" t="s">
        <v>204</v>
      </c>
      <c r="C125" s="116" t="s">
        <v>2243</v>
      </c>
      <c r="D125" s="117">
        <v>1571</v>
      </c>
      <c r="E125" s="117">
        <v>59</v>
      </c>
      <c r="F125" s="116">
        <v>26</v>
      </c>
      <c r="G125" s="116">
        <v>147</v>
      </c>
      <c r="H125" s="116">
        <v>804</v>
      </c>
      <c r="I125" s="116">
        <v>1956</v>
      </c>
      <c r="J125" s="116">
        <v>1931</v>
      </c>
      <c r="K125" s="119">
        <v>782.63</v>
      </c>
      <c r="L125" s="120">
        <v>818.46</v>
      </c>
      <c r="M125" s="121">
        <f t="shared" si="1"/>
        <v>106.48027210884354</v>
      </c>
      <c r="N125" s="121"/>
      <c r="O125" s="142"/>
      <c r="P125" s="117">
        <v>76911.42</v>
      </c>
      <c r="Q125" s="116">
        <v>16</v>
      </c>
      <c r="R125" s="116">
        <f>35000+3000+10000</f>
        <v>48000</v>
      </c>
      <c r="S125" s="116"/>
      <c r="T125" s="117"/>
      <c r="U125" s="116">
        <v>1922</v>
      </c>
      <c r="V125" s="117"/>
      <c r="W125" s="117"/>
      <c r="X125" s="4" t="s">
        <v>1973</v>
      </c>
      <c r="Y125" s="4" t="s">
        <v>559</v>
      </c>
      <c r="Z125" s="4" t="s">
        <v>561</v>
      </c>
      <c r="AA125" s="4" t="s">
        <v>562</v>
      </c>
      <c r="AB125" s="27"/>
      <c r="AC125" s="27"/>
      <c r="AD125" s="27"/>
      <c r="AE125" s="27"/>
    </row>
    <row r="126" spans="1:31" x14ac:dyDescent="0.25">
      <c r="A126" s="116" t="s">
        <v>1489</v>
      </c>
      <c r="B126" s="116" t="s">
        <v>204</v>
      </c>
      <c r="C126" s="116" t="s">
        <v>70</v>
      </c>
      <c r="D126" s="117">
        <v>4950</v>
      </c>
      <c r="E126" s="117">
        <v>301</v>
      </c>
      <c r="F126" s="116">
        <v>117</v>
      </c>
      <c r="G126" s="116">
        <v>119</v>
      </c>
      <c r="H126" s="118">
        <v>4298</v>
      </c>
      <c r="I126" s="118">
        <v>11357</v>
      </c>
      <c r="J126" s="118">
        <v>6858</v>
      </c>
      <c r="K126" s="12">
        <v>821.64</v>
      </c>
      <c r="L126" s="120">
        <v>546.75</v>
      </c>
      <c r="M126" s="121">
        <f t="shared" si="1"/>
        <v>138.09075630252102</v>
      </c>
      <c r="N126" s="121"/>
      <c r="O126" s="142"/>
      <c r="P126" s="117">
        <v>363491.73</v>
      </c>
      <c r="Q126" s="116">
        <v>48</v>
      </c>
      <c r="R126" s="116"/>
      <c r="S126" s="116"/>
      <c r="T126" s="117"/>
      <c r="U126" s="116">
        <v>1922</v>
      </c>
      <c r="V126" s="117"/>
      <c r="W126" s="117"/>
      <c r="X126" s="4" t="s">
        <v>1973</v>
      </c>
      <c r="Y126" s="4" t="s">
        <v>559</v>
      </c>
      <c r="Z126" s="4" t="s">
        <v>561</v>
      </c>
      <c r="AA126" s="4" t="s">
        <v>562</v>
      </c>
      <c r="AB126" s="27"/>
      <c r="AC126" s="27"/>
      <c r="AD126" s="27"/>
      <c r="AE126" s="27"/>
    </row>
    <row r="127" spans="1:31" x14ac:dyDescent="0.25">
      <c r="A127" s="116" t="s">
        <v>1490</v>
      </c>
      <c r="B127" s="116" t="s">
        <v>204</v>
      </c>
      <c r="C127" s="116" t="s">
        <v>2244</v>
      </c>
      <c r="D127" s="117">
        <v>4462</v>
      </c>
      <c r="E127" s="117">
        <v>193</v>
      </c>
      <c r="F127" s="116">
        <v>112</v>
      </c>
      <c r="G127" s="116">
        <v>120</v>
      </c>
      <c r="H127" s="118">
        <v>4083</v>
      </c>
      <c r="I127" s="118">
        <v>7141</v>
      </c>
      <c r="J127" s="118">
        <v>7132</v>
      </c>
      <c r="K127" s="119">
        <v>786.66</v>
      </c>
      <c r="L127" s="120">
        <v>288.81</v>
      </c>
      <c r="M127" s="121">
        <f t="shared" si="1"/>
        <v>131.10999999999999</v>
      </c>
      <c r="N127" s="121"/>
      <c r="O127" s="142"/>
      <c r="P127" s="117">
        <v>250672.89</v>
      </c>
      <c r="Q127" s="116">
        <v>50</v>
      </c>
      <c r="R127" s="116">
        <f>175000+7800+90000</f>
        <v>272800</v>
      </c>
      <c r="S127" s="116"/>
      <c r="T127" s="117"/>
      <c r="U127" s="116">
        <v>1922</v>
      </c>
      <c r="V127" s="117"/>
      <c r="W127" s="117"/>
      <c r="X127" s="4" t="s">
        <v>1973</v>
      </c>
      <c r="Y127" s="4" t="s">
        <v>559</v>
      </c>
      <c r="Z127" s="4" t="s">
        <v>561</v>
      </c>
      <c r="AA127" s="4" t="s">
        <v>562</v>
      </c>
      <c r="AB127" s="27"/>
      <c r="AC127" s="27"/>
      <c r="AD127" s="27"/>
      <c r="AE127" s="27"/>
    </row>
    <row r="128" spans="1:31" x14ac:dyDescent="0.25">
      <c r="A128" s="116" t="s">
        <v>1491</v>
      </c>
      <c r="B128" s="116" t="s">
        <v>204</v>
      </c>
      <c r="C128" s="116" t="s">
        <v>2245</v>
      </c>
      <c r="D128" s="117">
        <v>2472</v>
      </c>
      <c r="E128" s="117">
        <v>106</v>
      </c>
      <c r="F128" s="116">
        <v>66</v>
      </c>
      <c r="G128" s="116">
        <v>146</v>
      </c>
      <c r="H128" s="118">
        <v>1991</v>
      </c>
      <c r="I128" s="118">
        <v>3527</v>
      </c>
      <c r="J128" s="118">
        <v>3765</v>
      </c>
      <c r="K128" s="119">
        <v>852.87</v>
      </c>
      <c r="L128" s="120">
        <v>763.4</v>
      </c>
      <c r="M128" s="121">
        <f t="shared" si="1"/>
        <v>116.83150684931508</v>
      </c>
      <c r="N128" s="121"/>
      <c r="O128" s="142"/>
      <c r="P128" s="117">
        <v>160818.79</v>
      </c>
      <c r="Q128" s="116">
        <v>42</v>
      </c>
      <c r="R128" s="116">
        <f>69785+765+6245+475+11547+375</f>
        <v>89192</v>
      </c>
      <c r="S128" s="116"/>
      <c r="T128" s="117"/>
      <c r="U128" s="116">
        <v>1922</v>
      </c>
      <c r="V128" s="117"/>
      <c r="W128" s="117"/>
      <c r="X128" s="4" t="s">
        <v>1973</v>
      </c>
      <c r="Y128" s="4" t="s">
        <v>559</v>
      </c>
      <c r="Z128" s="4" t="s">
        <v>561</v>
      </c>
      <c r="AA128" s="4" t="s">
        <v>562</v>
      </c>
      <c r="AB128" s="27"/>
      <c r="AC128" s="27"/>
      <c r="AD128" s="27"/>
      <c r="AE128" s="27"/>
    </row>
    <row r="129" spans="1:31" x14ac:dyDescent="0.25">
      <c r="A129" s="116" t="s">
        <v>1492</v>
      </c>
      <c r="B129" s="116" t="s">
        <v>204</v>
      </c>
      <c r="C129" s="116" t="s">
        <v>2246</v>
      </c>
      <c r="D129" s="117">
        <v>7763</v>
      </c>
      <c r="E129" s="117">
        <v>324</v>
      </c>
      <c r="F129" s="116">
        <v>204</v>
      </c>
      <c r="G129" s="116">
        <v>130</v>
      </c>
      <c r="H129" s="118">
        <v>8601</v>
      </c>
      <c r="I129" s="118">
        <v>14164</v>
      </c>
      <c r="J129" s="118">
        <v>14213</v>
      </c>
      <c r="K129" s="119">
        <v>750.57</v>
      </c>
      <c r="L129" s="120">
        <v>682.92</v>
      </c>
      <c r="M129" s="121">
        <f t="shared" si="1"/>
        <v>115.47230769230769</v>
      </c>
      <c r="N129" s="121"/>
      <c r="O129" s="142"/>
      <c r="P129" s="117">
        <v>334679.06</v>
      </c>
      <c r="Q129" s="116">
        <v>98</v>
      </c>
      <c r="R129" s="116">
        <f>260450+9600+22190+2310+40950+2575</f>
        <v>338075</v>
      </c>
      <c r="S129" s="116"/>
      <c r="T129" s="117"/>
      <c r="U129" s="116">
        <v>1922</v>
      </c>
      <c r="V129" s="117"/>
      <c r="W129" s="117"/>
      <c r="X129" s="4" t="s">
        <v>1973</v>
      </c>
      <c r="Y129" s="4" t="s">
        <v>559</v>
      </c>
      <c r="Z129" s="4" t="s">
        <v>561</v>
      </c>
      <c r="AA129" s="4" t="s">
        <v>562</v>
      </c>
      <c r="AB129" s="27"/>
      <c r="AC129" s="27"/>
      <c r="AD129" s="27"/>
      <c r="AE129" s="27"/>
    </row>
    <row r="130" spans="1:31" x14ac:dyDescent="0.25">
      <c r="A130" s="116" t="s">
        <v>1493</v>
      </c>
      <c r="B130" s="116" t="s">
        <v>204</v>
      </c>
      <c r="C130" s="116" t="s">
        <v>2247</v>
      </c>
      <c r="D130" s="117">
        <v>740</v>
      </c>
      <c r="E130" s="117">
        <v>32</v>
      </c>
      <c r="F130" s="116">
        <v>22</v>
      </c>
      <c r="G130" s="116">
        <v>176</v>
      </c>
      <c r="H130" s="116">
        <v>616</v>
      </c>
      <c r="I130" s="116">
        <v>937</v>
      </c>
      <c r="J130" s="116">
        <v>945</v>
      </c>
      <c r="K130" s="119">
        <v>816.25</v>
      </c>
      <c r="L130" s="120">
        <v>717.13</v>
      </c>
      <c r="M130" s="121">
        <f t="shared" si="1"/>
        <v>92.755681818181813</v>
      </c>
      <c r="N130" s="121"/>
      <c r="O130" s="142"/>
      <c r="P130" s="117">
        <v>33520.39</v>
      </c>
      <c r="Q130" s="116">
        <v>17</v>
      </c>
      <c r="R130" s="116">
        <f>1550+1680</f>
        <v>3230</v>
      </c>
      <c r="S130" s="116"/>
      <c r="T130" s="117"/>
      <c r="U130" s="116">
        <v>1922</v>
      </c>
      <c r="V130" s="117"/>
      <c r="W130" s="117"/>
      <c r="X130" s="4" t="s">
        <v>1973</v>
      </c>
      <c r="Y130" s="4" t="s">
        <v>559</v>
      </c>
      <c r="Z130" s="4" t="s">
        <v>561</v>
      </c>
      <c r="AA130" s="4" t="s">
        <v>562</v>
      </c>
      <c r="AB130" s="27"/>
      <c r="AC130" s="27"/>
      <c r="AD130" s="27"/>
      <c r="AE130" s="27"/>
    </row>
    <row r="131" spans="1:31" x14ac:dyDescent="0.25">
      <c r="A131" s="116" t="s">
        <v>1494</v>
      </c>
      <c r="B131" s="116" t="s">
        <v>204</v>
      </c>
      <c r="C131" s="116" t="s">
        <v>2248</v>
      </c>
      <c r="D131" s="117">
        <v>89</v>
      </c>
      <c r="E131" s="117">
        <v>6</v>
      </c>
      <c r="F131" s="116">
        <v>6</v>
      </c>
      <c r="G131" s="116">
        <v>137</v>
      </c>
      <c r="H131" s="116">
        <v>164</v>
      </c>
      <c r="I131" s="116">
        <v>164</v>
      </c>
      <c r="J131" s="116">
        <v>146</v>
      </c>
      <c r="K131" s="119">
        <v>605.5</v>
      </c>
      <c r="L131" s="120">
        <v>608.83000000000004</v>
      </c>
      <c r="M131" s="121">
        <f t="shared" ref="M131:M194" si="2">K131/(G131/20)</f>
        <v>88.394160583941613</v>
      </c>
      <c r="N131" s="121"/>
      <c r="O131" s="142"/>
      <c r="P131" s="117">
        <v>3107.02</v>
      </c>
      <c r="Q131" s="116">
        <v>6</v>
      </c>
      <c r="R131" s="116">
        <f>4500+650+1050</f>
        <v>6200</v>
      </c>
      <c r="S131" s="116"/>
      <c r="T131" s="117"/>
      <c r="U131" s="116">
        <v>1922</v>
      </c>
      <c r="V131" s="117"/>
      <c r="W131" s="117"/>
      <c r="X131" s="4" t="s">
        <v>1973</v>
      </c>
      <c r="Y131" s="4" t="s">
        <v>559</v>
      </c>
      <c r="Z131" s="4" t="s">
        <v>561</v>
      </c>
      <c r="AA131" s="4" t="s">
        <v>562</v>
      </c>
      <c r="AB131" s="27"/>
      <c r="AC131" s="27"/>
      <c r="AD131" s="27"/>
      <c r="AE131" s="27"/>
    </row>
    <row r="132" spans="1:31" x14ac:dyDescent="0.25">
      <c r="A132" s="116" t="s">
        <v>1495</v>
      </c>
      <c r="B132" s="116" t="s">
        <v>204</v>
      </c>
      <c r="C132" s="116" t="s">
        <v>2249</v>
      </c>
      <c r="D132" s="117">
        <v>711</v>
      </c>
      <c r="E132" s="117">
        <v>38</v>
      </c>
      <c r="F132" s="116">
        <v>23</v>
      </c>
      <c r="G132" s="116">
        <v>118</v>
      </c>
      <c r="H132" s="116">
        <v>633</v>
      </c>
      <c r="I132" s="116">
        <v>1128</v>
      </c>
      <c r="J132" s="116">
        <v>849</v>
      </c>
      <c r="K132" s="119">
        <v>728.28</v>
      </c>
      <c r="L132" s="120">
        <v>658.04</v>
      </c>
      <c r="M132" s="121">
        <f t="shared" si="2"/>
        <v>123.43728813559321</v>
      </c>
      <c r="N132" s="121"/>
      <c r="O132" s="142"/>
      <c r="P132" s="117">
        <v>47577.81</v>
      </c>
      <c r="Q132" s="116">
        <v>16</v>
      </c>
      <c r="R132" s="116">
        <f>28000+2600+3500</f>
        <v>34100</v>
      </c>
      <c r="S132" s="116"/>
      <c r="T132" s="117"/>
      <c r="U132" s="116">
        <v>1922</v>
      </c>
      <c r="V132" s="117"/>
      <c r="W132" s="117"/>
      <c r="X132" s="4" t="s">
        <v>1973</v>
      </c>
      <c r="Y132" s="4" t="s">
        <v>559</v>
      </c>
      <c r="Z132" s="4" t="s">
        <v>561</v>
      </c>
      <c r="AA132" s="4" t="s">
        <v>562</v>
      </c>
      <c r="AB132" s="27"/>
      <c r="AC132" s="27"/>
      <c r="AD132" s="27"/>
      <c r="AE132" s="27"/>
    </row>
    <row r="133" spans="1:31" x14ac:dyDescent="0.25">
      <c r="A133" s="116" t="s">
        <v>1496</v>
      </c>
      <c r="B133" s="116" t="s">
        <v>204</v>
      </c>
      <c r="C133" s="116" t="s">
        <v>2250</v>
      </c>
      <c r="D133" s="117">
        <v>919</v>
      </c>
      <c r="E133" s="117">
        <v>39</v>
      </c>
      <c r="F133" s="116">
        <v>17</v>
      </c>
      <c r="G133" s="116">
        <v>162</v>
      </c>
      <c r="H133" s="116">
        <v>425</v>
      </c>
      <c r="I133" s="116">
        <v>1242</v>
      </c>
      <c r="J133" s="116">
        <v>1280</v>
      </c>
      <c r="K133" s="119">
        <v>883.2</v>
      </c>
      <c r="L133" s="120">
        <v>728.52</v>
      </c>
      <c r="M133" s="121">
        <f t="shared" si="2"/>
        <v>109.03703703703705</v>
      </c>
      <c r="N133" s="121"/>
      <c r="O133" s="142"/>
      <c r="P133" s="117">
        <v>52366.65</v>
      </c>
      <c r="Q133" s="116">
        <v>13</v>
      </c>
      <c r="R133" s="116">
        <f>10650+1575+1675</f>
        <v>13900</v>
      </c>
      <c r="S133" s="116"/>
      <c r="T133" s="117"/>
      <c r="U133" s="116">
        <v>1922</v>
      </c>
      <c r="V133" s="117"/>
      <c r="W133" s="117"/>
      <c r="X133" s="4" t="s">
        <v>1973</v>
      </c>
      <c r="Y133" s="4" t="s">
        <v>559</v>
      </c>
      <c r="Z133" s="4" t="s">
        <v>561</v>
      </c>
      <c r="AA133" s="4" t="s">
        <v>562</v>
      </c>
      <c r="AB133" s="27"/>
      <c r="AC133" s="27"/>
      <c r="AD133" s="27"/>
      <c r="AE133" s="27"/>
    </row>
    <row r="134" spans="1:31" x14ac:dyDescent="0.25">
      <c r="A134" s="116" t="s">
        <v>1497</v>
      </c>
      <c r="B134" s="116" t="s">
        <v>204</v>
      </c>
      <c r="C134" s="116" t="s">
        <v>2251</v>
      </c>
      <c r="D134" s="117">
        <v>516</v>
      </c>
      <c r="E134" s="117">
        <v>32</v>
      </c>
      <c r="F134" s="116">
        <v>32</v>
      </c>
      <c r="G134" s="116">
        <v>155</v>
      </c>
      <c r="H134" s="116">
        <v>735</v>
      </c>
      <c r="I134" s="116">
        <v>735</v>
      </c>
      <c r="J134" s="116">
        <v>808</v>
      </c>
      <c r="K134" s="119">
        <v>850</v>
      </c>
      <c r="L134" s="120">
        <v>850</v>
      </c>
      <c r="M134" s="121">
        <f t="shared" si="2"/>
        <v>109.6774193548387</v>
      </c>
      <c r="N134" s="121"/>
      <c r="O134" s="142"/>
      <c r="P134" s="117">
        <v>34743.53</v>
      </c>
      <c r="Q134" s="116">
        <v>20</v>
      </c>
      <c r="R134" s="116">
        <f>20000+3000</f>
        <v>23000</v>
      </c>
      <c r="S134" s="116"/>
      <c r="T134" s="117"/>
      <c r="U134" s="116">
        <v>1922</v>
      </c>
      <c r="V134" s="117"/>
      <c r="W134" s="117"/>
      <c r="X134" s="4" t="s">
        <v>1973</v>
      </c>
      <c r="Y134" s="4" t="s">
        <v>559</v>
      </c>
      <c r="Z134" s="4" t="s">
        <v>561</v>
      </c>
      <c r="AA134" s="4" t="s">
        <v>562</v>
      </c>
      <c r="AB134" s="27"/>
      <c r="AC134" s="27"/>
      <c r="AD134" s="27"/>
      <c r="AE134" s="27"/>
    </row>
    <row r="135" spans="1:31" x14ac:dyDescent="0.25">
      <c r="A135" s="116" t="s">
        <v>1498</v>
      </c>
      <c r="B135" s="116" t="s">
        <v>204</v>
      </c>
      <c r="C135" s="116" t="s">
        <v>2252</v>
      </c>
      <c r="D135" s="117">
        <v>187</v>
      </c>
      <c r="E135" s="117">
        <v>14</v>
      </c>
      <c r="F135" s="116">
        <v>14</v>
      </c>
      <c r="G135" s="116">
        <v>139</v>
      </c>
      <c r="H135" s="116">
        <v>354</v>
      </c>
      <c r="I135" s="116">
        <v>354</v>
      </c>
      <c r="J135" s="116">
        <v>292</v>
      </c>
      <c r="K135" s="119">
        <v>744.14</v>
      </c>
      <c r="L135" s="120">
        <v>744.14</v>
      </c>
      <c r="M135" s="121">
        <f t="shared" si="2"/>
        <v>107.0705035971223</v>
      </c>
      <c r="N135" s="121"/>
      <c r="O135" s="142"/>
      <c r="P135" s="117">
        <v>17041.080000000002</v>
      </c>
      <c r="Q135" s="116">
        <v>9</v>
      </c>
      <c r="R135" s="116">
        <f>5400+500+1500</f>
        <v>7400</v>
      </c>
      <c r="S135" s="116"/>
      <c r="T135" s="117"/>
      <c r="U135" s="116">
        <v>1922</v>
      </c>
      <c r="V135" s="117"/>
      <c r="W135" s="117"/>
      <c r="X135" s="4" t="s">
        <v>1973</v>
      </c>
      <c r="Y135" s="4" t="s">
        <v>559</v>
      </c>
      <c r="Z135" s="4" t="s">
        <v>561</v>
      </c>
      <c r="AA135" s="4" t="s">
        <v>562</v>
      </c>
      <c r="AB135" s="27"/>
      <c r="AC135" s="27"/>
      <c r="AD135" s="27"/>
      <c r="AE135" s="27"/>
    </row>
    <row r="136" spans="1:31" x14ac:dyDescent="0.25">
      <c r="A136" s="116" t="s">
        <v>1499</v>
      </c>
      <c r="B136" s="116" t="s">
        <v>204</v>
      </c>
      <c r="C136" s="116" t="s">
        <v>2253</v>
      </c>
      <c r="D136" s="117">
        <v>476</v>
      </c>
      <c r="E136" s="117">
        <v>21</v>
      </c>
      <c r="F136" s="116">
        <v>7</v>
      </c>
      <c r="G136" s="116">
        <v>180</v>
      </c>
      <c r="H136" s="116">
        <v>110</v>
      </c>
      <c r="I136" s="116">
        <v>639</v>
      </c>
      <c r="J136" s="116">
        <v>591</v>
      </c>
      <c r="K136" s="119">
        <v>844.28</v>
      </c>
      <c r="L136" s="120">
        <v>784.28</v>
      </c>
      <c r="M136" s="121">
        <f t="shared" si="2"/>
        <v>93.808888888888887</v>
      </c>
      <c r="N136" s="121"/>
      <c r="O136" s="142"/>
      <c r="P136" s="117">
        <v>26079.95</v>
      </c>
      <c r="Q136" s="116">
        <v>3</v>
      </c>
      <c r="R136" s="116">
        <f>6112+630+975</f>
        <v>7717</v>
      </c>
      <c r="S136" s="116"/>
      <c r="T136" s="117"/>
      <c r="U136" s="116">
        <v>1922</v>
      </c>
      <c r="V136" s="117"/>
      <c r="W136" s="117"/>
      <c r="X136" s="4" t="s">
        <v>1973</v>
      </c>
      <c r="Y136" s="4" t="s">
        <v>559</v>
      </c>
      <c r="Z136" s="4" t="s">
        <v>561</v>
      </c>
      <c r="AA136" s="4" t="s">
        <v>562</v>
      </c>
      <c r="AB136" s="27"/>
      <c r="AC136" s="27"/>
      <c r="AD136" s="27"/>
      <c r="AE136" s="27"/>
    </row>
    <row r="137" spans="1:31" x14ac:dyDescent="0.25">
      <c r="A137" s="116" t="s">
        <v>1500</v>
      </c>
      <c r="B137" s="116" t="s">
        <v>204</v>
      </c>
      <c r="C137" s="116" t="s">
        <v>2254</v>
      </c>
      <c r="D137" s="117">
        <v>1354</v>
      </c>
      <c r="E137" s="117">
        <v>44</v>
      </c>
      <c r="F137" s="116">
        <v>8</v>
      </c>
      <c r="G137" s="116">
        <v>161</v>
      </c>
      <c r="H137" s="116">
        <v>320</v>
      </c>
      <c r="I137" s="116">
        <v>1839</v>
      </c>
      <c r="J137" s="116">
        <v>1998</v>
      </c>
      <c r="K137" s="119">
        <v>1059.3499999999999</v>
      </c>
      <c r="L137" s="120">
        <v>942.5</v>
      </c>
      <c r="M137" s="121">
        <f t="shared" si="2"/>
        <v>131.59627329192546</v>
      </c>
      <c r="N137" s="121"/>
      <c r="O137" s="142"/>
      <c r="P137" s="117">
        <v>86679.46</v>
      </c>
      <c r="Q137" s="116">
        <v>4</v>
      </c>
      <c r="R137" s="116"/>
      <c r="S137" s="116"/>
      <c r="T137" s="117"/>
      <c r="U137" s="116">
        <v>1922</v>
      </c>
      <c r="V137" s="117"/>
      <c r="W137" s="117"/>
      <c r="X137" s="4" t="s">
        <v>1973</v>
      </c>
      <c r="Y137" s="4" t="s">
        <v>559</v>
      </c>
      <c r="Z137" s="4" t="s">
        <v>561</v>
      </c>
      <c r="AA137" s="4" t="s">
        <v>562</v>
      </c>
      <c r="AB137" s="27"/>
      <c r="AC137" s="27"/>
      <c r="AD137" s="27"/>
      <c r="AE137" s="27"/>
    </row>
    <row r="138" spans="1:31" x14ac:dyDescent="0.25">
      <c r="A138" s="116" t="s">
        <v>1501</v>
      </c>
      <c r="B138" s="116" t="s">
        <v>204</v>
      </c>
      <c r="C138" s="116" t="s">
        <v>137</v>
      </c>
      <c r="D138" s="117">
        <v>2077</v>
      </c>
      <c r="E138" s="117">
        <v>76</v>
      </c>
      <c r="F138" s="116">
        <v>44</v>
      </c>
      <c r="G138" s="116">
        <v>133</v>
      </c>
      <c r="H138" s="118">
        <v>1648</v>
      </c>
      <c r="I138" s="118">
        <v>22931</v>
      </c>
      <c r="J138" s="118">
        <v>3335</v>
      </c>
      <c r="K138" s="119">
        <v>994.34</v>
      </c>
      <c r="L138" s="120">
        <v>921.7</v>
      </c>
      <c r="M138" s="121">
        <f t="shared" si="2"/>
        <v>149.5248120300752</v>
      </c>
      <c r="N138" s="121"/>
      <c r="O138" s="142"/>
      <c r="P138" s="117">
        <v>131071.67999999999</v>
      </c>
      <c r="Q138" s="116">
        <v>18</v>
      </c>
      <c r="R138" s="116">
        <f>108650+5110+16119</f>
        <v>129879</v>
      </c>
      <c r="S138" s="116"/>
      <c r="T138" s="117"/>
      <c r="U138" s="116">
        <v>1922</v>
      </c>
      <c r="V138" s="117"/>
      <c r="W138" s="117"/>
      <c r="X138" s="4" t="s">
        <v>1973</v>
      </c>
      <c r="Y138" s="4" t="s">
        <v>559</v>
      </c>
      <c r="Z138" s="4" t="s">
        <v>561</v>
      </c>
      <c r="AA138" s="4" t="s">
        <v>562</v>
      </c>
      <c r="AB138" s="27"/>
      <c r="AC138" s="27"/>
      <c r="AD138" s="27"/>
      <c r="AE138" s="27"/>
    </row>
    <row r="139" spans="1:31" x14ac:dyDescent="0.25">
      <c r="A139" s="116" t="s">
        <v>1502</v>
      </c>
      <c r="B139" s="116" t="s">
        <v>204</v>
      </c>
      <c r="C139" s="116" t="s">
        <v>31</v>
      </c>
      <c r="D139" s="117">
        <v>13549</v>
      </c>
      <c r="E139" s="117">
        <v>384</v>
      </c>
      <c r="F139" s="116">
        <v>228</v>
      </c>
      <c r="G139" s="116">
        <v>115</v>
      </c>
      <c r="H139" s="118">
        <v>11159</v>
      </c>
      <c r="I139" s="118">
        <v>17943</v>
      </c>
      <c r="J139" s="118">
        <v>17805</v>
      </c>
      <c r="K139" s="119">
        <v>820.11</v>
      </c>
      <c r="L139" s="120">
        <v>660.52</v>
      </c>
      <c r="M139" s="121">
        <f t="shared" si="2"/>
        <v>142.62782608695653</v>
      </c>
      <c r="N139" s="121"/>
      <c r="O139" s="142"/>
      <c r="P139" s="117">
        <v>432993.97</v>
      </c>
      <c r="Q139" s="116">
        <v>135</v>
      </c>
      <c r="R139" s="116">
        <f>198000+5000+12000+4000+65000+3000</f>
        <v>287000</v>
      </c>
      <c r="S139" s="116"/>
      <c r="T139" s="117"/>
      <c r="U139" s="116">
        <v>1922</v>
      </c>
      <c r="V139" s="117"/>
      <c r="W139" s="117"/>
      <c r="X139" s="4" t="s">
        <v>1973</v>
      </c>
      <c r="Y139" s="4" t="s">
        <v>559</v>
      </c>
      <c r="Z139" s="4" t="s">
        <v>561</v>
      </c>
      <c r="AA139" s="4" t="s">
        <v>562</v>
      </c>
      <c r="AB139" s="27"/>
      <c r="AC139" s="27"/>
      <c r="AD139" s="27"/>
      <c r="AE139" s="27"/>
    </row>
    <row r="140" spans="1:31" x14ac:dyDescent="0.25">
      <c r="A140" s="116" t="s">
        <v>1503</v>
      </c>
      <c r="B140" s="116" t="s">
        <v>204</v>
      </c>
      <c r="C140" s="116" t="s">
        <v>2255</v>
      </c>
      <c r="D140" s="117">
        <v>583</v>
      </c>
      <c r="E140" s="117">
        <v>19</v>
      </c>
      <c r="F140" s="116">
        <v>19</v>
      </c>
      <c r="G140" s="116">
        <v>160</v>
      </c>
      <c r="H140" s="116">
        <v>463</v>
      </c>
      <c r="I140" s="116">
        <v>463</v>
      </c>
      <c r="J140" s="116">
        <v>615</v>
      </c>
      <c r="K140" s="119">
        <v>928.42</v>
      </c>
      <c r="L140" s="120">
        <v>928.42</v>
      </c>
      <c r="M140" s="121">
        <f t="shared" si="2"/>
        <v>116.05249999999999</v>
      </c>
      <c r="N140" s="121"/>
      <c r="O140" s="142"/>
      <c r="P140" s="117">
        <v>78111.56</v>
      </c>
      <c r="Q140" s="116">
        <v>5</v>
      </c>
      <c r="R140" s="116">
        <f>95000+1940+13110</f>
        <v>110050</v>
      </c>
      <c r="S140" s="116"/>
      <c r="T140" s="117"/>
      <c r="U140" s="116">
        <v>1922</v>
      </c>
      <c r="V140" s="117"/>
      <c r="W140" s="117"/>
      <c r="X140" s="4" t="s">
        <v>1973</v>
      </c>
      <c r="Y140" s="4" t="s">
        <v>559</v>
      </c>
      <c r="Z140" s="4" t="s">
        <v>561</v>
      </c>
      <c r="AA140" s="4" t="s">
        <v>562</v>
      </c>
      <c r="AB140" s="27"/>
      <c r="AC140" s="27"/>
      <c r="AD140" s="27"/>
      <c r="AE140" s="27"/>
    </row>
    <row r="141" spans="1:31" x14ac:dyDescent="0.25">
      <c r="A141" s="116" t="s">
        <v>1504</v>
      </c>
      <c r="B141" s="116" t="s">
        <v>204</v>
      </c>
      <c r="C141" s="116" t="s">
        <v>2256</v>
      </c>
      <c r="D141" s="117">
        <v>1722</v>
      </c>
      <c r="E141" s="117">
        <v>74</v>
      </c>
      <c r="F141" s="116">
        <v>45</v>
      </c>
      <c r="G141" s="116">
        <v>124</v>
      </c>
      <c r="H141" s="118">
        <v>1367</v>
      </c>
      <c r="I141" s="118">
        <v>2431</v>
      </c>
      <c r="J141" s="118">
        <v>2441</v>
      </c>
      <c r="K141" s="119">
        <v>769.11</v>
      </c>
      <c r="L141" s="120">
        <v>664.09</v>
      </c>
      <c r="M141" s="121">
        <f t="shared" si="2"/>
        <v>124.05</v>
      </c>
      <c r="N141" s="121"/>
      <c r="O141" s="142"/>
      <c r="P141" s="117">
        <v>73739.62</v>
      </c>
      <c r="Q141" s="116">
        <v>28</v>
      </c>
      <c r="R141" s="116">
        <f>37600+4395+7884</f>
        <v>49879</v>
      </c>
      <c r="S141" s="116"/>
      <c r="T141" s="117"/>
      <c r="U141" s="116">
        <v>1922</v>
      </c>
      <c r="V141" s="117"/>
      <c r="W141" s="117"/>
      <c r="X141" s="4" t="s">
        <v>1973</v>
      </c>
      <c r="Y141" s="4" t="s">
        <v>559</v>
      </c>
      <c r="Z141" s="4" t="s">
        <v>561</v>
      </c>
      <c r="AA141" s="4" t="s">
        <v>562</v>
      </c>
      <c r="AB141" s="27"/>
      <c r="AC141" s="27"/>
      <c r="AD141" s="27"/>
      <c r="AE141" s="27"/>
    </row>
    <row r="142" spans="1:31" x14ac:dyDescent="0.25">
      <c r="A142" s="116" t="s">
        <v>1505</v>
      </c>
      <c r="B142" s="116" t="s">
        <v>204</v>
      </c>
      <c r="C142" s="116" t="s">
        <v>161</v>
      </c>
      <c r="D142" s="117">
        <v>623</v>
      </c>
      <c r="E142" s="117">
        <v>29</v>
      </c>
      <c r="F142" s="116">
        <v>29</v>
      </c>
      <c r="G142" s="116">
        <v>180</v>
      </c>
      <c r="H142" s="116">
        <v>818</v>
      </c>
      <c r="I142" s="116">
        <v>818</v>
      </c>
      <c r="J142" s="116">
        <v>928</v>
      </c>
      <c r="K142" s="119">
        <v>1019.22</v>
      </c>
      <c r="L142" s="120">
        <v>1019.22</v>
      </c>
      <c r="M142" s="121">
        <f t="shared" si="2"/>
        <v>113.24666666666667</v>
      </c>
      <c r="N142" s="121"/>
      <c r="O142" s="142"/>
      <c r="P142" s="117">
        <v>55085.36</v>
      </c>
      <c r="Q142" s="116">
        <v>11</v>
      </c>
      <c r="R142" s="116">
        <f>47000+4700+3575</f>
        <v>55275</v>
      </c>
      <c r="S142" s="116"/>
      <c r="T142" s="117"/>
      <c r="U142" s="116">
        <v>1922</v>
      </c>
      <c r="V142" s="117"/>
      <c r="W142" s="117"/>
      <c r="X142" s="4" t="s">
        <v>1973</v>
      </c>
      <c r="Y142" s="4" t="s">
        <v>559</v>
      </c>
      <c r="Z142" s="4" t="s">
        <v>561</v>
      </c>
      <c r="AA142" s="4" t="s">
        <v>562</v>
      </c>
      <c r="AB142" s="27"/>
      <c r="AC142" s="27"/>
      <c r="AD142" s="27"/>
      <c r="AE142" s="27"/>
    </row>
    <row r="143" spans="1:31" x14ac:dyDescent="0.25">
      <c r="A143" s="116" t="s">
        <v>1506</v>
      </c>
      <c r="B143" s="116" t="s">
        <v>204</v>
      </c>
      <c r="C143" s="116" t="s">
        <v>2257</v>
      </c>
      <c r="D143" s="117">
        <v>3757</v>
      </c>
      <c r="E143" s="117">
        <v>157</v>
      </c>
      <c r="F143" s="116">
        <v>122</v>
      </c>
      <c r="G143" s="116">
        <v>139</v>
      </c>
      <c r="H143" s="116">
        <v>375</v>
      </c>
      <c r="I143" s="116">
        <v>5149</v>
      </c>
      <c r="J143" s="116">
        <v>5544</v>
      </c>
      <c r="K143" s="119">
        <v>705.39</v>
      </c>
      <c r="L143" s="120">
        <v>643.45000000000005</v>
      </c>
      <c r="M143" s="121">
        <f t="shared" si="2"/>
        <v>101.49496402877698</v>
      </c>
      <c r="N143" s="121"/>
      <c r="O143" s="142"/>
      <c r="P143" s="117">
        <v>153203</v>
      </c>
      <c r="Q143" s="116">
        <v>60</v>
      </c>
      <c r="R143" s="116">
        <f>71103+9225+12360+1450+29160+1031</f>
        <v>124329</v>
      </c>
      <c r="S143" s="116"/>
      <c r="T143" s="117"/>
      <c r="U143" s="116">
        <v>1922</v>
      </c>
      <c r="V143" s="117"/>
      <c r="W143" s="117"/>
      <c r="X143" s="4" t="s">
        <v>1973</v>
      </c>
      <c r="Y143" s="4" t="s">
        <v>559</v>
      </c>
      <c r="Z143" s="4" t="s">
        <v>561</v>
      </c>
      <c r="AA143" s="4" t="s">
        <v>562</v>
      </c>
      <c r="AB143" s="27"/>
      <c r="AC143" s="27"/>
      <c r="AD143" s="27"/>
      <c r="AE143" s="27"/>
    </row>
    <row r="144" spans="1:31" x14ac:dyDescent="0.25">
      <c r="A144" s="116" t="s">
        <v>1507</v>
      </c>
      <c r="B144" s="116" t="s">
        <v>204</v>
      </c>
      <c r="C144" s="116" t="s">
        <v>34</v>
      </c>
      <c r="D144" s="117">
        <v>1992</v>
      </c>
      <c r="E144" s="117">
        <v>94</v>
      </c>
      <c r="F144" s="116">
        <v>85</v>
      </c>
      <c r="G144" s="116">
        <v>136</v>
      </c>
      <c r="H144" s="118">
        <v>1523</v>
      </c>
      <c r="I144" s="118">
        <v>1756</v>
      </c>
      <c r="J144" s="118">
        <v>3264</v>
      </c>
      <c r="K144" s="119">
        <v>534.29999999999995</v>
      </c>
      <c r="L144" s="120">
        <v>512.47</v>
      </c>
      <c r="M144" s="121">
        <f t="shared" si="2"/>
        <v>78.573529411764696</v>
      </c>
      <c r="N144" s="121"/>
      <c r="O144" s="142"/>
      <c r="P144" s="117">
        <v>105236.42</v>
      </c>
      <c r="Q144" s="116">
        <v>56</v>
      </c>
      <c r="R144" s="116">
        <f>48165+30880+3525+1610+8710+4785</f>
        <v>97675</v>
      </c>
      <c r="S144" s="116"/>
      <c r="T144" s="117"/>
      <c r="U144" s="116">
        <v>1922</v>
      </c>
      <c r="V144" s="117"/>
      <c r="W144" s="117"/>
      <c r="X144" s="4" t="s">
        <v>1973</v>
      </c>
      <c r="Y144" s="4" t="s">
        <v>559</v>
      </c>
      <c r="Z144" s="4" t="s">
        <v>561</v>
      </c>
      <c r="AA144" s="4" t="s">
        <v>562</v>
      </c>
      <c r="AB144" s="27"/>
      <c r="AC144" s="27"/>
      <c r="AD144" s="27"/>
      <c r="AE144" s="27"/>
    </row>
    <row r="145" spans="1:31" x14ac:dyDescent="0.25">
      <c r="A145" s="116" t="s">
        <v>1508</v>
      </c>
      <c r="B145" s="116" t="s">
        <v>204</v>
      </c>
      <c r="C145" s="116" t="s">
        <v>2258</v>
      </c>
      <c r="D145" s="117">
        <v>3613</v>
      </c>
      <c r="E145" s="117">
        <v>164</v>
      </c>
      <c r="F145" s="116">
        <v>128</v>
      </c>
      <c r="G145" s="116">
        <v>117</v>
      </c>
      <c r="H145" s="118">
        <v>4121</v>
      </c>
      <c r="I145" s="118">
        <v>5320</v>
      </c>
      <c r="J145" s="118">
        <v>5534</v>
      </c>
      <c r="K145" s="119">
        <v>563.01</v>
      </c>
      <c r="L145" s="120">
        <v>505.48</v>
      </c>
      <c r="M145" s="121">
        <f t="shared" si="2"/>
        <v>96.241025641025644</v>
      </c>
      <c r="N145" s="121"/>
      <c r="O145" s="142"/>
      <c r="P145" s="117">
        <v>114385.89</v>
      </c>
      <c r="Q145" s="116">
        <v>86</v>
      </c>
      <c r="R145" s="116">
        <f>68555+14225+5870+1700+10072+2302</f>
        <v>102724</v>
      </c>
      <c r="S145" s="116"/>
      <c r="T145" s="117"/>
      <c r="U145" s="116">
        <v>1922</v>
      </c>
      <c r="V145" s="117"/>
      <c r="W145" s="117"/>
      <c r="X145" s="4" t="s">
        <v>1973</v>
      </c>
      <c r="Y145" s="4" t="s">
        <v>559</v>
      </c>
      <c r="Z145" s="4" t="s">
        <v>561</v>
      </c>
      <c r="AA145" s="4" t="s">
        <v>562</v>
      </c>
      <c r="AB145" s="27"/>
      <c r="AC145" s="27"/>
      <c r="AD145" s="27"/>
      <c r="AE145" s="27"/>
    </row>
    <row r="146" spans="1:31" x14ac:dyDescent="0.25">
      <c r="A146" s="116" t="s">
        <v>1509</v>
      </c>
      <c r="B146" s="116" t="s">
        <v>204</v>
      </c>
      <c r="C146" s="116" t="s">
        <v>2259</v>
      </c>
      <c r="D146" s="117">
        <v>2845</v>
      </c>
      <c r="E146" s="117">
        <v>115</v>
      </c>
      <c r="F146" s="116">
        <v>65</v>
      </c>
      <c r="G146" s="116">
        <v>142</v>
      </c>
      <c r="H146" s="118">
        <v>1957</v>
      </c>
      <c r="I146" s="118">
        <v>4212</v>
      </c>
      <c r="J146" s="118">
        <v>4301</v>
      </c>
      <c r="K146" s="119">
        <v>759.05</v>
      </c>
      <c r="L146" s="120">
        <v>664.35</v>
      </c>
      <c r="M146" s="121">
        <f t="shared" si="2"/>
        <v>106.90845070422534</v>
      </c>
      <c r="N146" s="121"/>
      <c r="O146" s="142"/>
      <c r="P146" s="117">
        <v>200180.4</v>
      </c>
      <c r="Q146" s="116">
        <v>42</v>
      </c>
      <c r="R146" s="116">
        <f>56100+3400+2850+750+20560+1670</f>
        <v>85330</v>
      </c>
      <c r="S146" s="116"/>
      <c r="T146" s="117"/>
      <c r="U146" s="116">
        <v>1922</v>
      </c>
      <c r="V146" s="117"/>
      <c r="W146" s="117"/>
      <c r="X146" s="4" t="s">
        <v>1973</v>
      </c>
      <c r="Y146" s="4" t="s">
        <v>559</v>
      </c>
      <c r="Z146" s="4" t="s">
        <v>561</v>
      </c>
      <c r="AA146" s="4" t="s">
        <v>562</v>
      </c>
      <c r="AB146" s="27"/>
      <c r="AC146" s="27"/>
      <c r="AD146" s="27"/>
      <c r="AE146" s="27"/>
    </row>
    <row r="147" spans="1:31" x14ac:dyDescent="0.25">
      <c r="A147" s="116" t="s">
        <v>1510</v>
      </c>
      <c r="B147" s="116" t="s">
        <v>204</v>
      </c>
      <c r="C147" s="116" t="s">
        <v>35</v>
      </c>
      <c r="D147" s="117">
        <v>7910</v>
      </c>
      <c r="E147" s="117">
        <v>294</v>
      </c>
      <c r="F147" s="116">
        <v>188</v>
      </c>
      <c r="G147" s="116">
        <v>116</v>
      </c>
      <c r="H147" s="118">
        <v>7207</v>
      </c>
      <c r="I147" s="118">
        <v>12540</v>
      </c>
      <c r="J147" s="118">
        <v>12747</v>
      </c>
      <c r="K147" s="119">
        <v>712.81</v>
      </c>
      <c r="L147" s="120">
        <v>613.57000000000005</v>
      </c>
      <c r="M147" s="121">
        <f t="shared" si="2"/>
        <v>122.89827586206896</v>
      </c>
      <c r="N147" s="121"/>
      <c r="O147" s="142"/>
      <c r="P147" s="117">
        <v>484384.74</v>
      </c>
      <c r="Q147" s="116">
        <v>86</v>
      </c>
      <c r="R147" s="116">
        <f>200000+12275+17570+1850+33590+3958</f>
        <v>269243</v>
      </c>
      <c r="S147" s="116"/>
      <c r="T147" s="117"/>
      <c r="U147" s="116">
        <v>1922</v>
      </c>
      <c r="V147" s="117"/>
      <c r="W147" s="117"/>
      <c r="X147" s="4" t="s">
        <v>1973</v>
      </c>
      <c r="Y147" s="4" t="s">
        <v>559</v>
      </c>
      <c r="Z147" s="4" t="s">
        <v>561</v>
      </c>
      <c r="AA147" s="4" t="s">
        <v>562</v>
      </c>
      <c r="AB147" s="27"/>
      <c r="AC147" s="27"/>
      <c r="AD147" s="27"/>
      <c r="AE147" s="27"/>
    </row>
    <row r="148" spans="1:31" x14ac:dyDescent="0.25">
      <c r="A148" s="116" t="s">
        <v>1511</v>
      </c>
      <c r="B148" s="116" t="s">
        <v>204</v>
      </c>
      <c r="C148" s="116" t="s">
        <v>2260</v>
      </c>
      <c r="D148" s="117">
        <v>681</v>
      </c>
      <c r="E148" s="117">
        <v>50</v>
      </c>
      <c r="F148" s="116">
        <v>28</v>
      </c>
      <c r="G148" s="116">
        <v>137</v>
      </c>
      <c r="H148" s="116">
        <v>615</v>
      </c>
      <c r="I148" s="116">
        <v>1337</v>
      </c>
      <c r="J148" s="116">
        <v>1157</v>
      </c>
      <c r="K148" s="119">
        <v>936.8</v>
      </c>
      <c r="L148" s="120">
        <v>787.85</v>
      </c>
      <c r="M148" s="121">
        <f t="shared" si="2"/>
        <v>136.75912408759123</v>
      </c>
      <c r="N148" s="121"/>
      <c r="O148" s="142"/>
      <c r="P148" s="117">
        <v>72914.44</v>
      </c>
      <c r="Q148" s="116">
        <v>22</v>
      </c>
      <c r="R148" s="116"/>
      <c r="S148" s="116"/>
      <c r="T148" s="117"/>
      <c r="U148" s="116">
        <v>1922</v>
      </c>
      <c r="V148" s="117"/>
      <c r="W148" s="117"/>
      <c r="X148" s="4" t="s">
        <v>1973</v>
      </c>
      <c r="Y148" s="4" t="s">
        <v>559</v>
      </c>
      <c r="Z148" s="4" t="s">
        <v>561</v>
      </c>
      <c r="AA148" s="4" t="s">
        <v>562</v>
      </c>
      <c r="AB148" s="27"/>
      <c r="AC148" s="27"/>
      <c r="AD148" s="27"/>
      <c r="AE148" s="27"/>
    </row>
    <row r="149" spans="1:31" x14ac:dyDescent="0.25">
      <c r="A149" s="116" t="s">
        <v>1512</v>
      </c>
      <c r="B149" s="116" t="s">
        <v>204</v>
      </c>
      <c r="C149" s="116" t="s">
        <v>2261</v>
      </c>
      <c r="D149" s="117">
        <v>778</v>
      </c>
      <c r="E149" s="117">
        <v>42</v>
      </c>
      <c r="F149" s="116">
        <v>42</v>
      </c>
      <c r="G149" s="116">
        <v>152</v>
      </c>
      <c r="H149" s="116">
        <v>904</v>
      </c>
      <c r="I149" s="116">
        <v>9047</v>
      </c>
      <c r="J149" s="116">
        <v>1071</v>
      </c>
      <c r="K149" s="119">
        <v>803.12</v>
      </c>
      <c r="L149" s="120">
        <v>803.11</v>
      </c>
      <c r="M149" s="121">
        <f t="shared" si="2"/>
        <v>105.67368421052632</v>
      </c>
      <c r="N149" s="121"/>
      <c r="O149" s="142"/>
      <c r="P149" s="117">
        <v>57443.26</v>
      </c>
      <c r="Q149" s="116">
        <v>21</v>
      </c>
      <c r="R149" s="116">
        <f>59300+6145+8301</f>
        <v>73746</v>
      </c>
      <c r="S149" s="116"/>
      <c r="T149" s="117"/>
      <c r="U149" s="116">
        <v>1922</v>
      </c>
      <c r="V149" s="117"/>
      <c r="W149" s="117"/>
      <c r="X149" s="4" t="s">
        <v>1973</v>
      </c>
      <c r="Y149" s="4" t="s">
        <v>559</v>
      </c>
      <c r="Z149" s="4" t="s">
        <v>561</v>
      </c>
      <c r="AA149" s="4" t="s">
        <v>562</v>
      </c>
      <c r="AB149" s="27"/>
      <c r="AC149" s="27"/>
      <c r="AD149" s="27"/>
      <c r="AE149" s="27"/>
    </row>
    <row r="150" spans="1:31" x14ac:dyDescent="0.25">
      <c r="A150" s="116" t="s">
        <v>1513</v>
      </c>
      <c r="B150" s="116" t="s">
        <v>204</v>
      </c>
      <c r="C150" s="116" t="s">
        <v>2262</v>
      </c>
      <c r="D150" s="117">
        <v>1083</v>
      </c>
      <c r="E150" s="117">
        <v>50</v>
      </c>
      <c r="F150" s="116">
        <v>34</v>
      </c>
      <c r="G150" s="116">
        <v>134</v>
      </c>
      <c r="H150" s="116">
        <v>845</v>
      </c>
      <c r="I150" s="116">
        <v>1391</v>
      </c>
      <c r="J150" s="116">
        <v>1429</v>
      </c>
      <c r="K150" s="119">
        <v>765.38</v>
      </c>
      <c r="L150" s="120">
        <v>619.25</v>
      </c>
      <c r="M150" s="121">
        <f t="shared" si="2"/>
        <v>114.23582089552238</v>
      </c>
      <c r="N150" s="121"/>
      <c r="O150" s="142"/>
      <c r="P150" s="117">
        <v>49974.87</v>
      </c>
      <c r="Q150" s="116">
        <v>23</v>
      </c>
      <c r="R150" s="116">
        <f>19230+1565+3947</f>
        <v>24742</v>
      </c>
      <c r="S150" s="116"/>
      <c r="T150" s="117"/>
      <c r="U150" s="116">
        <v>1922</v>
      </c>
      <c r="V150" s="117"/>
      <c r="W150" s="117"/>
      <c r="X150" s="4" t="s">
        <v>1973</v>
      </c>
      <c r="Y150" s="4" t="s">
        <v>559</v>
      </c>
      <c r="Z150" s="4" t="s">
        <v>561</v>
      </c>
      <c r="AA150" s="4" t="s">
        <v>562</v>
      </c>
      <c r="AB150" s="27"/>
      <c r="AC150" s="27"/>
      <c r="AD150" s="27"/>
      <c r="AE150" s="27"/>
    </row>
    <row r="151" spans="1:31" x14ac:dyDescent="0.25">
      <c r="A151" s="116" t="s">
        <v>1514</v>
      </c>
      <c r="B151" s="116" t="s">
        <v>204</v>
      </c>
      <c r="C151" s="116" t="s">
        <v>2263</v>
      </c>
      <c r="E151" s="117">
        <v>14</v>
      </c>
      <c r="F151" s="116">
        <v>14</v>
      </c>
      <c r="G151" s="116">
        <v>163</v>
      </c>
      <c r="H151" s="116">
        <v>230</v>
      </c>
      <c r="I151" s="116"/>
      <c r="J151" s="116"/>
      <c r="K151" s="119">
        <v>945.35</v>
      </c>
      <c r="L151" s="120">
        <v>945.35</v>
      </c>
      <c r="M151" s="121">
        <f t="shared" si="2"/>
        <v>115.99386503067484</v>
      </c>
      <c r="N151" s="121"/>
      <c r="O151" s="142"/>
      <c r="P151" s="117">
        <v>280</v>
      </c>
      <c r="Q151" s="116">
        <v>6</v>
      </c>
      <c r="R151" s="116"/>
      <c r="S151" s="116"/>
      <c r="T151" s="117"/>
      <c r="U151" s="116">
        <v>1922</v>
      </c>
      <c r="V151" s="117"/>
      <c r="W151" s="117"/>
      <c r="X151" s="4" t="s">
        <v>1973</v>
      </c>
      <c r="Y151" s="4" t="s">
        <v>559</v>
      </c>
      <c r="Z151" s="4" t="s">
        <v>561</v>
      </c>
      <c r="AA151" s="4" t="s">
        <v>562</v>
      </c>
      <c r="AB151" s="27"/>
      <c r="AC151" s="27"/>
      <c r="AD151" s="27"/>
      <c r="AE151" s="27"/>
    </row>
    <row r="152" spans="1:31" x14ac:dyDescent="0.25">
      <c r="A152" s="116" t="s">
        <v>1515</v>
      </c>
      <c r="B152" s="116" t="s">
        <v>204</v>
      </c>
      <c r="C152" s="116" t="s">
        <v>2264</v>
      </c>
      <c r="D152" s="117">
        <v>4409</v>
      </c>
      <c r="E152" s="117">
        <v>115</v>
      </c>
      <c r="F152" s="116">
        <v>43</v>
      </c>
      <c r="G152" s="116">
        <v>158</v>
      </c>
      <c r="H152" s="118">
        <v>1611</v>
      </c>
      <c r="I152" s="118">
        <v>4608</v>
      </c>
      <c r="J152" s="118">
        <v>5576</v>
      </c>
      <c r="K152" s="119">
        <v>966.23</v>
      </c>
      <c r="L152" s="120">
        <v>886.09</v>
      </c>
      <c r="M152" s="121">
        <f t="shared" si="2"/>
        <v>122.30759493670885</v>
      </c>
      <c r="N152" s="121"/>
      <c r="O152" s="142"/>
      <c r="P152" s="117">
        <v>360197.92</v>
      </c>
      <c r="Q152" s="116">
        <v>20</v>
      </c>
      <c r="R152" s="116">
        <f>159415+6000+15000</f>
        <v>180415</v>
      </c>
      <c r="S152" s="116"/>
      <c r="T152" s="117"/>
      <c r="U152" s="116">
        <v>1922</v>
      </c>
      <c r="V152" s="117"/>
      <c r="W152" s="117"/>
      <c r="X152" s="4" t="s">
        <v>1973</v>
      </c>
      <c r="Y152" s="4" t="s">
        <v>559</v>
      </c>
      <c r="Z152" s="4" t="s">
        <v>561</v>
      </c>
      <c r="AA152" s="4" t="s">
        <v>562</v>
      </c>
      <c r="AB152" s="27"/>
      <c r="AC152" s="27"/>
      <c r="AD152" s="27"/>
      <c r="AE152" s="27"/>
    </row>
    <row r="153" spans="1:31" x14ac:dyDescent="0.25">
      <c r="A153" s="116" t="s">
        <v>1516</v>
      </c>
      <c r="B153" s="116" t="s">
        <v>204</v>
      </c>
      <c r="C153" s="116" t="s">
        <v>2265</v>
      </c>
      <c r="D153" s="117">
        <v>1608</v>
      </c>
      <c r="E153" s="117">
        <v>50</v>
      </c>
      <c r="F153" s="116">
        <v>36</v>
      </c>
      <c r="G153" s="116">
        <v>127</v>
      </c>
      <c r="H153" s="116">
        <v>281</v>
      </c>
      <c r="I153" s="116">
        <v>840</v>
      </c>
      <c r="J153" s="116">
        <v>2351</v>
      </c>
      <c r="K153" s="119">
        <v>828.22</v>
      </c>
      <c r="L153" s="120">
        <v>711.55</v>
      </c>
      <c r="M153" s="121">
        <f t="shared" si="2"/>
        <v>130.42834645669294</v>
      </c>
      <c r="N153" s="121"/>
      <c r="O153" s="142"/>
      <c r="P153" s="117">
        <v>126353.78</v>
      </c>
      <c r="Q153" s="116">
        <v>20</v>
      </c>
      <c r="R153" s="116">
        <f>47700+4000+11200</f>
        <v>62900</v>
      </c>
      <c r="S153" s="116"/>
      <c r="T153" s="117"/>
      <c r="U153" s="116">
        <v>1922</v>
      </c>
      <c r="V153" s="117"/>
      <c r="W153" s="117"/>
      <c r="X153" s="4" t="s">
        <v>1973</v>
      </c>
      <c r="Y153" s="4" t="s">
        <v>559</v>
      </c>
      <c r="Z153" s="4" t="s">
        <v>561</v>
      </c>
      <c r="AA153" s="4" t="s">
        <v>562</v>
      </c>
      <c r="AB153" s="27"/>
      <c r="AC153" s="27"/>
      <c r="AD153" s="27"/>
      <c r="AE153" s="27"/>
    </row>
    <row r="154" spans="1:31" x14ac:dyDescent="0.25">
      <c r="A154" s="116" t="s">
        <v>1520</v>
      </c>
      <c r="B154" s="116" t="s">
        <v>204</v>
      </c>
      <c r="C154" s="116" t="s">
        <v>38</v>
      </c>
      <c r="D154" s="117">
        <v>2330</v>
      </c>
      <c r="E154" s="117">
        <v>95</v>
      </c>
      <c r="F154" s="116">
        <v>64</v>
      </c>
      <c r="G154" s="116">
        <v>163</v>
      </c>
      <c r="H154" s="118">
        <v>2358</v>
      </c>
      <c r="I154" s="118">
        <v>3544</v>
      </c>
      <c r="J154" s="118">
        <v>3608</v>
      </c>
      <c r="K154" s="119">
        <v>672.91</v>
      </c>
      <c r="L154" s="120">
        <v>607.45000000000005</v>
      </c>
      <c r="M154" s="121">
        <f t="shared" si="2"/>
        <v>82.565644171779127</v>
      </c>
      <c r="N154" s="121"/>
      <c r="O154" s="142"/>
      <c r="P154" s="117">
        <v>88945.25</v>
      </c>
      <c r="Q154" s="116">
        <v>21</v>
      </c>
      <c r="R154" s="116">
        <f>62500+8600+4800+870+22793+2800</f>
        <v>102363</v>
      </c>
      <c r="S154" s="116"/>
      <c r="T154" s="117"/>
      <c r="U154" s="116">
        <v>1922</v>
      </c>
      <c r="V154" s="117"/>
      <c r="W154" s="117"/>
      <c r="X154" s="4" t="s">
        <v>1973</v>
      </c>
      <c r="Y154" s="4" t="s">
        <v>559</v>
      </c>
      <c r="Z154" s="4" t="s">
        <v>561</v>
      </c>
      <c r="AA154" s="4" t="s">
        <v>562</v>
      </c>
      <c r="AB154" s="27"/>
      <c r="AC154" s="27"/>
      <c r="AD154" s="27"/>
      <c r="AE154" s="27"/>
    </row>
    <row r="155" spans="1:31" x14ac:dyDescent="0.25">
      <c r="A155" s="116" t="s">
        <v>1521</v>
      </c>
      <c r="B155" s="116" t="s">
        <v>204</v>
      </c>
      <c r="C155" s="116" t="s">
        <v>40</v>
      </c>
      <c r="D155" s="117">
        <v>2580</v>
      </c>
      <c r="E155" s="117">
        <v>83</v>
      </c>
      <c r="F155" s="116">
        <v>58</v>
      </c>
      <c r="G155" s="116">
        <v>134</v>
      </c>
      <c r="H155" s="118">
        <v>2375</v>
      </c>
      <c r="I155" s="118">
        <v>3548</v>
      </c>
      <c r="J155" s="118">
        <v>3497</v>
      </c>
      <c r="K155" s="119">
        <v>654.62</v>
      </c>
      <c r="L155" s="120">
        <v>590.89</v>
      </c>
      <c r="M155" s="121">
        <f t="shared" si="2"/>
        <v>97.704477611940291</v>
      </c>
      <c r="N155" s="121"/>
      <c r="O155" s="142"/>
      <c r="P155" s="117">
        <v>74675.350000000006</v>
      </c>
      <c r="Q155" s="116">
        <v>45</v>
      </c>
      <c r="R155" s="116">
        <f>15100+16800+600+500+4310+3877</f>
        <v>41187</v>
      </c>
      <c r="S155" s="116"/>
      <c r="T155" s="117"/>
      <c r="U155" s="116">
        <v>1922</v>
      </c>
      <c r="V155" s="117"/>
      <c r="W155" s="117"/>
      <c r="X155" s="4" t="s">
        <v>1973</v>
      </c>
      <c r="Y155" s="4" t="s">
        <v>559</v>
      </c>
      <c r="Z155" s="4" t="s">
        <v>561</v>
      </c>
      <c r="AA155" s="4" t="s">
        <v>562</v>
      </c>
      <c r="AB155" s="27"/>
      <c r="AC155" s="27"/>
      <c r="AD155" s="27"/>
      <c r="AE155" s="27"/>
    </row>
    <row r="156" spans="1:31" x14ac:dyDescent="0.25">
      <c r="A156" s="116" t="s">
        <v>1522</v>
      </c>
      <c r="B156" s="116" t="s">
        <v>204</v>
      </c>
      <c r="C156" s="116" t="s">
        <v>142</v>
      </c>
      <c r="D156" s="117">
        <v>424</v>
      </c>
      <c r="E156" s="117">
        <v>15</v>
      </c>
      <c r="F156" s="116">
        <v>8</v>
      </c>
      <c r="G156" s="116">
        <v>113</v>
      </c>
      <c r="H156" s="116">
        <v>148</v>
      </c>
      <c r="I156" s="116">
        <v>376</v>
      </c>
      <c r="J156" s="116">
        <v>459</v>
      </c>
      <c r="K156" s="119">
        <v>754</v>
      </c>
      <c r="L156" s="120">
        <v>558.75</v>
      </c>
      <c r="M156" s="121">
        <f t="shared" si="2"/>
        <v>133.45132743362831</v>
      </c>
      <c r="N156" s="121"/>
      <c r="O156" s="142"/>
      <c r="P156" s="117">
        <v>23434.05</v>
      </c>
      <c r="Q156" s="116">
        <v>6</v>
      </c>
      <c r="R156" s="116">
        <f>6300+600+1000</f>
        <v>7900</v>
      </c>
      <c r="S156" s="116"/>
      <c r="T156" s="117"/>
      <c r="U156" s="116">
        <v>1922</v>
      </c>
      <c r="V156" s="117"/>
      <c r="W156" s="117"/>
      <c r="X156" s="4" t="s">
        <v>1973</v>
      </c>
      <c r="Y156" s="4" t="s">
        <v>559</v>
      </c>
      <c r="Z156" s="4" t="s">
        <v>561</v>
      </c>
      <c r="AA156" s="4" t="s">
        <v>562</v>
      </c>
      <c r="AB156" s="27"/>
      <c r="AC156" s="27"/>
      <c r="AD156" s="27"/>
      <c r="AE156" s="27"/>
    </row>
    <row r="157" spans="1:31" x14ac:dyDescent="0.25">
      <c r="A157" s="116" t="s">
        <v>1523</v>
      </c>
      <c r="B157" s="116" t="s">
        <v>204</v>
      </c>
      <c r="C157" s="116" t="s">
        <v>143</v>
      </c>
      <c r="D157" s="117">
        <v>941</v>
      </c>
      <c r="E157" s="117">
        <v>56</v>
      </c>
      <c r="F157" s="116">
        <v>42</v>
      </c>
      <c r="G157" s="116">
        <v>140</v>
      </c>
      <c r="H157" s="116">
        <v>883</v>
      </c>
      <c r="I157" s="116">
        <v>1357</v>
      </c>
      <c r="J157" s="116">
        <v>1344</v>
      </c>
      <c r="K157" s="119">
        <v>688.22</v>
      </c>
      <c r="L157" s="120">
        <v>561.02</v>
      </c>
      <c r="M157" s="121">
        <f t="shared" si="2"/>
        <v>98.317142857142855</v>
      </c>
      <c r="N157" s="121"/>
      <c r="O157" s="142"/>
      <c r="P157" s="117">
        <v>42728.51</v>
      </c>
      <c r="Q157" s="116">
        <v>20</v>
      </c>
      <c r="R157" s="116">
        <f>32775+2980+5095</f>
        <v>40850</v>
      </c>
      <c r="S157" s="116"/>
      <c r="T157" s="117"/>
      <c r="U157" s="116">
        <v>1922</v>
      </c>
      <c r="V157" s="117"/>
      <c r="W157" s="117"/>
      <c r="X157" s="4" t="s">
        <v>1973</v>
      </c>
      <c r="Y157" s="4" t="s">
        <v>559</v>
      </c>
      <c r="Z157" s="4" t="s">
        <v>561</v>
      </c>
      <c r="AA157" s="4" t="s">
        <v>562</v>
      </c>
      <c r="AB157" s="27"/>
      <c r="AC157" s="27"/>
      <c r="AD157" s="27"/>
      <c r="AE157" s="27"/>
    </row>
    <row r="158" spans="1:31" x14ac:dyDescent="0.25">
      <c r="A158" s="116" t="s">
        <v>1524</v>
      </c>
      <c r="B158" s="116" t="s">
        <v>204</v>
      </c>
      <c r="C158" s="116" t="s">
        <v>2266</v>
      </c>
      <c r="D158" s="117">
        <v>2496</v>
      </c>
      <c r="E158" s="117">
        <v>168</v>
      </c>
      <c r="F158" s="116">
        <v>111</v>
      </c>
      <c r="G158" s="116">
        <v>153</v>
      </c>
      <c r="H158" s="118">
        <v>1845</v>
      </c>
      <c r="I158" s="118">
        <v>3807</v>
      </c>
      <c r="J158" s="118">
        <v>3784</v>
      </c>
      <c r="K158" s="119">
        <v>771.29</v>
      </c>
      <c r="L158" s="120">
        <v>425.04</v>
      </c>
      <c r="M158" s="121">
        <f t="shared" si="2"/>
        <v>100.82222222222221</v>
      </c>
      <c r="N158" s="121"/>
      <c r="O158" s="142"/>
      <c r="P158" s="117">
        <v>170028.53</v>
      </c>
      <c r="Q158" s="116">
        <v>46</v>
      </c>
      <c r="R158" s="116">
        <f>65930+13330+4655+1025+7803+1600</f>
        <v>94343</v>
      </c>
      <c r="S158" s="116"/>
      <c r="T158" s="117"/>
      <c r="U158" s="116">
        <v>1922</v>
      </c>
      <c r="V158" s="117"/>
      <c r="W158" s="117"/>
      <c r="X158" s="4" t="s">
        <v>1973</v>
      </c>
      <c r="Y158" s="4" t="s">
        <v>559</v>
      </c>
      <c r="Z158" s="4" t="s">
        <v>561</v>
      </c>
      <c r="AA158" s="4" t="s">
        <v>562</v>
      </c>
      <c r="AB158" s="27"/>
      <c r="AC158" s="27"/>
      <c r="AD158" s="27"/>
      <c r="AE158" s="27"/>
    </row>
    <row r="159" spans="1:31" x14ac:dyDescent="0.25">
      <c r="A159" s="116" t="s">
        <v>1525</v>
      </c>
      <c r="B159" s="116" t="s">
        <v>204</v>
      </c>
      <c r="C159" s="116" t="s">
        <v>2267</v>
      </c>
      <c r="D159" s="117">
        <v>926</v>
      </c>
      <c r="E159" s="117">
        <v>29</v>
      </c>
      <c r="F159" s="116">
        <v>3</v>
      </c>
      <c r="G159" s="116">
        <v>132</v>
      </c>
      <c r="H159" s="116">
        <v>70</v>
      </c>
      <c r="I159" s="116">
        <v>1395</v>
      </c>
      <c r="J159" s="116">
        <v>1325</v>
      </c>
      <c r="K159" s="119">
        <v>1124.96</v>
      </c>
      <c r="L159" s="120">
        <v>556.66</v>
      </c>
      <c r="M159" s="121">
        <f t="shared" si="2"/>
        <v>170.44848484848487</v>
      </c>
      <c r="N159" s="121"/>
      <c r="O159" s="142"/>
      <c r="P159" s="117">
        <v>40283.46</v>
      </c>
      <c r="Q159" s="116">
        <v>3</v>
      </c>
      <c r="R159" s="116"/>
      <c r="S159" s="116"/>
      <c r="T159" s="117"/>
      <c r="U159" s="116">
        <v>1922</v>
      </c>
      <c r="V159" s="117"/>
      <c r="W159" s="117"/>
      <c r="X159" s="4" t="s">
        <v>1973</v>
      </c>
      <c r="Y159" s="4" t="s">
        <v>559</v>
      </c>
      <c r="Z159" s="4" t="s">
        <v>561</v>
      </c>
      <c r="AA159" s="4" t="s">
        <v>562</v>
      </c>
      <c r="AB159" s="27"/>
      <c r="AC159" s="27"/>
      <c r="AD159" s="27"/>
      <c r="AE159" s="27"/>
    </row>
    <row r="160" spans="1:31" x14ac:dyDescent="0.25">
      <c r="A160" s="116" t="s">
        <v>1517</v>
      </c>
      <c r="B160" s="116" t="s">
        <v>204</v>
      </c>
      <c r="C160" s="116" t="s">
        <v>2268</v>
      </c>
      <c r="D160" s="117">
        <v>2498</v>
      </c>
      <c r="E160" s="117">
        <v>105</v>
      </c>
      <c r="F160" s="116">
        <v>83</v>
      </c>
      <c r="G160" s="116">
        <v>134</v>
      </c>
      <c r="H160" s="116">
        <v>2459</v>
      </c>
      <c r="I160" s="116">
        <v>3218</v>
      </c>
      <c r="J160" s="116">
        <v>3262</v>
      </c>
      <c r="K160" s="119">
        <v>777.07</v>
      </c>
      <c r="L160" s="120">
        <v>750.75</v>
      </c>
      <c r="M160" s="121">
        <f t="shared" si="2"/>
        <v>115.98059701492538</v>
      </c>
      <c r="N160" s="121"/>
      <c r="O160" s="142"/>
      <c r="P160" s="117">
        <v>138993.95000000001</v>
      </c>
      <c r="Q160" s="116">
        <v>36</v>
      </c>
      <c r="R160" s="116">
        <f>129500+8960+257410</f>
        <v>395870</v>
      </c>
      <c r="S160" s="116"/>
      <c r="T160" s="117"/>
      <c r="U160" s="116">
        <v>1922</v>
      </c>
      <c r="V160" s="117"/>
      <c r="W160" s="117"/>
      <c r="X160" s="4" t="s">
        <v>1973</v>
      </c>
      <c r="Y160" s="4" t="s">
        <v>559</v>
      </c>
      <c r="Z160" s="4" t="s">
        <v>561</v>
      </c>
      <c r="AA160" s="4" t="s">
        <v>562</v>
      </c>
      <c r="AB160" s="27"/>
      <c r="AC160" s="27"/>
      <c r="AD160" s="27"/>
      <c r="AE160" s="27"/>
    </row>
    <row r="161" spans="1:31" x14ac:dyDescent="0.25">
      <c r="A161" s="116" t="s">
        <v>1518</v>
      </c>
      <c r="B161" s="116" t="s">
        <v>204</v>
      </c>
      <c r="C161" s="116" t="s">
        <v>2269</v>
      </c>
      <c r="D161" s="117">
        <v>15484</v>
      </c>
      <c r="E161" s="117">
        <v>613</v>
      </c>
      <c r="F161" s="116">
        <v>184</v>
      </c>
      <c r="G161" s="116">
        <v>144</v>
      </c>
      <c r="H161" s="118">
        <v>6687</v>
      </c>
      <c r="I161" s="118">
        <v>22237</v>
      </c>
      <c r="J161" s="118">
        <f>6469+250+131+231+295+308+194+241+147+360+1158+732+446+178+313+141+10340</f>
        <v>21934</v>
      </c>
      <c r="K161" s="119">
        <v>996.76</v>
      </c>
      <c r="L161" s="120">
        <v>588.1</v>
      </c>
      <c r="M161" s="121">
        <f t="shared" si="2"/>
        <v>138.4388888888889</v>
      </c>
      <c r="N161" s="121"/>
      <c r="O161" s="142"/>
      <c r="P161" s="117">
        <v>838173.63</v>
      </c>
      <c r="Q161" s="116">
        <v>93</v>
      </c>
      <c r="R161" s="116">
        <f>225800+15975+26500+2945+25549+2935</f>
        <v>299704</v>
      </c>
      <c r="S161" s="116"/>
      <c r="T161" s="117"/>
      <c r="U161" s="116">
        <v>1922</v>
      </c>
      <c r="V161" s="117"/>
      <c r="W161" s="117"/>
      <c r="X161" s="4" t="s">
        <v>1973</v>
      </c>
      <c r="Y161" s="4" t="s">
        <v>559</v>
      </c>
      <c r="Z161" s="4" t="s">
        <v>561</v>
      </c>
      <c r="AA161" s="4" t="s">
        <v>562</v>
      </c>
      <c r="AB161" s="27"/>
      <c r="AC161" s="27"/>
      <c r="AD161" s="27"/>
      <c r="AE161" s="27"/>
    </row>
    <row r="162" spans="1:31" x14ac:dyDescent="0.25">
      <c r="A162" s="116" t="s">
        <v>1519</v>
      </c>
      <c r="B162" s="116" t="s">
        <v>204</v>
      </c>
      <c r="C162" s="116" t="s">
        <v>2270</v>
      </c>
      <c r="D162" s="117">
        <v>98</v>
      </c>
      <c r="E162" s="117">
        <v>8</v>
      </c>
      <c r="F162" s="116">
        <v>3</v>
      </c>
      <c r="G162" s="116">
        <v>160</v>
      </c>
      <c r="H162" s="116">
        <v>50</v>
      </c>
      <c r="I162" s="116">
        <v>125</v>
      </c>
      <c r="J162" s="116">
        <v>136</v>
      </c>
      <c r="K162" s="119">
        <v>678.75</v>
      </c>
      <c r="L162" s="120">
        <v>756.66</v>
      </c>
      <c r="M162" s="121">
        <f t="shared" si="2"/>
        <v>84.84375</v>
      </c>
      <c r="N162" s="121"/>
      <c r="O162" s="142"/>
      <c r="P162" s="117">
        <v>17150.66</v>
      </c>
      <c r="Q162" s="116">
        <v>3</v>
      </c>
      <c r="R162" s="116">
        <f>7000+500+792</f>
        <v>8292</v>
      </c>
      <c r="S162" s="116"/>
      <c r="T162" s="117"/>
      <c r="U162" s="116">
        <v>1922</v>
      </c>
      <c r="V162" s="117"/>
      <c r="W162" s="117"/>
      <c r="X162" s="4" t="s">
        <v>1973</v>
      </c>
      <c r="Y162" s="4" t="s">
        <v>559</v>
      </c>
      <c r="Z162" s="4" t="s">
        <v>561</v>
      </c>
      <c r="AA162" s="4" t="s">
        <v>562</v>
      </c>
      <c r="AB162" s="27"/>
      <c r="AC162" s="27"/>
      <c r="AD162" s="27"/>
      <c r="AE162" s="27"/>
    </row>
    <row r="163" spans="1:31" x14ac:dyDescent="0.25">
      <c r="A163" s="116" t="s">
        <v>1526</v>
      </c>
      <c r="B163" s="116" t="s">
        <v>204</v>
      </c>
      <c r="C163" s="116" t="s">
        <v>2271</v>
      </c>
      <c r="D163" s="117">
        <v>1540</v>
      </c>
      <c r="E163" s="117">
        <v>90</v>
      </c>
      <c r="F163" s="116">
        <v>57</v>
      </c>
      <c r="G163" s="117">
        <v>158</v>
      </c>
      <c r="H163" s="116">
        <v>1149</v>
      </c>
      <c r="I163" s="116">
        <v>2059</v>
      </c>
      <c r="J163" s="116">
        <v>2152</v>
      </c>
      <c r="K163" s="119">
        <v>393.42</v>
      </c>
      <c r="L163" s="120">
        <v>661.8</v>
      </c>
      <c r="M163" s="121">
        <f t="shared" si="2"/>
        <v>49.8</v>
      </c>
      <c r="N163" s="121"/>
      <c r="O163" s="142"/>
      <c r="P163" s="117">
        <v>94852.86</v>
      </c>
      <c r="Q163" s="116">
        <v>33</v>
      </c>
      <c r="R163" s="116">
        <f>126150+900+5200+100+8000+150</f>
        <v>140500</v>
      </c>
      <c r="S163" s="116"/>
      <c r="T163" s="117"/>
      <c r="U163" s="116">
        <v>1922</v>
      </c>
      <c r="V163" s="117"/>
      <c r="W163" s="117"/>
      <c r="X163" s="4" t="s">
        <v>1970</v>
      </c>
      <c r="Y163" s="4" t="s">
        <v>563</v>
      </c>
      <c r="Z163" s="4" t="s">
        <v>561</v>
      </c>
      <c r="AA163" s="4" t="s">
        <v>562</v>
      </c>
      <c r="AB163" s="27"/>
      <c r="AC163" s="27"/>
      <c r="AD163" s="27"/>
      <c r="AE163" s="27"/>
    </row>
    <row r="164" spans="1:31" x14ac:dyDescent="0.25">
      <c r="A164" s="116" t="s">
        <v>1527</v>
      </c>
      <c r="B164" s="116" t="s">
        <v>204</v>
      </c>
      <c r="C164" s="116" t="s">
        <v>2272</v>
      </c>
      <c r="D164" s="117">
        <v>292</v>
      </c>
      <c r="E164" s="117">
        <v>28</v>
      </c>
      <c r="F164" s="116">
        <v>16</v>
      </c>
      <c r="G164" s="116">
        <v>135</v>
      </c>
      <c r="H164" s="116">
        <v>415</v>
      </c>
      <c r="I164" s="116">
        <v>747</v>
      </c>
      <c r="J164" s="116">
        <v>995</v>
      </c>
      <c r="K164" s="119">
        <v>697.57</v>
      </c>
      <c r="L164" s="120">
        <v>616.37</v>
      </c>
      <c r="M164" s="121">
        <f t="shared" si="2"/>
        <v>103.34370370370371</v>
      </c>
      <c r="N164" s="121"/>
      <c r="O164" s="142"/>
      <c r="P164" s="117">
        <v>30325.78</v>
      </c>
      <c r="Q164" s="116">
        <v>12</v>
      </c>
      <c r="R164" s="116">
        <f>35625+4450+4810</f>
        <v>44885</v>
      </c>
      <c r="S164" s="116"/>
      <c r="T164" s="117"/>
      <c r="U164" s="116">
        <v>1922</v>
      </c>
      <c r="V164" s="117"/>
      <c r="W164" s="117"/>
      <c r="X164" s="4" t="s">
        <v>1970</v>
      </c>
      <c r="Y164" s="4" t="s">
        <v>563</v>
      </c>
      <c r="Z164" s="4" t="s">
        <v>561</v>
      </c>
      <c r="AA164" s="4" t="s">
        <v>562</v>
      </c>
      <c r="AB164" s="27"/>
      <c r="AC164" s="27"/>
      <c r="AD164" s="27"/>
      <c r="AE164" s="27"/>
    </row>
    <row r="165" spans="1:31" x14ac:dyDescent="0.25">
      <c r="A165" s="116" t="s">
        <v>1528</v>
      </c>
      <c r="B165" s="116" t="s">
        <v>204</v>
      </c>
      <c r="C165" s="116" t="s">
        <v>2273</v>
      </c>
      <c r="D165" s="117">
        <v>577</v>
      </c>
      <c r="E165" s="117">
        <v>22</v>
      </c>
      <c r="F165" s="116">
        <v>5</v>
      </c>
      <c r="G165" s="116">
        <v>143</v>
      </c>
      <c r="H165" s="116">
        <v>89</v>
      </c>
      <c r="I165" s="116">
        <v>726</v>
      </c>
      <c r="J165" s="116">
        <v>686</v>
      </c>
      <c r="K165" s="119">
        <v>1000.95</v>
      </c>
      <c r="L165" s="120">
        <v>647.20000000000005</v>
      </c>
      <c r="M165" s="121">
        <f t="shared" si="2"/>
        <v>139.99300699300699</v>
      </c>
      <c r="N165" s="121"/>
      <c r="O165" s="142"/>
      <c r="P165" s="117">
        <v>34903.410000000003</v>
      </c>
      <c r="Q165" s="116">
        <v>5</v>
      </c>
      <c r="R165" s="116">
        <f>5000+500+1000</f>
        <v>6500</v>
      </c>
      <c r="S165" s="116"/>
      <c r="T165" s="117"/>
      <c r="U165" s="116">
        <v>1922</v>
      </c>
      <c r="V165" s="117"/>
      <c r="W165" s="117"/>
      <c r="X165" s="4" t="s">
        <v>1970</v>
      </c>
      <c r="Y165" s="4" t="s">
        <v>563</v>
      </c>
      <c r="Z165" s="4" t="s">
        <v>561</v>
      </c>
      <c r="AA165" s="4" t="s">
        <v>562</v>
      </c>
      <c r="AB165" s="27"/>
      <c r="AC165" s="27"/>
      <c r="AD165" s="27"/>
      <c r="AE165" s="27"/>
    </row>
    <row r="166" spans="1:31" x14ac:dyDescent="0.25">
      <c r="A166" s="116" t="s">
        <v>1529</v>
      </c>
      <c r="B166" s="116" t="s">
        <v>204</v>
      </c>
      <c r="C166" s="116" t="s">
        <v>2274</v>
      </c>
      <c r="D166" s="117">
        <v>6681</v>
      </c>
      <c r="E166" s="117">
        <v>285</v>
      </c>
      <c r="F166" s="116">
        <v>196</v>
      </c>
      <c r="G166" s="116">
        <v>132</v>
      </c>
      <c r="H166" s="118">
        <v>6720</v>
      </c>
      <c r="I166" s="118">
        <v>10185</v>
      </c>
      <c r="J166" s="118">
        <v>10524</v>
      </c>
      <c r="K166" s="119">
        <v>770.17</v>
      </c>
      <c r="L166" s="120">
        <v>740.54</v>
      </c>
      <c r="M166" s="121">
        <f t="shared" si="2"/>
        <v>116.69242424242424</v>
      </c>
      <c r="N166" s="121"/>
      <c r="O166" s="142"/>
      <c r="P166" s="117">
        <v>272531.06</v>
      </c>
      <c r="Q166" s="116">
        <v>100</v>
      </c>
      <c r="R166" s="116">
        <f>37455+14680+14000+3200+226671.5+2242.5</f>
        <v>298249</v>
      </c>
      <c r="S166" s="116"/>
      <c r="T166" s="117"/>
      <c r="U166" s="116">
        <v>1922</v>
      </c>
      <c r="V166" s="117"/>
      <c r="W166" s="117"/>
      <c r="X166" s="4" t="s">
        <v>1970</v>
      </c>
      <c r="Y166" s="4" t="s">
        <v>563</v>
      </c>
      <c r="Z166" s="4" t="s">
        <v>561</v>
      </c>
      <c r="AA166" s="4" t="s">
        <v>562</v>
      </c>
      <c r="AB166" s="27"/>
      <c r="AC166" s="27"/>
      <c r="AD166" s="27"/>
      <c r="AE166" s="27"/>
    </row>
    <row r="167" spans="1:31" x14ac:dyDescent="0.25">
      <c r="A167" s="116" t="s">
        <v>1530</v>
      </c>
      <c r="B167" s="116" t="s">
        <v>204</v>
      </c>
      <c r="C167" s="116" t="s">
        <v>2275</v>
      </c>
      <c r="D167" s="117">
        <v>699</v>
      </c>
      <c r="E167" s="117">
        <v>74</v>
      </c>
      <c r="F167" s="116">
        <v>54</v>
      </c>
      <c r="G167" s="116">
        <v>116</v>
      </c>
      <c r="H167" s="116">
        <v>1268</v>
      </c>
      <c r="I167" s="116">
        <v>2104</v>
      </c>
      <c r="J167" s="116">
        <v>2415</v>
      </c>
      <c r="K167" s="119">
        <v>711.86</v>
      </c>
      <c r="L167" s="120">
        <v>686.07</v>
      </c>
      <c r="M167" s="121">
        <f t="shared" si="2"/>
        <v>122.7344827586207</v>
      </c>
      <c r="N167" s="121"/>
      <c r="O167" s="142"/>
      <c r="P167" s="117">
        <v>76765.05</v>
      </c>
      <c r="Q167" s="116">
        <v>36</v>
      </c>
      <c r="R167" s="116">
        <f>63950+3840+9770</f>
        <v>77560</v>
      </c>
      <c r="S167" s="116"/>
      <c r="T167" s="117"/>
      <c r="U167" s="116">
        <v>1922</v>
      </c>
      <c r="V167" s="117"/>
      <c r="W167" s="117"/>
      <c r="X167" s="4" t="s">
        <v>1970</v>
      </c>
      <c r="Y167" s="4" t="s">
        <v>563</v>
      </c>
      <c r="Z167" s="4" t="s">
        <v>561</v>
      </c>
      <c r="AA167" s="4" t="s">
        <v>562</v>
      </c>
      <c r="AB167" s="27"/>
      <c r="AC167" s="27"/>
      <c r="AD167" s="27"/>
      <c r="AE167" s="27"/>
    </row>
    <row r="168" spans="1:31" x14ac:dyDescent="0.25">
      <c r="A168" s="116" t="s">
        <v>1531</v>
      </c>
      <c r="B168" s="116" t="s">
        <v>204</v>
      </c>
      <c r="C168" s="116" t="s">
        <v>106</v>
      </c>
      <c r="D168" s="117">
        <v>2039</v>
      </c>
      <c r="E168" s="117">
        <v>74</v>
      </c>
      <c r="F168" s="116">
        <v>48</v>
      </c>
      <c r="G168" s="116">
        <v>124</v>
      </c>
      <c r="H168" s="118">
        <v>1566</v>
      </c>
      <c r="I168" s="118">
        <v>2823</v>
      </c>
      <c r="J168" s="118">
        <v>2604</v>
      </c>
      <c r="K168" s="119">
        <v>831.96</v>
      </c>
      <c r="L168" s="120">
        <v>683.54</v>
      </c>
      <c r="M168" s="121">
        <f t="shared" si="2"/>
        <v>134.18709677419355</v>
      </c>
      <c r="N168" s="121"/>
      <c r="O168" s="142"/>
      <c r="P168" s="117">
        <v>120384.25</v>
      </c>
      <c r="Q168" s="116">
        <v>24</v>
      </c>
      <c r="R168" s="116">
        <f>48637.5+3580+8375</f>
        <v>60592.5</v>
      </c>
      <c r="S168" s="116"/>
      <c r="T168" s="117"/>
      <c r="U168" s="116">
        <v>1922</v>
      </c>
      <c r="V168" s="117"/>
      <c r="W168" s="117"/>
      <c r="X168" s="4" t="s">
        <v>1970</v>
      </c>
      <c r="Y168" s="4" t="s">
        <v>563</v>
      </c>
      <c r="Z168" s="4" t="s">
        <v>561</v>
      </c>
      <c r="AA168" s="4" t="s">
        <v>562</v>
      </c>
      <c r="AB168" s="27"/>
      <c r="AC168" s="27"/>
      <c r="AD168" s="27"/>
      <c r="AE168" s="27"/>
    </row>
    <row r="169" spans="1:31" x14ac:dyDescent="0.25">
      <c r="A169" s="116" t="s">
        <v>1532</v>
      </c>
      <c r="B169" s="116" t="s">
        <v>204</v>
      </c>
      <c r="C169" s="116" t="s">
        <v>2276</v>
      </c>
      <c r="D169" s="117">
        <v>4158</v>
      </c>
      <c r="E169" s="117">
        <v>247</v>
      </c>
      <c r="F169" s="116">
        <v>182</v>
      </c>
      <c r="G169" s="116">
        <v>110</v>
      </c>
      <c r="H169" s="118">
        <v>3619</v>
      </c>
      <c r="I169" s="118">
        <v>6606</v>
      </c>
      <c r="J169" s="118">
        <v>6245</v>
      </c>
      <c r="K169" s="119">
        <v>603.94000000000005</v>
      </c>
      <c r="L169" s="120">
        <v>459.12</v>
      </c>
      <c r="M169" s="121">
        <f t="shared" si="2"/>
        <v>109.80727272727273</v>
      </c>
      <c r="N169" s="121"/>
      <c r="O169" s="142"/>
      <c r="P169" s="117">
        <v>200000.84</v>
      </c>
      <c r="Q169" s="116">
        <v>57</v>
      </c>
      <c r="R169" s="116">
        <f>150000+7500+40000</f>
        <v>197500</v>
      </c>
      <c r="S169" s="116"/>
      <c r="T169" s="117"/>
      <c r="U169" s="116">
        <v>1922</v>
      </c>
      <c r="V169" s="117"/>
      <c r="W169" s="117"/>
      <c r="X169" s="4" t="s">
        <v>1970</v>
      </c>
      <c r="Y169" s="4" t="s">
        <v>563</v>
      </c>
      <c r="Z169" s="4" t="s">
        <v>561</v>
      </c>
      <c r="AA169" s="4" t="s">
        <v>562</v>
      </c>
      <c r="AB169" s="27"/>
      <c r="AC169" s="27"/>
      <c r="AD169" s="27"/>
      <c r="AE169" s="27"/>
    </row>
    <row r="170" spans="1:31" x14ac:dyDescent="0.25">
      <c r="A170" s="116" t="s">
        <v>1533</v>
      </c>
      <c r="B170" s="116" t="s">
        <v>204</v>
      </c>
      <c r="C170" s="116" t="s">
        <v>45</v>
      </c>
      <c r="D170" s="117">
        <v>4918</v>
      </c>
      <c r="E170" s="117">
        <v>151</v>
      </c>
      <c r="F170" s="116">
        <v>86</v>
      </c>
      <c r="G170" s="116">
        <v>141</v>
      </c>
      <c r="H170" s="118">
        <v>3632</v>
      </c>
      <c r="I170" s="118">
        <v>5836</v>
      </c>
      <c r="J170" s="118">
        <v>5100</v>
      </c>
      <c r="K170" s="119">
        <v>724.96</v>
      </c>
      <c r="L170" s="120">
        <v>626.45000000000005</v>
      </c>
      <c r="M170" s="121">
        <f t="shared" si="2"/>
        <v>102.83120567375887</v>
      </c>
      <c r="N170" s="121"/>
      <c r="O170" s="142"/>
      <c r="P170" s="117">
        <v>119352.34</v>
      </c>
      <c r="Q170" s="116">
        <v>53</v>
      </c>
      <c r="R170" s="116">
        <f>49930+6225+4800+590+10050+2146</f>
        <v>73741</v>
      </c>
      <c r="S170" s="116"/>
      <c r="T170" s="117"/>
      <c r="U170" s="116">
        <v>1922</v>
      </c>
      <c r="V170" s="117"/>
      <c r="W170" s="117"/>
      <c r="X170" s="4" t="s">
        <v>1970</v>
      </c>
      <c r="Y170" s="4" t="s">
        <v>563</v>
      </c>
      <c r="Z170" s="4" t="s">
        <v>561</v>
      </c>
      <c r="AA170" s="4" t="s">
        <v>562</v>
      </c>
      <c r="AB170" s="27"/>
      <c r="AC170" s="27"/>
      <c r="AD170" s="27"/>
      <c r="AE170" s="27"/>
    </row>
    <row r="171" spans="1:31" x14ac:dyDescent="0.25">
      <c r="A171" s="116" t="s">
        <v>1534</v>
      </c>
      <c r="B171" s="116" t="s">
        <v>204</v>
      </c>
      <c r="C171" s="116" t="s">
        <v>296</v>
      </c>
      <c r="D171" s="117">
        <v>48</v>
      </c>
      <c r="E171" s="117">
        <v>11</v>
      </c>
      <c r="F171" s="116">
        <v>11</v>
      </c>
      <c r="G171" s="116">
        <v>149</v>
      </c>
      <c r="H171" s="116">
        <v>122</v>
      </c>
      <c r="I171" s="116">
        <v>122</v>
      </c>
      <c r="J171" s="116">
        <v>135</v>
      </c>
      <c r="K171" s="119">
        <v>714.54</v>
      </c>
      <c r="L171" s="120">
        <v>714.54</v>
      </c>
      <c r="M171" s="121">
        <f t="shared" si="2"/>
        <v>95.911409395973152</v>
      </c>
      <c r="N171" s="121"/>
      <c r="O171" s="142"/>
      <c r="P171" s="117">
        <v>18584.87</v>
      </c>
      <c r="Q171" s="116">
        <v>7</v>
      </c>
      <c r="R171" s="116">
        <f>18000+500+4000</f>
        <v>22500</v>
      </c>
      <c r="S171" s="116"/>
      <c r="T171" s="117"/>
      <c r="U171" s="116">
        <v>1922</v>
      </c>
      <c r="V171" s="117"/>
      <c r="W171" s="117"/>
      <c r="X171" s="4" t="s">
        <v>1970</v>
      </c>
      <c r="Y171" s="4" t="s">
        <v>563</v>
      </c>
      <c r="Z171" s="4" t="s">
        <v>561</v>
      </c>
      <c r="AA171" s="4" t="s">
        <v>562</v>
      </c>
      <c r="AB171" s="27"/>
      <c r="AC171" s="27"/>
      <c r="AD171" s="27"/>
      <c r="AE171" s="27"/>
    </row>
    <row r="172" spans="1:31" x14ac:dyDescent="0.25">
      <c r="A172" s="116" t="s">
        <v>1535</v>
      </c>
      <c r="B172" s="116" t="s">
        <v>204</v>
      </c>
      <c r="C172" s="116" t="s">
        <v>2277</v>
      </c>
      <c r="D172" s="117">
        <v>2530</v>
      </c>
      <c r="E172" s="117">
        <v>80</v>
      </c>
      <c r="F172" s="116">
        <v>47</v>
      </c>
      <c r="G172" s="116">
        <v>119</v>
      </c>
      <c r="H172" s="118">
        <v>2019</v>
      </c>
      <c r="I172" s="118">
        <v>3504</v>
      </c>
      <c r="J172" s="118">
        <v>3191</v>
      </c>
      <c r="K172" s="119">
        <v>625.16</v>
      </c>
      <c r="L172" s="120">
        <v>564.95000000000005</v>
      </c>
      <c r="M172" s="121">
        <f t="shared" si="2"/>
        <v>105.06890756302521</v>
      </c>
      <c r="N172" s="121"/>
      <c r="O172" s="142"/>
      <c r="P172" s="117">
        <v>700222.31</v>
      </c>
      <c r="Q172" s="116">
        <v>26</v>
      </c>
      <c r="R172" s="116">
        <f>31500+9000+2500+1300+8500+1800</f>
        <v>54600</v>
      </c>
      <c r="S172" s="116"/>
      <c r="T172" s="117"/>
      <c r="U172" s="116">
        <v>1922</v>
      </c>
      <c r="V172" s="117"/>
      <c r="W172" s="117"/>
      <c r="X172" s="4" t="s">
        <v>1970</v>
      </c>
      <c r="Y172" s="4" t="s">
        <v>563</v>
      </c>
      <c r="Z172" s="4" t="s">
        <v>561</v>
      </c>
      <c r="AA172" s="4" t="s">
        <v>562</v>
      </c>
      <c r="AB172" s="27"/>
      <c r="AC172" s="27"/>
      <c r="AD172" s="27"/>
      <c r="AE172" s="27"/>
    </row>
    <row r="173" spans="1:31" x14ac:dyDescent="0.25">
      <c r="A173" s="116" t="s">
        <v>1536</v>
      </c>
      <c r="B173" s="116" t="s">
        <v>204</v>
      </c>
      <c r="C173" s="116" t="s">
        <v>2278</v>
      </c>
      <c r="D173" s="117">
        <v>867</v>
      </c>
      <c r="E173" s="117">
        <v>52</v>
      </c>
      <c r="F173" s="116">
        <v>39</v>
      </c>
      <c r="G173" s="116">
        <v>148</v>
      </c>
      <c r="H173" s="116">
        <v>1069</v>
      </c>
      <c r="I173" s="116">
        <v>1333</v>
      </c>
      <c r="J173" s="116">
        <v>1265</v>
      </c>
      <c r="K173" s="119">
        <v>807.06</v>
      </c>
      <c r="L173" s="120">
        <v>837.61</v>
      </c>
      <c r="M173" s="121">
        <f t="shared" si="2"/>
        <v>109.06216216216215</v>
      </c>
      <c r="N173" s="121"/>
      <c r="O173" s="142"/>
      <c r="P173" s="117">
        <v>43251.07</v>
      </c>
      <c r="Q173" s="116">
        <v>12</v>
      </c>
      <c r="R173" s="116">
        <f>88800+2740+9255</f>
        <v>100795</v>
      </c>
      <c r="S173" s="116"/>
      <c r="T173" s="117"/>
      <c r="U173" s="116">
        <v>1922</v>
      </c>
      <c r="V173" s="117"/>
      <c r="W173" s="117"/>
      <c r="X173" s="4" t="s">
        <v>1970</v>
      </c>
      <c r="Y173" s="4" t="s">
        <v>563</v>
      </c>
      <c r="Z173" s="4" t="s">
        <v>564</v>
      </c>
      <c r="AA173" s="4" t="s">
        <v>562</v>
      </c>
      <c r="AB173" s="27"/>
      <c r="AC173" s="27"/>
      <c r="AD173" s="27"/>
      <c r="AE173" s="27"/>
    </row>
    <row r="174" spans="1:31" x14ac:dyDescent="0.25">
      <c r="A174" s="116" t="s">
        <v>1537</v>
      </c>
      <c r="B174" s="116" t="s">
        <v>204</v>
      </c>
      <c r="C174" s="116" t="s">
        <v>2279</v>
      </c>
      <c r="D174" s="117">
        <v>7991</v>
      </c>
      <c r="E174" s="117">
        <v>245</v>
      </c>
      <c r="F174" s="116">
        <v>157</v>
      </c>
      <c r="G174" s="116">
        <v>125</v>
      </c>
      <c r="H174" s="118">
        <v>5682</v>
      </c>
      <c r="I174" s="118">
        <v>9215</v>
      </c>
      <c r="J174" s="118">
        <v>9174</v>
      </c>
      <c r="K174" s="119">
        <v>679.66</v>
      </c>
      <c r="L174" s="120">
        <v>561.98</v>
      </c>
      <c r="M174" s="121">
        <f t="shared" si="2"/>
        <v>108.7456</v>
      </c>
      <c r="N174" s="121"/>
      <c r="O174" s="142"/>
      <c r="P174" s="117">
        <v>233772.67</v>
      </c>
      <c r="Q174" s="116">
        <v>94</v>
      </c>
      <c r="R174" s="116"/>
      <c r="S174" s="116"/>
      <c r="T174" s="117"/>
      <c r="U174" s="116">
        <v>1922</v>
      </c>
      <c r="V174" s="117"/>
      <c r="W174" s="117"/>
      <c r="X174" s="4" t="s">
        <v>1970</v>
      </c>
      <c r="Y174" s="4" t="s">
        <v>563</v>
      </c>
      <c r="Z174" s="4" t="s">
        <v>564</v>
      </c>
      <c r="AA174" s="4" t="s">
        <v>562</v>
      </c>
      <c r="AB174" s="27"/>
      <c r="AC174" s="27"/>
      <c r="AD174" s="27"/>
      <c r="AE174" s="27"/>
    </row>
    <row r="175" spans="1:31" x14ac:dyDescent="0.25">
      <c r="A175" s="116" t="s">
        <v>1538</v>
      </c>
      <c r="B175" s="116" t="s">
        <v>204</v>
      </c>
      <c r="C175" s="116" t="s">
        <v>2280</v>
      </c>
      <c r="D175" s="117">
        <v>12484</v>
      </c>
      <c r="E175" s="117">
        <v>401</v>
      </c>
      <c r="F175" s="116">
        <v>226</v>
      </c>
      <c r="G175" s="116">
        <v>127</v>
      </c>
      <c r="H175" s="116">
        <v>9536</v>
      </c>
      <c r="I175" s="116">
        <v>15835</v>
      </c>
      <c r="J175" s="116">
        <f>9306+199+399+3073+339+859+395+212+523</f>
        <v>15305</v>
      </c>
      <c r="K175" s="119">
        <v>824.93</v>
      </c>
      <c r="L175" s="120">
        <v>673.84</v>
      </c>
      <c r="M175" s="121">
        <f t="shared" si="2"/>
        <v>129.91023622047243</v>
      </c>
      <c r="N175" s="121"/>
      <c r="O175" s="142"/>
      <c r="P175" s="117">
        <v>421534.55</v>
      </c>
      <c r="Q175" s="116">
        <v>109</v>
      </c>
      <c r="R175" s="116">
        <f>250100+12900+22500+1350+33487+1979</f>
        <v>322316</v>
      </c>
      <c r="S175" s="116"/>
      <c r="T175" s="117"/>
      <c r="U175" s="116">
        <v>1922</v>
      </c>
      <c r="V175" s="117"/>
      <c r="W175" s="117"/>
      <c r="X175" s="4" t="s">
        <v>1970</v>
      </c>
      <c r="Y175" s="4" t="s">
        <v>563</v>
      </c>
      <c r="Z175" s="4" t="s">
        <v>564</v>
      </c>
      <c r="AA175" s="4" t="s">
        <v>562</v>
      </c>
      <c r="AB175" s="27"/>
      <c r="AC175" s="27"/>
      <c r="AD175" s="27"/>
      <c r="AE175" s="27"/>
    </row>
    <row r="176" spans="1:31" x14ac:dyDescent="0.25">
      <c r="A176" s="116" t="s">
        <v>1539</v>
      </c>
      <c r="B176" s="116" t="s">
        <v>204</v>
      </c>
      <c r="C176" s="116" t="s">
        <v>2281</v>
      </c>
      <c r="D176" s="117">
        <v>1881</v>
      </c>
      <c r="E176" s="117">
        <v>91</v>
      </c>
      <c r="F176" s="116">
        <v>69</v>
      </c>
      <c r="G176" s="116">
        <v>133</v>
      </c>
      <c r="H176" s="118">
        <v>2184</v>
      </c>
      <c r="I176" s="118">
        <v>3069</v>
      </c>
      <c r="J176" s="118">
        <v>2910</v>
      </c>
      <c r="K176" s="119">
        <v>722.91</v>
      </c>
      <c r="L176" s="120">
        <v>692.97</v>
      </c>
      <c r="M176" s="121">
        <f t="shared" si="2"/>
        <v>108.70827067669173</v>
      </c>
      <c r="N176" s="121"/>
      <c r="O176" s="142"/>
      <c r="P176" s="117">
        <v>94369.26</v>
      </c>
      <c r="Q176" s="116">
        <v>45</v>
      </c>
      <c r="R176" s="116">
        <f>28000+6000+2800+1700+18000+2000</f>
        <v>58500</v>
      </c>
      <c r="S176" s="116"/>
      <c r="T176" s="117"/>
      <c r="U176" s="116">
        <v>1922</v>
      </c>
      <c r="V176" s="117"/>
      <c r="W176" s="117"/>
      <c r="X176" s="4" t="s">
        <v>1970</v>
      </c>
      <c r="Y176" s="4" t="s">
        <v>563</v>
      </c>
      <c r="Z176" s="4" t="s">
        <v>564</v>
      </c>
      <c r="AA176" s="4" t="s">
        <v>562</v>
      </c>
      <c r="AB176" s="27"/>
      <c r="AC176" s="27"/>
      <c r="AD176" s="27"/>
      <c r="AE176" s="27"/>
    </row>
    <row r="177" spans="1:31" x14ac:dyDescent="0.25">
      <c r="A177" s="116" t="s">
        <v>1540</v>
      </c>
      <c r="B177" s="116" t="s">
        <v>204</v>
      </c>
      <c r="C177" s="116" t="s">
        <v>2282</v>
      </c>
      <c r="D177" s="117">
        <v>2683</v>
      </c>
      <c r="E177" s="117">
        <v>95</v>
      </c>
      <c r="F177" s="116">
        <v>52</v>
      </c>
      <c r="G177" s="116">
        <v>124</v>
      </c>
      <c r="H177" s="116">
        <v>1795</v>
      </c>
      <c r="I177" s="116">
        <v>3636</v>
      </c>
      <c r="J177" s="116">
        <v>3685</v>
      </c>
      <c r="K177" s="119">
        <v>817.19</v>
      </c>
      <c r="L177" s="120">
        <v>721.75</v>
      </c>
      <c r="M177" s="121">
        <f t="shared" si="2"/>
        <v>131.80483870967743</v>
      </c>
      <c r="N177" s="121"/>
      <c r="O177" s="142"/>
      <c r="P177" s="117">
        <v>145452.76999999999</v>
      </c>
      <c r="Q177" s="116">
        <v>49</v>
      </c>
      <c r="R177" s="116">
        <f>70075+3790+10566</f>
        <v>84431</v>
      </c>
      <c r="S177" s="116"/>
      <c r="T177" s="117"/>
      <c r="U177" s="116">
        <v>1922</v>
      </c>
      <c r="V177" s="117"/>
      <c r="W177" s="117"/>
      <c r="X177" s="4" t="s">
        <v>1970</v>
      </c>
      <c r="Y177" s="4" t="s">
        <v>563</v>
      </c>
      <c r="Z177" s="4" t="s">
        <v>564</v>
      </c>
      <c r="AA177" s="4" t="s">
        <v>562</v>
      </c>
      <c r="AB177" s="27"/>
      <c r="AC177" s="27"/>
      <c r="AD177" s="27"/>
      <c r="AE177" s="27"/>
    </row>
    <row r="178" spans="1:31" x14ac:dyDescent="0.25">
      <c r="A178" s="116" t="s">
        <v>1541</v>
      </c>
      <c r="B178" s="116" t="s">
        <v>204</v>
      </c>
      <c r="C178" s="116" t="s">
        <v>2283</v>
      </c>
      <c r="D178" s="117">
        <v>3691</v>
      </c>
      <c r="E178" s="117">
        <v>158</v>
      </c>
      <c r="F178" s="116">
        <v>37</v>
      </c>
      <c r="G178" s="116">
        <v>153</v>
      </c>
      <c r="H178" s="118">
        <v>1054</v>
      </c>
      <c r="I178" s="118">
        <v>5430</v>
      </c>
      <c r="J178" s="118">
        <v>5498</v>
      </c>
      <c r="K178" s="119">
        <v>1045.9100000000001</v>
      </c>
      <c r="L178" s="120">
        <v>1066.33</v>
      </c>
      <c r="M178" s="121">
        <f t="shared" si="2"/>
        <v>136.7202614379085</v>
      </c>
      <c r="N178" s="121"/>
      <c r="O178" s="142"/>
      <c r="P178" s="117">
        <v>272162.17</v>
      </c>
      <c r="Q178" s="116">
        <v>22</v>
      </c>
      <c r="R178" s="116">
        <f>58550+5510+10737</f>
        <v>74797</v>
      </c>
      <c r="S178" s="116"/>
      <c r="T178" s="117"/>
      <c r="U178" s="116">
        <v>1922</v>
      </c>
      <c r="V178" s="117"/>
      <c r="W178" s="117"/>
      <c r="X178" s="4" t="s">
        <v>1970</v>
      </c>
      <c r="Y178" s="4" t="s">
        <v>563</v>
      </c>
      <c r="Z178" s="4" t="s">
        <v>564</v>
      </c>
      <c r="AA178" s="4" t="s">
        <v>562</v>
      </c>
      <c r="AB178" s="27"/>
      <c r="AC178" s="27"/>
      <c r="AD178" s="27"/>
      <c r="AE178" s="27"/>
    </row>
    <row r="179" spans="1:31" x14ac:dyDescent="0.25">
      <c r="A179" s="116" t="s">
        <v>1542</v>
      </c>
      <c r="B179" s="116" t="s">
        <v>204</v>
      </c>
      <c r="C179" s="116" t="s">
        <v>2284</v>
      </c>
      <c r="D179" s="117">
        <v>762</v>
      </c>
      <c r="E179" s="117">
        <v>34</v>
      </c>
      <c r="F179" s="116">
        <v>11</v>
      </c>
      <c r="G179" s="116">
        <v>155</v>
      </c>
      <c r="H179" s="116">
        <v>237</v>
      </c>
      <c r="I179" s="116">
        <v>879</v>
      </c>
      <c r="J179" s="116">
        <v>976</v>
      </c>
      <c r="K179" s="119">
        <v>1160.45</v>
      </c>
      <c r="L179" s="120">
        <v>944.65</v>
      </c>
      <c r="M179" s="121">
        <f t="shared" si="2"/>
        <v>149.73548387096776</v>
      </c>
      <c r="N179" s="121"/>
      <c r="O179" s="142"/>
      <c r="P179" s="117">
        <v>74121.710000000006</v>
      </c>
      <c r="Q179" s="116">
        <v>8</v>
      </c>
      <c r="R179" s="116">
        <f>11350+775+2570</f>
        <v>14695</v>
      </c>
      <c r="S179" s="116"/>
      <c r="T179" s="117"/>
      <c r="U179" s="116">
        <v>1922</v>
      </c>
      <c r="V179" s="117"/>
      <c r="W179" s="117"/>
      <c r="X179" s="4" t="s">
        <v>1970</v>
      </c>
      <c r="Y179" s="4" t="s">
        <v>563</v>
      </c>
      <c r="Z179" s="4" t="s">
        <v>564</v>
      </c>
      <c r="AA179" s="4" t="s">
        <v>562</v>
      </c>
      <c r="AB179" s="27"/>
      <c r="AC179" s="27"/>
      <c r="AD179" s="27"/>
      <c r="AE179" s="27"/>
    </row>
    <row r="180" spans="1:31" x14ac:dyDescent="0.25">
      <c r="A180" s="116" t="s">
        <v>1543</v>
      </c>
      <c r="B180" s="116" t="s">
        <v>204</v>
      </c>
      <c r="C180" s="116" t="s">
        <v>2285</v>
      </c>
      <c r="D180" s="117">
        <v>188</v>
      </c>
      <c r="E180" s="117">
        <v>15</v>
      </c>
      <c r="F180" s="116">
        <v>15</v>
      </c>
      <c r="G180" s="116">
        <v>180</v>
      </c>
      <c r="H180" s="116">
        <v>256</v>
      </c>
      <c r="I180" s="116">
        <v>256</v>
      </c>
      <c r="J180" s="116">
        <v>266</v>
      </c>
      <c r="K180" s="119">
        <v>847.46</v>
      </c>
      <c r="L180" s="120">
        <v>847.46</v>
      </c>
      <c r="M180" s="121">
        <f t="shared" si="2"/>
        <v>94.162222222222226</v>
      </c>
      <c r="N180" s="121"/>
      <c r="O180" s="142"/>
      <c r="P180" s="117">
        <v>25540.240000000002</v>
      </c>
      <c r="Q180" s="116">
        <v>5</v>
      </c>
      <c r="R180" s="116">
        <f>23000+1575+2950</f>
        <v>27525</v>
      </c>
      <c r="S180" s="116"/>
      <c r="T180" s="117"/>
      <c r="U180" s="116">
        <v>1922</v>
      </c>
      <c r="V180" s="117"/>
      <c r="W180" s="117"/>
      <c r="X180" s="4" t="s">
        <v>1970</v>
      </c>
      <c r="Y180" s="4" t="s">
        <v>563</v>
      </c>
      <c r="Z180" s="4" t="s">
        <v>564</v>
      </c>
      <c r="AA180" s="4" t="s">
        <v>562</v>
      </c>
      <c r="AB180" s="27"/>
      <c r="AC180" s="27"/>
      <c r="AD180" s="27"/>
      <c r="AE180" s="27"/>
    </row>
    <row r="181" spans="1:31" x14ac:dyDescent="0.25">
      <c r="A181" s="116" t="s">
        <v>1544</v>
      </c>
      <c r="B181" s="116" t="s">
        <v>204</v>
      </c>
      <c r="C181" s="116" t="s">
        <v>2286</v>
      </c>
      <c r="D181" s="117">
        <v>3082</v>
      </c>
      <c r="E181" s="117">
        <v>107</v>
      </c>
      <c r="F181" s="116">
        <v>21</v>
      </c>
      <c r="G181" s="116">
        <v>167</v>
      </c>
      <c r="H181" s="116">
        <v>621</v>
      </c>
      <c r="I181" s="116">
        <v>3816</v>
      </c>
      <c r="J181" s="116">
        <v>4091</v>
      </c>
      <c r="K181" s="119">
        <v>1023.88</v>
      </c>
      <c r="L181" s="120">
        <v>741.42</v>
      </c>
      <c r="M181" s="121">
        <f t="shared" si="2"/>
        <v>122.62035928143713</v>
      </c>
      <c r="N181" s="121"/>
      <c r="O181" s="142"/>
      <c r="P181" s="117">
        <v>162476.56</v>
      </c>
      <c r="Q181" s="116">
        <v>14</v>
      </c>
      <c r="R181" s="116">
        <f>32200+500+10200+150+8500+100</f>
        <v>51650</v>
      </c>
      <c r="S181" s="116"/>
      <c r="T181" s="117"/>
      <c r="U181" s="116">
        <v>1922</v>
      </c>
      <c r="V181" s="117"/>
      <c r="W181" s="117"/>
      <c r="X181" s="4" t="s">
        <v>1970</v>
      </c>
      <c r="Y181" s="4" t="s">
        <v>563</v>
      </c>
      <c r="Z181" s="4" t="s">
        <v>564</v>
      </c>
      <c r="AA181" s="4" t="s">
        <v>562</v>
      </c>
      <c r="AB181" s="27"/>
      <c r="AC181" s="27"/>
      <c r="AD181" s="27"/>
      <c r="AE181" s="27"/>
    </row>
    <row r="182" spans="1:31" x14ac:dyDescent="0.25">
      <c r="A182" s="116" t="s">
        <v>1545</v>
      </c>
      <c r="B182" s="116" t="s">
        <v>204</v>
      </c>
      <c r="C182" s="116" t="s">
        <v>2287</v>
      </c>
      <c r="D182" s="117">
        <v>3772</v>
      </c>
      <c r="E182" s="117">
        <v>97</v>
      </c>
      <c r="F182" s="116">
        <v>20</v>
      </c>
      <c r="G182" s="116">
        <v>134</v>
      </c>
      <c r="H182" s="118">
        <v>1858</v>
      </c>
      <c r="I182" s="118">
        <v>5596</v>
      </c>
      <c r="J182" s="118">
        <f>1638+223+288+1935+411+205+790</f>
        <v>5490</v>
      </c>
      <c r="K182" s="119">
        <v>1138.72</v>
      </c>
      <c r="L182" s="120">
        <v>2090</v>
      </c>
      <c r="M182" s="121">
        <f t="shared" si="2"/>
        <v>169.95820895522388</v>
      </c>
      <c r="N182" s="121"/>
      <c r="O182" s="142"/>
      <c r="P182" s="117">
        <v>205360.53</v>
      </c>
      <c r="Q182" s="116">
        <v>37</v>
      </c>
      <c r="R182" s="116">
        <f>79400+3000+65000</f>
        <v>147400</v>
      </c>
      <c r="S182" s="116"/>
      <c r="T182" s="117"/>
      <c r="U182" s="116">
        <v>1922</v>
      </c>
      <c r="V182" s="117"/>
      <c r="W182" s="117"/>
      <c r="X182" s="4" t="s">
        <v>1970</v>
      </c>
      <c r="Y182" s="4" t="s">
        <v>563</v>
      </c>
      <c r="Z182" s="4" t="s">
        <v>564</v>
      </c>
      <c r="AA182" s="4" t="s">
        <v>562</v>
      </c>
      <c r="AB182" s="27"/>
      <c r="AC182" s="27"/>
      <c r="AD182" s="27"/>
      <c r="AE182" s="27"/>
    </row>
    <row r="183" spans="1:31" x14ac:dyDescent="0.25">
      <c r="A183" s="116" t="s">
        <v>1546</v>
      </c>
      <c r="B183" s="116" t="s">
        <v>204</v>
      </c>
      <c r="C183" s="116" t="s">
        <v>2288</v>
      </c>
      <c r="D183" s="117">
        <v>4117</v>
      </c>
      <c r="E183" s="117">
        <v>175</v>
      </c>
      <c r="F183" s="116">
        <v>154</v>
      </c>
      <c r="G183" s="116">
        <v>144</v>
      </c>
      <c r="H183" s="118">
        <v>6726</v>
      </c>
      <c r="I183" s="118">
        <v>7598</v>
      </c>
      <c r="J183" s="118">
        <f>6897+584</f>
        <v>7481</v>
      </c>
      <c r="K183" s="119">
        <v>613.74</v>
      </c>
      <c r="L183" s="120">
        <v>382.91</v>
      </c>
      <c r="M183" s="121">
        <f t="shared" si="2"/>
        <v>85.24166666666666</v>
      </c>
      <c r="N183" s="121"/>
      <c r="O183" s="142"/>
      <c r="P183" s="117">
        <v>150106.76999999999</v>
      </c>
      <c r="Q183" s="116">
        <v>90</v>
      </c>
      <c r="R183" s="116">
        <f>13075+5500+4500+950+43360+5600</f>
        <v>72985</v>
      </c>
      <c r="S183" s="116"/>
      <c r="T183" s="117"/>
      <c r="U183" s="116">
        <v>1922</v>
      </c>
      <c r="V183" s="117"/>
      <c r="W183" s="117"/>
      <c r="X183" s="4" t="s">
        <v>1970</v>
      </c>
      <c r="Y183" s="4" t="s">
        <v>563</v>
      </c>
      <c r="Z183" s="4" t="s">
        <v>564</v>
      </c>
      <c r="AA183" s="4" t="s">
        <v>562</v>
      </c>
      <c r="AB183" s="27"/>
      <c r="AC183" s="27"/>
      <c r="AD183" s="27"/>
      <c r="AE183" s="27"/>
    </row>
    <row r="184" spans="1:31" x14ac:dyDescent="0.25">
      <c r="A184" s="116" t="s">
        <v>1547</v>
      </c>
      <c r="B184" s="116" t="s">
        <v>204</v>
      </c>
      <c r="C184" s="116" t="s">
        <v>2289</v>
      </c>
      <c r="D184" s="117">
        <v>4830</v>
      </c>
      <c r="E184" s="117">
        <v>186</v>
      </c>
      <c r="F184" s="116">
        <v>124</v>
      </c>
      <c r="G184" s="116">
        <v>141</v>
      </c>
      <c r="H184" s="118">
        <v>4160</v>
      </c>
      <c r="I184" s="118">
        <v>6546</v>
      </c>
      <c r="J184" s="118">
        <v>6410</v>
      </c>
      <c r="K184" s="119">
        <v>847.93</v>
      </c>
      <c r="L184" s="120">
        <v>734.64</v>
      </c>
      <c r="M184" s="121">
        <f t="shared" si="2"/>
        <v>120.27375886524823</v>
      </c>
      <c r="N184" s="121"/>
      <c r="O184" s="142"/>
      <c r="P184" s="117">
        <v>187149.62</v>
      </c>
      <c r="Q184" s="116">
        <v>70</v>
      </c>
      <c r="R184" s="116">
        <f>350000+500+14900+51000+100+100</f>
        <v>416600</v>
      </c>
      <c r="S184" s="116"/>
      <c r="T184" s="117"/>
      <c r="U184" s="116">
        <v>1922</v>
      </c>
      <c r="V184" s="117"/>
      <c r="W184" s="117"/>
      <c r="X184" s="4" t="s">
        <v>1970</v>
      </c>
      <c r="Y184" s="4" t="s">
        <v>563</v>
      </c>
      <c r="Z184" s="4" t="s">
        <v>564</v>
      </c>
      <c r="AA184" s="4" t="s">
        <v>562</v>
      </c>
      <c r="AB184" s="27"/>
      <c r="AC184" s="27"/>
      <c r="AD184" s="27"/>
      <c r="AE184" s="27"/>
    </row>
    <row r="185" spans="1:31" x14ac:dyDescent="0.25">
      <c r="A185" s="116" t="s">
        <v>1548</v>
      </c>
      <c r="B185" s="116" t="s">
        <v>204</v>
      </c>
      <c r="C185" s="116" t="s">
        <v>2290</v>
      </c>
      <c r="D185" s="117">
        <v>479</v>
      </c>
      <c r="E185" s="117">
        <v>27</v>
      </c>
      <c r="F185" s="116">
        <v>20</v>
      </c>
      <c r="G185" s="116">
        <v>163</v>
      </c>
      <c r="H185" s="116">
        <v>394</v>
      </c>
      <c r="I185" s="116">
        <v>623</v>
      </c>
      <c r="J185" s="116">
        <v>539</v>
      </c>
      <c r="K185" s="119">
        <v>1037.77</v>
      </c>
      <c r="L185" s="120">
        <v>965</v>
      </c>
      <c r="M185" s="121">
        <f t="shared" si="2"/>
        <v>127.33374233128833</v>
      </c>
      <c r="N185" s="121"/>
      <c r="O185" s="142"/>
      <c r="P185" s="117">
        <v>55874.84</v>
      </c>
      <c r="Q185" s="116">
        <v>11</v>
      </c>
      <c r="R185" s="116">
        <f>25000+1000+2000</f>
        <v>28000</v>
      </c>
      <c r="S185" s="116"/>
      <c r="T185" s="117"/>
      <c r="U185" s="116">
        <v>1922</v>
      </c>
      <c r="V185" s="117"/>
      <c r="W185" s="117"/>
      <c r="X185" s="4" t="s">
        <v>1970</v>
      </c>
      <c r="Y185" s="4" t="s">
        <v>563</v>
      </c>
      <c r="Z185" s="4" t="s">
        <v>564</v>
      </c>
      <c r="AA185" s="4" t="s">
        <v>562</v>
      </c>
      <c r="AB185" s="27"/>
      <c r="AC185" s="27"/>
      <c r="AD185" s="27"/>
      <c r="AE185" s="27"/>
    </row>
    <row r="186" spans="1:31" x14ac:dyDescent="0.25">
      <c r="A186" s="116" t="s">
        <v>1549</v>
      </c>
      <c r="B186" s="116" t="s">
        <v>204</v>
      </c>
      <c r="C186" s="116" t="s">
        <v>2291</v>
      </c>
      <c r="D186" s="117">
        <v>648</v>
      </c>
      <c r="E186" s="117">
        <v>21</v>
      </c>
      <c r="F186" s="116">
        <v>7</v>
      </c>
      <c r="G186" s="116">
        <v>153</v>
      </c>
      <c r="H186" s="116">
        <v>160</v>
      </c>
      <c r="I186" s="116">
        <v>627</v>
      </c>
      <c r="J186" s="116">
        <f>104+535</f>
        <v>639</v>
      </c>
      <c r="K186" s="119">
        <v>1448.57</v>
      </c>
      <c r="L186" s="120">
        <v>990.71</v>
      </c>
      <c r="M186" s="121">
        <f t="shared" si="2"/>
        <v>189.35555555555553</v>
      </c>
      <c r="N186" s="121"/>
      <c r="O186" s="142"/>
      <c r="P186" s="117">
        <v>48058.23</v>
      </c>
      <c r="Q186" s="116">
        <v>4</v>
      </c>
      <c r="R186" s="116"/>
      <c r="S186" s="116"/>
      <c r="T186" s="117"/>
      <c r="U186" s="116">
        <v>1922</v>
      </c>
      <c r="V186" s="117"/>
      <c r="W186" s="117"/>
      <c r="X186" s="4" t="s">
        <v>1970</v>
      </c>
      <c r="Y186" s="4" t="s">
        <v>563</v>
      </c>
      <c r="Z186" s="4" t="s">
        <v>564</v>
      </c>
      <c r="AA186" s="4" t="s">
        <v>562</v>
      </c>
      <c r="AB186" s="27"/>
      <c r="AC186" s="27"/>
      <c r="AD186" s="27"/>
      <c r="AE186" s="27"/>
    </row>
    <row r="187" spans="1:31" x14ac:dyDescent="0.25">
      <c r="A187" s="116" t="s">
        <v>1550</v>
      </c>
      <c r="B187" s="116" t="s">
        <v>204</v>
      </c>
      <c r="C187" s="116" t="s">
        <v>2292</v>
      </c>
      <c r="D187" s="117">
        <v>3967</v>
      </c>
      <c r="E187" s="117">
        <v>146</v>
      </c>
      <c r="F187" s="116">
        <v>110</v>
      </c>
      <c r="G187" s="116">
        <v>136</v>
      </c>
      <c r="H187" s="118">
        <v>3297</v>
      </c>
      <c r="I187" s="118">
        <v>4896</v>
      </c>
      <c r="J187" s="118">
        <v>4854</v>
      </c>
      <c r="K187" s="119">
        <v>668.62</v>
      </c>
      <c r="L187" s="120">
        <v>605.85</v>
      </c>
      <c r="M187" s="121">
        <f t="shared" si="2"/>
        <v>98.326470588235296</v>
      </c>
      <c r="N187" s="121"/>
      <c r="O187" s="142"/>
      <c r="P187" s="117">
        <v>156528.69</v>
      </c>
      <c r="Q187" s="116">
        <v>77</v>
      </c>
      <c r="R187" s="116">
        <f>75000+25000+1000+250+25200+2200</f>
        <v>128650</v>
      </c>
      <c r="S187" s="116"/>
      <c r="T187" s="117"/>
      <c r="U187" s="116">
        <v>1922</v>
      </c>
      <c r="V187" s="117"/>
      <c r="W187" s="117"/>
      <c r="X187" s="4" t="s">
        <v>1970</v>
      </c>
      <c r="Y187" s="4" t="s">
        <v>563</v>
      </c>
      <c r="Z187" s="4" t="s">
        <v>564</v>
      </c>
      <c r="AA187" s="4" t="s">
        <v>562</v>
      </c>
      <c r="AB187" s="27"/>
      <c r="AC187" s="27"/>
      <c r="AD187" s="27"/>
      <c r="AE187" s="27"/>
    </row>
    <row r="188" spans="1:31" x14ac:dyDescent="0.25">
      <c r="A188" s="116" t="s">
        <v>1551</v>
      </c>
      <c r="B188" s="116" t="s">
        <v>204</v>
      </c>
      <c r="C188" s="116" t="s">
        <v>2293</v>
      </c>
      <c r="D188" s="117">
        <v>877</v>
      </c>
      <c r="E188" s="117">
        <v>113</v>
      </c>
      <c r="F188" s="116">
        <v>10</v>
      </c>
      <c r="G188" s="116">
        <v>164</v>
      </c>
      <c r="H188" s="116">
        <v>169</v>
      </c>
      <c r="I188" s="116">
        <v>4044</v>
      </c>
      <c r="J188" s="116">
        <v>4410</v>
      </c>
      <c r="K188" s="119">
        <v>1377.65</v>
      </c>
      <c r="L188" s="120">
        <v>891</v>
      </c>
      <c r="M188" s="121">
        <f t="shared" si="2"/>
        <v>168.00609756097563</v>
      </c>
      <c r="N188" s="121"/>
      <c r="O188" s="142"/>
      <c r="P188" s="117">
        <v>32478.43</v>
      </c>
      <c r="Q188" s="116">
        <v>10</v>
      </c>
      <c r="R188" s="116">
        <f>8700+760+1190</f>
        <v>10650</v>
      </c>
      <c r="S188" s="116"/>
      <c r="T188" s="117"/>
      <c r="U188" s="116">
        <v>1922</v>
      </c>
      <c r="V188" s="117"/>
      <c r="W188" s="117"/>
      <c r="X188" s="4" t="s">
        <v>1970</v>
      </c>
      <c r="Y188" s="4" t="s">
        <v>563</v>
      </c>
      <c r="Z188" s="4" t="s">
        <v>564</v>
      </c>
      <c r="AA188" s="4" t="s">
        <v>562</v>
      </c>
      <c r="AB188" s="27"/>
      <c r="AC188" s="27"/>
      <c r="AD188" s="27"/>
      <c r="AE188" s="27"/>
    </row>
    <row r="189" spans="1:31" x14ac:dyDescent="0.25">
      <c r="A189" s="116" t="s">
        <v>1552</v>
      </c>
      <c r="B189" s="116" t="s">
        <v>204</v>
      </c>
      <c r="C189" s="116" t="s">
        <v>2294</v>
      </c>
      <c r="D189" s="117">
        <v>723</v>
      </c>
      <c r="E189" s="117">
        <v>71</v>
      </c>
      <c r="F189" s="116">
        <v>71</v>
      </c>
      <c r="G189" s="116">
        <v>172</v>
      </c>
      <c r="H189" s="116">
        <v>937</v>
      </c>
      <c r="I189" s="116">
        <v>937</v>
      </c>
      <c r="J189" s="116">
        <v>1009</v>
      </c>
      <c r="K189" s="119">
        <v>544.17999999999995</v>
      </c>
      <c r="L189" s="120">
        <v>544.17999999999995</v>
      </c>
      <c r="M189" s="121">
        <f t="shared" si="2"/>
        <v>63.276744186046507</v>
      </c>
      <c r="N189" s="121"/>
      <c r="O189" s="142"/>
      <c r="P189" s="117">
        <v>47350.37</v>
      </c>
      <c r="Q189" s="116">
        <v>12</v>
      </c>
      <c r="R189" s="116">
        <f>55675+10150+10357.5</f>
        <v>76182.5</v>
      </c>
      <c r="S189" s="116"/>
      <c r="T189" s="117"/>
      <c r="U189" s="116">
        <v>1922</v>
      </c>
      <c r="V189" s="117"/>
      <c r="W189" s="117"/>
      <c r="X189" s="4" t="s">
        <v>1970</v>
      </c>
      <c r="Y189" s="4" t="s">
        <v>563</v>
      </c>
      <c r="Z189" s="4" t="s">
        <v>564</v>
      </c>
      <c r="AA189" s="4" t="s">
        <v>562</v>
      </c>
      <c r="AB189" s="27"/>
      <c r="AC189" s="27"/>
      <c r="AD189" s="27"/>
      <c r="AE189" s="27"/>
    </row>
    <row r="190" spans="1:31" x14ac:dyDescent="0.25">
      <c r="A190" s="116" t="s">
        <v>1553</v>
      </c>
      <c r="B190" s="116" t="s">
        <v>204</v>
      </c>
      <c r="C190" s="116" t="s">
        <v>2295</v>
      </c>
      <c r="D190" s="117">
        <v>1925</v>
      </c>
      <c r="E190" s="117">
        <v>61</v>
      </c>
      <c r="F190" s="116">
        <v>40</v>
      </c>
      <c r="G190" s="116">
        <v>116</v>
      </c>
      <c r="H190" s="118">
        <v>2481</v>
      </c>
      <c r="I190" s="118">
        <v>2989</v>
      </c>
      <c r="J190" s="118">
        <v>2894</v>
      </c>
      <c r="K190" s="119">
        <v>611.24</v>
      </c>
      <c r="L190" s="120">
        <v>691.94</v>
      </c>
      <c r="M190" s="121">
        <f t="shared" si="2"/>
        <v>105.38620689655173</v>
      </c>
      <c r="N190" s="121"/>
      <c r="O190" s="142"/>
      <c r="P190" s="117">
        <v>62884.43</v>
      </c>
      <c r="Q190" s="116">
        <v>28</v>
      </c>
      <c r="R190" s="116">
        <f>80000+3500+7000+500</f>
        <v>91000</v>
      </c>
      <c r="S190" s="116"/>
      <c r="T190" s="117"/>
      <c r="U190" s="116">
        <v>1922</v>
      </c>
      <c r="V190" s="117"/>
      <c r="W190" s="117"/>
      <c r="X190" s="4" t="s">
        <v>1970</v>
      </c>
      <c r="Y190" s="4" t="s">
        <v>563</v>
      </c>
      <c r="Z190" s="4" t="s">
        <v>564</v>
      </c>
      <c r="AA190" s="4" t="s">
        <v>562</v>
      </c>
      <c r="AB190" s="27"/>
      <c r="AC190" s="27"/>
      <c r="AD190" s="27"/>
      <c r="AE190" s="27"/>
    </row>
    <row r="191" spans="1:31" x14ac:dyDescent="0.25">
      <c r="A191" s="116" t="s">
        <v>1554</v>
      </c>
      <c r="B191" s="116" t="s">
        <v>204</v>
      </c>
      <c r="C191" s="116" t="s">
        <v>2296</v>
      </c>
      <c r="D191" s="117">
        <v>905</v>
      </c>
      <c r="E191" s="117">
        <v>33</v>
      </c>
      <c r="F191" s="116">
        <v>21</v>
      </c>
      <c r="G191" s="116">
        <v>163</v>
      </c>
      <c r="H191" s="116">
        <v>331</v>
      </c>
      <c r="I191" s="116">
        <v>828</v>
      </c>
      <c r="J191" s="116">
        <v>926</v>
      </c>
      <c r="K191" s="119">
        <v>966.97</v>
      </c>
      <c r="L191" s="120">
        <v>827.38</v>
      </c>
      <c r="M191" s="121">
        <f t="shared" si="2"/>
        <v>118.64662576687117</v>
      </c>
      <c r="N191" s="121"/>
      <c r="O191" s="142"/>
      <c r="P191" s="117">
        <v>63634.41</v>
      </c>
      <c r="Q191" s="116">
        <v>21</v>
      </c>
      <c r="R191" s="116">
        <f>26000+2000+3500</f>
        <v>31500</v>
      </c>
      <c r="S191" s="116"/>
      <c r="T191" s="117"/>
      <c r="U191" s="116">
        <v>1922</v>
      </c>
      <c r="V191" s="117"/>
      <c r="W191" s="117"/>
      <c r="X191" s="4" t="s">
        <v>1970</v>
      </c>
      <c r="Y191" s="4" t="s">
        <v>563</v>
      </c>
      <c r="Z191" s="4" t="s">
        <v>564</v>
      </c>
      <c r="AA191" s="4" t="s">
        <v>562</v>
      </c>
      <c r="AB191" s="27"/>
      <c r="AC191" s="27"/>
      <c r="AD191" s="27"/>
      <c r="AE191" s="27"/>
    </row>
    <row r="192" spans="1:31" x14ac:dyDescent="0.25">
      <c r="A192" s="116" t="s">
        <v>1555</v>
      </c>
      <c r="B192" s="116" t="s">
        <v>204</v>
      </c>
      <c r="C192" s="116" t="s">
        <v>2297</v>
      </c>
      <c r="D192" s="117">
        <v>61</v>
      </c>
      <c r="E192" s="117">
        <v>7</v>
      </c>
      <c r="F192" s="116">
        <v>7</v>
      </c>
      <c r="G192" s="116">
        <v>180</v>
      </c>
      <c r="H192" s="116">
        <v>89</v>
      </c>
      <c r="I192" s="116">
        <v>89</v>
      </c>
      <c r="J192" s="116">
        <v>80</v>
      </c>
      <c r="K192" s="119">
        <v>845.14</v>
      </c>
      <c r="L192" s="120">
        <v>851.42</v>
      </c>
      <c r="M192" s="121">
        <f t="shared" si="2"/>
        <v>93.904444444444437</v>
      </c>
      <c r="N192" s="121"/>
      <c r="O192" s="142"/>
      <c r="P192" s="117">
        <v>14252.65</v>
      </c>
      <c r="Q192" s="116">
        <v>3</v>
      </c>
      <c r="R192" s="116">
        <f>14000+250+600</f>
        <v>14850</v>
      </c>
      <c r="S192" s="116"/>
      <c r="T192" s="117"/>
      <c r="U192" s="116">
        <v>1922</v>
      </c>
      <c r="V192" s="117"/>
      <c r="W192" s="117"/>
      <c r="X192" s="4" t="s">
        <v>1970</v>
      </c>
      <c r="Y192" s="4" t="s">
        <v>563</v>
      </c>
      <c r="Z192" s="4" t="s">
        <v>564</v>
      </c>
      <c r="AA192" s="4" t="s">
        <v>562</v>
      </c>
      <c r="AB192" s="27"/>
      <c r="AC192" s="27"/>
      <c r="AD192" s="27"/>
      <c r="AE192" s="27"/>
    </row>
    <row r="193" spans="1:31" x14ac:dyDescent="0.25">
      <c r="A193" s="116" t="s">
        <v>1556</v>
      </c>
      <c r="B193" s="116" t="s">
        <v>204</v>
      </c>
      <c r="C193" s="116" t="s">
        <v>2298</v>
      </c>
      <c r="D193" s="117">
        <v>350</v>
      </c>
      <c r="E193" s="117">
        <v>10</v>
      </c>
      <c r="F193" s="116">
        <v>10</v>
      </c>
      <c r="G193" s="116">
        <v>155</v>
      </c>
      <c r="H193" s="116">
        <v>317</v>
      </c>
      <c r="I193" s="116">
        <v>317</v>
      </c>
      <c r="J193" s="116">
        <v>353</v>
      </c>
      <c r="K193" s="119">
        <v>882.2</v>
      </c>
      <c r="L193" s="120">
        <v>762</v>
      </c>
      <c r="M193" s="121">
        <f t="shared" si="2"/>
        <v>113.83225806451614</v>
      </c>
      <c r="N193" s="121"/>
      <c r="O193" s="142"/>
      <c r="P193" s="117">
        <v>13800.4</v>
      </c>
      <c r="Q193" s="116">
        <v>8</v>
      </c>
      <c r="R193" s="116">
        <v>40000</v>
      </c>
      <c r="S193" s="116"/>
      <c r="T193" s="117"/>
      <c r="U193" s="116">
        <v>1922</v>
      </c>
      <c r="V193" s="117"/>
      <c r="W193" s="117"/>
      <c r="X193" s="4" t="s">
        <v>1970</v>
      </c>
      <c r="Y193" s="4" t="s">
        <v>563</v>
      </c>
      <c r="Z193" s="4" t="s">
        <v>564</v>
      </c>
      <c r="AA193" s="4" t="s">
        <v>562</v>
      </c>
      <c r="AB193" s="27"/>
      <c r="AC193" s="27"/>
      <c r="AD193" s="27"/>
      <c r="AE193" s="27"/>
    </row>
    <row r="194" spans="1:31" x14ac:dyDescent="0.25">
      <c r="A194" s="116" t="s">
        <v>1557</v>
      </c>
      <c r="B194" s="116" t="s">
        <v>204</v>
      </c>
      <c r="C194" s="116" t="s">
        <v>2089</v>
      </c>
      <c r="D194" s="117">
        <v>6342</v>
      </c>
      <c r="E194" s="117">
        <v>254</v>
      </c>
      <c r="F194" s="116">
        <v>180</v>
      </c>
      <c r="G194" s="116">
        <v>125</v>
      </c>
      <c r="H194" s="118">
        <v>6501</v>
      </c>
      <c r="I194" s="118">
        <v>9681</v>
      </c>
      <c r="J194" s="118">
        <v>9784</v>
      </c>
      <c r="K194" s="119">
        <v>713.66</v>
      </c>
      <c r="L194" s="120">
        <v>658.33</v>
      </c>
      <c r="M194" s="121">
        <f t="shared" si="2"/>
        <v>114.18559999999999</v>
      </c>
      <c r="N194" s="121"/>
      <c r="O194" s="142"/>
      <c r="P194" s="117">
        <v>236423.09</v>
      </c>
      <c r="Q194" s="116">
        <v>110</v>
      </c>
      <c r="R194" s="116">
        <f>83545+10885+15400+1600+17690+1740</f>
        <v>130860</v>
      </c>
      <c r="S194" s="116"/>
      <c r="T194" s="117"/>
      <c r="U194" s="116">
        <v>1922</v>
      </c>
      <c r="V194" s="117"/>
      <c r="W194" s="117"/>
      <c r="X194" s="4" t="s">
        <v>1970</v>
      </c>
      <c r="Y194" s="4" t="s">
        <v>563</v>
      </c>
      <c r="Z194" s="4" t="s">
        <v>564</v>
      </c>
      <c r="AA194" s="4" t="s">
        <v>562</v>
      </c>
      <c r="AB194" s="27"/>
      <c r="AC194" s="27"/>
      <c r="AD194" s="27"/>
      <c r="AE194" s="27"/>
    </row>
    <row r="195" spans="1:31" x14ac:dyDescent="0.25">
      <c r="A195" s="116" t="s">
        <v>1558</v>
      </c>
      <c r="B195" s="116" t="s">
        <v>204</v>
      </c>
      <c r="C195" s="116" t="s">
        <v>2299</v>
      </c>
      <c r="D195" s="117">
        <v>594</v>
      </c>
      <c r="E195" s="117">
        <v>36</v>
      </c>
      <c r="F195" s="116">
        <v>14</v>
      </c>
      <c r="G195" s="116">
        <v>163</v>
      </c>
      <c r="H195" s="116">
        <v>267</v>
      </c>
      <c r="I195" s="116">
        <v>879</v>
      </c>
      <c r="J195" s="116">
        <v>870</v>
      </c>
      <c r="K195" s="119">
        <v>1063.05</v>
      </c>
      <c r="L195" s="120">
        <v>945.35</v>
      </c>
      <c r="M195" s="121">
        <f t="shared" ref="M195:M254" si="3">K195/(G195/20)</f>
        <v>130.43558282208588</v>
      </c>
      <c r="N195" s="121"/>
      <c r="O195" s="142"/>
      <c r="P195" s="117">
        <v>37306.620000000003</v>
      </c>
      <c r="Q195" s="116">
        <v>6</v>
      </c>
      <c r="S195" s="116"/>
      <c r="T195" s="117"/>
      <c r="U195" s="116">
        <v>1922</v>
      </c>
      <c r="V195" s="117"/>
      <c r="W195" s="117"/>
      <c r="X195" s="4" t="s">
        <v>1970</v>
      </c>
      <c r="Y195" s="4" t="s">
        <v>563</v>
      </c>
      <c r="Z195" s="4" t="s">
        <v>564</v>
      </c>
      <c r="AA195" s="4" t="s">
        <v>562</v>
      </c>
      <c r="AB195" s="27"/>
      <c r="AC195" s="27"/>
      <c r="AD195" s="27"/>
      <c r="AE195" s="27"/>
    </row>
    <row r="196" spans="1:31" x14ac:dyDescent="0.25">
      <c r="A196" s="116" t="s">
        <v>1559</v>
      </c>
      <c r="B196" s="116" t="s">
        <v>204</v>
      </c>
      <c r="C196" s="116" t="s">
        <v>2300</v>
      </c>
      <c r="D196" s="117">
        <v>628</v>
      </c>
      <c r="E196" s="117">
        <v>37</v>
      </c>
      <c r="F196" s="116">
        <v>28</v>
      </c>
      <c r="G196" s="116">
        <v>139</v>
      </c>
      <c r="H196" s="116">
        <v>780</v>
      </c>
      <c r="I196" s="116">
        <v>1117</v>
      </c>
      <c r="J196" s="116">
        <v>1094</v>
      </c>
      <c r="K196" s="119">
        <v>839.35</v>
      </c>
      <c r="L196" s="120">
        <v>802</v>
      </c>
      <c r="M196" s="121">
        <f t="shared" si="3"/>
        <v>120.76978417266187</v>
      </c>
      <c r="N196" s="121"/>
      <c r="O196" s="142"/>
      <c r="P196" s="117">
        <v>49037.85</v>
      </c>
      <c r="Q196" s="116">
        <v>14</v>
      </c>
      <c r="R196" s="116">
        <f>33500+1850+1725+500+3750+760</f>
        <v>42085</v>
      </c>
      <c r="S196" s="116"/>
      <c r="T196" s="117"/>
      <c r="U196" s="116">
        <v>1922</v>
      </c>
      <c r="V196" s="117"/>
      <c r="W196" s="117"/>
      <c r="X196" s="4" t="s">
        <v>1970</v>
      </c>
      <c r="Y196" s="4" t="s">
        <v>563</v>
      </c>
      <c r="Z196" s="4" t="s">
        <v>564</v>
      </c>
      <c r="AA196" s="4" t="s">
        <v>562</v>
      </c>
      <c r="AB196" s="27"/>
      <c r="AC196" s="27"/>
      <c r="AD196" s="27"/>
      <c r="AE196" s="27"/>
    </row>
    <row r="197" spans="1:31" x14ac:dyDescent="0.25">
      <c r="A197" s="116" t="s">
        <v>1560</v>
      </c>
      <c r="B197" s="116" t="s">
        <v>204</v>
      </c>
      <c r="C197" s="116" t="s">
        <v>2301</v>
      </c>
      <c r="D197" s="117">
        <v>623</v>
      </c>
      <c r="E197" s="117">
        <v>32</v>
      </c>
      <c r="F197" s="116">
        <v>18</v>
      </c>
      <c r="G197" s="116">
        <v>164</v>
      </c>
      <c r="H197" s="116">
        <v>427</v>
      </c>
      <c r="I197" s="116">
        <v>722</v>
      </c>
      <c r="J197" s="116">
        <v>778</v>
      </c>
      <c r="K197" s="119">
        <v>641.09</v>
      </c>
      <c r="L197" s="120">
        <v>641</v>
      </c>
      <c r="M197" s="121">
        <f t="shared" si="3"/>
        <v>78.181707317073176</v>
      </c>
      <c r="N197" s="121"/>
      <c r="O197" s="142"/>
      <c r="P197" s="117">
        <v>27457.41</v>
      </c>
      <c r="Q197" s="116">
        <v>8</v>
      </c>
      <c r="R197" s="116">
        <f>46500+4725+5725</f>
        <v>56950</v>
      </c>
      <c r="S197" s="116"/>
      <c r="T197" s="117"/>
      <c r="U197" s="116">
        <v>1922</v>
      </c>
      <c r="V197" s="117"/>
      <c r="W197" s="117"/>
      <c r="X197" s="4" t="s">
        <v>1970</v>
      </c>
      <c r="Y197" s="4" t="s">
        <v>563</v>
      </c>
      <c r="Z197" s="4" t="s">
        <v>564</v>
      </c>
      <c r="AA197" s="4" t="s">
        <v>562</v>
      </c>
      <c r="AB197" s="27"/>
      <c r="AC197" s="27"/>
      <c r="AD197" s="27"/>
      <c r="AE197" s="27"/>
    </row>
    <row r="198" spans="1:31" x14ac:dyDescent="0.25">
      <c r="A198" s="116" t="s">
        <v>1561</v>
      </c>
      <c r="B198" s="116" t="s">
        <v>204</v>
      </c>
      <c r="C198" s="116" t="s">
        <v>2302</v>
      </c>
      <c r="D198" s="117">
        <v>5163</v>
      </c>
      <c r="E198" s="117">
        <v>179</v>
      </c>
      <c r="F198" s="116">
        <v>102</v>
      </c>
      <c r="G198" s="116">
        <v>119</v>
      </c>
      <c r="H198" s="118">
        <v>3535</v>
      </c>
      <c r="I198" s="118">
        <v>7139</v>
      </c>
      <c r="J198" s="118">
        <v>6376</v>
      </c>
      <c r="K198" s="119">
        <v>676.61</v>
      </c>
      <c r="L198" s="120">
        <v>547.53</v>
      </c>
      <c r="M198" s="121">
        <f t="shared" si="3"/>
        <v>113.71596638655463</v>
      </c>
      <c r="N198" s="121"/>
      <c r="O198" s="142"/>
      <c r="P198" s="117">
        <v>182354.02</v>
      </c>
      <c r="Q198" s="116">
        <v>52</v>
      </c>
      <c r="R198" s="116">
        <f>62250+13500+6000+1120+12292+1200</f>
        <v>96362</v>
      </c>
      <c r="S198" s="116"/>
      <c r="T198" s="117"/>
      <c r="U198" s="116">
        <v>1922</v>
      </c>
      <c r="V198" s="117"/>
      <c r="W198" s="117"/>
      <c r="X198" s="4" t="s">
        <v>1970</v>
      </c>
      <c r="Y198" s="4" t="s">
        <v>563</v>
      </c>
      <c r="Z198" s="4" t="s">
        <v>564</v>
      </c>
      <c r="AA198" s="4" t="s">
        <v>562</v>
      </c>
      <c r="AB198" s="27"/>
      <c r="AC198" s="27"/>
      <c r="AD198" s="27"/>
      <c r="AE198" s="27"/>
    </row>
    <row r="199" spans="1:31" x14ac:dyDescent="0.25">
      <c r="A199" s="116" t="s">
        <v>1562</v>
      </c>
      <c r="B199" s="116" t="s">
        <v>204</v>
      </c>
      <c r="C199" s="116" t="s">
        <v>2303</v>
      </c>
      <c r="D199" s="117">
        <v>1971</v>
      </c>
      <c r="E199" s="117">
        <v>63</v>
      </c>
      <c r="F199" s="116">
        <v>25</v>
      </c>
      <c r="G199" s="116">
        <v>128</v>
      </c>
      <c r="H199" s="116">
        <v>947</v>
      </c>
      <c r="I199" s="116">
        <v>2389</v>
      </c>
      <c r="J199" s="116">
        <v>2407</v>
      </c>
      <c r="K199" s="119">
        <v>744.76</v>
      </c>
      <c r="L199" s="120">
        <v>621.20000000000005</v>
      </c>
      <c r="M199" s="121">
        <f t="shared" si="3"/>
        <v>116.36874999999999</v>
      </c>
      <c r="N199" s="121"/>
      <c r="O199" s="142"/>
      <c r="P199" s="117">
        <v>66941.39</v>
      </c>
      <c r="Q199" s="116">
        <v>17</v>
      </c>
      <c r="R199" s="116">
        <f>25000+1500+1500+300</f>
        <v>28300</v>
      </c>
      <c r="S199" s="116"/>
      <c r="T199" s="117"/>
      <c r="U199" s="116">
        <v>1922</v>
      </c>
      <c r="V199" s="117"/>
      <c r="W199" s="117"/>
      <c r="X199" s="4" t="s">
        <v>1970</v>
      </c>
      <c r="Y199" s="4" t="s">
        <v>563</v>
      </c>
      <c r="Z199" s="4" t="s">
        <v>564</v>
      </c>
      <c r="AA199" s="4" t="s">
        <v>565</v>
      </c>
      <c r="AB199" s="27"/>
      <c r="AC199" s="27"/>
      <c r="AD199" s="27"/>
      <c r="AE199" s="27"/>
    </row>
    <row r="200" spans="1:31" x14ac:dyDescent="0.25">
      <c r="A200" s="116" t="s">
        <v>1563</v>
      </c>
      <c r="B200" s="116" t="s">
        <v>204</v>
      </c>
      <c r="C200" s="116" t="s">
        <v>2304</v>
      </c>
      <c r="D200" s="117">
        <v>4050</v>
      </c>
      <c r="E200" s="117">
        <v>139</v>
      </c>
      <c r="F200" s="116">
        <v>90</v>
      </c>
      <c r="G200" s="116">
        <v>130</v>
      </c>
      <c r="H200" s="118">
        <v>3129</v>
      </c>
      <c r="I200" s="118">
        <v>5166</v>
      </c>
      <c r="J200" s="118">
        <v>5566</v>
      </c>
      <c r="K200" s="119">
        <v>799.35</v>
      </c>
      <c r="L200" s="120">
        <v>718.93</v>
      </c>
      <c r="M200" s="121">
        <f t="shared" si="3"/>
        <v>122.97692307692309</v>
      </c>
      <c r="N200" s="121"/>
      <c r="O200" s="142"/>
      <c r="P200" s="117">
        <v>167460.47</v>
      </c>
      <c r="Q200" s="116">
        <v>45</v>
      </c>
      <c r="R200" s="116">
        <f>148485+8750+31425</f>
        <v>188660</v>
      </c>
      <c r="S200" s="116"/>
      <c r="T200" s="117"/>
      <c r="U200" s="116">
        <v>1922</v>
      </c>
      <c r="V200" s="117"/>
      <c r="W200" s="117"/>
      <c r="X200" s="4" t="s">
        <v>1970</v>
      </c>
      <c r="Y200" s="4" t="s">
        <v>563</v>
      </c>
      <c r="Z200" s="4" t="s">
        <v>564</v>
      </c>
      <c r="AA200" s="4" t="s">
        <v>565</v>
      </c>
      <c r="AB200" s="27"/>
      <c r="AC200" s="27"/>
      <c r="AD200" s="27"/>
      <c r="AE200" s="27"/>
    </row>
    <row r="201" spans="1:31" x14ac:dyDescent="0.25">
      <c r="A201" s="116" t="s">
        <v>1564</v>
      </c>
      <c r="B201" s="116" t="s">
        <v>204</v>
      </c>
      <c r="C201" s="116" t="s">
        <v>2305</v>
      </c>
      <c r="D201" s="117">
        <v>6669</v>
      </c>
      <c r="E201" s="117">
        <v>241</v>
      </c>
      <c r="F201" s="116">
        <v>187</v>
      </c>
      <c r="G201" s="116">
        <v>118</v>
      </c>
      <c r="H201" s="116">
        <v>6908</v>
      </c>
      <c r="I201" s="116">
        <v>9317</v>
      </c>
      <c r="J201" s="116">
        <v>8976</v>
      </c>
      <c r="K201" s="119">
        <v>605.34</v>
      </c>
      <c r="L201" s="120">
        <v>533.59</v>
      </c>
      <c r="M201" s="121">
        <f t="shared" si="3"/>
        <v>102.6</v>
      </c>
      <c r="N201" s="121"/>
      <c r="O201" s="142"/>
      <c r="P201" s="117">
        <v>207523.72</v>
      </c>
      <c r="Q201" s="116">
        <v>92</v>
      </c>
      <c r="R201" s="116">
        <f>96500+20000+8150+2000+40000+4500</f>
        <v>171150</v>
      </c>
      <c r="S201" s="116"/>
      <c r="T201" s="117"/>
      <c r="U201" s="116">
        <v>1922</v>
      </c>
      <c r="V201" s="117"/>
      <c r="W201" s="117"/>
      <c r="X201" s="4" t="s">
        <v>1970</v>
      </c>
      <c r="Y201" s="4" t="s">
        <v>563</v>
      </c>
      <c r="Z201" s="4" t="s">
        <v>564</v>
      </c>
      <c r="AA201" s="4" t="s">
        <v>565</v>
      </c>
      <c r="AB201" s="27"/>
      <c r="AC201" s="27"/>
      <c r="AD201" s="27"/>
      <c r="AE201" s="27"/>
    </row>
    <row r="202" spans="1:31" x14ac:dyDescent="0.25">
      <c r="A202" s="116" t="s">
        <v>1565</v>
      </c>
      <c r="B202" s="116" t="s">
        <v>204</v>
      </c>
      <c r="C202" s="116" t="s">
        <v>2090</v>
      </c>
      <c r="D202" s="117">
        <v>1346</v>
      </c>
      <c r="E202" s="117">
        <v>74</v>
      </c>
      <c r="F202" s="116">
        <v>48</v>
      </c>
      <c r="G202" s="116">
        <v>130</v>
      </c>
      <c r="H202" s="118">
        <v>1731</v>
      </c>
      <c r="I202" s="118">
        <v>3511</v>
      </c>
      <c r="J202" s="118">
        <v>3545</v>
      </c>
      <c r="K202" s="119">
        <v>860.7</v>
      </c>
      <c r="L202" s="120">
        <v>698.25</v>
      </c>
      <c r="M202" s="121">
        <f t="shared" si="3"/>
        <v>132.41538461538462</v>
      </c>
      <c r="N202" s="121"/>
      <c r="O202" s="142"/>
      <c r="P202" s="117">
        <v>101273.57</v>
      </c>
      <c r="Q202" s="116">
        <v>37</v>
      </c>
      <c r="R202" s="116"/>
      <c r="S202" s="116"/>
      <c r="T202" s="117"/>
      <c r="U202" s="116">
        <v>1922</v>
      </c>
      <c r="V202" s="117"/>
      <c r="W202" s="117"/>
      <c r="X202" s="4" t="s">
        <v>1970</v>
      </c>
      <c r="Y202" s="4" t="s">
        <v>563</v>
      </c>
      <c r="Z202" s="4" t="s">
        <v>564</v>
      </c>
      <c r="AA202" s="4" t="s">
        <v>565</v>
      </c>
      <c r="AB202" s="27"/>
      <c r="AC202" s="27"/>
      <c r="AD202" s="27"/>
      <c r="AE202" s="27"/>
    </row>
    <row r="203" spans="1:31" x14ac:dyDescent="0.25">
      <c r="A203" s="116" t="s">
        <v>1566</v>
      </c>
      <c r="B203" s="116" t="s">
        <v>204</v>
      </c>
      <c r="C203" s="116" t="s">
        <v>2306</v>
      </c>
      <c r="D203" s="117">
        <v>2592</v>
      </c>
      <c r="E203" s="117">
        <v>102</v>
      </c>
      <c r="F203" s="116">
        <v>87</v>
      </c>
      <c r="G203" s="116">
        <v>110</v>
      </c>
      <c r="H203" s="118">
        <v>3071</v>
      </c>
      <c r="I203" s="118">
        <v>3670</v>
      </c>
      <c r="J203" s="118">
        <v>5052</v>
      </c>
      <c r="K203" s="119">
        <v>715.48</v>
      </c>
      <c r="L203" s="120">
        <v>659.93</v>
      </c>
      <c r="M203" s="121">
        <f t="shared" si="3"/>
        <v>130.08727272727273</v>
      </c>
      <c r="N203" s="121"/>
      <c r="O203" s="142"/>
      <c r="P203" s="117">
        <v>100502.24</v>
      </c>
      <c r="Q203" s="116">
        <v>64</v>
      </c>
      <c r="R203" s="116">
        <f>50000+6500+3205+475+15000+1620</f>
        <v>76800</v>
      </c>
      <c r="S203" s="116"/>
      <c r="T203" s="117"/>
      <c r="U203" s="116">
        <v>1922</v>
      </c>
      <c r="V203" s="117"/>
      <c r="W203" s="117"/>
      <c r="X203" s="4" t="s">
        <v>1970</v>
      </c>
      <c r="Y203" s="4" t="s">
        <v>563</v>
      </c>
      <c r="Z203" s="4" t="s">
        <v>564</v>
      </c>
      <c r="AA203" s="4" t="s">
        <v>565</v>
      </c>
      <c r="AB203" s="27"/>
      <c r="AC203" s="27"/>
      <c r="AD203" s="27"/>
      <c r="AE203" s="27"/>
    </row>
    <row r="204" spans="1:31" x14ac:dyDescent="0.25">
      <c r="A204" s="116" t="s">
        <v>1567</v>
      </c>
      <c r="B204" s="116" t="s">
        <v>204</v>
      </c>
      <c r="C204" s="116" t="s">
        <v>2307</v>
      </c>
      <c r="D204" s="117">
        <v>1644</v>
      </c>
      <c r="E204" s="117">
        <v>69</v>
      </c>
      <c r="F204" s="116">
        <v>44</v>
      </c>
      <c r="G204" s="116">
        <v>98</v>
      </c>
      <c r="H204" s="119">
        <v>1849</v>
      </c>
      <c r="I204" s="119">
        <v>2656</v>
      </c>
      <c r="J204" s="119">
        <v>2605</v>
      </c>
      <c r="K204" s="119">
        <v>702.05</v>
      </c>
      <c r="L204" s="120">
        <v>703</v>
      </c>
      <c r="M204" s="121">
        <f t="shared" si="3"/>
        <v>143.27551020408163</v>
      </c>
      <c r="N204" s="121"/>
      <c r="O204" s="142"/>
      <c r="P204" s="117">
        <v>65654.710000000006</v>
      </c>
      <c r="Q204" s="116">
        <v>42</v>
      </c>
      <c r="R204" s="116">
        <f>10500+6895+1270+1725+2675+915</f>
        <v>23980</v>
      </c>
      <c r="S204" s="116"/>
      <c r="T204" s="117"/>
      <c r="U204" s="116">
        <v>1922</v>
      </c>
      <c r="V204" s="117"/>
      <c r="W204" s="117"/>
      <c r="X204" s="4" t="s">
        <v>1970</v>
      </c>
      <c r="Y204" s="4" t="s">
        <v>563</v>
      </c>
      <c r="Z204" s="4" t="s">
        <v>564</v>
      </c>
      <c r="AA204" s="4" t="s">
        <v>565</v>
      </c>
      <c r="AB204" s="27"/>
      <c r="AC204" s="27"/>
      <c r="AD204" s="27"/>
      <c r="AE204" s="27"/>
    </row>
    <row r="205" spans="1:31" x14ac:dyDescent="0.25">
      <c r="A205" s="116" t="s">
        <v>1568</v>
      </c>
      <c r="B205" s="116" t="s">
        <v>204</v>
      </c>
      <c r="C205" s="116" t="s">
        <v>2308</v>
      </c>
      <c r="D205" s="117">
        <v>1815</v>
      </c>
      <c r="E205" s="117">
        <v>64</v>
      </c>
      <c r="F205" s="116">
        <v>18</v>
      </c>
      <c r="G205" s="116">
        <v>163</v>
      </c>
      <c r="H205" s="116">
        <v>344</v>
      </c>
      <c r="I205" s="116">
        <v>1963</v>
      </c>
      <c r="J205" s="116">
        <f>372+407+91+274+275+567+321</f>
        <v>2307</v>
      </c>
      <c r="K205" s="119">
        <v>874.43</v>
      </c>
      <c r="L205" s="120">
        <v>610.54999999999995</v>
      </c>
      <c r="M205" s="121">
        <f t="shared" si="3"/>
        <v>107.29202453987729</v>
      </c>
      <c r="N205" s="121"/>
      <c r="O205" s="142"/>
      <c r="P205" s="117">
        <v>143671.38</v>
      </c>
      <c r="Q205" s="116">
        <v>5</v>
      </c>
      <c r="R205" s="116">
        <f>24000+1650+2430</f>
        <v>28080</v>
      </c>
      <c r="S205" s="116"/>
      <c r="T205" s="117"/>
      <c r="U205" s="116">
        <v>1922</v>
      </c>
      <c r="V205" s="117"/>
      <c r="W205" s="117"/>
      <c r="X205" s="4" t="s">
        <v>1970</v>
      </c>
      <c r="Y205" s="4" t="s">
        <v>563</v>
      </c>
      <c r="Z205" s="4" t="s">
        <v>564</v>
      </c>
      <c r="AA205" s="4" t="s">
        <v>565</v>
      </c>
      <c r="AB205" s="27"/>
      <c r="AC205" s="27"/>
      <c r="AD205" s="27"/>
      <c r="AE205" s="27"/>
    </row>
    <row r="206" spans="1:31" x14ac:dyDescent="0.25">
      <c r="A206" s="116" t="s">
        <v>1569</v>
      </c>
      <c r="B206" s="116" t="s">
        <v>204</v>
      </c>
      <c r="C206" s="116" t="s">
        <v>2309</v>
      </c>
      <c r="D206" s="117">
        <v>2183</v>
      </c>
      <c r="E206" s="117">
        <v>97</v>
      </c>
      <c r="F206" s="116">
        <v>76</v>
      </c>
      <c r="G206" s="116">
        <v>130</v>
      </c>
      <c r="H206" s="118">
        <v>2413</v>
      </c>
      <c r="I206" s="118">
        <v>3191</v>
      </c>
      <c r="J206" s="118">
        <v>3059</v>
      </c>
      <c r="K206" s="119">
        <v>736.02</v>
      </c>
      <c r="L206" s="120">
        <v>670.31</v>
      </c>
      <c r="M206" s="121">
        <f t="shared" si="3"/>
        <v>113.23384615384614</v>
      </c>
      <c r="N206" s="121"/>
      <c r="O206" s="142"/>
      <c r="P206" s="117">
        <v>103389.63</v>
      </c>
      <c r="Q206" s="116">
        <v>30</v>
      </c>
      <c r="R206" s="116">
        <f>137950+5810+14707</f>
        <v>158467</v>
      </c>
      <c r="S206" s="116"/>
      <c r="T206" s="117"/>
      <c r="U206" s="116">
        <v>1922</v>
      </c>
      <c r="V206" s="117"/>
      <c r="W206" s="117"/>
      <c r="X206" s="4" t="s">
        <v>1970</v>
      </c>
      <c r="Y206" s="4" t="s">
        <v>563</v>
      </c>
      <c r="Z206" s="4" t="s">
        <v>564</v>
      </c>
      <c r="AA206" s="4" t="s">
        <v>565</v>
      </c>
      <c r="AB206" s="27"/>
      <c r="AC206" s="27"/>
      <c r="AD206" s="27"/>
      <c r="AE206" s="27"/>
    </row>
    <row r="207" spans="1:31" x14ac:dyDescent="0.25">
      <c r="A207" s="116" t="s">
        <v>1570</v>
      </c>
      <c r="B207" s="116" t="s">
        <v>204</v>
      </c>
      <c r="C207" s="116" t="s">
        <v>2310</v>
      </c>
      <c r="D207" s="117">
        <v>167</v>
      </c>
      <c r="E207" s="117">
        <v>20</v>
      </c>
      <c r="F207" s="116">
        <v>6</v>
      </c>
      <c r="G207" s="116">
        <v>150</v>
      </c>
      <c r="H207" s="116">
        <v>120</v>
      </c>
      <c r="I207" s="116">
        <v>473</v>
      </c>
      <c r="J207" s="116">
        <v>406</v>
      </c>
      <c r="K207" s="119">
        <v>941.95</v>
      </c>
      <c r="L207" s="120">
        <v>788.16</v>
      </c>
      <c r="M207" s="121">
        <f t="shared" si="3"/>
        <v>125.59333333333333</v>
      </c>
      <c r="N207" s="121"/>
      <c r="O207" s="142"/>
      <c r="P207" s="117">
        <v>26109.49</v>
      </c>
      <c r="Q207" s="116">
        <v>4</v>
      </c>
      <c r="R207" s="116">
        <f>6100+6100+175</f>
        <v>12375</v>
      </c>
      <c r="S207" s="116"/>
      <c r="T207" s="117"/>
      <c r="U207" s="116">
        <v>1922</v>
      </c>
      <c r="V207" s="117"/>
      <c r="W207" s="117"/>
      <c r="X207" s="4" t="s">
        <v>1970</v>
      </c>
      <c r="Y207" s="4" t="s">
        <v>563</v>
      </c>
      <c r="Z207" s="4" t="s">
        <v>564</v>
      </c>
      <c r="AA207" s="4" t="s">
        <v>565</v>
      </c>
      <c r="AB207" s="27"/>
      <c r="AC207" s="27"/>
      <c r="AD207" s="27"/>
      <c r="AE207" s="27"/>
    </row>
    <row r="208" spans="1:31" x14ac:dyDescent="0.25">
      <c r="A208" s="116" t="s">
        <v>1571</v>
      </c>
      <c r="B208" s="116" t="s">
        <v>204</v>
      </c>
      <c r="C208" s="116" t="s">
        <v>2311</v>
      </c>
      <c r="D208" s="117">
        <v>2297</v>
      </c>
      <c r="E208" s="117">
        <v>55</v>
      </c>
      <c r="F208" s="116">
        <v>25</v>
      </c>
      <c r="G208" s="116">
        <v>123</v>
      </c>
      <c r="H208" s="118">
        <v>2727</v>
      </c>
      <c r="I208" s="118">
        <v>5064</v>
      </c>
      <c r="J208" s="118">
        <v>3211</v>
      </c>
      <c r="K208" s="119">
        <v>685.58</v>
      </c>
      <c r="L208" s="120">
        <v>383.2</v>
      </c>
      <c r="M208" s="121">
        <f t="shared" si="3"/>
        <v>111.47642276422765</v>
      </c>
      <c r="N208" s="121"/>
      <c r="O208" s="142"/>
      <c r="P208" s="117">
        <v>130235.38</v>
      </c>
      <c r="Q208" s="116">
        <v>35</v>
      </c>
      <c r="R208" s="27">
        <f>85100+3855+13104</f>
        <v>102059</v>
      </c>
      <c r="S208" s="116"/>
      <c r="T208" s="117"/>
      <c r="U208" s="116">
        <v>1922</v>
      </c>
      <c r="V208" s="117"/>
      <c r="W208" s="117"/>
      <c r="X208" s="4" t="s">
        <v>1970</v>
      </c>
      <c r="Y208" s="4" t="s">
        <v>563</v>
      </c>
      <c r="Z208" s="4" t="s">
        <v>564</v>
      </c>
      <c r="AA208" s="4" t="s">
        <v>565</v>
      </c>
      <c r="AB208" s="27"/>
      <c r="AC208" s="27"/>
      <c r="AD208" s="27"/>
      <c r="AE208" s="27"/>
    </row>
    <row r="209" spans="1:31" x14ac:dyDescent="0.25">
      <c r="A209" s="116" t="s">
        <v>1572</v>
      </c>
      <c r="B209" s="116" t="s">
        <v>204</v>
      </c>
      <c r="C209" s="116" t="s">
        <v>2312</v>
      </c>
      <c r="D209" s="117">
        <v>1045</v>
      </c>
      <c r="E209" s="117">
        <v>49</v>
      </c>
      <c r="F209" s="116">
        <v>22</v>
      </c>
      <c r="G209" s="116">
        <v>129</v>
      </c>
      <c r="H209" s="116">
        <v>581</v>
      </c>
      <c r="I209" s="116">
        <v>1526</v>
      </c>
      <c r="J209" s="116">
        <v>1616</v>
      </c>
      <c r="K209" s="119">
        <v>528.1</v>
      </c>
      <c r="L209" s="120">
        <v>788.56</v>
      </c>
      <c r="M209" s="121">
        <f t="shared" si="3"/>
        <v>81.875968992248062</v>
      </c>
      <c r="N209" s="121"/>
      <c r="O209" s="142"/>
      <c r="P209" s="117">
        <v>63501.93</v>
      </c>
      <c r="Q209" s="116">
        <v>13</v>
      </c>
      <c r="R209" s="116">
        <f>25900+2000+8000</f>
        <v>35900</v>
      </c>
      <c r="S209" s="116"/>
      <c r="T209" s="117"/>
      <c r="U209" s="116">
        <v>1922</v>
      </c>
      <c r="V209" s="117"/>
      <c r="W209" s="117"/>
      <c r="X209" s="4" t="s">
        <v>1970</v>
      </c>
      <c r="Y209" s="4" t="s">
        <v>563</v>
      </c>
      <c r="Z209" s="4" t="s">
        <v>564</v>
      </c>
      <c r="AA209" s="4" t="s">
        <v>565</v>
      </c>
      <c r="AB209" s="27"/>
      <c r="AC209" s="27"/>
      <c r="AD209" s="27"/>
      <c r="AE209" s="27"/>
    </row>
    <row r="210" spans="1:31" x14ac:dyDescent="0.25">
      <c r="A210" s="116" t="s">
        <v>1573</v>
      </c>
      <c r="B210" s="116" t="s">
        <v>204</v>
      </c>
      <c r="C210" s="116" t="s">
        <v>50</v>
      </c>
      <c r="D210" s="117">
        <v>5889</v>
      </c>
      <c r="E210" s="117">
        <v>228</v>
      </c>
      <c r="F210" s="116">
        <v>163</v>
      </c>
      <c r="G210" s="116">
        <v>118</v>
      </c>
      <c r="H210" s="118">
        <v>6261</v>
      </c>
      <c r="I210" s="118">
        <v>9400</v>
      </c>
      <c r="J210" s="118">
        <v>9107</v>
      </c>
      <c r="K210" s="119">
        <v>406.58</v>
      </c>
      <c r="L210" s="120">
        <v>609.92999999999995</v>
      </c>
      <c r="M210" s="121">
        <f t="shared" si="3"/>
        <v>68.911864406779657</v>
      </c>
      <c r="N210" s="121"/>
      <c r="O210" s="142"/>
      <c r="P210" s="117">
        <v>229846.02</v>
      </c>
      <c r="Q210" s="116">
        <v>87</v>
      </c>
      <c r="R210" s="116">
        <f>124000+85000+9700+1100+38000+5100</f>
        <v>262900</v>
      </c>
      <c r="S210" s="116"/>
      <c r="T210" s="117"/>
      <c r="U210" s="116">
        <v>1922</v>
      </c>
      <c r="V210" s="117"/>
      <c r="W210" s="117"/>
      <c r="X210" s="4" t="s">
        <v>1970</v>
      </c>
      <c r="Y210" s="4" t="s">
        <v>563</v>
      </c>
      <c r="Z210" s="4" t="s">
        <v>564</v>
      </c>
      <c r="AA210" s="4" t="s">
        <v>565</v>
      </c>
      <c r="AB210" s="27"/>
      <c r="AC210" s="27"/>
      <c r="AD210" s="27"/>
      <c r="AE210" s="27"/>
    </row>
    <row r="211" spans="1:31" x14ac:dyDescent="0.25">
      <c r="A211" s="116" t="s">
        <v>1574</v>
      </c>
      <c r="B211" s="116" t="s">
        <v>204</v>
      </c>
      <c r="C211" s="116" t="s">
        <v>2313</v>
      </c>
      <c r="D211" s="117">
        <v>163</v>
      </c>
      <c r="E211" s="117">
        <v>16</v>
      </c>
      <c r="F211" s="116">
        <v>5</v>
      </c>
      <c r="G211" s="116">
        <v>156</v>
      </c>
      <c r="H211" s="116">
        <v>44</v>
      </c>
      <c r="I211" s="116">
        <v>333</v>
      </c>
      <c r="J211" s="116">
        <v>383</v>
      </c>
      <c r="K211" s="119">
        <v>966.25</v>
      </c>
      <c r="L211" s="120">
        <v>758</v>
      </c>
      <c r="M211" s="121">
        <f t="shared" si="3"/>
        <v>123.87820512820512</v>
      </c>
      <c r="N211" s="121"/>
      <c r="O211" s="142"/>
      <c r="P211" s="117">
        <v>36298.129999999997</v>
      </c>
      <c r="Q211" s="116">
        <v>5</v>
      </c>
      <c r="R211" s="116"/>
      <c r="S211" s="116"/>
      <c r="T211" s="117"/>
      <c r="U211" s="116">
        <v>1922</v>
      </c>
      <c r="V211" s="117"/>
      <c r="W211" s="117"/>
      <c r="X211" s="4" t="s">
        <v>1970</v>
      </c>
      <c r="Y211" s="4" t="s">
        <v>563</v>
      </c>
      <c r="Z211" s="4" t="s">
        <v>564</v>
      </c>
      <c r="AA211" s="4" t="s">
        <v>565</v>
      </c>
      <c r="AB211" s="27"/>
      <c r="AC211" s="27"/>
      <c r="AD211" s="27"/>
      <c r="AE211" s="27"/>
    </row>
    <row r="212" spans="1:31" x14ac:dyDescent="0.25">
      <c r="A212" s="116" t="s">
        <v>1575</v>
      </c>
      <c r="B212" s="116" t="s">
        <v>204</v>
      </c>
      <c r="C212" s="116" t="s">
        <v>2314</v>
      </c>
      <c r="D212" s="117">
        <v>9389</v>
      </c>
      <c r="E212" s="117">
        <v>351</v>
      </c>
      <c r="F212" s="116">
        <v>213</v>
      </c>
      <c r="G212" s="116">
        <v>120</v>
      </c>
      <c r="H212" s="118">
        <v>7978</v>
      </c>
      <c r="I212" s="118">
        <v>13654</v>
      </c>
      <c r="J212" s="118">
        <v>14223</v>
      </c>
      <c r="K212" s="119">
        <v>842.38</v>
      </c>
      <c r="L212" s="120">
        <v>597.33000000000004</v>
      </c>
      <c r="M212" s="121">
        <f t="shared" si="3"/>
        <v>140.39666666666668</v>
      </c>
      <c r="N212" s="121"/>
      <c r="O212" s="142"/>
      <c r="P212" s="117">
        <v>374419.4</v>
      </c>
      <c r="Q212" s="116">
        <v>119</v>
      </c>
      <c r="R212" s="116">
        <f>101150+16395+8645+3245+24076+1964</f>
        <v>155475</v>
      </c>
      <c r="S212" s="116"/>
      <c r="T212" s="117"/>
      <c r="U212" s="116">
        <v>1922</v>
      </c>
      <c r="V212" s="117"/>
      <c r="W212" s="117"/>
      <c r="X212" s="4" t="s">
        <v>1970</v>
      </c>
      <c r="Y212" s="4" t="s">
        <v>563</v>
      </c>
      <c r="Z212" s="4" t="s">
        <v>564</v>
      </c>
      <c r="AA212" s="4" t="s">
        <v>565</v>
      </c>
      <c r="AB212" s="27"/>
      <c r="AC212" s="27"/>
      <c r="AD212" s="27"/>
      <c r="AE212" s="27"/>
    </row>
    <row r="213" spans="1:31" x14ac:dyDescent="0.25">
      <c r="A213" s="116" t="s">
        <v>1576</v>
      </c>
      <c r="B213" s="116" t="s">
        <v>204</v>
      </c>
      <c r="C213" s="116" t="s">
        <v>2315</v>
      </c>
      <c r="D213" s="117">
        <v>562</v>
      </c>
      <c r="E213" s="117">
        <v>25</v>
      </c>
      <c r="F213" s="116">
        <v>20</v>
      </c>
      <c r="G213" s="116">
        <v>113</v>
      </c>
      <c r="H213" s="116">
        <v>569</v>
      </c>
      <c r="I213" s="116">
        <v>845</v>
      </c>
      <c r="J213" s="116">
        <v>887</v>
      </c>
      <c r="K213" s="119">
        <v>631.24</v>
      </c>
      <c r="L213" s="120">
        <v>535.04999999999995</v>
      </c>
      <c r="M213" s="121">
        <f t="shared" si="3"/>
        <v>111.72389380530973</v>
      </c>
      <c r="N213" s="121"/>
      <c r="O213" s="142"/>
      <c r="P213" s="117">
        <v>21342.7</v>
      </c>
      <c r="Q213" s="116">
        <v>15</v>
      </c>
      <c r="R213" s="116">
        <f>14750+1105+2545</f>
        <v>18400</v>
      </c>
      <c r="S213" s="116"/>
      <c r="T213" s="117"/>
      <c r="U213" s="116">
        <v>1922</v>
      </c>
      <c r="V213" s="117"/>
      <c r="W213" s="117"/>
      <c r="X213" s="4" t="s">
        <v>1970</v>
      </c>
      <c r="Y213" s="4" t="s">
        <v>563</v>
      </c>
      <c r="Z213" s="4" t="s">
        <v>564</v>
      </c>
      <c r="AA213" s="4" t="s">
        <v>565</v>
      </c>
      <c r="AB213" s="27"/>
      <c r="AC213" s="27"/>
      <c r="AD213" s="27"/>
      <c r="AE213" s="27"/>
    </row>
    <row r="214" spans="1:31" x14ac:dyDescent="0.25">
      <c r="A214" s="116" t="s">
        <v>1577</v>
      </c>
      <c r="B214" s="116" t="s">
        <v>204</v>
      </c>
      <c r="C214" s="116" t="s">
        <v>2316</v>
      </c>
      <c r="D214" s="117">
        <v>1242</v>
      </c>
      <c r="E214" s="117">
        <v>49</v>
      </c>
      <c r="F214" s="116">
        <v>49</v>
      </c>
      <c r="G214" s="116">
        <v>170</v>
      </c>
      <c r="H214" s="118">
        <v>1929</v>
      </c>
      <c r="I214" s="118">
        <v>1929</v>
      </c>
      <c r="J214" s="118">
        <v>2133</v>
      </c>
      <c r="K214" s="119">
        <v>878.69</v>
      </c>
      <c r="L214" s="120">
        <v>878.69</v>
      </c>
      <c r="M214" s="121">
        <f t="shared" si="3"/>
        <v>103.37529411764706</v>
      </c>
      <c r="N214" s="121"/>
      <c r="O214" s="142"/>
      <c r="P214" s="117">
        <v>47242.9</v>
      </c>
      <c r="Q214" s="116">
        <v>25</v>
      </c>
      <c r="R214" s="116">
        <f>64000+12000+14000</f>
        <v>90000</v>
      </c>
      <c r="S214" s="116"/>
      <c r="T214" s="117"/>
      <c r="U214" s="116">
        <v>1922</v>
      </c>
      <c r="V214" s="117"/>
      <c r="W214" s="117"/>
      <c r="X214" s="4" t="s">
        <v>1970</v>
      </c>
      <c r="Y214" s="4" t="s">
        <v>563</v>
      </c>
      <c r="Z214" s="4" t="s">
        <v>564</v>
      </c>
      <c r="AA214" s="4" t="s">
        <v>565</v>
      </c>
      <c r="AB214" s="27"/>
      <c r="AC214" s="27"/>
      <c r="AD214" s="27"/>
      <c r="AE214" s="27"/>
    </row>
    <row r="215" spans="1:31" x14ac:dyDescent="0.25">
      <c r="A215" s="116" t="s">
        <v>1792</v>
      </c>
      <c r="B215" s="116" t="s">
        <v>204</v>
      </c>
      <c r="C215" s="116" t="s">
        <v>2317</v>
      </c>
      <c r="D215" s="117">
        <v>3966</v>
      </c>
      <c r="E215" s="117">
        <v>130</v>
      </c>
      <c r="F215" s="116">
        <v>81</v>
      </c>
      <c r="G215" s="116">
        <v>144</v>
      </c>
      <c r="H215" s="118">
        <v>2798</v>
      </c>
      <c r="I215" s="118">
        <v>5346</v>
      </c>
      <c r="J215" s="118">
        <v>5441</v>
      </c>
      <c r="K215" s="119">
        <v>1011.03</v>
      </c>
      <c r="L215" s="122">
        <v>904.55</v>
      </c>
      <c r="M215" s="121">
        <f t="shared" si="3"/>
        <v>140.42083333333332</v>
      </c>
      <c r="N215" s="121"/>
      <c r="O215" s="142"/>
      <c r="P215" s="117">
        <v>196990.89</v>
      </c>
      <c r="Q215" s="116">
        <v>45</v>
      </c>
      <c r="R215" s="116">
        <f>99450.8+5530.2+9985</f>
        <v>114966</v>
      </c>
      <c r="S215" s="117"/>
      <c r="T215" s="116"/>
      <c r="U215" s="107">
        <v>1922</v>
      </c>
      <c r="V215" s="117"/>
      <c r="W215" s="4" t="s">
        <v>1970</v>
      </c>
      <c r="X215" s="4" t="s">
        <v>563</v>
      </c>
      <c r="Y215" s="4" t="s">
        <v>564</v>
      </c>
      <c r="Z215" s="4" t="s">
        <v>565</v>
      </c>
      <c r="AB215" s="27"/>
      <c r="AC215" s="27"/>
      <c r="AD215" s="27"/>
      <c r="AE215" s="27"/>
    </row>
    <row r="216" spans="1:31" x14ac:dyDescent="0.25">
      <c r="A216" s="116" t="s">
        <v>1578</v>
      </c>
      <c r="B216" s="116" t="s">
        <v>204</v>
      </c>
      <c r="C216" s="116" t="s">
        <v>2318</v>
      </c>
      <c r="D216" s="117">
        <v>234</v>
      </c>
      <c r="E216" s="117">
        <v>16</v>
      </c>
      <c r="F216" s="116">
        <v>16</v>
      </c>
      <c r="G216" s="116">
        <v>170</v>
      </c>
      <c r="H216" s="116">
        <v>288</v>
      </c>
      <c r="I216" s="116">
        <v>288</v>
      </c>
      <c r="J216" s="116">
        <v>314</v>
      </c>
      <c r="K216" s="119">
        <v>1037.8</v>
      </c>
      <c r="L216" s="120">
        <v>1037.81</v>
      </c>
      <c r="M216" s="121">
        <f t="shared" si="3"/>
        <v>122.09411764705882</v>
      </c>
      <c r="N216" s="121"/>
      <c r="O216" s="142"/>
      <c r="P216" s="117">
        <v>23223.17</v>
      </c>
      <c r="Q216" s="116">
        <v>9</v>
      </c>
      <c r="R216" s="116"/>
      <c r="S216" s="116"/>
      <c r="T216" s="117"/>
      <c r="U216" s="116">
        <v>1922</v>
      </c>
      <c r="V216" s="117"/>
      <c r="W216" s="117"/>
      <c r="X216" s="4" t="s">
        <v>1970</v>
      </c>
      <c r="Y216" s="4" t="s">
        <v>563</v>
      </c>
      <c r="Z216" s="4" t="s">
        <v>564</v>
      </c>
      <c r="AA216" s="4" t="s">
        <v>565</v>
      </c>
      <c r="AB216" s="27"/>
      <c r="AC216" s="27"/>
      <c r="AD216" s="27"/>
      <c r="AE216" s="27"/>
    </row>
    <row r="217" spans="1:31" x14ac:dyDescent="0.25">
      <c r="A217" s="116" t="s">
        <v>1579</v>
      </c>
      <c r="B217" s="116" t="s">
        <v>204</v>
      </c>
      <c r="C217" s="116" t="s">
        <v>2319</v>
      </c>
      <c r="D217" s="117">
        <v>1325</v>
      </c>
      <c r="E217" s="117">
        <v>63</v>
      </c>
      <c r="F217" s="116">
        <v>51</v>
      </c>
      <c r="G217" s="116">
        <v>134</v>
      </c>
      <c r="H217" s="118">
        <v>1439</v>
      </c>
      <c r="I217" s="118">
        <v>1872</v>
      </c>
      <c r="J217" s="118">
        <v>2038</v>
      </c>
      <c r="K217" s="119">
        <v>738.07</v>
      </c>
      <c r="L217" s="120">
        <v>684.5</v>
      </c>
      <c r="M217" s="121">
        <f t="shared" si="3"/>
        <v>110.15970149253732</v>
      </c>
      <c r="N217" s="121"/>
      <c r="O217" s="142"/>
      <c r="P217" s="117">
        <v>78009.75</v>
      </c>
      <c r="Q217" s="116">
        <v>30</v>
      </c>
      <c r="R217" s="117">
        <f>31375+2600+7250</f>
        <v>41225</v>
      </c>
      <c r="S217" s="116"/>
      <c r="T217" s="117"/>
      <c r="U217" s="116">
        <v>1922</v>
      </c>
      <c r="V217" s="117"/>
      <c r="W217" s="117"/>
      <c r="X217" s="4" t="s">
        <v>1970</v>
      </c>
      <c r="Y217" s="4" t="s">
        <v>563</v>
      </c>
      <c r="Z217" s="4" t="s">
        <v>564</v>
      </c>
      <c r="AA217" s="4" t="s">
        <v>565</v>
      </c>
      <c r="AB217" s="27"/>
      <c r="AC217" s="27"/>
      <c r="AD217" s="27"/>
      <c r="AE217" s="27"/>
    </row>
    <row r="218" spans="1:31" x14ac:dyDescent="0.25">
      <c r="A218" s="116" t="s">
        <v>1580</v>
      </c>
      <c r="B218" s="116" t="s">
        <v>204</v>
      </c>
      <c r="C218" s="116" t="s">
        <v>2320</v>
      </c>
      <c r="E218" s="117">
        <v>17</v>
      </c>
      <c r="F218" s="116">
        <v>1</v>
      </c>
      <c r="G218" s="116">
        <v>180</v>
      </c>
      <c r="H218" s="116">
        <v>34</v>
      </c>
      <c r="I218" s="116">
        <v>360</v>
      </c>
      <c r="J218" s="116">
        <v>364</v>
      </c>
      <c r="K218" s="119">
        <v>1031.17</v>
      </c>
      <c r="L218" s="120">
        <v>810</v>
      </c>
      <c r="M218" s="121">
        <f t="shared" si="3"/>
        <v>114.57444444444445</v>
      </c>
      <c r="N218" s="121"/>
      <c r="O218" s="142"/>
      <c r="P218" s="117">
        <v>25287.919999999998</v>
      </c>
      <c r="Q218" s="116">
        <v>1</v>
      </c>
      <c r="R218" s="116">
        <f>1000+2500+200</f>
        <v>3700</v>
      </c>
      <c r="S218" s="116"/>
      <c r="T218" s="117"/>
      <c r="U218" s="116">
        <v>1922</v>
      </c>
      <c r="V218" s="117"/>
      <c r="W218" s="117"/>
      <c r="X218" s="4" t="s">
        <v>1970</v>
      </c>
      <c r="Y218" s="4" t="s">
        <v>563</v>
      </c>
      <c r="Z218" s="4" t="s">
        <v>564</v>
      </c>
      <c r="AA218" s="4" t="s">
        <v>565</v>
      </c>
      <c r="AB218" s="27"/>
      <c r="AC218" s="27"/>
      <c r="AD218" s="27"/>
      <c r="AE218" s="27"/>
    </row>
    <row r="219" spans="1:31" x14ac:dyDescent="0.25">
      <c r="A219" s="116" t="s">
        <v>1581</v>
      </c>
      <c r="B219" s="116" t="s">
        <v>204</v>
      </c>
      <c r="C219" s="116" t="s">
        <v>2321</v>
      </c>
      <c r="D219" s="117">
        <v>945</v>
      </c>
      <c r="E219" s="117">
        <v>51</v>
      </c>
      <c r="F219" s="116">
        <v>37</v>
      </c>
      <c r="G219" s="116">
        <v>170</v>
      </c>
      <c r="H219" s="116">
        <v>928</v>
      </c>
      <c r="I219" s="116">
        <v>1434</v>
      </c>
      <c r="J219" s="116">
        <v>1527</v>
      </c>
      <c r="K219" s="119">
        <v>966.07</v>
      </c>
      <c r="L219" s="120">
        <v>893.91</v>
      </c>
      <c r="M219" s="121">
        <f t="shared" si="3"/>
        <v>113.65529411764706</v>
      </c>
      <c r="N219" s="121"/>
      <c r="O219" s="142"/>
      <c r="P219" s="117">
        <v>103596.72</v>
      </c>
      <c r="Q219" s="116">
        <v>23</v>
      </c>
      <c r="R219" s="116">
        <f>95300+7380+11750</f>
        <v>114430</v>
      </c>
      <c r="S219" s="116"/>
      <c r="T219" s="117"/>
      <c r="U219" s="116">
        <v>1922</v>
      </c>
      <c r="V219" s="117"/>
      <c r="W219" s="117"/>
      <c r="X219" s="4" t="s">
        <v>1970</v>
      </c>
      <c r="Y219" s="4" t="s">
        <v>563</v>
      </c>
      <c r="Z219" s="4" t="s">
        <v>564</v>
      </c>
      <c r="AA219" s="4" t="s">
        <v>565</v>
      </c>
      <c r="AB219" s="27"/>
      <c r="AC219" s="27"/>
      <c r="AD219" s="27"/>
      <c r="AE219" s="27"/>
    </row>
    <row r="220" spans="1:31" x14ac:dyDescent="0.25">
      <c r="A220" s="116" t="s">
        <v>1582</v>
      </c>
      <c r="B220" s="116" t="s">
        <v>204</v>
      </c>
      <c r="C220" s="116" t="s">
        <v>2322</v>
      </c>
      <c r="D220" s="117">
        <v>26619</v>
      </c>
      <c r="E220" s="117">
        <v>941</v>
      </c>
      <c r="F220" s="116">
        <v>123</v>
      </c>
      <c r="G220" s="116">
        <v>148</v>
      </c>
      <c r="H220" s="118">
        <v>4396</v>
      </c>
      <c r="I220" s="118">
        <v>33881</v>
      </c>
      <c r="J220" s="118">
        <v>34168</v>
      </c>
      <c r="K220" s="119">
        <v>1274.3</v>
      </c>
      <c r="L220" s="120">
        <v>720.8</v>
      </c>
      <c r="M220" s="121">
        <f t="shared" si="3"/>
        <v>172.20270270270268</v>
      </c>
      <c r="N220" s="121"/>
      <c r="O220" s="142"/>
      <c r="P220" s="117">
        <v>1845536.19</v>
      </c>
      <c r="Q220" s="116">
        <v>54</v>
      </c>
      <c r="R220" s="116">
        <f>319000+1500+15300+200+25000+450</f>
        <v>361450</v>
      </c>
      <c r="S220" s="116"/>
      <c r="T220" s="117"/>
      <c r="U220" s="116">
        <v>1922</v>
      </c>
      <c r="V220" s="117"/>
      <c r="W220" s="117"/>
      <c r="X220" s="4" t="s">
        <v>1970</v>
      </c>
      <c r="Y220" s="4" t="s">
        <v>563</v>
      </c>
      <c r="Z220" s="4" t="s">
        <v>564</v>
      </c>
      <c r="AA220" s="4" t="s">
        <v>565</v>
      </c>
      <c r="AB220" s="27"/>
      <c r="AC220" s="27"/>
      <c r="AD220" s="27"/>
      <c r="AE220" s="27"/>
    </row>
    <row r="221" spans="1:31" x14ac:dyDescent="0.25">
      <c r="A221" s="116" t="s">
        <v>1583</v>
      </c>
      <c r="B221" s="116" t="s">
        <v>204</v>
      </c>
      <c r="C221" s="116" t="s">
        <v>2323</v>
      </c>
      <c r="D221" s="117">
        <v>6194</v>
      </c>
      <c r="E221" s="117">
        <v>203</v>
      </c>
      <c r="F221" s="116">
        <v>102</v>
      </c>
      <c r="G221" s="116">
        <v>126</v>
      </c>
      <c r="H221" s="118">
        <v>3249</v>
      </c>
      <c r="I221" s="118">
        <v>7630</v>
      </c>
      <c r="J221" s="118">
        <v>7894</v>
      </c>
      <c r="K221" s="119">
        <v>907.8</v>
      </c>
      <c r="L221" s="120">
        <v>706.21</v>
      </c>
      <c r="M221" s="121">
        <f t="shared" si="3"/>
        <v>144.0952380952381</v>
      </c>
      <c r="N221" s="121"/>
      <c r="O221" s="142"/>
      <c r="P221" s="117">
        <v>310603.09000000003</v>
      </c>
      <c r="Q221" s="116">
        <v>41</v>
      </c>
      <c r="R221" s="116">
        <f>13650+11500+20200</f>
        <v>45350</v>
      </c>
      <c r="S221" s="116"/>
      <c r="T221" s="117"/>
      <c r="U221" s="116">
        <v>1922</v>
      </c>
      <c r="V221" s="117"/>
      <c r="W221" s="117"/>
      <c r="X221" s="4" t="s">
        <v>1970</v>
      </c>
      <c r="Y221" s="4" t="s">
        <v>563</v>
      </c>
      <c r="Z221" s="4" t="s">
        <v>564</v>
      </c>
      <c r="AA221" s="4" t="s">
        <v>565</v>
      </c>
      <c r="AB221" s="27"/>
      <c r="AC221" s="27"/>
      <c r="AD221" s="27"/>
      <c r="AE221" s="27"/>
    </row>
    <row r="222" spans="1:31" x14ac:dyDescent="0.25">
      <c r="A222" s="116" t="s">
        <v>1584</v>
      </c>
      <c r="B222" s="116" t="s">
        <v>204</v>
      </c>
      <c r="C222" s="116" t="s">
        <v>2324</v>
      </c>
      <c r="D222" s="117">
        <v>182</v>
      </c>
      <c r="E222" s="117">
        <v>10</v>
      </c>
      <c r="F222" s="116">
        <v>10</v>
      </c>
      <c r="G222" s="116">
        <v>180</v>
      </c>
      <c r="H222" s="116">
        <v>259</v>
      </c>
      <c r="I222" s="116">
        <v>259</v>
      </c>
      <c r="J222" s="116">
        <v>265</v>
      </c>
      <c r="K222" s="119">
        <v>891</v>
      </c>
      <c r="L222" s="120">
        <v>891</v>
      </c>
      <c r="M222" s="121">
        <f t="shared" si="3"/>
        <v>99</v>
      </c>
      <c r="N222" s="121"/>
      <c r="O222" s="142"/>
      <c r="P222" s="117">
        <v>22067.91</v>
      </c>
      <c r="Q222" s="116">
        <v>3</v>
      </c>
      <c r="R222" s="116">
        <f>30000+2500+2500</f>
        <v>35000</v>
      </c>
      <c r="S222" s="116"/>
      <c r="T222" s="117"/>
      <c r="U222" s="116">
        <v>1922</v>
      </c>
      <c r="V222" s="117"/>
      <c r="W222" s="117"/>
      <c r="X222" s="4" t="s">
        <v>1970</v>
      </c>
      <c r="Y222" s="4" t="s">
        <v>563</v>
      </c>
      <c r="Z222" s="4" t="s">
        <v>564</v>
      </c>
      <c r="AA222" s="4" t="s">
        <v>565</v>
      </c>
      <c r="AB222" s="27"/>
      <c r="AC222" s="27"/>
      <c r="AD222" s="27"/>
      <c r="AE222" s="27"/>
    </row>
    <row r="223" spans="1:31" x14ac:dyDescent="0.25">
      <c r="A223" s="116" t="s">
        <v>1585</v>
      </c>
      <c r="B223" s="116" t="s">
        <v>204</v>
      </c>
      <c r="C223" s="116" t="s">
        <v>2325</v>
      </c>
      <c r="D223" s="117">
        <v>921</v>
      </c>
      <c r="E223" s="117">
        <v>34</v>
      </c>
      <c r="F223" s="116">
        <v>24</v>
      </c>
      <c r="G223" s="116">
        <v>140</v>
      </c>
      <c r="H223" s="116">
        <v>647</v>
      </c>
      <c r="I223" s="116">
        <v>1119</v>
      </c>
      <c r="J223" s="116">
        <v>1376</v>
      </c>
      <c r="K223" s="119">
        <v>785.72</v>
      </c>
      <c r="L223" s="120">
        <v>821.87</v>
      </c>
      <c r="M223" s="121">
        <f t="shared" si="3"/>
        <v>112.24571428571429</v>
      </c>
      <c r="N223" s="121"/>
      <c r="O223" s="142"/>
      <c r="P223" s="117">
        <v>100318.93</v>
      </c>
      <c r="Q223" s="116">
        <v>15</v>
      </c>
      <c r="R223" s="116">
        <f>30560+2250+3550</f>
        <v>36360</v>
      </c>
      <c r="S223" s="116"/>
      <c r="T223" s="117"/>
      <c r="U223" s="116">
        <v>1922</v>
      </c>
      <c r="V223" s="117"/>
      <c r="W223" s="117"/>
      <c r="X223" s="4" t="s">
        <v>1970</v>
      </c>
      <c r="Y223" s="4" t="s">
        <v>563</v>
      </c>
      <c r="Z223" s="4" t="s">
        <v>564</v>
      </c>
      <c r="AA223" s="4" t="s">
        <v>565</v>
      </c>
      <c r="AB223" s="27"/>
      <c r="AC223" s="27"/>
      <c r="AD223" s="27"/>
      <c r="AE223" s="27"/>
    </row>
    <row r="224" spans="1:31" x14ac:dyDescent="0.25">
      <c r="A224" s="116" t="s">
        <v>1586</v>
      </c>
      <c r="B224" s="116" t="s">
        <v>204</v>
      </c>
      <c r="C224" s="116" t="s">
        <v>2326</v>
      </c>
      <c r="D224" s="117">
        <v>1276</v>
      </c>
      <c r="E224" s="117">
        <v>44</v>
      </c>
      <c r="F224" s="116">
        <v>33</v>
      </c>
      <c r="G224" s="116">
        <v>115</v>
      </c>
      <c r="H224" s="116">
        <v>902</v>
      </c>
      <c r="I224" s="116">
        <v>1221</v>
      </c>
      <c r="J224" s="116">
        <v>1402</v>
      </c>
      <c r="K224" s="119">
        <v>897.31</v>
      </c>
      <c r="L224" s="120">
        <v>765.36</v>
      </c>
      <c r="M224" s="121">
        <f t="shared" si="3"/>
        <v>156.05391304347825</v>
      </c>
      <c r="N224" s="121"/>
      <c r="O224" s="142"/>
      <c r="P224" s="117">
        <v>65229.41</v>
      </c>
      <c r="Q224" s="116">
        <v>24</v>
      </c>
      <c r="R224" s="116">
        <f>32000+3500+7200</f>
        <v>42700</v>
      </c>
      <c r="S224" s="116"/>
      <c r="T224" s="117"/>
      <c r="U224" s="116">
        <v>1922</v>
      </c>
      <c r="V224" s="117"/>
      <c r="W224" s="117"/>
      <c r="X224" s="4" t="s">
        <v>1970</v>
      </c>
      <c r="Y224" s="4" t="s">
        <v>563</v>
      </c>
      <c r="Z224" s="4" t="s">
        <v>564</v>
      </c>
      <c r="AA224" s="4" t="s">
        <v>565</v>
      </c>
      <c r="AB224" s="27"/>
      <c r="AC224" s="27"/>
      <c r="AD224" s="27"/>
      <c r="AE224" s="27"/>
    </row>
    <row r="225" spans="1:31" x14ac:dyDescent="0.25">
      <c r="A225" s="116" t="s">
        <v>1587</v>
      </c>
      <c r="B225" s="116" t="s">
        <v>204</v>
      </c>
      <c r="C225" s="116" t="s">
        <v>2327</v>
      </c>
      <c r="D225" s="117">
        <v>3242</v>
      </c>
      <c r="E225" s="117">
        <v>132</v>
      </c>
      <c r="F225" s="116">
        <v>87</v>
      </c>
      <c r="G225" s="116">
        <v>150</v>
      </c>
      <c r="H225" s="118">
        <v>3333</v>
      </c>
      <c r="I225" s="118">
        <v>5313</v>
      </c>
      <c r="J225" s="118">
        <v>4848</v>
      </c>
      <c r="K225" s="119">
        <v>686.62</v>
      </c>
      <c r="L225" s="120">
        <v>594.48</v>
      </c>
      <c r="M225" s="121">
        <f t="shared" si="3"/>
        <v>91.549333333333337</v>
      </c>
      <c r="N225" s="121"/>
      <c r="O225" s="142"/>
      <c r="P225" s="117">
        <v>132404.51999999999</v>
      </c>
      <c r="Q225" s="116">
        <v>30</v>
      </c>
      <c r="R225" s="116">
        <f>60000+3000+4950+600+17820+600</f>
        <v>86970</v>
      </c>
      <c r="S225" s="116"/>
      <c r="T225" s="117"/>
      <c r="U225" s="116">
        <v>1922</v>
      </c>
      <c r="V225" s="117"/>
      <c r="W225" s="117"/>
      <c r="X225" s="4" t="s">
        <v>1970</v>
      </c>
      <c r="Y225" s="4" t="s">
        <v>563</v>
      </c>
      <c r="Z225" s="4" t="s">
        <v>564</v>
      </c>
      <c r="AA225" s="4" t="s">
        <v>565</v>
      </c>
      <c r="AB225" s="27"/>
      <c r="AC225" s="27"/>
      <c r="AD225" s="27"/>
      <c r="AE225" s="27"/>
    </row>
    <row r="226" spans="1:31" x14ac:dyDescent="0.25">
      <c r="A226" s="116" t="s">
        <v>1588</v>
      </c>
      <c r="B226" s="116" t="s">
        <v>204</v>
      </c>
      <c r="C226" s="116" t="s">
        <v>2328</v>
      </c>
      <c r="D226" s="117">
        <v>2811</v>
      </c>
      <c r="E226" s="117">
        <v>129</v>
      </c>
      <c r="F226" s="116">
        <v>56</v>
      </c>
      <c r="G226" s="116">
        <v>144</v>
      </c>
      <c r="H226" s="118">
        <v>1349</v>
      </c>
      <c r="I226" s="118">
        <v>3657</v>
      </c>
      <c r="J226" s="118">
        <v>3843</v>
      </c>
      <c r="K226" s="119">
        <v>937.37</v>
      </c>
      <c r="L226" s="120">
        <v>732.44</v>
      </c>
      <c r="M226" s="121">
        <f t="shared" si="3"/>
        <v>130.19027777777777</v>
      </c>
      <c r="N226" s="121"/>
      <c r="O226" s="142"/>
      <c r="P226" s="117">
        <v>118527.67999999999</v>
      </c>
      <c r="Q226" s="116">
        <v>33</v>
      </c>
      <c r="R226" s="116">
        <f>71900+3285+10315</f>
        <v>85500</v>
      </c>
      <c r="S226" s="116"/>
      <c r="T226" s="117"/>
      <c r="U226" s="116">
        <v>1922</v>
      </c>
      <c r="V226" s="117"/>
      <c r="W226" s="117"/>
      <c r="X226" s="4" t="s">
        <v>1970</v>
      </c>
      <c r="Y226" s="4" t="s">
        <v>563</v>
      </c>
      <c r="Z226" s="4" t="s">
        <v>564</v>
      </c>
      <c r="AA226" s="4" t="s">
        <v>565</v>
      </c>
      <c r="AB226" s="27"/>
      <c r="AC226" s="27"/>
      <c r="AD226" s="27"/>
      <c r="AE226" s="27"/>
    </row>
    <row r="227" spans="1:31" x14ac:dyDescent="0.25">
      <c r="A227" s="116" t="s">
        <v>1589</v>
      </c>
      <c r="B227" s="116" t="s">
        <v>204</v>
      </c>
      <c r="C227" s="116" t="s">
        <v>2329</v>
      </c>
      <c r="D227" s="117">
        <v>11297</v>
      </c>
      <c r="E227" s="117">
        <v>396</v>
      </c>
      <c r="F227" s="116">
        <v>132</v>
      </c>
      <c r="G227" s="116">
        <v>147</v>
      </c>
      <c r="H227" s="118">
        <v>5964</v>
      </c>
      <c r="I227" s="118">
        <v>14922</v>
      </c>
      <c r="J227" s="118">
        <v>15920</v>
      </c>
      <c r="K227" s="119">
        <v>996.16</v>
      </c>
      <c r="L227" s="120">
        <v>746.87</v>
      </c>
      <c r="M227" s="121">
        <f t="shared" si="3"/>
        <v>135.53197278911566</v>
      </c>
      <c r="N227" s="121"/>
      <c r="O227" s="142"/>
      <c r="P227" s="117">
        <v>554431.12</v>
      </c>
      <c r="Q227" s="116">
        <v>83</v>
      </c>
      <c r="R227" s="116">
        <f>418575+80100+41675+10310+95450+14160</f>
        <v>660270</v>
      </c>
      <c r="S227" s="116"/>
      <c r="T227" s="117"/>
      <c r="U227" s="116">
        <v>1922</v>
      </c>
      <c r="V227" s="117"/>
      <c r="W227" s="117"/>
      <c r="X227" s="4" t="s">
        <v>1970</v>
      </c>
      <c r="Y227" s="4" t="s">
        <v>563</v>
      </c>
      <c r="Z227" s="4" t="s">
        <v>564</v>
      </c>
      <c r="AA227" s="4" t="s">
        <v>565</v>
      </c>
      <c r="AB227" s="27"/>
      <c r="AC227" s="27"/>
      <c r="AD227" s="27"/>
      <c r="AE227" s="27"/>
    </row>
    <row r="228" spans="1:31" x14ac:dyDescent="0.25">
      <c r="A228" s="116" t="s">
        <v>1590</v>
      </c>
      <c r="B228" s="116" t="s">
        <v>204</v>
      </c>
      <c r="C228" s="116" t="s">
        <v>2330</v>
      </c>
      <c r="D228" s="117">
        <v>2762</v>
      </c>
      <c r="E228" s="117">
        <v>119</v>
      </c>
      <c r="F228" s="116">
        <v>78</v>
      </c>
      <c r="G228" s="116">
        <v>95</v>
      </c>
      <c r="H228" s="118">
        <v>1965</v>
      </c>
      <c r="I228" s="118">
        <v>3897</v>
      </c>
      <c r="J228" s="118">
        <v>3870</v>
      </c>
      <c r="K228" s="119">
        <v>703.15</v>
      </c>
      <c r="L228" s="120">
        <v>544.34</v>
      </c>
      <c r="M228" s="121">
        <f t="shared" si="3"/>
        <v>148.03157894736842</v>
      </c>
      <c r="N228" s="121"/>
      <c r="O228" s="142"/>
      <c r="P228" s="117">
        <v>109679.88</v>
      </c>
      <c r="Q228" s="116">
        <v>43</v>
      </c>
      <c r="R228" s="116">
        <f>44000+3700+3660+900+9850+2275</f>
        <v>64385</v>
      </c>
      <c r="S228" s="116"/>
      <c r="T228" s="117"/>
      <c r="U228" s="116">
        <v>1922</v>
      </c>
      <c r="V228" s="117"/>
      <c r="W228" s="117"/>
      <c r="X228" s="4" t="s">
        <v>1970</v>
      </c>
      <c r="Y228" s="4" t="s">
        <v>563</v>
      </c>
      <c r="Z228" s="4" t="s">
        <v>564</v>
      </c>
      <c r="AA228" s="4" t="s">
        <v>565</v>
      </c>
      <c r="AB228" s="27"/>
      <c r="AC228" s="27"/>
      <c r="AD228" s="27"/>
      <c r="AE228" s="27"/>
    </row>
    <row r="229" spans="1:31" x14ac:dyDescent="0.25">
      <c r="A229" s="116" t="s">
        <v>1591</v>
      </c>
      <c r="B229" s="116" t="s">
        <v>204</v>
      </c>
      <c r="C229" s="116" t="s">
        <v>2331</v>
      </c>
      <c r="D229" s="117">
        <v>690</v>
      </c>
      <c r="E229" s="117">
        <v>101</v>
      </c>
      <c r="F229" s="116">
        <v>81</v>
      </c>
      <c r="G229" s="116">
        <v>130</v>
      </c>
      <c r="H229" s="118">
        <v>2454</v>
      </c>
      <c r="I229" s="118">
        <v>3185</v>
      </c>
      <c r="J229" s="118">
        <f>1675+449</f>
        <v>2124</v>
      </c>
      <c r="K229" s="119">
        <v>627.24</v>
      </c>
      <c r="L229" s="120">
        <v>706.9</v>
      </c>
      <c r="M229" s="121">
        <f t="shared" si="3"/>
        <v>96.498461538461541</v>
      </c>
      <c r="N229" s="121"/>
      <c r="O229" s="142"/>
      <c r="P229" s="117">
        <v>96994.98</v>
      </c>
      <c r="Q229" s="116">
        <v>53</v>
      </c>
      <c r="R229" s="116">
        <f>70000+5000+1750+150+6000+1000</f>
        <v>83900</v>
      </c>
      <c r="S229" s="116"/>
      <c r="T229" s="117"/>
      <c r="U229" s="116">
        <v>1922</v>
      </c>
      <c r="V229" s="117"/>
      <c r="W229" s="117"/>
      <c r="X229" s="4" t="s">
        <v>1970</v>
      </c>
      <c r="Y229" s="4" t="s">
        <v>563</v>
      </c>
      <c r="Z229" s="4" t="s">
        <v>564</v>
      </c>
      <c r="AA229" s="4" t="s">
        <v>565</v>
      </c>
      <c r="AB229" s="27"/>
      <c r="AC229" s="27"/>
      <c r="AD229" s="27"/>
      <c r="AE229" s="27"/>
    </row>
    <row r="230" spans="1:31" x14ac:dyDescent="0.25">
      <c r="A230" s="116" t="s">
        <v>1592</v>
      </c>
      <c r="B230" s="116" t="s">
        <v>204</v>
      </c>
      <c r="C230" s="116" t="s">
        <v>2332</v>
      </c>
      <c r="D230" s="117">
        <v>1162</v>
      </c>
      <c r="E230" s="117">
        <v>195</v>
      </c>
      <c r="F230" s="116">
        <v>152</v>
      </c>
      <c r="G230" s="116">
        <v>135</v>
      </c>
      <c r="H230" s="118">
        <v>6256</v>
      </c>
      <c r="I230" s="118">
        <v>7949</v>
      </c>
      <c r="J230" s="118">
        <v>7903</v>
      </c>
      <c r="K230" s="119">
        <v>630.16</v>
      </c>
      <c r="L230" s="120">
        <v>594.91999999999996</v>
      </c>
      <c r="M230" s="121">
        <f t="shared" si="3"/>
        <v>93.357037037037031</v>
      </c>
      <c r="N230" s="121"/>
      <c r="O230" s="142"/>
      <c r="P230" s="117">
        <v>157497.71</v>
      </c>
      <c r="Q230" s="116">
        <v>76</v>
      </c>
      <c r="R230" s="116">
        <f>97350+14800+6665+1306+28735+1860</f>
        <v>150716</v>
      </c>
      <c r="S230" s="116"/>
      <c r="T230" s="117"/>
      <c r="U230" s="116">
        <v>1922</v>
      </c>
      <c r="V230" s="117"/>
      <c r="W230" s="117"/>
      <c r="X230" s="4" t="s">
        <v>1970</v>
      </c>
      <c r="Y230" s="4" t="s">
        <v>563</v>
      </c>
      <c r="Z230" s="4" t="s">
        <v>564</v>
      </c>
      <c r="AA230" s="4" t="s">
        <v>565</v>
      </c>
      <c r="AB230" s="27"/>
      <c r="AC230" s="27"/>
      <c r="AD230" s="27"/>
      <c r="AE230" s="27"/>
    </row>
    <row r="231" spans="1:31" x14ac:dyDescent="0.25">
      <c r="A231" s="116" t="s">
        <v>1593</v>
      </c>
      <c r="B231" s="116" t="s">
        <v>204</v>
      </c>
      <c r="C231" s="116" t="s">
        <v>2333</v>
      </c>
      <c r="D231" s="117">
        <v>45</v>
      </c>
      <c r="E231" s="117">
        <v>3</v>
      </c>
      <c r="F231" s="116">
        <v>3</v>
      </c>
      <c r="G231" s="116">
        <v>180</v>
      </c>
      <c r="H231" s="116">
        <v>46</v>
      </c>
      <c r="I231" s="116">
        <v>46</v>
      </c>
      <c r="J231" s="116">
        <v>52</v>
      </c>
      <c r="K231" s="119">
        <v>1245</v>
      </c>
      <c r="L231" s="120">
        <v>1245</v>
      </c>
      <c r="M231" s="121">
        <f t="shared" si="3"/>
        <v>138.33333333333334</v>
      </c>
      <c r="N231" s="121"/>
      <c r="O231" s="142"/>
      <c r="P231" s="117">
        <v>4716.97</v>
      </c>
      <c r="Q231" s="116">
        <v>1</v>
      </c>
      <c r="R231" s="116">
        <f>18000</f>
        <v>18000</v>
      </c>
      <c r="S231" s="116"/>
      <c r="T231" s="117"/>
      <c r="U231" s="116">
        <v>1922</v>
      </c>
      <c r="V231" s="117"/>
      <c r="W231" s="117"/>
      <c r="X231" s="4" t="s">
        <v>1970</v>
      </c>
      <c r="Y231" s="4" t="s">
        <v>563</v>
      </c>
      <c r="Z231" s="4" t="s">
        <v>564</v>
      </c>
      <c r="AA231" s="4" t="s">
        <v>565</v>
      </c>
      <c r="AB231" s="27"/>
      <c r="AC231" s="27"/>
      <c r="AD231" s="27"/>
      <c r="AE231" s="27"/>
    </row>
    <row r="232" spans="1:31" x14ac:dyDescent="0.25">
      <c r="A232" s="116" t="s">
        <v>1594</v>
      </c>
      <c r="B232" s="116" t="s">
        <v>204</v>
      </c>
      <c r="C232" s="116" t="s">
        <v>2334</v>
      </c>
      <c r="D232" s="117">
        <v>1385</v>
      </c>
      <c r="E232" s="117">
        <v>71</v>
      </c>
      <c r="F232" s="116">
        <v>12</v>
      </c>
      <c r="G232" s="116">
        <v>170</v>
      </c>
      <c r="H232" s="116">
        <v>228</v>
      </c>
      <c r="I232" s="116">
        <v>2183</v>
      </c>
      <c r="J232" s="116">
        <f>209+191+539+122+939</f>
        <v>2000</v>
      </c>
      <c r="K232" s="119">
        <v>1034.6600000000001</v>
      </c>
      <c r="L232" s="120">
        <v>762.08</v>
      </c>
      <c r="M232" s="121">
        <f t="shared" si="3"/>
        <v>121.72470588235295</v>
      </c>
      <c r="N232" s="121"/>
      <c r="O232" s="142"/>
      <c r="P232" s="117">
        <v>93594.87</v>
      </c>
      <c r="Q232" s="116">
        <v>10</v>
      </c>
      <c r="R232" s="116">
        <f>9450+650+1370</f>
        <v>11470</v>
      </c>
      <c r="S232" s="116"/>
      <c r="T232" s="117"/>
      <c r="U232" s="116">
        <v>1922</v>
      </c>
      <c r="V232" s="117"/>
      <c r="W232" s="117"/>
      <c r="X232" s="4" t="s">
        <v>1970</v>
      </c>
      <c r="Y232" s="4" t="s">
        <v>563</v>
      </c>
      <c r="Z232" s="4" t="s">
        <v>564</v>
      </c>
      <c r="AA232" s="4" t="s">
        <v>565</v>
      </c>
      <c r="AB232" s="27"/>
      <c r="AC232" s="27"/>
      <c r="AD232" s="27"/>
      <c r="AE232" s="27"/>
    </row>
    <row r="233" spans="1:31" x14ac:dyDescent="0.25">
      <c r="A233" s="116" t="s">
        <v>1765</v>
      </c>
      <c r="B233" s="116" t="s">
        <v>204</v>
      </c>
      <c r="C233" s="116" t="s">
        <v>2335</v>
      </c>
      <c r="D233" s="117">
        <v>573</v>
      </c>
      <c r="E233" s="117">
        <v>46</v>
      </c>
      <c r="F233" s="116">
        <v>20</v>
      </c>
      <c r="G233" s="116">
        <v>175</v>
      </c>
      <c r="H233" s="116">
        <v>691</v>
      </c>
      <c r="I233" s="116">
        <v>1657</v>
      </c>
      <c r="J233" s="116">
        <v>1728</v>
      </c>
      <c r="K233" s="119">
        <v>1143.3599999999999</v>
      </c>
      <c r="L233" s="120">
        <v>860.26</v>
      </c>
      <c r="M233" s="121">
        <f t="shared" si="3"/>
        <v>130.66971428571426</v>
      </c>
      <c r="N233" s="121"/>
      <c r="O233" s="142"/>
      <c r="P233" s="117">
        <v>81647.789999999994</v>
      </c>
      <c r="Q233" s="116">
        <v>6</v>
      </c>
      <c r="R233" s="116">
        <f>40000+15000+10000</f>
        <v>65000</v>
      </c>
      <c r="S233" s="116"/>
      <c r="T233" s="117"/>
      <c r="U233" s="116">
        <v>1922</v>
      </c>
      <c r="V233" s="117"/>
      <c r="W233" s="117"/>
      <c r="X233" s="4" t="s">
        <v>1970</v>
      </c>
      <c r="Y233" s="4" t="s">
        <v>563</v>
      </c>
      <c r="Z233" s="4" t="s">
        <v>564</v>
      </c>
      <c r="AA233" s="4" t="s">
        <v>565</v>
      </c>
      <c r="AB233" s="27"/>
      <c r="AC233" s="27"/>
      <c r="AD233" s="27"/>
      <c r="AE233" s="27"/>
    </row>
    <row r="234" spans="1:31" x14ac:dyDescent="0.25">
      <c r="A234" s="116" t="s">
        <v>1595</v>
      </c>
      <c r="B234" s="116" t="s">
        <v>204</v>
      </c>
      <c r="C234" s="116" t="s">
        <v>2336</v>
      </c>
      <c r="D234" s="117">
        <v>6062</v>
      </c>
      <c r="E234" s="117">
        <v>247</v>
      </c>
      <c r="F234" s="116">
        <v>187</v>
      </c>
      <c r="G234" s="116">
        <v>119</v>
      </c>
      <c r="H234" s="118">
        <v>6475</v>
      </c>
      <c r="I234" s="118">
        <v>9072</v>
      </c>
      <c r="J234" s="118">
        <v>9514</v>
      </c>
      <c r="K234" s="12"/>
      <c r="L234" s="120">
        <v>302.55</v>
      </c>
      <c r="M234" s="121">
        <f t="shared" si="3"/>
        <v>0</v>
      </c>
      <c r="N234" s="121"/>
      <c r="O234" s="142"/>
      <c r="P234" s="117">
        <v>259414.31</v>
      </c>
      <c r="Q234" s="116">
        <v>78</v>
      </c>
      <c r="R234" s="116">
        <f>210885+8500+16840+450+39290+2100</f>
        <v>278065</v>
      </c>
      <c r="S234" s="116"/>
      <c r="T234" s="117"/>
      <c r="U234" s="116">
        <v>1922</v>
      </c>
      <c r="V234" s="117"/>
      <c r="W234" s="117"/>
      <c r="X234" s="4" t="s">
        <v>1970</v>
      </c>
      <c r="Y234" s="4" t="s">
        <v>563</v>
      </c>
      <c r="Z234" s="4" t="s">
        <v>564</v>
      </c>
      <c r="AA234" s="4" t="s">
        <v>565</v>
      </c>
      <c r="AB234" s="27"/>
      <c r="AC234" s="27"/>
      <c r="AD234" s="27"/>
      <c r="AE234" s="27"/>
    </row>
    <row r="235" spans="1:31" x14ac:dyDescent="0.25">
      <c r="A235" s="116" t="s">
        <v>1596</v>
      </c>
      <c r="B235" s="116" t="s">
        <v>204</v>
      </c>
      <c r="C235" s="116" t="s">
        <v>2337</v>
      </c>
      <c r="D235" s="117">
        <v>2396</v>
      </c>
      <c r="E235" s="117">
        <v>133</v>
      </c>
      <c r="F235" s="116">
        <v>74</v>
      </c>
      <c r="G235" s="116">
        <v>137</v>
      </c>
      <c r="H235" s="118">
        <v>2074</v>
      </c>
      <c r="I235" s="118">
        <v>3662</v>
      </c>
      <c r="J235" s="118">
        <v>3057</v>
      </c>
      <c r="K235" s="119">
        <v>719.48</v>
      </c>
      <c r="L235" s="120">
        <v>657.56</v>
      </c>
      <c r="M235" s="121">
        <f t="shared" si="3"/>
        <v>105.03357664233577</v>
      </c>
      <c r="N235" s="121"/>
      <c r="O235" s="142"/>
      <c r="P235" s="117">
        <v>137975.41</v>
      </c>
      <c r="Q235" s="116">
        <v>55</v>
      </c>
      <c r="R235" s="116">
        <f>85350+4900+5128+535+14800+808</f>
        <v>111521</v>
      </c>
      <c r="S235" s="116"/>
      <c r="T235" s="117"/>
      <c r="U235" s="116">
        <v>1922</v>
      </c>
      <c r="V235" s="117"/>
      <c r="W235" s="117"/>
      <c r="X235" s="4" t="s">
        <v>1970</v>
      </c>
      <c r="Y235" s="4" t="s">
        <v>563</v>
      </c>
      <c r="Z235" s="4" t="s">
        <v>564</v>
      </c>
      <c r="AA235" s="4" t="s">
        <v>565</v>
      </c>
      <c r="AB235" s="27"/>
      <c r="AC235" s="27"/>
      <c r="AD235" s="27"/>
      <c r="AE235" s="27"/>
    </row>
    <row r="236" spans="1:31" x14ac:dyDescent="0.25">
      <c r="A236" s="116" t="s">
        <v>1597</v>
      </c>
      <c r="B236" s="116" t="s">
        <v>204</v>
      </c>
      <c r="C236" s="116" t="s">
        <v>55</v>
      </c>
      <c r="D236" s="117">
        <v>2808</v>
      </c>
      <c r="E236" s="117">
        <v>142</v>
      </c>
      <c r="F236" s="116">
        <v>111</v>
      </c>
      <c r="G236" s="116">
        <v>112</v>
      </c>
      <c r="H236" s="118">
        <v>3175</v>
      </c>
      <c r="I236" s="118">
        <v>4340</v>
      </c>
      <c r="J236" s="118">
        <v>4381</v>
      </c>
      <c r="K236" s="119">
        <v>608.55999999999995</v>
      </c>
      <c r="L236" s="120">
        <v>537.26</v>
      </c>
      <c r="M236" s="121">
        <f t="shared" si="3"/>
        <v>108.67142857142856</v>
      </c>
      <c r="N236" s="121"/>
      <c r="O236" s="142"/>
      <c r="P236" s="117">
        <v>132840.91</v>
      </c>
      <c r="Q236" s="116">
        <v>54</v>
      </c>
      <c r="R236" s="116">
        <f>50000+20000+4000+2500+30000+8000</f>
        <v>114500</v>
      </c>
      <c r="S236" s="116"/>
      <c r="T236" s="117"/>
      <c r="U236" s="116">
        <v>1922</v>
      </c>
      <c r="V236" s="117"/>
      <c r="W236" s="117"/>
      <c r="X236" s="4" t="s">
        <v>1970</v>
      </c>
      <c r="Y236" s="4" t="s">
        <v>563</v>
      </c>
      <c r="Z236" s="4" t="s">
        <v>564</v>
      </c>
      <c r="AA236" s="4" t="s">
        <v>565</v>
      </c>
      <c r="AB236" s="27"/>
      <c r="AC236" s="27"/>
      <c r="AD236" s="27"/>
      <c r="AE236" s="27"/>
    </row>
    <row r="237" spans="1:31" x14ac:dyDescent="0.25">
      <c r="A237" s="116" t="s">
        <v>1598</v>
      </c>
      <c r="B237" s="116" t="s">
        <v>204</v>
      </c>
      <c r="C237" s="116" t="s">
        <v>2338</v>
      </c>
      <c r="D237" s="117">
        <v>1297</v>
      </c>
      <c r="E237" s="117">
        <v>131</v>
      </c>
      <c r="F237" s="116">
        <v>98</v>
      </c>
      <c r="G237" s="116">
        <v>138</v>
      </c>
      <c r="H237" s="118">
        <v>1800</v>
      </c>
      <c r="I237" s="118">
        <v>2991</v>
      </c>
      <c r="J237" s="118">
        <v>2745</v>
      </c>
      <c r="K237" s="119">
        <v>443.21</v>
      </c>
      <c r="L237" s="120">
        <v>340.15</v>
      </c>
      <c r="M237" s="121">
        <f t="shared" si="3"/>
        <v>64.23333333333332</v>
      </c>
      <c r="N237" s="121"/>
      <c r="O237" s="142"/>
      <c r="P237" s="117">
        <v>60364.19</v>
      </c>
      <c r="Q237" s="116">
        <v>41</v>
      </c>
      <c r="R237" s="116">
        <f>21010+5910+1245+151+5150+985</f>
        <v>34451</v>
      </c>
      <c r="S237" s="116"/>
      <c r="T237" s="117"/>
      <c r="U237" s="116">
        <v>1922</v>
      </c>
      <c r="V237" s="117"/>
      <c r="W237" s="117"/>
      <c r="X237" s="4" t="s">
        <v>1970</v>
      </c>
      <c r="Y237" s="4" t="s">
        <v>563</v>
      </c>
      <c r="Z237" s="4" t="s">
        <v>564</v>
      </c>
      <c r="AA237" s="4" t="s">
        <v>565</v>
      </c>
      <c r="AB237" s="27"/>
      <c r="AC237" s="27"/>
      <c r="AD237" s="27"/>
      <c r="AE237" s="27"/>
    </row>
    <row r="238" spans="1:31" x14ac:dyDescent="0.25">
      <c r="A238" s="116" t="s">
        <v>1599</v>
      </c>
      <c r="B238" s="116" t="s">
        <v>204</v>
      </c>
      <c r="C238" s="116" t="s">
        <v>2339</v>
      </c>
      <c r="E238" s="117">
        <v>15</v>
      </c>
      <c r="F238" s="116">
        <v>15</v>
      </c>
      <c r="G238" s="116">
        <v>150</v>
      </c>
      <c r="H238" s="116">
        <v>426</v>
      </c>
      <c r="I238" s="116">
        <v>426</v>
      </c>
      <c r="J238" s="116">
        <v>373</v>
      </c>
      <c r="K238" s="119">
        <v>1595</v>
      </c>
      <c r="L238" s="120">
        <v>1593</v>
      </c>
      <c r="M238" s="121">
        <f t="shared" si="3"/>
        <v>212.66666666666666</v>
      </c>
      <c r="N238" s="121"/>
      <c r="O238" s="142"/>
      <c r="P238" s="117">
        <v>30188.85</v>
      </c>
      <c r="Q238" s="116">
        <v>5</v>
      </c>
      <c r="R238" s="116"/>
      <c r="S238" s="116"/>
      <c r="T238" s="117"/>
      <c r="U238" s="116">
        <v>1922</v>
      </c>
      <c r="V238" s="117"/>
      <c r="W238" s="117"/>
      <c r="X238" s="4" t="s">
        <v>1970</v>
      </c>
      <c r="Y238" s="4" t="s">
        <v>563</v>
      </c>
      <c r="Z238" s="4" t="s">
        <v>564</v>
      </c>
      <c r="AA238" s="4" t="s">
        <v>565</v>
      </c>
      <c r="AB238" s="27"/>
      <c r="AC238" s="27"/>
      <c r="AD238" s="27"/>
      <c r="AE238" s="27"/>
    </row>
    <row r="239" spans="1:31" x14ac:dyDescent="0.25">
      <c r="A239" s="116" t="s">
        <v>1600</v>
      </c>
      <c r="B239" s="116" t="s">
        <v>204</v>
      </c>
      <c r="C239" s="116" t="s">
        <v>56</v>
      </c>
      <c r="D239" s="117">
        <v>4458</v>
      </c>
      <c r="E239" s="117">
        <v>150</v>
      </c>
      <c r="F239" s="116">
        <v>112</v>
      </c>
      <c r="G239" s="116">
        <v>143</v>
      </c>
      <c r="H239" s="118">
        <v>4923</v>
      </c>
      <c r="I239" s="118">
        <v>6307</v>
      </c>
      <c r="J239" s="118">
        <f>4766+1108</f>
        <v>5874</v>
      </c>
      <c r="K239" s="119">
        <v>759.82</v>
      </c>
      <c r="L239" s="120">
        <v>664.5</v>
      </c>
      <c r="M239" s="121">
        <f t="shared" si="3"/>
        <v>106.26853146853146</v>
      </c>
      <c r="N239" s="121"/>
      <c r="O239" s="142"/>
      <c r="P239" s="117">
        <v>160036.78</v>
      </c>
      <c r="Q239" s="116">
        <v>75</v>
      </c>
      <c r="R239" s="116">
        <f>52732.5+20000+8295+5200+8832.7+5650</f>
        <v>100710.2</v>
      </c>
      <c r="S239" s="116"/>
      <c r="T239" s="117"/>
      <c r="U239" s="116">
        <v>1922</v>
      </c>
      <c r="V239" s="117"/>
      <c r="W239" s="117"/>
      <c r="X239" s="4" t="s">
        <v>1970</v>
      </c>
      <c r="Y239" s="4" t="s">
        <v>563</v>
      </c>
      <c r="Z239" s="4" t="s">
        <v>564</v>
      </c>
      <c r="AA239" s="4" t="s">
        <v>565</v>
      </c>
      <c r="AB239" s="27"/>
      <c r="AC239" s="27"/>
      <c r="AD239" s="27"/>
      <c r="AE239" s="27"/>
    </row>
    <row r="240" spans="1:31" x14ac:dyDescent="0.25">
      <c r="A240" s="116" t="s">
        <v>1601</v>
      </c>
      <c r="B240" s="116" t="s">
        <v>204</v>
      </c>
      <c r="C240" s="116" t="s">
        <v>2340</v>
      </c>
      <c r="D240" s="117">
        <v>1454</v>
      </c>
      <c r="E240" s="117">
        <v>85</v>
      </c>
      <c r="F240" s="116">
        <v>31</v>
      </c>
      <c r="G240" s="116">
        <v>169</v>
      </c>
      <c r="H240" s="116">
        <v>988</v>
      </c>
      <c r="I240" s="116">
        <v>4445</v>
      </c>
      <c r="J240" s="116">
        <v>4976</v>
      </c>
      <c r="K240" s="119">
        <v>1109.69</v>
      </c>
      <c r="L240" s="120">
        <v>1007.74</v>
      </c>
      <c r="M240" s="121">
        <f t="shared" si="3"/>
        <v>131.32426035502959</v>
      </c>
      <c r="N240" s="121"/>
      <c r="O240" s="142"/>
      <c r="P240" s="117">
        <v>177691.78</v>
      </c>
      <c r="Q240" s="116">
        <v>20</v>
      </c>
      <c r="R240" s="116">
        <f>3500+800+2200</f>
        <v>6500</v>
      </c>
      <c r="S240" s="116"/>
      <c r="T240" s="117"/>
      <c r="U240" s="116">
        <v>1922</v>
      </c>
      <c r="V240" s="117"/>
      <c r="W240" s="117"/>
      <c r="X240" s="4" t="s">
        <v>1970</v>
      </c>
      <c r="Y240" s="4" t="s">
        <v>563</v>
      </c>
      <c r="Z240" s="4" t="s">
        <v>564</v>
      </c>
      <c r="AA240" s="4" t="s">
        <v>565</v>
      </c>
      <c r="AB240" s="27"/>
      <c r="AC240" s="27"/>
      <c r="AD240" s="27"/>
      <c r="AE240" s="27"/>
    </row>
    <row r="241" spans="1:31" x14ac:dyDescent="0.25">
      <c r="A241" s="116" t="s">
        <v>1602</v>
      </c>
      <c r="B241" s="116" t="s">
        <v>204</v>
      </c>
      <c r="C241" s="116" t="s">
        <v>2341</v>
      </c>
      <c r="D241" s="117">
        <v>4013</v>
      </c>
      <c r="E241" s="117">
        <v>157</v>
      </c>
      <c r="F241" s="116">
        <v>101</v>
      </c>
      <c r="G241" s="116">
        <v>148</v>
      </c>
      <c r="H241" s="118">
        <v>5917</v>
      </c>
      <c r="I241" s="118">
        <v>5917</v>
      </c>
      <c r="J241" s="118">
        <v>5863</v>
      </c>
      <c r="K241" s="119">
        <v>935.46</v>
      </c>
      <c r="L241" s="120">
        <v>796.09</v>
      </c>
      <c r="M241" s="121">
        <f t="shared" si="3"/>
        <v>126.41351351351351</v>
      </c>
      <c r="N241" s="121"/>
      <c r="O241" s="142"/>
      <c r="P241" s="117">
        <v>205689.97</v>
      </c>
      <c r="Q241" s="116">
        <v>62</v>
      </c>
      <c r="R241" s="116">
        <f>138300+13590+18700+2200+14000+3298</f>
        <v>190088</v>
      </c>
      <c r="S241" s="116"/>
      <c r="T241" s="117"/>
      <c r="U241" s="116">
        <v>1922</v>
      </c>
      <c r="V241" s="117"/>
      <c r="W241" s="117"/>
      <c r="X241" s="4" t="s">
        <v>1970</v>
      </c>
      <c r="Y241" s="4" t="s">
        <v>563</v>
      </c>
      <c r="Z241" s="4" t="s">
        <v>564</v>
      </c>
      <c r="AA241" s="4" t="s">
        <v>565</v>
      </c>
      <c r="AB241" s="27"/>
      <c r="AC241" s="27"/>
      <c r="AD241" s="27"/>
      <c r="AE241" s="27"/>
    </row>
    <row r="242" spans="1:31" x14ac:dyDescent="0.25">
      <c r="A242" s="116" t="s">
        <v>1603</v>
      </c>
      <c r="B242" s="116" t="s">
        <v>204</v>
      </c>
      <c r="C242" s="116" t="s">
        <v>2342</v>
      </c>
      <c r="D242" s="117">
        <v>1419</v>
      </c>
      <c r="E242" s="117">
        <v>47</v>
      </c>
      <c r="F242" s="116">
        <v>38</v>
      </c>
      <c r="G242" s="116">
        <v>127</v>
      </c>
      <c r="H242" s="118">
        <v>1642</v>
      </c>
      <c r="I242" s="118">
        <v>2596</v>
      </c>
      <c r="J242" s="118">
        <v>2596</v>
      </c>
      <c r="K242" s="119">
        <v>1052.17</v>
      </c>
      <c r="L242" s="120">
        <v>811.23</v>
      </c>
      <c r="M242" s="121">
        <f t="shared" si="3"/>
        <v>165.696062992126</v>
      </c>
      <c r="N242" s="121"/>
      <c r="O242" s="142"/>
      <c r="P242" s="117">
        <v>106534.53</v>
      </c>
      <c r="Q242" s="116">
        <v>32</v>
      </c>
      <c r="R242" s="116">
        <f>39350+39350+15000</f>
        <v>93700</v>
      </c>
      <c r="S242" s="116"/>
      <c r="T242" s="117"/>
      <c r="U242" s="116">
        <v>1922</v>
      </c>
      <c r="V242" s="117"/>
      <c r="W242" s="117"/>
      <c r="X242" s="4" t="s">
        <v>1970</v>
      </c>
      <c r="Y242" s="4" t="s">
        <v>563</v>
      </c>
      <c r="Z242" s="4" t="s">
        <v>564</v>
      </c>
      <c r="AA242" s="4" t="s">
        <v>565</v>
      </c>
      <c r="AB242" s="27"/>
      <c r="AC242" s="27"/>
      <c r="AD242" s="27"/>
      <c r="AE242" s="27"/>
    </row>
    <row r="243" spans="1:31" x14ac:dyDescent="0.25">
      <c r="A243" s="116" t="s">
        <v>1604</v>
      </c>
      <c r="B243" s="116" t="s">
        <v>204</v>
      </c>
      <c r="C243" s="116" t="s">
        <v>2343</v>
      </c>
      <c r="D243" s="117">
        <v>10233</v>
      </c>
      <c r="E243" s="117">
        <v>283</v>
      </c>
      <c r="F243" s="116">
        <v>68</v>
      </c>
      <c r="G243" s="116">
        <v>164</v>
      </c>
      <c r="H243" s="118">
        <v>2686</v>
      </c>
      <c r="I243" s="118">
        <v>13204</v>
      </c>
      <c r="J243" s="118">
        <v>14669</v>
      </c>
      <c r="K243" s="119">
        <v>1559.92</v>
      </c>
      <c r="L243" s="120">
        <v>1207.3900000000001</v>
      </c>
      <c r="M243" s="121">
        <f t="shared" si="3"/>
        <v>190.23414634146343</v>
      </c>
      <c r="N243" s="121"/>
      <c r="O243" s="142"/>
      <c r="P243" s="117">
        <v>781997.63</v>
      </c>
      <c r="Q243" s="116">
        <v>33</v>
      </c>
      <c r="R243" s="116">
        <f>85000+6000+15000</f>
        <v>106000</v>
      </c>
      <c r="S243" s="116"/>
      <c r="T243" s="117"/>
      <c r="U243" s="116">
        <v>1922</v>
      </c>
      <c r="V243" s="117"/>
      <c r="W243" s="117"/>
      <c r="X243" s="4" t="s">
        <v>1971</v>
      </c>
      <c r="Y243" s="4" t="s">
        <v>566</v>
      </c>
      <c r="Z243" s="4" t="s">
        <v>564</v>
      </c>
      <c r="AA243" s="4" t="s">
        <v>565</v>
      </c>
      <c r="AB243" s="27"/>
      <c r="AC243" s="27"/>
      <c r="AD243" s="27"/>
      <c r="AE243" s="27"/>
    </row>
    <row r="244" spans="1:31" x14ac:dyDescent="0.25">
      <c r="A244" s="116" t="s">
        <v>1605</v>
      </c>
      <c r="B244" s="116" t="s">
        <v>204</v>
      </c>
      <c r="C244" s="116" t="s">
        <v>2344</v>
      </c>
      <c r="D244" s="117">
        <v>3797</v>
      </c>
      <c r="E244" s="117">
        <v>139</v>
      </c>
      <c r="F244" s="116">
        <v>85</v>
      </c>
      <c r="G244" s="116">
        <v>168</v>
      </c>
      <c r="H244" s="118">
        <v>3145</v>
      </c>
      <c r="I244" s="118">
        <v>5156</v>
      </c>
      <c r="J244" s="118">
        <v>5571</v>
      </c>
      <c r="K244" s="119">
        <v>935.44</v>
      </c>
      <c r="L244" s="120">
        <v>901.49</v>
      </c>
      <c r="M244" s="121">
        <f t="shared" si="3"/>
        <v>111.36190476190477</v>
      </c>
      <c r="N244" s="121"/>
      <c r="O244" s="142"/>
      <c r="P244" s="117">
        <v>173597.11</v>
      </c>
      <c r="Q244" s="116">
        <v>35</v>
      </c>
      <c r="R244" s="116">
        <f>108700+7240+27460</f>
        <v>143400</v>
      </c>
      <c r="S244" s="116"/>
      <c r="T244" s="117"/>
      <c r="U244" s="116">
        <v>1922</v>
      </c>
      <c r="V244" s="117"/>
      <c r="W244" s="117"/>
      <c r="X244" s="4" t="s">
        <v>1971</v>
      </c>
      <c r="Y244" s="4" t="s">
        <v>566</v>
      </c>
      <c r="Z244" s="4" t="s">
        <v>564</v>
      </c>
      <c r="AA244" s="4" t="s">
        <v>565</v>
      </c>
      <c r="AB244" s="27"/>
      <c r="AC244" s="27"/>
      <c r="AD244" s="27"/>
      <c r="AE244" s="27"/>
    </row>
    <row r="245" spans="1:31" x14ac:dyDescent="0.25">
      <c r="A245" s="116" t="s">
        <v>1606</v>
      </c>
      <c r="B245" s="116" t="s">
        <v>204</v>
      </c>
      <c r="C245" s="116" t="s">
        <v>2345</v>
      </c>
      <c r="D245" s="117">
        <v>847</v>
      </c>
      <c r="E245" s="117">
        <v>23</v>
      </c>
      <c r="F245" s="116">
        <v>10</v>
      </c>
      <c r="G245" s="116">
        <v>150</v>
      </c>
      <c r="H245" s="116">
        <v>257</v>
      </c>
      <c r="I245" s="116">
        <v>586</v>
      </c>
      <c r="J245" s="116">
        <v>1042</v>
      </c>
      <c r="K245" s="119">
        <v>643.91</v>
      </c>
      <c r="L245" s="120">
        <v>943.5</v>
      </c>
      <c r="M245" s="121">
        <f t="shared" si="3"/>
        <v>85.85466666666666</v>
      </c>
      <c r="N245" s="121"/>
      <c r="O245" s="142"/>
      <c r="P245" s="117">
        <v>44891.8</v>
      </c>
      <c r="Q245" s="116">
        <v>8</v>
      </c>
      <c r="R245" s="27">
        <f>70700+5820+8800</f>
        <v>85320</v>
      </c>
      <c r="S245" s="116"/>
      <c r="T245" s="117"/>
      <c r="U245" s="116">
        <v>1922</v>
      </c>
      <c r="V245" s="117"/>
      <c r="W245" s="117"/>
      <c r="X245" s="4" t="s">
        <v>1971</v>
      </c>
      <c r="Y245" s="4" t="s">
        <v>566</v>
      </c>
      <c r="Z245" s="4" t="s">
        <v>564</v>
      </c>
      <c r="AA245" s="4" t="s">
        <v>565</v>
      </c>
      <c r="AB245" s="27"/>
      <c r="AC245" s="27"/>
      <c r="AD245" s="27"/>
      <c r="AE245" s="27"/>
    </row>
    <row r="246" spans="1:31" x14ac:dyDescent="0.25">
      <c r="A246" s="116" t="s">
        <v>1607</v>
      </c>
      <c r="B246" s="116" t="s">
        <v>204</v>
      </c>
      <c r="C246" s="116" t="s">
        <v>314</v>
      </c>
      <c r="D246" s="117">
        <v>6931</v>
      </c>
      <c r="E246" s="117">
        <v>301</v>
      </c>
      <c r="F246" s="116">
        <v>158</v>
      </c>
      <c r="G246" s="116">
        <v>112</v>
      </c>
      <c r="H246" s="118">
        <v>5443</v>
      </c>
      <c r="I246" s="118">
        <v>10581</v>
      </c>
      <c r="J246" s="118">
        <f>4695+308+1025+741+338+217+302+347+148+1770</f>
        <v>9891</v>
      </c>
      <c r="K246" s="119">
        <v>833.68</v>
      </c>
      <c r="L246" s="120">
        <v>721.7</v>
      </c>
      <c r="M246" s="121">
        <f t="shared" si="3"/>
        <v>148.87142857142857</v>
      </c>
      <c r="N246" s="121"/>
      <c r="O246" s="142"/>
      <c r="P246" s="117">
        <v>363950.1</v>
      </c>
      <c r="Q246" s="116">
        <v>92</v>
      </c>
      <c r="R246" s="116">
        <f>145550.31+15935+22463</f>
        <v>183948.31</v>
      </c>
      <c r="S246" s="116"/>
      <c r="T246" s="117"/>
      <c r="U246" s="116">
        <v>1922</v>
      </c>
      <c r="V246" s="117"/>
      <c r="W246" s="117"/>
      <c r="X246" s="4" t="s">
        <v>1971</v>
      </c>
      <c r="Y246" s="4" t="s">
        <v>566</v>
      </c>
      <c r="Z246" s="4" t="s">
        <v>564</v>
      </c>
      <c r="AA246" s="4" t="s">
        <v>565</v>
      </c>
      <c r="AB246" s="27"/>
      <c r="AC246" s="27"/>
      <c r="AD246" s="27"/>
      <c r="AE246" s="27"/>
    </row>
    <row r="247" spans="1:31" x14ac:dyDescent="0.25">
      <c r="A247" s="116" t="s">
        <v>1608</v>
      </c>
      <c r="B247" s="116" t="s">
        <v>204</v>
      </c>
      <c r="C247" s="116" t="s">
        <v>276</v>
      </c>
      <c r="D247" s="117">
        <v>1024</v>
      </c>
      <c r="E247" s="117">
        <v>122</v>
      </c>
      <c r="F247" s="116">
        <v>92</v>
      </c>
      <c r="G247" s="116">
        <v>148</v>
      </c>
      <c r="H247" s="118">
        <v>2944</v>
      </c>
      <c r="I247" s="118">
        <v>4173</v>
      </c>
      <c r="J247" s="118">
        <v>4954</v>
      </c>
      <c r="K247" s="119">
        <v>756.88</v>
      </c>
      <c r="L247" s="120">
        <v>653.27</v>
      </c>
      <c r="M247" s="121">
        <f t="shared" si="3"/>
        <v>102.28108108108107</v>
      </c>
      <c r="N247" s="121"/>
      <c r="O247" s="142"/>
      <c r="P247" s="117">
        <v>129067.84</v>
      </c>
      <c r="Q247" s="116">
        <v>50</v>
      </c>
      <c r="R247" s="116">
        <f>61000+2000+9100+600+28000+600</f>
        <v>101300</v>
      </c>
      <c r="S247" s="116"/>
      <c r="T247" s="117"/>
      <c r="U247" s="116">
        <v>1922</v>
      </c>
      <c r="V247" s="117"/>
      <c r="W247" s="117"/>
      <c r="X247" s="4" t="s">
        <v>1971</v>
      </c>
      <c r="Y247" s="4" t="s">
        <v>566</v>
      </c>
      <c r="Z247" s="4" t="s">
        <v>564</v>
      </c>
      <c r="AA247" s="4" t="s">
        <v>565</v>
      </c>
      <c r="AB247" s="27"/>
      <c r="AC247" s="27"/>
      <c r="AD247" s="27"/>
      <c r="AE247" s="27"/>
    </row>
    <row r="248" spans="1:31" x14ac:dyDescent="0.25">
      <c r="A248" s="116" t="s">
        <v>1609</v>
      </c>
      <c r="B248" s="116" t="s">
        <v>204</v>
      </c>
      <c r="C248" s="116" t="s">
        <v>2346</v>
      </c>
      <c r="D248" s="117">
        <v>6</v>
      </c>
      <c r="E248" s="117">
        <v>1</v>
      </c>
      <c r="F248" s="116">
        <v>1</v>
      </c>
      <c r="G248" s="116">
        <v>155</v>
      </c>
      <c r="H248" s="116">
        <v>4</v>
      </c>
      <c r="I248" s="116">
        <v>4</v>
      </c>
      <c r="J248" s="116">
        <v>7</v>
      </c>
      <c r="K248" s="119">
        <v>800</v>
      </c>
      <c r="L248" s="120">
        <v>800</v>
      </c>
      <c r="M248" s="121">
        <f t="shared" si="3"/>
        <v>103.2258064516129</v>
      </c>
      <c r="N248" s="121"/>
      <c r="O248" s="142"/>
      <c r="P248" s="117">
        <v>950.66</v>
      </c>
      <c r="Q248" s="116">
        <v>1</v>
      </c>
      <c r="R248" s="116">
        <f>800+250+200</f>
        <v>1250</v>
      </c>
      <c r="S248" s="116"/>
      <c r="T248" s="117"/>
      <c r="U248" s="116">
        <v>1922</v>
      </c>
      <c r="V248" s="117"/>
      <c r="W248" s="117"/>
      <c r="X248" s="4" t="s">
        <v>1971</v>
      </c>
      <c r="Y248" s="4" t="s">
        <v>566</v>
      </c>
      <c r="Z248" s="4" t="s">
        <v>564</v>
      </c>
      <c r="AA248" s="4" t="s">
        <v>565</v>
      </c>
      <c r="AB248" s="27"/>
      <c r="AC248" s="27"/>
      <c r="AD248" s="27"/>
      <c r="AE248" s="27"/>
    </row>
    <row r="249" spans="1:31" x14ac:dyDescent="0.25">
      <c r="A249" s="116" t="s">
        <v>1610</v>
      </c>
      <c r="B249" s="116" t="s">
        <v>204</v>
      </c>
      <c r="C249" s="116" t="s">
        <v>324</v>
      </c>
      <c r="D249" s="117">
        <v>4549</v>
      </c>
      <c r="E249" s="117">
        <v>190</v>
      </c>
      <c r="F249" s="116">
        <v>139</v>
      </c>
      <c r="G249" s="116">
        <v>120</v>
      </c>
      <c r="H249" s="118">
        <v>4606</v>
      </c>
      <c r="I249" s="118">
        <v>6751</v>
      </c>
      <c r="J249" s="118">
        <f>4390+339+656+293+681</f>
        <v>6359</v>
      </c>
      <c r="K249" s="119">
        <v>679.36</v>
      </c>
      <c r="L249" s="120">
        <v>619.91999999999996</v>
      </c>
      <c r="M249" s="121">
        <f t="shared" si="3"/>
        <v>113.22666666666667</v>
      </c>
      <c r="N249" s="121"/>
      <c r="O249" s="142"/>
      <c r="P249" s="117">
        <v>184161.3</v>
      </c>
      <c r="Q249" s="116">
        <v>83</v>
      </c>
      <c r="R249" s="116">
        <f>127500+200+8500+50+15000+50</f>
        <v>151300</v>
      </c>
      <c r="S249" s="116"/>
      <c r="T249" s="117"/>
      <c r="U249" s="116">
        <v>1922</v>
      </c>
      <c r="V249" s="117"/>
      <c r="W249" s="117"/>
      <c r="X249" s="4" t="s">
        <v>1971</v>
      </c>
      <c r="Y249" s="4" t="s">
        <v>566</v>
      </c>
      <c r="Z249" s="4" t="s">
        <v>564</v>
      </c>
      <c r="AA249" s="4" t="s">
        <v>565</v>
      </c>
      <c r="AB249" s="27"/>
      <c r="AC249" s="27"/>
      <c r="AD249" s="27"/>
      <c r="AE249" s="27"/>
    </row>
    <row r="250" spans="1:31" x14ac:dyDescent="0.25">
      <c r="A250" s="116" t="s">
        <v>1611</v>
      </c>
      <c r="B250" s="116" t="s">
        <v>204</v>
      </c>
      <c r="C250" s="116" t="s">
        <v>2347</v>
      </c>
      <c r="D250" s="117">
        <v>5363</v>
      </c>
      <c r="E250" s="117">
        <v>213</v>
      </c>
      <c r="F250" s="116">
        <v>139</v>
      </c>
      <c r="G250" s="116">
        <v>111</v>
      </c>
      <c r="H250" s="118">
        <v>5519</v>
      </c>
      <c r="I250" s="118">
        <v>8495</v>
      </c>
      <c r="J250" s="118">
        <v>8557</v>
      </c>
      <c r="K250" s="119">
        <v>624.84</v>
      </c>
      <c r="L250" s="120">
        <v>520.45000000000005</v>
      </c>
      <c r="M250" s="121">
        <f t="shared" si="3"/>
        <v>112.58378378378379</v>
      </c>
      <c r="N250" s="121"/>
      <c r="O250" s="142"/>
      <c r="P250" s="117">
        <v>178345.76</v>
      </c>
      <c r="Q250" s="116">
        <v>74</v>
      </c>
      <c r="R250" s="116">
        <f>145250+16325+11000+3460+58100+4650</f>
        <v>238785</v>
      </c>
      <c r="S250" s="116"/>
      <c r="T250" s="117"/>
      <c r="U250" s="116">
        <v>1922</v>
      </c>
      <c r="V250" s="117"/>
      <c r="W250" s="117"/>
      <c r="X250" s="4" t="s">
        <v>1971</v>
      </c>
      <c r="Y250" s="4" t="s">
        <v>566</v>
      </c>
      <c r="Z250" s="4" t="s">
        <v>564</v>
      </c>
      <c r="AA250" s="4" t="s">
        <v>565</v>
      </c>
      <c r="AB250" s="27"/>
      <c r="AC250" s="27"/>
      <c r="AD250" s="27"/>
      <c r="AE250" s="27"/>
    </row>
    <row r="251" spans="1:31" x14ac:dyDescent="0.25">
      <c r="A251" s="116" t="s">
        <v>1612</v>
      </c>
      <c r="B251" s="116" t="s">
        <v>204</v>
      </c>
      <c r="C251" s="116" t="s">
        <v>2348</v>
      </c>
      <c r="E251" s="117">
        <v>9</v>
      </c>
      <c r="F251" s="116">
        <v>9</v>
      </c>
      <c r="G251" s="116">
        <v>152</v>
      </c>
      <c r="H251" s="116">
        <v>139</v>
      </c>
      <c r="I251" s="116">
        <v>139</v>
      </c>
      <c r="J251" s="116"/>
      <c r="K251" s="119">
        <v>843.33</v>
      </c>
      <c r="L251" s="120">
        <v>843.33</v>
      </c>
      <c r="M251" s="121">
        <f t="shared" si="3"/>
        <v>110.96447368421053</v>
      </c>
      <c r="N251" s="121"/>
      <c r="O251" s="142"/>
      <c r="P251" s="117">
        <v>4809.12</v>
      </c>
      <c r="Q251" s="116">
        <v>6</v>
      </c>
      <c r="R251" s="116"/>
      <c r="S251" s="116"/>
      <c r="T251" s="117"/>
      <c r="U251" s="116">
        <v>1922</v>
      </c>
      <c r="V251" s="117"/>
      <c r="W251" s="117"/>
      <c r="X251" s="4" t="s">
        <v>1971</v>
      </c>
      <c r="Y251" s="4" t="s">
        <v>566</v>
      </c>
      <c r="Z251" s="4" t="s">
        <v>564</v>
      </c>
      <c r="AA251" s="4" t="s">
        <v>565</v>
      </c>
      <c r="AB251" s="27"/>
      <c r="AC251" s="27"/>
      <c r="AD251" s="27"/>
      <c r="AE251" s="27"/>
    </row>
    <row r="252" spans="1:31" x14ac:dyDescent="0.25">
      <c r="A252" s="116" t="s">
        <v>1613</v>
      </c>
      <c r="B252" s="116" t="s">
        <v>204</v>
      </c>
      <c r="C252" s="116" t="s">
        <v>2349</v>
      </c>
      <c r="D252" s="117">
        <v>3419</v>
      </c>
      <c r="E252" s="117">
        <v>132</v>
      </c>
      <c r="F252" s="116">
        <v>84</v>
      </c>
      <c r="G252" s="116">
        <v>135</v>
      </c>
      <c r="H252" s="118">
        <v>2575</v>
      </c>
      <c r="I252" s="118">
        <v>4856</v>
      </c>
      <c r="J252" s="118">
        <v>5062</v>
      </c>
      <c r="K252" s="119">
        <v>777.54</v>
      </c>
      <c r="L252" s="120">
        <v>720.75</v>
      </c>
      <c r="M252" s="121">
        <f t="shared" si="3"/>
        <v>115.19111111111111</v>
      </c>
      <c r="N252" s="121"/>
      <c r="O252" s="142"/>
      <c r="P252" s="117">
        <v>195156.04</v>
      </c>
      <c r="Q252" s="116">
        <v>48</v>
      </c>
      <c r="R252" s="116">
        <f>76700+2500+21500</f>
        <v>100700</v>
      </c>
      <c r="S252" s="116"/>
      <c r="T252" s="117"/>
      <c r="U252" s="116">
        <v>1922</v>
      </c>
      <c r="V252" s="117"/>
      <c r="W252" s="117"/>
      <c r="X252" s="4" t="s">
        <v>1971</v>
      </c>
      <c r="Y252" s="4" t="s">
        <v>566</v>
      </c>
      <c r="Z252" s="4" t="s">
        <v>564</v>
      </c>
      <c r="AA252" s="4" t="s">
        <v>565</v>
      </c>
      <c r="AB252" s="27"/>
      <c r="AC252" s="27"/>
      <c r="AD252" s="27"/>
      <c r="AE252" s="27"/>
    </row>
    <row r="253" spans="1:31" x14ac:dyDescent="0.25">
      <c r="A253" s="116" t="s">
        <v>1614</v>
      </c>
      <c r="B253" s="116" t="s">
        <v>204</v>
      </c>
      <c r="C253" s="116" t="s">
        <v>2350</v>
      </c>
      <c r="D253" s="117">
        <v>514</v>
      </c>
      <c r="E253" s="117">
        <v>13</v>
      </c>
      <c r="F253" s="116">
        <v>13</v>
      </c>
      <c r="G253" s="116">
        <v>160</v>
      </c>
      <c r="H253" s="116">
        <v>5341</v>
      </c>
      <c r="I253" s="116">
        <v>534</v>
      </c>
      <c r="J253" s="116">
        <v>763</v>
      </c>
      <c r="K253" s="119">
        <v>717.69</v>
      </c>
      <c r="L253" s="120">
        <v>717.69</v>
      </c>
      <c r="M253" s="121">
        <f t="shared" si="3"/>
        <v>89.711250000000007</v>
      </c>
      <c r="N253" s="121"/>
      <c r="O253" s="142"/>
      <c r="P253" s="117">
        <v>16373.44</v>
      </c>
      <c r="Q253" s="116">
        <v>8</v>
      </c>
      <c r="R253" s="116">
        <f>1050+1050</f>
        <v>2100</v>
      </c>
      <c r="S253" s="116"/>
      <c r="T253" s="117"/>
      <c r="U253" s="116">
        <v>1922</v>
      </c>
      <c r="V253" s="117"/>
      <c r="W253" s="117"/>
      <c r="X253" s="4" t="s">
        <v>1971</v>
      </c>
      <c r="Y253" s="4" t="s">
        <v>566</v>
      </c>
      <c r="Z253" s="4" t="s">
        <v>564</v>
      </c>
      <c r="AA253" s="4" t="s">
        <v>565</v>
      </c>
      <c r="AB253" s="27"/>
      <c r="AC253" s="27"/>
      <c r="AD253" s="27"/>
      <c r="AE253" s="27"/>
    </row>
    <row r="254" spans="1:31" x14ac:dyDescent="0.25">
      <c r="A254" s="116" t="s">
        <v>1615</v>
      </c>
      <c r="B254" s="116" t="s">
        <v>204</v>
      </c>
      <c r="C254" s="116" t="s">
        <v>2351</v>
      </c>
      <c r="D254" s="117">
        <v>387</v>
      </c>
      <c r="E254" s="117">
        <v>23</v>
      </c>
      <c r="F254" s="116">
        <v>23</v>
      </c>
      <c r="G254" s="116">
        <v>146</v>
      </c>
      <c r="H254" s="116">
        <v>553</v>
      </c>
      <c r="I254" s="116">
        <v>553</v>
      </c>
      <c r="J254" s="116">
        <v>249</v>
      </c>
      <c r="K254" s="119">
        <v>822.6</v>
      </c>
      <c r="L254" s="120">
        <v>822.6</v>
      </c>
      <c r="M254" s="121">
        <f t="shared" si="3"/>
        <v>112.68493150684932</v>
      </c>
      <c r="N254" s="121"/>
      <c r="O254" s="142"/>
      <c r="P254" s="117">
        <v>33317.75</v>
      </c>
      <c r="Q254" s="116">
        <v>9</v>
      </c>
      <c r="R254" s="116">
        <f>48000+2000+5600</f>
        <v>55600</v>
      </c>
      <c r="S254" s="116"/>
      <c r="T254" s="117"/>
      <c r="U254" s="116">
        <v>1922</v>
      </c>
      <c r="V254" s="117"/>
      <c r="W254" s="117"/>
      <c r="X254" s="4" t="s">
        <v>1971</v>
      </c>
      <c r="Y254" s="4" t="s">
        <v>566</v>
      </c>
      <c r="Z254" s="4" t="s">
        <v>564</v>
      </c>
      <c r="AA254" s="4" t="s">
        <v>565</v>
      </c>
      <c r="AB254" s="27"/>
      <c r="AC254" s="27"/>
      <c r="AD254" s="27"/>
      <c r="AE254" s="27"/>
    </row>
    <row r="255" spans="1:31" x14ac:dyDescent="0.25">
      <c r="O255" s="26"/>
    </row>
    <row r="256" spans="1:31" x14ac:dyDescent="0.25">
      <c r="O256" s="26"/>
    </row>
    <row r="257" spans="15:15" x14ac:dyDescent="0.25">
      <c r="O257" s="26"/>
    </row>
    <row r="258" spans="15:15" x14ac:dyDescent="0.25">
      <c r="O258" s="26"/>
    </row>
    <row r="259" spans="15:15" x14ac:dyDescent="0.25">
      <c r="O259" s="26"/>
    </row>
    <row r="260" spans="15:15" x14ac:dyDescent="0.25">
      <c r="O260" s="26"/>
    </row>
    <row r="261" spans="15:15" x14ac:dyDescent="0.25">
      <c r="O261" s="26"/>
    </row>
    <row r="262" spans="15:15" x14ac:dyDescent="0.25">
      <c r="O262" s="26"/>
    </row>
    <row r="263" spans="15:15" x14ac:dyDescent="0.25">
      <c r="O263" s="26"/>
    </row>
    <row r="264" spans="15:15" x14ac:dyDescent="0.25">
      <c r="O264" s="26"/>
    </row>
    <row r="265" spans="15:15" x14ac:dyDescent="0.25">
      <c r="O265" s="26"/>
    </row>
    <row r="266" spans="15:15" x14ac:dyDescent="0.25">
      <c r="O266" s="26"/>
    </row>
    <row r="267" spans="15:15" x14ac:dyDescent="0.25">
      <c r="O267" s="26"/>
    </row>
    <row r="268" spans="15:15" x14ac:dyDescent="0.25">
      <c r="O268" s="26"/>
    </row>
    <row r="269" spans="15:15" x14ac:dyDescent="0.25">
      <c r="O269" s="26"/>
    </row>
    <row r="270" spans="15:15" x14ac:dyDescent="0.25">
      <c r="O270" s="26"/>
    </row>
    <row r="271" spans="15:15" x14ac:dyDescent="0.25">
      <c r="O271" s="26"/>
    </row>
    <row r="272" spans="15:15" x14ac:dyDescent="0.25">
      <c r="O272" s="26"/>
    </row>
    <row r="273" spans="15:15" x14ac:dyDescent="0.25">
      <c r="O273" s="26"/>
    </row>
    <row r="274" spans="15:15" x14ac:dyDescent="0.25">
      <c r="O274" s="26"/>
    </row>
    <row r="275" spans="15:15" x14ac:dyDescent="0.25">
      <c r="O275" s="26"/>
    </row>
    <row r="276" spans="15:15" x14ac:dyDescent="0.25">
      <c r="O276" s="26"/>
    </row>
    <row r="277" spans="15:15" x14ac:dyDescent="0.25">
      <c r="O277" s="26"/>
    </row>
    <row r="278" spans="15:15" x14ac:dyDescent="0.25">
      <c r="O278" s="26"/>
    </row>
    <row r="279" spans="15:15" x14ac:dyDescent="0.25">
      <c r="O279" s="26"/>
    </row>
    <row r="280" spans="15:15" x14ac:dyDescent="0.25">
      <c r="O280" s="26"/>
    </row>
    <row r="281" spans="15:15" x14ac:dyDescent="0.25">
      <c r="O281" s="26"/>
    </row>
    <row r="282" spans="15:15" x14ac:dyDescent="0.25">
      <c r="O282" s="26"/>
    </row>
    <row r="283" spans="15:15" x14ac:dyDescent="0.25">
      <c r="O283" s="26"/>
    </row>
    <row r="284" spans="15:15" x14ac:dyDescent="0.25">
      <c r="O284" s="26"/>
    </row>
    <row r="285" spans="15:15" x14ac:dyDescent="0.25">
      <c r="O285" s="26"/>
    </row>
    <row r="286" spans="15:15" x14ac:dyDescent="0.25">
      <c r="O286" s="26"/>
    </row>
    <row r="287" spans="15:15" x14ac:dyDescent="0.25">
      <c r="O287" s="26"/>
    </row>
    <row r="288" spans="15:15" x14ac:dyDescent="0.25">
      <c r="O288" s="26"/>
    </row>
    <row r="289" spans="15:15" x14ac:dyDescent="0.25">
      <c r="O289" s="26"/>
    </row>
    <row r="290" spans="15:15" x14ac:dyDescent="0.25">
      <c r="O290" s="26"/>
    </row>
    <row r="291" spans="15:15" x14ac:dyDescent="0.25">
      <c r="O291" s="26"/>
    </row>
    <row r="292" spans="15:15" x14ac:dyDescent="0.25">
      <c r="O292" s="26"/>
    </row>
    <row r="293" spans="15:15" x14ac:dyDescent="0.25">
      <c r="O293" s="26"/>
    </row>
    <row r="294" spans="15:15" x14ac:dyDescent="0.25">
      <c r="O294" s="26"/>
    </row>
    <row r="295" spans="15:15" x14ac:dyDescent="0.25">
      <c r="O295" s="26"/>
    </row>
    <row r="296" spans="15:15" x14ac:dyDescent="0.25">
      <c r="O296" s="26"/>
    </row>
    <row r="297" spans="15:15" x14ac:dyDescent="0.25">
      <c r="O297" s="26"/>
    </row>
    <row r="298" spans="15:15" x14ac:dyDescent="0.25">
      <c r="O298" s="26"/>
    </row>
    <row r="299" spans="15:15" x14ac:dyDescent="0.25">
      <c r="O299" s="26"/>
    </row>
    <row r="300" spans="15:15" x14ac:dyDescent="0.25">
      <c r="O300" s="26"/>
    </row>
    <row r="301" spans="15:15" x14ac:dyDescent="0.25">
      <c r="O301" s="26"/>
    </row>
    <row r="302" spans="15:15" x14ac:dyDescent="0.25">
      <c r="O302" s="26"/>
    </row>
    <row r="303" spans="15:15" x14ac:dyDescent="0.25">
      <c r="O303" s="26"/>
    </row>
    <row r="304" spans="15:15" x14ac:dyDescent="0.25">
      <c r="O304" s="26"/>
    </row>
    <row r="305" spans="15:15" x14ac:dyDescent="0.25">
      <c r="O305" s="26"/>
    </row>
    <row r="306" spans="15:15" x14ac:dyDescent="0.25">
      <c r="O306" s="26"/>
    </row>
    <row r="307" spans="15:15" x14ac:dyDescent="0.25">
      <c r="O307" s="26"/>
    </row>
    <row r="308" spans="15:15" x14ac:dyDescent="0.25">
      <c r="O308" s="26"/>
    </row>
    <row r="309" spans="15:15" x14ac:dyDescent="0.25">
      <c r="O309" s="26"/>
    </row>
    <row r="310" spans="15:15" x14ac:dyDescent="0.25">
      <c r="O310" s="26"/>
    </row>
    <row r="311" spans="15:15" x14ac:dyDescent="0.25">
      <c r="O311" s="26"/>
    </row>
    <row r="312" spans="15:15" x14ac:dyDescent="0.25">
      <c r="O312" s="26"/>
    </row>
    <row r="313" spans="15:15" x14ac:dyDescent="0.25">
      <c r="O313" s="26"/>
    </row>
    <row r="314" spans="15:15" x14ac:dyDescent="0.25">
      <c r="O314" s="26"/>
    </row>
    <row r="315" spans="15:15" x14ac:dyDescent="0.25">
      <c r="O315" s="26"/>
    </row>
    <row r="316" spans="15:15" x14ac:dyDescent="0.25">
      <c r="O316" s="26"/>
    </row>
    <row r="317" spans="15:15" x14ac:dyDescent="0.25">
      <c r="O317" s="26"/>
    </row>
    <row r="318" spans="15:15" x14ac:dyDescent="0.25">
      <c r="O318" s="26"/>
    </row>
    <row r="319" spans="15:15" x14ac:dyDescent="0.25">
      <c r="O319" s="26"/>
    </row>
    <row r="320" spans="15:15" x14ac:dyDescent="0.25">
      <c r="O320" s="26"/>
    </row>
    <row r="321" spans="15:15" x14ac:dyDescent="0.25">
      <c r="O321" s="26"/>
    </row>
  </sheetData>
  <hyperlinks>
    <hyperlink ref="X2" r:id="rId1"/>
    <hyperlink ref="Y2" r:id="rId2"/>
    <hyperlink ref="Z2" r:id="rId3"/>
    <hyperlink ref="AA2" r:id="rId4"/>
    <hyperlink ref="X3" r:id="rId5"/>
    <hyperlink ref="Y3" r:id="rId6"/>
    <hyperlink ref="Z3" r:id="rId7"/>
    <hyperlink ref="AA3" r:id="rId8"/>
    <hyperlink ref="X4" r:id="rId9"/>
    <hyperlink ref="Y4" r:id="rId10"/>
    <hyperlink ref="Z4" r:id="rId11"/>
    <hyperlink ref="AA4" r:id="rId12"/>
    <hyperlink ref="X5" r:id="rId13"/>
    <hyperlink ref="Y5" r:id="rId14"/>
    <hyperlink ref="Z5" r:id="rId15"/>
    <hyperlink ref="AA5" r:id="rId16"/>
    <hyperlink ref="X6" r:id="rId17"/>
    <hyperlink ref="Y6" r:id="rId18"/>
    <hyperlink ref="Z6" r:id="rId19"/>
    <hyperlink ref="AA6" r:id="rId20"/>
    <hyperlink ref="X7" r:id="rId21"/>
    <hyperlink ref="Y7" r:id="rId22"/>
    <hyperlink ref="Z7" r:id="rId23"/>
    <hyperlink ref="AA7" r:id="rId24"/>
    <hyperlink ref="X8" r:id="rId25"/>
    <hyperlink ref="Y8" r:id="rId26"/>
    <hyperlink ref="Z8" r:id="rId27"/>
    <hyperlink ref="AA8" r:id="rId28"/>
    <hyperlink ref="X9" r:id="rId29"/>
    <hyperlink ref="Y9" r:id="rId30"/>
    <hyperlink ref="Z9" r:id="rId31"/>
    <hyperlink ref="AA9" r:id="rId32"/>
    <hyperlink ref="X10" r:id="rId33"/>
    <hyperlink ref="Y10" r:id="rId34"/>
    <hyperlink ref="Z10" r:id="rId35"/>
    <hyperlink ref="AA10" r:id="rId36"/>
    <hyperlink ref="X11" r:id="rId37"/>
    <hyperlink ref="Y11" r:id="rId38"/>
    <hyperlink ref="Z11" r:id="rId39"/>
    <hyperlink ref="AA11" r:id="rId40"/>
    <hyperlink ref="X12" r:id="rId41"/>
    <hyperlink ref="Y12" r:id="rId42"/>
    <hyperlink ref="Z12" r:id="rId43"/>
    <hyperlink ref="AA12" r:id="rId44"/>
    <hyperlink ref="X13" r:id="rId45"/>
    <hyperlink ref="Y13" r:id="rId46"/>
    <hyperlink ref="Z13" r:id="rId47"/>
    <hyperlink ref="AA13" r:id="rId48"/>
    <hyperlink ref="X14" r:id="rId49"/>
    <hyperlink ref="Y14" r:id="rId50"/>
    <hyperlink ref="Z14" r:id="rId51"/>
    <hyperlink ref="AA14" r:id="rId52"/>
    <hyperlink ref="X15" r:id="rId53"/>
    <hyperlink ref="Y15" r:id="rId54"/>
    <hyperlink ref="Z15" r:id="rId55"/>
    <hyperlink ref="AA15" r:id="rId56"/>
    <hyperlink ref="X16" r:id="rId57"/>
    <hyperlink ref="Y16" r:id="rId58"/>
    <hyperlink ref="Z16" r:id="rId59"/>
    <hyperlink ref="AA16" r:id="rId60"/>
    <hyperlink ref="X17" r:id="rId61"/>
    <hyperlink ref="Y17" r:id="rId62"/>
    <hyperlink ref="Z17" r:id="rId63"/>
    <hyperlink ref="AA17" r:id="rId64"/>
    <hyperlink ref="X18" r:id="rId65"/>
    <hyperlink ref="Y18" r:id="rId66"/>
    <hyperlink ref="Z18" r:id="rId67"/>
    <hyperlink ref="AA18" r:id="rId68"/>
    <hyperlink ref="X19" r:id="rId69"/>
    <hyperlink ref="Y19" r:id="rId70"/>
    <hyperlink ref="Z19" r:id="rId71"/>
    <hyperlink ref="AA19" r:id="rId72"/>
    <hyperlink ref="X20" r:id="rId73"/>
    <hyperlink ref="Y20" r:id="rId74"/>
    <hyperlink ref="Z20" r:id="rId75"/>
    <hyperlink ref="AA20" r:id="rId76"/>
    <hyperlink ref="X21" r:id="rId77"/>
    <hyperlink ref="Y21" r:id="rId78"/>
    <hyperlink ref="Z21" r:id="rId79"/>
    <hyperlink ref="AA21" r:id="rId80"/>
    <hyperlink ref="X22" r:id="rId81"/>
    <hyperlink ref="Y22" r:id="rId82"/>
    <hyperlink ref="Z22" r:id="rId83"/>
    <hyperlink ref="AA22" r:id="rId84"/>
    <hyperlink ref="X23" r:id="rId85"/>
    <hyperlink ref="Y23" r:id="rId86"/>
    <hyperlink ref="Z23" r:id="rId87"/>
    <hyperlink ref="AA23" r:id="rId88"/>
    <hyperlink ref="X24" r:id="rId89"/>
    <hyperlink ref="Y24" r:id="rId90"/>
    <hyperlink ref="Z24" r:id="rId91"/>
    <hyperlink ref="AA24" r:id="rId92"/>
    <hyperlink ref="X25" r:id="rId93"/>
    <hyperlink ref="Y25" r:id="rId94"/>
    <hyperlink ref="Z25" r:id="rId95"/>
    <hyperlink ref="AA25" r:id="rId96"/>
    <hyperlink ref="X26" r:id="rId97"/>
    <hyperlink ref="Y26" r:id="rId98"/>
    <hyperlink ref="Z26" r:id="rId99"/>
    <hyperlink ref="AA26" r:id="rId100"/>
    <hyperlink ref="X27" r:id="rId101"/>
    <hyperlink ref="Y27" r:id="rId102"/>
    <hyperlink ref="Z27" r:id="rId103"/>
    <hyperlink ref="AA27" r:id="rId104"/>
    <hyperlink ref="X28" r:id="rId105"/>
    <hyperlink ref="Y28" r:id="rId106"/>
    <hyperlink ref="Z28" r:id="rId107"/>
    <hyperlink ref="AA28" r:id="rId108"/>
    <hyperlink ref="X29" r:id="rId109"/>
    <hyperlink ref="Y29" r:id="rId110"/>
    <hyperlink ref="Z29" r:id="rId111"/>
    <hyperlink ref="AA29" r:id="rId112"/>
    <hyperlink ref="X30" r:id="rId113"/>
    <hyperlink ref="Y30" r:id="rId114"/>
    <hyperlink ref="Z30" r:id="rId115"/>
    <hyperlink ref="AA30" r:id="rId116"/>
    <hyperlink ref="X31" r:id="rId117"/>
    <hyperlink ref="Y31" r:id="rId118"/>
    <hyperlink ref="Z31" r:id="rId119"/>
    <hyperlink ref="AA31" r:id="rId120"/>
    <hyperlink ref="X32" r:id="rId121"/>
    <hyperlink ref="Y32" r:id="rId122"/>
    <hyperlink ref="Z32" r:id="rId123"/>
    <hyperlink ref="AA32" r:id="rId124"/>
    <hyperlink ref="X33" r:id="rId125"/>
    <hyperlink ref="Y33" r:id="rId126"/>
    <hyperlink ref="Z33" r:id="rId127"/>
    <hyperlink ref="AA33" r:id="rId128"/>
    <hyperlink ref="X34" r:id="rId129"/>
    <hyperlink ref="Y34" r:id="rId130"/>
    <hyperlink ref="Z34" r:id="rId131"/>
    <hyperlink ref="AA34" r:id="rId132"/>
    <hyperlink ref="X35" r:id="rId133"/>
    <hyperlink ref="Y35" r:id="rId134"/>
    <hyperlink ref="Z35" r:id="rId135"/>
    <hyperlink ref="AA35" r:id="rId136"/>
    <hyperlink ref="X36" r:id="rId137"/>
    <hyperlink ref="Y36" r:id="rId138"/>
    <hyperlink ref="Z36" r:id="rId139"/>
    <hyperlink ref="AA36" r:id="rId140"/>
    <hyperlink ref="X37" r:id="rId141"/>
    <hyperlink ref="Y37" r:id="rId142"/>
    <hyperlink ref="Z37" r:id="rId143"/>
    <hyperlink ref="AA37" r:id="rId144"/>
    <hyperlink ref="X38" r:id="rId145"/>
    <hyperlink ref="Y38" r:id="rId146"/>
    <hyperlink ref="Z38" r:id="rId147"/>
    <hyperlink ref="AA38" r:id="rId148"/>
    <hyperlink ref="X39" r:id="rId149"/>
    <hyperlink ref="Y39" r:id="rId150"/>
    <hyperlink ref="Z39" r:id="rId151"/>
    <hyperlink ref="AA39" r:id="rId152"/>
    <hyperlink ref="X40" r:id="rId153"/>
    <hyperlink ref="Y40" r:id="rId154"/>
    <hyperlink ref="Z40" r:id="rId155"/>
    <hyperlink ref="AA40" r:id="rId156"/>
    <hyperlink ref="X41" r:id="rId157"/>
    <hyperlink ref="Y41" r:id="rId158"/>
    <hyperlink ref="Z41" r:id="rId159"/>
    <hyperlink ref="AA41" r:id="rId160"/>
    <hyperlink ref="X42" r:id="rId161"/>
    <hyperlink ref="Y42" r:id="rId162"/>
    <hyperlink ref="Z42" r:id="rId163"/>
    <hyperlink ref="AA42" r:id="rId164"/>
    <hyperlink ref="X43" r:id="rId165"/>
    <hyperlink ref="Y43" r:id="rId166"/>
    <hyperlink ref="Z43" r:id="rId167"/>
    <hyperlink ref="AA43" r:id="rId168"/>
    <hyperlink ref="X44" r:id="rId169"/>
    <hyperlink ref="Y44" r:id="rId170"/>
    <hyperlink ref="Z44" r:id="rId171"/>
    <hyperlink ref="AA44" r:id="rId172"/>
    <hyperlink ref="X45" r:id="rId173"/>
    <hyperlink ref="Y45" r:id="rId174"/>
    <hyperlink ref="Z45" r:id="rId175"/>
    <hyperlink ref="AA45" r:id="rId176"/>
    <hyperlink ref="X46" r:id="rId177"/>
    <hyperlink ref="Y46" r:id="rId178"/>
    <hyperlink ref="Z46" r:id="rId179"/>
    <hyperlink ref="AA46" r:id="rId180"/>
    <hyperlink ref="X47" r:id="rId181"/>
    <hyperlink ref="Y47" r:id="rId182"/>
    <hyperlink ref="Z47" r:id="rId183"/>
    <hyperlink ref="AA47" r:id="rId184"/>
    <hyperlink ref="X48" r:id="rId185"/>
    <hyperlink ref="Y48" r:id="rId186"/>
    <hyperlink ref="Z48" r:id="rId187"/>
    <hyperlink ref="AA48" r:id="rId188"/>
    <hyperlink ref="X49" r:id="rId189"/>
    <hyperlink ref="Y49" r:id="rId190"/>
    <hyperlink ref="Z49" r:id="rId191"/>
    <hyperlink ref="AA49" r:id="rId192"/>
    <hyperlink ref="X50" r:id="rId193"/>
    <hyperlink ref="Y50" r:id="rId194"/>
    <hyperlink ref="Z50" r:id="rId195"/>
    <hyperlink ref="AA50" r:id="rId196"/>
    <hyperlink ref="X51" r:id="rId197"/>
    <hyperlink ref="Y51" r:id="rId198"/>
    <hyperlink ref="Z51" r:id="rId199"/>
    <hyperlink ref="AA51" r:id="rId200"/>
    <hyperlink ref="X52" r:id="rId201"/>
    <hyperlink ref="Y52" r:id="rId202"/>
    <hyperlink ref="Z52" r:id="rId203"/>
    <hyperlink ref="AA52" r:id="rId204"/>
    <hyperlink ref="X53" r:id="rId205"/>
    <hyperlink ref="Y53" r:id="rId206"/>
    <hyperlink ref="Z53" r:id="rId207"/>
    <hyperlink ref="AA53" r:id="rId208"/>
    <hyperlink ref="X54" r:id="rId209"/>
    <hyperlink ref="Y54" r:id="rId210"/>
    <hyperlink ref="Z54" r:id="rId211"/>
    <hyperlink ref="AA54" r:id="rId212"/>
    <hyperlink ref="X55" r:id="rId213"/>
    <hyperlink ref="Y55" r:id="rId214"/>
    <hyperlink ref="Z55" r:id="rId215"/>
    <hyperlink ref="AA55" r:id="rId216"/>
    <hyperlink ref="X56" r:id="rId217"/>
    <hyperlink ref="Y56" r:id="rId218"/>
    <hyperlink ref="Z56" r:id="rId219"/>
    <hyperlink ref="AA56" r:id="rId220"/>
    <hyperlink ref="X57" r:id="rId221"/>
    <hyperlink ref="Y57" r:id="rId222"/>
    <hyperlink ref="Z57" r:id="rId223"/>
    <hyperlink ref="AA57" r:id="rId224"/>
    <hyperlink ref="X58" r:id="rId225"/>
    <hyperlink ref="Y58" r:id="rId226"/>
    <hyperlink ref="Z58" r:id="rId227"/>
    <hyperlink ref="AA58" r:id="rId228"/>
    <hyperlink ref="X59" r:id="rId229"/>
    <hyperlink ref="Y59" r:id="rId230"/>
    <hyperlink ref="Z59" r:id="rId231"/>
    <hyperlink ref="AA59" r:id="rId232"/>
    <hyperlink ref="X60" r:id="rId233"/>
    <hyperlink ref="Y60" r:id="rId234"/>
    <hyperlink ref="Z60" r:id="rId235"/>
    <hyperlink ref="AA60" r:id="rId236"/>
    <hyperlink ref="X61" r:id="rId237"/>
    <hyperlink ref="Y61" r:id="rId238"/>
    <hyperlink ref="Z61" r:id="rId239"/>
    <hyperlink ref="AA61" r:id="rId240"/>
    <hyperlink ref="X62" r:id="rId241"/>
    <hyperlink ref="Y62" r:id="rId242"/>
    <hyperlink ref="Z62" r:id="rId243"/>
    <hyperlink ref="AA62" r:id="rId244"/>
    <hyperlink ref="X63" r:id="rId245"/>
    <hyperlink ref="Y63" r:id="rId246"/>
    <hyperlink ref="Z63" r:id="rId247"/>
    <hyperlink ref="AA63" r:id="rId248"/>
    <hyperlink ref="X64" r:id="rId249"/>
    <hyperlink ref="Y64" r:id="rId250"/>
    <hyperlink ref="Z64" r:id="rId251"/>
    <hyperlink ref="AA64" r:id="rId252"/>
    <hyperlink ref="X65" r:id="rId253"/>
    <hyperlink ref="Y65" r:id="rId254"/>
    <hyperlink ref="Z65" r:id="rId255"/>
    <hyperlink ref="AA65" r:id="rId256"/>
    <hyperlink ref="X66" r:id="rId257"/>
    <hyperlink ref="Y66" r:id="rId258"/>
    <hyperlink ref="Z66" r:id="rId259"/>
    <hyperlink ref="AA66" r:id="rId260"/>
    <hyperlink ref="X67" r:id="rId261"/>
    <hyperlink ref="Y67" r:id="rId262"/>
    <hyperlink ref="Z67" r:id="rId263"/>
    <hyperlink ref="AA67" r:id="rId264"/>
    <hyperlink ref="X68" r:id="rId265"/>
    <hyperlink ref="Y68" r:id="rId266"/>
    <hyperlink ref="Z68" r:id="rId267"/>
    <hyperlink ref="AA68" r:id="rId268"/>
    <hyperlink ref="X69" r:id="rId269"/>
    <hyperlink ref="Y69" r:id="rId270"/>
    <hyperlink ref="Z69" r:id="rId271"/>
    <hyperlink ref="AA69" r:id="rId272"/>
    <hyperlink ref="X70" r:id="rId273"/>
    <hyperlink ref="Y70" r:id="rId274"/>
    <hyperlink ref="Z70" r:id="rId275"/>
    <hyperlink ref="AA70" r:id="rId276"/>
    <hyperlink ref="X71" r:id="rId277"/>
    <hyperlink ref="Y71" r:id="rId278"/>
    <hyperlink ref="Z71" r:id="rId279"/>
    <hyperlink ref="AA71" r:id="rId280"/>
    <hyperlink ref="X72" r:id="rId281"/>
    <hyperlink ref="Y72" r:id="rId282"/>
    <hyperlink ref="Z72" r:id="rId283"/>
    <hyperlink ref="AA72" r:id="rId284"/>
    <hyperlink ref="X73" r:id="rId285"/>
    <hyperlink ref="Y73" r:id="rId286"/>
    <hyperlink ref="Z73" r:id="rId287"/>
    <hyperlink ref="AA73" r:id="rId288"/>
    <hyperlink ref="X74" r:id="rId289"/>
    <hyperlink ref="Y74" r:id="rId290"/>
    <hyperlink ref="Z74" r:id="rId291"/>
    <hyperlink ref="AA74" r:id="rId292"/>
    <hyperlink ref="X75" r:id="rId293"/>
    <hyperlink ref="Y75" r:id="rId294"/>
    <hyperlink ref="Z75" r:id="rId295"/>
    <hyperlink ref="AA75" r:id="rId296"/>
    <hyperlink ref="X76" r:id="rId297"/>
    <hyperlink ref="Y76" r:id="rId298"/>
    <hyperlink ref="Z76" r:id="rId299"/>
    <hyperlink ref="AA76" r:id="rId300"/>
    <hyperlink ref="X77" r:id="rId301"/>
    <hyperlink ref="Y77" r:id="rId302"/>
    <hyperlink ref="Z77" r:id="rId303"/>
    <hyperlink ref="AA77" r:id="rId304"/>
    <hyperlink ref="X78" r:id="rId305"/>
    <hyperlink ref="Y78" r:id="rId306"/>
    <hyperlink ref="Z78" r:id="rId307"/>
    <hyperlink ref="AA78" r:id="rId308"/>
    <hyperlink ref="X79" r:id="rId309"/>
    <hyperlink ref="Y79" r:id="rId310"/>
    <hyperlink ref="Z79" r:id="rId311"/>
    <hyperlink ref="AA79" r:id="rId312"/>
    <hyperlink ref="X80" r:id="rId313"/>
    <hyperlink ref="Y80" r:id="rId314"/>
    <hyperlink ref="Z80" r:id="rId315"/>
    <hyperlink ref="AA80" r:id="rId316"/>
    <hyperlink ref="X81" r:id="rId317"/>
    <hyperlink ref="Y81" r:id="rId318"/>
    <hyperlink ref="Z81" r:id="rId319"/>
    <hyperlink ref="AA81" r:id="rId320"/>
    <hyperlink ref="X82" r:id="rId321"/>
    <hyperlink ref="Y82" r:id="rId322"/>
    <hyperlink ref="Z82" r:id="rId323"/>
    <hyperlink ref="AA82" r:id="rId324"/>
    <hyperlink ref="X83" r:id="rId325"/>
    <hyperlink ref="Y83" r:id="rId326"/>
    <hyperlink ref="Z83" r:id="rId327"/>
    <hyperlink ref="AA83" r:id="rId328"/>
    <hyperlink ref="X84" r:id="rId329"/>
    <hyperlink ref="Y84" r:id="rId330"/>
    <hyperlink ref="Z84" r:id="rId331"/>
    <hyperlink ref="AA84" r:id="rId332"/>
    <hyperlink ref="X85" r:id="rId333"/>
    <hyperlink ref="Y85" r:id="rId334"/>
    <hyperlink ref="Z85" r:id="rId335"/>
    <hyperlink ref="AA85" r:id="rId336"/>
    <hyperlink ref="X86" r:id="rId337"/>
    <hyperlink ref="Y86" r:id="rId338"/>
    <hyperlink ref="Z86" r:id="rId339"/>
    <hyperlink ref="AA86" r:id="rId340"/>
    <hyperlink ref="X87" r:id="rId341"/>
    <hyperlink ref="Y87" r:id="rId342"/>
    <hyperlink ref="Z87" r:id="rId343"/>
    <hyperlink ref="AA87" r:id="rId344"/>
    <hyperlink ref="X88" r:id="rId345"/>
    <hyperlink ref="Y88" r:id="rId346"/>
    <hyperlink ref="Z88" r:id="rId347"/>
    <hyperlink ref="AA88" r:id="rId348"/>
    <hyperlink ref="X89" r:id="rId349"/>
    <hyperlink ref="Y89" r:id="rId350"/>
    <hyperlink ref="Z89" r:id="rId351"/>
    <hyperlink ref="AA89" r:id="rId352"/>
    <hyperlink ref="X90" r:id="rId353"/>
    <hyperlink ref="Y90" r:id="rId354"/>
    <hyperlink ref="Z90" r:id="rId355"/>
    <hyperlink ref="AA90" r:id="rId356"/>
    <hyperlink ref="X91" r:id="rId357"/>
    <hyperlink ref="Y91" r:id="rId358"/>
    <hyperlink ref="Z91" r:id="rId359"/>
    <hyperlink ref="AA91" r:id="rId360"/>
    <hyperlink ref="X92" r:id="rId361"/>
    <hyperlink ref="Y92" r:id="rId362"/>
    <hyperlink ref="Z92" r:id="rId363"/>
    <hyperlink ref="AA92" r:id="rId364"/>
    <hyperlink ref="X93" r:id="rId365"/>
    <hyperlink ref="Y93" r:id="rId366"/>
    <hyperlink ref="Z93" r:id="rId367"/>
    <hyperlink ref="AA93" r:id="rId368"/>
    <hyperlink ref="X94" r:id="rId369"/>
    <hyperlink ref="Y94" r:id="rId370"/>
    <hyperlink ref="Z94" r:id="rId371"/>
    <hyperlink ref="AA94" r:id="rId372"/>
    <hyperlink ref="X95" r:id="rId373"/>
    <hyperlink ref="Y95" r:id="rId374"/>
    <hyperlink ref="Z95" r:id="rId375"/>
    <hyperlink ref="AA95" r:id="rId376"/>
    <hyperlink ref="X96" r:id="rId377"/>
    <hyperlink ref="Y96" r:id="rId378"/>
    <hyperlink ref="Z96" r:id="rId379"/>
    <hyperlink ref="AA96" r:id="rId380"/>
    <hyperlink ref="X97" r:id="rId381"/>
    <hyperlink ref="Y97" r:id="rId382"/>
    <hyperlink ref="Z97" r:id="rId383"/>
    <hyperlink ref="AA97" r:id="rId384"/>
    <hyperlink ref="X98" r:id="rId385"/>
    <hyperlink ref="Y98" r:id="rId386"/>
    <hyperlink ref="Z98" r:id="rId387"/>
    <hyperlink ref="AA98" r:id="rId388"/>
    <hyperlink ref="X99" r:id="rId389"/>
    <hyperlink ref="Y99" r:id="rId390"/>
    <hyperlink ref="Z99" r:id="rId391"/>
    <hyperlink ref="AA99" r:id="rId392"/>
    <hyperlink ref="X100" r:id="rId393"/>
    <hyperlink ref="Y100" r:id="rId394"/>
    <hyperlink ref="Z100" r:id="rId395"/>
    <hyperlink ref="AA100" r:id="rId396"/>
    <hyperlink ref="X101" r:id="rId397"/>
    <hyperlink ref="Y101" r:id="rId398"/>
    <hyperlink ref="Z101" r:id="rId399"/>
    <hyperlink ref="AA101" r:id="rId400"/>
    <hyperlink ref="X102" r:id="rId401"/>
    <hyperlink ref="Y102" r:id="rId402"/>
    <hyperlink ref="Z102" r:id="rId403"/>
    <hyperlink ref="AA102" r:id="rId404"/>
    <hyperlink ref="X103" r:id="rId405"/>
    <hyperlink ref="Y103" r:id="rId406"/>
    <hyperlink ref="Z103" r:id="rId407"/>
    <hyperlink ref="AA103" r:id="rId408"/>
    <hyperlink ref="X104" r:id="rId409"/>
    <hyperlink ref="Y104" r:id="rId410"/>
    <hyperlink ref="Z104" r:id="rId411"/>
    <hyperlink ref="AA104" r:id="rId412"/>
    <hyperlink ref="X105" r:id="rId413"/>
    <hyperlink ref="Y105" r:id="rId414"/>
    <hyperlink ref="Z105" r:id="rId415"/>
    <hyperlink ref="AA105" r:id="rId416"/>
    <hyperlink ref="X106" r:id="rId417"/>
    <hyperlink ref="Y106" r:id="rId418"/>
    <hyperlink ref="Z106" r:id="rId419"/>
    <hyperlink ref="AA106" r:id="rId420"/>
    <hyperlink ref="X107" r:id="rId421"/>
    <hyperlink ref="Y107" r:id="rId422"/>
    <hyperlink ref="Z107" r:id="rId423"/>
    <hyperlink ref="AA107" r:id="rId424"/>
    <hyperlink ref="X108" r:id="rId425"/>
    <hyperlink ref="Y108" r:id="rId426"/>
    <hyperlink ref="Z108" r:id="rId427"/>
    <hyperlink ref="AA108" r:id="rId428"/>
    <hyperlink ref="X109" r:id="rId429"/>
    <hyperlink ref="Y109" r:id="rId430"/>
    <hyperlink ref="Z109" r:id="rId431"/>
    <hyperlink ref="AA109" r:id="rId432"/>
    <hyperlink ref="X110" r:id="rId433"/>
    <hyperlink ref="Y110" r:id="rId434"/>
    <hyperlink ref="Z110" r:id="rId435"/>
    <hyperlink ref="AA110" r:id="rId436"/>
    <hyperlink ref="X111" r:id="rId437"/>
    <hyperlink ref="Y111" r:id="rId438"/>
    <hyperlink ref="Z111" r:id="rId439"/>
    <hyperlink ref="AA111" r:id="rId440"/>
    <hyperlink ref="X112" r:id="rId441"/>
    <hyperlink ref="Y112" r:id="rId442"/>
    <hyperlink ref="Z112" r:id="rId443"/>
    <hyperlink ref="AA112" r:id="rId444"/>
    <hyperlink ref="X113" r:id="rId445"/>
    <hyperlink ref="Y113" r:id="rId446"/>
    <hyperlink ref="Z113" r:id="rId447"/>
    <hyperlink ref="AA113" r:id="rId448"/>
    <hyperlink ref="X114" r:id="rId449"/>
    <hyperlink ref="Y114" r:id="rId450"/>
    <hyperlink ref="Z114" r:id="rId451"/>
    <hyperlink ref="AA114" r:id="rId452"/>
    <hyperlink ref="X115" r:id="rId453"/>
    <hyperlink ref="Y115" r:id="rId454"/>
    <hyperlink ref="Z115" r:id="rId455"/>
    <hyperlink ref="AA115" r:id="rId456"/>
    <hyperlink ref="X116" r:id="rId457"/>
    <hyperlink ref="Y116" r:id="rId458"/>
    <hyperlink ref="Z116" r:id="rId459"/>
    <hyperlink ref="AA116" r:id="rId460"/>
    <hyperlink ref="X117" r:id="rId461"/>
    <hyperlink ref="Y117" r:id="rId462"/>
    <hyperlink ref="Z117" r:id="rId463"/>
    <hyperlink ref="AA117" r:id="rId464"/>
    <hyperlink ref="X118" r:id="rId465"/>
    <hyperlink ref="Y118" r:id="rId466"/>
    <hyperlink ref="Z118" r:id="rId467"/>
    <hyperlink ref="AA118" r:id="rId468"/>
    <hyperlink ref="X119" r:id="rId469"/>
    <hyperlink ref="Y119" r:id="rId470"/>
    <hyperlink ref="Z119" r:id="rId471"/>
    <hyperlink ref="AA119" r:id="rId472"/>
    <hyperlink ref="X120" r:id="rId473"/>
    <hyperlink ref="Y120" r:id="rId474"/>
    <hyperlink ref="Z120" r:id="rId475"/>
    <hyperlink ref="AA120" r:id="rId476"/>
    <hyperlink ref="X121" r:id="rId477"/>
    <hyperlink ref="Y121" r:id="rId478"/>
    <hyperlink ref="Z121" r:id="rId479"/>
    <hyperlink ref="AA121" r:id="rId480"/>
    <hyperlink ref="X122" r:id="rId481"/>
    <hyperlink ref="Y122" r:id="rId482"/>
    <hyperlink ref="Z122" r:id="rId483"/>
    <hyperlink ref="AA122" r:id="rId484"/>
    <hyperlink ref="X123" r:id="rId485"/>
    <hyperlink ref="Y123" r:id="rId486"/>
    <hyperlink ref="Z123" r:id="rId487"/>
    <hyperlink ref="AA123" r:id="rId488"/>
    <hyperlink ref="X124" r:id="rId489"/>
    <hyperlink ref="Y124" r:id="rId490"/>
    <hyperlink ref="Z124" r:id="rId491"/>
    <hyperlink ref="AA124" r:id="rId492"/>
    <hyperlink ref="X125" r:id="rId493"/>
    <hyperlink ref="Y125" r:id="rId494"/>
    <hyperlink ref="Z125" r:id="rId495"/>
    <hyperlink ref="AA125" r:id="rId496"/>
    <hyperlink ref="X126" r:id="rId497"/>
    <hyperlink ref="Y126" r:id="rId498"/>
    <hyperlink ref="Z126" r:id="rId499"/>
    <hyperlink ref="AA126" r:id="rId500"/>
    <hyperlink ref="X127" r:id="rId501"/>
    <hyperlink ref="Y127" r:id="rId502"/>
    <hyperlink ref="Z127" r:id="rId503"/>
    <hyperlink ref="AA127" r:id="rId504"/>
    <hyperlink ref="X128" r:id="rId505"/>
    <hyperlink ref="Y128" r:id="rId506"/>
    <hyperlink ref="Z128" r:id="rId507"/>
    <hyperlink ref="AA128" r:id="rId508"/>
    <hyperlink ref="X129" r:id="rId509"/>
    <hyperlink ref="Y129" r:id="rId510"/>
    <hyperlink ref="Z129" r:id="rId511"/>
    <hyperlink ref="AA129" r:id="rId512"/>
    <hyperlink ref="X130" r:id="rId513"/>
    <hyperlink ref="Y130" r:id="rId514"/>
    <hyperlink ref="Z130" r:id="rId515"/>
    <hyperlink ref="AA130" r:id="rId516"/>
    <hyperlink ref="X131" r:id="rId517"/>
    <hyperlink ref="Y131" r:id="rId518"/>
    <hyperlink ref="Z131" r:id="rId519"/>
    <hyperlink ref="AA131" r:id="rId520"/>
    <hyperlink ref="X132" r:id="rId521"/>
    <hyperlink ref="Y132" r:id="rId522"/>
    <hyperlink ref="Z132" r:id="rId523"/>
    <hyperlink ref="AA132" r:id="rId524"/>
    <hyperlink ref="X133" r:id="rId525"/>
    <hyperlink ref="Y133" r:id="rId526"/>
    <hyperlink ref="Z133" r:id="rId527"/>
    <hyperlink ref="AA133" r:id="rId528"/>
    <hyperlink ref="X134" r:id="rId529"/>
    <hyperlink ref="Y134" r:id="rId530"/>
    <hyperlink ref="Z134" r:id="rId531"/>
    <hyperlink ref="AA134" r:id="rId532"/>
    <hyperlink ref="X135" r:id="rId533"/>
    <hyperlink ref="Y135" r:id="rId534"/>
    <hyperlink ref="Z135" r:id="rId535"/>
    <hyperlink ref="AA135" r:id="rId536"/>
    <hyperlink ref="X136" r:id="rId537"/>
    <hyperlink ref="Y136" r:id="rId538"/>
    <hyperlink ref="Z136" r:id="rId539"/>
    <hyperlink ref="AA136" r:id="rId540"/>
    <hyperlink ref="X137" r:id="rId541"/>
    <hyperlink ref="Y137" r:id="rId542"/>
    <hyperlink ref="Z137" r:id="rId543"/>
    <hyperlink ref="AA137" r:id="rId544"/>
    <hyperlink ref="X138" r:id="rId545"/>
    <hyperlink ref="Y138" r:id="rId546"/>
    <hyperlink ref="Z138" r:id="rId547"/>
    <hyperlink ref="AA138" r:id="rId548"/>
    <hyperlink ref="X139" r:id="rId549"/>
    <hyperlink ref="Y139" r:id="rId550"/>
    <hyperlink ref="Z139" r:id="rId551"/>
    <hyperlink ref="AA139" r:id="rId552"/>
    <hyperlink ref="X140" r:id="rId553"/>
    <hyperlink ref="Y140" r:id="rId554"/>
    <hyperlink ref="Z140" r:id="rId555"/>
    <hyperlink ref="AA140" r:id="rId556"/>
    <hyperlink ref="X141" r:id="rId557"/>
    <hyperlink ref="Y141" r:id="rId558"/>
    <hyperlink ref="Z141" r:id="rId559"/>
    <hyperlink ref="AA141" r:id="rId560"/>
    <hyperlink ref="X142" r:id="rId561"/>
    <hyperlink ref="Y142" r:id="rId562"/>
    <hyperlink ref="Z142" r:id="rId563"/>
    <hyperlink ref="AA142" r:id="rId564"/>
    <hyperlink ref="X143" r:id="rId565"/>
    <hyperlink ref="Y143" r:id="rId566"/>
    <hyperlink ref="Z143" r:id="rId567"/>
    <hyperlink ref="AA143" r:id="rId568"/>
    <hyperlink ref="X144" r:id="rId569"/>
    <hyperlink ref="Y144" r:id="rId570"/>
    <hyperlink ref="Z144" r:id="rId571"/>
    <hyperlink ref="AA144" r:id="rId572"/>
    <hyperlink ref="X145" r:id="rId573"/>
    <hyperlink ref="Y145" r:id="rId574"/>
    <hyperlink ref="Z145" r:id="rId575"/>
    <hyperlink ref="AA145" r:id="rId576"/>
    <hyperlink ref="X146" r:id="rId577"/>
    <hyperlink ref="Y146" r:id="rId578"/>
    <hyperlink ref="Z146" r:id="rId579"/>
    <hyperlink ref="AA146" r:id="rId580"/>
    <hyperlink ref="X147" r:id="rId581"/>
    <hyperlink ref="Y147" r:id="rId582"/>
    <hyperlink ref="Z147" r:id="rId583"/>
    <hyperlink ref="AA147" r:id="rId584"/>
    <hyperlink ref="X148" r:id="rId585"/>
    <hyperlink ref="Y148" r:id="rId586"/>
    <hyperlink ref="Z148" r:id="rId587"/>
    <hyperlink ref="AA148" r:id="rId588"/>
    <hyperlink ref="X149" r:id="rId589"/>
    <hyperlink ref="Y149" r:id="rId590"/>
    <hyperlink ref="Z149" r:id="rId591"/>
    <hyperlink ref="AA149" r:id="rId592"/>
    <hyperlink ref="X150" r:id="rId593"/>
    <hyperlink ref="Y150" r:id="rId594"/>
    <hyperlink ref="Z150" r:id="rId595"/>
    <hyperlink ref="AA150" r:id="rId596"/>
    <hyperlink ref="X151" r:id="rId597"/>
    <hyperlink ref="Y151" r:id="rId598"/>
    <hyperlink ref="Z151" r:id="rId599"/>
    <hyperlink ref="AA151" r:id="rId600"/>
    <hyperlink ref="X152" r:id="rId601"/>
    <hyperlink ref="Y152" r:id="rId602"/>
    <hyperlink ref="Z152" r:id="rId603"/>
    <hyperlink ref="AA152" r:id="rId604"/>
    <hyperlink ref="X153" r:id="rId605"/>
    <hyperlink ref="Y153" r:id="rId606"/>
    <hyperlink ref="Z153" r:id="rId607"/>
    <hyperlink ref="AA153" r:id="rId608"/>
    <hyperlink ref="X154" r:id="rId609"/>
    <hyperlink ref="Y154" r:id="rId610"/>
    <hyperlink ref="Z154" r:id="rId611"/>
    <hyperlink ref="AA154" r:id="rId612"/>
    <hyperlink ref="X155" r:id="rId613"/>
    <hyperlink ref="Y155" r:id="rId614"/>
    <hyperlink ref="Z155" r:id="rId615"/>
    <hyperlink ref="AA155" r:id="rId616"/>
    <hyperlink ref="X156" r:id="rId617"/>
    <hyperlink ref="Y156" r:id="rId618"/>
    <hyperlink ref="Z156" r:id="rId619"/>
    <hyperlink ref="AA156" r:id="rId620"/>
    <hyperlink ref="X157" r:id="rId621"/>
    <hyperlink ref="Y157" r:id="rId622"/>
    <hyperlink ref="Z157" r:id="rId623"/>
    <hyperlink ref="AA157" r:id="rId624"/>
    <hyperlink ref="X158" r:id="rId625"/>
    <hyperlink ref="Y158" r:id="rId626"/>
    <hyperlink ref="Z158" r:id="rId627"/>
    <hyperlink ref="AA158" r:id="rId628"/>
    <hyperlink ref="X159" r:id="rId629"/>
    <hyperlink ref="Y159" r:id="rId630"/>
    <hyperlink ref="Z159" r:id="rId631"/>
    <hyperlink ref="AA159" r:id="rId632"/>
    <hyperlink ref="X160" r:id="rId633"/>
    <hyperlink ref="Y160" r:id="rId634"/>
    <hyperlink ref="Z160" r:id="rId635"/>
    <hyperlink ref="AA160" r:id="rId636"/>
    <hyperlink ref="X161" r:id="rId637"/>
    <hyperlink ref="Y161" r:id="rId638"/>
    <hyperlink ref="Z161" r:id="rId639"/>
    <hyperlink ref="AA161" r:id="rId640"/>
    <hyperlink ref="X162" r:id="rId641"/>
    <hyperlink ref="Y162" r:id="rId642"/>
    <hyperlink ref="Z162" r:id="rId643"/>
    <hyperlink ref="AA162" r:id="rId644"/>
    <hyperlink ref="X163" r:id="rId645"/>
    <hyperlink ref="Y163" r:id="rId646"/>
    <hyperlink ref="Z163" r:id="rId647"/>
    <hyperlink ref="AA163" r:id="rId648"/>
    <hyperlink ref="X164" r:id="rId649"/>
    <hyperlink ref="Y164" r:id="rId650"/>
    <hyperlink ref="Z164" r:id="rId651"/>
    <hyperlink ref="AA164" r:id="rId652"/>
    <hyperlink ref="X165" r:id="rId653"/>
    <hyperlink ref="Y165" r:id="rId654"/>
    <hyperlink ref="Z165" r:id="rId655"/>
    <hyperlink ref="AA165" r:id="rId656"/>
    <hyperlink ref="X166" r:id="rId657"/>
    <hyperlink ref="Y166" r:id="rId658"/>
    <hyperlink ref="Z166" r:id="rId659"/>
    <hyperlink ref="AA166" r:id="rId660"/>
    <hyperlink ref="X167" r:id="rId661"/>
    <hyperlink ref="Y167" r:id="rId662"/>
    <hyperlink ref="Z167" r:id="rId663"/>
    <hyperlink ref="AA167" r:id="rId664"/>
    <hyperlink ref="X168" r:id="rId665"/>
    <hyperlink ref="Y168" r:id="rId666"/>
    <hyperlink ref="Z168" r:id="rId667"/>
    <hyperlink ref="AA168" r:id="rId668"/>
    <hyperlink ref="X169" r:id="rId669"/>
    <hyperlink ref="Y169" r:id="rId670"/>
    <hyperlink ref="Z169" r:id="rId671"/>
    <hyperlink ref="AA169" r:id="rId672"/>
    <hyperlink ref="X170" r:id="rId673"/>
    <hyperlink ref="Y170" r:id="rId674"/>
    <hyperlink ref="Z170" r:id="rId675"/>
    <hyperlink ref="AA170" r:id="rId676"/>
    <hyperlink ref="X171" r:id="rId677"/>
    <hyperlink ref="Y171" r:id="rId678"/>
    <hyperlink ref="Z171" r:id="rId679"/>
    <hyperlink ref="AA171" r:id="rId680"/>
    <hyperlink ref="X172" r:id="rId681"/>
    <hyperlink ref="Y172" r:id="rId682"/>
    <hyperlink ref="Z172" r:id="rId683"/>
    <hyperlink ref="AA172" r:id="rId684"/>
    <hyperlink ref="X173" r:id="rId685"/>
    <hyperlink ref="Y173" r:id="rId686"/>
    <hyperlink ref="Z173" r:id="rId687"/>
    <hyperlink ref="AA173" r:id="rId688"/>
    <hyperlink ref="X174" r:id="rId689"/>
    <hyperlink ref="Y174" r:id="rId690"/>
    <hyperlink ref="Z174" r:id="rId691"/>
    <hyperlink ref="AA174" r:id="rId692"/>
    <hyperlink ref="X175" r:id="rId693"/>
    <hyperlink ref="Y175" r:id="rId694"/>
    <hyperlink ref="Z175" r:id="rId695"/>
    <hyperlink ref="AA175" r:id="rId696"/>
    <hyperlink ref="X176" r:id="rId697"/>
    <hyperlink ref="Y176" r:id="rId698"/>
    <hyperlink ref="Z176" r:id="rId699"/>
    <hyperlink ref="AA176" r:id="rId700"/>
    <hyperlink ref="X177" r:id="rId701"/>
    <hyperlink ref="Y177" r:id="rId702"/>
    <hyperlink ref="Z177" r:id="rId703"/>
    <hyperlink ref="AA177" r:id="rId704"/>
    <hyperlink ref="X178" r:id="rId705"/>
    <hyperlink ref="Y178" r:id="rId706"/>
    <hyperlink ref="Z178" r:id="rId707"/>
    <hyperlink ref="AA178" r:id="rId708"/>
    <hyperlink ref="X179" r:id="rId709"/>
    <hyperlink ref="Y179" r:id="rId710"/>
    <hyperlink ref="Z179" r:id="rId711"/>
    <hyperlink ref="AA179" r:id="rId712"/>
    <hyperlink ref="X180" r:id="rId713"/>
    <hyperlink ref="Y180" r:id="rId714"/>
    <hyperlink ref="Z180" r:id="rId715"/>
    <hyperlink ref="AA180" r:id="rId716"/>
    <hyperlink ref="X181" r:id="rId717"/>
    <hyperlink ref="Y181" r:id="rId718"/>
    <hyperlink ref="Z181" r:id="rId719"/>
    <hyperlink ref="AA181" r:id="rId720"/>
    <hyperlink ref="X182" r:id="rId721"/>
    <hyperlink ref="Y182" r:id="rId722"/>
    <hyperlink ref="Z182" r:id="rId723"/>
    <hyperlink ref="AA182" r:id="rId724"/>
    <hyperlink ref="X183" r:id="rId725"/>
    <hyperlink ref="Y183" r:id="rId726"/>
    <hyperlink ref="Z183" r:id="rId727"/>
    <hyperlink ref="AA183" r:id="rId728"/>
    <hyperlink ref="X184" r:id="rId729"/>
    <hyperlink ref="Y184" r:id="rId730"/>
    <hyperlink ref="Z184" r:id="rId731"/>
    <hyperlink ref="AA184" r:id="rId732"/>
    <hyperlink ref="X185" r:id="rId733"/>
    <hyperlink ref="Y185" r:id="rId734"/>
    <hyperlink ref="Z185" r:id="rId735"/>
    <hyperlink ref="AA185" r:id="rId736"/>
    <hyperlink ref="X186" r:id="rId737"/>
    <hyperlink ref="Y186" r:id="rId738"/>
    <hyperlink ref="Z186" r:id="rId739"/>
    <hyperlink ref="AA186" r:id="rId740"/>
    <hyperlink ref="X187" r:id="rId741"/>
    <hyperlink ref="Y187" r:id="rId742"/>
    <hyperlink ref="Z187" r:id="rId743"/>
    <hyperlink ref="AA187" r:id="rId744"/>
    <hyperlink ref="X188" r:id="rId745"/>
    <hyperlink ref="Y188" r:id="rId746"/>
    <hyperlink ref="Z188" r:id="rId747"/>
    <hyperlink ref="AA188" r:id="rId748"/>
    <hyperlink ref="X189" r:id="rId749"/>
    <hyperlink ref="Y189" r:id="rId750"/>
    <hyperlink ref="Z189" r:id="rId751"/>
    <hyperlink ref="AA189" r:id="rId752"/>
    <hyperlink ref="X190" r:id="rId753"/>
    <hyperlink ref="Y190" r:id="rId754"/>
    <hyperlink ref="Z190" r:id="rId755"/>
    <hyperlink ref="AA190" r:id="rId756"/>
    <hyperlink ref="X191" r:id="rId757"/>
    <hyperlink ref="Y191" r:id="rId758"/>
    <hyperlink ref="Z191" r:id="rId759"/>
    <hyperlink ref="AA191" r:id="rId760"/>
    <hyperlink ref="X192" r:id="rId761"/>
    <hyperlink ref="Y192" r:id="rId762"/>
    <hyperlink ref="Z192" r:id="rId763"/>
    <hyperlink ref="AA192" r:id="rId764"/>
    <hyperlink ref="X193" r:id="rId765"/>
    <hyperlink ref="Y193" r:id="rId766"/>
    <hyperlink ref="Z193" r:id="rId767"/>
    <hyperlink ref="AA193" r:id="rId768"/>
    <hyperlink ref="X194" r:id="rId769"/>
    <hyperlink ref="Y194" r:id="rId770"/>
    <hyperlink ref="Z194" r:id="rId771"/>
    <hyperlink ref="AA194" r:id="rId772"/>
    <hyperlink ref="X195" r:id="rId773"/>
    <hyperlink ref="Y195" r:id="rId774"/>
    <hyperlink ref="Z195" r:id="rId775"/>
    <hyperlink ref="AA195" r:id="rId776"/>
    <hyperlink ref="X196" r:id="rId777"/>
    <hyperlink ref="Y196" r:id="rId778"/>
    <hyperlink ref="Z196" r:id="rId779"/>
    <hyperlink ref="AA196" r:id="rId780"/>
    <hyperlink ref="X197" r:id="rId781"/>
    <hyperlink ref="Y197" r:id="rId782"/>
    <hyperlink ref="Z197" r:id="rId783"/>
    <hyperlink ref="AA197" r:id="rId784"/>
    <hyperlink ref="X198" r:id="rId785"/>
    <hyperlink ref="Y198" r:id="rId786"/>
    <hyperlink ref="Z198" r:id="rId787"/>
    <hyperlink ref="AA198" r:id="rId788"/>
    <hyperlink ref="X199" r:id="rId789"/>
    <hyperlink ref="Y199" r:id="rId790"/>
    <hyperlink ref="Z199" r:id="rId791"/>
    <hyperlink ref="AA199" r:id="rId792"/>
    <hyperlink ref="X200" r:id="rId793"/>
    <hyperlink ref="Y200" r:id="rId794"/>
    <hyperlink ref="Z200" r:id="rId795"/>
    <hyperlink ref="AA200" r:id="rId796"/>
    <hyperlink ref="X201" r:id="rId797"/>
    <hyperlink ref="Y201" r:id="rId798"/>
    <hyperlink ref="Z201" r:id="rId799"/>
    <hyperlink ref="AA201" r:id="rId800"/>
    <hyperlink ref="X202" r:id="rId801"/>
    <hyperlink ref="Y202" r:id="rId802"/>
    <hyperlink ref="Z202" r:id="rId803"/>
    <hyperlink ref="AA202" r:id="rId804"/>
    <hyperlink ref="X203" r:id="rId805"/>
    <hyperlink ref="Y203" r:id="rId806"/>
    <hyperlink ref="Z203" r:id="rId807"/>
    <hyperlink ref="AA203" r:id="rId808"/>
    <hyperlink ref="X204" r:id="rId809"/>
    <hyperlink ref="Y204" r:id="rId810"/>
    <hyperlink ref="Z204" r:id="rId811"/>
    <hyperlink ref="AA204" r:id="rId812"/>
    <hyperlink ref="X205" r:id="rId813"/>
    <hyperlink ref="Y205" r:id="rId814"/>
    <hyperlink ref="Z205" r:id="rId815"/>
    <hyperlink ref="AA205" r:id="rId816"/>
    <hyperlink ref="X206" r:id="rId817"/>
    <hyperlink ref="Y206" r:id="rId818"/>
    <hyperlink ref="Z206" r:id="rId819"/>
    <hyperlink ref="AA206" r:id="rId820"/>
    <hyperlink ref="X207" r:id="rId821"/>
    <hyperlink ref="Y207" r:id="rId822"/>
    <hyperlink ref="Z207" r:id="rId823"/>
    <hyperlink ref="AA207" r:id="rId824"/>
    <hyperlink ref="X208" r:id="rId825"/>
    <hyperlink ref="Y208" r:id="rId826"/>
    <hyperlink ref="Z208" r:id="rId827"/>
    <hyperlink ref="AA208" r:id="rId828"/>
    <hyperlink ref="X209" r:id="rId829"/>
    <hyperlink ref="Y209" r:id="rId830"/>
    <hyperlink ref="Z209" r:id="rId831"/>
    <hyperlink ref="AA209" r:id="rId832"/>
    <hyperlink ref="X210" r:id="rId833"/>
    <hyperlink ref="Y210" r:id="rId834"/>
    <hyperlink ref="Z210" r:id="rId835"/>
    <hyperlink ref="AA210" r:id="rId836"/>
    <hyperlink ref="X211" r:id="rId837"/>
    <hyperlink ref="Y211" r:id="rId838"/>
    <hyperlink ref="Z211" r:id="rId839"/>
    <hyperlink ref="AA211" r:id="rId840"/>
    <hyperlink ref="X212" r:id="rId841"/>
    <hyperlink ref="Y212" r:id="rId842"/>
    <hyperlink ref="Z212" r:id="rId843"/>
    <hyperlink ref="AA212" r:id="rId844"/>
    <hyperlink ref="X213" r:id="rId845"/>
    <hyperlink ref="Y213" r:id="rId846"/>
    <hyperlink ref="Z213" r:id="rId847"/>
    <hyperlink ref="AA213" r:id="rId848"/>
    <hyperlink ref="X214" r:id="rId849"/>
    <hyperlink ref="Y214" r:id="rId850"/>
    <hyperlink ref="Z214" r:id="rId851"/>
    <hyperlink ref="AA214" r:id="rId852"/>
    <hyperlink ref="W215" r:id="rId853"/>
    <hyperlink ref="X215" r:id="rId854"/>
    <hyperlink ref="Y215" r:id="rId855"/>
    <hyperlink ref="Z215" r:id="rId856"/>
    <hyperlink ref="X216" r:id="rId857"/>
    <hyperlink ref="Y216" r:id="rId858"/>
    <hyperlink ref="Z216" r:id="rId859"/>
    <hyperlink ref="AA216" r:id="rId860"/>
    <hyperlink ref="X217" r:id="rId861"/>
    <hyperlink ref="Y217" r:id="rId862"/>
    <hyperlink ref="Z217" r:id="rId863"/>
    <hyperlink ref="AA217" r:id="rId864"/>
    <hyperlink ref="X218" r:id="rId865"/>
    <hyperlink ref="Y218" r:id="rId866"/>
    <hyperlink ref="Z218" r:id="rId867"/>
    <hyperlink ref="AA218" r:id="rId868"/>
    <hyperlink ref="X219" r:id="rId869"/>
    <hyperlink ref="Y219" r:id="rId870"/>
    <hyperlink ref="Z219" r:id="rId871"/>
    <hyperlink ref="AA219" r:id="rId872"/>
    <hyperlink ref="X220" r:id="rId873"/>
    <hyperlink ref="Y220" r:id="rId874"/>
    <hyperlink ref="Z220" r:id="rId875"/>
    <hyperlink ref="AA220" r:id="rId876"/>
    <hyperlink ref="X221" r:id="rId877"/>
    <hyperlink ref="Y221" r:id="rId878"/>
    <hyperlink ref="Z221" r:id="rId879"/>
    <hyperlink ref="AA221" r:id="rId880"/>
    <hyperlink ref="X222" r:id="rId881"/>
    <hyperlink ref="Y222" r:id="rId882"/>
    <hyperlink ref="Z222" r:id="rId883"/>
    <hyperlink ref="AA222" r:id="rId884"/>
    <hyperlink ref="X223" r:id="rId885"/>
    <hyperlink ref="Y223" r:id="rId886"/>
    <hyperlink ref="Z223" r:id="rId887"/>
    <hyperlink ref="AA223" r:id="rId888"/>
    <hyperlink ref="X224" r:id="rId889"/>
    <hyperlink ref="Y224" r:id="rId890"/>
    <hyperlink ref="Z224" r:id="rId891"/>
    <hyperlink ref="AA224" r:id="rId892"/>
    <hyperlink ref="X225" r:id="rId893"/>
    <hyperlink ref="Y225" r:id="rId894"/>
    <hyperlink ref="Z225" r:id="rId895"/>
    <hyperlink ref="AA225" r:id="rId896"/>
    <hyperlink ref="X226" r:id="rId897"/>
    <hyperlink ref="Y226" r:id="rId898"/>
    <hyperlink ref="Z226" r:id="rId899"/>
    <hyperlink ref="AA226" r:id="rId900"/>
    <hyperlink ref="X227" r:id="rId901"/>
    <hyperlink ref="Y227" r:id="rId902"/>
    <hyperlink ref="Z227" r:id="rId903"/>
    <hyperlink ref="AA227" r:id="rId904"/>
    <hyperlink ref="X228" r:id="rId905"/>
    <hyperlink ref="Y228" r:id="rId906"/>
    <hyperlink ref="Z228" r:id="rId907"/>
    <hyperlink ref="AA228" r:id="rId908"/>
    <hyperlink ref="X229" r:id="rId909"/>
    <hyperlink ref="Y229" r:id="rId910"/>
    <hyperlink ref="Z229" r:id="rId911"/>
    <hyperlink ref="AA229" r:id="rId912"/>
    <hyperlink ref="X230" r:id="rId913"/>
    <hyperlink ref="Y230" r:id="rId914"/>
    <hyperlink ref="Z230" r:id="rId915"/>
    <hyperlink ref="AA230" r:id="rId916"/>
    <hyperlink ref="X231" r:id="rId917"/>
    <hyperlink ref="Y231" r:id="rId918"/>
    <hyperlink ref="Z231" r:id="rId919"/>
    <hyperlink ref="AA231" r:id="rId920"/>
    <hyperlink ref="X232" r:id="rId921"/>
    <hyperlink ref="Y232" r:id="rId922"/>
    <hyperlink ref="Z232" r:id="rId923"/>
    <hyperlink ref="AA232" r:id="rId924"/>
    <hyperlink ref="X233" r:id="rId925"/>
    <hyperlink ref="Y233" r:id="rId926"/>
    <hyperlink ref="Z233" r:id="rId927"/>
    <hyperlink ref="AA233" r:id="rId928"/>
    <hyperlink ref="X234" r:id="rId929"/>
    <hyperlink ref="Y234" r:id="rId930"/>
    <hyperlink ref="Z234" r:id="rId931"/>
    <hyperlink ref="AA234" r:id="rId932"/>
    <hyperlink ref="X235" r:id="rId933"/>
    <hyperlink ref="Y235" r:id="rId934"/>
    <hyperlink ref="Z235" r:id="rId935"/>
    <hyperlink ref="AA235" r:id="rId936"/>
    <hyperlink ref="X236" r:id="rId937"/>
    <hyperlink ref="Y236" r:id="rId938"/>
    <hyperlink ref="Z236" r:id="rId939"/>
    <hyperlink ref="AA236" r:id="rId940"/>
    <hyperlink ref="X237" r:id="rId941"/>
    <hyperlink ref="Y237" r:id="rId942"/>
    <hyperlink ref="Z237" r:id="rId943"/>
    <hyperlink ref="AA237" r:id="rId944"/>
    <hyperlink ref="X238" r:id="rId945"/>
    <hyperlink ref="Y238" r:id="rId946"/>
    <hyperlink ref="Z238" r:id="rId947"/>
    <hyperlink ref="AA238" r:id="rId948"/>
    <hyperlink ref="X239" r:id="rId949"/>
    <hyperlink ref="Y239" r:id="rId950"/>
    <hyperlink ref="Z239" r:id="rId951"/>
    <hyperlink ref="AA239" r:id="rId952"/>
    <hyperlink ref="X240" r:id="rId953"/>
    <hyperlink ref="Y240" r:id="rId954"/>
    <hyperlink ref="Z240" r:id="rId955"/>
    <hyperlink ref="AA240" r:id="rId956"/>
    <hyperlink ref="X241" r:id="rId957"/>
    <hyperlink ref="Y241" r:id="rId958"/>
    <hyperlink ref="Z241" r:id="rId959"/>
    <hyperlink ref="AA241" r:id="rId960"/>
    <hyperlink ref="X242" r:id="rId961"/>
    <hyperlink ref="Y242" r:id="rId962"/>
    <hyperlink ref="Z242" r:id="rId963"/>
    <hyperlink ref="AA242" r:id="rId964"/>
    <hyperlink ref="X243" r:id="rId965"/>
    <hyperlink ref="Y243" r:id="rId966"/>
    <hyperlink ref="Z243" r:id="rId967"/>
    <hyperlink ref="AA243" r:id="rId968"/>
    <hyperlink ref="X244" r:id="rId969"/>
    <hyperlink ref="Y244" r:id="rId970"/>
    <hyperlink ref="Z244" r:id="rId971"/>
    <hyperlink ref="AA244" r:id="rId972"/>
    <hyperlink ref="X245" r:id="rId973"/>
    <hyperlink ref="Y245" r:id="rId974"/>
    <hyperlink ref="Z245" r:id="rId975"/>
    <hyperlink ref="AA245" r:id="rId976"/>
    <hyperlink ref="X246" r:id="rId977"/>
    <hyperlink ref="Y246" r:id="rId978"/>
    <hyperlink ref="Z246" r:id="rId979"/>
    <hyperlink ref="AA246" r:id="rId980"/>
    <hyperlink ref="X247" r:id="rId981"/>
    <hyperlink ref="Y247" r:id="rId982"/>
    <hyperlink ref="Z247" r:id="rId983"/>
    <hyperlink ref="AA247" r:id="rId984"/>
    <hyperlink ref="X248" r:id="rId985"/>
    <hyperlink ref="Y248" r:id="rId986"/>
    <hyperlink ref="Z248" r:id="rId987"/>
    <hyperlink ref="AA248" r:id="rId988"/>
    <hyperlink ref="X249" r:id="rId989"/>
    <hyperlink ref="Y249" r:id="rId990"/>
    <hyperlink ref="Z249" r:id="rId991"/>
    <hyperlink ref="AA249" r:id="rId992"/>
    <hyperlink ref="X250" r:id="rId993"/>
    <hyperlink ref="Y250" r:id="rId994"/>
    <hyperlink ref="Z250" r:id="rId995"/>
    <hyperlink ref="AA250" r:id="rId996"/>
    <hyperlink ref="X251" r:id="rId997"/>
    <hyperlink ref="Y251" r:id="rId998"/>
    <hyperlink ref="Z251" r:id="rId999"/>
    <hyperlink ref="AA251" r:id="rId1000"/>
    <hyperlink ref="X252" r:id="rId1001"/>
    <hyperlink ref="Y252" r:id="rId1002"/>
    <hyperlink ref="Z252" r:id="rId1003"/>
    <hyperlink ref="AA252" r:id="rId1004"/>
    <hyperlink ref="X253" r:id="rId1005"/>
    <hyperlink ref="Y253" r:id="rId1006"/>
    <hyperlink ref="Z253" r:id="rId1007"/>
    <hyperlink ref="AA253" r:id="rId1008"/>
    <hyperlink ref="X254" r:id="rId1009"/>
    <hyperlink ref="Y254" r:id="rId1010"/>
    <hyperlink ref="Z254" r:id="rId1011"/>
    <hyperlink ref="AA254" r:id="rId1012"/>
  </hyperlinks>
  <pageMargins left="0.75" right="0.75" top="1" bottom="1" header="0.5" footer="0.5"/>
  <pageSetup orientation="portrait" horizontalDpi="4294967292" verticalDpi="4294967292"/>
  <legacyDrawing r:id="rId101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A119"/>
  <sheetViews>
    <sheetView workbookViewId="0"/>
  </sheetViews>
  <sheetFormatPr defaultColWidth="11.42578125" defaultRowHeight="15" x14ac:dyDescent="0.25"/>
  <sheetData>
    <row r="1" spans="1:27" s="20" customFormat="1" ht="60" x14ac:dyDescent="0.25">
      <c r="B1" s="20" t="s">
        <v>2</v>
      </c>
      <c r="C1" s="20" t="s">
        <v>0</v>
      </c>
      <c r="D1" s="92" t="s">
        <v>1956</v>
      </c>
      <c r="E1" s="92" t="s">
        <v>372</v>
      </c>
      <c r="F1" s="83" t="s">
        <v>2360</v>
      </c>
      <c r="G1" s="94" t="s">
        <v>357</v>
      </c>
      <c r="H1" s="94" t="s">
        <v>377</v>
      </c>
      <c r="I1" s="83" t="s">
        <v>546</v>
      </c>
      <c r="J1" s="83" t="s">
        <v>2032</v>
      </c>
      <c r="K1" s="92" t="s">
        <v>358</v>
      </c>
      <c r="L1" s="93" t="s">
        <v>360</v>
      </c>
      <c r="M1" s="92" t="s">
        <v>374</v>
      </c>
      <c r="N1" s="91" t="s">
        <v>375</v>
      </c>
      <c r="O1" s="81" t="s">
        <v>1</v>
      </c>
      <c r="P1" s="20" t="s">
        <v>1960</v>
      </c>
      <c r="Q1" s="20" t="s">
        <v>1957</v>
      </c>
      <c r="R1" s="20" t="s">
        <v>1949</v>
      </c>
      <c r="S1" s="20" t="s">
        <v>1955</v>
      </c>
      <c r="T1" s="20" t="s">
        <v>1950</v>
      </c>
      <c r="U1" s="20" t="s">
        <v>1954</v>
      </c>
      <c r="V1" s="20" t="s">
        <v>1952</v>
      </c>
      <c r="W1" s="20" t="s">
        <v>1953</v>
      </c>
      <c r="X1" s="20" t="s">
        <v>1948</v>
      </c>
    </row>
    <row r="2" spans="1:27" x14ac:dyDescent="0.25">
      <c r="A2" s="27" t="s">
        <v>1766</v>
      </c>
      <c r="B2" s="27" t="str">
        <f t="shared" ref="B2:B65" si="0">LEFT(A2,FIND(";",A2)-1)</f>
        <v>Virginia</v>
      </c>
      <c r="C2" s="27" t="str">
        <f t="shared" ref="C2:C65" si="1">MID(A2,FIND(";",A2)+1,100)</f>
        <v>Accomack</v>
      </c>
      <c r="D2" s="2">
        <v>8717</v>
      </c>
      <c r="E2" s="2">
        <v>257</v>
      </c>
      <c r="F2" s="2"/>
      <c r="G2" s="2">
        <v>150</v>
      </c>
      <c r="H2" s="2">
        <v>9960</v>
      </c>
      <c r="I2" s="2">
        <v>573</v>
      </c>
      <c r="J2" s="2"/>
      <c r="K2" s="89">
        <f t="shared" ref="K2:K65" si="2">I2/(G2/20)</f>
        <v>76.400000000000006</v>
      </c>
      <c r="L2" s="12">
        <v>288813.99</v>
      </c>
      <c r="M2" s="7">
        <v>69</v>
      </c>
      <c r="N2" s="29">
        <v>672859</v>
      </c>
      <c r="O2" s="41">
        <v>1925</v>
      </c>
      <c r="P2" s="27"/>
      <c r="Q2" s="27" t="s">
        <v>464</v>
      </c>
      <c r="R2" s="27" t="s">
        <v>465</v>
      </c>
      <c r="S2" s="27" t="s">
        <v>466</v>
      </c>
      <c r="T2" s="27" t="s">
        <v>464</v>
      </c>
      <c r="U2" s="27" t="s">
        <v>466</v>
      </c>
      <c r="V2" s="27" t="s">
        <v>467</v>
      </c>
      <c r="W2" s="1"/>
      <c r="X2" s="1"/>
      <c r="Y2" s="27"/>
      <c r="Z2" s="27"/>
      <c r="AA2" s="27"/>
    </row>
    <row r="3" spans="1:27" x14ac:dyDescent="0.25">
      <c r="A3" s="27" t="s">
        <v>1616</v>
      </c>
      <c r="B3" s="27" t="str">
        <f t="shared" si="0"/>
        <v>Virginia</v>
      </c>
      <c r="C3" s="27" t="str">
        <f t="shared" si="1"/>
        <v>Albemarle</v>
      </c>
      <c r="D3" s="2">
        <v>5404</v>
      </c>
      <c r="E3" s="27">
        <v>500</v>
      </c>
      <c r="F3" s="27"/>
      <c r="G3" s="2">
        <v>156</v>
      </c>
      <c r="H3" s="27">
        <v>6381</v>
      </c>
      <c r="I3" s="27">
        <v>590</v>
      </c>
      <c r="J3" s="27"/>
      <c r="K3" s="89">
        <f t="shared" si="2"/>
        <v>75.641025641025649</v>
      </c>
      <c r="L3" s="12">
        <v>277418.55</v>
      </c>
      <c r="M3" s="7">
        <v>89</v>
      </c>
      <c r="N3" s="29">
        <v>561100</v>
      </c>
      <c r="O3" s="41">
        <v>1925</v>
      </c>
      <c r="P3" s="27"/>
      <c r="Q3" s="27" t="s">
        <v>464</v>
      </c>
      <c r="R3" s="27" t="s">
        <v>465</v>
      </c>
      <c r="S3" s="27" t="s">
        <v>466</v>
      </c>
      <c r="T3" s="27" t="s">
        <v>464</v>
      </c>
      <c r="U3" s="27" t="s">
        <v>466</v>
      </c>
      <c r="V3" s="27" t="s">
        <v>467</v>
      </c>
      <c r="W3" s="1"/>
      <c r="X3" s="1"/>
      <c r="Y3" s="27"/>
      <c r="Z3" s="27"/>
      <c r="AA3" s="27"/>
    </row>
    <row r="4" spans="1:27" x14ac:dyDescent="0.25">
      <c r="A4" s="98" t="s">
        <v>1767</v>
      </c>
      <c r="B4" s="98" t="str">
        <f t="shared" si="0"/>
        <v>Virginia</v>
      </c>
      <c r="C4" s="98" t="str">
        <f t="shared" si="1"/>
        <v>Alexandria City</v>
      </c>
      <c r="D4" s="99">
        <v>2683</v>
      </c>
      <c r="E4" s="98">
        <v>85</v>
      </c>
      <c r="F4" s="98"/>
      <c r="G4" s="99">
        <v>183</v>
      </c>
      <c r="H4" s="99">
        <v>3196</v>
      </c>
      <c r="I4" s="99">
        <v>1161</v>
      </c>
      <c r="J4" s="99"/>
      <c r="K4" s="100">
        <f t="shared" si="2"/>
        <v>126.88524590163934</v>
      </c>
      <c r="L4" s="105">
        <v>134402.82999999999</v>
      </c>
      <c r="M4" s="98">
        <v>6</v>
      </c>
      <c r="N4" s="99">
        <v>463683</v>
      </c>
      <c r="O4" s="101">
        <v>1925</v>
      </c>
      <c r="P4" s="98"/>
      <c r="Q4" s="98" t="s">
        <v>464</v>
      </c>
      <c r="R4" s="98" t="s">
        <v>465</v>
      </c>
      <c r="S4" s="98" t="s">
        <v>466</v>
      </c>
      <c r="T4" s="98" t="s">
        <v>464</v>
      </c>
      <c r="U4" s="98" t="s">
        <v>466</v>
      </c>
      <c r="V4" s="98" t="s">
        <v>467</v>
      </c>
      <c r="W4" s="102"/>
      <c r="X4" s="102"/>
      <c r="Y4" s="98"/>
      <c r="Z4" s="98"/>
      <c r="AA4" s="98"/>
    </row>
    <row r="5" spans="1:27" x14ac:dyDescent="0.25">
      <c r="A5" s="27" t="s">
        <v>1617</v>
      </c>
      <c r="B5" s="27" t="str">
        <f t="shared" si="0"/>
        <v>Virginia</v>
      </c>
      <c r="C5" s="27" t="str">
        <f t="shared" si="1"/>
        <v>Alleghany</v>
      </c>
      <c r="D5" s="2">
        <v>2932</v>
      </c>
      <c r="E5" s="27">
        <v>126</v>
      </c>
      <c r="F5" s="27"/>
      <c r="G5" s="2">
        <v>147</v>
      </c>
      <c r="H5" s="2">
        <v>4000</v>
      </c>
      <c r="I5" s="2">
        <v>668</v>
      </c>
      <c r="J5" s="2"/>
      <c r="K5" s="89">
        <f t="shared" si="2"/>
        <v>90.884353741496597</v>
      </c>
      <c r="L5" s="12">
        <v>163478.07</v>
      </c>
      <c r="M5" s="7">
        <v>53</v>
      </c>
      <c r="N5" s="29">
        <v>382300</v>
      </c>
      <c r="O5" s="41">
        <v>1925</v>
      </c>
      <c r="P5" s="27"/>
      <c r="Q5" s="27" t="s">
        <v>464</v>
      </c>
      <c r="R5" s="27" t="s">
        <v>465</v>
      </c>
      <c r="S5" s="27" t="s">
        <v>466</v>
      </c>
      <c r="T5" s="27" t="s">
        <v>464</v>
      </c>
      <c r="U5" s="27" t="s">
        <v>466</v>
      </c>
      <c r="V5" s="27" t="s">
        <v>467</v>
      </c>
      <c r="W5" s="1"/>
      <c r="X5" s="1"/>
      <c r="Y5" s="27"/>
      <c r="Z5" s="27"/>
      <c r="AA5" s="27"/>
    </row>
    <row r="6" spans="1:27" x14ac:dyDescent="0.25">
      <c r="A6" s="27" t="s">
        <v>1618</v>
      </c>
      <c r="B6" s="27" t="str">
        <f t="shared" si="0"/>
        <v>Virginia</v>
      </c>
      <c r="C6" s="27" t="str">
        <f t="shared" si="1"/>
        <v>Amelia</v>
      </c>
      <c r="D6" s="2">
        <v>1583</v>
      </c>
      <c r="E6" s="27">
        <v>83</v>
      </c>
      <c r="F6" s="27"/>
      <c r="G6" s="2">
        <v>150</v>
      </c>
      <c r="H6" s="2">
        <v>2446</v>
      </c>
      <c r="I6" s="2">
        <v>525</v>
      </c>
      <c r="J6" s="2"/>
      <c r="K6" s="89">
        <f t="shared" si="2"/>
        <v>70</v>
      </c>
      <c r="L6" s="12">
        <v>75580.17</v>
      </c>
      <c r="M6" s="7">
        <v>47</v>
      </c>
      <c r="N6" s="29">
        <v>115000</v>
      </c>
      <c r="O6" s="41">
        <v>1925</v>
      </c>
      <c r="P6" s="27"/>
      <c r="Q6" s="27" t="s">
        <v>464</v>
      </c>
      <c r="R6" s="27" t="s">
        <v>465</v>
      </c>
      <c r="S6" s="27" t="s">
        <v>466</v>
      </c>
      <c r="T6" s="27" t="s">
        <v>464</v>
      </c>
      <c r="U6" s="27" t="s">
        <v>466</v>
      </c>
      <c r="V6" s="27" t="s">
        <v>467</v>
      </c>
      <c r="W6" s="1"/>
      <c r="X6" s="1"/>
      <c r="Y6" s="27"/>
      <c r="Z6" s="27"/>
      <c r="AA6" s="27"/>
    </row>
    <row r="7" spans="1:27" x14ac:dyDescent="0.25">
      <c r="A7" s="27" t="s">
        <v>1619</v>
      </c>
      <c r="B7" s="27" t="str">
        <f t="shared" si="0"/>
        <v>Virginia</v>
      </c>
      <c r="C7" s="27" t="str">
        <f t="shared" si="1"/>
        <v>Amherst</v>
      </c>
      <c r="D7" s="2">
        <v>3259</v>
      </c>
      <c r="E7" s="27">
        <v>148</v>
      </c>
      <c r="F7" s="27"/>
      <c r="G7" s="2">
        <v>157</v>
      </c>
      <c r="H7" s="2">
        <v>4761</v>
      </c>
      <c r="I7" s="2">
        <v>518</v>
      </c>
      <c r="J7" s="2"/>
      <c r="K7" s="89">
        <f t="shared" si="2"/>
        <v>65.98726114649682</v>
      </c>
      <c r="L7" s="12">
        <v>161479.87</v>
      </c>
      <c r="M7" s="7">
        <v>99</v>
      </c>
      <c r="N7" s="29">
        <v>203500</v>
      </c>
      <c r="O7" s="41">
        <v>1925</v>
      </c>
      <c r="P7" s="27"/>
      <c r="Q7" s="27" t="s">
        <v>464</v>
      </c>
      <c r="R7" s="27" t="s">
        <v>465</v>
      </c>
      <c r="S7" s="27" t="s">
        <v>466</v>
      </c>
      <c r="T7" s="27" t="s">
        <v>464</v>
      </c>
      <c r="U7" s="27" t="s">
        <v>466</v>
      </c>
      <c r="V7" s="27" t="s">
        <v>467</v>
      </c>
      <c r="W7" s="1"/>
      <c r="X7" s="1"/>
      <c r="Y7" s="27"/>
      <c r="Z7" s="27"/>
      <c r="AA7" s="27"/>
    </row>
    <row r="8" spans="1:27" x14ac:dyDescent="0.25">
      <c r="A8" s="27" t="s">
        <v>1620</v>
      </c>
      <c r="B8" s="27" t="str">
        <f t="shared" si="0"/>
        <v>Virginia</v>
      </c>
      <c r="C8" s="27" t="str">
        <f t="shared" si="1"/>
        <v>Appomattox</v>
      </c>
      <c r="D8" s="2">
        <v>1684</v>
      </c>
      <c r="E8" s="27">
        <v>78</v>
      </c>
      <c r="F8" s="27"/>
      <c r="G8" s="2">
        <v>151</v>
      </c>
      <c r="H8" s="2">
        <v>2453</v>
      </c>
      <c r="I8" s="2">
        <v>572</v>
      </c>
      <c r="J8" s="2"/>
      <c r="K8" s="89">
        <f t="shared" si="2"/>
        <v>75.761589403973517</v>
      </c>
      <c r="L8" s="12">
        <v>6297036</v>
      </c>
      <c r="M8" s="7">
        <f>30+15</f>
        <v>45</v>
      </c>
      <c r="N8" s="29">
        <v>95200</v>
      </c>
      <c r="O8" s="41">
        <v>1925</v>
      </c>
      <c r="P8" s="27"/>
      <c r="Q8" s="27" t="s">
        <v>464</v>
      </c>
      <c r="R8" s="27" t="s">
        <v>465</v>
      </c>
      <c r="S8" s="27" t="s">
        <v>466</v>
      </c>
      <c r="T8" s="27" t="s">
        <v>464</v>
      </c>
      <c r="U8" s="27" t="s">
        <v>466</v>
      </c>
      <c r="V8" s="27" t="s">
        <v>467</v>
      </c>
      <c r="W8" s="1"/>
      <c r="X8" s="1"/>
      <c r="Y8" s="27"/>
      <c r="Z8" s="27"/>
      <c r="AA8" s="27"/>
    </row>
    <row r="9" spans="1:27" x14ac:dyDescent="0.25">
      <c r="A9" s="27" t="s">
        <v>1793</v>
      </c>
      <c r="B9" s="27" t="str">
        <f t="shared" si="0"/>
        <v>Virginia</v>
      </c>
      <c r="C9" s="27" t="str">
        <f t="shared" si="1"/>
        <v>Arlington/Alexandria</v>
      </c>
      <c r="D9" s="2">
        <v>2929</v>
      </c>
      <c r="E9" s="27">
        <v>103</v>
      </c>
      <c r="F9" s="27"/>
      <c r="G9" s="2">
        <v>200</v>
      </c>
      <c r="H9" s="2">
        <v>3856</v>
      </c>
      <c r="I9" s="2">
        <v>117</v>
      </c>
      <c r="J9" s="2"/>
      <c r="K9" s="89">
        <f t="shared" si="2"/>
        <v>11.7</v>
      </c>
      <c r="L9" s="12">
        <v>962095.99</v>
      </c>
      <c r="M9" s="27">
        <v>17</v>
      </c>
      <c r="N9" s="2">
        <v>553125</v>
      </c>
      <c r="O9" s="41">
        <v>1925</v>
      </c>
      <c r="P9" s="27"/>
      <c r="Q9" s="27" t="s">
        <v>464</v>
      </c>
      <c r="R9" s="27" t="s">
        <v>465</v>
      </c>
      <c r="S9" s="27" t="s">
        <v>466</v>
      </c>
      <c r="T9" s="27" t="s">
        <v>464</v>
      </c>
      <c r="U9" s="27" t="s">
        <v>466</v>
      </c>
      <c r="V9" s="27" t="s">
        <v>467</v>
      </c>
      <c r="W9" s="1"/>
      <c r="X9" s="1"/>
      <c r="Y9" s="27"/>
      <c r="Z9" s="27"/>
      <c r="AA9" s="27"/>
    </row>
    <row r="10" spans="1:27" x14ac:dyDescent="0.25">
      <c r="A10" s="27" t="s">
        <v>1621</v>
      </c>
      <c r="B10" s="27" t="str">
        <f t="shared" si="0"/>
        <v>Virginia</v>
      </c>
      <c r="C10" s="27" t="str">
        <f t="shared" si="1"/>
        <v>Augusta</v>
      </c>
      <c r="D10" s="2">
        <v>6209</v>
      </c>
      <c r="E10" s="27">
        <v>307</v>
      </c>
      <c r="F10" s="27"/>
      <c r="G10" s="2">
        <v>159</v>
      </c>
      <c r="H10" s="2">
        <v>8309</v>
      </c>
      <c r="I10" s="2">
        <v>590</v>
      </c>
      <c r="J10" s="2"/>
      <c r="K10" s="89">
        <f t="shared" si="2"/>
        <v>74.213836477987414</v>
      </c>
      <c r="L10" s="12">
        <v>351385.89</v>
      </c>
      <c r="M10" s="27">
        <v>103</v>
      </c>
      <c r="N10" s="2">
        <v>565000</v>
      </c>
      <c r="O10" s="41">
        <v>1925</v>
      </c>
      <c r="P10" s="27"/>
      <c r="Q10" s="27" t="s">
        <v>464</v>
      </c>
      <c r="R10" s="27" t="s">
        <v>465</v>
      </c>
      <c r="S10" s="27" t="s">
        <v>466</v>
      </c>
      <c r="T10" s="27" t="s">
        <v>464</v>
      </c>
      <c r="U10" s="27" t="s">
        <v>466</v>
      </c>
      <c r="V10" s="27" t="s">
        <v>467</v>
      </c>
      <c r="W10" s="1"/>
      <c r="X10" s="1"/>
      <c r="Y10" s="27"/>
      <c r="Z10" s="27"/>
      <c r="AA10" s="27"/>
    </row>
    <row r="11" spans="1:27" x14ac:dyDescent="0.25">
      <c r="A11" s="27" t="s">
        <v>1622</v>
      </c>
      <c r="B11" s="27" t="str">
        <f t="shared" si="0"/>
        <v>Virginia</v>
      </c>
      <c r="C11" s="27" t="str">
        <f t="shared" si="1"/>
        <v>Bath</v>
      </c>
      <c r="D11" s="2">
        <v>1173</v>
      </c>
      <c r="E11" s="27">
        <v>64</v>
      </c>
      <c r="F11" s="27"/>
      <c r="G11" s="2">
        <v>163</v>
      </c>
      <c r="H11" s="2">
        <v>1635</v>
      </c>
      <c r="I11" s="2">
        <v>693</v>
      </c>
      <c r="J11" s="2"/>
      <c r="K11" s="89">
        <f t="shared" si="2"/>
        <v>85.030674846625757</v>
      </c>
      <c r="L11" s="12">
        <v>80482.149999999994</v>
      </c>
      <c r="M11" s="27">
        <v>36</v>
      </c>
      <c r="N11" s="2">
        <v>126000</v>
      </c>
      <c r="O11" s="41">
        <v>1925</v>
      </c>
      <c r="P11" s="27"/>
      <c r="Q11" s="27" t="s">
        <v>464</v>
      </c>
      <c r="R11" s="27" t="s">
        <v>465</v>
      </c>
      <c r="S11" s="27" t="s">
        <v>466</v>
      </c>
      <c r="T11" s="27" t="s">
        <v>464</v>
      </c>
      <c r="U11" s="27" t="s">
        <v>466</v>
      </c>
      <c r="V11" s="27" t="s">
        <v>467</v>
      </c>
      <c r="W11" s="1"/>
      <c r="X11" s="1"/>
      <c r="Y11" s="27"/>
      <c r="Z11" s="27"/>
      <c r="AA11" s="27"/>
    </row>
    <row r="12" spans="1:27" x14ac:dyDescent="0.25">
      <c r="A12" s="27" t="s">
        <v>1623</v>
      </c>
      <c r="B12" s="27" t="str">
        <f t="shared" si="0"/>
        <v>Virginia</v>
      </c>
      <c r="C12" s="27" t="str">
        <f t="shared" si="1"/>
        <v>Bedford</v>
      </c>
      <c r="D12" s="2">
        <v>5386</v>
      </c>
      <c r="E12" s="27">
        <v>262</v>
      </c>
      <c r="F12" s="27"/>
      <c r="G12" s="2">
        <v>146</v>
      </c>
      <c r="H12" s="2">
        <v>7549</v>
      </c>
      <c r="I12" s="2">
        <v>495</v>
      </c>
      <c r="J12" s="2"/>
      <c r="K12" s="89">
        <f t="shared" si="2"/>
        <v>67.808219178082197</v>
      </c>
      <c r="L12" s="12">
        <v>220923.72</v>
      </c>
      <c r="M12" s="27">
        <v>166</v>
      </c>
      <c r="N12" s="2">
        <v>279500</v>
      </c>
      <c r="O12" s="41">
        <v>1925</v>
      </c>
      <c r="P12" s="27"/>
      <c r="Q12" s="27" t="s">
        <v>464</v>
      </c>
      <c r="R12" s="27" t="s">
        <v>465</v>
      </c>
      <c r="S12" s="27" t="s">
        <v>466</v>
      </c>
      <c r="T12" s="27" t="s">
        <v>464</v>
      </c>
      <c r="U12" s="27" t="s">
        <v>466</v>
      </c>
      <c r="V12" s="27" t="s">
        <v>467</v>
      </c>
      <c r="W12" s="1"/>
      <c r="X12" s="1"/>
      <c r="Y12" s="27"/>
      <c r="Z12" s="27"/>
      <c r="AA12" s="27"/>
    </row>
    <row r="13" spans="1:27" x14ac:dyDescent="0.25">
      <c r="A13" s="27" t="s">
        <v>1624</v>
      </c>
      <c r="B13" s="27" t="str">
        <f t="shared" si="0"/>
        <v>Virginia</v>
      </c>
      <c r="C13" s="27" t="str">
        <f t="shared" si="1"/>
        <v>Bland</v>
      </c>
      <c r="D13" s="2">
        <v>1208</v>
      </c>
      <c r="E13" s="27">
        <v>50</v>
      </c>
      <c r="F13" s="27"/>
      <c r="G13" s="2">
        <v>140</v>
      </c>
      <c r="H13" s="2">
        <v>1371</v>
      </c>
      <c r="I13" s="2">
        <v>580</v>
      </c>
      <c r="J13" s="2"/>
      <c r="K13" s="89">
        <f t="shared" si="2"/>
        <v>82.857142857142861</v>
      </c>
      <c r="L13" s="12">
        <v>45699.61</v>
      </c>
      <c r="M13" s="27">
        <v>37</v>
      </c>
      <c r="N13" s="2">
        <v>55710</v>
      </c>
      <c r="O13" s="41">
        <v>1925</v>
      </c>
      <c r="P13" s="27"/>
      <c r="Q13" s="27" t="s">
        <v>464</v>
      </c>
      <c r="R13" s="27" t="s">
        <v>465</v>
      </c>
      <c r="S13" s="27" t="s">
        <v>466</v>
      </c>
      <c r="T13" s="27" t="s">
        <v>464</v>
      </c>
      <c r="U13" s="27" t="s">
        <v>466</v>
      </c>
      <c r="V13" s="27" t="s">
        <v>467</v>
      </c>
      <c r="W13" s="1"/>
      <c r="X13" s="1"/>
      <c r="Y13" s="27"/>
      <c r="Z13" s="27"/>
      <c r="AA13" s="27"/>
    </row>
    <row r="14" spans="1:27" x14ac:dyDescent="0.25">
      <c r="A14" s="27" t="s">
        <v>1625</v>
      </c>
      <c r="B14" s="27" t="str">
        <f t="shared" si="0"/>
        <v>Virginia</v>
      </c>
      <c r="C14" s="27" t="str">
        <f t="shared" si="1"/>
        <v>Botetourt</v>
      </c>
      <c r="D14" s="2">
        <v>3020</v>
      </c>
      <c r="E14" s="27">
        <v>150</v>
      </c>
      <c r="F14" s="27"/>
      <c r="G14" s="2">
        <v>152</v>
      </c>
      <c r="H14" s="2">
        <v>3992</v>
      </c>
      <c r="I14" s="2">
        <v>565</v>
      </c>
      <c r="J14" s="2"/>
      <c r="K14" s="89">
        <f t="shared" si="2"/>
        <v>74.342105263157904</v>
      </c>
      <c r="L14" s="12">
        <v>141036.48000000001</v>
      </c>
      <c r="M14" s="27">
        <v>70</v>
      </c>
      <c r="N14" s="2">
        <v>159000</v>
      </c>
      <c r="O14" s="41">
        <v>1925</v>
      </c>
      <c r="P14" s="27"/>
      <c r="Q14" s="27" t="s">
        <v>464</v>
      </c>
      <c r="R14" s="27" t="s">
        <v>465</v>
      </c>
      <c r="S14" s="27" t="s">
        <v>466</v>
      </c>
      <c r="T14" s="27" t="s">
        <v>464</v>
      </c>
      <c r="U14" s="27" t="s">
        <v>466</v>
      </c>
      <c r="V14" s="27" t="s">
        <v>467</v>
      </c>
      <c r="W14" s="1"/>
      <c r="X14" s="1"/>
      <c r="Y14" s="27"/>
      <c r="Z14" s="27"/>
      <c r="AA14" s="27"/>
    </row>
    <row r="15" spans="1:27" x14ac:dyDescent="0.25">
      <c r="A15" s="98" t="s">
        <v>1723</v>
      </c>
      <c r="B15" s="98" t="str">
        <f t="shared" si="0"/>
        <v>Virginia</v>
      </c>
      <c r="C15" s="98" t="str">
        <f t="shared" si="1"/>
        <v>Bristol</v>
      </c>
      <c r="D15" s="99">
        <v>1361</v>
      </c>
      <c r="E15" s="98">
        <v>56</v>
      </c>
      <c r="F15" s="98"/>
      <c r="G15" s="99">
        <v>180</v>
      </c>
      <c r="H15" s="99">
        <v>1765</v>
      </c>
      <c r="I15" s="99">
        <v>984</v>
      </c>
      <c r="J15" s="99"/>
      <c r="K15" s="100">
        <f t="shared" si="2"/>
        <v>109.33333333333333</v>
      </c>
      <c r="L15" s="105">
        <v>82383.34</v>
      </c>
      <c r="M15" s="98">
        <v>5</v>
      </c>
      <c r="N15" s="99">
        <v>525000</v>
      </c>
      <c r="O15" s="101">
        <v>1925</v>
      </c>
      <c r="P15" s="98"/>
      <c r="Q15" s="98" t="s">
        <v>464</v>
      </c>
      <c r="R15" s="98" t="s">
        <v>465</v>
      </c>
      <c r="S15" s="98" t="s">
        <v>466</v>
      </c>
      <c r="T15" s="98" t="s">
        <v>464</v>
      </c>
      <c r="U15" s="98" t="s">
        <v>466</v>
      </c>
      <c r="V15" s="98" t="s">
        <v>467</v>
      </c>
      <c r="W15" s="102"/>
      <c r="X15" s="102"/>
      <c r="Y15" s="98"/>
      <c r="Z15" s="98"/>
      <c r="AA15" s="98"/>
    </row>
    <row r="16" spans="1:27" x14ac:dyDescent="0.25">
      <c r="A16" s="27" t="s">
        <v>1626</v>
      </c>
      <c r="B16" s="27" t="str">
        <f t="shared" si="0"/>
        <v>Virginia</v>
      </c>
      <c r="C16" s="27" t="str">
        <f t="shared" si="1"/>
        <v>Brunswick</v>
      </c>
      <c r="D16" s="2">
        <v>3546</v>
      </c>
      <c r="E16" s="27">
        <v>159</v>
      </c>
      <c r="F16" s="27"/>
      <c r="G16" s="2">
        <v>151</v>
      </c>
      <c r="H16" s="2">
        <v>5605</v>
      </c>
      <c r="I16" s="2">
        <v>607</v>
      </c>
      <c r="J16" s="2"/>
      <c r="K16" s="89">
        <f t="shared" si="2"/>
        <v>80.397350993377486</v>
      </c>
      <c r="L16" s="12">
        <v>204243.32</v>
      </c>
      <c r="M16" s="27">
        <v>76</v>
      </c>
      <c r="N16" s="2">
        <v>219575</v>
      </c>
      <c r="O16" s="41">
        <v>1925</v>
      </c>
      <c r="P16" s="27"/>
      <c r="Q16" s="27" t="s">
        <v>464</v>
      </c>
      <c r="R16" s="27" t="s">
        <v>465</v>
      </c>
      <c r="S16" s="27" t="s">
        <v>466</v>
      </c>
      <c r="T16" s="27" t="s">
        <v>464</v>
      </c>
      <c r="U16" s="27" t="s">
        <v>466</v>
      </c>
      <c r="V16" s="27" t="s">
        <v>467</v>
      </c>
      <c r="W16" s="1"/>
      <c r="X16" s="1"/>
      <c r="Y16" s="27"/>
      <c r="Z16" s="27"/>
      <c r="AA16" s="27"/>
    </row>
    <row r="17" spans="1:27" x14ac:dyDescent="0.25">
      <c r="A17" s="27" t="s">
        <v>1627</v>
      </c>
      <c r="B17" s="27" t="str">
        <f t="shared" si="0"/>
        <v>Virginia</v>
      </c>
      <c r="C17" s="27" t="str">
        <f t="shared" si="1"/>
        <v>Buchanan</v>
      </c>
      <c r="D17" s="2">
        <v>3716</v>
      </c>
      <c r="E17" s="27">
        <v>95</v>
      </c>
      <c r="F17" s="27"/>
      <c r="G17" s="2">
        <v>145</v>
      </c>
      <c r="H17" s="2">
        <v>4572</v>
      </c>
      <c r="I17" s="2">
        <v>569</v>
      </c>
      <c r="J17" s="2"/>
      <c r="K17" s="89">
        <f t="shared" si="2"/>
        <v>78.482758620689651</v>
      </c>
      <c r="L17" s="12">
        <v>88695.71</v>
      </c>
      <c r="M17" s="27">
        <v>79</v>
      </c>
      <c r="N17" s="2">
        <v>294900</v>
      </c>
      <c r="O17" s="41">
        <v>1925</v>
      </c>
      <c r="P17" s="27"/>
      <c r="Q17" s="27" t="s">
        <v>464</v>
      </c>
      <c r="R17" s="27" t="s">
        <v>465</v>
      </c>
      <c r="S17" s="27" t="s">
        <v>466</v>
      </c>
      <c r="T17" s="27" t="s">
        <v>464</v>
      </c>
      <c r="U17" s="27" t="s">
        <v>466</v>
      </c>
      <c r="V17" s="27" t="s">
        <v>467</v>
      </c>
      <c r="W17" s="1"/>
      <c r="X17" s="1"/>
      <c r="Y17" s="27"/>
      <c r="Z17" s="27"/>
      <c r="AA17" s="27"/>
    </row>
    <row r="18" spans="1:27" x14ac:dyDescent="0.25">
      <c r="A18" s="27" t="s">
        <v>1628</v>
      </c>
      <c r="B18" s="27" t="str">
        <f t="shared" si="0"/>
        <v>Virginia</v>
      </c>
      <c r="C18" s="27" t="str">
        <f t="shared" si="1"/>
        <v>Buckingham</v>
      </c>
      <c r="D18" s="2">
        <v>2601</v>
      </c>
      <c r="E18" s="27">
        <v>126</v>
      </c>
      <c r="F18" s="27"/>
      <c r="G18" s="2">
        <v>140</v>
      </c>
      <c r="H18" s="2">
        <v>3748</v>
      </c>
      <c r="I18" s="2">
        <v>505</v>
      </c>
      <c r="J18" s="2"/>
      <c r="K18" s="89">
        <f t="shared" si="2"/>
        <v>72.142857142857139</v>
      </c>
      <c r="L18" s="12">
        <v>90800.54</v>
      </c>
      <c r="M18" s="27">
        <v>78</v>
      </c>
      <c r="N18" s="2">
        <v>161000</v>
      </c>
      <c r="O18" s="41">
        <v>1925</v>
      </c>
      <c r="P18" s="27"/>
      <c r="Q18" s="27" t="s">
        <v>464</v>
      </c>
      <c r="R18" s="27" t="s">
        <v>465</v>
      </c>
      <c r="S18" s="27" t="s">
        <v>466</v>
      </c>
      <c r="T18" s="27" t="s">
        <v>464</v>
      </c>
      <c r="U18" s="27" t="s">
        <v>466</v>
      </c>
      <c r="V18" s="27" t="s">
        <v>467</v>
      </c>
      <c r="W18" s="1"/>
      <c r="X18" s="1"/>
      <c r="Y18" s="27"/>
      <c r="Z18" s="27"/>
      <c r="AA18" s="27"/>
    </row>
    <row r="19" spans="1:27" x14ac:dyDescent="0.25">
      <c r="A19" s="98" t="s">
        <v>1794</v>
      </c>
      <c r="B19" s="98" t="str">
        <f t="shared" si="0"/>
        <v>Virginia</v>
      </c>
      <c r="C19" s="98" t="str">
        <f t="shared" si="1"/>
        <v>Buena Vista</v>
      </c>
      <c r="D19" s="99">
        <v>690</v>
      </c>
      <c r="E19" s="98">
        <v>23</v>
      </c>
      <c r="F19" s="98"/>
      <c r="G19" s="99">
        <v>180</v>
      </c>
      <c r="H19" s="99">
        <v>931</v>
      </c>
      <c r="I19" s="99">
        <v>818</v>
      </c>
      <c r="J19" s="99"/>
      <c r="K19" s="100">
        <f t="shared" si="2"/>
        <v>90.888888888888886</v>
      </c>
      <c r="L19" s="105">
        <v>24331.02</v>
      </c>
      <c r="M19" s="98">
        <v>3</v>
      </c>
      <c r="N19" s="99">
        <v>133350</v>
      </c>
      <c r="O19" s="101">
        <v>1925</v>
      </c>
      <c r="P19" s="98"/>
      <c r="Q19" s="98" t="s">
        <v>464</v>
      </c>
      <c r="R19" s="98" t="s">
        <v>465</v>
      </c>
      <c r="S19" s="98" t="s">
        <v>466</v>
      </c>
      <c r="T19" s="98" t="s">
        <v>464</v>
      </c>
      <c r="U19" s="98" t="s">
        <v>466</v>
      </c>
      <c r="V19" s="98" t="s">
        <v>467</v>
      </c>
      <c r="W19" s="102"/>
      <c r="X19" s="102"/>
      <c r="Y19" s="98"/>
      <c r="Z19" s="98"/>
      <c r="AA19" s="98"/>
    </row>
    <row r="20" spans="1:27" x14ac:dyDescent="0.25">
      <c r="A20" s="27" t="s">
        <v>1629</v>
      </c>
      <c r="B20" s="27" t="str">
        <f t="shared" si="0"/>
        <v>Virginia</v>
      </c>
      <c r="C20" s="27" t="str">
        <f t="shared" si="1"/>
        <v>Campbell</v>
      </c>
      <c r="D20" s="2">
        <v>5026</v>
      </c>
      <c r="E20" s="27">
        <v>224</v>
      </c>
      <c r="F20" s="27"/>
      <c r="G20" s="2">
        <v>157.76</v>
      </c>
      <c r="H20" s="2">
        <v>7258</v>
      </c>
      <c r="I20" s="2">
        <v>554</v>
      </c>
      <c r="J20" s="2"/>
      <c r="K20" s="89">
        <f t="shared" si="2"/>
        <v>70.233265720081135</v>
      </c>
      <c r="L20" s="12">
        <v>246879.26</v>
      </c>
      <c r="M20" s="27">
        <v>111</v>
      </c>
      <c r="N20" s="2">
        <v>540000</v>
      </c>
      <c r="O20" s="41">
        <v>1925</v>
      </c>
      <c r="P20" s="27"/>
      <c r="Q20" s="27" t="s">
        <v>464</v>
      </c>
      <c r="R20" s="27" t="s">
        <v>465</v>
      </c>
      <c r="S20" s="27" t="s">
        <v>466</v>
      </c>
      <c r="T20" s="27" t="s">
        <v>464</v>
      </c>
      <c r="U20" s="27" t="s">
        <v>466</v>
      </c>
      <c r="V20" s="27" t="s">
        <v>467</v>
      </c>
      <c r="W20" s="1"/>
      <c r="X20" s="1"/>
      <c r="Y20" s="27"/>
      <c r="Z20" s="27"/>
      <c r="AA20" s="27"/>
    </row>
    <row r="21" spans="1:27" x14ac:dyDescent="0.25">
      <c r="A21" s="27" t="s">
        <v>1630</v>
      </c>
      <c r="B21" s="27" t="str">
        <f t="shared" si="0"/>
        <v>Virginia</v>
      </c>
      <c r="C21" s="27" t="str">
        <f t="shared" si="1"/>
        <v>Caroline</v>
      </c>
      <c r="D21" s="2">
        <v>2949</v>
      </c>
      <c r="E21" s="27">
        <v>134</v>
      </c>
      <c r="F21" s="27"/>
      <c r="G21" s="2">
        <v>146</v>
      </c>
      <c r="H21" s="2">
        <v>4059</v>
      </c>
      <c r="I21" s="2">
        <v>491</v>
      </c>
      <c r="J21" s="2"/>
      <c r="K21" s="89">
        <f t="shared" si="2"/>
        <v>67.260273972602747</v>
      </c>
      <c r="L21" s="12">
        <v>109767.75</v>
      </c>
      <c r="M21" s="27">
        <v>74</v>
      </c>
      <c r="N21" s="2">
        <v>169000</v>
      </c>
      <c r="O21" s="41">
        <v>1925</v>
      </c>
      <c r="P21" s="27"/>
      <c r="Q21" s="27" t="s">
        <v>464</v>
      </c>
      <c r="R21" s="27" t="s">
        <v>465</v>
      </c>
      <c r="S21" s="27" t="s">
        <v>466</v>
      </c>
      <c r="T21" s="27" t="s">
        <v>464</v>
      </c>
      <c r="U21" s="27" t="s">
        <v>466</v>
      </c>
      <c r="V21" s="27" t="s">
        <v>467</v>
      </c>
      <c r="W21" s="1"/>
      <c r="X21" s="1"/>
      <c r="Y21" s="27"/>
      <c r="Z21" s="27"/>
      <c r="AA21" s="27"/>
    </row>
    <row r="22" spans="1:27" x14ac:dyDescent="0.25">
      <c r="A22" s="27" t="s">
        <v>1631</v>
      </c>
      <c r="B22" s="27" t="str">
        <f t="shared" si="0"/>
        <v>Virginia</v>
      </c>
      <c r="C22" s="27" t="str">
        <f t="shared" si="1"/>
        <v>Carroll</v>
      </c>
      <c r="D22" s="2">
        <v>4472</v>
      </c>
      <c r="E22" s="27">
        <v>156</v>
      </c>
      <c r="F22" s="27"/>
      <c r="G22" s="2">
        <v>153</v>
      </c>
      <c r="H22" s="2">
        <v>5607</v>
      </c>
      <c r="I22" s="2">
        <v>475</v>
      </c>
      <c r="J22" s="2"/>
      <c r="K22" s="89">
        <f t="shared" si="2"/>
        <v>62.091503267973856</v>
      </c>
      <c r="L22" s="12">
        <v>96208.63</v>
      </c>
      <c r="M22" s="27">
        <v>113</v>
      </c>
      <c r="N22" s="2">
        <v>120513</v>
      </c>
      <c r="O22" s="41">
        <v>1925</v>
      </c>
      <c r="P22" s="27"/>
      <c r="Q22" s="27" t="s">
        <v>464</v>
      </c>
      <c r="R22" s="27" t="s">
        <v>465</v>
      </c>
      <c r="S22" s="27" t="s">
        <v>466</v>
      </c>
      <c r="T22" s="27" t="s">
        <v>464</v>
      </c>
      <c r="U22" s="27" t="s">
        <v>466</v>
      </c>
      <c r="V22" s="27" t="s">
        <v>467</v>
      </c>
      <c r="W22" s="1"/>
      <c r="X22" s="1"/>
      <c r="Y22" s="27"/>
      <c r="Z22" s="27"/>
      <c r="AA22" s="27"/>
    </row>
    <row r="23" spans="1:27" x14ac:dyDescent="0.25">
      <c r="A23" s="27" t="s">
        <v>1632</v>
      </c>
      <c r="B23" s="27" t="str">
        <f t="shared" si="0"/>
        <v>Virginia</v>
      </c>
      <c r="C23" s="27" t="str">
        <f t="shared" si="1"/>
        <v>Charles City</v>
      </c>
      <c r="D23" s="27">
        <v>976</v>
      </c>
      <c r="E23" s="27">
        <v>40</v>
      </c>
      <c r="F23" s="27"/>
      <c r="G23" s="2">
        <v>170</v>
      </c>
      <c r="H23" s="2">
        <v>1318</v>
      </c>
      <c r="I23" s="2">
        <v>550</v>
      </c>
      <c r="J23" s="2"/>
      <c r="K23" s="89">
        <f t="shared" si="2"/>
        <v>64.705882352941174</v>
      </c>
      <c r="L23" s="12">
        <v>42023.54</v>
      </c>
      <c r="M23" s="27">
        <v>17</v>
      </c>
      <c r="N23" s="2">
        <v>50000</v>
      </c>
      <c r="O23" s="41">
        <v>1925</v>
      </c>
      <c r="P23" s="27"/>
      <c r="Q23" s="27" t="s">
        <v>464</v>
      </c>
      <c r="R23" s="27" t="s">
        <v>465</v>
      </c>
      <c r="S23" s="27" t="s">
        <v>466</v>
      </c>
      <c r="T23" s="27" t="s">
        <v>464</v>
      </c>
      <c r="U23" s="27" t="s">
        <v>466</v>
      </c>
      <c r="V23" s="27" t="s">
        <v>467</v>
      </c>
      <c r="W23" s="1"/>
      <c r="X23" s="1"/>
      <c r="Y23" s="27"/>
      <c r="Z23" s="27"/>
      <c r="AA23" s="27"/>
    </row>
    <row r="24" spans="1:27" x14ac:dyDescent="0.25">
      <c r="A24" s="27" t="s">
        <v>1633</v>
      </c>
      <c r="B24" s="27" t="str">
        <f t="shared" si="0"/>
        <v>Virginia</v>
      </c>
      <c r="C24" s="27" t="str">
        <f t="shared" si="1"/>
        <v>Charlotte</v>
      </c>
      <c r="D24" s="2">
        <v>3540</v>
      </c>
      <c r="E24" s="27">
        <v>141</v>
      </c>
      <c r="F24" s="27"/>
      <c r="G24" s="2">
        <v>140</v>
      </c>
      <c r="H24" s="2">
        <v>4920</v>
      </c>
      <c r="I24" s="2">
        <v>618</v>
      </c>
      <c r="J24" s="2"/>
      <c r="K24" s="89">
        <f t="shared" si="2"/>
        <v>88.285714285714292</v>
      </c>
      <c r="L24" s="12">
        <v>124433.45</v>
      </c>
      <c r="M24" s="27">
        <v>63</v>
      </c>
      <c r="N24" s="2">
        <v>244750</v>
      </c>
      <c r="O24" s="41">
        <v>1925</v>
      </c>
      <c r="P24" s="27"/>
      <c r="Q24" s="27" t="s">
        <v>464</v>
      </c>
      <c r="R24" s="27" t="s">
        <v>465</v>
      </c>
      <c r="S24" s="27" t="s">
        <v>466</v>
      </c>
      <c r="T24" s="27" t="s">
        <v>464</v>
      </c>
      <c r="U24" s="27" t="s">
        <v>466</v>
      </c>
      <c r="V24" s="27" t="s">
        <v>467</v>
      </c>
      <c r="W24" s="1"/>
      <c r="X24" s="1"/>
      <c r="Y24" s="27"/>
      <c r="Z24" s="27"/>
      <c r="AA24" s="27"/>
    </row>
    <row r="25" spans="1:27" x14ac:dyDescent="0.25">
      <c r="A25" s="98" t="s">
        <v>1724</v>
      </c>
      <c r="B25" s="98" t="str">
        <f t="shared" si="0"/>
        <v>Virginia</v>
      </c>
      <c r="C25" s="98" t="str">
        <f t="shared" si="1"/>
        <v>Charlottesville</v>
      </c>
      <c r="D25" s="99">
        <v>2489</v>
      </c>
      <c r="E25" s="98">
        <v>73</v>
      </c>
      <c r="F25" s="98"/>
      <c r="G25" s="99">
        <v>180</v>
      </c>
      <c r="H25" s="99">
        <v>3131</v>
      </c>
      <c r="I25" s="99">
        <v>1112</v>
      </c>
      <c r="J25" s="99"/>
      <c r="K25" s="100">
        <f t="shared" si="2"/>
        <v>123.55555555555556</v>
      </c>
      <c r="L25" s="105">
        <v>390096.68</v>
      </c>
      <c r="M25" s="98">
        <v>4</v>
      </c>
      <c r="N25" s="99">
        <v>354000</v>
      </c>
      <c r="O25" s="101">
        <v>1925</v>
      </c>
      <c r="P25" s="98"/>
      <c r="Q25" s="98" t="s">
        <v>464</v>
      </c>
      <c r="R25" s="98" t="s">
        <v>465</v>
      </c>
      <c r="S25" s="98" t="s">
        <v>466</v>
      </c>
      <c r="T25" s="98" t="s">
        <v>464</v>
      </c>
      <c r="U25" s="98" t="s">
        <v>466</v>
      </c>
      <c r="V25" s="98" t="s">
        <v>467</v>
      </c>
      <c r="W25" s="102"/>
      <c r="X25" s="102"/>
      <c r="Y25" s="98"/>
      <c r="Z25" s="98"/>
      <c r="AA25" s="98"/>
    </row>
    <row r="26" spans="1:27" x14ac:dyDescent="0.25">
      <c r="A26" s="27" t="s">
        <v>1634</v>
      </c>
      <c r="B26" s="27" t="str">
        <f t="shared" si="0"/>
        <v>Virginia</v>
      </c>
      <c r="C26" s="27" t="str">
        <f t="shared" si="1"/>
        <v>Chesterfield</v>
      </c>
      <c r="D26" s="2">
        <v>3672</v>
      </c>
      <c r="E26" s="27">
        <v>159</v>
      </c>
      <c r="F26" s="27"/>
      <c r="G26" s="2">
        <v>154</v>
      </c>
      <c r="H26" s="2">
        <v>5061</v>
      </c>
      <c r="I26" s="2">
        <v>689</v>
      </c>
      <c r="J26" s="2"/>
      <c r="K26" s="89">
        <f t="shared" si="2"/>
        <v>89.480519480519476</v>
      </c>
      <c r="L26" s="12">
        <v>271448.42</v>
      </c>
      <c r="M26" s="27">
        <v>45</v>
      </c>
      <c r="N26" s="2">
        <v>338006</v>
      </c>
      <c r="O26" s="41">
        <v>1925</v>
      </c>
      <c r="P26" s="27"/>
      <c r="Q26" s="27" t="s">
        <v>464</v>
      </c>
      <c r="R26" s="27" t="s">
        <v>465</v>
      </c>
      <c r="S26" s="27" t="s">
        <v>466</v>
      </c>
      <c r="T26" s="27" t="s">
        <v>464</v>
      </c>
      <c r="U26" s="27" t="s">
        <v>466</v>
      </c>
      <c r="V26" s="27" t="s">
        <v>467</v>
      </c>
      <c r="W26" s="1"/>
      <c r="X26" s="1"/>
      <c r="Y26" s="27"/>
      <c r="Z26" s="27"/>
      <c r="AA26" s="27"/>
    </row>
    <row r="27" spans="1:27" x14ac:dyDescent="0.25">
      <c r="A27" s="27" t="s">
        <v>1635</v>
      </c>
      <c r="B27" s="27" t="str">
        <f t="shared" si="0"/>
        <v>Virginia</v>
      </c>
      <c r="C27" s="27" t="str">
        <f t="shared" si="1"/>
        <v>Clarke</v>
      </c>
      <c r="D27" s="2">
        <v>1123</v>
      </c>
      <c r="E27" s="27">
        <v>56</v>
      </c>
      <c r="F27" s="27"/>
      <c r="G27" s="2">
        <v>157</v>
      </c>
      <c r="H27" s="2">
        <v>1659</v>
      </c>
      <c r="I27" s="2">
        <v>526</v>
      </c>
      <c r="J27" s="2"/>
      <c r="K27" s="89">
        <f t="shared" si="2"/>
        <v>67.00636942675159</v>
      </c>
      <c r="L27" s="12">
        <v>83807.83</v>
      </c>
      <c r="M27" s="27">
        <v>27</v>
      </c>
      <c r="N27" s="2">
        <v>157000</v>
      </c>
      <c r="O27" s="41">
        <v>1925</v>
      </c>
      <c r="P27" s="27"/>
      <c r="Q27" s="27" t="s">
        <v>464</v>
      </c>
      <c r="R27" s="27" t="s">
        <v>465</v>
      </c>
      <c r="S27" s="27" t="s">
        <v>466</v>
      </c>
      <c r="T27" s="27" t="s">
        <v>464</v>
      </c>
      <c r="U27" s="27" t="s">
        <v>466</v>
      </c>
      <c r="V27" s="27" t="s">
        <v>467</v>
      </c>
      <c r="W27" s="1"/>
      <c r="X27" s="1"/>
      <c r="Y27" s="27"/>
      <c r="Z27" s="27"/>
      <c r="AA27" s="27"/>
    </row>
    <row r="28" spans="1:27" x14ac:dyDescent="0.25">
      <c r="A28" s="27" t="s">
        <v>1636</v>
      </c>
      <c r="B28" s="27" t="str">
        <f t="shared" si="0"/>
        <v>Virginia</v>
      </c>
      <c r="C28" s="27" t="str">
        <f t="shared" si="1"/>
        <v>Craig</v>
      </c>
      <c r="D28" s="27">
        <v>717</v>
      </c>
      <c r="E28" s="27">
        <v>39</v>
      </c>
      <c r="F28" s="27"/>
      <c r="G28" s="2">
        <v>145</v>
      </c>
      <c r="H28" s="2">
        <v>900</v>
      </c>
      <c r="I28" s="2">
        <v>512</v>
      </c>
      <c r="J28" s="2"/>
      <c r="K28" s="89">
        <f t="shared" si="2"/>
        <v>70.620689655172413</v>
      </c>
      <c r="L28" s="12">
        <v>30242.38</v>
      </c>
      <c r="M28" s="27">
        <v>27</v>
      </c>
      <c r="N28" s="2">
        <v>59000</v>
      </c>
      <c r="O28" s="41">
        <v>1925</v>
      </c>
      <c r="P28" s="27"/>
      <c r="Q28" s="27" t="s">
        <v>464</v>
      </c>
      <c r="R28" s="27" t="s">
        <v>465</v>
      </c>
      <c r="S28" s="27" t="s">
        <v>466</v>
      </c>
      <c r="T28" s="27" t="s">
        <v>464</v>
      </c>
      <c r="U28" s="27" t="s">
        <v>466</v>
      </c>
      <c r="V28" s="27" t="s">
        <v>467</v>
      </c>
      <c r="W28" s="1"/>
      <c r="X28" s="1"/>
      <c r="Y28" s="27"/>
      <c r="Z28" s="27"/>
      <c r="AA28" s="27"/>
    </row>
    <row r="29" spans="1:27" x14ac:dyDescent="0.25">
      <c r="A29" s="27" t="s">
        <v>1637</v>
      </c>
      <c r="B29" s="27" t="str">
        <f t="shared" si="0"/>
        <v>Virginia</v>
      </c>
      <c r="C29" s="27" t="str">
        <f t="shared" si="1"/>
        <v>Culpeper</v>
      </c>
      <c r="D29" s="2">
        <v>2149</v>
      </c>
      <c r="E29" s="27">
        <v>104</v>
      </c>
      <c r="F29" s="27"/>
      <c r="G29" s="2">
        <v>157</v>
      </c>
      <c r="H29" s="2">
        <v>3054</v>
      </c>
      <c r="I29" s="2">
        <v>639</v>
      </c>
      <c r="J29" s="2"/>
      <c r="K29" s="89">
        <f t="shared" si="2"/>
        <v>81.401273885350321</v>
      </c>
      <c r="L29" s="12">
        <v>123197.62</v>
      </c>
      <c r="M29" s="27">
        <v>61</v>
      </c>
      <c r="N29" s="2">
        <v>96800</v>
      </c>
      <c r="O29" s="41">
        <v>1925</v>
      </c>
      <c r="P29" s="27"/>
      <c r="Q29" s="27" t="s">
        <v>464</v>
      </c>
      <c r="R29" s="27" t="s">
        <v>465</v>
      </c>
      <c r="S29" s="27" t="s">
        <v>466</v>
      </c>
      <c r="T29" s="27" t="s">
        <v>464</v>
      </c>
      <c r="U29" s="27" t="s">
        <v>466</v>
      </c>
      <c r="V29" s="27" t="s">
        <v>467</v>
      </c>
      <c r="W29" s="1"/>
      <c r="X29" s="1"/>
      <c r="Y29" s="27"/>
      <c r="Z29" s="27"/>
      <c r="AA29" s="27"/>
    </row>
    <row r="30" spans="1:27" x14ac:dyDescent="0.25">
      <c r="A30" s="27" t="s">
        <v>1638</v>
      </c>
      <c r="B30" s="27" t="str">
        <f t="shared" si="0"/>
        <v>Virginia</v>
      </c>
      <c r="C30" s="27" t="str">
        <f t="shared" si="1"/>
        <v>Cumberland</v>
      </c>
      <c r="D30" s="2">
        <v>1392</v>
      </c>
      <c r="E30" s="27">
        <v>69</v>
      </c>
      <c r="F30" s="27"/>
      <c r="G30" s="2">
        <v>154</v>
      </c>
      <c r="H30" s="2">
        <v>2127</v>
      </c>
      <c r="I30" s="2">
        <v>536</v>
      </c>
      <c r="J30" s="2"/>
      <c r="K30" s="89">
        <f t="shared" si="2"/>
        <v>69.610389610389603</v>
      </c>
      <c r="L30" s="12">
        <v>57022.09</v>
      </c>
      <c r="M30" s="27">
        <v>36</v>
      </c>
      <c r="N30" s="2">
        <v>87000</v>
      </c>
      <c r="O30" s="41">
        <v>1925</v>
      </c>
      <c r="P30" s="27"/>
      <c r="Q30" s="27" t="s">
        <v>464</v>
      </c>
      <c r="R30" s="27" t="s">
        <v>465</v>
      </c>
      <c r="S30" s="27" t="s">
        <v>466</v>
      </c>
      <c r="T30" s="27" t="s">
        <v>464</v>
      </c>
      <c r="U30" s="27" t="s">
        <v>466</v>
      </c>
      <c r="V30" s="27" t="s">
        <v>467</v>
      </c>
      <c r="W30" s="1"/>
      <c r="X30" s="1"/>
      <c r="Y30" s="27"/>
      <c r="Z30" s="27"/>
      <c r="AA30" s="27"/>
    </row>
    <row r="31" spans="1:27" x14ac:dyDescent="0.25">
      <c r="A31" s="98" t="s">
        <v>1726</v>
      </c>
      <c r="B31" s="98" t="str">
        <f t="shared" si="0"/>
        <v>Virginia</v>
      </c>
      <c r="C31" s="98" t="str">
        <f t="shared" si="1"/>
        <v>Danville</v>
      </c>
      <c r="D31" s="99">
        <v>3599</v>
      </c>
      <c r="E31" s="98">
        <v>130</v>
      </c>
      <c r="F31" s="98"/>
      <c r="G31" s="99">
        <v>178</v>
      </c>
      <c r="H31" s="99">
        <v>4493</v>
      </c>
      <c r="I31" s="99">
        <v>1057</v>
      </c>
      <c r="J31" s="99"/>
      <c r="K31" s="100">
        <f t="shared" si="2"/>
        <v>118.76404494382022</v>
      </c>
      <c r="L31" s="105">
        <v>183130.65</v>
      </c>
      <c r="M31" s="98">
        <v>9</v>
      </c>
      <c r="N31" s="99">
        <v>484250</v>
      </c>
      <c r="O31" s="101">
        <v>1925</v>
      </c>
      <c r="P31" s="98"/>
      <c r="Q31" s="98" t="s">
        <v>464</v>
      </c>
      <c r="R31" s="98" t="s">
        <v>465</v>
      </c>
      <c r="S31" s="98" t="s">
        <v>466</v>
      </c>
      <c r="T31" s="98" t="s">
        <v>464</v>
      </c>
      <c r="U31" s="98" t="s">
        <v>466</v>
      </c>
      <c r="V31" s="98" t="s">
        <v>467</v>
      </c>
      <c r="W31" s="102"/>
      <c r="X31" s="102"/>
      <c r="Y31" s="98"/>
      <c r="Z31" s="98"/>
      <c r="AA31" s="98"/>
    </row>
    <row r="32" spans="1:27" x14ac:dyDescent="0.25">
      <c r="A32" s="27" t="s">
        <v>1639</v>
      </c>
      <c r="B32" s="27" t="str">
        <f t="shared" si="0"/>
        <v>Virginia</v>
      </c>
      <c r="C32" s="27" t="str">
        <f t="shared" si="1"/>
        <v>Dickenson</v>
      </c>
      <c r="D32" s="2">
        <v>2972</v>
      </c>
      <c r="E32" s="27">
        <v>125</v>
      </c>
      <c r="F32" s="27"/>
      <c r="G32" s="2">
        <v>145</v>
      </c>
      <c r="H32" s="2">
        <v>4516</v>
      </c>
      <c r="I32" s="2">
        <v>598</v>
      </c>
      <c r="J32" s="2"/>
      <c r="K32" s="89">
        <f t="shared" si="2"/>
        <v>82.482758620689651</v>
      </c>
      <c r="L32" s="12">
        <v>120066.8</v>
      </c>
      <c r="M32" s="27">
        <v>77</v>
      </c>
      <c r="N32" s="2">
        <v>340774</v>
      </c>
      <c r="O32" s="41">
        <v>1925</v>
      </c>
      <c r="P32" s="27"/>
      <c r="Q32" s="27" t="s">
        <v>464</v>
      </c>
      <c r="R32" s="27" t="s">
        <v>465</v>
      </c>
      <c r="S32" s="27" t="s">
        <v>466</v>
      </c>
      <c r="T32" s="27" t="s">
        <v>464</v>
      </c>
      <c r="U32" s="27" t="s">
        <v>466</v>
      </c>
      <c r="V32" s="27" t="s">
        <v>467</v>
      </c>
      <c r="W32" s="1"/>
      <c r="X32" s="1"/>
      <c r="Y32" s="27"/>
      <c r="Z32" s="27"/>
      <c r="AA32" s="27"/>
    </row>
    <row r="33" spans="1:27" x14ac:dyDescent="0.25">
      <c r="A33" s="27" t="s">
        <v>1640</v>
      </c>
      <c r="B33" s="27" t="str">
        <f t="shared" si="0"/>
        <v>Virginia</v>
      </c>
      <c r="C33" s="27" t="str">
        <f t="shared" si="1"/>
        <v>Dinwiddie</v>
      </c>
      <c r="D33" s="2">
        <v>3038</v>
      </c>
      <c r="E33" s="27">
        <v>125</v>
      </c>
      <c r="F33" s="27"/>
      <c r="G33" s="2">
        <v>165</v>
      </c>
      <c r="H33" s="2">
        <v>4237</v>
      </c>
      <c r="I33" s="2">
        <v>633</v>
      </c>
      <c r="J33" s="2"/>
      <c r="K33" s="89">
        <f t="shared" si="2"/>
        <v>76.727272727272734</v>
      </c>
      <c r="L33" s="12">
        <v>183617.28</v>
      </c>
      <c r="M33" s="27">
        <v>59</v>
      </c>
      <c r="N33" s="2">
        <v>207725</v>
      </c>
      <c r="O33" s="41">
        <v>1925</v>
      </c>
      <c r="P33" s="27"/>
      <c r="Q33" s="27" t="s">
        <v>464</v>
      </c>
      <c r="R33" s="27" t="s">
        <v>465</v>
      </c>
      <c r="S33" s="27" t="s">
        <v>466</v>
      </c>
      <c r="T33" s="27" t="s">
        <v>464</v>
      </c>
      <c r="U33" s="27" t="s">
        <v>466</v>
      </c>
      <c r="V33" s="27" t="s">
        <v>467</v>
      </c>
      <c r="W33" s="1"/>
      <c r="X33" s="1"/>
      <c r="Y33" s="27"/>
      <c r="Z33" s="27"/>
      <c r="AA33" s="27"/>
    </row>
    <row r="34" spans="1:27" x14ac:dyDescent="0.25">
      <c r="A34" s="27" t="s">
        <v>1641</v>
      </c>
      <c r="B34" s="27" t="str">
        <f t="shared" si="0"/>
        <v>Virginia</v>
      </c>
      <c r="C34" s="27" t="str">
        <f t="shared" si="1"/>
        <v>Elizabeth City</v>
      </c>
      <c r="D34" s="2">
        <v>3901</v>
      </c>
      <c r="E34" s="27">
        <v>78</v>
      </c>
      <c r="F34" s="27"/>
      <c r="G34" s="2">
        <v>178</v>
      </c>
      <c r="H34" s="2">
        <v>4713</v>
      </c>
      <c r="I34" s="2">
        <v>742</v>
      </c>
      <c r="J34" s="2"/>
      <c r="K34" s="89">
        <f t="shared" si="2"/>
        <v>83.370786516853926</v>
      </c>
      <c r="L34" s="12">
        <v>153410.57999999999</v>
      </c>
      <c r="M34" s="27">
        <v>14</v>
      </c>
      <c r="N34" s="2">
        <v>478000</v>
      </c>
      <c r="O34" s="41">
        <v>1925</v>
      </c>
      <c r="P34" s="27"/>
      <c r="Q34" s="27" t="s">
        <v>464</v>
      </c>
      <c r="R34" s="27" t="s">
        <v>465</v>
      </c>
      <c r="S34" s="27" t="s">
        <v>466</v>
      </c>
      <c r="T34" s="27" t="s">
        <v>464</v>
      </c>
      <c r="U34" s="27" t="s">
        <v>466</v>
      </c>
      <c r="V34" s="27" t="s">
        <v>467</v>
      </c>
      <c r="W34" s="1"/>
      <c r="X34" s="1"/>
      <c r="Y34" s="27"/>
      <c r="Z34" s="27"/>
      <c r="AA34" s="27"/>
    </row>
    <row r="35" spans="1:27" x14ac:dyDescent="0.25">
      <c r="A35" s="27" t="s">
        <v>1642</v>
      </c>
      <c r="B35" s="27" t="str">
        <f t="shared" si="0"/>
        <v>Virginia</v>
      </c>
      <c r="C35" s="27" t="str">
        <f t="shared" si="1"/>
        <v>Essex</v>
      </c>
      <c r="D35" s="2">
        <v>1401</v>
      </c>
      <c r="E35" s="27">
        <v>66</v>
      </c>
      <c r="F35" s="27"/>
      <c r="G35" s="2">
        <v>151</v>
      </c>
      <c r="H35" s="2">
        <v>1982</v>
      </c>
      <c r="I35" s="2">
        <v>480</v>
      </c>
      <c r="J35" s="2"/>
      <c r="K35" s="89">
        <f t="shared" si="2"/>
        <v>63.576158940397356</v>
      </c>
      <c r="L35" s="12">
        <v>55071.81</v>
      </c>
      <c r="M35" s="27">
        <v>29</v>
      </c>
      <c r="N35" s="2">
        <v>85000</v>
      </c>
      <c r="O35" s="41">
        <v>1925</v>
      </c>
      <c r="P35" s="27"/>
      <c r="Q35" s="27" t="s">
        <v>464</v>
      </c>
      <c r="R35" s="27" t="s">
        <v>465</v>
      </c>
      <c r="S35" s="27" t="s">
        <v>466</v>
      </c>
      <c r="T35" s="27" t="s">
        <v>464</v>
      </c>
      <c r="U35" s="27" t="s">
        <v>466</v>
      </c>
      <c r="V35" s="27" t="s">
        <v>467</v>
      </c>
      <c r="W35" s="1"/>
      <c r="X35" s="1"/>
      <c r="Y35" s="27"/>
      <c r="Z35" s="27"/>
      <c r="AA35" s="27"/>
    </row>
    <row r="36" spans="1:27" x14ac:dyDescent="0.25">
      <c r="A36" s="27" t="s">
        <v>1643</v>
      </c>
      <c r="B36" s="27" t="str">
        <f t="shared" si="0"/>
        <v>Virginia</v>
      </c>
      <c r="C36" s="27" t="str">
        <f t="shared" si="1"/>
        <v>Fairfax</v>
      </c>
      <c r="D36" s="2">
        <v>3515</v>
      </c>
      <c r="E36" s="27">
        <v>167</v>
      </c>
      <c r="F36" s="27"/>
      <c r="G36" s="2">
        <v>176</v>
      </c>
      <c r="H36" s="2">
        <v>4803</v>
      </c>
      <c r="I36" s="2">
        <v>738</v>
      </c>
      <c r="J36" s="2"/>
      <c r="K36" s="89">
        <f t="shared" si="2"/>
        <v>83.86363636363636</v>
      </c>
      <c r="L36" s="12">
        <v>244521.45</v>
      </c>
      <c r="M36" s="27">
        <v>81</v>
      </c>
      <c r="N36" s="2">
        <v>442150</v>
      </c>
      <c r="O36" s="41">
        <v>1925</v>
      </c>
      <c r="P36" s="27"/>
      <c r="Q36" s="27" t="s">
        <v>464</v>
      </c>
      <c r="R36" s="27" t="s">
        <v>465</v>
      </c>
      <c r="S36" s="27" t="s">
        <v>466</v>
      </c>
      <c r="T36" s="27" t="s">
        <v>464</v>
      </c>
      <c r="U36" s="27" t="s">
        <v>466</v>
      </c>
      <c r="V36" s="27" t="s">
        <v>467</v>
      </c>
      <c r="W36" s="1"/>
      <c r="X36" s="1"/>
      <c r="Y36" s="27"/>
      <c r="Z36" s="27"/>
      <c r="AA36" s="27"/>
    </row>
    <row r="37" spans="1:27" x14ac:dyDescent="0.25">
      <c r="A37" s="27" t="s">
        <v>1644</v>
      </c>
      <c r="B37" s="27" t="str">
        <f t="shared" si="0"/>
        <v>Virginia</v>
      </c>
      <c r="C37" s="27" t="str">
        <f t="shared" si="1"/>
        <v>Fauquier</v>
      </c>
      <c r="D37" s="2">
        <v>3580</v>
      </c>
      <c r="E37" s="27">
        <v>172</v>
      </c>
      <c r="F37" s="27"/>
      <c r="G37" s="2">
        <v>161.5</v>
      </c>
      <c r="H37" s="2">
        <v>4668</v>
      </c>
      <c r="I37" s="2">
        <v>702</v>
      </c>
      <c r="J37" s="2"/>
      <c r="K37" s="89">
        <f t="shared" si="2"/>
        <v>86.934984520123848</v>
      </c>
      <c r="L37" s="12">
        <v>242632.84</v>
      </c>
      <c r="M37" s="27">
        <v>83</v>
      </c>
      <c r="N37" s="2">
        <v>436100</v>
      </c>
      <c r="O37" s="41">
        <v>1925</v>
      </c>
      <c r="P37" s="27"/>
      <c r="Q37" s="27" t="s">
        <v>464</v>
      </c>
      <c r="R37" s="27" t="s">
        <v>465</v>
      </c>
      <c r="S37" s="27" t="s">
        <v>466</v>
      </c>
      <c r="T37" s="27" t="s">
        <v>464</v>
      </c>
      <c r="U37" s="27" t="s">
        <v>466</v>
      </c>
      <c r="V37" s="27" t="s">
        <v>467</v>
      </c>
      <c r="W37" s="1"/>
      <c r="X37" s="1"/>
      <c r="Y37" s="27"/>
      <c r="Z37" s="27"/>
      <c r="AA37" s="27"/>
    </row>
    <row r="38" spans="1:27" x14ac:dyDescent="0.25">
      <c r="A38" s="27" t="s">
        <v>1645</v>
      </c>
      <c r="B38" s="27" t="str">
        <f t="shared" si="0"/>
        <v>Virginia</v>
      </c>
      <c r="C38" s="27" t="str">
        <f t="shared" si="1"/>
        <v>Floyd</v>
      </c>
      <c r="D38" s="2">
        <v>3636</v>
      </c>
      <c r="E38" s="27">
        <v>133</v>
      </c>
      <c r="F38" s="27"/>
      <c r="G38" s="2">
        <v>140</v>
      </c>
      <c r="H38" s="2">
        <v>4489</v>
      </c>
      <c r="I38" s="2">
        <v>421</v>
      </c>
      <c r="J38" s="2"/>
      <c r="K38" s="89">
        <f t="shared" si="2"/>
        <v>60.142857142857146</v>
      </c>
      <c r="L38" s="12">
        <v>76920.25</v>
      </c>
      <c r="M38" s="27">
        <v>106</v>
      </c>
      <c r="N38" s="2">
        <v>168020</v>
      </c>
      <c r="O38" s="41">
        <v>1925</v>
      </c>
      <c r="P38" s="27"/>
      <c r="Q38" s="27" t="s">
        <v>464</v>
      </c>
      <c r="R38" s="27" t="s">
        <v>465</v>
      </c>
      <c r="S38" s="27" t="s">
        <v>466</v>
      </c>
      <c r="T38" s="27" t="s">
        <v>464</v>
      </c>
      <c r="U38" s="27" t="s">
        <v>466</v>
      </c>
      <c r="V38" s="27" t="s">
        <v>467</v>
      </c>
      <c r="W38" s="1"/>
      <c r="X38" s="1"/>
      <c r="Y38" s="27"/>
      <c r="Z38" s="27"/>
      <c r="AA38" s="27"/>
    </row>
    <row r="39" spans="1:27" x14ac:dyDescent="0.25">
      <c r="A39" s="27" t="s">
        <v>1646</v>
      </c>
      <c r="B39" s="27" t="str">
        <f t="shared" si="0"/>
        <v>Virginia</v>
      </c>
      <c r="C39" s="27" t="str">
        <f t="shared" si="1"/>
        <v>Fluvanna</v>
      </c>
      <c r="D39" s="2">
        <v>1251</v>
      </c>
      <c r="E39" s="27">
        <v>73</v>
      </c>
      <c r="F39" s="27"/>
      <c r="G39" s="2">
        <v>152</v>
      </c>
      <c r="H39" s="2">
        <v>1825</v>
      </c>
      <c r="I39" s="2">
        <v>486</v>
      </c>
      <c r="J39" s="2"/>
      <c r="K39" s="89">
        <f t="shared" si="2"/>
        <v>63.947368421052637</v>
      </c>
      <c r="L39" s="12">
        <v>48472.53</v>
      </c>
      <c r="M39" s="27">
        <v>46</v>
      </c>
      <c r="N39" s="2">
        <v>71000</v>
      </c>
      <c r="O39" s="41">
        <v>1925</v>
      </c>
      <c r="P39" s="27"/>
      <c r="Q39" s="27" t="s">
        <v>464</v>
      </c>
      <c r="R39" s="27" t="s">
        <v>465</v>
      </c>
      <c r="S39" s="27" t="s">
        <v>466</v>
      </c>
      <c r="T39" s="27" t="s">
        <v>464</v>
      </c>
      <c r="U39" s="27" t="s">
        <v>466</v>
      </c>
      <c r="V39" s="27" t="s">
        <v>467</v>
      </c>
      <c r="W39" s="1"/>
      <c r="X39" s="1"/>
      <c r="Y39" s="27"/>
      <c r="Z39" s="27"/>
      <c r="AA39" s="27"/>
    </row>
    <row r="40" spans="1:27" x14ac:dyDescent="0.25">
      <c r="A40" s="27" t="s">
        <v>1647</v>
      </c>
      <c r="B40" s="27" t="str">
        <f t="shared" si="0"/>
        <v>Virginia</v>
      </c>
      <c r="C40" s="27" t="str">
        <f t="shared" si="1"/>
        <v>Franklin</v>
      </c>
      <c r="D40" s="2">
        <v>4893</v>
      </c>
      <c r="E40" s="27">
        <v>230</v>
      </c>
      <c r="F40" s="27"/>
      <c r="G40" s="2">
        <v>142</v>
      </c>
      <c r="H40" s="2">
        <v>7069</v>
      </c>
      <c r="I40" s="2">
        <v>432</v>
      </c>
      <c r="J40" s="2"/>
      <c r="K40" s="89">
        <f t="shared" si="2"/>
        <v>60.845070422535215</v>
      </c>
      <c r="L40" s="12">
        <v>160048.87</v>
      </c>
      <c r="M40" s="27">
        <v>178</v>
      </c>
      <c r="N40" s="2">
        <v>219630</v>
      </c>
      <c r="O40" s="41">
        <v>1925</v>
      </c>
      <c r="P40" s="27"/>
      <c r="Q40" s="27" t="s">
        <v>464</v>
      </c>
      <c r="R40" s="27" t="s">
        <v>465</v>
      </c>
      <c r="S40" s="27" t="s">
        <v>466</v>
      </c>
      <c r="T40" s="27" t="s">
        <v>464</v>
      </c>
      <c r="U40" s="27" t="s">
        <v>466</v>
      </c>
      <c r="V40" s="27" t="s">
        <v>467</v>
      </c>
      <c r="W40" s="1"/>
      <c r="X40" s="1"/>
      <c r="Y40" s="27"/>
      <c r="Z40" s="27"/>
      <c r="AA40" s="27"/>
    </row>
    <row r="41" spans="1:27" x14ac:dyDescent="0.25">
      <c r="A41" s="27" t="s">
        <v>1648</v>
      </c>
      <c r="B41" s="27" t="str">
        <f t="shared" si="0"/>
        <v>Virginia</v>
      </c>
      <c r="C41" s="27" t="str">
        <f t="shared" si="1"/>
        <v>Frederick</v>
      </c>
      <c r="D41" s="2">
        <v>1744</v>
      </c>
      <c r="E41" s="27">
        <v>95</v>
      </c>
      <c r="F41" s="27"/>
      <c r="G41" s="2">
        <v>140</v>
      </c>
      <c r="H41" s="2">
        <v>2574</v>
      </c>
      <c r="I41" s="2">
        <v>439</v>
      </c>
      <c r="J41" s="2"/>
      <c r="K41" s="89">
        <f t="shared" si="2"/>
        <v>62.714285714285715</v>
      </c>
      <c r="L41" s="12">
        <v>88363.46</v>
      </c>
      <c r="M41" s="27">
        <v>50</v>
      </c>
      <c r="N41" s="2">
        <v>212400</v>
      </c>
      <c r="O41" s="41">
        <v>1925</v>
      </c>
      <c r="P41" s="27"/>
      <c r="Q41" s="27" t="s">
        <v>464</v>
      </c>
      <c r="R41" s="27" t="s">
        <v>465</v>
      </c>
      <c r="S41" s="27" t="s">
        <v>466</v>
      </c>
      <c r="T41" s="27" t="s">
        <v>464</v>
      </c>
      <c r="U41" s="27" t="s">
        <v>466</v>
      </c>
      <c r="V41" s="27" t="s">
        <v>467</v>
      </c>
      <c r="W41" s="1"/>
      <c r="X41" s="1"/>
      <c r="Y41" s="27"/>
      <c r="Z41" s="27"/>
      <c r="AA41" s="27"/>
    </row>
    <row r="42" spans="1:27" x14ac:dyDescent="0.25">
      <c r="A42" s="98" t="s">
        <v>1727</v>
      </c>
      <c r="B42" s="98" t="str">
        <f t="shared" si="0"/>
        <v>Virginia</v>
      </c>
      <c r="C42" s="98" t="str">
        <f t="shared" si="1"/>
        <v>Fredericksburg</v>
      </c>
      <c r="D42" s="99">
        <v>1061</v>
      </c>
      <c r="E42" s="98">
        <v>35</v>
      </c>
      <c r="F42" s="98"/>
      <c r="G42" s="99">
        <v>180</v>
      </c>
      <c r="H42" s="99">
        <v>1273</v>
      </c>
      <c r="I42" s="99">
        <v>934</v>
      </c>
      <c r="J42" s="99"/>
      <c r="K42" s="100">
        <f t="shared" si="2"/>
        <v>103.77777777777777</v>
      </c>
      <c r="L42" s="105">
        <v>53155.34</v>
      </c>
      <c r="M42" s="98">
        <v>3</v>
      </c>
      <c r="N42" s="99">
        <v>215000</v>
      </c>
      <c r="O42" s="101">
        <v>1925</v>
      </c>
      <c r="P42" s="98"/>
      <c r="Q42" s="98" t="s">
        <v>464</v>
      </c>
      <c r="R42" s="98" t="s">
        <v>465</v>
      </c>
      <c r="S42" s="98" t="s">
        <v>466</v>
      </c>
      <c r="T42" s="98" t="s">
        <v>464</v>
      </c>
      <c r="U42" s="98" t="s">
        <v>466</v>
      </c>
      <c r="V42" s="98" t="s">
        <v>467</v>
      </c>
      <c r="W42" s="102"/>
      <c r="X42" s="102"/>
      <c r="Y42" s="98"/>
      <c r="Z42" s="98"/>
      <c r="AA42" s="98"/>
    </row>
    <row r="43" spans="1:27" x14ac:dyDescent="0.25">
      <c r="A43" s="27" t="s">
        <v>1649</v>
      </c>
      <c r="B43" s="27" t="str">
        <f t="shared" si="0"/>
        <v>Virginia</v>
      </c>
      <c r="C43" s="27" t="str">
        <f t="shared" si="1"/>
        <v>Giles</v>
      </c>
      <c r="D43" s="2">
        <v>2601</v>
      </c>
      <c r="E43" s="27">
        <v>117</v>
      </c>
      <c r="F43" s="27"/>
      <c r="G43" s="2">
        <v>158</v>
      </c>
      <c r="H43" s="2">
        <v>3353</v>
      </c>
      <c r="I43" s="2">
        <v>668</v>
      </c>
      <c r="J43" s="2"/>
      <c r="K43" s="89">
        <f t="shared" si="2"/>
        <v>84.556962025316452</v>
      </c>
      <c r="L43" s="12">
        <v>171036.9</v>
      </c>
      <c r="M43" s="27">
        <v>59</v>
      </c>
      <c r="N43" s="2">
        <v>183500</v>
      </c>
      <c r="O43" s="41">
        <v>1925</v>
      </c>
      <c r="P43" s="27"/>
      <c r="Q43" s="27" t="s">
        <v>464</v>
      </c>
      <c r="R43" s="27" t="s">
        <v>465</v>
      </c>
      <c r="S43" s="27" t="s">
        <v>466</v>
      </c>
      <c r="T43" s="27" t="s">
        <v>464</v>
      </c>
      <c r="U43" s="27" t="s">
        <v>466</v>
      </c>
      <c r="V43" s="27" t="s">
        <v>467</v>
      </c>
      <c r="W43" s="1"/>
      <c r="X43" s="1"/>
      <c r="Y43" s="27"/>
      <c r="Z43" s="27"/>
      <c r="AA43" s="27"/>
    </row>
    <row r="44" spans="1:27" x14ac:dyDescent="0.25">
      <c r="A44" s="27" t="s">
        <v>1650</v>
      </c>
      <c r="B44" s="27" t="str">
        <f t="shared" si="0"/>
        <v>Virginia</v>
      </c>
      <c r="C44" s="27" t="str">
        <f t="shared" si="1"/>
        <v>Gloucester</v>
      </c>
      <c r="D44" s="2">
        <v>2121</v>
      </c>
      <c r="E44" s="27">
        <v>93</v>
      </c>
      <c r="F44" s="27"/>
      <c r="G44" s="2">
        <v>156</v>
      </c>
      <c r="H44" s="2">
        <v>2930</v>
      </c>
      <c r="I44" s="2">
        <v>522</v>
      </c>
      <c r="J44" s="2"/>
      <c r="K44" s="89">
        <f t="shared" si="2"/>
        <v>66.92307692307692</v>
      </c>
      <c r="L44" s="12">
        <v>96175.51</v>
      </c>
      <c r="M44" s="27">
        <v>28</v>
      </c>
      <c r="N44" s="2">
        <v>183850</v>
      </c>
      <c r="O44" s="41">
        <v>1925</v>
      </c>
      <c r="P44" s="27"/>
      <c r="Q44" s="27" t="s">
        <v>464</v>
      </c>
      <c r="R44" s="27" t="s">
        <v>465</v>
      </c>
      <c r="S44" s="27" t="s">
        <v>466</v>
      </c>
      <c r="T44" s="27" t="s">
        <v>464</v>
      </c>
      <c r="U44" s="27" t="s">
        <v>466</v>
      </c>
      <c r="V44" s="27" t="s">
        <v>467</v>
      </c>
      <c r="W44" s="1"/>
      <c r="X44" s="1"/>
      <c r="Y44" s="27"/>
      <c r="Z44" s="27"/>
      <c r="AA44" s="27"/>
    </row>
    <row r="45" spans="1:27" x14ac:dyDescent="0.25">
      <c r="A45" s="27" t="s">
        <v>1651</v>
      </c>
      <c r="B45" s="27" t="str">
        <f t="shared" si="0"/>
        <v>Virginia</v>
      </c>
      <c r="C45" s="27" t="str">
        <f t="shared" si="1"/>
        <v>Goochland</v>
      </c>
      <c r="D45" s="2">
        <v>1411</v>
      </c>
      <c r="E45" s="27">
        <v>66</v>
      </c>
      <c r="F45" s="27"/>
      <c r="G45" s="2">
        <v>159</v>
      </c>
      <c r="H45" s="2">
        <v>2115</v>
      </c>
      <c r="I45" s="2">
        <v>584</v>
      </c>
      <c r="J45" s="2"/>
      <c r="K45" s="89">
        <f t="shared" si="2"/>
        <v>73.459119496855351</v>
      </c>
      <c r="L45" s="12">
        <v>70112.649999999994</v>
      </c>
      <c r="M45" s="27">
        <v>38</v>
      </c>
      <c r="N45" s="2">
        <v>88234</v>
      </c>
      <c r="O45" s="41">
        <v>1925</v>
      </c>
      <c r="P45" s="27"/>
      <c r="Q45" s="27" t="s">
        <v>464</v>
      </c>
      <c r="R45" s="27" t="s">
        <v>465</v>
      </c>
      <c r="S45" s="27" t="s">
        <v>466</v>
      </c>
      <c r="T45" s="27" t="s">
        <v>464</v>
      </c>
      <c r="U45" s="27" t="s">
        <v>466</v>
      </c>
      <c r="V45" s="27" t="s">
        <v>467</v>
      </c>
      <c r="W45" s="1"/>
      <c r="X45" s="1"/>
      <c r="Y45" s="27"/>
      <c r="Z45" s="27"/>
      <c r="AA45" s="27"/>
    </row>
    <row r="46" spans="1:27" x14ac:dyDescent="0.25">
      <c r="A46" s="27" t="s">
        <v>1652</v>
      </c>
      <c r="B46" s="27" t="str">
        <f t="shared" si="0"/>
        <v>Virginia</v>
      </c>
      <c r="C46" s="27" t="str">
        <f t="shared" si="1"/>
        <v>Grayson</v>
      </c>
      <c r="D46" s="3">
        <v>3804</v>
      </c>
      <c r="E46" s="27">
        <v>171</v>
      </c>
      <c r="F46" s="27"/>
      <c r="G46" s="2">
        <v>137</v>
      </c>
      <c r="H46" s="2">
        <v>5476</v>
      </c>
      <c r="I46" s="2">
        <v>520</v>
      </c>
      <c r="J46" s="2"/>
      <c r="K46" s="89">
        <f t="shared" si="2"/>
        <v>75.912408759124091</v>
      </c>
      <c r="L46" s="12">
        <v>168911.21</v>
      </c>
      <c r="M46" s="27">
        <v>92</v>
      </c>
      <c r="N46" s="2">
        <v>350000</v>
      </c>
      <c r="O46" s="41">
        <v>1925</v>
      </c>
      <c r="P46" s="27"/>
      <c r="Q46" s="27" t="s">
        <v>464</v>
      </c>
      <c r="R46" s="27" t="s">
        <v>465</v>
      </c>
      <c r="S46" s="27" t="s">
        <v>466</v>
      </c>
      <c r="T46" s="27" t="s">
        <v>464</v>
      </c>
      <c r="U46" s="27" t="s">
        <v>466</v>
      </c>
      <c r="V46" s="27" t="s">
        <v>467</v>
      </c>
      <c r="W46" s="1"/>
      <c r="X46" s="1"/>
      <c r="Y46" s="27"/>
      <c r="Z46" s="27"/>
      <c r="AA46" s="27"/>
    </row>
    <row r="47" spans="1:27" x14ac:dyDescent="0.25">
      <c r="A47" s="27" t="s">
        <v>1653</v>
      </c>
      <c r="B47" s="27" t="str">
        <f t="shared" si="0"/>
        <v>Virginia</v>
      </c>
      <c r="C47" s="27" t="str">
        <f t="shared" si="1"/>
        <v>Greene</v>
      </c>
      <c r="D47" s="3">
        <v>891</v>
      </c>
      <c r="E47" s="27">
        <v>45</v>
      </c>
      <c r="F47" s="27"/>
      <c r="G47" s="2">
        <v>129</v>
      </c>
      <c r="H47" s="2">
        <v>1317</v>
      </c>
      <c r="I47" s="2">
        <v>392</v>
      </c>
      <c r="J47" s="2"/>
      <c r="K47" s="89">
        <f t="shared" si="2"/>
        <v>60.775193798449614</v>
      </c>
      <c r="L47" s="12">
        <v>32087.72</v>
      </c>
      <c r="M47" s="27">
        <v>32</v>
      </c>
      <c r="N47" s="2">
        <v>52800</v>
      </c>
      <c r="O47" s="41">
        <v>1925</v>
      </c>
      <c r="P47" s="27"/>
      <c r="Q47" s="27" t="s">
        <v>464</v>
      </c>
      <c r="R47" s="27" t="s">
        <v>465</v>
      </c>
      <c r="S47" s="27" t="s">
        <v>466</v>
      </c>
      <c r="T47" s="27" t="s">
        <v>464</v>
      </c>
      <c r="U47" s="27" t="s">
        <v>466</v>
      </c>
      <c r="V47" s="27" t="s">
        <v>467</v>
      </c>
      <c r="W47" s="1"/>
      <c r="X47" s="1"/>
      <c r="Y47" s="27"/>
      <c r="Z47" s="27"/>
      <c r="AA47" s="27"/>
    </row>
    <row r="48" spans="1:27" x14ac:dyDescent="0.25">
      <c r="A48" s="27" t="s">
        <v>1654</v>
      </c>
      <c r="B48" s="27" t="str">
        <f t="shared" si="0"/>
        <v>Virginia</v>
      </c>
      <c r="C48" s="27" t="str">
        <f t="shared" si="1"/>
        <v>Greensville</v>
      </c>
      <c r="D48" s="3">
        <v>1981</v>
      </c>
      <c r="E48" s="10">
        <v>82</v>
      </c>
      <c r="F48" s="10"/>
      <c r="G48" s="2">
        <v>162</v>
      </c>
      <c r="H48" s="2">
        <v>3284</v>
      </c>
      <c r="I48" s="2">
        <v>663</v>
      </c>
      <c r="J48" s="2"/>
      <c r="K48" s="89">
        <f t="shared" si="2"/>
        <v>81.851851851851862</v>
      </c>
      <c r="L48" s="12">
        <v>101120.99</v>
      </c>
      <c r="M48" s="27">
        <v>36</v>
      </c>
      <c r="N48" s="2">
        <v>210848</v>
      </c>
      <c r="O48" s="41">
        <v>1925</v>
      </c>
      <c r="P48" s="27"/>
      <c r="Q48" s="27" t="s">
        <v>464</v>
      </c>
      <c r="R48" s="27" t="s">
        <v>465</v>
      </c>
      <c r="S48" s="27" t="s">
        <v>466</v>
      </c>
      <c r="T48" s="27" t="s">
        <v>464</v>
      </c>
      <c r="U48" s="27" t="s">
        <v>466</v>
      </c>
      <c r="V48" s="27" t="s">
        <v>467</v>
      </c>
      <c r="W48" s="1"/>
      <c r="X48" s="1"/>
      <c r="Y48" s="27"/>
      <c r="Z48" s="27"/>
      <c r="AA48" s="27"/>
    </row>
    <row r="49" spans="1:27" x14ac:dyDescent="0.25">
      <c r="A49" s="27" t="s">
        <v>1655</v>
      </c>
      <c r="B49" s="27" t="str">
        <f t="shared" si="0"/>
        <v>Virginia</v>
      </c>
      <c r="C49" s="27" t="str">
        <f t="shared" si="1"/>
        <v>Halifax</v>
      </c>
      <c r="D49" s="10">
        <v>8290</v>
      </c>
      <c r="E49" s="10">
        <v>335</v>
      </c>
      <c r="F49" s="10"/>
      <c r="G49" s="2">
        <v>149</v>
      </c>
      <c r="H49" s="2">
        <v>11472</v>
      </c>
      <c r="I49" s="2">
        <v>523</v>
      </c>
      <c r="J49" s="2"/>
      <c r="K49" s="89">
        <f t="shared" si="2"/>
        <v>70.201342281879192</v>
      </c>
      <c r="L49" s="12">
        <v>260239.87</v>
      </c>
      <c r="M49" s="27">
        <v>152</v>
      </c>
      <c r="N49" s="2">
        <v>451000</v>
      </c>
      <c r="O49" s="41">
        <v>1925</v>
      </c>
      <c r="P49" s="27"/>
      <c r="Q49" s="27" t="s">
        <v>464</v>
      </c>
      <c r="R49" s="27" t="s">
        <v>465</v>
      </c>
      <c r="S49" s="27" t="s">
        <v>466</v>
      </c>
      <c r="T49" s="27" t="s">
        <v>464</v>
      </c>
      <c r="U49" s="27" t="s">
        <v>466</v>
      </c>
      <c r="V49" s="27" t="s">
        <v>467</v>
      </c>
      <c r="W49" s="1"/>
      <c r="X49" s="1"/>
      <c r="Y49" s="27"/>
      <c r="Z49" s="27"/>
      <c r="AA49" s="27"/>
    </row>
    <row r="50" spans="1:27" x14ac:dyDescent="0.25">
      <c r="A50" s="27" t="s">
        <v>1656</v>
      </c>
      <c r="B50" s="27" t="str">
        <f t="shared" si="0"/>
        <v>Virginia</v>
      </c>
      <c r="C50" s="27" t="str">
        <f t="shared" si="1"/>
        <v>Hanover</v>
      </c>
      <c r="D50" s="3">
        <v>3194</v>
      </c>
      <c r="E50" s="10">
        <v>124</v>
      </c>
      <c r="F50" s="10"/>
      <c r="G50" s="2">
        <v>145</v>
      </c>
      <c r="H50" s="2">
        <v>4322</v>
      </c>
      <c r="I50" s="2">
        <v>550</v>
      </c>
      <c r="J50" s="2"/>
      <c r="K50" s="89">
        <f t="shared" si="2"/>
        <v>75.862068965517238</v>
      </c>
      <c r="L50" s="12">
        <v>164986.32999999999</v>
      </c>
      <c r="M50" s="27">
        <v>65</v>
      </c>
      <c r="N50" s="2">
        <v>259925</v>
      </c>
      <c r="O50" s="41">
        <v>1925</v>
      </c>
      <c r="P50" s="27"/>
      <c r="Q50" s="27" t="s">
        <v>464</v>
      </c>
      <c r="R50" s="27" t="s">
        <v>465</v>
      </c>
      <c r="S50" s="27" t="s">
        <v>466</v>
      </c>
      <c r="T50" s="27" t="s">
        <v>464</v>
      </c>
      <c r="U50" s="27" t="s">
        <v>466</v>
      </c>
      <c r="V50" s="27" t="s">
        <v>467</v>
      </c>
      <c r="W50" s="1"/>
      <c r="X50" s="1"/>
      <c r="Y50" s="27"/>
      <c r="Z50" s="27"/>
      <c r="AA50" s="27"/>
    </row>
    <row r="51" spans="1:27" x14ac:dyDescent="0.25">
      <c r="A51" s="27" t="s">
        <v>1657</v>
      </c>
      <c r="B51" s="27" t="str">
        <f t="shared" si="0"/>
        <v>Virginia</v>
      </c>
      <c r="C51" s="27" t="str">
        <f t="shared" si="1"/>
        <v>Henrico</v>
      </c>
      <c r="D51" s="3">
        <v>3728</v>
      </c>
      <c r="E51" s="10">
        <v>152</v>
      </c>
      <c r="F51" s="10"/>
      <c r="G51" s="2">
        <v>183</v>
      </c>
      <c r="H51" s="2">
        <v>4666</v>
      </c>
      <c r="I51" s="2">
        <v>773</v>
      </c>
      <c r="J51" s="2"/>
      <c r="K51" s="89">
        <f t="shared" si="2"/>
        <v>84.480874316939889</v>
      </c>
      <c r="L51" s="12">
        <v>606431.09</v>
      </c>
      <c r="M51" s="27">
        <v>38</v>
      </c>
      <c r="N51" s="2">
        <v>357200</v>
      </c>
      <c r="O51" s="41">
        <v>1925</v>
      </c>
      <c r="P51" s="27"/>
      <c r="Q51" s="27" t="s">
        <v>464</v>
      </c>
      <c r="R51" s="27" t="s">
        <v>465</v>
      </c>
      <c r="S51" s="27" t="s">
        <v>466</v>
      </c>
      <c r="T51" s="27" t="s">
        <v>464</v>
      </c>
      <c r="U51" s="27" t="s">
        <v>466</v>
      </c>
      <c r="V51" s="27" t="s">
        <v>467</v>
      </c>
      <c r="W51" s="1"/>
      <c r="X51" s="1"/>
      <c r="Y51" s="27"/>
      <c r="Z51" s="27"/>
      <c r="AA51" s="27"/>
    </row>
    <row r="52" spans="1:27" x14ac:dyDescent="0.25">
      <c r="A52" s="27" t="s">
        <v>1658</v>
      </c>
      <c r="B52" s="27" t="str">
        <f t="shared" si="0"/>
        <v>Virginia</v>
      </c>
      <c r="C52" s="27" t="str">
        <f t="shared" si="1"/>
        <v>Henry</v>
      </c>
      <c r="D52" s="3">
        <v>3664</v>
      </c>
      <c r="E52" s="10">
        <v>169</v>
      </c>
      <c r="F52" s="10"/>
      <c r="G52" s="2">
        <v>136</v>
      </c>
      <c r="H52" s="2">
        <v>6001</v>
      </c>
      <c r="I52" s="2">
        <v>505</v>
      </c>
      <c r="J52" s="2"/>
      <c r="K52" s="89">
        <f t="shared" si="2"/>
        <v>74.264705882352942</v>
      </c>
      <c r="L52" s="12">
        <v>142936.98000000001</v>
      </c>
      <c r="M52" s="27">
        <v>92</v>
      </c>
      <c r="N52" s="2">
        <v>324000</v>
      </c>
      <c r="O52" s="41">
        <v>1925</v>
      </c>
      <c r="P52" s="27"/>
      <c r="Q52" s="27" t="s">
        <v>464</v>
      </c>
      <c r="R52" s="27" t="s">
        <v>465</v>
      </c>
      <c r="S52" s="27" t="s">
        <v>466</v>
      </c>
      <c r="T52" s="27" t="s">
        <v>464</v>
      </c>
      <c r="U52" s="27" t="s">
        <v>466</v>
      </c>
      <c r="V52" s="27" t="s">
        <v>467</v>
      </c>
      <c r="W52" s="1"/>
      <c r="X52" s="1"/>
      <c r="Y52" s="27"/>
      <c r="Z52" s="27"/>
      <c r="AA52" s="27"/>
    </row>
    <row r="53" spans="1:27" x14ac:dyDescent="0.25">
      <c r="A53" s="27" t="s">
        <v>1659</v>
      </c>
      <c r="B53" s="27" t="str">
        <f t="shared" si="0"/>
        <v>Virginia</v>
      </c>
      <c r="C53" s="27" t="str">
        <f t="shared" si="1"/>
        <v>Highland</v>
      </c>
      <c r="D53" s="3">
        <v>899</v>
      </c>
      <c r="E53" s="10">
        <v>55</v>
      </c>
      <c r="F53" s="10"/>
      <c r="G53" s="2">
        <v>158</v>
      </c>
      <c r="H53" s="2">
        <v>1163</v>
      </c>
      <c r="I53" s="2">
        <v>560</v>
      </c>
      <c r="J53" s="2"/>
      <c r="K53" s="89">
        <f t="shared" si="2"/>
        <v>70.886075949367083</v>
      </c>
      <c r="L53" s="12">
        <v>52936.85</v>
      </c>
      <c r="M53" s="27">
        <v>41</v>
      </c>
      <c r="N53" s="2">
        <v>100200</v>
      </c>
      <c r="O53" s="41">
        <v>1925</v>
      </c>
      <c r="P53" s="27"/>
      <c r="Q53" s="27" t="s">
        <v>464</v>
      </c>
      <c r="R53" s="27" t="s">
        <v>465</v>
      </c>
      <c r="S53" s="27" t="s">
        <v>466</v>
      </c>
      <c r="T53" s="27" t="s">
        <v>464</v>
      </c>
      <c r="U53" s="27" t="s">
        <v>466</v>
      </c>
      <c r="V53" s="27" t="s">
        <v>467</v>
      </c>
      <c r="W53" s="1"/>
      <c r="X53" s="1"/>
      <c r="Y53" s="27"/>
      <c r="Z53" s="27"/>
      <c r="AA53" s="27"/>
    </row>
    <row r="54" spans="1:27" x14ac:dyDescent="0.25">
      <c r="A54" s="27" t="s">
        <v>1768</v>
      </c>
      <c r="B54" s="27" t="str">
        <f t="shared" si="0"/>
        <v>Virginia</v>
      </c>
      <c r="C54" s="27" t="str">
        <f t="shared" si="1"/>
        <v>Isle Of Wight</v>
      </c>
      <c r="D54" s="3">
        <v>2428</v>
      </c>
      <c r="E54" s="10">
        <v>98</v>
      </c>
      <c r="F54" s="10"/>
      <c r="G54" s="2">
        <v>168</v>
      </c>
      <c r="H54" s="2">
        <v>3682</v>
      </c>
      <c r="I54" s="2">
        <v>706</v>
      </c>
      <c r="J54" s="2"/>
      <c r="K54" s="89">
        <f t="shared" si="2"/>
        <v>84.047619047619051</v>
      </c>
      <c r="L54" s="12">
        <v>171136.54</v>
      </c>
      <c r="M54" s="27">
        <v>34</v>
      </c>
      <c r="N54" s="2">
        <v>330000</v>
      </c>
      <c r="O54" s="41">
        <v>1925</v>
      </c>
      <c r="P54" s="27"/>
      <c r="Q54" s="27" t="s">
        <v>464</v>
      </c>
      <c r="R54" s="27" t="s">
        <v>465</v>
      </c>
      <c r="S54" s="27" t="s">
        <v>466</v>
      </c>
      <c r="T54" s="27" t="s">
        <v>464</v>
      </c>
      <c r="U54" s="27" t="s">
        <v>466</v>
      </c>
      <c r="V54" s="27" t="s">
        <v>467</v>
      </c>
      <c r="W54" s="1"/>
      <c r="X54" s="1"/>
      <c r="Y54" s="27"/>
      <c r="Z54" s="27"/>
      <c r="AA54" s="27"/>
    </row>
    <row r="55" spans="1:27" x14ac:dyDescent="0.25">
      <c r="A55" s="27" t="s">
        <v>1661</v>
      </c>
      <c r="B55" s="27" t="str">
        <f t="shared" si="0"/>
        <v>Virginia</v>
      </c>
      <c r="C55" s="27" t="str">
        <f t="shared" si="1"/>
        <v>James City</v>
      </c>
      <c r="D55" s="3">
        <v>641</v>
      </c>
      <c r="E55" s="10">
        <v>29</v>
      </c>
      <c r="F55" s="10"/>
      <c r="G55" s="2">
        <v>156</v>
      </c>
      <c r="H55" s="2">
        <v>844</v>
      </c>
      <c r="I55" s="2">
        <v>797</v>
      </c>
      <c r="J55" s="2"/>
      <c r="K55" s="89">
        <f t="shared" si="2"/>
        <v>102.17948717948718</v>
      </c>
      <c r="L55" s="12">
        <v>45215.64</v>
      </c>
      <c r="M55" s="27">
        <v>9</v>
      </c>
      <c r="N55" s="2">
        <v>58000</v>
      </c>
      <c r="O55" s="41">
        <v>1925</v>
      </c>
      <c r="P55" s="27"/>
      <c r="Q55" s="27" t="s">
        <v>464</v>
      </c>
      <c r="R55" s="27" t="s">
        <v>465</v>
      </c>
      <c r="S55" s="27" t="s">
        <v>466</v>
      </c>
      <c r="T55" s="27" t="s">
        <v>464</v>
      </c>
      <c r="U55" s="27" t="s">
        <v>466</v>
      </c>
      <c r="V55" s="27" t="s">
        <v>467</v>
      </c>
      <c r="W55" s="1"/>
      <c r="X55" s="1"/>
      <c r="Y55" s="27"/>
      <c r="Z55" s="27"/>
      <c r="AA55" s="27"/>
    </row>
    <row r="56" spans="1:27" x14ac:dyDescent="0.25">
      <c r="A56" s="27" t="s">
        <v>1663</v>
      </c>
      <c r="B56" s="27" t="str">
        <f t="shared" si="0"/>
        <v>Virginia</v>
      </c>
      <c r="C56" s="27" t="str">
        <f t="shared" si="1"/>
        <v>King George</v>
      </c>
      <c r="D56" s="3">
        <v>1601</v>
      </c>
      <c r="E56" s="10">
        <v>41</v>
      </c>
      <c r="F56" s="10"/>
      <c r="G56" s="2">
        <v>157</v>
      </c>
      <c r="H56" s="2">
        <v>2193</v>
      </c>
      <c r="I56" s="2">
        <v>484</v>
      </c>
      <c r="J56" s="2"/>
      <c r="K56" s="89">
        <f t="shared" si="2"/>
        <v>61.656050955414017</v>
      </c>
      <c r="L56" s="12">
        <v>30371.55</v>
      </c>
      <c r="M56" s="27">
        <v>24</v>
      </c>
      <c r="N56" s="2">
        <v>42457</v>
      </c>
      <c r="O56" s="41">
        <v>1925</v>
      </c>
      <c r="P56" s="27"/>
      <c r="Q56" s="27" t="s">
        <v>464</v>
      </c>
      <c r="R56" s="27" t="s">
        <v>465</v>
      </c>
      <c r="S56" s="27" t="s">
        <v>466</v>
      </c>
      <c r="T56" s="27" t="s">
        <v>464</v>
      </c>
      <c r="U56" s="27" t="s">
        <v>466</v>
      </c>
      <c r="V56" s="27" t="s">
        <v>467</v>
      </c>
      <c r="W56" s="1"/>
      <c r="X56" s="1"/>
      <c r="Y56" s="27"/>
      <c r="Z56" s="27"/>
      <c r="AA56" s="27"/>
    </row>
    <row r="57" spans="1:27" x14ac:dyDescent="0.25">
      <c r="A57" s="27" t="s">
        <v>1769</v>
      </c>
      <c r="B57" s="27" t="str">
        <f t="shared" si="0"/>
        <v>Virginia</v>
      </c>
      <c r="C57" s="27" t="str">
        <f t="shared" si="1"/>
        <v>King And Queen</v>
      </c>
      <c r="D57" s="3">
        <v>616</v>
      </c>
      <c r="E57" s="10">
        <v>79</v>
      </c>
      <c r="F57" s="10"/>
      <c r="G57" s="2">
        <v>149</v>
      </c>
      <c r="H57" s="2">
        <v>935</v>
      </c>
      <c r="I57" s="2">
        <v>488</v>
      </c>
      <c r="J57" s="2"/>
      <c r="K57" s="89">
        <f t="shared" si="2"/>
        <v>65.503355704697981</v>
      </c>
      <c r="L57" s="12">
        <v>52636.160000000003</v>
      </c>
      <c r="M57" s="27">
        <v>39</v>
      </c>
      <c r="N57" s="2">
        <v>85000</v>
      </c>
      <c r="O57" s="41">
        <v>1925</v>
      </c>
      <c r="P57" s="27"/>
      <c r="Q57" s="27" t="s">
        <v>464</v>
      </c>
      <c r="R57" s="27" t="s">
        <v>465</v>
      </c>
      <c r="S57" s="27" t="s">
        <v>466</v>
      </c>
      <c r="T57" s="27" t="s">
        <v>464</v>
      </c>
      <c r="U57" s="27" t="s">
        <v>466</v>
      </c>
      <c r="V57" s="27" t="s">
        <v>467</v>
      </c>
      <c r="W57" s="1"/>
      <c r="X57" s="1"/>
      <c r="Y57" s="27"/>
      <c r="Z57" s="27"/>
      <c r="AA57" s="27"/>
    </row>
    <row r="58" spans="1:27" x14ac:dyDescent="0.25">
      <c r="A58" s="27" t="s">
        <v>1664</v>
      </c>
      <c r="B58" s="27" t="str">
        <f t="shared" si="0"/>
        <v>Virginia</v>
      </c>
      <c r="C58" s="27" t="str">
        <f t="shared" si="1"/>
        <v>King William</v>
      </c>
      <c r="D58" s="3">
        <v>1671</v>
      </c>
      <c r="E58" s="10">
        <v>70</v>
      </c>
      <c r="F58" s="10"/>
      <c r="G58" s="2">
        <v>160</v>
      </c>
      <c r="H58" s="2">
        <v>2002</v>
      </c>
      <c r="I58" s="2">
        <v>584</v>
      </c>
      <c r="J58" s="2"/>
      <c r="K58" s="89">
        <f t="shared" si="2"/>
        <v>73</v>
      </c>
      <c r="L58" s="12">
        <v>128070.77</v>
      </c>
      <c r="M58" s="27">
        <v>34</v>
      </c>
      <c r="N58" s="2">
        <v>150000</v>
      </c>
      <c r="O58" s="41">
        <v>1925</v>
      </c>
      <c r="P58" s="27"/>
      <c r="Q58" s="27" t="s">
        <v>464</v>
      </c>
      <c r="R58" s="27" t="s">
        <v>465</v>
      </c>
      <c r="S58" s="27" t="s">
        <v>466</v>
      </c>
      <c r="T58" s="27" t="s">
        <v>464</v>
      </c>
      <c r="U58" s="27" t="s">
        <v>466</v>
      </c>
      <c r="V58" s="27" t="s">
        <v>467</v>
      </c>
      <c r="W58" s="1"/>
      <c r="X58" s="1"/>
      <c r="Y58" s="27"/>
      <c r="Z58" s="27"/>
      <c r="AA58" s="27"/>
    </row>
    <row r="59" spans="1:27" x14ac:dyDescent="0.25">
      <c r="A59" s="27" t="s">
        <v>1665</v>
      </c>
      <c r="B59" s="27" t="str">
        <f t="shared" si="0"/>
        <v>Virginia</v>
      </c>
      <c r="C59" s="27" t="str">
        <f t="shared" si="1"/>
        <v>Lancaster</v>
      </c>
      <c r="D59" s="3">
        <v>1567</v>
      </c>
      <c r="E59" s="10">
        <v>71</v>
      </c>
      <c r="F59" s="10"/>
      <c r="G59" s="2">
        <v>149</v>
      </c>
      <c r="H59" s="2">
        <v>2164</v>
      </c>
      <c r="I59" s="2">
        <v>558</v>
      </c>
      <c r="J59" s="2"/>
      <c r="K59" s="89">
        <f t="shared" si="2"/>
        <v>74.899328859060404</v>
      </c>
      <c r="L59" s="12">
        <v>60723.63</v>
      </c>
      <c r="M59" s="27">
        <v>22</v>
      </c>
      <c r="N59" s="2">
        <v>90000</v>
      </c>
      <c r="O59" s="41">
        <v>1925</v>
      </c>
      <c r="P59" s="27"/>
      <c r="Q59" s="27" t="s">
        <v>464</v>
      </c>
      <c r="R59" s="27" t="s">
        <v>465</v>
      </c>
      <c r="S59" s="27" t="s">
        <v>466</v>
      </c>
      <c r="T59" s="27" t="s">
        <v>464</v>
      </c>
      <c r="U59" s="27" t="s">
        <v>466</v>
      </c>
      <c r="V59" s="27" t="s">
        <v>467</v>
      </c>
      <c r="W59" s="1"/>
      <c r="X59" s="1"/>
      <c r="Y59" s="27"/>
      <c r="Z59" s="27"/>
      <c r="AA59" s="27"/>
    </row>
    <row r="60" spans="1:27" x14ac:dyDescent="0.25">
      <c r="A60" s="27" t="s">
        <v>1666</v>
      </c>
      <c r="B60" s="27" t="str">
        <f t="shared" si="0"/>
        <v>Virginia</v>
      </c>
      <c r="C60" s="27" t="str">
        <f t="shared" si="1"/>
        <v>Lee</v>
      </c>
      <c r="D60" s="3">
        <v>4183</v>
      </c>
      <c r="E60" s="10">
        <v>165</v>
      </c>
      <c r="F60" s="10"/>
      <c r="G60" s="2">
        <v>144.19999999999999</v>
      </c>
      <c r="H60" s="2">
        <v>6911</v>
      </c>
      <c r="I60" s="2">
        <v>559</v>
      </c>
      <c r="J60" s="2"/>
      <c r="K60" s="89">
        <f t="shared" si="2"/>
        <v>77.531206657420256</v>
      </c>
      <c r="L60" s="12">
        <v>165927.82</v>
      </c>
      <c r="M60" s="27">
        <v>84</v>
      </c>
      <c r="N60" s="2">
        <v>305600</v>
      </c>
      <c r="O60" s="41">
        <v>1925</v>
      </c>
      <c r="P60" s="27"/>
      <c r="Q60" s="27" t="s">
        <v>464</v>
      </c>
      <c r="R60" s="27" t="s">
        <v>465</v>
      </c>
      <c r="S60" s="27" t="s">
        <v>466</v>
      </c>
      <c r="T60" s="27" t="s">
        <v>464</v>
      </c>
      <c r="U60" s="27" t="s">
        <v>466</v>
      </c>
      <c r="V60" s="27" t="s">
        <v>467</v>
      </c>
      <c r="W60" s="1"/>
      <c r="X60" s="1"/>
      <c r="Y60" s="27"/>
      <c r="Z60" s="27"/>
      <c r="AA60" s="27"/>
    </row>
    <row r="61" spans="1:27" x14ac:dyDescent="0.25">
      <c r="A61" s="27" t="s">
        <v>1667</v>
      </c>
      <c r="B61" s="27" t="str">
        <f t="shared" si="0"/>
        <v>Virginia</v>
      </c>
      <c r="C61" s="27" t="str">
        <f t="shared" si="1"/>
        <v>Loudoun</v>
      </c>
      <c r="D61" s="3">
        <v>3271</v>
      </c>
      <c r="E61" s="10">
        <v>161</v>
      </c>
      <c r="F61" s="10"/>
      <c r="G61" s="2">
        <v>168</v>
      </c>
      <c r="H61" s="2">
        <v>4781</v>
      </c>
      <c r="I61" s="2">
        <v>745</v>
      </c>
      <c r="J61" s="2"/>
      <c r="K61" s="89">
        <f t="shared" si="2"/>
        <v>88.69047619047619</v>
      </c>
      <c r="L61" s="12">
        <v>280184.52</v>
      </c>
      <c r="M61" s="27">
        <v>83</v>
      </c>
      <c r="N61" s="2">
        <v>436500</v>
      </c>
      <c r="O61" s="41">
        <v>1925</v>
      </c>
      <c r="P61" s="27"/>
      <c r="Q61" s="27" t="s">
        <v>464</v>
      </c>
      <c r="R61" s="27" t="s">
        <v>465</v>
      </c>
      <c r="S61" s="27" t="s">
        <v>466</v>
      </c>
      <c r="T61" s="27" t="s">
        <v>464</v>
      </c>
      <c r="U61" s="27" t="s">
        <v>466</v>
      </c>
      <c r="V61" s="27" t="s">
        <v>467</v>
      </c>
      <c r="W61" s="1"/>
      <c r="X61" s="1"/>
      <c r="Y61" s="27"/>
      <c r="Z61" s="27"/>
      <c r="AA61" s="27"/>
    </row>
    <row r="62" spans="1:27" x14ac:dyDescent="0.25">
      <c r="A62" s="27" t="s">
        <v>1668</v>
      </c>
      <c r="B62" s="27" t="str">
        <f t="shared" si="0"/>
        <v>Virginia</v>
      </c>
      <c r="C62" s="27" t="str">
        <f t="shared" si="1"/>
        <v>Louisa</v>
      </c>
      <c r="D62" s="3">
        <v>3056</v>
      </c>
      <c r="E62" s="10">
        <v>145</v>
      </c>
      <c r="F62" s="10"/>
      <c r="G62" s="2">
        <v>146</v>
      </c>
      <c r="H62" s="2">
        <v>4598</v>
      </c>
      <c r="I62" s="2">
        <v>391</v>
      </c>
      <c r="J62" s="2"/>
      <c r="K62" s="89">
        <f t="shared" si="2"/>
        <v>53.561643835616437</v>
      </c>
      <c r="L62" s="12">
        <v>114193.54</v>
      </c>
      <c r="M62" s="27">
        <v>108</v>
      </c>
      <c r="N62" s="2">
        <v>100000</v>
      </c>
      <c r="O62" s="41">
        <v>1925</v>
      </c>
      <c r="P62" s="27"/>
      <c r="Q62" s="27" t="s">
        <v>464</v>
      </c>
      <c r="R62" s="27" t="s">
        <v>465</v>
      </c>
      <c r="S62" s="27" t="s">
        <v>466</v>
      </c>
      <c r="T62" s="27" t="s">
        <v>464</v>
      </c>
      <c r="U62" s="27" t="s">
        <v>466</v>
      </c>
      <c r="V62" s="27" t="s">
        <v>467</v>
      </c>
      <c r="W62" s="1"/>
      <c r="X62" s="1"/>
      <c r="Y62" s="27"/>
      <c r="Z62" s="27"/>
      <c r="AA62" s="27"/>
    </row>
    <row r="63" spans="1:27" x14ac:dyDescent="0.25">
      <c r="A63" s="27" t="s">
        <v>1669</v>
      </c>
      <c r="B63" s="27" t="str">
        <f t="shared" si="0"/>
        <v>Virginia</v>
      </c>
      <c r="C63" s="27" t="str">
        <f t="shared" si="1"/>
        <v>Lunenburg</v>
      </c>
      <c r="D63" s="3">
        <v>2545</v>
      </c>
      <c r="E63" s="10">
        <v>122</v>
      </c>
      <c r="F63" s="10"/>
      <c r="G63" s="2">
        <v>156.22</v>
      </c>
      <c r="H63" s="2">
        <v>3908</v>
      </c>
      <c r="I63" s="2">
        <v>622</v>
      </c>
      <c r="J63" s="2"/>
      <c r="K63" s="89">
        <f t="shared" si="2"/>
        <v>79.631289207527843</v>
      </c>
      <c r="L63" s="12">
        <v>131467.54</v>
      </c>
      <c r="M63" s="27">
        <v>54</v>
      </c>
      <c r="N63" s="2">
        <v>190000</v>
      </c>
      <c r="O63" s="41">
        <v>1925</v>
      </c>
      <c r="P63" s="27"/>
      <c r="Q63" s="27" t="s">
        <v>464</v>
      </c>
      <c r="R63" s="27" t="s">
        <v>465</v>
      </c>
      <c r="S63" s="27" t="s">
        <v>466</v>
      </c>
      <c r="T63" s="27" t="s">
        <v>464</v>
      </c>
      <c r="U63" s="27" t="s">
        <v>466</v>
      </c>
      <c r="V63" s="27" t="s">
        <v>467</v>
      </c>
      <c r="W63" s="1"/>
      <c r="X63" s="1"/>
      <c r="Y63" s="27"/>
      <c r="Z63" s="27"/>
      <c r="AA63" s="27"/>
    </row>
    <row r="64" spans="1:27" x14ac:dyDescent="0.25">
      <c r="A64" s="98" t="s">
        <v>1731</v>
      </c>
      <c r="B64" s="98" t="str">
        <f t="shared" si="0"/>
        <v>Virginia</v>
      </c>
      <c r="C64" s="98" t="str">
        <f t="shared" si="1"/>
        <v>Lynchburg</v>
      </c>
      <c r="D64" s="103">
        <v>5501</v>
      </c>
      <c r="E64" s="104">
        <v>188</v>
      </c>
      <c r="F64" s="104"/>
      <c r="G64" s="99">
        <v>185</v>
      </c>
      <c r="H64" s="99">
        <v>6813</v>
      </c>
      <c r="I64" s="99">
        <v>1363</v>
      </c>
      <c r="J64" s="99"/>
      <c r="K64" s="100">
        <f t="shared" si="2"/>
        <v>147.35135135135135</v>
      </c>
      <c r="L64" s="105">
        <v>326387.34000000003</v>
      </c>
      <c r="M64" s="98">
        <v>18</v>
      </c>
      <c r="N64" s="99">
        <v>867100</v>
      </c>
      <c r="O64" s="101">
        <v>1925</v>
      </c>
      <c r="P64" s="98"/>
      <c r="Q64" s="98" t="s">
        <v>464</v>
      </c>
      <c r="R64" s="98" t="s">
        <v>465</v>
      </c>
      <c r="S64" s="98" t="s">
        <v>466</v>
      </c>
      <c r="T64" s="98" t="s">
        <v>464</v>
      </c>
      <c r="U64" s="98" t="s">
        <v>466</v>
      </c>
      <c r="V64" s="98" t="s">
        <v>467</v>
      </c>
      <c r="W64" s="102"/>
      <c r="X64" s="102"/>
      <c r="Y64" s="98"/>
      <c r="Z64" s="98"/>
      <c r="AA64" s="98"/>
    </row>
    <row r="65" spans="1:27" x14ac:dyDescent="0.25">
      <c r="A65" s="27" t="s">
        <v>1670</v>
      </c>
      <c r="B65" s="27" t="str">
        <f t="shared" si="0"/>
        <v>Virginia</v>
      </c>
      <c r="C65" s="27" t="str">
        <f t="shared" si="1"/>
        <v>Madison</v>
      </c>
      <c r="D65" s="3">
        <v>1614</v>
      </c>
      <c r="E65" s="10">
        <v>75</v>
      </c>
      <c r="F65" s="10"/>
      <c r="G65" s="2">
        <v>148.22</v>
      </c>
      <c r="H65" s="2">
        <v>2259</v>
      </c>
      <c r="I65" s="2">
        <v>518</v>
      </c>
      <c r="J65" s="2"/>
      <c r="K65" s="89">
        <f t="shared" si="2"/>
        <v>69.896100391310213</v>
      </c>
      <c r="L65" s="12">
        <v>64038.87</v>
      </c>
      <c r="M65" s="27">
        <v>40</v>
      </c>
      <c r="N65" s="2">
        <v>101000</v>
      </c>
      <c r="O65" s="41">
        <v>1925</v>
      </c>
      <c r="P65" s="27"/>
      <c r="Q65" s="27" t="s">
        <v>464</v>
      </c>
      <c r="R65" s="27" t="s">
        <v>465</v>
      </c>
      <c r="S65" s="27" t="s">
        <v>466</v>
      </c>
      <c r="T65" s="27" t="s">
        <v>464</v>
      </c>
      <c r="U65" s="27" t="s">
        <v>466</v>
      </c>
      <c r="V65" s="27" t="s">
        <v>467</v>
      </c>
      <c r="W65" s="1"/>
      <c r="X65" s="1"/>
      <c r="Y65" s="27"/>
      <c r="Z65" s="27"/>
      <c r="AA65" s="27"/>
    </row>
    <row r="66" spans="1:27" x14ac:dyDescent="0.25">
      <c r="A66" s="27" t="s">
        <v>1770</v>
      </c>
      <c r="B66" s="27" t="str">
        <f t="shared" ref="B66:B119" si="3">LEFT(A66,FIND(";",A66)-1)</f>
        <v>Virginia</v>
      </c>
      <c r="C66" s="27" t="str">
        <f t="shared" ref="C66:C119" si="4">MID(A66,FIND(";",A66)+1,100)</f>
        <v>Manchester</v>
      </c>
      <c r="D66" s="3"/>
      <c r="E66" s="10"/>
      <c r="F66" s="10"/>
      <c r="G66" s="2"/>
      <c r="H66" s="2"/>
      <c r="I66" s="2"/>
      <c r="J66" s="2"/>
      <c r="K66" s="89"/>
      <c r="L66" s="12"/>
      <c r="M66" s="27"/>
      <c r="N66" s="2"/>
      <c r="O66" s="41">
        <v>1925</v>
      </c>
      <c r="P66" s="27"/>
      <c r="Q66" s="27" t="s">
        <v>464</v>
      </c>
      <c r="R66" s="27" t="s">
        <v>465</v>
      </c>
      <c r="S66" s="27" t="s">
        <v>466</v>
      </c>
      <c r="T66" s="27" t="s">
        <v>464</v>
      </c>
      <c r="U66" s="27" t="s">
        <v>466</v>
      </c>
      <c r="V66" s="27" t="s">
        <v>467</v>
      </c>
      <c r="W66" s="1"/>
      <c r="X66" s="1"/>
      <c r="Y66" s="27"/>
      <c r="Z66" s="27"/>
      <c r="AA66" s="27"/>
    </row>
    <row r="67" spans="1:27" x14ac:dyDescent="0.25">
      <c r="A67" s="27" t="s">
        <v>1671</v>
      </c>
      <c r="B67" s="27" t="str">
        <f t="shared" si="3"/>
        <v>Virginia</v>
      </c>
      <c r="C67" s="27" t="str">
        <f t="shared" si="4"/>
        <v>Mathews</v>
      </c>
      <c r="D67" s="3">
        <v>1397</v>
      </c>
      <c r="E67" s="10">
        <v>66</v>
      </c>
      <c r="F67" s="10"/>
      <c r="G67" s="2">
        <v>166.9</v>
      </c>
      <c r="H67" s="2">
        <v>1769</v>
      </c>
      <c r="I67" s="2">
        <v>582</v>
      </c>
      <c r="J67" s="2"/>
      <c r="K67" s="89">
        <f t="shared" ref="K67:K119" si="5">I67/(G67/20)</f>
        <v>69.74236069502696</v>
      </c>
      <c r="L67" s="12">
        <v>60508.18</v>
      </c>
      <c r="M67" s="27">
        <v>21</v>
      </c>
      <c r="N67" s="2">
        <v>130000</v>
      </c>
      <c r="O67" s="41">
        <v>1925</v>
      </c>
      <c r="P67" s="27"/>
      <c r="Q67" s="27" t="s">
        <v>464</v>
      </c>
      <c r="R67" s="27" t="s">
        <v>465</v>
      </c>
      <c r="S67" s="27" t="s">
        <v>466</v>
      </c>
      <c r="T67" s="27" t="s">
        <v>464</v>
      </c>
      <c r="U67" s="27" t="s">
        <v>466</v>
      </c>
      <c r="V67" s="27" t="s">
        <v>467</v>
      </c>
      <c r="W67" s="1"/>
      <c r="X67" s="1"/>
      <c r="Y67" s="27"/>
      <c r="Z67" s="27"/>
      <c r="AA67" s="27"/>
    </row>
    <row r="68" spans="1:27" x14ac:dyDescent="0.25">
      <c r="A68" s="27" t="s">
        <v>1771</v>
      </c>
      <c r="B68" s="27" t="str">
        <f t="shared" si="3"/>
        <v>Virginia</v>
      </c>
      <c r="C68" s="27" t="str">
        <f t="shared" si="4"/>
        <v>Mecklenburg</v>
      </c>
      <c r="D68" s="3">
        <v>5314</v>
      </c>
      <c r="E68" s="10">
        <v>237</v>
      </c>
      <c r="F68" s="10"/>
      <c r="G68" s="2">
        <v>140</v>
      </c>
      <c r="H68" s="2">
        <v>8233</v>
      </c>
      <c r="I68" s="2">
        <v>55</v>
      </c>
      <c r="J68" s="2"/>
      <c r="K68" s="89">
        <f t="shared" si="5"/>
        <v>7.8571428571428568</v>
      </c>
      <c r="L68" s="12">
        <v>242809.98</v>
      </c>
      <c r="M68" s="27">
        <v>94</v>
      </c>
      <c r="N68" s="2">
        <v>500000</v>
      </c>
      <c r="O68" s="41">
        <v>1925</v>
      </c>
      <c r="P68" s="27"/>
      <c r="Q68" s="27" t="s">
        <v>464</v>
      </c>
      <c r="R68" s="27" t="s">
        <v>465</v>
      </c>
      <c r="S68" s="27" t="s">
        <v>466</v>
      </c>
      <c r="T68" s="27" t="s">
        <v>464</v>
      </c>
      <c r="U68" s="27" t="s">
        <v>466</v>
      </c>
      <c r="V68" s="27" t="s">
        <v>467</v>
      </c>
      <c r="W68" s="1"/>
      <c r="X68" s="1"/>
      <c r="Y68" s="27"/>
      <c r="Z68" s="27"/>
      <c r="AA68" s="27"/>
    </row>
    <row r="69" spans="1:27" x14ac:dyDescent="0.25">
      <c r="A69" s="27" t="s">
        <v>1672</v>
      </c>
      <c r="B69" s="27" t="str">
        <f t="shared" si="3"/>
        <v>Virginia</v>
      </c>
      <c r="C69" s="27" t="str">
        <f t="shared" si="4"/>
        <v>Middlesex</v>
      </c>
      <c r="D69" s="3">
        <v>1429</v>
      </c>
      <c r="E69" s="10">
        <v>66</v>
      </c>
      <c r="F69" s="10"/>
      <c r="G69" s="2">
        <v>167</v>
      </c>
      <c r="H69" s="2">
        <v>1961</v>
      </c>
      <c r="I69" s="2">
        <v>546</v>
      </c>
      <c r="J69" s="2"/>
      <c r="K69" s="89">
        <f t="shared" si="5"/>
        <v>65.389221556886227</v>
      </c>
      <c r="L69" s="12">
        <v>57538.57</v>
      </c>
      <c r="M69" s="27">
        <v>20</v>
      </c>
      <c r="N69" s="2">
        <v>150000</v>
      </c>
      <c r="O69" s="41">
        <v>1925</v>
      </c>
      <c r="P69" s="27"/>
      <c r="Q69" s="27" t="s">
        <v>464</v>
      </c>
      <c r="R69" s="27" t="s">
        <v>465</v>
      </c>
      <c r="S69" s="27" t="s">
        <v>466</v>
      </c>
      <c r="T69" s="27" t="s">
        <v>464</v>
      </c>
      <c r="U69" s="27" t="s">
        <v>466</v>
      </c>
      <c r="V69" s="27" t="s">
        <v>467</v>
      </c>
      <c r="W69" s="1"/>
      <c r="X69" s="1"/>
      <c r="Y69" s="27"/>
      <c r="Z69" s="27"/>
      <c r="AA69" s="27"/>
    </row>
    <row r="70" spans="1:27" x14ac:dyDescent="0.25">
      <c r="A70" s="27" t="s">
        <v>1673</v>
      </c>
      <c r="B70" s="27" t="str">
        <f t="shared" si="3"/>
        <v>Virginia</v>
      </c>
      <c r="C70" s="27" t="str">
        <f t="shared" si="4"/>
        <v>Montgomery</v>
      </c>
      <c r="D70" s="3">
        <v>3122</v>
      </c>
      <c r="E70" s="10">
        <v>159</v>
      </c>
      <c r="F70" s="10"/>
      <c r="G70" s="2">
        <v>147</v>
      </c>
      <c r="H70" s="2">
        <v>4356</v>
      </c>
      <c r="I70" s="2">
        <v>608</v>
      </c>
      <c r="J70" s="2"/>
      <c r="K70" s="89">
        <f t="shared" si="5"/>
        <v>82.721088435374156</v>
      </c>
      <c r="L70" s="12">
        <v>210721.26</v>
      </c>
      <c r="M70" s="27">
        <v>76</v>
      </c>
      <c r="N70" s="2">
        <v>208000</v>
      </c>
      <c r="O70" s="41">
        <v>1925</v>
      </c>
      <c r="P70" s="27"/>
      <c r="Q70" s="27" t="s">
        <v>464</v>
      </c>
      <c r="R70" s="27" t="s">
        <v>465</v>
      </c>
      <c r="S70" s="27" t="s">
        <v>466</v>
      </c>
      <c r="T70" s="27" t="s">
        <v>464</v>
      </c>
      <c r="U70" s="27" t="s">
        <v>466</v>
      </c>
      <c r="V70" s="27" t="s">
        <v>467</v>
      </c>
      <c r="W70" s="1"/>
      <c r="X70" s="1"/>
      <c r="Y70" s="27"/>
      <c r="Z70" s="27"/>
      <c r="AA70" s="27"/>
    </row>
    <row r="71" spans="1:27" x14ac:dyDescent="0.25">
      <c r="A71" s="27" t="s">
        <v>1674</v>
      </c>
      <c r="B71" s="27" t="str">
        <f t="shared" si="3"/>
        <v>Virginia</v>
      </c>
      <c r="C71" s="27" t="str">
        <f t="shared" si="4"/>
        <v>Nansemond</v>
      </c>
      <c r="D71" s="3">
        <v>4110</v>
      </c>
      <c r="E71" s="10">
        <v>142</v>
      </c>
      <c r="F71" s="10"/>
      <c r="G71" s="2">
        <v>163</v>
      </c>
      <c r="H71" s="2">
        <v>5123</v>
      </c>
      <c r="I71" s="2">
        <v>705</v>
      </c>
      <c r="J71" s="2"/>
      <c r="K71" s="89">
        <f t="shared" si="5"/>
        <v>86.50306748466258</v>
      </c>
      <c r="L71" s="12">
        <v>256738.77</v>
      </c>
      <c r="M71" s="27">
        <v>47</v>
      </c>
      <c r="N71" s="2">
        <v>730000</v>
      </c>
      <c r="O71" s="41">
        <v>1925</v>
      </c>
      <c r="P71" s="27"/>
      <c r="Q71" s="27" t="s">
        <v>464</v>
      </c>
      <c r="R71" s="27" t="s">
        <v>465</v>
      </c>
      <c r="S71" s="27" t="s">
        <v>466</v>
      </c>
      <c r="T71" s="27" t="s">
        <v>464</v>
      </c>
      <c r="U71" s="27" t="s">
        <v>466</v>
      </c>
      <c r="V71" s="27" t="s">
        <v>467</v>
      </c>
      <c r="W71" s="1"/>
      <c r="X71" s="1"/>
      <c r="Y71" s="27"/>
      <c r="Z71" s="27"/>
      <c r="AA71" s="27"/>
    </row>
    <row r="72" spans="1:27" x14ac:dyDescent="0.25">
      <c r="A72" s="27" t="s">
        <v>1675</v>
      </c>
      <c r="B72" s="27" t="str">
        <f t="shared" si="3"/>
        <v>Virginia</v>
      </c>
      <c r="C72" s="27" t="str">
        <f t="shared" si="4"/>
        <v>Nelson</v>
      </c>
      <c r="D72" s="3">
        <v>2741</v>
      </c>
      <c r="E72" s="10">
        <v>143</v>
      </c>
      <c r="F72" s="10"/>
      <c r="G72" s="2">
        <v>156.80000000000001</v>
      </c>
      <c r="H72" s="2">
        <v>4246</v>
      </c>
      <c r="I72" s="2">
        <v>503</v>
      </c>
      <c r="J72" s="2"/>
      <c r="K72" s="89">
        <f t="shared" si="5"/>
        <v>64.158163265306115</v>
      </c>
      <c r="L72" s="12">
        <v>138924.13</v>
      </c>
      <c r="M72" s="27">
        <v>80</v>
      </c>
      <c r="N72" s="2">
        <v>118000</v>
      </c>
      <c r="O72" s="41">
        <v>1925</v>
      </c>
      <c r="P72" s="27"/>
      <c r="Q72" s="27" t="s">
        <v>464</v>
      </c>
      <c r="R72" s="27" t="s">
        <v>465</v>
      </c>
      <c r="S72" s="27" t="s">
        <v>466</v>
      </c>
      <c r="T72" s="27" t="s">
        <v>464</v>
      </c>
      <c r="U72" s="27" t="s">
        <v>466</v>
      </c>
      <c r="V72" s="27" t="s">
        <v>467</v>
      </c>
      <c r="W72" s="1"/>
      <c r="X72" s="1"/>
      <c r="Y72" s="27"/>
      <c r="Z72" s="27"/>
      <c r="AA72" s="27"/>
    </row>
    <row r="73" spans="1:27" x14ac:dyDescent="0.25">
      <c r="A73" s="27" t="s">
        <v>1676</v>
      </c>
      <c r="B73" s="27" t="str">
        <f t="shared" si="3"/>
        <v>Virginia</v>
      </c>
      <c r="C73" s="27" t="str">
        <f t="shared" si="4"/>
        <v>New Kent</v>
      </c>
      <c r="D73" s="3">
        <v>931</v>
      </c>
      <c r="E73" s="10">
        <v>40</v>
      </c>
      <c r="F73" s="10"/>
      <c r="G73" s="2">
        <v>160</v>
      </c>
      <c r="H73" s="2">
        <v>1028</v>
      </c>
      <c r="I73" s="2">
        <v>589</v>
      </c>
      <c r="J73" s="2"/>
      <c r="K73" s="89">
        <f t="shared" si="5"/>
        <v>73.625</v>
      </c>
      <c r="L73" s="12">
        <v>41922.57</v>
      </c>
      <c r="M73" s="27">
        <v>29</v>
      </c>
      <c r="N73" s="2">
        <v>56000</v>
      </c>
      <c r="O73" s="41">
        <v>1925</v>
      </c>
      <c r="P73" s="27"/>
      <c r="Q73" s="27" t="s">
        <v>464</v>
      </c>
      <c r="R73" s="27" t="s">
        <v>465</v>
      </c>
      <c r="S73" s="27" t="s">
        <v>466</v>
      </c>
      <c r="T73" s="27" t="s">
        <v>464</v>
      </c>
      <c r="U73" s="27" t="s">
        <v>466</v>
      </c>
      <c r="V73" s="27" t="s">
        <v>467</v>
      </c>
      <c r="W73" s="1"/>
      <c r="X73" s="1"/>
      <c r="Y73" s="27"/>
      <c r="Z73" s="27"/>
      <c r="AA73" s="27"/>
    </row>
    <row r="74" spans="1:27" x14ac:dyDescent="0.25">
      <c r="A74" s="98" t="s">
        <v>1733</v>
      </c>
      <c r="B74" s="98" t="str">
        <f t="shared" si="3"/>
        <v>Virginia</v>
      </c>
      <c r="C74" s="98" t="str">
        <f t="shared" si="4"/>
        <v>Newport News</v>
      </c>
      <c r="D74" s="103">
        <v>5056</v>
      </c>
      <c r="E74" s="104">
        <v>174</v>
      </c>
      <c r="F74" s="104"/>
      <c r="G74" s="99">
        <v>184</v>
      </c>
      <c r="H74" s="99">
        <v>5977</v>
      </c>
      <c r="I74" s="99">
        <v>1324</v>
      </c>
      <c r="J74" s="99"/>
      <c r="K74" s="100">
        <f t="shared" si="5"/>
        <v>143.91304347826087</v>
      </c>
      <c r="L74" s="105">
        <v>422273.59</v>
      </c>
      <c r="M74" s="98">
        <v>11</v>
      </c>
      <c r="N74" s="98">
        <v>1075811</v>
      </c>
      <c r="O74" s="101">
        <v>1925</v>
      </c>
      <c r="P74" s="98"/>
      <c r="Q74" s="98" t="s">
        <v>464</v>
      </c>
      <c r="R74" s="98" t="s">
        <v>465</v>
      </c>
      <c r="S74" s="98" t="s">
        <v>466</v>
      </c>
      <c r="T74" s="98" t="s">
        <v>464</v>
      </c>
      <c r="U74" s="98" t="s">
        <v>466</v>
      </c>
      <c r="V74" s="98" t="s">
        <v>467</v>
      </c>
      <c r="W74" s="102"/>
      <c r="X74" s="102"/>
      <c r="Y74" s="98"/>
      <c r="Z74" s="98"/>
      <c r="AA74" s="98"/>
    </row>
    <row r="75" spans="1:27" x14ac:dyDescent="0.25">
      <c r="A75" s="98" t="s">
        <v>1734</v>
      </c>
      <c r="B75" s="98" t="str">
        <f t="shared" si="3"/>
        <v>Virginia</v>
      </c>
      <c r="C75" s="98" t="str">
        <f t="shared" si="4"/>
        <v>Norfolk City</v>
      </c>
      <c r="D75" s="103">
        <v>19575</v>
      </c>
      <c r="E75" s="104">
        <v>793</v>
      </c>
      <c r="F75" s="104"/>
      <c r="G75" s="99">
        <v>176</v>
      </c>
      <c r="H75" s="99">
        <v>22722</v>
      </c>
      <c r="I75" s="99">
        <v>1302</v>
      </c>
      <c r="J75" s="99"/>
      <c r="K75" s="100">
        <f t="shared" si="5"/>
        <v>147.95454545454544</v>
      </c>
      <c r="L75" s="105">
        <v>1489957.51</v>
      </c>
      <c r="M75" s="99">
        <v>39</v>
      </c>
      <c r="N75" s="98">
        <v>5223000</v>
      </c>
      <c r="O75" s="101">
        <v>1925</v>
      </c>
      <c r="P75" s="98"/>
      <c r="Q75" s="98" t="s">
        <v>464</v>
      </c>
      <c r="R75" s="98" t="s">
        <v>465</v>
      </c>
      <c r="S75" s="98" t="s">
        <v>466</v>
      </c>
      <c r="T75" s="98" t="s">
        <v>464</v>
      </c>
      <c r="U75" s="98" t="s">
        <v>466</v>
      </c>
      <c r="V75" s="98" t="s">
        <v>467</v>
      </c>
      <c r="W75" s="102"/>
      <c r="X75" s="102"/>
      <c r="Y75" s="98"/>
      <c r="Z75" s="98"/>
      <c r="AA75" s="98"/>
    </row>
    <row r="76" spans="1:27" x14ac:dyDescent="0.25">
      <c r="A76" s="27" t="s">
        <v>1677</v>
      </c>
      <c r="B76" s="27" t="str">
        <f t="shared" si="3"/>
        <v>Virginia</v>
      </c>
      <c r="C76" s="27" t="str">
        <f t="shared" si="4"/>
        <v>Norfolk</v>
      </c>
      <c r="D76" s="3">
        <v>5872</v>
      </c>
      <c r="E76" s="10">
        <v>185</v>
      </c>
      <c r="F76" s="10"/>
      <c r="G76" s="2">
        <v>170</v>
      </c>
      <c r="H76" s="2">
        <v>7680</v>
      </c>
      <c r="I76" s="2">
        <v>833</v>
      </c>
      <c r="J76" s="2"/>
      <c r="K76" s="89">
        <f t="shared" si="5"/>
        <v>98</v>
      </c>
      <c r="L76" s="12">
        <v>480810.88</v>
      </c>
      <c r="M76" s="2">
        <v>44</v>
      </c>
      <c r="N76" s="2">
        <v>1178725</v>
      </c>
      <c r="O76" s="41">
        <v>1925</v>
      </c>
      <c r="P76" s="27"/>
      <c r="Q76" s="27" t="s">
        <v>464</v>
      </c>
      <c r="R76" s="27" t="s">
        <v>465</v>
      </c>
      <c r="S76" s="27" t="s">
        <v>466</v>
      </c>
      <c r="T76" s="27" t="s">
        <v>464</v>
      </c>
      <c r="U76" s="27" t="s">
        <v>466</v>
      </c>
      <c r="V76" s="27" t="s">
        <v>467</v>
      </c>
      <c r="W76" s="1"/>
      <c r="X76" s="1"/>
      <c r="Y76" s="27"/>
      <c r="Z76" s="27"/>
      <c r="AA76" s="27"/>
    </row>
    <row r="77" spans="1:27" x14ac:dyDescent="0.25">
      <c r="A77" s="27" t="s">
        <v>1678</v>
      </c>
      <c r="B77" s="27" t="str">
        <f t="shared" si="3"/>
        <v>Virginia</v>
      </c>
      <c r="C77" s="27" t="str">
        <f t="shared" si="4"/>
        <v>Northampton</v>
      </c>
      <c r="D77" s="3">
        <v>2717</v>
      </c>
      <c r="E77" s="10">
        <v>126</v>
      </c>
      <c r="F77" s="10"/>
      <c r="G77" s="2">
        <v>168</v>
      </c>
      <c r="H77" s="2">
        <v>3760</v>
      </c>
      <c r="I77" s="2">
        <v>823</v>
      </c>
      <c r="J77" s="2"/>
      <c r="K77" s="89">
        <f t="shared" si="5"/>
        <v>97.976190476190467</v>
      </c>
      <c r="L77" s="12">
        <v>206314.84</v>
      </c>
      <c r="M77" s="27">
        <v>29</v>
      </c>
      <c r="N77" s="2">
        <v>481000</v>
      </c>
      <c r="O77" s="41">
        <v>1925</v>
      </c>
      <c r="P77" s="27"/>
      <c r="Q77" s="27" t="s">
        <v>464</v>
      </c>
      <c r="R77" s="27" t="s">
        <v>465</v>
      </c>
      <c r="S77" s="27" t="s">
        <v>466</v>
      </c>
      <c r="T77" s="27" t="s">
        <v>464</v>
      </c>
      <c r="U77" s="27" t="s">
        <v>466</v>
      </c>
      <c r="V77" s="27" t="s">
        <v>467</v>
      </c>
      <c r="W77" s="1"/>
      <c r="X77" s="1"/>
      <c r="Y77" s="27"/>
      <c r="Z77" s="27"/>
      <c r="AA77" s="27"/>
    </row>
    <row r="78" spans="1:27" x14ac:dyDescent="0.25">
      <c r="A78" s="27" t="s">
        <v>1679</v>
      </c>
      <c r="B78" s="27" t="str">
        <f t="shared" si="3"/>
        <v>Virginia</v>
      </c>
      <c r="C78" s="27" t="str">
        <f t="shared" si="4"/>
        <v>Northumberland</v>
      </c>
      <c r="D78" s="3">
        <v>2970</v>
      </c>
      <c r="E78" s="10">
        <v>85</v>
      </c>
      <c r="F78" s="10"/>
      <c r="G78" s="2">
        <v>146</v>
      </c>
      <c r="H78" s="2">
        <v>4113</v>
      </c>
      <c r="I78" s="2">
        <v>552</v>
      </c>
      <c r="J78" s="2"/>
      <c r="K78" s="89">
        <f t="shared" si="5"/>
        <v>75.61643835616438</v>
      </c>
      <c r="L78" s="12">
        <v>88866.13</v>
      </c>
      <c r="M78" s="27">
        <v>35</v>
      </c>
      <c r="N78" s="2">
        <v>87000</v>
      </c>
      <c r="O78" s="41">
        <v>1925</v>
      </c>
      <c r="P78" s="27"/>
      <c r="Q78" s="27" t="s">
        <v>464</v>
      </c>
      <c r="R78" s="27" t="s">
        <v>465</v>
      </c>
      <c r="S78" s="27" t="s">
        <v>466</v>
      </c>
      <c r="T78" s="27" t="s">
        <v>464</v>
      </c>
      <c r="U78" s="27" t="s">
        <v>466</v>
      </c>
      <c r="V78" s="27" t="s">
        <v>467</v>
      </c>
      <c r="W78" s="1"/>
      <c r="X78" s="1"/>
      <c r="Y78" s="27"/>
      <c r="Z78" s="27"/>
      <c r="AA78" s="27"/>
    </row>
    <row r="79" spans="1:27" x14ac:dyDescent="0.25">
      <c r="A79" s="27" t="s">
        <v>1680</v>
      </c>
      <c r="B79" s="27" t="str">
        <f t="shared" si="3"/>
        <v>Virginia</v>
      </c>
      <c r="C79" s="27" t="str">
        <f t="shared" si="4"/>
        <v>Nottoway</v>
      </c>
      <c r="D79" s="3">
        <v>2028</v>
      </c>
      <c r="E79" s="10">
        <v>116</v>
      </c>
      <c r="F79" s="10"/>
      <c r="G79" s="2">
        <v>168.86</v>
      </c>
      <c r="H79" s="2">
        <v>2681</v>
      </c>
      <c r="I79" s="2">
        <v>756</v>
      </c>
      <c r="J79" s="2"/>
      <c r="K79" s="89">
        <f t="shared" si="5"/>
        <v>89.541632121283882</v>
      </c>
      <c r="L79" s="12">
        <v>201542.27</v>
      </c>
      <c r="M79" s="27">
        <v>38</v>
      </c>
      <c r="N79" s="2">
        <v>475000</v>
      </c>
      <c r="O79" s="41">
        <v>1925</v>
      </c>
      <c r="P79" s="27"/>
      <c r="Q79" s="27" t="s">
        <v>464</v>
      </c>
      <c r="R79" s="27" t="s">
        <v>465</v>
      </c>
      <c r="S79" s="27" t="s">
        <v>466</v>
      </c>
      <c r="T79" s="27" t="s">
        <v>464</v>
      </c>
      <c r="U79" s="27" t="s">
        <v>466</v>
      </c>
      <c r="V79" s="27" t="s">
        <v>467</v>
      </c>
      <c r="W79" s="1"/>
      <c r="X79" s="1"/>
      <c r="Y79" s="27"/>
      <c r="Z79" s="27"/>
      <c r="AA79" s="27"/>
    </row>
    <row r="80" spans="1:27" x14ac:dyDescent="0.25">
      <c r="A80" s="27" t="s">
        <v>1681</v>
      </c>
      <c r="B80" s="27" t="str">
        <f t="shared" si="3"/>
        <v>Virginia</v>
      </c>
      <c r="C80" s="27" t="str">
        <f t="shared" si="4"/>
        <v>Orange</v>
      </c>
      <c r="D80" s="3">
        <v>2530</v>
      </c>
      <c r="E80" s="10">
        <v>119</v>
      </c>
      <c r="F80" s="10"/>
      <c r="G80" s="2">
        <v>151</v>
      </c>
      <c r="H80" s="2">
        <v>3245</v>
      </c>
      <c r="I80" s="2">
        <v>525</v>
      </c>
      <c r="J80" s="2"/>
      <c r="K80" s="89">
        <f t="shared" si="5"/>
        <v>69.536423841059602</v>
      </c>
      <c r="L80" s="12">
        <v>127351.79</v>
      </c>
      <c r="M80" s="27">
        <v>47</v>
      </c>
      <c r="N80" s="2">
        <v>129000</v>
      </c>
      <c r="O80" s="41">
        <v>1925</v>
      </c>
      <c r="P80" s="27"/>
      <c r="Q80" s="27" t="s">
        <v>464</v>
      </c>
      <c r="R80" s="27" t="s">
        <v>465</v>
      </c>
      <c r="S80" s="27" t="s">
        <v>466</v>
      </c>
      <c r="T80" s="27" t="s">
        <v>464</v>
      </c>
      <c r="U80" s="27" t="s">
        <v>466</v>
      </c>
      <c r="V80" s="27" t="s">
        <v>467</v>
      </c>
      <c r="W80" s="1"/>
      <c r="X80" s="1"/>
      <c r="Y80" s="27"/>
      <c r="Z80" s="27"/>
      <c r="AA80" s="27"/>
    </row>
    <row r="81" spans="1:27" x14ac:dyDescent="0.25">
      <c r="A81" s="27" t="s">
        <v>1682</v>
      </c>
      <c r="B81" s="27" t="str">
        <f t="shared" si="3"/>
        <v>Virginia</v>
      </c>
      <c r="C81" s="27" t="str">
        <f t="shared" si="4"/>
        <v>Page</v>
      </c>
      <c r="D81" s="3">
        <v>2414</v>
      </c>
      <c r="E81" s="10">
        <v>117</v>
      </c>
      <c r="F81" s="10"/>
      <c r="G81" s="2">
        <v>151</v>
      </c>
      <c r="H81" s="2">
        <v>3455</v>
      </c>
      <c r="I81" s="2">
        <v>539</v>
      </c>
      <c r="J81" s="2"/>
      <c r="K81" s="89">
        <f t="shared" si="5"/>
        <v>71.390728476821195</v>
      </c>
      <c r="L81" s="12">
        <v>113847.82</v>
      </c>
      <c r="M81" s="27">
        <v>56</v>
      </c>
      <c r="N81" s="2">
        <v>175963</v>
      </c>
      <c r="O81" s="41">
        <v>1925</v>
      </c>
      <c r="P81" s="27"/>
      <c r="Q81" s="27" t="s">
        <v>464</v>
      </c>
      <c r="R81" s="27" t="s">
        <v>465</v>
      </c>
      <c r="S81" s="27" t="s">
        <v>466</v>
      </c>
      <c r="T81" s="27" t="s">
        <v>464</v>
      </c>
      <c r="U81" s="27" t="s">
        <v>466</v>
      </c>
      <c r="V81" s="27" t="s">
        <v>467</v>
      </c>
      <c r="W81" s="1"/>
      <c r="X81" s="1"/>
      <c r="Y81" s="27"/>
      <c r="Z81" s="27"/>
      <c r="AA81" s="27"/>
    </row>
    <row r="82" spans="1:27" x14ac:dyDescent="0.25">
      <c r="A82" s="27" t="s">
        <v>1683</v>
      </c>
      <c r="B82" s="27" t="str">
        <f t="shared" si="3"/>
        <v>Virginia</v>
      </c>
      <c r="C82" s="27" t="str">
        <f t="shared" si="4"/>
        <v>Patrick</v>
      </c>
      <c r="D82" s="3">
        <v>5680</v>
      </c>
      <c r="E82" s="10">
        <v>149</v>
      </c>
      <c r="F82" s="10"/>
      <c r="G82" s="2">
        <v>148</v>
      </c>
      <c r="H82" s="2">
        <v>6414</v>
      </c>
      <c r="I82" s="2">
        <v>425</v>
      </c>
      <c r="J82" s="2"/>
      <c r="K82" s="89">
        <f t="shared" si="5"/>
        <v>57.432432432432428</v>
      </c>
      <c r="L82" s="12">
        <v>83531.039999999994</v>
      </c>
      <c r="M82" s="27">
        <v>83</v>
      </c>
      <c r="N82" s="2">
        <v>120000</v>
      </c>
      <c r="O82" s="41">
        <v>1925</v>
      </c>
      <c r="P82" s="27"/>
      <c r="Q82" s="27" t="s">
        <v>464</v>
      </c>
      <c r="R82" s="27" t="s">
        <v>465</v>
      </c>
      <c r="S82" s="27" t="s">
        <v>466</v>
      </c>
      <c r="T82" s="27" t="s">
        <v>464</v>
      </c>
      <c r="U82" s="27" t="s">
        <v>466</v>
      </c>
      <c r="V82" s="27" t="s">
        <v>467</v>
      </c>
      <c r="W82" s="1"/>
      <c r="X82" s="1"/>
      <c r="Y82" s="27"/>
      <c r="Z82" s="27"/>
      <c r="AA82" s="27"/>
    </row>
    <row r="83" spans="1:27" x14ac:dyDescent="0.25">
      <c r="A83" s="98" t="s">
        <v>1735</v>
      </c>
      <c r="B83" s="98" t="str">
        <f t="shared" si="3"/>
        <v>Virginia</v>
      </c>
      <c r="C83" s="98" t="str">
        <f t="shared" si="4"/>
        <v>Petersburg</v>
      </c>
      <c r="D83" s="103">
        <v>5000</v>
      </c>
      <c r="E83" s="104">
        <v>161</v>
      </c>
      <c r="F83" s="104"/>
      <c r="G83" s="99">
        <v>181</v>
      </c>
      <c r="H83" s="99">
        <v>5863</v>
      </c>
      <c r="I83" s="99">
        <v>1282</v>
      </c>
      <c r="J83" s="99"/>
      <c r="K83" s="100">
        <f t="shared" si="5"/>
        <v>141.6574585635359</v>
      </c>
      <c r="L83" s="105">
        <v>274899.40000000002</v>
      </c>
      <c r="M83" s="98">
        <v>10</v>
      </c>
      <c r="N83" s="99">
        <v>957640</v>
      </c>
      <c r="O83" s="101">
        <v>1925</v>
      </c>
      <c r="P83" s="98"/>
      <c r="Q83" s="98" t="s">
        <v>464</v>
      </c>
      <c r="R83" s="98" t="s">
        <v>465</v>
      </c>
      <c r="S83" s="98" t="s">
        <v>466</v>
      </c>
      <c r="T83" s="98" t="s">
        <v>464</v>
      </c>
      <c r="U83" s="98" t="s">
        <v>466</v>
      </c>
      <c r="V83" s="98" t="s">
        <v>467</v>
      </c>
      <c r="W83" s="102"/>
      <c r="X83" s="102"/>
      <c r="Y83" s="98"/>
      <c r="Z83" s="98"/>
      <c r="AA83" s="98"/>
    </row>
    <row r="84" spans="1:27" x14ac:dyDescent="0.25">
      <c r="A84" s="27" t="s">
        <v>1684</v>
      </c>
      <c r="B84" s="27" t="str">
        <f t="shared" si="3"/>
        <v>Virginia</v>
      </c>
      <c r="C84" s="27" t="str">
        <f t="shared" si="4"/>
        <v>Pittsylvania</v>
      </c>
      <c r="D84" s="3">
        <v>12263</v>
      </c>
      <c r="E84" s="10">
        <v>468</v>
      </c>
      <c r="F84" s="10"/>
      <c r="G84" s="2">
        <v>150</v>
      </c>
      <c r="H84" s="2">
        <v>17024</v>
      </c>
      <c r="I84" s="2">
        <v>580</v>
      </c>
      <c r="J84" s="2"/>
      <c r="K84" s="89">
        <f t="shared" si="5"/>
        <v>77.333333333333329</v>
      </c>
      <c r="L84" s="12">
        <v>501961.06</v>
      </c>
      <c r="M84" s="27">
        <v>197</v>
      </c>
      <c r="N84" s="2">
        <v>887500</v>
      </c>
      <c r="O84" s="41">
        <v>1925</v>
      </c>
      <c r="P84" s="27"/>
      <c r="Q84" s="27" t="s">
        <v>464</v>
      </c>
      <c r="R84" s="27" t="s">
        <v>465</v>
      </c>
      <c r="S84" s="27" t="s">
        <v>466</v>
      </c>
      <c r="T84" s="27" t="s">
        <v>464</v>
      </c>
      <c r="U84" s="27" t="s">
        <v>466</v>
      </c>
      <c r="V84" s="27" t="s">
        <v>467</v>
      </c>
      <c r="W84" s="1"/>
      <c r="X84" s="1"/>
      <c r="Y84" s="27"/>
      <c r="Z84" s="27"/>
      <c r="AA84" s="27"/>
    </row>
    <row r="85" spans="1:27" x14ac:dyDescent="0.25">
      <c r="A85" s="98" t="s">
        <v>1736</v>
      </c>
      <c r="B85" s="98" t="str">
        <f t="shared" si="3"/>
        <v>Virginia</v>
      </c>
      <c r="C85" s="98" t="str">
        <f t="shared" si="4"/>
        <v>Portsmouth</v>
      </c>
      <c r="D85" s="103">
        <v>8031</v>
      </c>
      <c r="E85" s="104">
        <v>254</v>
      </c>
      <c r="F85" s="104"/>
      <c r="G85" s="99">
        <v>182</v>
      </c>
      <c r="H85" s="99">
        <v>9468</v>
      </c>
      <c r="I85" s="99">
        <v>1264</v>
      </c>
      <c r="J85" s="99"/>
      <c r="K85" s="100">
        <f t="shared" si="5"/>
        <v>138.90109890109892</v>
      </c>
      <c r="L85" s="105">
        <v>505210.08</v>
      </c>
      <c r="M85" s="98">
        <v>21</v>
      </c>
      <c r="N85" s="99">
        <v>1376700</v>
      </c>
      <c r="O85" s="101">
        <v>1925</v>
      </c>
      <c r="P85" s="98"/>
      <c r="Q85" s="98" t="s">
        <v>464</v>
      </c>
      <c r="R85" s="98" t="s">
        <v>465</v>
      </c>
      <c r="S85" s="98" t="s">
        <v>466</v>
      </c>
      <c r="T85" s="98" t="s">
        <v>464</v>
      </c>
      <c r="U85" s="98" t="s">
        <v>466</v>
      </c>
      <c r="V85" s="98" t="s">
        <v>467</v>
      </c>
      <c r="W85" s="102"/>
      <c r="X85" s="102"/>
      <c r="Y85" s="98"/>
      <c r="Z85" s="98"/>
      <c r="AA85" s="98"/>
    </row>
    <row r="86" spans="1:27" x14ac:dyDescent="0.25">
      <c r="A86" s="27" t="s">
        <v>1685</v>
      </c>
      <c r="B86" s="27" t="str">
        <f t="shared" si="3"/>
        <v>Virginia</v>
      </c>
      <c r="C86" s="27" t="str">
        <f t="shared" si="4"/>
        <v>Powhatan</v>
      </c>
      <c r="D86" s="3">
        <v>1029</v>
      </c>
      <c r="E86" s="10">
        <v>45</v>
      </c>
      <c r="F86" s="10"/>
      <c r="G86" s="2">
        <v>132</v>
      </c>
      <c r="H86" s="2">
        <v>1499</v>
      </c>
      <c r="I86" s="2">
        <v>461</v>
      </c>
      <c r="J86" s="2"/>
      <c r="K86" s="89">
        <f t="shared" si="5"/>
        <v>69.848484848484858</v>
      </c>
      <c r="L86" s="12">
        <v>45133.16</v>
      </c>
      <c r="M86" s="7">
        <v>27</v>
      </c>
      <c r="N86" s="2">
        <v>96000</v>
      </c>
      <c r="O86" s="41">
        <v>1925</v>
      </c>
      <c r="P86" s="27"/>
      <c r="Q86" s="27" t="s">
        <v>464</v>
      </c>
      <c r="R86" s="27" t="s">
        <v>465</v>
      </c>
      <c r="S86" s="27" t="s">
        <v>466</v>
      </c>
      <c r="T86" s="27" t="s">
        <v>464</v>
      </c>
      <c r="U86" s="27" t="s">
        <v>466</v>
      </c>
      <c r="V86" s="27" t="s">
        <v>467</v>
      </c>
      <c r="W86" s="1"/>
      <c r="X86" s="1"/>
      <c r="Y86" s="27"/>
      <c r="Z86" s="27"/>
      <c r="AA86" s="27"/>
    </row>
    <row r="87" spans="1:27" x14ac:dyDescent="0.25">
      <c r="A87" s="27" t="s">
        <v>1686</v>
      </c>
      <c r="B87" s="27" t="str">
        <f t="shared" si="3"/>
        <v>Virginia</v>
      </c>
      <c r="C87" s="27" t="str">
        <f t="shared" si="4"/>
        <v>Prince Edward</v>
      </c>
      <c r="D87" s="3">
        <v>2512</v>
      </c>
      <c r="E87" s="10">
        <v>98</v>
      </c>
      <c r="F87" s="10"/>
      <c r="G87" s="2">
        <v>159</v>
      </c>
      <c r="H87" s="2">
        <v>3606</v>
      </c>
      <c r="I87" s="2">
        <v>655</v>
      </c>
      <c r="J87" s="2"/>
      <c r="K87" s="89">
        <f t="shared" si="5"/>
        <v>82.389937106918239</v>
      </c>
      <c r="L87" s="12">
        <v>174561.4</v>
      </c>
      <c r="M87" s="7">
        <v>50</v>
      </c>
      <c r="N87" s="2">
        <v>180000</v>
      </c>
      <c r="O87" s="41">
        <v>1925</v>
      </c>
      <c r="P87" s="27"/>
      <c r="Q87" s="27" t="s">
        <v>464</v>
      </c>
      <c r="R87" s="27" t="s">
        <v>465</v>
      </c>
      <c r="S87" s="27" t="s">
        <v>466</v>
      </c>
      <c r="T87" s="27" t="s">
        <v>464</v>
      </c>
      <c r="U87" s="27" t="s">
        <v>466</v>
      </c>
      <c r="V87" s="27" t="s">
        <v>467</v>
      </c>
      <c r="W87" s="1"/>
      <c r="X87" s="1"/>
      <c r="Y87" s="27"/>
      <c r="Z87" s="27"/>
      <c r="AA87" s="27"/>
    </row>
    <row r="88" spans="1:27" x14ac:dyDescent="0.25">
      <c r="A88" s="27" t="s">
        <v>1687</v>
      </c>
      <c r="B88" s="27" t="str">
        <f t="shared" si="3"/>
        <v>Virginia</v>
      </c>
      <c r="C88" s="27" t="str">
        <f t="shared" si="4"/>
        <v>Prince George</v>
      </c>
      <c r="D88" s="3">
        <v>1494</v>
      </c>
      <c r="E88" s="10">
        <v>70</v>
      </c>
      <c r="F88" s="10"/>
      <c r="G88" s="2">
        <v>165</v>
      </c>
      <c r="H88" s="2">
        <v>2167</v>
      </c>
      <c r="I88" s="2">
        <v>771</v>
      </c>
      <c r="J88" s="2"/>
      <c r="K88" s="89">
        <f t="shared" si="5"/>
        <v>93.454545454545453</v>
      </c>
      <c r="L88" s="12">
        <v>145278.74</v>
      </c>
      <c r="M88" s="7">
        <v>27</v>
      </c>
      <c r="N88" s="2">
        <v>142500</v>
      </c>
      <c r="O88" s="41">
        <v>1925</v>
      </c>
      <c r="P88" s="27"/>
      <c r="Q88" s="27" t="s">
        <v>464</v>
      </c>
      <c r="R88" s="27" t="s">
        <v>465</v>
      </c>
      <c r="S88" s="27" t="s">
        <v>466</v>
      </c>
      <c r="T88" s="27" t="s">
        <v>464</v>
      </c>
      <c r="U88" s="27" t="s">
        <v>466</v>
      </c>
      <c r="V88" s="27" t="s">
        <v>467</v>
      </c>
      <c r="W88" s="1"/>
      <c r="X88" s="1"/>
      <c r="Y88" s="27"/>
      <c r="Z88" s="27"/>
      <c r="AA88" s="27"/>
    </row>
    <row r="89" spans="1:27" x14ac:dyDescent="0.25">
      <c r="A89" s="27" t="s">
        <v>1688</v>
      </c>
      <c r="B89" s="27" t="str">
        <f t="shared" si="3"/>
        <v>Virginia</v>
      </c>
      <c r="C89" s="27" t="str">
        <f t="shared" si="4"/>
        <v>Princess Anne</v>
      </c>
      <c r="D89" s="3">
        <v>2373</v>
      </c>
      <c r="E89" s="37">
        <v>89</v>
      </c>
      <c r="F89" s="37"/>
      <c r="G89" s="2">
        <v>180</v>
      </c>
      <c r="H89" s="2">
        <v>3045</v>
      </c>
      <c r="I89" s="2">
        <v>701</v>
      </c>
      <c r="J89" s="2"/>
      <c r="K89" s="89">
        <f t="shared" si="5"/>
        <v>77.888888888888886</v>
      </c>
      <c r="L89" s="12">
        <v>187641.61</v>
      </c>
      <c r="M89" s="7">
        <v>31</v>
      </c>
      <c r="N89" s="2">
        <v>141000</v>
      </c>
      <c r="O89" s="41">
        <v>1925</v>
      </c>
      <c r="P89" s="27"/>
      <c r="Q89" s="27" t="s">
        <v>464</v>
      </c>
      <c r="R89" s="27" t="s">
        <v>465</v>
      </c>
      <c r="S89" s="27" t="s">
        <v>466</v>
      </c>
      <c r="T89" s="27" t="s">
        <v>464</v>
      </c>
      <c r="U89" s="27" t="s">
        <v>466</v>
      </c>
      <c r="V89" s="27" t="s">
        <v>467</v>
      </c>
      <c r="W89" s="1"/>
      <c r="X89" s="1"/>
      <c r="Y89" s="27"/>
      <c r="Z89" s="27"/>
      <c r="AA89" s="27"/>
    </row>
    <row r="90" spans="1:27" x14ac:dyDescent="0.25">
      <c r="A90" s="27" t="s">
        <v>1689</v>
      </c>
      <c r="B90" s="27" t="str">
        <f t="shared" si="3"/>
        <v>Virginia</v>
      </c>
      <c r="C90" s="27" t="str">
        <f t="shared" si="4"/>
        <v>Prince William</v>
      </c>
      <c r="D90" s="3">
        <v>1983</v>
      </c>
      <c r="E90" s="37">
        <v>94</v>
      </c>
      <c r="F90" s="37"/>
      <c r="G90" s="2">
        <v>168</v>
      </c>
      <c r="H90" s="2">
        <v>2713</v>
      </c>
      <c r="I90" s="2">
        <v>731</v>
      </c>
      <c r="J90" s="2"/>
      <c r="K90" s="89">
        <f t="shared" si="5"/>
        <v>87.023809523809518</v>
      </c>
      <c r="L90" s="12">
        <v>111028.84</v>
      </c>
      <c r="M90" s="7">
        <v>49</v>
      </c>
      <c r="N90" s="2">
        <v>121500</v>
      </c>
      <c r="O90" s="41">
        <v>1925</v>
      </c>
      <c r="P90" s="27"/>
      <c r="Q90" s="27" t="s">
        <v>464</v>
      </c>
      <c r="R90" s="27" t="s">
        <v>465</v>
      </c>
      <c r="S90" s="27" t="s">
        <v>466</v>
      </c>
      <c r="T90" s="27" t="s">
        <v>464</v>
      </c>
      <c r="U90" s="27" t="s">
        <v>466</v>
      </c>
      <c r="V90" s="27" t="s">
        <v>467</v>
      </c>
      <c r="W90" s="1"/>
      <c r="X90" s="1"/>
      <c r="Y90" s="27"/>
      <c r="Z90" s="27"/>
      <c r="AA90" s="27"/>
    </row>
    <row r="91" spans="1:27" x14ac:dyDescent="0.25">
      <c r="A91" s="27" t="s">
        <v>1690</v>
      </c>
      <c r="B91" s="27" t="str">
        <f t="shared" si="3"/>
        <v>Virginia</v>
      </c>
      <c r="C91" s="27" t="str">
        <f t="shared" si="4"/>
        <v>Pulaski</v>
      </c>
      <c r="D91" s="3">
        <v>2950</v>
      </c>
      <c r="E91" s="37">
        <v>119</v>
      </c>
      <c r="F91" s="37"/>
      <c r="G91" s="2">
        <v>164</v>
      </c>
      <c r="H91" s="29">
        <v>4079</v>
      </c>
      <c r="I91" s="29">
        <v>686</v>
      </c>
      <c r="J91" s="29"/>
      <c r="K91" s="89">
        <f t="shared" si="5"/>
        <v>83.658536585365866</v>
      </c>
      <c r="L91" s="12">
        <v>164848.31</v>
      </c>
      <c r="M91" s="7">
        <v>46</v>
      </c>
      <c r="N91" s="2">
        <v>390200</v>
      </c>
      <c r="O91" s="41">
        <v>1925</v>
      </c>
      <c r="P91" s="27"/>
      <c r="Q91" s="27" t="s">
        <v>464</v>
      </c>
      <c r="R91" s="27" t="s">
        <v>465</v>
      </c>
      <c r="S91" s="27" t="s">
        <v>466</v>
      </c>
      <c r="T91" s="27" t="s">
        <v>464</v>
      </c>
      <c r="U91" s="27" t="s">
        <v>466</v>
      </c>
      <c r="V91" s="27" t="s">
        <v>467</v>
      </c>
      <c r="W91" s="1"/>
      <c r="X91" s="1"/>
      <c r="Y91" s="27"/>
      <c r="Z91" s="27"/>
      <c r="AA91" s="27"/>
    </row>
    <row r="92" spans="1:27" x14ac:dyDescent="0.25">
      <c r="A92" s="98" t="s">
        <v>1737</v>
      </c>
      <c r="B92" s="98" t="str">
        <f t="shared" si="3"/>
        <v>Virginia</v>
      </c>
      <c r="C92" s="98" t="str">
        <f t="shared" si="4"/>
        <v>Radford</v>
      </c>
      <c r="D92" s="103">
        <v>1196</v>
      </c>
      <c r="E92" s="104">
        <v>38</v>
      </c>
      <c r="F92" s="104"/>
      <c r="G92" s="99">
        <v>179</v>
      </c>
      <c r="H92" s="99">
        <v>1486</v>
      </c>
      <c r="I92" s="99">
        <v>870</v>
      </c>
      <c r="J92" s="99"/>
      <c r="K92" s="100">
        <f t="shared" si="5"/>
        <v>97.206703910614536</v>
      </c>
      <c r="L92" s="105">
        <v>74726.100000000006</v>
      </c>
      <c r="M92" s="98">
        <v>7</v>
      </c>
      <c r="N92" s="99">
        <v>143000</v>
      </c>
      <c r="O92" s="101">
        <v>1925</v>
      </c>
      <c r="P92" s="98"/>
      <c r="Q92" s="98" t="s">
        <v>464</v>
      </c>
      <c r="R92" s="98" t="s">
        <v>465</v>
      </c>
      <c r="S92" s="98" t="s">
        <v>466</v>
      </c>
      <c r="T92" s="98" t="s">
        <v>464</v>
      </c>
      <c r="U92" s="98" t="s">
        <v>466</v>
      </c>
      <c r="V92" s="98" t="s">
        <v>467</v>
      </c>
      <c r="W92" s="102"/>
      <c r="X92" s="102"/>
      <c r="Y92" s="98"/>
      <c r="Z92" s="98"/>
      <c r="AA92" s="98"/>
    </row>
    <row r="93" spans="1:27" x14ac:dyDescent="0.25">
      <c r="A93" s="27" t="s">
        <v>1691</v>
      </c>
      <c r="B93" s="27" t="str">
        <f t="shared" si="3"/>
        <v>Virginia</v>
      </c>
      <c r="C93" s="27" t="str">
        <f t="shared" si="4"/>
        <v>Rappahannock</v>
      </c>
      <c r="D93" s="3">
        <v>1194</v>
      </c>
      <c r="E93" s="37">
        <v>62</v>
      </c>
      <c r="F93" s="37"/>
      <c r="G93" s="2">
        <v>161</v>
      </c>
      <c r="H93" s="29">
        <v>1844</v>
      </c>
      <c r="I93" s="29">
        <v>681</v>
      </c>
      <c r="J93" s="29"/>
      <c r="K93" s="89">
        <f t="shared" si="5"/>
        <v>84.596273291925456</v>
      </c>
      <c r="L93" s="12">
        <v>55623.01</v>
      </c>
      <c r="M93" s="7">
        <v>36</v>
      </c>
      <c r="N93" s="2">
        <v>138200</v>
      </c>
      <c r="O93" s="41">
        <v>1925</v>
      </c>
      <c r="P93" s="27"/>
      <c r="Q93" s="27" t="s">
        <v>464</v>
      </c>
      <c r="R93" s="27" t="s">
        <v>465</v>
      </c>
      <c r="S93" s="27" t="s">
        <v>466</v>
      </c>
      <c r="T93" s="27" t="s">
        <v>464</v>
      </c>
      <c r="U93" s="27" t="s">
        <v>466</v>
      </c>
      <c r="V93" s="27" t="s">
        <v>467</v>
      </c>
      <c r="W93" s="1"/>
      <c r="X93" s="1"/>
      <c r="Y93" s="27"/>
      <c r="Z93" s="27"/>
      <c r="AA93" s="27"/>
    </row>
    <row r="94" spans="1:27" x14ac:dyDescent="0.25">
      <c r="A94" s="98" t="s">
        <v>1738</v>
      </c>
      <c r="B94" s="98" t="str">
        <f t="shared" si="3"/>
        <v>Virginia</v>
      </c>
      <c r="C94" s="98" t="str">
        <f t="shared" si="4"/>
        <v>Richmond City</v>
      </c>
      <c r="D94" s="103">
        <v>27249</v>
      </c>
      <c r="E94" s="104">
        <v>915</v>
      </c>
      <c r="F94" s="104"/>
      <c r="G94" s="99">
        <v>180</v>
      </c>
      <c r="H94" s="99">
        <v>34084</v>
      </c>
      <c r="I94" s="99">
        <v>1434</v>
      </c>
      <c r="J94" s="99"/>
      <c r="K94" s="100">
        <f t="shared" si="5"/>
        <v>159.33333333333334</v>
      </c>
      <c r="L94" s="105">
        <v>2385784.5099999998</v>
      </c>
      <c r="M94" s="98">
        <v>44</v>
      </c>
      <c r="N94" s="99">
        <v>6386889</v>
      </c>
      <c r="O94" s="101">
        <v>1925</v>
      </c>
      <c r="P94" s="98"/>
      <c r="Q94" s="98" t="s">
        <v>464</v>
      </c>
      <c r="R94" s="98" t="s">
        <v>465</v>
      </c>
      <c r="S94" s="98" t="s">
        <v>466</v>
      </c>
      <c r="T94" s="98" t="s">
        <v>464</v>
      </c>
      <c r="U94" s="98" t="s">
        <v>466</v>
      </c>
      <c r="V94" s="98" t="s">
        <v>467</v>
      </c>
      <c r="W94" s="102"/>
      <c r="X94" s="102"/>
      <c r="Y94" s="98"/>
      <c r="Z94" s="98"/>
      <c r="AA94" s="98"/>
    </row>
    <row r="95" spans="1:27" x14ac:dyDescent="0.25">
      <c r="A95" s="7" t="s">
        <v>1692</v>
      </c>
      <c r="B95" s="7" t="str">
        <f t="shared" si="3"/>
        <v>Virginia</v>
      </c>
      <c r="C95" s="7" t="str">
        <f t="shared" si="4"/>
        <v>Richmond</v>
      </c>
      <c r="D95" s="38">
        <v>1693</v>
      </c>
      <c r="E95" s="37">
        <v>55</v>
      </c>
      <c r="F95" s="37"/>
      <c r="G95" s="29">
        <v>145</v>
      </c>
      <c r="H95" s="29">
        <v>2006</v>
      </c>
      <c r="I95" s="29">
        <v>560</v>
      </c>
      <c r="J95" s="29"/>
      <c r="K95" s="89">
        <f t="shared" si="5"/>
        <v>77.241379310344826</v>
      </c>
      <c r="L95" s="106">
        <v>39936.07</v>
      </c>
      <c r="M95" s="7">
        <v>32</v>
      </c>
      <c r="N95" s="29">
        <v>108000</v>
      </c>
      <c r="O95" s="82">
        <v>1925</v>
      </c>
      <c r="P95" s="7"/>
      <c r="Q95" s="7" t="s">
        <v>464</v>
      </c>
      <c r="R95" s="7" t="s">
        <v>465</v>
      </c>
      <c r="S95" s="7" t="s">
        <v>466</v>
      </c>
      <c r="T95" s="7" t="s">
        <v>464</v>
      </c>
      <c r="U95" s="7" t="s">
        <v>466</v>
      </c>
      <c r="V95" s="7" t="s">
        <v>467</v>
      </c>
      <c r="W95" s="36"/>
      <c r="X95" s="36"/>
      <c r="Y95" s="7"/>
      <c r="Z95" s="7"/>
      <c r="AA95" s="7"/>
    </row>
    <row r="96" spans="1:27" x14ac:dyDescent="0.25">
      <c r="A96" s="98" t="s">
        <v>1739</v>
      </c>
      <c r="B96" s="98" t="str">
        <f t="shared" si="3"/>
        <v>Virginia</v>
      </c>
      <c r="C96" s="98" t="str">
        <f t="shared" si="4"/>
        <v>Roanoke City</v>
      </c>
      <c r="D96" s="103">
        <v>10952</v>
      </c>
      <c r="E96" s="104">
        <v>383</v>
      </c>
      <c r="F96" s="104"/>
      <c r="G96" s="99">
        <v>180</v>
      </c>
      <c r="H96" s="99">
        <v>13209</v>
      </c>
      <c r="I96" s="99">
        <v>1203</v>
      </c>
      <c r="J96" s="99"/>
      <c r="K96" s="100">
        <f t="shared" si="5"/>
        <v>133.66666666666666</v>
      </c>
      <c r="L96" s="105">
        <v>824561.79</v>
      </c>
      <c r="M96" s="98">
        <v>18</v>
      </c>
      <c r="N96" s="99">
        <v>2150000</v>
      </c>
      <c r="O96" s="101">
        <v>1925</v>
      </c>
      <c r="P96" s="98"/>
      <c r="Q96" s="98" t="s">
        <v>464</v>
      </c>
      <c r="R96" s="98" t="s">
        <v>465</v>
      </c>
      <c r="S96" s="98" t="s">
        <v>466</v>
      </c>
      <c r="T96" s="98" t="s">
        <v>464</v>
      </c>
      <c r="U96" s="98" t="s">
        <v>466</v>
      </c>
      <c r="V96" s="98" t="s">
        <v>467</v>
      </c>
      <c r="W96" s="102"/>
      <c r="X96" s="102"/>
      <c r="Y96" s="98"/>
      <c r="Z96" s="98"/>
      <c r="AA96" s="98"/>
    </row>
    <row r="97" spans="1:27" x14ac:dyDescent="0.25">
      <c r="A97" s="27" t="s">
        <v>1693</v>
      </c>
      <c r="B97" s="27" t="str">
        <f t="shared" si="3"/>
        <v>Virginia</v>
      </c>
      <c r="C97" s="27" t="str">
        <f t="shared" si="4"/>
        <v>Roanoke</v>
      </c>
      <c r="D97" s="38">
        <v>4718</v>
      </c>
      <c r="E97" s="37">
        <v>169</v>
      </c>
      <c r="F97" s="37"/>
      <c r="G97" s="2">
        <v>174</v>
      </c>
      <c r="H97" s="29">
        <v>6129</v>
      </c>
      <c r="I97" s="29">
        <v>755</v>
      </c>
      <c r="J97" s="29"/>
      <c r="K97" s="89">
        <f t="shared" si="5"/>
        <v>86.781609195402311</v>
      </c>
      <c r="L97" s="12">
        <v>280805.42</v>
      </c>
      <c r="M97" s="7">
        <v>55</v>
      </c>
      <c r="N97" s="2">
        <v>630000</v>
      </c>
      <c r="O97" s="41">
        <v>1925</v>
      </c>
      <c r="P97" s="27"/>
      <c r="Q97" s="27" t="s">
        <v>464</v>
      </c>
      <c r="R97" s="27" t="s">
        <v>465</v>
      </c>
      <c r="S97" s="27" t="s">
        <v>466</v>
      </c>
      <c r="T97" s="27" t="s">
        <v>464</v>
      </c>
      <c r="U97" s="27" t="s">
        <v>466</v>
      </c>
      <c r="V97" s="27" t="s">
        <v>467</v>
      </c>
      <c r="W97" s="1"/>
      <c r="X97" s="1"/>
      <c r="Y97" s="27"/>
      <c r="Z97" s="27"/>
      <c r="AA97" s="27"/>
    </row>
    <row r="98" spans="1:27" x14ac:dyDescent="0.25">
      <c r="A98" s="27" t="s">
        <v>1694</v>
      </c>
      <c r="B98" s="27" t="str">
        <f t="shared" si="3"/>
        <v>Virginia</v>
      </c>
      <c r="C98" s="27" t="str">
        <f t="shared" si="4"/>
        <v>Rockbridge</v>
      </c>
      <c r="D98" s="38">
        <v>3352</v>
      </c>
      <c r="E98" s="37">
        <v>172</v>
      </c>
      <c r="F98" s="37"/>
      <c r="G98" s="2">
        <v>162</v>
      </c>
      <c r="H98" s="29">
        <v>4736</v>
      </c>
      <c r="I98" s="29">
        <v>631</v>
      </c>
      <c r="J98" s="29"/>
      <c r="K98" s="89">
        <f t="shared" si="5"/>
        <v>77.901234567901241</v>
      </c>
      <c r="L98" s="12">
        <v>186532.41</v>
      </c>
      <c r="M98" s="7">
        <v>85</v>
      </c>
      <c r="N98" s="2">
        <v>192078</v>
      </c>
      <c r="O98" s="41">
        <v>1925</v>
      </c>
      <c r="P98" s="27"/>
      <c r="Q98" s="27" t="s">
        <v>464</v>
      </c>
      <c r="R98" s="27" t="s">
        <v>465</v>
      </c>
      <c r="S98" s="27" t="s">
        <v>466</v>
      </c>
      <c r="T98" s="27" t="s">
        <v>464</v>
      </c>
      <c r="U98" s="27" t="s">
        <v>466</v>
      </c>
      <c r="V98" s="27" t="s">
        <v>467</v>
      </c>
      <c r="W98" s="1"/>
      <c r="X98" s="1"/>
      <c r="Y98" s="27"/>
      <c r="Z98" s="27"/>
      <c r="AA98" s="27"/>
    </row>
    <row r="99" spans="1:27" x14ac:dyDescent="0.25">
      <c r="A99" s="27" t="s">
        <v>1695</v>
      </c>
      <c r="B99" s="27" t="str">
        <f t="shared" si="3"/>
        <v>Virginia</v>
      </c>
      <c r="C99" s="27" t="str">
        <f t="shared" si="4"/>
        <v>Rockingham</v>
      </c>
      <c r="D99" s="38">
        <v>5733</v>
      </c>
      <c r="E99" s="37">
        <v>275</v>
      </c>
      <c r="F99" s="37"/>
      <c r="G99" s="2">
        <v>159</v>
      </c>
      <c r="H99" s="29">
        <v>7680</v>
      </c>
      <c r="I99" s="29">
        <v>587</v>
      </c>
      <c r="J99" s="29"/>
      <c r="K99" s="89">
        <f t="shared" si="5"/>
        <v>73.836477987421375</v>
      </c>
      <c r="L99" s="12">
        <v>256993.65</v>
      </c>
      <c r="M99" s="7">
        <v>121</v>
      </c>
      <c r="N99" s="2">
        <v>530000</v>
      </c>
      <c r="O99" s="41">
        <v>1925</v>
      </c>
      <c r="P99" s="27"/>
      <c r="Q99" s="27" t="s">
        <v>464</v>
      </c>
      <c r="R99" s="27" t="s">
        <v>465</v>
      </c>
      <c r="S99" s="27" t="s">
        <v>466</v>
      </c>
      <c r="T99" s="27" t="s">
        <v>464</v>
      </c>
      <c r="U99" s="27" t="s">
        <v>466</v>
      </c>
      <c r="V99" s="27" t="s">
        <v>467</v>
      </c>
      <c r="W99" s="1"/>
      <c r="X99" s="1"/>
      <c r="Y99" s="27"/>
      <c r="Z99" s="27"/>
      <c r="AA99" s="27"/>
    </row>
    <row r="100" spans="1:27" x14ac:dyDescent="0.25">
      <c r="A100" s="27" t="s">
        <v>1696</v>
      </c>
      <c r="B100" s="27" t="str">
        <f t="shared" si="3"/>
        <v>Virginia</v>
      </c>
      <c r="C100" s="27" t="str">
        <f t="shared" si="4"/>
        <v>Russell</v>
      </c>
      <c r="D100" s="38">
        <v>5335</v>
      </c>
      <c r="E100" s="37">
        <v>186</v>
      </c>
      <c r="F100" s="37"/>
      <c r="G100" s="2">
        <v>156.4</v>
      </c>
      <c r="H100" s="29">
        <v>7939</v>
      </c>
      <c r="I100" s="29">
        <v>690</v>
      </c>
      <c r="J100" s="29"/>
      <c r="K100" s="89">
        <f t="shared" si="5"/>
        <v>88.235294117647058</v>
      </c>
      <c r="L100" s="12">
        <v>389163</v>
      </c>
      <c r="M100" s="7">
        <v>93</v>
      </c>
      <c r="N100" s="2">
        <v>349500</v>
      </c>
      <c r="O100" s="41">
        <v>1925</v>
      </c>
      <c r="P100" s="27"/>
      <c r="Q100" s="27" t="s">
        <v>464</v>
      </c>
      <c r="R100" s="27" t="s">
        <v>465</v>
      </c>
      <c r="S100" s="27" t="s">
        <v>466</v>
      </c>
      <c r="T100" s="27" t="s">
        <v>464</v>
      </c>
      <c r="U100" s="27" t="s">
        <v>466</v>
      </c>
      <c r="V100" s="27" t="s">
        <v>467</v>
      </c>
      <c r="W100" s="1"/>
      <c r="X100" s="1"/>
      <c r="Y100" s="27"/>
      <c r="Z100" s="27"/>
      <c r="AA100" s="27"/>
    </row>
    <row r="101" spans="1:27" x14ac:dyDescent="0.25">
      <c r="A101" s="27" t="s">
        <v>1697</v>
      </c>
      <c r="B101" s="27" t="str">
        <f t="shared" si="3"/>
        <v>Virginia</v>
      </c>
      <c r="C101" s="27" t="str">
        <f t="shared" si="4"/>
        <v>Scott</v>
      </c>
      <c r="D101" s="38">
        <v>8550</v>
      </c>
      <c r="E101" s="37">
        <v>160</v>
      </c>
      <c r="F101" s="37"/>
      <c r="G101" s="2">
        <v>135</v>
      </c>
      <c r="H101" s="29">
        <v>9045</v>
      </c>
      <c r="I101" s="29">
        <v>740</v>
      </c>
      <c r="J101" s="29"/>
      <c r="K101" s="89">
        <f t="shared" si="5"/>
        <v>109.62962962962963</v>
      </c>
      <c r="L101" s="12">
        <v>183446.32</v>
      </c>
      <c r="M101" s="7">
        <v>66</v>
      </c>
      <c r="N101" s="2">
        <v>534000</v>
      </c>
      <c r="O101" s="41">
        <v>1925</v>
      </c>
      <c r="P101" s="27"/>
      <c r="Q101" s="27" t="s">
        <v>464</v>
      </c>
      <c r="R101" s="27" t="s">
        <v>465</v>
      </c>
      <c r="S101" s="27" t="s">
        <v>466</v>
      </c>
      <c r="T101" s="27" t="s">
        <v>464</v>
      </c>
      <c r="U101" s="27" t="s">
        <v>466</v>
      </c>
      <c r="V101" s="27" t="s">
        <v>467</v>
      </c>
      <c r="W101" s="1"/>
      <c r="X101" s="1"/>
      <c r="Y101" s="27"/>
      <c r="Z101" s="27"/>
      <c r="AA101" s="27"/>
    </row>
    <row r="102" spans="1:27" x14ac:dyDescent="0.25">
      <c r="A102" s="27" t="s">
        <v>1698</v>
      </c>
      <c r="B102" s="27" t="str">
        <f t="shared" si="3"/>
        <v>Virginia</v>
      </c>
      <c r="C102" s="27" t="str">
        <f t="shared" si="4"/>
        <v>Shenandoah</v>
      </c>
      <c r="D102" s="38">
        <v>3688</v>
      </c>
      <c r="E102" s="37">
        <v>160</v>
      </c>
      <c r="F102" s="37"/>
      <c r="G102" s="2">
        <v>154</v>
      </c>
      <c r="H102" s="29">
        <v>4801</v>
      </c>
      <c r="I102" s="29">
        <v>576</v>
      </c>
      <c r="J102" s="29"/>
      <c r="K102" s="89">
        <f t="shared" si="5"/>
        <v>74.805194805194802</v>
      </c>
      <c r="L102" s="12">
        <v>161307.04999999999</v>
      </c>
      <c r="M102" s="7">
        <v>80</v>
      </c>
      <c r="N102" s="2">
        <v>349000</v>
      </c>
      <c r="O102" s="41">
        <v>1925</v>
      </c>
      <c r="P102" s="27"/>
      <c r="Q102" s="27" t="s">
        <v>464</v>
      </c>
      <c r="R102" s="27" t="s">
        <v>465</v>
      </c>
      <c r="S102" s="27" t="s">
        <v>466</v>
      </c>
      <c r="T102" s="27" t="s">
        <v>464</v>
      </c>
      <c r="U102" s="27" t="s">
        <v>466</v>
      </c>
      <c r="V102" s="27" t="s">
        <v>467</v>
      </c>
      <c r="W102" s="1"/>
      <c r="X102" s="1"/>
      <c r="Y102" s="27"/>
      <c r="Z102" s="27"/>
      <c r="AA102" s="27"/>
    </row>
    <row r="103" spans="1:27" x14ac:dyDescent="0.25">
      <c r="A103" s="27" t="s">
        <v>1699</v>
      </c>
      <c r="B103" s="27" t="str">
        <f t="shared" si="3"/>
        <v>Virginia</v>
      </c>
      <c r="C103" s="27" t="str">
        <f t="shared" si="4"/>
        <v>Smyth</v>
      </c>
      <c r="D103" s="38">
        <v>4406</v>
      </c>
      <c r="E103" s="37">
        <v>172</v>
      </c>
      <c r="F103" s="37"/>
      <c r="G103" s="2">
        <v>161</v>
      </c>
      <c r="H103" s="29">
        <v>6324</v>
      </c>
      <c r="I103" s="29">
        <v>681</v>
      </c>
      <c r="J103" s="29"/>
      <c r="K103" s="89">
        <f t="shared" si="5"/>
        <v>84.596273291925456</v>
      </c>
      <c r="L103" s="12">
        <v>145139.28</v>
      </c>
      <c r="M103" s="7">
        <v>69</v>
      </c>
      <c r="N103" s="2">
        <v>183000</v>
      </c>
      <c r="O103" s="41">
        <v>1925</v>
      </c>
      <c r="P103" s="27"/>
      <c r="Q103" s="27" t="s">
        <v>464</v>
      </c>
      <c r="R103" s="27" t="s">
        <v>465</v>
      </c>
      <c r="S103" s="27" t="s">
        <v>466</v>
      </c>
      <c r="T103" s="27" t="s">
        <v>464</v>
      </c>
      <c r="U103" s="27" t="s">
        <v>466</v>
      </c>
      <c r="V103" s="27" t="s">
        <v>467</v>
      </c>
      <c r="W103" s="1"/>
      <c r="X103" s="1"/>
      <c r="Y103" s="27"/>
      <c r="Z103" s="27"/>
      <c r="AA103" s="27"/>
    </row>
    <row r="104" spans="1:27" x14ac:dyDescent="0.25">
      <c r="A104" s="27" t="s">
        <v>1700</v>
      </c>
      <c r="B104" s="27" t="str">
        <f t="shared" si="3"/>
        <v>Virginia</v>
      </c>
      <c r="C104" s="27" t="str">
        <f t="shared" si="4"/>
        <v>Southampton</v>
      </c>
      <c r="D104" s="38">
        <v>4027</v>
      </c>
      <c r="E104" s="37">
        <v>195</v>
      </c>
      <c r="F104" s="37"/>
      <c r="G104" s="2">
        <v>157</v>
      </c>
      <c r="H104" s="29">
        <v>7093</v>
      </c>
      <c r="I104" s="29">
        <v>591</v>
      </c>
      <c r="J104" s="29"/>
      <c r="K104" s="89">
        <f t="shared" si="5"/>
        <v>75.28662420382166</v>
      </c>
      <c r="L104" s="12">
        <v>279013.08</v>
      </c>
      <c r="M104" s="7">
        <v>92</v>
      </c>
      <c r="N104" s="2">
        <v>414775</v>
      </c>
      <c r="O104" s="41">
        <v>1925</v>
      </c>
      <c r="P104" s="27"/>
      <c r="Q104" s="27" t="s">
        <v>464</v>
      </c>
      <c r="R104" s="27" t="s">
        <v>465</v>
      </c>
      <c r="S104" s="27" t="s">
        <v>466</v>
      </c>
      <c r="T104" s="27" t="s">
        <v>464</v>
      </c>
      <c r="U104" s="27" t="s">
        <v>466</v>
      </c>
      <c r="V104" s="27" t="s">
        <v>467</v>
      </c>
      <c r="W104" s="1"/>
      <c r="X104" s="1"/>
      <c r="Y104" s="27"/>
      <c r="Z104" s="27"/>
      <c r="AA104" s="27"/>
    </row>
    <row r="105" spans="1:27" x14ac:dyDescent="0.25">
      <c r="A105" s="27" t="s">
        <v>1701</v>
      </c>
      <c r="B105" s="27" t="str">
        <f t="shared" si="3"/>
        <v>Virginia</v>
      </c>
      <c r="C105" s="27" t="str">
        <f t="shared" si="4"/>
        <v>Spotsylvania</v>
      </c>
      <c r="D105" s="38">
        <v>1897</v>
      </c>
      <c r="E105" s="37">
        <v>80</v>
      </c>
      <c r="F105" s="37"/>
      <c r="G105" s="2">
        <v>159.19999999999999</v>
      </c>
      <c r="H105" s="29">
        <v>2598</v>
      </c>
      <c r="I105" s="29">
        <v>524</v>
      </c>
      <c r="J105" s="29"/>
      <c r="K105" s="89">
        <f t="shared" si="5"/>
        <v>65.829145728643226</v>
      </c>
      <c r="L105" s="12">
        <v>58097.11</v>
      </c>
      <c r="M105" s="7">
        <v>42</v>
      </c>
      <c r="N105" s="2">
        <v>102000</v>
      </c>
      <c r="O105" s="41">
        <v>1925</v>
      </c>
      <c r="P105" s="27"/>
      <c r="Q105" s="27" t="s">
        <v>464</v>
      </c>
      <c r="R105" s="27" t="s">
        <v>465</v>
      </c>
      <c r="S105" s="27" t="s">
        <v>466</v>
      </c>
      <c r="T105" s="27" t="s">
        <v>464</v>
      </c>
      <c r="U105" s="27" t="s">
        <v>466</v>
      </c>
      <c r="V105" s="27" t="s">
        <v>467</v>
      </c>
      <c r="W105" s="1"/>
      <c r="X105" s="1"/>
      <c r="Y105" s="27"/>
      <c r="Z105" s="27"/>
      <c r="AA105" s="27"/>
    </row>
    <row r="106" spans="1:27" x14ac:dyDescent="0.25">
      <c r="A106" s="27" t="s">
        <v>1702</v>
      </c>
      <c r="B106" s="27" t="str">
        <f t="shared" si="3"/>
        <v>Virginia</v>
      </c>
      <c r="C106" s="27" t="str">
        <f t="shared" si="4"/>
        <v>Stafford</v>
      </c>
      <c r="D106" s="38">
        <v>1099</v>
      </c>
      <c r="E106" s="37">
        <v>58</v>
      </c>
      <c r="F106" s="37"/>
      <c r="G106" s="2">
        <v>143</v>
      </c>
      <c r="H106" s="29">
        <v>1526</v>
      </c>
      <c r="I106" s="29">
        <v>532</v>
      </c>
      <c r="J106" s="29"/>
      <c r="K106" s="89">
        <f t="shared" si="5"/>
        <v>74.4055944055944</v>
      </c>
      <c r="L106" s="12">
        <v>49502.1</v>
      </c>
      <c r="M106" s="7">
        <v>39</v>
      </c>
      <c r="N106" s="2">
        <v>69200</v>
      </c>
      <c r="O106" s="41">
        <v>1925</v>
      </c>
      <c r="P106" s="27"/>
      <c r="Q106" s="27" t="s">
        <v>464</v>
      </c>
      <c r="R106" s="27" t="s">
        <v>465</v>
      </c>
      <c r="S106" s="27" t="s">
        <v>466</v>
      </c>
      <c r="T106" s="27" t="s">
        <v>464</v>
      </c>
      <c r="U106" s="27" t="s">
        <v>466</v>
      </c>
      <c r="V106" s="27" t="s">
        <v>467</v>
      </c>
      <c r="W106" s="1"/>
      <c r="X106" s="1"/>
      <c r="Y106" s="27"/>
      <c r="Z106" s="27"/>
      <c r="AA106" s="27"/>
    </row>
    <row r="107" spans="1:27" x14ac:dyDescent="0.25">
      <c r="A107" s="98" t="s">
        <v>1741</v>
      </c>
      <c r="B107" s="98" t="str">
        <f t="shared" si="3"/>
        <v>Virginia</v>
      </c>
      <c r="C107" s="98" t="str">
        <f t="shared" si="4"/>
        <v>Staunton</v>
      </c>
      <c r="D107" s="103">
        <v>1421</v>
      </c>
      <c r="E107" s="104">
        <v>51</v>
      </c>
      <c r="F107" s="104"/>
      <c r="G107" s="99">
        <v>186</v>
      </c>
      <c r="H107" s="99">
        <v>1668</v>
      </c>
      <c r="I107" s="99">
        <v>1090</v>
      </c>
      <c r="J107" s="99"/>
      <c r="K107" s="100">
        <f t="shared" si="5"/>
        <v>117.2043010752688</v>
      </c>
      <c r="L107" s="105">
        <v>78721.73</v>
      </c>
      <c r="M107" s="98">
        <v>5</v>
      </c>
      <c r="N107" s="99">
        <v>180500</v>
      </c>
      <c r="O107" s="101">
        <v>1925</v>
      </c>
      <c r="P107" s="98"/>
      <c r="Q107" s="98" t="s">
        <v>464</v>
      </c>
      <c r="R107" s="98" t="s">
        <v>465</v>
      </c>
      <c r="S107" s="98" t="s">
        <v>466</v>
      </c>
      <c r="T107" s="98" t="s">
        <v>464</v>
      </c>
      <c r="U107" s="98" t="s">
        <v>466</v>
      </c>
      <c r="V107" s="98" t="s">
        <v>467</v>
      </c>
      <c r="W107" s="102"/>
      <c r="X107" s="102"/>
      <c r="Y107" s="98"/>
      <c r="Z107" s="98"/>
      <c r="AA107" s="98"/>
    </row>
    <row r="108" spans="1:27" x14ac:dyDescent="0.25">
      <c r="A108" s="27" t="s">
        <v>1703</v>
      </c>
      <c r="B108" s="27" t="str">
        <f t="shared" si="3"/>
        <v>Virginia</v>
      </c>
      <c r="C108" s="27" t="str">
        <f t="shared" si="4"/>
        <v>Surry</v>
      </c>
      <c r="D108" s="38">
        <v>1710</v>
      </c>
      <c r="E108" s="37">
        <v>73</v>
      </c>
      <c r="F108" s="37"/>
      <c r="G108" s="2">
        <v>150</v>
      </c>
      <c r="H108" s="29">
        <v>2552</v>
      </c>
      <c r="I108" s="29">
        <v>566</v>
      </c>
      <c r="J108" s="29"/>
      <c r="K108" s="89">
        <f t="shared" si="5"/>
        <v>75.466666666666669</v>
      </c>
      <c r="L108" s="12">
        <v>77172.58</v>
      </c>
      <c r="M108" s="7">
        <v>36</v>
      </c>
      <c r="N108" s="2">
        <v>115000</v>
      </c>
      <c r="O108" s="41">
        <v>1925</v>
      </c>
      <c r="P108" s="27"/>
      <c r="Q108" s="27" t="s">
        <v>464</v>
      </c>
      <c r="R108" s="27" t="s">
        <v>465</v>
      </c>
      <c r="S108" s="27" t="s">
        <v>466</v>
      </c>
      <c r="T108" s="27" t="s">
        <v>464</v>
      </c>
      <c r="U108" s="27" t="s">
        <v>466</v>
      </c>
      <c r="V108" s="27" t="s">
        <v>467</v>
      </c>
      <c r="W108" s="1"/>
      <c r="X108" s="1"/>
      <c r="Y108" s="27"/>
      <c r="Z108" s="27"/>
      <c r="AA108" s="27"/>
    </row>
    <row r="109" spans="1:27" x14ac:dyDescent="0.25">
      <c r="A109" s="27" t="s">
        <v>1704</v>
      </c>
      <c r="B109" s="27" t="str">
        <f t="shared" si="3"/>
        <v>Virginia</v>
      </c>
      <c r="C109" s="27" t="str">
        <f t="shared" si="4"/>
        <v>Sussex</v>
      </c>
      <c r="D109" s="38">
        <v>2114</v>
      </c>
      <c r="E109" s="37">
        <v>89</v>
      </c>
      <c r="F109" s="37"/>
      <c r="G109" s="2">
        <v>167</v>
      </c>
      <c r="H109" s="29">
        <v>3395</v>
      </c>
      <c r="I109" s="29">
        <v>749</v>
      </c>
      <c r="J109" s="29"/>
      <c r="K109" s="89">
        <f t="shared" si="5"/>
        <v>89.70059880239522</v>
      </c>
      <c r="L109" s="12">
        <v>119629.67</v>
      </c>
      <c r="M109" s="7">
        <v>31</v>
      </c>
      <c r="N109" s="2">
        <v>235248</v>
      </c>
      <c r="O109" s="41">
        <v>1925</v>
      </c>
      <c r="P109" s="27"/>
      <c r="Q109" s="27" t="s">
        <v>464</v>
      </c>
      <c r="R109" s="27" t="s">
        <v>465</v>
      </c>
      <c r="S109" s="27" t="s">
        <v>466</v>
      </c>
      <c r="T109" s="27" t="s">
        <v>464</v>
      </c>
      <c r="U109" s="27" t="s">
        <v>466</v>
      </c>
      <c r="V109" s="27" t="s">
        <v>467</v>
      </c>
      <c r="W109" s="1"/>
      <c r="X109" s="1"/>
      <c r="Y109" s="27"/>
      <c r="Z109" s="27"/>
      <c r="AA109" s="27"/>
    </row>
    <row r="110" spans="1:27" x14ac:dyDescent="0.25">
      <c r="A110" s="27" t="s">
        <v>1705</v>
      </c>
      <c r="B110" s="27" t="str">
        <f t="shared" si="3"/>
        <v>Virginia</v>
      </c>
      <c r="C110" s="27" t="str">
        <f t="shared" si="4"/>
        <v>Tazewell</v>
      </c>
      <c r="D110" s="38">
        <v>5537</v>
      </c>
      <c r="E110" s="37">
        <v>223</v>
      </c>
      <c r="F110" s="37"/>
      <c r="G110" s="2">
        <v>156</v>
      </c>
      <c r="H110" s="29">
        <v>8018</v>
      </c>
      <c r="I110" s="29">
        <v>747</v>
      </c>
      <c r="J110" s="29"/>
      <c r="K110" s="89">
        <f t="shared" si="5"/>
        <v>95.769230769230774</v>
      </c>
      <c r="L110" s="12">
        <v>251809.99</v>
      </c>
      <c r="M110" s="7">
        <v>81</v>
      </c>
      <c r="N110" s="2">
        <v>500000</v>
      </c>
      <c r="O110" s="41">
        <v>1925</v>
      </c>
      <c r="P110" s="27"/>
      <c r="Q110" s="27" t="s">
        <v>464</v>
      </c>
      <c r="R110" s="27" t="s">
        <v>465</v>
      </c>
      <c r="S110" s="27" t="s">
        <v>466</v>
      </c>
      <c r="T110" s="27" t="s">
        <v>464</v>
      </c>
      <c r="U110" s="27" t="s">
        <v>466</v>
      </c>
      <c r="V110" s="27" t="s">
        <v>467</v>
      </c>
      <c r="W110" s="1"/>
      <c r="X110" s="1"/>
      <c r="Y110" s="27"/>
      <c r="Z110" s="27"/>
      <c r="AA110" s="27"/>
    </row>
    <row r="111" spans="1:27" x14ac:dyDescent="0.25">
      <c r="A111" s="27" t="s">
        <v>1706</v>
      </c>
      <c r="B111" s="27" t="str">
        <f t="shared" si="3"/>
        <v>Virginia</v>
      </c>
      <c r="C111" s="27" t="str">
        <f t="shared" si="4"/>
        <v>Warren</v>
      </c>
      <c r="D111" s="38">
        <v>1490</v>
      </c>
      <c r="E111" s="37">
        <v>65</v>
      </c>
      <c r="F111" s="37"/>
      <c r="G111" s="2">
        <v>168</v>
      </c>
      <c r="H111" s="29">
        <v>2028</v>
      </c>
      <c r="I111" s="29">
        <v>580</v>
      </c>
      <c r="J111" s="29"/>
      <c r="K111" s="89">
        <f t="shared" si="5"/>
        <v>69.047619047619051</v>
      </c>
      <c r="L111" s="12">
        <v>70213.179999999993</v>
      </c>
      <c r="M111" s="7">
        <v>39</v>
      </c>
      <c r="N111" s="2">
        <v>166800</v>
      </c>
      <c r="O111" s="41">
        <v>1925</v>
      </c>
      <c r="P111" s="27"/>
      <c r="Q111" s="27" t="s">
        <v>464</v>
      </c>
      <c r="R111" s="27" t="s">
        <v>465</v>
      </c>
      <c r="S111" s="27" t="s">
        <v>466</v>
      </c>
      <c r="T111" s="27" t="s">
        <v>464</v>
      </c>
      <c r="U111" s="27" t="s">
        <v>466</v>
      </c>
      <c r="V111" s="27" t="s">
        <v>467</v>
      </c>
      <c r="W111" s="1"/>
      <c r="X111" s="1"/>
      <c r="Y111" s="27"/>
      <c r="Z111" s="27"/>
      <c r="AA111" s="27"/>
    </row>
    <row r="112" spans="1:27" x14ac:dyDescent="0.25">
      <c r="A112" s="27" t="s">
        <v>1707</v>
      </c>
      <c r="B112" s="27" t="str">
        <f t="shared" si="3"/>
        <v>Virginia</v>
      </c>
      <c r="C112" s="27" t="str">
        <f t="shared" si="4"/>
        <v>Warwick</v>
      </c>
      <c r="D112" s="38">
        <v>1065</v>
      </c>
      <c r="E112" s="37">
        <v>41</v>
      </c>
      <c r="F112" s="37"/>
      <c r="G112" s="2">
        <v>169</v>
      </c>
      <c r="H112" s="29">
        <v>1385</v>
      </c>
      <c r="I112" s="29">
        <v>835</v>
      </c>
      <c r="J112" s="29"/>
      <c r="K112" s="89">
        <f t="shared" si="5"/>
        <v>98.816568047337284</v>
      </c>
      <c r="L112" s="12">
        <v>89157.74</v>
      </c>
      <c r="M112" s="7">
        <v>10</v>
      </c>
      <c r="N112" s="2">
        <v>133946</v>
      </c>
      <c r="O112" s="41">
        <v>1925</v>
      </c>
      <c r="P112" s="27"/>
      <c r="Q112" s="27" t="s">
        <v>464</v>
      </c>
      <c r="R112" s="27" t="s">
        <v>465</v>
      </c>
      <c r="S112" s="27" t="s">
        <v>466</v>
      </c>
      <c r="T112" s="27" t="s">
        <v>464</v>
      </c>
      <c r="U112" s="27" t="s">
        <v>466</v>
      </c>
      <c r="V112" s="27" t="s">
        <v>467</v>
      </c>
      <c r="W112" s="1"/>
      <c r="X112" s="1"/>
      <c r="Y112" s="27"/>
      <c r="Z112" s="27"/>
      <c r="AA112" s="27"/>
    </row>
    <row r="113" spans="1:27" x14ac:dyDescent="0.25">
      <c r="A113" s="27" t="s">
        <v>1708</v>
      </c>
      <c r="B113" s="27" t="str">
        <f t="shared" si="3"/>
        <v>Virginia</v>
      </c>
      <c r="C113" s="27" t="str">
        <f t="shared" si="4"/>
        <v>Washington</v>
      </c>
      <c r="D113" s="38">
        <v>5928</v>
      </c>
      <c r="E113" s="37">
        <v>266</v>
      </c>
      <c r="F113" s="37"/>
      <c r="G113" s="2">
        <v>160</v>
      </c>
      <c r="H113" s="29">
        <v>7484</v>
      </c>
      <c r="I113" s="29">
        <v>599</v>
      </c>
      <c r="J113" s="29"/>
      <c r="K113" s="89">
        <f t="shared" si="5"/>
        <v>74.875</v>
      </c>
      <c r="L113" s="12">
        <v>320007.26</v>
      </c>
      <c r="M113" s="7">
        <v>116</v>
      </c>
      <c r="N113" s="2">
        <v>514500</v>
      </c>
      <c r="O113" s="41">
        <v>1925</v>
      </c>
      <c r="P113" s="27"/>
      <c r="Q113" s="27" t="s">
        <v>464</v>
      </c>
      <c r="R113" s="27" t="s">
        <v>465</v>
      </c>
      <c r="S113" s="27" t="s">
        <v>466</v>
      </c>
      <c r="T113" s="27" t="s">
        <v>464</v>
      </c>
      <c r="U113" s="27" t="s">
        <v>466</v>
      </c>
      <c r="V113" s="27" t="s">
        <v>467</v>
      </c>
      <c r="W113" s="1"/>
      <c r="X113" s="1"/>
      <c r="Y113" s="27"/>
      <c r="Z113" s="27"/>
      <c r="AA113" s="27"/>
    </row>
    <row r="114" spans="1:27" x14ac:dyDescent="0.25">
      <c r="A114" s="27" t="s">
        <v>1709</v>
      </c>
      <c r="B114" s="27" t="str">
        <f t="shared" si="3"/>
        <v>Virginia</v>
      </c>
      <c r="C114" s="27" t="str">
        <f t="shared" si="4"/>
        <v>Westmoreland</v>
      </c>
      <c r="D114" s="38">
        <v>2451</v>
      </c>
      <c r="E114" s="37">
        <v>78</v>
      </c>
      <c r="F114" s="37"/>
      <c r="G114" s="2">
        <v>148</v>
      </c>
      <c r="H114" s="29">
        <v>2926</v>
      </c>
      <c r="I114" s="29">
        <v>545</v>
      </c>
      <c r="J114" s="29"/>
      <c r="K114" s="89">
        <f t="shared" si="5"/>
        <v>73.648648648648646</v>
      </c>
      <c r="L114" s="12">
        <v>64979.02</v>
      </c>
      <c r="M114" s="27">
        <v>48</v>
      </c>
      <c r="N114" s="2">
        <v>172000</v>
      </c>
      <c r="O114" s="41">
        <v>1925</v>
      </c>
      <c r="P114" s="27"/>
      <c r="Q114" s="27" t="s">
        <v>464</v>
      </c>
      <c r="R114" s="27" t="s">
        <v>465</v>
      </c>
      <c r="S114" s="27" t="s">
        <v>466</v>
      </c>
      <c r="T114" s="27" t="s">
        <v>464</v>
      </c>
      <c r="U114" s="27" t="s">
        <v>466</v>
      </c>
      <c r="V114" s="27" t="s">
        <v>467</v>
      </c>
      <c r="W114" s="1"/>
      <c r="X114" s="1"/>
      <c r="Y114" s="27"/>
      <c r="Z114" s="27"/>
      <c r="AA114" s="27"/>
    </row>
    <row r="115" spans="1:27" x14ac:dyDescent="0.25">
      <c r="A115" s="98" t="s">
        <v>1743</v>
      </c>
      <c r="B115" s="98" t="str">
        <f t="shared" si="3"/>
        <v>Virginia</v>
      </c>
      <c r="C115" s="98" t="str">
        <f t="shared" si="4"/>
        <v>Williamsburg City</v>
      </c>
      <c r="D115" s="103">
        <v>455</v>
      </c>
      <c r="E115" s="104">
        <v>19</v>
      </c>
      <c r="F115" s="104"/>
      <c r="G115" s="99">
        <v>180</v>
      </c>
      <c r="H115" s="99">
        <v>563</v>
      </c>
      <c r="I115" s="99">
        <v>921</v>
      </c>
      <c r="J115" s="99"/>
      <c r="K115" s="100">
        <f t="shared" si="5"/>
        <v>102.33333333333333</v>
      </c>
      <c r="L115" s="105">
        <v>32857.53</v>
      </c>
      <c r="M115" s="98">
        <v>2</v>
      </c>
      <c r="N115" s="98">
        <v>105000</v>
      </c>
      <c r="O115" s="101">
        <v>1925</v>
      </c>
      <c r="P115" s="98"/>
      <c r="Q115" s="98" t="s">
        <v>464</v>
      </c>
      <c r="R115" s="98" t="s">
        <v>465</v>
      </c>
      <c r="S115" s="98" t="s">
        <v>466</v>
      </c>
      <c r="T115" s="98" t="s">
        <v>464</v>
      </c>
      <c r="U115" s="98" t="s">
        <v>466</v>
      </c>
      <c r="V115" s="98" t="s">
        <v>467</v>
      </c>
      <c r="W115" s="102"/>
      <c r="X115" s="102"/>
      <c r="Y115" s="98"/>
      <c r="Z115" s="98"/>
      <c r="AA115" s="98"/>
    </row>
    <row r="116" spans="1:27" x14ac:dyDescent="0.25">
      <c r="A116" s="98" t="s">
        <v>1744</v>
      </c>
      <c r="B116" s="98" t="str">
        <f t="shared" si="3"/>
        <v>Virginia</v>
      </c>
      <c r="C116" s="98" t="str">
        <f t="shared" si="4"/>
        <v>Winchester</v>
      </c>
      <c r="D116" s="103">
        <v>1399</v>
      </c>
      <c r="E116" s="104">
        <v>55</v>
      </c>
      <c r="F116" s="104"/>
      <c r="G116" s="99">
        <v>200</v>
      </c>
      <c r="H116" s="99">
        <v>1830</v>
      </c>
      <c r="I116" s="99">
        <v>1309</v>
      </c>
      <c r="J116" s="99"/>
      <c r="K116" s="100">
        <f t="shared" si="5"/>
        <v>130.9</v>
      </c>
      <c r="L116" s="105">
        <v>125136.01</v>
      </c>
      <c r="M116" s="99">
        <v>3</v>
      </c>
      <c r="N116" s="98">
        <v>871390</v>
      </c>
      <c r="O116" s="101">
        <v>1925</v>
      </c>
      <c r="P116" s="98"/>
      <c r="Q116" s="98" t="s">
        <v>464</v>
      </c>
      <c r="R116" s="98" t="s">
        <v>465</v>
      </c>
      <c r="S116" s="98" t="s">
        <v>466</v>
      </c>
      <c r="T116" s="98" t="s">
        <v>464</v>
      </c>
      <c r="U116" s="98" t="s">
        <v>466</v>
      </c>
      <c r="V116" s="98" t="s">
        <v>467</v>
      </c>
      <c r="W116" s="102"/>
      <c r="X116" s="102"/>
      <c r="Y116" s="98"/>
      <c r="Z116" s="98"/>
      <c r="AA116" s="98"/>
    </row>
    <row r="117" spans="1:27" x14ac:dyDescent="0.25">
      <c r="A117" s="27" t="s">
        <v>1710</v>
      </c>
      <c r="B117" s="27" t="str">
        <f t="shared" si="3"/>
        <v>Virginia</v>
      </c>
      <c r="C117" s="27" t="str">
        <f t="shared" si="4"/>
        <v>Wise</v>
      </c>
      <c r="D117" s="38">
        <v>10034</v>
      </c>
      <c r="E117" s="37">
        <v>288</v>
      </c>
      <c r="F117" s="37"/>
      <c r="G117" s="2">
        <v>174</v>
      </c>
      <c r="H117" s="29">
        <v>13404</v>
      </c>
      <c r="I117" s="29">
        <v>923</v>
      </c>
      <c r="J117" s="29"/>
      <c r="K117" s="89">
        <f t="shared" si="5"/>
        <v>106.09195402298852</v>
      </c>
      <c r="L117" s="12">
        <v>892429.53</v>
      </c>
      <c r="M117" s="2">
        <v>102</v>
      </c>
      <c r="N117" s="2">
        <v>1587000</v>
      </c>
      <c r="O117" s="41">
        <v>1925</v>
      </c>
      <c r="P117" s="27"/>
      <c r="Q117" s="27" t="s">
        <v>464</v>
      </c>
      <c r="R117" s="27" t="s">
        <v>465</v>
      </c>
      <c r="S117" s="27" t="s">
        <v>466</v>
      </c>
      <c r="T117" s="27" t="s">
        <v>464</v>
      </c>
      <c r="U117" s="27" t="s">
        <v>466</v>
      </c>
      <c r="V117" s="27" t="s">
        <v>467</v>
      </c>
      <c r="W117" s="27"/>
      <c r="X117" s="27"/>
      <c r="Y117" s="27"/>
      <c r="Z117" s="27"/>
      <c r="AA117" s="27"/>
    </row>
    <row r="118" spans="1:27" x14ac:dyDescent="0.25">
      <c r="A118" s="27" t="s">
        <v>1711</v>
      </c>
      <c r="B118" s="27" t="str">
        <f t="shared" si="3"/>
        <v>Virginia</v>
      </c>
      <c r="C118" s="27" t="str">
        <f t="shared" si="4"/>
        <v>Wythe</v>
      </c>
      <c r="D118" s="38">
        <v>3608</v>
      </c>
      <c r="E118" s="37">
        <v>168</v>
      </c>
      <c r="F118" s="37"/>
      <c r="G118" s="2">
        <v>151.80000000000001</v>
      </c>
      <c r="H118" s="29">
        <v>5159</v>
      </c>
      <c r="I118" s="29">
        <v>586</v>
      </c>
      <c r="J118" s="29"/>
      <c r="K118" s="89">
        <f t="shared" si="5"/>
        <v>77.206851119894594</v>
      </c>
      <c r="L118" s="12">
        <v>160792.82999999999</v>
      </c>
      <c r="M118" s="27">
        <v>75</v>
      </c>
      <c r="N118" s="2">
        <v>217170</v>
      </c>
      <c r="O118" s="41">
        <v>1925</v>
      </c>
      <c r="P118" s="27"/>
      <c r="Q118" s="27" t="s">
        <v>464</v>
      </c>
      <c r="R118" s="27" t="s">
        <v>465</v>
      </c>
      <c r="S118" s="27" t="s">
        <v>466</v>
      </c>
      <c r="T118" s="27" t="s">
        <v>464</v>
      </c>
      <c r="U118" s="27" t="s">
        <v>466</v>
      </c>
      <c r="V118" s="27" t="s">
        <v>467</v>
      </c>
      <c r="W118" s="27"/>
      <c r="X118" s="27"/>
      <c r="Y118" s="27"/>
      <c r="Z118" s="27"/>
      <c r="AA118" s="27"/>
    </row>
    <row r="119" spans="1:27" x14ac:dyDescent="0.25">
      <c r="A119" s="27" t="s">
        <v>1712</v>
      </c>
      <c r="B119" s="27" t="str">
        <f t="shared" si="3"/>
        <v>Virginia</v>
      </c>
      <c r="C119" s="27" t="str">
        <f t="shared" si="4"/>
        <v>York</v>
      </c>
      <c r="D119" s="38">
        <v>1445</v>
      </c>
      <c r="E119" s="37">
        <v>54</v>
      </c>
      <c r="F119" s="37"/>
      <c r="G119" s="2">
        <v>167</v>
      </c>
      <c r="H119" s="29">
        <v>1769</v>
      </c>
      <c r="I119" s="29">
        <v>661</v>
      </c>
      <c r="J119" s="29"/>
      <c r="K119" s="89">
        <f t="shared" si="5"/>
        <v>79.161676646706596</v>
      </c>
      <c r="L119" s="12">
        <v>62575.22</v>
      </c>
      <c r="M119" s="27">
        <v>16</v>
      </c>
      <c r="N119" s="2">
        <v>51472</v>
      </c>
      <c r="O119" s="41">
        <v>1925</v>
      </c>
      <c r="P119" s="27"/>
      <c r="Q119" s="27" t="s">
        <v>464</v>
      </c>
      <c r="R119" s="27" t="s">
        <v>465</v>
      </c>
      <c r="S119" s="27" t="s">
        <v>466</v>
      </c>
      <c r="T119" s="27" t="s">
        <v>464</v>
      </c>
      <c r="U119" s="27" t="s">
        <v>466</v>
      </c>
      <c r="V119" s="27" t="s">
        <v>467</v>
      </c>
      <c r="W119" s="27"/>
      <c r="X119" s="27"/>
      <c r="Y119" s="27"/>
      <c r="Z119" s="27"/>
      <c r="AA119" s="2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7"/>
  <sheetViews>
    <sheetView workbookViewId="0"/>
  </sheetViews>
  <sheetFormatPr defaultColWidth="8.85546875" defaultRowHeight="15" x14ac:dyDescent="0.25"/>
  <cols>
    <col min="1" max="1" width="27.7109375" style="27" bestFit="1" customWidth="1"/>
    <col min="2" max="2" width="15.28515625" style="27" bestFit="1" customWidth="1"/>
    <col min="3" max="3" width="19.7109375" style="27" bestFit="1" customWidth="1"/>
    <col min="4" max="4" width="19.7109375" style="27" customWidth="1"/>
    <col min="5" max="5" width="19.85546875" style="27" customWidth="1"/>
    <col min="6" max="6" width="83.7109375" style="27" bestFit="1" customWidth="1"/>
    <col min="7" max="7" width="10" style="27" bestFit="1" customWidth="1"/>
    <col min="8" max="16384" width="8.85546875" style="27"/>
  </cols>
  <sheetData>
    <row r="1" spans="1:6" s="20" customFormat="1" ht="32.25" customHeight="1" x14ac:dyDescent="0.25">
      <c r="B1" s="20" t="s">
        <v>2</v>
      </c>
      <c r="C1" s="20" t="s">
        <v>0</v>
      </c>
      <c r="D1" s="20" t="s">
        <v>1976</v>
      </c>
      <c r="E1" s="20" t="s">
        <v>1974</v>
      </c>
      <c r="F1" s="20" t="s">
        <v>3</v>
      </c>
    </row>
    <row r="2" spans="1:6" s="20" customFormat="1" x14ac:dyDescent="0.25">
      <c r="C2" s="20">
        <f>SUM(D3:D69)</f>
        <v>850</v>
      </c>
      <c r="D2" s="20">
        <v>850</v>
      </c>
      <c r="E2" s="20">
        <v>114</v>
      </c>
    </row>
    <row r="3" spans="1:6" x14ac:dyDescent="0.25">
      <c r="A3" s="27" t="s">
        <v>586</v>
      </c>
      <c r="B3" s="27" t="str">
        <f>LEFT(A3,FIND(";",A3)-1)</f>
        <v>Alabama</v>
      </c>
      <c r="C3" s="27" t="str">
        <f>MID(A3,FIND(";",A3)+1,100)</f>
        <v>Autauga</v>
      </c>
      <c r="D3" s="27">
        <v>12</v>
      </c>
      <c r="E3" s="27">
        <v>1</v>
      </c>
    </row>
    <row r="4" spans="1:6" x14ac:dyDescent="0.25">
      <c r="A4" s="27" t="s">
        <v>587</v>
      </c>
      <c r="B4" s="27" t="str">
        <f t="shared" ref="B4:B67" si="0">LEFT(A4,FIND(";",A4)-1)</f>
        <v>Alabama</v>
      </c>
      <c r="C4" s="27" t="str">
        <f t="shared" ref="C4:C67" si="1">MID(A4,FIND(";",A4)+1,100)</f>
        <v>Baldwin</v>
      </c>
      <c r="D4" s="27">
        <v>24</v>
      </c>
      <c r="E4" s="27">
        <v>3</v>
      </c>
    </row>
    <row r="5" spans="1:6" x14ac:dyDescent="0.25">
      <c r="A5" s="27" t="s">
        <v>588</v>
      </c>
      <c r="B5" s="27" t="str">
        <f t="shared" si="0"/>
        <v>Alabama</v>
      </c>
      <c r="C5" s="27" t="str">
        <f t="shared" si="1"/>
        <v>Barbour</v>
      </c>
      <c r="D5" s="27">
        <v>12</v>
      </c>
      <c r="E5" s="27">
        <v>4</v>
      </c>
    </row>
    <row r="6" spans="1:6" x14ac:dyDescent="0.25">
      <c r="A6" s="27" t="s">
        <v>589</v>
      </c>
      <c r="B6" s="27" t="str">
        <f t="shared" si="0"/>
        <v>Alabama</v>
      </c>
      <c r="C6" s="27" t="str">
        <f t="shared" si="1"/>
        <v>Bibb</v>
      </c>
      <c r="D6" s="27">
        <v>7</v>
      </c>
      <c r="E6" s="27">
        <v>2</v>
      </c>
    </row>
    <row r="7" spans="1:6" x14ac:dyDescent="0.25">
      <c r="A7" s="27" t="s">
        <v>590</v>
      </c>
      <c r="B7" s="27" t="str">
        <f t="shared" si="0"/>
        <v>Alabama</v>
      </c>
      <c r="C7" s="27" t="str">
        <f t="shared" si="1"/>
        <v>Blount</v>
      </c>
      <c r="D7" s="27">
        <v>2</v>
      </c>
      <c r="E7" s="27">
        <v>0</v>
      </c>
    </row>
    <row r="8" spans="1:6" x14ac:dyDescent="0.25">
      <c r="A8" s="27" t="s">
        <v>591</v>
      </c>
      <c r="B8" s="27" t="str">
        <f t="shared" si="0"/>
        <v>Alabama</v>
      </c>
      <c r="C8" s="27" t="str">
        <f t="shared" si="1"/>
        <v>Bullock</v>
      </c>
      <c r="D8" s="27">
        <v>11</v>
      </c>
      <c r="E8" s="27">
        <v>1</v>
      </c>
    </row>
    <row r="9" spans="1:6" x14ac:dyDescent="0.25">
      <c r="A9" s="27" t="s">
        <v>592</v>
      </c>
      <c r="B9" s="27" t="str">
        <f t="shared" si="0"/>
        <v>Alabama</v>
      </c>
      <c r="C9" s="27" t="str">
        <f t="shared" si="1"/>
        <v>Butler</v>
      </c>
      <c r="D9" s="27">
        <v>14</v>
      </c>
      <c r="E9" s="27">
        <v>3</v>
      </c>
    </row>
    <row r="10" spans="1:6" x14ac:dyDescent="0.25">
      <c r="A10" s="27" t="s">
        <v>593</v>
      </c>
      <c r="B10" s="27" t="str">
        <f t="shared" si="0"/>
        <v>Alabama</v>
      </c>
      <c r="C10" s="27" t="str">
        <f t="shared" si="1"/>
        <v>Calhoun/Benton</v>
      </c>
      <c r="D10" s="27">
        <v>15</v>
      </c>
      <c r="E10" s="27">
        <v>2</v>
      </c>
    </row>
    <row r="11" spans="1:6" x14ac:dyDescent="0.25">
      <c r="A11" s="27" t="s">
        <v>594</v>
      </c>
      <c r="B11" s="27" t="str">
        <f t="shared" si="0"/>
        <v>Alabama</v>
      </c>
      <c r="C11" s="27" t="str">
        <f t="shared" si="1"/>
        <v>Chambers</v>
      </c>
      <c r="D11" s="27">
        <v>36</v>
      </c>
      <c r="E11" s="27">
        <v>0</v>
      </c>
    </row>
    <row r="12" spans="1:6" x14ac:dyDescent="0.25">
      <c r="A12" s="27" t="s">
        <v>595</v>
      </c>
      <c r="B12" s="27" t="str">
        <f t="shared" si="0"/>
        <v>Alabama</v>
      </c>
      <c r="C12" s="27" t="str">
        <f t="shared" si="1"/>
        <v>Cherokee</v>
      </c>
      <c r="D12" s="27">
        <v>3</v>
      </c>
      <c r="E12" s="27">
        <v>0</v>
      </c>
    </row>
    <row r="13" spans="1:6" x14ac:dyDescent="0.25">
      <c r="A13" s="27" t="s">
        <v>596</v>
      </c>
      <c r="B13" s="27" t="str">
        <f t="shared" si="0"/>
        <v>Alabama</v>
      </c>
      <c r="C13" s="27" t="str">
        <f t="shared" si="1"/>
        <v>Chilton/Baker</v>
      </c>
      <c r="D13" s="27">
        <v>13</v>
      </c>
      <c r="E13" s="27">
        <v>0</v>
      </c>
    </row>
    <row r="14" spans="1:6" x14ac:dyDescent="0.25">
      <c r="A14" s="27" t="s">
        <v>597</v>
      </c>
      <c r="B14" s="27" t="str">
        <f t="shared" si="0"/>
        <v>Alabama</v>
      </c>
      <c r="C14" s="27" t="str">
        <f t="shared" si="1"/>
        <v>Choctaw</v>
      </c>
      <c r="D14" s="27">
        <v>7</v>
      </c>
      <c r="E14" s="27">
        <v>3</v>
      </c>
    </row>
    <row r="15" spans="1:6" x14ac:dyDescent="0.25">
      <c r="A15" s="27" t="s">
        <v>598</v>
      </c>
      <c r="B15" s="27" t="str">
        <f t="shared" si="0"/>
        <v>Alabama</v>
      </c>
      <c r="C15" s="27" t="str">
        <f t="shared" si="1"/>
        <v>Clarke</v>
      </c>
      <c r="D15" s="27">
        <v>15</v>
      </c>
      <c r="E15" s="27">
        <v>4</v>
      </c>
    </row>
    <row r="16" spans="1:6" x14ac:dyDescent="0.25">
      <c r="A16" s="27" t="s">
        <v>599</v>
      </c>
      <c r="B16" s="27" t="str">
        <f t="shared" si="0"/>
        <v>Alabama</v>
      </c>
      <c r="C16" s="27" t="str">
        <f t="shared" si="1"/>
        <v>Clay</v>
      </c>
      <c r="D16" s="27">
        <v>4</v>
      </c>
      <c r="E16" s="27">
        <v>0</v>
      </c>
    </row>
    <row r="17" spans="1:5" x14ac:dyDescent="0.25">
      <c r="A17" s="27" t="s">
        <v>600</v>
      </c>
      <c r="B17" s="27" t="str">
        <f t="shared" si="0"/>
        <v>Alabama</v>
      </c>
      <c r="C17" s="27" t="str">
        <f t="shared" si="1"/>
        <v>Cleburne</v>
      </c>
      <c r="D17" s="27">
        <v>0</v>
      </c>
      <c r="E17" s="27">
        <v>0</v>
      </c>
    </row>
    <row r="18" spans="1:5" x14ac:dyDescent="0.25">
      <c r="A18" s="27" t="s">
        <v>601</v>
      </c>
      <c r="B18" s="27" t="str">
        <f t="shared" si="0"/>
        <v>Alabama</v>
      </c>
      <c r="C18" s="27" t="str">
        <f t="shared" si="1"/>
        <v>Coffee</v>
      </c>
      <c r="D18" s="27">
        <v>18</v>
      </c>
      <c r="E18" s="27">
        <v>2</v>
      </c>
    </row>
    <row r="19" spans="1:5" x14ac:dyDescent="0.25">
      <c r="A19" s="27" t="s">
        <v>602</v>
      </c>
      <c r="B19" s="27" t="str">
        <f t="shared" si="0"/>
        <v>Alabama</v>
      </c>
      <c r="C19" s="27" t="str">
        <f t="shared" si="1"/>
        <v>Colbert</v>
      </c>
      <c r="D19" s="27">
        <v>15</v>
      </c>
      <c r="E19" s="27">
        <v>3</v>
      </c>
    </row>
    <row r="20" spans="1:5" x14ac:dyDescent="0.25">
      <c r="A20" s="27" t="s">
        <v>603</v>
      </c>
      <c r="B20" s="27" t="str">
        <f t="shared" si="0"/>
        <v>Alabama</v>
      </c>
      <c r="C20" s="27" t="str">
        <f t="shared" si="1"/>
        <v>Conecuh</v>
      </c>
      <c r="D20" s="27">
        <v>26</v>
      </c>
      <c r="E20" s="27">
        <v>0</v>
      </c>
    </row>
    <row r="21" spans="1:5" x14ac:dyDescent="0.25">
      <c r="A21" s="27" t="s">
        <v>604</v>
      </c>
      <c r="B21" s="27" t="str">
        <f t="shared" si="0"/>
        <v>Alabama</v>
      </c>
      <c r="C21" s="27" t="str">
        <f t="shared" si="1"/>
        <v>Coosa</v>
      </c>
      <c r="D21" s="27">
        <v>10</v>
      </c>
      <c r="E21" s="27">
        <v>0</v>
      </c>
    </row>
    <row r="22" spans="1:5" x14ac:dyDescent="0.25">
      <c r="A22" s="27" t="s">
        <v>605</v>
      </c>
      <c r="B22" s="27" t="str">
        <f t="shared" si="0"/>
        <v>Alabama</v>
      </c>
      <c r="C22" s="27" t="str">
        <f t="shared" si="1"/>
        <v>Covington</v>
      </c>
      <c r="D22" s="27">
        <v>11</v>
      </c>
      <c r="E22" s="27">
        <v>8</v>
      </c>
    </row>
    <row r="23" spans="1:5" x14ac:dyDescent="0.25">
      <c r="A23" s="27" t="s">
        <v>606</v>
      </c>
      <c r="B23" s="27" t="str">
        <f t="shared" si="0"/>
        <v>Alabama</v>
      </c>
      <c r="C23" s="27" t="str">
        <f t="shared" si="1"/>
        <v>Crenshaw</v>
      </c>
      <c r="D23" s="27">
        <v>2</v>
      </c>
      <c r="E23" s="27">
        <v>1</v>
      </c>
    </row>
    <row r="24" spans="1:5" x14ac:dyDescent="0.25">
      <c r="A24" s="27" t="s">
        <v>607</v>
      </c>
      <c r="B24" s="27" t="str">
        <f t="shared" si="0"/>
        <v>Alabama</v>
      </c>
      <c r="C24" s="27" t="str">
        <f t="shared" si="1"/>
        <v>Cullman</v>
      </c>
      <c r="D24" s="27">
        <v>3</v>
      </c>
      <c r="E24" s="27">
        <v>0</v>
      </c>
    </row>
    <row r="25" spans="1:5" x14ac:dyDescent="0.25">
      <c r="A25" s="27" t="s">
        <v>608</v>
      </c>
      <c r="B25" s="27" t="str">
        <f t="shared" si="0"/>
        <v>Alabama</v>
      </c>
      <c r="C25" s="27" t="str">
        <f t="shared" si="1"/>
        <v>Dale</v>
      </c>
      <c r="D25" s="27">
        <v>2</v>
      </c>
      <c r="E25" s="27">
        <v>2</v>
      </c>
    </row>
    <row r="26" spans="1:5" x14ac:dyDescent="0.25">
      <c r="A26" s="27" t="s">
        <v>609</v>
      </c>
      <c r="B26" s="27" t="str">
        <f t="shared" si="0"/>
        <v>Alabama</v>
      </c>
      <c r="C26" s="27" t="str">
        <f t="shared" si="1"/>
        <v>Dallas</v>
      </c>
      <c r="D26" s="27">
        <v>26</v>
      </c>
      <c r="E26" s="27">
        <v>5</v>
      </c>
    </row>
    <row r="27" spans="1:5" x14ac:dyDescent="0.25">
      <c r="A27" s="27" t="s">
        <v>610</v>
      </c>
      <c r="B27" s="27" t="str">
        <f t="shared" si="0"/>
        <v>Alabama</v>
      </c>
      <c r="C27" s="27" t="str">
        <f t="shared" si="1"/>
        <v>DeKalb</v>
      </c>
      <c r="D27" s="27">
        <v>0</v>
      </c>
      <c r="E27" s="27">
        <v>0</v>
      </c>
    </row>
    <row r="28" spans="1:5" x14ac:dyDescent="0.25">
      <c r="A28" s="27" t="s">
        <v>611</v>
      </c>
      <c r="B28" s="27" t="str">
        <f t="shared" si="0"/>
        <v>Alabama</v>
      </c>
      <c r="C28" s="27" t="str">
        <f t="shared" si="1"/>
        <v>Elmore</v>
      </c>
      <c r="D28" s="27">
        <v>21</v>
      </c>
      <c r="E28" s="27">
        <v>4</v>
      </c>
    </row>
    <row r="29" spans="1:5" x14ac:dyDescent="0.25">
      <c r="A29" s="27" t="s">
        <v>612</v>
      </c>
      <c r="B29" s="27" t="str">
        <f t="shared" si="0"/>
        <v>Alabama</v>
      </c>
      <c r="C29" s="27" t="str">
        <f t="shared" si="1"/>
        <v>Escambia</v>
      </c>
      <c r="D29" s="27">
        <v>13</v>
      </c>
      <c r="E29" s="27">
        <v>0</v>
      </c>
    </row>
    <row r="30" spans="1:5" x14ac:dyDescent="0.25">
      <c r="A30" s="27" t="s">
        <v>613</v>
      </c>
      <c r="B30" s="27" t="str">
        <f t="shared" si="0"/>
        <v>Alabama</v>
      </c>
      <c r="C30" s="27" t="str">
        <f t="shared" si="1"/>
        <v>Etowah</v>
      </c>
      <c r="D30" s="27">
        <v>2</v>
      </c>
      <c r="E30" s="27">
        <v>3</v>
      </c>
    </row>
    <row r="31" spans="1:5" x14ac:dyDescent="0.25">
      <c r="A31" s="27" t="s">
        <v>614</v>
      </c>
      <c r="B31" s="27" t="str">
        <f t="shared" si="0"/>
        <v>Alabama</v>
      </c>
      <c r="C31" s="27" t="str">
        <f t="shared" si="1"/>
        <v>Fayette</v>
      </c>
      <c r="D31" s="27">
        <v>6</v>
      </c>
      <c r="E31" s="27">
        <v>0</v>
      </c>
    </row>
    <row r="32" spans="1:5" x14ac:dyDescent="0.25">
      <c r="A32" s="27" t="s">
        <v>615</v>
      </c>
      <c r="B32" s="27" t="str">
        <f t="shared" si="0"/>
        <v>Alabama</v>
      </c>
      <c r="C32" s="27" t="str">
        <f t="shared" si="1"/>
        <v>Franklin</v>
      </c>
      <c r="D32" s="27">
        <v>4</v>
      </c>
      <c r="E32" s="27">
        <v>0</v>
      </c>
    </row>
    <row r="33" spans="1:5" x14ac:dyDescent="0.25">
      <c r="A33" s="27" t="s">
        <v>616</v>
      </c>
      <c r="B33" s="27" t="str">
        <f t="shared" si="0"/>
        <v>Alabama</v>
      </c>
      <c r="C33" s="27" t="str">
        <f t="shared" si="1"/>
        <v>Geneva</v>
      </c>
      <c r="D33" s="27">
        <v>2</v>
      </c>
      <c r="E33" s="27">
        <v>3</v>
      </c>
    </row>
    <row r="34" spans="1:5" x14ac:dyDescent="0.25">
      <c r="A34" s="27" t="s">
        <v>617</v>
      </c>
      <c r="B34" s="27" t="str">
        <f t="shared" si="0"/>
        <v>Alabama</v>
      </c>
      <c r="C34" s="27" t="str">
        <f t="shared" si="1"/>
        <v>Greene</v>
      </c>
      <c r="D34" s="27">
        <v>11</v>
      </c>
      <c r="E34" s="27">
        <v>0</v>
      </c>
    </row>
    <row r="35" spans="1:5" x14ac:dyDescent="0.25">
      <c r="A35" s="27" t="s">
        <v>618</v>
      </c>
      <c r="B35" s="27" t="str">
        <f t="shared" si="0"/>
        <v>Alabama</v>
      </c>
      <c r="C35" s="27" t="str">
        <f t="shared" si="1"/>
        <v>Hale</v>
      </c>
      <c r="D35" s="27">
        <v>26</v>
      </c>
      <c r="E35" s="27">
        <v>0</v>
      </c>
    </row>
    <row r="36" spans="1:5" x14ac:dyDescent="0.25">
      <c r="A36" s="27" t="s">
        <v>619</v>
      </c>
      <c r="B36" s="27" t="str">
        <f t="shared" si="0"/>
        <v>Alabama</v>
      </c>
      <c r="C36" s="27" t="str">
        <f t="shared" si="1"/>
        <v>Henry</v>
      </c>
      <c r="D36" s="27">
        <v>8</v>
      </c>
      <c r="E36" s="27">
        <v>1</v>
      </c>
    </row>
    <row r="37" spans="1:5" x14ac:dyDescent="0.25">
      <c r="A37" s="27" t="s">
        <v>620</v>
      </c>
      <c r="B37" s="27" t="str">
        <f t="shared" si="0"/>
        <v>Alabama</v>
      </c>
      <c r="C37" s="27" t="str">
        <f t="shared" si="1"/>
        <v>Houston</v>
      </c>
      <c r="D37" s="27">
        <v>3</v>
      </c>
      <c r="E37" s="27">
        <v>4</v>
      </c>
    </row>
    <row r="38" spans="1:5" x14ac:dyDescent="0.25">
      <c r="A38" s="27" t="s">
        <v>621</v>
      </c>
      <c r="B38" s="27" t="str">
        <f t="shared" si="0"/>
        <v>Alabama</v>
      </c>
      <c r="C38" s="27" t="str">
        <f t="shared" si="1"/>
        <v>Jackson</v>
      </c>
      <c r="D38" s="27">
        <v>5</v>
      </c>
      <c r="E38" s="27">
        <v>1</v>
      </c>
    </row>
    <row r="39" spans="1:5" x14ac:dyDescent="0.25">
      <c r="A39" s="27" t="s">
        <v>622</v>
      </c>
      <c r="B39" s="27" t="str">
        <f t="shared" si="0"/>
        <v>Alabama</v>
      </c>
      <c r="C39" s="27" t="str">
        <f t="shared" si="1"/>
        <v>Jefferson</v>
      </c>
      <c r="D39" s="27">
        <v>4</v>
      </c>
      <c r="E39" s="27">
        <v>8</v>
      </c>
    </row>
    <row r="40" spans="1:5" x14ac:dyDescent="0.25">
      <c r="A40" s="27" t="s">
        <v>623</v>
      </c>
      <c r="B40" s="27" t="str">
        <f t="shared" si="0"/>
        <v>Alabama</v>
      </c>
      <c r="C40" s="27" t="str">
        <f t="shared" si="1"/>
        <v>Lamar/Sanford</v>
      </c>
      <c r="D40" s="27">
        <v>5</v>
      </c>
      <c r="E40" s="27">
        <v>0</v>
      </c>
    </row>
    <row r="41" spans="1:5" x14ac:dyDescent="0.25">
      <c r="A41" s="27" t="s">
        <v>624</v>
      </c>
      <c r="B41" s="27" t="str">
        <f t="shared" si="0"/>
        <v>Alabama</v>
      </c>
      <c r="C41" s="27" t="str">
        <f t="shared" si="1"/>
        <v>Lauderdale</v>
      </c>
      <c r="D41" s="27">
        <v>11</v>
      </c>
      <c r="E41" s="27">
        <v>1</v>
      </c>
    </row>
    <row r="42" spans="1:5" x14ac:dyDescent="0.25">
      <c r="A42" s="27" t="s">
        <v>625</v>
      </c>
      <c r="B42" s="27" t="str">
        <f t="shared" si="0"/>
        <v>Alabama</v>
      </c>
      <c r="C42" s="27" t="str">
        <f t="shared" si="1"/>
        <v>Lawrence</v>
      </c>
      <c r="D42" s="27">
        <v>6</v>
      </c>
      <c r="E42" s="27">
        <v>2</v>
      </c>
    </row>
    <row r="43" spans="1:5" x14ac:dyDescent="0.25">
      <c r="A43" s="27" t="s">
        <v>626</v>
      </c>
      <c r="B43" s="27" t="str">
        <f t="shared" si="0"/>
        <v>Alabama</v>
      </c>
      <c r="C43" s="27" t="str">
        <f t="shared" si="1"/>
        <v>Lee</v>
      </c>
      <c r="D43" s="27">
        <v>26</v>
      </c>
      <c r="E43" s="27">
        <v>2</v>
      </c>
    </row>
    <row r="44" spans="1:5" x14ac:dyDescent="0.25">
      <c r="A44" s="27" t="s">
        <v>627</v>
      </c>
      <c r="B44" s="27" t="str">
        <f t="shared" si="0"/>
        <v>Alabama</v>
      </c>
      <c r="C44" s="27" t="str">
        <f t="shared" si="1"/>
        <v>Limestone</v>
      </c>
      <c r="D44" s="27">
        <v>9</v>
      </c>
      <c r="E44" s="27">
        <v>1</v>
      </c>
    </row>
    <row r="45" spans="1:5" x14ac:dyDescent="0.25">
      <c r="A45" s="27" t="s">
        <v>628</v>
      </c>
      <c r="B45" s="27" t="str">
        <f t="shared" si="0"/>
        <v>Alabama</v>
      </c>
      <c r="C45" s="27" t="str">
        <f t="shared" si="1"/>
        <v>Lowndes</v>
      </c>
      <c r="D45" s="27">
        <v>21</v>
      </c>
      <c r="E45" s="27">
        <v>3</v>
      </c>
    </row>
    <row r="46" spans="1:5" x14ac:dyDescent="0.25">
      <c r="A46" s="27" t="s">
        <v>629</v>
      </c>
      <c r="B46" s="27" t="str">
        <f t="shared" si="0"/>
        <v>Alabama</v>
      </c>
      <c r="C46" s="27" t="str">
        <f t="shared" si="1"/>
        <v>Macon</v>
      </c>
      <c r="D46" s="27">
        <v>39</v>
      </c>
      <c r="E46" s="27">
        <v>0</v>
      </c>
    </row>
    <row r="47" spans="1:5" x14ac:dyDescent="0.25">
      <c r="A47" s="27" t="s">
        <v>630</v>
      </c>
      <c r="B47" s="27" t="str">
        <f t="shared" si="0"/>
        <v>Alabama</v>
      </c>
      <c r="C47" s="27" t="str">
        <f t="shared" si="1"/>
        <v>Madison</v>
      </c>
      <c r="D47" s="27">
        <v>13</v>
      </c>
      <c r="E47" s="27">
        <v>2</v>
      </c>
    </row>
    <row r="48" spans="1:5" x14ac:dyDescent="0.25">
      <c r="A48" s="27" t="s">
        <v>631</v>
      </c>
      <c r="B48" s="27" t="str">
        <f t="shared" si="0"/>
        <v>Alabama</v>
      </c>
      <c r="C48" s="27" t="str">
        <f t="shared" si="1"/>
        <v>Marengo</v>
      </c>
      <c r="D48" s="27">
        <v>9</v>
      </c>
      <c r="E48" s="27">
        <v>1</v>
      </c>
    </row>
    <row r="49" spans="1:5" x14ac:dyDescent="0.25">
      <c r="A49" s="27" t="s">
        <v>632</v>
      </c>
      <c r="B49" s="27" t="str">
        <f t="shared" si="0"/>
        <v>Alabama</v>
      </c>
      <c r="C49" s="27" t="str">
        <f t="shared" si="1"/>
        <v>Marion</v>
      </c>
      <c r="D49" s="27">
        <v>4</v>
      </c>
      <c r="E49" s="27">
        <v>0</v>
      </c>
    </row>
    <row r="50" spans="1:5" x14ac:dyDescent="0.25">
      <c r="A50" s="27" t="s">
        <v>633</v>
      </c>
      <c r="B50" s="27" t="str">
        <f t="shared" si="0"/>
        <v>Alabama</v>
      </c>
      <c r="C50" s="27" t="str">
        <f t="shared" si="1"/>
        <v>Marshall</v>
      </c>
      <c r="D50" s="27">
        <v>2</v>
      </c>
      <c r="E50" s="27">
        <v>0</v>
      </c>
    </row>
    <row r="51" spans="1:5" x14ac:dyDescent="0.25">
      <c r="A51" s="27" t="s">
        <v>634</v>
      </c>
      <c r="B51" s="27" t="str">
        <f t="shared" si="0"/>
        <v>Alabama</v>
      </c>
      <c r="C51" s="27" t="str">
        <f t="shared" si="1"/>
        <v>Mobile</v>
      </c>
      <c r="D51" s="27">
        <v>33</v>
      </c>
      <c r="E51" s="27">
        <v>5</v>
      </c>
    </row>
    <row r="52" spans="1:5" x14ac:dyDescent="0.25">
      <c r="A52" s="27" t="s">
        <v>635</v>
      </c>
      <c r="B52" s="27" t="str">
        <f t="shared" si="0"/>
        <v>Alabama</v>
      </c>
      <c r="C52" s="27" t="str">
        <f t="shared" si="1"/>
        <v>Monroe</v>
      </c>
      <c r="D52" s="27">
        <v>16</v>
      </c>
      <c r="E52" s="27">
        <v>2</v>
      </c>
    </row>
    <row r="53" spans="1:5" x14ac:dyDescent="0.25">
      <c r="A53" s="27" t="s">
        <v>636</v>
      </c>
      <c r="B53" s="27" t="str">
        <f t="shared" si="0"/>
        <v>Alabama</v>
      </c>
      <c r="C53" s="27" t="str">
        <f t="shared" si="1"/>
        <v>Montgomery</v>
      </c>
      <c r="D53" s="27">
        <v>28</v>
      </c>
      <c r="E53" s="27">
        <v>9</v>
      </c>
    </row>
    <row r="54" spans="1:5" x14ac:dyDescent="0.25">
      <c r="A54" s="27" t="s">
        <v>1775</v>
      </c>
      <c r="B54" s="27" t="str">
        <f t="shared" si="0"/>
        <v>Alabama</v>
      </c>
      <c r="C54" s="27" t="str">
        <f t="shared" si="1"/>
        <v>Morgan/Cotaco</v>
      </c>
      <c r="D54" s="27">
        <v>7</v>
      </c>
      <c r="E54" s="27">
        <v>0</v>
      </c>
    </row>
    <row r="55" spans="1:5" x14ac:dyDescent="0.25">
      <c r="A55" s="27" t="s">
        <v>637</v>
      </c>
      <c r="B55" s="27" t="str">
        <f t="shared" si="0"/>
        <v>Alabama</v>
      </c>
      <c r="C55" s="27" t="str">
        <f t="shared" si="1"/>
        <v>Perry</v>
      </c>
      <c r="D55" s="27">
        <v>18</v>
      </c>
      <c r="E55" s="27">
        <v>0</v>
      </c>
    </row>
    <row r="56" spans="1:5" x14ac:dyDescent="0.25">
      <c r="A56" s="27" t="s">
        <v>638</v>
      </c>
      <c r="B56" s="27" t="str">
        <f t="shared" si="0"/>
        <v>Alabama</v>
      </c>
      <c r="C56" s="27" t="str">
        <f t="shared" si="1"/>
        <v>Pickens</v>
      </c>
      <c r="D56" s="27">
        <v>14</v>
      </c>
      <c r="E56" s="27">
        <v>3</v>
      </c>
    </row>
    <row r="57" spans="1:5" x14ac:dyDescent="0.25">
      <c r="A57" s="27" t="s">
        <v>639</v>
      </c>
      <c r="B57" s="27" t="str">
        <f t="shared" si="0"/>
        <v>Alabama</v>
      </c>
      <c r="C57" s="27" t="str">
        <f t="shared" si="1"/>
        <v>Pike</v>
      </c>
      <c r="D57" s="27">
        <v>4</v>
      </c>
      <c r="E57" s="27">
        <v>0</v>
      </c>
    </row>
    <row r="58" spans="1:5" x14ac:dyDescent="0.25">
      <c r="A58" s="27" t="s">
        <v>640</v>
      </c>
      <c r="B58" s="27" t="str">
        <f t="shared" si="0"/>
        <v>Alabama</v>
      </c>
      <c r="C58" s="27" t="str">
        <f t="shared" si="1"/>
        <v>Randolph</v>
      </c>
      <c r="D58" s="27">
        <v>25</v>
      </c>
      <c r="E58" s="27">
        <v>0</v>
      </c>
    </row>
    <row r="59" spans="1:5" x14ac:dyDescent="0.25">
      <c r="A59" s="27" t="s">
        <v>641</v>
      </c>
      <c r="B59" s="27" t="str">
        <f t="shared" si="0"/>
        <v>Alabama</v>
      </c>
      <c r="C59" s="27" t="str">
        <f t="shared" si="1"/>
        <v>Russell</v>
      </c>
      <c r="D59" s="27">
        <v>26</v>
      </c>
      <c r="E59" s="27">
        <v>1</v>
      </c>
    </row>
    <row r="60" spans="1:5" x14ac:dyDescent="0.25">
      <c r="A60" s="27" t="s">
        <v>1745</v>
      </c>
      <c r="B60" s="27" t="str">
        <f t="shared" ref="B60" si="2">LEFT(A60,FIND(";",A60)-1)</f>
        <v>Alabama</v>
      </c>
      <c r="C60" s="27" t="str">
        <f t="shared" ref="C60" si="3">MID(A60,FIND(";",A60)+1,100)</f>
        <v>St Clair</v>
      </c>
      <c r="D60" s="27">
        <v>2</v>
      </c>
      <c r="E60" s="27">
        <v>1</v>
      </c>
    </row>
    <row r="61" spans="1:5" x14ac:dyDescent="0.25">
      <c r="A61" s="27" t="s">
        <v>642</v>
      </c>
      <c r="B61" s="27" t="str">
        <f t="shared" si="0"/>
        <v>Alabama</v>
      </c>
      <c r="C61" s="27" t="str">
        <f t="shared" si="1"/>
        <v>Shelby</v>
      </c>
      <c r="D61" s="27">
        <v>10</v>
      </c>
      <c r="E61" s="27">
        <v>3</v>
      </c>
    </row>
    <row r="62" spans="1:5" x14ac:dyDescent="0.25">
      <c r="A62" s="27" t="s">
        <v>643</v>
      </c>
      <c r="B62" s="27" t="str">
        <f t="shared" si="0"/>
        <v>Alabama</v>
      </c>
      <c r="C62" s="27" t="str">
        <f t="shared" si="1"/>
        <v>Sumter</v>
      </c>
      <c r="D62" s="27">
        <v>17</v>
      </c>
      <c r="E62" s="27">
        <v>3</v>
      </c>
    </row>
    <row r="63" spans="1:5" x14ac:dyDescent="0.25">
      <c r="A63" s="27" t="s">
        <v>644</v>
      </c>
      <c r="B63" s="27" t="str">
        <f t="shared" si="0"/>
        <v>Alabama</v>
      </c>
      <c r="C63" s="27" t="str">
        <f t="shared" si="1"/>
        <v>Talladega</v>
      </c>
      <c r="D63" s="27">
        <v>32</v>
      </c>
      <c r="E63" s="27">
        <v>1</v>
      </c>
    </row>
    <row r="64" spans="1:5" x14ac:dyDescent="0.25">
      <c r="A64" s="27" t="s">
        <v>645</v>
      </c>
      <c r="B64" s="27" t="str">
        <f t="shared" si="0"/>
        <v>Alabama</v>
      </c>
      <c r="C64" s="27" t="str">
        <f t="shared" si="1"/>
        <v>Tallapoosa</v>
      </c>
      <c r="D64" s="27">
        <v>16</v>
      </c>
      <c r="E64" s="27">
        <v>0</v>
      </c>
    </row>
    <row r="65" spans="1:5" x14ac:dyDescent="0.25">
      <c r="A65" s="27" t="s">
        <v>646</v>
      </c>
      <c r="B65" s="27" t="str">
        <f t="shared" si="0"/>
        <v>Alabama</v>
      </c>
      <c r="C65" s="27" t="str">
        <f t="shared" si="1"/>
        <v>Tuscaloosa</v>
      </c>
      <c r="D65" s="27">
        <v>11</v>
      </c>
      <c r="E65" s="27">
        <v>1</v>
      </c>
    </row>
    <row r="66" spans="1:5" x14ac:dyDescent="0.25">
      <c r="A66" s="27" t="s">
        <v>647</v>
      </c>
      <c r="B66" s="27" t="str">
        <f t="shared" si="0"/>
        <v>Alabama</v>
      </c>
      <c r="C66" s="27" t="str">
        <f t="shared" si="1"/>
        <v>Walker</v>
      </c>
      <c r="D66" s="27">
        <v>26</v>
      </c>
      <c r="E66" s="27">
        <v>1</v>
      </c>
    </row>
    <row r="67" spans="1:5" x14ac:dyDescent="0.25">
      <c r="A67" s="27" t="s">
        <v>648</v>
      </c>
      <c r="B67" s="27" t="str">
        <f t="shared" si="0"/>
        <v>Alabama</v>
      </c>
      <c r="C67" s="27" t="str">
        <f t="shared" si="1"/>
        <v>Washington</v>
      </c>
      <c r="D67" s="27">
        <v>8</v>
      </c>
      <c r="E67" s="27">
        <v>2</v>
      </c>
    </row>
    <row r="68" spans="1:5" x14ac:dyDescent="0.25">
      <c r="A68" s="27" t="s">
        <v>649</v>
      </c>
      <c r="B68" s="27" t="str">
        <f t="shared" ref="B68:B133" si="4">LEFT(A68,FIND(";",A68)-1)</f>
        <v>Alabama</v>
      </c>
      <c r="C68" s="27" t="str">
        <f t="shared" ref="C68:C131" si="5">MID(A68,FIND(";",A68)+1,100)</f>
        <v>Wilcox</v>
      </c>
      <c r="D68" s="27">
        <v>19</v>
      </c>
      <c r="E68" s="27">
        <v>2</v>
      </c>
    </row>
    <row r="69" spans="1:5" x14ac:dyDescent="0.25">
      <c r="A69" s="27" t="s">
        <v>1776</v>
      </c>
      <c r="B69" s="27" t="str">
        <f t="shared" si="4"/>
        <v>Alabama</v>
      </c>
      <c r="C69" s="27" t="str">
        <f t="shared" si="5"/>
        <v>Winston/Hancock</v>
      </c>
      <c r="D69" s="27">
        <v>0</v>
      </c>
      <c r="E69" s="27">
        <v>0</v>
      </c>
    </row>
    <row r="70" spans="1:5" x14ac:dyDescent="0.25">
      <c r="C70" s="7">
        <f>SUM(D71:D145)</f>
        <v>897</v>
      </c>
      <c r="D70" s="7">
        <v>897</v>
      </c>
      <c r="E70" s="27">
        <f>SUM(E71:E307)</f>
        <v>633</v>
      </c>
    </row>
    <row r="71" spans="1:5" x14ac:dyDescent="0.25">
      <c r="A71" s="27" t="s">
        <v>652</v>
      </c>
      <c r="B71" s="27" t="str">
        <f t="shared" si="4"/>
        <v>Arkansas</v>
      </c>
      <c r="C71" s="27" t="str">
        <f t="shared" si="5"/>
        <v>Arkansas</v>
      </c>
      <c r="D71" s="27">
        <v>8</v>
      </c>
      <c r="E71" s="27">
        <v>16</v>
      </c>
    </row>
    <row r="72" spans="1:5" x14ac:dyDescent="0.25">
      <c r="A72" s="27" t="s">
        <v>653</v>
      </c>
      <c r="B72" s="27" t="str">
        <f t="shared" si="4"/>
        <v>Arkansas</v>
      </c>
      <c r="C72" s="27" t="str">
        <f t="shared" si="5"/>
        <v>Ashley</v>
      </c>
      <c r="D72" s="27">
        <v>33</v>
      </c>
      <c r="E72" s="27">
        <v>4</v>
      </c>
    </row>
    <row r="73" spans="1:5" x14ac:dyDescent="0.25">
      <c r="A73" s="27" t="s">
        <v>654</v>
      </c>
      <c r="B73" s="27" t="str">
        <f t="shared" si="4"/>
        <v>Arkansas</v>
      </c>
      <c r="C73" s="27" t="str">
        <f t="shared" si="5"/>
        <v>Baxter</v>
      </c>
      <c r="D73" s="27">
        <v>0</v>
      </c>
      <c r="E73" s="27">
        <v>0</v>
      </c>
    </row>
    <row r="74" spans="1:5" x14ac:dyDescent="0.25">
      <c r="A74" s="27" t="s">
        <v>655</v>
      </c>
      <c r="B74" s="27" t="str">
        <f t="shared" si="4"/>
        <v>Arkansas</v>
      </c>
      <c r="C74" s="27" t="str">
        <f t="shared" si="5"/>
        <v>Benton</v>
      </c>
      <c r="D74" s="27">
        <v>0</v>
      </c>
      <c r="E74" s="27">
        <v>0</v>
      </c>
    </row>
    <row r="75" spans="1:5" x14ac:dyDescent="0.25">
      <c r="A75" s="27" t="s">
        <v>656</v>
      </c>
      <c r="B75" s="27" t="str">
        <f t="shared" si="4"/>
        <v>Arkansas</v>
      </c>
      <c r="C75" s="27" t="str">
        <f t="shared" si="5"/>
        <v>Boone</v>
      </c>
      <c r="D75" s="27">
        <v>0</v>
      </c>
      <c r="E75" s="27">
        <v>1</v>
      </c>
    </row>
    <row r="76" spans="1:5" x14ac:dyDescent="0.25">
      <c r="A76" s="27" t="s">
        <v>657</v>
      </c>
      <c r="B76" s="27" t="str">
        <f t="shared" si="4"/>
        <v>Arkansas</v>
      </c>
      <c r="C76" s="27" t="str">
        <f t="shared" si="5"/>
        <v>Bradley</v>
      </c>
      <c r="D76" s="27">
        <v>9</v>
      </c>
      <c r="E76" s="27">
        <v>2</v>
      </c>
    </row>
    <row r="77" spans="1:5" x14ac:dyDescent="0.25">
      <c r="A77" s="27" t="s">
        <v>658</v>
      </c>
      <c r="B77" s="27" t="str">
        <f t="shared" si="4"/>
        <v>Arkansas</v>
      </c>
      <c r="C77" s="27" t="str">
        <f t="shared" si="5"/>
        <v>Calhoun</v>
      </c>
      <c r="D77" s="27">
        <v>5</v>
      </c>
      <c r="E77" s="27">
        <v>0</v>
      </c>
    </row>
    <row r="78" spans="1:5" x14ac:dyDescent="0.25">
      <c r="A78" s="27" t="s">
        <v>659</v>
      </c>
      <c r="B78" s="27" t="str">
        <f t="shared" si="4"/>
        <v>Arkansas</v>
      </c>
      <c r="C78" s="27" t="str">
        <f t="shared" si="5"/>
        <v>Carroll</v>
      </c>
      <c r="D78" s="27">
        <v>0</v>
      </c>
      <c r="E78" s="27">
        <v>0</v>
      </c>
    </row>
    <row r="79" spans="1:5" x14ac:dyDescent="0.25">
      <c r="A79" s="27" t="s">
        <v>660</v>
      </c>
      <c r="B79" s="27" t="str">
        <f t="shared" si="4"/>
        <v>Arkansas</v>
      </c>
      <c r="C79" s="27" t="str">
        <f t="shared" si="5"/>
        <v>Chicot</v>
      </c>
      <c r="D79" s="27">
        <v>40</v>
      </c>
      <c r="E79" s="27">
        <v>2</v>
      </c>
    </row>
    <row r="80" spans="1:5" x14ac:dyDescent="0.25">
      <c r="A80" s="27" t="s">
        <v>661</v>
      </c>
      <c r="B80" s="27" t="str">
        <f t="shared" si="4"/>
        <v>Arkansas</v>
      </c>
      <c r="C80" s="27" t="str">
        <f t="shared" si="5"/>
        <v>Clark</v>
      </c>
      <c r="D80" s="27">
        <v>20</v>
      </c>
      <c r="E80" s="27">
        <v>2</v>
      </c>
    </row>
    <row r="81" spans="1:5" x14ac:dyDescent="0.25">
      <c r="A81" s="27" t="s">
        <v>662</v>
      </c>
      <c r="B81" s="27" t="str">
        <f t="shared" si="4"/>
        <v>Arkansas</v>
      </c>
      <c r="C81" s="27" t="str">
        <f t="shared" si="5"/>
        <v>Clay</v>
      </c>
      <c r="D81" s="27">
        <v>0</v>
      </c>
      <c r="E81" s="27">
        <v>0</v>
      </c>
    </row>
    <row r="82" spans="1:5" x14ac:dyDescent="0.25">
      <c r="A82" s="27" t="s">
        <v>663</v>
      </c>
      <c r="B82" s="27" t="str">
        <f t="shared" si="4"/>
        <v>Arkansas</v>
      </c>
      <c r="C82" s="27" t="str">
        <f t="shared" si="5"/>
        <v>Cleburne</v>
      </c>
      <c r="D82" s="27">
        <v>0</v>
      </c>
      <c r="E82" s="27">
        <v>0</v>
      </c>
    </row>
    <row r="83" spans="1:5" x14ac:dyDescent="0.25">
      <c r="A83" s="27" t="s">
        <v>1777</v>
      </c>
      <c r="B83" s="27" t="str">
        <f t="shared" si="4"/>
        <v>Arkansas</v>
      </c>
      <c r="C83" s="27" t="str">
        <f t="shared" si="5"/>
        <v>Cleveland/Dorsey</v>
      </c>
      <c r="D83" s="27">
        <v>8</v>
      </c>
      <c r="E83" s="27">
        <v>0</v>
      </c>
    </row>
    <row r="84" spans="1:5" x14ac:dyDescent="0.25">
      <c r="A84" s="27" t="s">
        <v>664</v>
      </c>
      <c r="B84" s="27" t="str">
        <f t="shared" si="4"/>
        <v>Arkansas</v>
      </c>
      <c r="C84" s="27" t="str">
        <f t="shared" si="5"/>
        <v>Columbia</v>
      </c>
      <c r="D84" s="27">
        <v>23</v>
      </c>
      <c r="E84" s="27">
        <v>1</v>
      </c>
    </row>
    <row r="85" spans="1:5" x14ac:dyDescent="0.25">
      <c r="A85" s="27" t="s">
        <v>665</v>
      </c>
      <c r="B85" s="27" t="str">
        <f t="shared" si="4"/>
        <v>Arkansas</v>
      </c>
      <c r="C85" s="27" t="str">
        <f t="shared" si="5"/>
        <v>Conway</v>
      </c>
      <c r="D85" s="27">
        <v>18</v>
      </c>
      <c r="E85" s="27">
        <v>2</v>
      </c>
    </row>
    <row r="86" spans="1:5" x14ac:dyDescent="0.25">
      <c r="A86" s="27" t="s">
        <v>666</v>
      </c>
      <c r="B86" s="27" t="str">
        <f t="shared" si="4"/>
        <v>Arkansas</v>
      </c>
      <c r="C86" s="27" t="str">
        <f t="shared" si="5"/>
        <v>Craighead</v>
      </c>
      <c r="D86" s="27">
        <v>6</v>
      </c>
      <c r="E86" s="27">
        <v>1</v>
      </c>
    </row>
    <row r="87" spans="1:5" x14ac:dyDescent="0.25">
      <c r="A87" s="27" t="s">
        <v>667</v>
      </c>
      <c r="B87" s="27" t="str">
        <f t="shared" si="4"/>
        <v>Arkansas</v>
      </c>
      <c r="C87" s="27" t="str">
        <f t="shared" si="5"/>
        <v>Crawford</v>
      </c>
      <c r="D87" s="27">
        <v>0</v>
      </c>
      <c r="E87" s="27">
        <v>0</v>
      </c>
    </row>
    <row r="88" spans="1:5" x14ac:dyDescent="0.25">
      <c r="A88" s="27" t="s">
        <v>668</v>
      </c>
      <c r="B88" s="27" t="str">
        <f t="shared" si="4"/>
        <v>Arkansas</v>
      </c>
      <c r="C88" s="27" t="str">
        <f t="shared" si="5"/>
        <v>Crittenden</v>
      </c>
      <c r="D88" s="27">
        <v>16</v>
      </c>
      <c r="E88" s="27">
        <v>5</v>
      </c>
    </row>
    <row r="89" spans="1:5" x14ac:dyDescent="0.25">
      <c r="A89" s="27" t="s">
        <v>669</v>
      </c>
      <c r="B89" s="27" t="str">
        <f t="shared" si="4"/>
        <v>Arkansas</v>
      </c>
      <c r="C89" s="27" t="str">
        <f t="shared" si="5"/>
        <v>Cross</v>
      </c>
      <c r="D89" s="27">
        <v>10</v>
      </c>
      <c r="E89" s="27">
        <v>1</v>
      </c>
    </row>
    <row r="90" spans="1:5" x14ac:dyDescent="0.25">
      <c r="A90" s="27" t="s">
        <v>670</v>
      </c>
      <c r="B90" s="27" t="str">
        <f t="shared" si="4"/>
        <v>Arkansas</v>
      </c>
      <c r="C90" s="27" t="str">
        <f t="shared" si="5"/>
        <v>Dallas</v>
      </c>
      <c r="D90" s="27">
        <v>12</v>
      </c>
      <c r="E90" s="27">
        <v>0</v>
      </c>
    </row>
    <row r="91" spans="1:5" x14ac:dyDescent="0.25">
      <c r="A91" s="27" t="s">
        <v>671</v>
      </c>
      <c r="B91" s="27" t="str">
        <f t="shared" si="4"/>
        <v>Arkansas</v>
      </c>
      <c r="C91" s="27" t="str">
        <f t="shared" si="5"/>
        <v>Desha</v>
      </c>
      <c r="D91" s="27">
        <v>29</v>
      </c>
      <c r="E91" s="27">
        <v>1</v>
      </c>
    </row>
    <row r="92" spans="1:5" x14ac:dyDescent="0.25">
      <c r="A92" s="27" t="s">
        <v>672</v>
      </c>
      <c r="B92" s="27" t="str">
        <f t="shared" si="4"/>
        <v>Arkansas</v>
      </c>
      <c r="C92" s="27" t="str">
        <f t="shared" si="5"/>
        <v>Drew</v>
      </c>
      <c r="D92" s="27">
        <v>12</v>
      </c>
      <c r="E92" s="27">
        <v>1</v>
      </c>
    </row>
    <row r="93" spans="1:5" x14ac:dyDescent="0.25">
      <c r="A93" s="27" t="s">
        <v>1746</v>
      </c>
      <c r="B93" s="27" t="str">
        <f t="shared" si="4"/>
        <v>Arkansas</v>
      </c>
      <c r="C93" s="27" t="str">
        <f t="shared" si="5"/>
        <v>Faulkner</v>
      </c>
      <c r="D93" s="27">
        <v>15</v>
      </c>
      <c r="E93" s="27">
        <v>1</v>
      </c>
    </row>
    <row r="94" spans="1:5" x14ac:dyDescent="0.25">
      <c r="A94" s="27" t="s">
        <v>673</v>
      </c>
      <c r="B94" s="27" t="str">
        <f t="shared" si="4"/>
        <v>Arkansas</v>
      </c>
      <c r="C94" s="27" t="str">
        <f t="shared" si="5"/>
        <v>Franklin</v>
      </c>
      <c r="D94" s="27">
        <v>1</v>
      </c>
      <c r="E94" s="27">
        <v>0</v>
      </c>
    </row>
    <row r="95" spans="1:5" x14ac:dyDescent="0.25">
      <c r="A95" s="27" t="s">
        <v>674</v>
      </c>
      <c r="B95" s="27" t="str">
        <f t="shared" si="4"/>
        <v>Arkansas</v>
      </c>
      <c r="C95" s="27" t="str">
        <f t="shared" si="5"/>
        <v>Fulton</v>
      </c>
      <c r="D95" s="27">
        <v>0</v>
      </c>
      <c r="E95" s="27">
        <v>0</v>
      </c>
    </row>
    <row r="96" spans="1:5" x14ac:dyDescent="0.25">
      <c r="A96" s="27" t="s">
        <v>675</v>
      </c>
      <c r="B96" s="27" t="str">
        <f t="shared" si="4"/>
        <v>Arkansas</v>
      </c>
      <c r="C96" s="27" t="str">
        <f t="shared" si="5"/>
        <v>Garland</v>
      </c>
      <c r="D96" s="27">
        <v>6</v>
      </c>
      <c r="E96" s="27">
        <v>4</v>
      </c>
    </row>
    <row r="97" spans="1:5" x14ac:dyDescent="0.25">
      <c r="A97" s="27" t="s">
        <v>676</v>
      </c>
      <c r="B97" s="27" t="str">
        <f t="shared" si="4"/>
        <v>Arkansas</v>
      </c>
      <c r="C97" s="27" t="str">
        <f t="shared" si="5"/>
        <v>Grant</v>
      </c>
      <c r="D97" s="27">
        <v>2</v>
      </c>
      <c r="E97" s="27">
        <v>1</v>
      </c>
    </row>
    <row r="98" spans="1:5" x14ac:dyDescent="0.25">
      <c r="A98" s="27" t="s">
        <v>677</v>
      </c>
      <c r="B98" s="27" t="str">
        <f t="shared" si="4"/>
        <v>Arkansas</v>
      </c>
      <c r="C98" s="27" t="str">
        <f t="shared" si="5"/>
        <v>Greene</v>
      </c>
      <c r="D98" s="27">
        <v>0</v>
      </c>
      <c r="E98" s="27">
        <v>0</v>
      </c>
    </row>
    <row r="99" spans="1:5" x14ac:dyDescent="0.25">
      <c r="A99" s="27" t="s">
        <v>678</v>
      </c>
      <c r="B99" s="27" t="str">
        <f t="shared" si="4"/>
        <v>Arkansas</v>
      </c>
      <c r="C99" s="27" t="str">
        <f t="shared" si="5"/>
        <v>Hempstead</v>
      </c>
      <c r="D99" s="27">
        <v>20</v>
      </c>
      <c r="E99" s="27">
        <v>5</v>
      </c>
    </row>
    <row r="100" spans="1:5" x14ac:dyDescent="0.25">
      <c r="A100" s="27" t="s">
        <v>679</v>
      </c>
      <c r="B100" s="27" t="str">
        <f t="shared" si="4"/>
        <v>Arkansas</v>
      </c>
      <c r="C100" s="27" t="str">
        <f t="shared" si="5"/>
        <v>Hot Spring</v>
      </c>
      <c r="D100" s="27">
        <v>10</v>
      </c>
      <c r="E100" s="27">
        <v>2</v>
      </c>
    </row>
    <row r="101" spans="1:5" x14ac:dyDescent="0.25">
      <c r="A101" s="27" t="s">
        <v>680</v>
      </c>
      <c r="B101" s="27" t="str">
        <f t="shared" si="4"/>
        <v>Arkansas</v>
      </c>
      <c r="C101" s="27" t="str">
        <f t="shared" si="5"/>
        <v>Howard</v>
      </c>
      <c r="D101" s="27">
        <v>9</v>
      </c>
      <c r="E101" s="27">
        <v>0</v>
      </c>
    </row>
    <row r="102" spans="1:5" x14ac:dyDescent="0.25">
      <c r="A102" s="27" t="s">
        <v>681</v>
      </c>
      <c r="B102" s="27" t="str">
        <f t="shared" si="4"/>
        <v>Arkansas</v>
      </c>
      <c r="C102" s="27" t="str">
        <f t="shared" si="5"/>
        <v>Independence</v>
      </c>
      <c r="D102" s="27">
        <v>0</v>
      </c>
      <c r="E102" s="27">
        <v>0</v>
      </c>
    </row>
    <row r="103" spans="1:5" x14ac:dyDescent="0.25">
      <c r="A103" s="27" t="s">
        <v>682</v>
      </c>
      <c r="B103" s="27" t="str">
        <f t="shared" si="4"/>
        <v>Arkansas</v>
      </c>
      <c r="C103" s="27" t="str">
        <f t="shared" si="5"/>
        <v>Izard</v>
      </c>
      <c r="D103" s="27">
        <v>0</v>
      </c>
      <c r="E103" s="27">
        <v>0</v>
      </c>
    </row>
    <row r="104" spans="1:5" x14ac:dyDescent="0.25">
      <c r="A104" s="27" t="s">
        <v>683</v>
      </c>
      <c r="B104" s="27" t="str">
        <f t="shared" si="4"/>
        <v>Arkansas</v>
      </c>
      <c r="C104" s="27" t="str">
        <f t="shared" si="5"/>
        <v>Jackson</v>
      </c>
      <c r="D104" s="27">
        <v>14</v>
      </c>
      <c r="E104" s="27">
        <v>3</v>
      </c>
    </row>
    <row r="105" spans="1:5" x14ac:dyDescent="0.25">
      <c r="A105" s="27" t="s">
        <v>684</v>
      </c>
      <c r="B105" s="27" t="str">
        <f t="shared" si="4"/>
        <v>Arkansas</v>
      </c>
      <c r="C105" s="27" t="str">
        <f t="shared" si="5"/>
        <v>Jefferson</v>
      </c>
      <c r="D105" s="27">
        <v>68</v>
      </c>
      <c r="E105" s="27">
        <v>2</v>
      </c>
    </row>
    <row r="106" spans="1:5" x14ac:dyDescent="0.25">
      <c r="A106" s="27" t="s">
        <v>685</v>
      </c>
      <c r="B106" s="27" t="str">
        <f t="shared" si="4"/>
        <v>Arkansas</v>
      </c>
      <c r="C106" s="27" t="str">
        <f t="shared" si="5"/>
        <v>Johnson</v>
      </c>
      <c r="D106" s="27">
        <v>0</v>
      </c>
      <c r="E106" s="27">
        <v>1</v>
      </c>
    </row>
    <row r="107" spans="1:5" x14ac:dyDescent="0.25">
      <c r="A107" s="27" t="s">
        <v>686</v>
      </c>
      <c r="B107" s="27" t="str">
        <f t="shared" si="4"/>
        <v>Arkansas</v>
      </c>
      <c r="C107" s="27" t="str">
        <f t="shared" si="5"/>
        <v>Lafayette</v>
      </c>
      <c r="D107" s="27">
        <v>8</v>
      </c>
      <c r="E107" s="27">
        <v>3</v>
      </c>
    </row>
    <row r="108" spans="1:5" x14ac:dyDescent="0.25">
      <c r="A108" s="27" t="s">
        <v>687</v>
      </c>
      <c r="B108" s="27" t="str">
        <f t="shared" si="4"/>
        <v>Arkansas</v>
      </c>
      <c r="C108" s="27" t="str">
        <f t="shared" si="5"/>
        <v>Lawrence</v>
      </c>
      <c r="D108" s="27">
        <v>0</v>
      </c>
      <c r="E108" s="27">
        <v>0</v>
      </c>
    </row>
    <row r="109" spans="1:5" x14ac:dyDescent="0.25">
      <c r="A109" s="27" t="s">
        <v>688</v>
      </c>
      <c r="B109" s="27" t="str">
        <f t="shared" si="4"/>
        <v>Arkansas</v>
      </c>
      <c r="C109" s="27" t="str">
        <f t="shared" si="5"/>
        <v>Lee</v>
      </c>
      <c r="D109" s="27">
        <v>42</v>
      </c>
      <c r="E109" s="27">
        <v>3</v>
      </c>
    </row>
    <row r="110" spans="1:5" x14ac:dyDescent="0.25">
      <c r="A110" s="27" t="s">
        <v>689</v>
      </c>
      <c r="B110" s="27" t="str">
        <f t="shared" si="4"/>
        <v>Arkansas</v>
      </c>
      <c r="C110" s="27" t="str">
        <f t="shared" si="5"/>
        <v>Lincoln</v>
      </c>
      <c r="D110" s="27">
        <v>12</v>
      </c>
      <c r="E110" s="27">
        <v>3</v>
      </c>
    </row>
    <row r="111" spans="1:5" x14ac:dyDescent="0.25">
      <c r="A111" s="27" t="s">
        <v>690</v>
      </c>
      <c r="B111" s="27" t="str">
        <f t="shared" si="4"/>
        <v>Arkansas</v>
      </c>
      <c r="C111" s="27" t="str">
        <f t="shared" si="5"/>
        <v>Little River</v>
      </c>
      <c r="D111" s="27">
        <v>14</v>
      </c>
      <c r="E111" s="27">
        <v>3</v>
      </c>
    </row>
    <row r="112" spans="1:5" x14ac:dyDescent="0.25">
      <c r="A112" s="27" t="s">
        <v>691</v>
      </c>
      <c r="B112" s="27" t="str">
        <f t="shared" si="4"/>
        <v>Arkansas</v>
      </c>
      <c r="C112" s="27" t="str">
        <f t="shared" si="5"/>
        <v>Logan</v>
      </c>
      <c r="D112" s="27">
        <v>2</v>
      </c>
      <c r="E112" s="27">
        <v>0</v>
      </c>
    </row>
    <row r="113" spans="1:5" x14ac:dyDescent="0.25">
      <c r="A113" s="27" t="s">
        <v>692</v>
      </c>
      <c r="B113" s="27" t="str">
        <f t="shared" si="4"/>
        <v>Arkansas</v>
      </c>
      <c r="C113" s="27" t="str">
        <f t="shared" si="5"/>
        <v>Lonoke</v>
      </c>
      <c r="D113" s="27">
        <v>5</v>
      </c>
      <c r="E113" s="27">
        <v>2</v>
      </c>
    </row>
    <row r="114" spans="1:5" x14ac:dyDescent="0.25">
      <c r="A114" s="27" t="s">
        <v>693</v>
      </c>
      <c r="B114" s="27" t="str">
        <f t="shared" si="4"/>
        <v>Arkansas</v>
      </c>
      <c r="C114" s="27" t="str">
        <f t="shared" si="5"/>
        <v>Madison</v>
      </c>
      <c r="D114" s="27">
        <v>0</v>
      </c>
      <c r="E114" s="27">
        <v>0</v>
      </c>
    </row>
    <row r="115" spans="1:5" x14ac:dyDescent="0.25">
      <c r="A115" s="27" t="s">
        <v>694</v>
      </c>
      <c r="B115" s="27" t="str">
        <f t="shared" si="4"/>
        <v>Arkansas</v>
      </c>
      <c r="C115" s="27" t="str">
        <f t="shared" si="5"/>
        <v>Marion</v>
      </c>
      <c r="D115" s="27">
        <v>0</v>
      </c>
      <c r="E115" s="27">
        <v>0</v>
      </c>
    </row>
    <row r="116" spans="1:5" x14ac:dyDescent="0.25">
      <c r="A116" s="27" t="s">
        <v>695</v>
      </c>
      <c r="B116" s="27" t="str">
        <f t="shared" si="4"/>
        <v>Arkansas</v>
      </c>
      <c r="C116" s="27" t="str">
        <f t="shared" si="5"/>
        <v>Miller</v>
      </c>
      <c r="D116" s="27">
        <v>12</v>
      </c>
      <c r="E116" s="27">
        <v>3</v>
      </c>
    </row>
    <row r="117" spans="1:5" x14ac:dyDescent="0.25">
      <c r="A117" s="27" t="s">
        <v>696</v>
      </c>
      <c r="B117" s="27" t="str">
        <f t="shared" si="4"/>
        <v>Arkansas</v>
      </c>
      <c r="C117" s="27" t="str">
        <f t="shared" si="5"/>
        <v>Mississippi</v>
      </c>
      <c r="D117" s="27">
        <v>45</v>
      </c>
      <c r="E117" s="27">
        <v>4</v>
      </c>
    </row>
    <row r="118" spans="1:5" x14ac:dyDescent="0.25">
      <c r="A118" s="27" t="s">
        <v>697</v>
      </c>
      <c r="B118" s="27" t="str">
        <f t="shared" si="4"/>
        <v>Arkansas</v>
      </c>
      <c r="C118" s="27" t="str">
        <f t="shared" si="5"/>
        <v>Monroe</v>
      </c>
      <c r="D118" s="27">
        <v>20</v>
      </c>
      <c r="E118" s="27">
        <v>3</v>
      </c>
    </row>
    <row r="119" spans="1:5" x14ac:dyDescent="0.25">
      <c r="A119" s="27" t="s">
        <v>1713</v>
      </c>
      <c r="B119" s="27" t="str">
        <f t="shared" si="4"/>
        <v>Arkansas</v>
      </c>
      <c r="C119" s="27" t="str">
        <f t="shared" si="5"/>
        <v>Montgomery</v>
      </c>
      <c r="D119" s="27">
        <v>0</v>
      </c>
      <c r="E119" s="27">
        <v>0</v>
      </c>
    </row>
    <row r="120" spans="1:5" x14ac:dyDescent="0.25">
      <c r="A120" s="27" t="s">
        <v>698</v>
      </c>
      <c r="B120" s="27" t="str">
        <f t="shared" si="4"/>
        <v>Arkansas</v>
      </c>
      <c r="C120" s="27" t="str">
        <f t="shared" si="5"/>
        <v>Nevada</v>
      </c>
      <c r="D120" s="27">
        <v>32</v>
      </c>
      <c r="E120" s="27">
        <v>2</v>
      </c>
    </row>
    <row r="121" spans="1:5" x14ac:dyDescent="0.25">
      <c r="A121" s="27" t="s">
        <v>699</v>
      </c>
      <c r="B121" s="27" t="str">
        <f t="shared" si="4"/>
        <v>Arkansas</v>
      </c>
      <c r="C121" s="27" t="str">
        <f t="shared" si="5"/>
        <v>Newton</v>
      </c>
      <c r="D121" s="27">
        <v>0</v>
      </c>
      <c r="E121" s="27">
        <v>1</v>
      </c>
    </row>
    <row r="122" spans="1:5" x14ac:dyDescent="0.25">
      <c r="A122" s="27" t="s">
        <v>700</v>
      </c>
      <c r="B122" s="27" t="str">
        <f t="shared" si="4"/>
        <v>Arkansas</v>
      </c>
      <c r="C122" s="27" t="str">
        <f t="shared" si="5"/>
        <v>Ouachita</v>
      </c>
      <c r="D122" s="27">
        <v>39</v>
      </c>
      <c r="E122" s="27">
        <v>3</v>
      </c>
    </row>
    <row r="123" spans="1:5" x14ac:dyDescent="0.25">
      <c r="A123" s="27" t="s">
        <v>701</v>
      </c>
      <c r="B123" s="27" t="str">
        <f t="shared" si="4"/>
        <v>Arkansas</v>
      </c>
      <c r="C123" s="27" t="str">
        <f t="shared" si="5"/>
        <v>Perry</v>
      </c>
      <c r="D123" s="27">
        <v>2</v>
      </c>
      <c r="E123" s="27">
        <v>0</v>
      </c>
    </row>
    <row r="124" spans="1:5" x14ac:dyDescent="0.25">
      <c r="A124" s="27" t="s">
        <v>702</v>
      </c>
      <c r="B124" s="27" t="str">
        <f t="shared" si="4"/>
        <v>Arkansas</v>
      </c>
      <c r="C124" s="27" t="str">
        <f t="shared" si="5"/>
        <v>Phillips</v>
      </c>
      <c r="D124" s="27">
        <v>54</v>
      </c>
      <c r="E124" s="27">
        <v>7</v>
      </c>
    </row>
    <row r="125" spans="1:5" x14ac:dyDescent="0.25">
      <c r="A125" s="27" t="s">
        <v>703</v>
      </c>
      <c r="B125" s="27" t="str">
        <f t="shared" si="4"/>
        <v>Arkansas</v>
      </c>
      <c r="C125" s="27" t="str">
        <f t="shared" si="5"/>
        <v>Pike</v>
      </c>
      <c r="D125" s="27">
        <v>4</v>
      </c>
      <c r="E125" s="27">
        <v>0</v>
      </c>
    </row>
    <row r="126" spans="1:5" x14ac:dyDescent="0.25">
      <c r="A126" s="27" t="s">
        <v>704</v>
      </c>
      <c r="B126" s="27" t="str">
        <f t="shared" si="4"/>
        <v>Arkansas</v>
      </c>
      <c r="C126" s="27" t="str">
        <f t="shared" si="5"/>
        <v>Poinsett</v>
      </c>
      <c r="D126" s="27">
        <v>0</v>
      </c>
      <c r="E126" s="27">
        <v>0</v>
      </c>
    </row>
    <row r="127" spans="1:5" x14ac:dyDescent="0.25">
      <c r="A127" s="27" t="s">
        <v>705</v>
      </c>
      <c r="B127" s="27" t="str">
        <f t="shared" si="4"/>
        <v>Arkansas</v>
      </c>
      <c r="C127" s="27" t="str">
        <f t="shared" si="5"/>
        <v>Polk</v>
      </c>
      <c r="D127" s="27">
        <v>0</v>
      </c>
      <c r="E127" s="27">
        <v>2</v>
      </c>
    </row>
    <row r="128" spans="1:5" x14ac:dyDescent="0.25">
      <c r="A128" s="27" t="s">
        <v>706</v>
      </c>
      <c r="B128" s="27" t="str">
        <f t="shared" si="4"/>
        <v>Arkansas</v>
      </c>
      <c r="C128" s="27" t="str">
        <f t="shared" si="5"/>
        <v>Pope</v>
      </c>
      <c r="D128" s="27">
        <v>3</v>
      </c>
      <c r="E128" s="27">
        <v>1</v>
      </c>
    </row>
    <row r="129" spans="1:5" x14ac:dyDescent="0.25">
      <c r="A129" s="27" t="s">
        <v>707</v>
      </c>
      <c r="B129" s="27" t="str">
        <f t="shared" si="4"/>
        <v>Arkansas</v>
      </c>
      <c r="C129" s="27" t="str">
        <f t="shared" si="5"/>
        <v>Prairie</v>
      </c>
      <c r="D129" s="27">
        <v>15</v>
      </c>
      <c r="E129" s="27">
        <v>1</v>
      </c>
    </row>
    <row r="130" spans="1:5" x14ac:dyDescent="0.25">
      <c r="A130" s="27" t="s">
        <v>708</v>
      </c>
      <c r="B130" s="27" t="str">
        <f t="shared" si="4"/>
        <v>Arkansas</v>
      </c>
      <c r="C130" s="27" t="str">
        <f t="shared" si="5"/>
        <v>Pulaski</v>
      </c>
      <c r="D130" s="27">
        <v>70</v>
      </c>
      <c r="E130" s="27">
        <v>7</v>
      </c>
    </row>
    <row r="131" spans="1:5" x14ac:dyDescent="0.25">
      <c r="A131" s="27" t="s">
        <v>709</v>
      </c>
      <c r="B131" s="27" t="str">
        <f t="shared" si="4"/>
        <v>Arkansas</v>
      </c>
      <c r="C131" s="27" t="str">
        <f t="shared" si="5"/>
        <v>Randolph</v>
      </c>
      <c r="D131" s="27">
        <v>0</v>
      </c>
      <c r="E131" s="27">
        <v>0</v>
      </c>
    </row>
    <row r="132" spans="1:5" x14ac:dyDescent="0.25">
      <c r="A132" s="27" t="s">
        <v>1747</v>
      </c>
      <c r="B132" s="27" t="str">
        <f>LEFT(A132,FIND(";",A132)-1)</f>
        <v>Arkansas</v>
      </c>
      <c r="C132" s="27" t="str">
        <f t="shared" ref="C132:C145" si="6">MID(A132,FIND(";",A132)+1,100)</f>
        <v>St Francis</v>
      </c>
      <c r="D132" s="27">
        <v>56</v>
      </c>
      <c r="E132" s="27">
        <v>0</v>
      </c>
    </row>
    <row r="133" spans="1:5" x14ac:dyDescent="0.25">
      <c r="A133" s="27" t="s">
        <v>710</v>
      </c>
      <c r="B133" s="27" t="str">
        <f t="shared" si="4"/>
        <v>Arkansas</v>
      </c>
      <c r="C133" s="27" t="str">
        <f t="shared" si="6"/>
        <v>Saline</v>
      </c>
      <c r="D133" s="27">
        <v>0</v>
      </c>
      <c r="E133" s="27">
        <v>2</v>
      </c>
    </row>
    <row r="134" spans="1:5" x14ac:dyDescent="0.25">
      <c r="A134" s="27" t="s">
        <v>711</v>
      </c>
      <c r="B134" s="27" t="str">
        <f t="shared" ref="B134:B196" si="7">LEFT(A134,FIND(";",A134)-1)</f>
        <v>Arkansas</v>
      </c>
      <c r="C134" s="27" t="str">
        <f t="shared" si="6"/>
        <v>Scott</v>
      </c>
      <c r="D134" s="27">
        <v>0</v>
      </c>
      <c r="E134" s="27">
        <v>1</v>
      </c>
    </row>
    <row r="135" spans="1:5" x14ac:dyDescent="0.25">
      <c r="A135" s="27" t="s">
        <v>712</v>
      </c>
      <c r="B135" s="27" t="str">
        <f t="shared" si="7"/>
        <v>Arkansas</v>
      </c>
      <c r="C135" s="27" t="str">
        <f t="shared" si="6"/>
        <v>Searcy</v>
      </c>
      <c r="D135" s="27">
        <v>0</v>
      </c>
      <c r="E135" s="27">
        <v>1</v>
      </c>
    </row>
    <row r="136" spans="1:5" x14ac:dyDescent="0.25">
      <c r="A136" s="27" t="s">
        <v>713</v>
      </c>
      <c r="B136" s="27" t="str">
        <f t="shared" si="7"/>
        <v>Arkansas</v>
      </c>
      <c r="C136" s="27" t="str">
        <f t="shared" si="6"/>
        <v>Sebastian</v>
      </c>
      <c r="D136" s="27">
        <v>0</v>
      </c>
      <c r="E136" s="27">
        <v>0</v>
      </c>
    </row>
    <row r="137" spans="1:5" x14ac:dyDescent="0.25">
      <c r="A137" s="27" t="s">
        <v>714</v>
      </c>
      <c r="B137" s="27" t="str">
        <f t="shared" si="7"/>
        <v>Arkansas</v>
      </c>
      <c r="C137" s="27" t="str">
        <f t="shared" si="6"/>
        <v>Sevier</v>
      </c>
      <c r="D137" s="27">
        <v>10</v>
      </c>
      <c r="E137" s="27">
        <v>3</v>
      </c>
    </row>
    <row r="138" spans="1:5" x14ac:dyDescent="0.25">
      <c r="A138" s="27" t="s">
        <v>715</v>
      </c>
      <c r="B138" s="27" t="str">
        <f t="shared" si="7"/>
        <v>Arkansas</v>
      </c>
      <c r="C138" s="27" t="str">
        <f t="shared" si="6"/>
        <v>Sharp</v>
      </c>
      <c r="D138" s="27">
        <v>0</v>
      </c>
      <c r="E138" s="27">
        <v>0</v>
      </c>
    </row>
    <row r="139" spans="1:5" x14ac:dyDescent="0.25">
      <c r="A139" s="27" t="s">
        <v>716</v>
      </c>
      <c r="B139" s="27" t="str">
        <f t="shared" si="7"/>
        <v>Arkansas</v>
      </c>
      <c r="C139" s="27" t="str">
        <f t="shared" si="6"/>
        <v>Stone</v>
      </c>
      <c r="D139" s="27">
        <v>0</v>
      </c>
      <c r="E139" s="27">
        <v>0</v>
      </c>
    </row>
    <row r="140" spans="1:5" x14ac:dyDescent="0.25">
      <c r="A140" s="27" t="s">
        <v>717</v>
      </c>
      <c r="B140" s="27" t="str">
        <f t="shared" si="7"/>
        <v>Arkansas</v>
      </c>
      <c r="C140" s="27" t="str">
        <f t="shared" si="6"/>
        <v>Union</v>
      </c>
      <c r="D140" s="27">
        <v>30</v>
      </c>
      <c r="E140" s="27">
        <v>2</v>
      </c>
    </row>
    <row r="141" spans="1:5" x14ac:dyDescent="0.25">
      <c r="A141" s="27" t="s">
        <v>718</v>
      </c>
      <c r="B141" s="27" t="str">
        <f t="shared" si="7"/>
        <v>Arkansas</v>
      </c>
      <c r="C141" s="27" t="str">
        <f t="shared" si="6"/>
        <v>Van Buren</v>
      </c>
      <c r="D141" s="27">
        <v>0</v>
      </c>
      <c r="E141" s="27">
        <v>0</v>
      </c>
    </row>
    <row r="142" spans="1:5" x14ac:dyDescent="0.25">
      <c r="A142" s="27" t="s">
        <v>719</v>
      </c>
      <c r="B142" s="27" t="str">
        <f t="shared" si="7"/>
        <v>Arkansas</v>
      </c>
      <c r="C142" s="27" t="str">
        <f t="shared" si="6"/>
        <v>Washington</v>
      </c>
      <c r="D142" s="27">
        <v>0</v>
      </c>
      <c r="E142" s="27">
        <v>0</v>
      </c>
    </row>
    <row r="143" spans="1:5" x14ac:dyDescent="0.25">
      <c r="A143" s="27" t="s">
        <v>720</v>
      </c>
      <c r="B143" s="27" t="str">
        <f t="shared" si="7"/>
        <v>Arkansas</v>
      </c>
      <c r="C143" s="27" t="str">
        <f t="shared" si="6"/>
        <v>White</v>
      </c>
      <c r="D143" s="27">
        <v>7</v>
      </c>
      <c r="E143" s="27">
        <v>2</v>
      </c>
    </row>
    <row r="144" spans="1:5" x14ac:dyDescent="0.25">
      <c r="A144" s="27" t="s">
        <v>721</v>
      </c>
      <c r="B144" s="27" t="str">
        <f t="shared" si="7"/>
        <v>Arkansas</v>
      </c>
      <c r="C144" s="27" t="str">
        <f t="shared" si="6"/>
        <v>Woodruff</v>
      </c>
      <c r="D144" s="27">
        <v>21</v>
      </c>
      <c r="E144" s="27">
        <v>2</v>
      </c>
    </row>
    <row r="145" spans="1:5" x14ac:dyDescent="0.25">
      <c r="A145" s="27" t="s">
        <v>722</v>
      </c>
      <c r="B145" s="27" t="str">
        <f t="shared" si="7"/>
        <v>Arkansas</v>
      </c>
      <c r="C145" s="27" t="str">
        <f t="shared" si="6"/>
        <v>Yell</v>
      </c>
      <c r="D145" s="27">
        <v>0</v>
      </c>
      <c r="E145" s="27">
        <v>0</v>
      </c>
    </row>
    <row r="146" spans="1:5" x14ac:dyDescent="0.25">
      <c r="C146" s="31">
        <f>SUM(D147:D307)</f>
        <v>745</v>
      </c>
      <c r="D146" s="31">
        <v>746</v>
      </c>
      <c r="E146" s="27">
        <v>257</v>
      </c>
    </row>
    <row r="147" spans="1:5" x14ac:dyDescent="0.25">
      <c r="A147" s="27" t="s">
        <v>723</v>
      </c>
      <c r="B147" s="27" t="str">
        <f t="shared" si="7"/>
        <v>Georgia</v>
      </c>
      <c r="C147" s="27" t="str">
        <f t="shared" ref="C147:C178" si="8">MID(A147,FIND(";",A147)+1,100)</f>
        <v>Appling</v>
      </c>
      <c r="D147" s="27">
        <v>0</v>
      </c>
      <c r="E147" s="27">
        <v>0</v>
      </c>
    </row>
    <row r="148" spans="1:5" x14ac:dyDescent="0.25">
      <c r="A148" s="27" t="s">
        <v>724</v>
      </c>
      <c r="B148" s="27" t="str">
        <f t="shared" si="7"/>
        <v>Georgia</v>
      </c>
      <c r="C148" s="27" t="str">
        <f t="shared" si="8"/>
        <v>Atkinson</v>
      </c>
      <c r="D148" s="27">
        <v>0</v>
      </c>
      <c r="E148" s="27">
        <v>0</v>
      </c>
    </row>
    <row r="149" spans="1:5" x14ac:dyDescent="0.25">
      <c r="A149" s="27" t="s">
        <v>725</v>
      </c>
      <c r="B149" s="27" t="str">
        <f t="shared" si="7"/>
        <v>Georgia</v>
      </c>
      <c r="C149" s="27" t="str">
        <f t="shared" si="8"/>
        <v>Bacon</v>
      </c>
      <c r="D149" s="27">
        <v>0</v>
      </c>
      <c r="E149" s="27">
        <v>0</v>
      </c>
    </row>
    <row r="150" spans="1:5" x14ac:dyDescent="0.25">
      <c r="A150" s="27" t="s">
        <v>726</v>
      </c>
      <c r="B150" s="27" t="str">
        <f t="shared" si="7"/>
        <v>Georgia</v>
      </c>
      <c r="C150" s="27" t="str">
        <f t="shared" si="8"/>
        <v>Baker</v>
      </c>
      <c r="D150" s="27">
        <v>0</v>
      </c>
      <c r="E150" s="27">
        <v>4</v>
      </c>
    </row>
    <row r="151" spans="1:5" x14ac:dyDescent="0.25">
      <c r="A151" s="27" t="s">
        <v>727</v>
      </c>
      <c r="B151" s="27" t="str">
        <f t="shared" si="7"/>
        <v>Georgia</v>
      </c>
      <c r="C151" s="27" t="str">
        <f t="shared" si="8"/>
        <v>Baldwin</v>
      </c>
      <c r="D151" s="27">
        <v>7</v>
      </c>
      <c r="E151" s="27">
        <v>1</v>
      </c>
    </row>
    <row r="152" spans="1:5" x14ac:dyDescent="0.25">
      <c r="A152" s="27" t="s">
        <v>728</v>
      </c>
      <c r="B152" s="27" t="str">
        <f t="shared" si="7"/>
        <v>Georgia</v>
      </c>
      <c r="C152" s="27" t="str">
        <f t="shared" si="8"/>
        <v>Banks</v>
      </c>
      <c r="D152" s="27">
        <v>0</v>
      </c>
      <c r="E152" s="27">
        <v>0</v>
      </c>
    </row>
    <row r="153" spans="1:5" x14ac:dyDescent="0.25">
      <c r="A153" s="27" t="s">
        <v>729</v>
      </c>
      <c r="B153" s="27" t="str">
        <f t="shared" si="7"/>
        <v>Georgia</v>
      </c>
      <c r="C153" s="27" t="str">
        <f t="shared" si="8"/>
        <v>Barrow</v>
      </c>
      <c r="D153" s="27">
        <v>0</v>
      </c>
      <c r="E153" s="27">
        <v>1</v>
      </c>
    </row>
    <row r="154" spans="1:5" x14ac:dyDescent="0.25">
      <c r="A154" s="27" t="s">
        <v>1778</v>
      </c>
      <c r="B154" s="27" t="str">
        <f t="shared" si="7"/>
        <v>Georgia</v>
      </c>
      <c r="C154" s="27" t="str">
        <f t="shared" si="8"/>
        <v>Bartow/Cass</v>
      </c>
      <c r="D154" s="27">
        <v>8</v>
      </c>
      <c r="E154" s="27">
        <v>2</v>
      </c>
    </row>
    <row r="155" spans="1:5" x14ac:dyDescent="0.25">
      <c r="A155" s="27" t="s">
        <v>730</v>
      </c>
      <c r="B155" s="27" t="str">
        <f t="shared" si="7"/>
        <v>Georgia</v>
      </c>
      <c r="C155" s="27" t="str">
        <f t="shared" si="8"/>
        <v>Ben Hill</v>
      </c>
      <c r="D155" s="27">
        <v>5</v>
      </c>
      <c r="E155" s="27">
        <v>0</v>
      </c>
    </row>
    <row r="156" spans="1:5" x14ac:dyDescent="0.25">
      <c r="A156" s="27" t="s">
        <v>731</v>
      </c>
      <c r="B156" s="27" t="str">
        <f t="shared" si="7"/>
        <v>Georgia</v>
      </c>
      <c r="C156" s="27" t="str">
        <f t="shared" si="8"/>
        <v>Berrien</v>
      </c>
      <c r="D156" s="27">
        <v>3</v>
      </c>
      <c r="E156" s="27">
        <v>0</v>
      </c>
    </row>
    <row r="157" spans="1:5" x14ac:dyDescent="0.25">
      <c r="A157" s="27" t="s">
        <v>732</v>
      </c>
      <c r="B157" s="27" t="str">
        <f t="shared" si="7"/>
        <v>Georgia</v>
      </c>
      <c r="C157" s="27" t="str">
        <f t="shared" si="8"/>
        <v>Bibb</v>
      </c>
      <c r="D157" s="27">
        <v>4</v>
      </c>
      <c r="E157" s="27">
        <v>3</v>
      </c>
    </row>
    <row r="158" spans="1:5" x14ac:dyDescent="0.25">
      <c r="A158" s="27" t="s">
        <v>733</v>
      </c>
      <c r="B158" s="27" t="str">
        <f t="shared" si="7"/>
        <v>Georgia</v>
      </c>
      <c r="C158" s="27" t="str">
        <f t="shared" si="8"/>
        <v>Bleckley</v>
      </c>
      <c r="D158" s="27">
        <v>3</v>
      </c>
      <c r="E158" s="27">
        <v>7</v>
      </c>
    </row>
    <row r="159" spans="1:5" x14ac:dyDescent="0.25">
      <c r="A159" s="27" t="s">
        <v>734</v>
      </c>
      <c r="B159" s="27" t="str">
        <f t="shared" si="7"/>
        <v>Georgia</v>
      </c>
      <c r="C159" s="27" t="str">
        <f t="shared" si="8"/>
        <v>Brantley</v>
      </c>
      <c r="D159" s="27">
        <v>0</v>
      </c>
      <c r="E159" s="27">
        <v>0</v>
      </c>
    </row>
    <row r="160" spans="1:5" x14ac:dyDescent="0.25">
      <c r="A160" s="27" t="s">
        <v>735</v>
      </c>
      <c r="B160" s="27" t="str">
        <f t="shared" si="7"/>
        <v>Georgia</v>
      </c>
      <c r="C160" s="27" t="str">
        <f t="shared" si="8"/>
        <v>Brooks</v>
      </c>
      <c r="D160" s="27">
        <v>19</v>
      </c>
      <c r="E160" s="27">
        <v>10</v>
      </c>
    </row>
    <row r="161" spans="1:5" x14ac:dyDescent="0.25">
      <c r="A161" s="27" t="s">
        <v>736</v>
      </c>
      <c r="B161" s="27" t="str">
        <f t="shared" si="7"/>
        <v>Georgia</v>
      </c>
      <c r="C161" s="27" t="str">
        <f t="shared" si="8"/>
        <v>Bryan</v>
      </c>
      <c r="D161" s="27">
        <v>3</v>
      </c>
      <c r="E161" s="27">
        <v>3</v>
      </c>
    </row>
    <row r="162" spans="1:5" x14ac:dyDescent="0.25">
      <c r="A162" s="27" t="s">
        <v>737</v>
      </c>
      <c r="B162" s="27" t="str">
        <f t="shared" si="7"/>
        <v>Georgia</v>
      </c>
      <c r="C162" s="27" t="str">
        <f t="shared" si="8"/>
        <v>Bulloch</v>
      </c>
      <c r="D162" s="27">
        <v>7</v>
      </c>
      <c r="E162" s="27">
        <v>8</v>
      </c>
    </row>
    <row r="163" spans="1:5" x14ac:dyDescent="0.25">
      <c r="A163" s="27" t="s">
        <v>738</v>
      </c>
      <c r="B163" s="27" t="str">
        <f t="shared" si="7"/>
        <v>Georgia</v>
      </c>
      <c r="C163" s="27" t="str">
        <f t="shared" si="8"/>
        <v>Burke</v>
      </c>
      <c r="D163" s="27">
        <v>7</v>
      </c>
      <c r="E163" s="27">
        <v>0</v>
      </c>
    </row>
    <row r="164" spans="1:5" x14ac:dyDescent="0.25">
      <c r="A164" s="27" t="s">
        <v>739</v>
      </c>
      <c r="B164" s="27" t="str">
        <f t="shared" si="7"/>
        <v>Georgia</v>
      </c>
      <c r="C164" s="27" t="str">
        <f t="shared" si="8"/>
        <v>Butts</v>
      </c>
      <c r="D164" s="27">
        <v>0</v>
      </c>
      <c r="E164" s="27">
        <v>1</v>
      </c>
    </row>
    <row r="165" spans="1:5" x14ac:dyDescent="0.25">
      <c r="A165" s="27" t="s">
        <v>740</v>
      </c>
      <c r="B165" s="27" t="str">
        <f t="shared" si="7"/>
        <v>Georgia</v>
      </c>
      <c r="C165" s="27" t="str">
        <f t="shared" si="8"/>
        <v>Calhoun</v>
      </c>
      <c r="D165" s="27">
        <v>0</v>
      </c>
      <c r="E165" s="27">
        <v>3</v>
      </c>
    </row>
    <row r="166" spans="1:5" x14ac:dyDescent="0.25">
      <c r="A166" s="27" t="s">
        <v>741</v>
      </c>
      <c r="B166" s="27" t="str">
        <f t="shared" si="7"/>
        <v>Georgia</v>
      </c>
      <c r="C166" s="27" t="str">
        <f t="shared" si="8"/>
        <v>Camden</v>
      </c>
      <c r="D166" s="27">
        <v>13</v>
      </c>
      <c r="E166" s="27">
        <v>1</v>
      </c>
    </row>
    <row r="167" spans="1:5" x14ac:dyDescent="0.25">
      <c r="A167" s="27" t="s">
        <v>742</v>
      </c>
      <c r="B167" s="27" t="str">
        <f t="shared" si="7"/>
        <v>Georgia</v>
      </c>
      <c r="C167" s="27" t="str">
        <f t="shared" si="8"/>
        <v>Campbell</v>
      </c>
      <c r="D167" s="27">
        <v>0</v>
      </c>
      <c r="E167" s="27">
        <v>1</v>
      </c>
    </row>
    <row r="168" spans="1:5" x14ac:dyDescent="0.25">
      <c r="A168" s="27" t="s">
        <v>743</v>
      </c>
      <c r="B168" s="27" t="str">
        <f t="shared" si="7"/>
        <v>Georgia</v>
      </c>
      <c r="C168" s="27" t="str">
        <f t="shared" si="8"/>
        <v>Candler</v>
      </c>
      <c r="D168" s="27">
        <v>3</v>
      </c>
      <c r="E168" s="27">
        <v>1</v>
      </c>
    </row>
    <row r="169" spans="1:5" x14ac:dyDescent="0.25">
      <c r="A169" s="27" t="s">
        <v>744</v>
      </c>
      <c r="B169" s="27" t="str">
        <f t="shared" si="7"/>
        <v>Georgia</v>
      </c>
      <c r="C169" s="27" t="str">
        <f t="shared" si="8"/>
        <v>Carroll</v>
      </c>
      <c r="D169" s="27">
        <v>7</v>
      </c>
      <c r="E169" s="27">
        <v>0</v>
      </c>
    </row>
    <row r="170" spans="1:5" x14ac:dyDescent="0.25">
      <c r="A170" s="27" t="s">
        <v>745</v>
      </c>
      <c r="B170" s="27" t="str">
        <f t="shared" si="7"/>
        <v>Georgia</v>
      </c>
      <c r="C170" s="27" t="str">
        <f t="shared" si="8"/>
        <v>Catoosa</v>
      </c>
      <c r="D170" s="27">
        <v>0</v>
      </c>
      <c r="E170" s="27">
        <v>0</v>
      </c>
    </row>
    <row r="171" spans="1:5" x14ac:dyDescent="0.25">
      <c r="A171" s="27" t="s">
        <v>746</v>
      </c>
      <c r="B171" s="27" t="str">
        <f t="shared" si="7"/>
        <v>Georgia</v>
      </c>
      <c r="C171" s="27" t="str">
        <f t="shared" si="8"/>
        <v>Charlton</v>
      </c>
      <c r="D171" s="27">
        <v>2</v>
      </c>
      <c r="E171" s="27">
        <v>0</v>
      </c>
    </row>
    <row r="172" spans="1:5" x14ac:dyDescent="0.25">
      <c r="A172" s="27" t="s">
        <v>747</v>
      </c>
      <c r="B172" s="27" t="str">
        <f t="shared" si="7"/>
        <v>Georgia</v>
      </c>
      <c r="C172" s="27" t="str">
        <f t="shared" si="8"/>
        <v>Chatham</v>
      </c>
      <c r="D172" s="27">
        <v>5</v>
      </c>
      <c r="E172" s="27">
        <v>1</v>
      </c>
    </row>
    <row r="173" spans="1:5" x14ac:dyDescent="0.25">
      <c r="A173" s="27" t="s">
        <v>748</v>
      </c>
      <c r="B173" s="27" t="str">
        <f t="shared" si="7"/>
        <v>Georgia</v>
      </c>
      <c r="C173" s="27" t="str">
        <f t="shared" si="8"/>
        <v>Chattahoochee</v>
      </c>
      <c r="D173" s="27">
        <v>4</v>
      </c>
      <c r="E173" s="27">
        <v>0</v>
      </c>
    </row>
    <row r="174" spans="1:5" x14ac:dyDescent="0.25">
      <c r="A174" s="27" t="s">
        <v>749</v>
      </c>
      <c r="B174" s="27" t="str">
        <f t="shared" si="7"/>
        <v>Georgia</v>
      </c>
      <c r="C174" s="27" t="str">
        <f t="shared" si="8"/>
        <v>Chattooga</v>
      </c>
      <c r="D174" s="27">
        <v>4</v>
      </c>
      <c r="E174" s="27">
        <v>0</v>
      </c>
    </row>
    <row r="175" spans="1:5" x14ac:dyDescent="0.25">
      <c r="A175" s="27" t="s">
        <v>750</v>
      </c>
      <c r="B175" s="27" t="str">
        <f t="shared" si="7"/>
        <v>Georgia</v>
      </c>
      <c r="C175" s="27" t="str">
        <f t="shared" si="8"/>
        <v>Cherokee</v>
      </c>
      <c r="D175" s="27">
        <v>0</v>
      </c>
      <c r="E175" s="27">
        <v>0</v>
      </c>
    </row>
    <row r="176" spans="1:5" x14ac:dyDescent="0.25">
      <c r="A176" s="27" t="s">
        <v>751</v>
      </c>
      <c r="B176" s="27" t="str">
        <f t="shared" si="7"/>
        <v>Georgia</v>
      </c>
      <c r="C176" s="27" t="str">
        <f t="shared" si="8"/>
        <v>Clarke</v>
      </c>
      <c r="D176" s="27">
        <v>5</v>
      </c>
      <c r="E176" s="27">
        <v>2</v>
      </c>
    </row>
    <row r="177" spans="1:5" x14ac:dyDescent="0.25">
      <c r="A177" s="27" t="s">
        <v>752</v>
      </c>
      <c r="B177" s="27" t="str">
        <f t="shared" si="7"/>
        <v>Georgia</v>
      </c>
      <c r="C177" s="27" t="str">
        <f t="shared" si="8"/>
        <v>Clay</v>
      </c>
      <c r="D177" s="27">
        <v>5</v>
      </c>
      <c r="E177" s="27">
        <v>0</v>
      </c>
    </row>
    <row r="178" spans="1:5" x14ac:dyDescent="0.25">
      <c r="A178" s="27" t="s">
        <v>753</v>
      </c>
      <c r="B178" s="27" t="str">
        <f t="shared" si="7"/>
        <v>Georgia</v>
      </c>
      <c r="C178" s="27" t="str">
        <f t="shared" si="8"/>
        <v>Clayton</v>
      </c>
      <c r="D178" s="27">
        <v>3</v>
      </c>
      <c r="E178" s="27">
        <v>0</v>
      </c>
    </row>
    <row r="179" spans="1:5" x14ac:dyDescent="0.25">
      <c r="A179" s="27" t="s">
        <v>754</v>
      </c>
      <c r="B179" s="27" t="str">
        <f t="shared" si="7"/>
        <v>Georgia</v>
      </c>
      <c r="C179" s="27" t="str">
        <f t="shared" ref="C179:C210" si="9">MID(A179,FIND(";",A179)+1,100)</f>
        <v>Clinch</v>
      </c>
      <c r="D179" s="27">
        <v>2</v>
      </c>
      <c r="E179" s="27">
        <v>0</v>
      </c>
    </row>
    <row r="180" spans="1:5" x14ac:dyDescent="0.25">
      <c r="A180" s="27" t="s">
        <v>755</v>
      </c>
      <c r="B180" s="27" t="str">
        <f t="shared" si="7"/>
        <v>Georgia</v>
      </c>
      <c r="C180" s="27" t="str">
        <f t="shared" si="9"/>
        <v>Cobb</v>
      </c>
      <c r="D180" s="27">
        <v>8</v>
      </c>
      <c r="E180" s="27">
        <v>2</v>
      </c>
    </row>
    <row r="181" spans="1:5" x14ac:dyDescent="0.25">
      <c r="A181" s="27" t="s">
        <v>756</v>
      </c>
      <c r="B181" s="27" t="str">
        <f t="shared" si="7"/>
        <v>Georgia</v>
      </c>
      <c r="C181" s="27" t="str">
        <f t="shared" si="9"/>
        <v>Coffee</v>
      </c>
      <c r="D181" s="27">
        <v>5</v>
      </c>
      <c r="E181" s="27">
        <v>5</v>
      </c>
    </row>
    <row r="182" spans="1:5" x14ac:dyDescent="0.25">
      <c r="A182" s="27" t="s">
        <v>757</v>
      </c>
      <c r="B182" s="27" t="str">
        <f t="shared" si="7"/>
        <v>Georgia</v>
      </c>
      <c r="C182" s="27" t="str">
        <f t="shared" si="9"/>
        <v>Colquitt</v>
      </c>
      <c r="D182" s="27">
        <v>13</v>
      </c>
      <c r="E182" s="27">
        <v>3</v>
      </c>
    </row>
    <row r="183" spans="1:5" x14ac:dyDescent="0.25">
      <c r="A183" s="27" t="s">
        <v>758</v>
      </c>
      <c r="B183" s="27" t="str">
        <f t="shared" si="7"/>
        <v>Georgia</v>
      </c>
      <c r="C183" s="27" t="str">
        <f t="shared" si="9"/>
        <v>Columbia</v>
      </c>
      <c r="D183" s="27">
        <v>0</v>
      </c>
      <c r="E183" s="27">
        <v>8</v>
      </c>
    </row>
    <row r="184" spans="1:5" x14ac:dyDescent="0.25">
      <c r="A184" s="27" t="s">
        <v>759</v>
      </c>
      <c r="B184" s="27" t="str">
        <f t="shared" si="7"/>
        <v>Georgia</v>
      </c>
      <c r="C184" s="27" t="str">
        <f t="shared" si="9"/>
        <v>Cook</v>
      </c>
      <c r="D184" s="27">
        <v>14</v>
      </c>
      <c r="E184" s="27">
        <v>0</v>
      </c>
    </row>
    <row r="185" spans="1:5" x14ac:dyDescent="0.25">
      <c r="A185" s="27" t="s">
        <v>760</v>
      </c>
      <c r="B185" s="27" t="str">
        <f t="shared" si="7"/>
        <v>Georgia</v>
      </c>
      <c r="C185" s="27" t="str">
        <f t="shared" si="9"/>
        <v>Coweta</v>
      </c>
      <c r="D185" s="27">
        <v>16</v>
      </c>
      <c r="E185" s="27">
        <v>0</v>
      </c>
    </row>
    <row r="186" spans="1:5" x14ac:dyDescent="0.25">
      <c r="A186" s="27" t="s">
        <v>761</v>
      </c>
      <c r="B186" s="27" t="str">
        <f t="shared" si="7"/>
        <v>Georgia</v>
      </c>
      <c r="C186" s="27" t="str">
        <f t="shared" si="9"/>
        <v>Crawford</v>
      </c>
      <c r="D186" s="27">
        <v>0</v>
      </c>
      <c r="E186" s="27">
        <v>1</v>
      </c>
    </row>
    <row r="187" spans="1:5" x14ac:dyDescent="0.25">
      <c r="A187" s="27" t="s">
        <v>762</v>
      </c>
      <c r="B187" s="27" t="str">
        <f t="shared" si="7"/>
        <v>Georgia</v>
      </c>
      <c r="C187" s="27" t="str">
        <f t="shared" si="9"/>
        <v>Crisp</v>
      </c>
      <c r="D187" s="27">
        <v>6</v>
      </c>
      <c r="E187" s="27">
        <v>5</v>
      </c>
    </row>
    <row r="188" spans="1:5" x14ac:dyDescent="0.25">
      <c r="A188" s="27" t="s">
        <v>763</v>
      </c>
      <c r="B188" s="27" t="str">
        <f t="shared" si="7"/>
        <v>Georgia</v>
      </c>
      <c r="C188" s="27" t="str">
        <f t="shared" si="9"/>
        <v>Dade</v>
      </c>
      <c r="D188" s="27">
        <v>0</v>
      </c>
      <c r="E188" s="27">
        <v>0</v>
      </c>
    </row>
    <row r="189" spans="1:5" x14ac:dyDescent="0.25">
      <c r="A189" s="27" t="s">
        <v>764</v>
      </c>
      <c r="B189" s="27" t="str">
        <f t="shared" si="7"/>
        <v>Georgia</v>
      </c>
      <c r="C189" s="27" t="str">
        <f t="shared" si="9"/>
        <v>Dawson</v>
      </c>
      <c r="D189" s="27">
        <v>0</v>
      </c>
      <c r="E189" s="27">
        <v>0</v>
      </c>
    </row>
    <row r="190" spans="1:5" x14ac:dyDescent="0.25">
      <c r="A190" s="27" t="s">
        <v>765</v>
      </c>
      <c r="B190" s="27" t="str">
        <f t="shared" si="7"/>
        <v>Georgia</v>
      </c>
      <c r="C190" s="27" t="str">
        <f t="shared" si="9"/>
        <v>Decatur</v>
      </c>
      <c r="D190" s="27">
        <v>8</v>
      </c>
      <c r="E190" s="27">
        <v>5</v>
      </c>
    </row>
    <row r="191" spans="1:5" x14ac:dyDescent="0.25">
      <c r="A191" s="27" t="s">
        <v>766</v>
      </c>
      <c r="B191" s="27" t="str">
        <f t="shared" si="7"/>
        <v>Georgia</v>
      </c>
      <c r="C191" s="27" t="str">
        <f t="shared" si="9"/>
        <v>DeKalb</v>
      </c>
      <c r="D191" s="27">
        <v>11</v>
      </c>
      <c r="E191" s="27">
        <v>0</v>
      </c>
    </row>
    <row r="192" spans="1:5" x14ac:dyDescent="0.25">
      <c r="A192" s="27" t="s">
        <v>767</v>
      </c>
      <c r="B192" s="27" t="str">
        <f t="shared" si="7"/>
        <v>Georgia</v>
      </c>
      <c r="C192" s="27" t="str">
        <f t="shared" si="9"/>
        <v>Dodge</v>
      </c>
      <c r="D192" s="27">
        <v>6</v>
      </c>
      <c r="E192" s="27">
        <v>5</v>
      </c>
    </row>
    <row r="193" spans="1:5" x14ac:dyDescent="0.25">
      <c r="A193" s="27" t="s">
        <v>768</v>
      </c>
      <c r="B193" s="27" t="str">
        <f t="shared" si="7"/>
        <v>Georgia</v>
      </c>
      <c r="C193" s="27" t="str">
        <f t="shared" si="9"/>
        <v>Dooly</v>
      </c>
      <c r="D193" s="27">
        <v>7</v>
      </c>
      <c r="E193" s="27">
        <v>2</v>
      </c>
    </row>
    <row r="194" spans="1:5" x14ac:dyDescent="0.25">
      <c r="A194" s="27" t="s">
        <v>769</v>
      </c>
      <c r="B194" s="27" t="str">
        <f t="shared" si="7"/>
        <v>Georgia</v>
      </c>
      <c r="C194" s="27" t="str">
        <f t="shared" si="9"/>
        <v>Dougherty</v>
      </c>
      <c r="D194" s="27">
        <v>8</v>
      </c>
      <c r="E194" s="27">
        <v>1</v>
      </c>
    </row>
    <row r="195" spans="1:5" x14ac:dyDescent="0.25">
      <c r="A195" s="27" t="s">
        <v>770</v>
      </c>
      <c r="B195" s="27" t="str">
        <f t="shared" si="7"/>
        <v>Georgia</v>
      </c>
      <c r="C195" s="27" t="str">
        <f t="shared" si="9"/>
        <v>Douglas</v>
      </c>
      <c r="D195" s="27">
        <v>0</v>
      </c>
      <c r="E195" s="27">
        <v>0</v>
      </c>
    </row>
    <row r="196" spans="1:5" x14ac:dyDescent="0.25">
      <c r="A196" s="27" t="s">
        <v>771</v>
      </c>
      <c r="B196" s="27" t="str">
        <f t="shared" si="7"/>
        <v>Georgia</v>
      </c>
      <c r="C196" s="27" t="str">
        <f t="shared" si="9"/>
        <v>Early</v>
      </c>
      <c r="D196" s="27">
        <v>6</v>
      </c>
      <c r="E196" s="27">
        <v>2</v>
      </c>
    </row>
    <row r="197" spans="1:5" x14ac:dyDescent="0.25">
      <c r="A197" s="27" t="s">
        <v>772</v>
      </c>
      <c r="B197" s="27" t="str">
        <f t="shared" ref="B197:B260" si="10">LEFT(A197,FIND(";",A197)-1)</f>
        <v>Georgia</v>
      </c>
      <c r="C197" s="27" t="str">
        <f t="shared" si="9"/>
        <v>Echols</v>
      </c>
      <c r="D197" s="27">
        <v>0</v>
      </c>
      <c r="E197" s="27">
        <v>0</v>
      </c>
    </row>
    <row r="198" spans="1:5" x14ac:dyDescent="0.25">
      <c r="A198" s="27" t="s">
        <v>773</v>
      </c>
      <c r="B198" s="27" t="str">
        <f t="shared" si="10"/>
        <v>Georgia</v>
      </c>
      <c r="C198" s="27" t="str">
        <f t="shared" si="9"/>
        <v>Effingham</v>
      </c>
      <c r="D198" s="27">
        <v>0</v>
      </c>
      <c r="E198" s="27">
        <v>1</v>
      </c>
    </row>
    <row r="199" spans="1:5" x14ac:dyDescent="0.25">
      <c r="A199" s="27" t="s">
        <v>774</v>
      </c>
      <c r="B199" s="27" t="str">
        <f t="shared" si="10"/>
        <v>Georgia</v>
      </c>
      <c r="C199" s="27" t="str">
        <f t="shared" si="9"/>
        <v>Elbert</v>
      </c>
      <c r="D199" s="27">
        <v>2</v>
      </c>
      <c r="E199" s="27">
        <v>1</v>
      </c>
    </row>
    <row r="200" spans="1:5" x14ac:dyDescent="0.25">
      <c r="A200" s="27" t="s">
        <v>775</v>
      </c>
      <c r="B200" s="27" t="str">
        <f t="shared" si="10"/>
        <v>Georgia</v>
      </c>
      <c r="C200" s="27" t="str">
        <f t="shared" si="9"/>
        <v>Emanuel</v>
      </c>
      <c r="D200" s="27">
        <v>12</v>
      </c>
      <c r="E200" s="27">
        <v>4</v>
      </c>
    </row>
    <row r="201" spans="1:5" x14ac:dyDescent="0.25">
      <c r="A201" s="27" t="s">
        <v>776</v>
      </c>
      <c r="B201" s="27" t="str">
        <f t="shared" si="10"/>
        <v>Georgia</v>
      </c>
      <c r="C201" s="27" t="str">
        <f t="shared" si="9"/>
        <v>Evans</v>
      </c>
      <c r="D201" s="27">
        <v>0</v>
      </c>
      <c r="E201" s="27">
        <v>0</v>
      </c>
    </row>
    <row r="202" spans="1:5" x14ac:dyDescent="0.25">
      <c r="A202" s="27" t="s">
        <v>777</v>
      </c>
      <c r="B202" s="27" t="str">
        <f t="shared" si="10"/>
        <v>Georgia</v>
      </c>
      <c r="C202" s="27" t="str">
        <f t="shared" si="9"/>
        <v>Fannin</v>
      </c>
      <c r="D202" s="27">
        <v>0</v>
      </c>
      <c r="E202" s="27">
        <v>1</v>
      </c>
    </row>
    <row r="203" spans="1:5" x14ac:dyDescent="0.25">
      <c r="A203" s="27" t="s">
        <v>778</v>
      </c>
      <c r="B203" s="27" t="str">
        <f t="shared" si="10"/>
        <v>Georgia</v>
      </c>
      <c r="C203" s="27" t="str">
        <f t="shared" si="9"/>
        <v>Fayette</v>
      </c>
      <c r="D203" s="27">
        <v>0</v>
      </c>
      <c r="E203" s="27">
        <v>1</v>
      </c>
    </row>
    <row r="204" spans="1:5" x14ac:dyDescent="0.25">
      <c r="A204" s="27" t="s">
        <v>779</v>
      </c>
      <c r="B204" s="27" t="str">
        <f t="shared" si="10"/>
        <v>Georgia</v>
      </c>
      <c r="C204" s="27" t="str">
        <f t="shared" si="9"/>
        <v>Floyd</v>
      </c>
      <c r="D204" s="27">
        <v>11</v>
      </c>
      <c r="E204" s="27">
        <v>3</v>
      </c>
    </row>
    <row r="205" spans="1:5" x14ac:dyDescent="0.25">
      <c r="A205" s="27" t="s">
        <v>780</v>
      </c>
      <c r="B205" s="27" t="str">
        <f t="shared" si="10"/>
        <v>Georgia</v>
      </c>
      <c r="C205" s="27" t="str">
        <f t="shared" si="9"/>
        <v>Forsyth</v>
      </c>
      <c r="D205" s="27">
        <v>0</v>
      </c>
      <c r="E205" s="27">
        <v>1</v>
      </c>
    </row>
    <row r="206" spans="1:5" x14ac:dyDescent="0.25">
      <c r="A206" s="27" t="s">
        <v>781</v>
      </c>
      <c r="B206" s="27" t="str">
        <f t="shared" si="10"/>
        <v>Georgia</v>
      </c>
      <c r="C206" s="27" t="str">
        <f t="shared" si="9"/>
        <v>Franklin</v>
      </c>
      <c r="D206" s="27">
        <v>3</v>
      </c>
      <c r="E206" s="27">
        <v>1</v>
      </c>
    </row>
    <row r="207" spans="1:5" x14ac:dyDescent="0.25">
      <c r="A207" s="27" t="s">
        <v>782</v>
      </c>
      <c r="B207" s="27" t="str">
        <f t="shared" si="10"/>
        <v>Georgia</v>
      </c>
      <c r="C207" s="27" t="str">
        <f t="shared" si="9"/>
        <v>Fulton</v>
      </c>
      <c r="D207" s="27">
        <v>32</v>
      </c>
      <c r="E207" s="27">
        <v>0</v>
      </c>
    </row>
    <row r="208" spans="1:5" x14ac:dyDescent="0.25">
      <c r="A208" s="27" t="s">
        <v>783</v>
      </c>
      <c r="B208" s="27" t="str">
        <f t="shared" si="10"/>
        <v>Georgia</v>
      </c>
      <c r="C208" s="27" t="str">
        <f t="shared" si="9"/>
        <v>Gilmer</v>
      </c>
      <c r="D208" s="27">
        <v>0</v>
      </c>
      <c r="E208" s="27">
        <v>0</v>
      </c>
    </row>
    <row r="209" spans="1:5" x14ac:dyDescent="0.25">
      <c r="A209" s="27" t="s">
        <v>784</v>
      </c>
      <c r="B209" s="27" t="str">
        <f t="shared" si="10"/>
        <v>Georgia</v>
      </c>
      <c r="C209" s="27" t="str">
        <f t="shared" si="9"/>
        <v>Glascock</v>
      </c>
      <c r="D209" s="27">
        <v>0</v>
      </c>
      <c r="E209" s="27">
        <v>1</v>
      </c>
    </row>
    <row r="210" spans="1:5" x14ac:dyDescent="0.25">
      <c r="A210" s="27" t="s">
        <v>785</v>
      </c>
      <c r="B210" s="27" t="str">
        <f t="shared" si="10"/>
        <v>Georgia</v>
      </c>
      <c r="C210" s="27" t="str">
        <f t="shared" si="9"/>
        <v>Glynn</v>
      </c>
      <c r="D210" s="27">
        <v>10</v>
      </c>
      <c r="E210" s="27">
        <v>0</v>
      </c>
    </row>
    <row r="211" spans="1:5" x14ac:dyDescent="0.25">
      <c r="A211" s="27" t="s">
        <v>786</v>
      </c>
      <c r="B211" s="27" t="str">
        <f t="shared" si="10"/>
        <v>Georgia</v>
      </c>
      <c r="C211" s="27" t="str">
        <f t="shared" ref="C211:C242" si="11">MID(A211,FIND(";",A211)+1,100)</f>
        <v>Gordon</v>
      </c>
      <c r="D211" s="27">
        <v>3</v>
      </c>
      <c r="E211" s="27">
        <v>0</v>
      </c>
    </row>
    <row r="212" spans="1:5" x14ac:dyDescent="0.25">
      <c r="A212" s="27" t="s">
        <v>787</v>
      </c>
      <c r="B212" s="27" t="str">
        <f t="shared" si="10"/>
        <v>Georgia</v>
      </c>
      <c r="C212" s="27" t="str">
        <f t="shared" si="11"/>
        <v>Grady</v>
      </c>
      <c r="D212" s="27">
        <v>0</v>
      </c>
      <c r="E212" s="27">
        <v>2</v>
      </c>
    </row>
    <row r="213" spans="1:5" x14ac:dyDescent="0.25">
      <c r="A213" s="27" t="s">
        <v>788</v>
      </c>
      <c r="B213" s="27" t="str">
        <f t="shared" si="10"/>
        <v>Georgia</v>
      </c>
      <c r="C213" s="27" t="str">
        <f t="shared" si="11"/>
        <v>Greene</v>
      </c>
      <c r="D213" s="27">
        <v>0</v>
      </c>
      <c r="E213" s="27">
        <v>1</v>
      </c>
    </row>
    <row r="214" spans="1:5" x14ac:dyDescent="0.25">
      <c r="A214" s="27" t="s">
        <v>789</v>
      </c>
      <c r="B214" s="27" t="str">
        <f t="shared" si="10"/>
        <v>Georgia</v>
      </c>
      <c r="C214" s="27" t="str">
        <f t="shared" si="11"/>
        <v>Gwinnett</v>
      </c>
      <c r="D214" s="27">
        <v>2</v>
      </c>
      <c r="E214" s="27">
        <v>1</v>
      </c>
    </row>
    <row r="215" spans="1:5" x14ac:dyDescent="0.25">
      <c r="A215" s="27" t="s">
        <v>790</v>
      </c>
      <c r="B215" s="27" t="str">
        <f t="shared" si="10"/>
        <v>Georgia</v>
      </c>
      <c r="C215" s="27" t="str">
        <f t="shared" si="11"/>
        <v>Habersham</v>
      </c>
      <c r="D215" s="27">
        <v>3</v>
      </c>
      <c r="E215" s="27">
        <v>2</v>
      </c>
    </row>
    <row r="216" spans="1:5" x14ac:dyDescent="0.25">
      <c r="A216" s="27" t="s">
        <v>791</v>
      </c>
      <c r="B216" s="27" t="str">
        <f t="shared" si="10"/>
        <v>Georgia</v>
      </c>
      <c r="C216" s="27" t="str">
        <f t="shared" si="11"/>
        <v>Hall</v>
      </c>
      <c r="D216" s="27">
        <v>3</v>
      </c>
      <c r="E216" s="27">
        <v>0</v>
      </c>
    </row>
    <row r="217" spans="1:5" x14ac:dyDescent="0.25">
      <c r="A217" s="27" t="s">
        <v>792</v>
      </c>
      <c r="B217" s="27" t="str">
        <f t="shared" si="10"/>
        <v>Georgia</v>
      </c>
      <c r="C217" s="27" t="str">
        <f t="shared" si="11"/>
        <v>Hancock</v>
      </c>
      <c r="D217" s="27">
        <v>7</v>
      </c>
      <c r="E217" s="27">
        <v>2</v>
      </c>
    </row>
    <row r="218" spans="1:5" x14ac:dyDescent="0.25">
      <c r="A218" s="27" t="s">
        <v>793</v>
      </c>
      <c r="B218" s="27" t="str">
        <f t="shared" si="10"/>
        <v>Georgia</v>
      </c>
      <c r="C218" s="27" t="str">
        <f t="shared" si="11"/>
        <v>Haralson</v>
      </c>
      <c r="D218" s="27">
        <v>0</v>
      </c>
      <c r="E218" s="27">
        <v>1</v>
      </c>
    </row>
    <row r="219" spans="1:5" x14ac:dyDescent="0.25">
      <c r="A219" s="27" t="s">
        <v>794</v>
      </c>
      <c r="B219" s="27" t="str">
        <f t="shared" si="10"/>
        <v>Georgia</v>
      </c>
      <c r="C219" s="27" t="str">
        <f t="shared" si="11"/>
        <v>Harris</v>
      </c>
      <c r="D219" s="27">
        <v>4</v>
      </c>
      <c r="E219" s="27">
        <v>5</v>
      </c>
    </row>
    <row r="220" spans="1:5" x14ac:dyDescent="0.25">
      <c r="A220" s="27" t="s">
        <v>795</v>
      </c>
      <c r="B220" s="27" t="str">
        <f t="shared" si="10"/>
        <v>Georgia</v>
      </c>
      <c r="C220" s="27" t="str">
        <f t="shared" si="11"/>
        <v>Hart</v>
      </c>
      <c r="D220" s="27">
        <v>10</v>
      </c>
      <c r="E220" s="27">
        <v>0</v>
      </c>
    </row>
    <row r="221" spans="1:5" x14ac:dyDescent="0.25">
      <c r="A221" s="27" t="s">
        <v>796</v>
      </c>
      <c r="B221" s="27" t="str">
        <f t="shared" si="10"/>
        <v>Georgia</v>
      </c>
      <c r="C221" s="27" t="str">
        <f t="shared" si="11"/>
        <v>Heard</v>
      </c>
      <c r="D221" s="27">
        <v>0</v>
      </c>
      <c r="E221" s="27">
        <v>1</v>
      </c>
    </row>
    <row r="222" spans="1:5" x14ac:dyDescent="0.25">
      <c r="A222" s="27" t="s">
        <v>797</v>
      </c>
      <c r="B222" s="27" t="str">
        <f t="shared" si="10"/>
        <v>Georgia</v>
      </c>
      <c r="C222" s="27" t="str">
        <f t="shared" si="11"/>
        <v>Henry</v>
      </c>
      <c r="D222" s="27">
        <v>16</v>
      </c>
      <c r="E222" s="27">
        <v>0</v>
      </c>
    </row>
    <row r="223" spans="1:5" x14ac:dyDescent="0.25">
      <c r="A223" s="27" t="s">
        <v>798</v>
      </c>
      <c r="B223" s="27" t="str">
        <f t="shared" si="10"/>
        <v>Georgia</v>
      </c>
      <c r="C223" s="27" t="str">
        <f t="shared" si="11"/>
        <v>Houston</v>
      </c>
      <c r="D223" s="27">
        <v>15</v>
      </c>
      <c r="E223" s="27">
        <v>4</v>
      </c>
    </row>
    <row r="224" spans="1:5" x14ac:dyDescent="0.25">
      <c r="A224" s="27" t="s">
        <v>799</v>
      </c>
      <c r="B224" s="27" t="str">
        <f t="shared" si="10"/>
        <v>Georgia</v>
      </c>
      <c r="C224" s="27" t="str">
        <f t="shared" si="11"/>
        <v>Irwin</v>
      </c>
      <c r="D224" s="27">
        <v>0</v>
      </c>
      <c r="E224" s="27">
        <v>1</v>
      </c>
    </row>
    <row r="225" spans="1:5" x14ac:dyDescent="0.25">
      <c r="A225" s="27" t="s">
        <v>800</v>
      </c>
      <c r="B225" s="27" t="str">
        <f t="shared" si="10"/>
        <v>Georgia</v>
      </c>
      <c r="C225" s="27" t="str">
        <f t="shared" si="11"/>
        <v>Jackson</v>
      </c>
      <c r="D225" s="27">
        <v>4</v>
      </c>
      <c r="E225" s="27">
        <v>1</v>
      </c>
    </row>
    <row r="226" spans="1:5" x14ac:dyDescent="0.25">
      <c r="A226" s="27" t="s">
        <v>801</v>
      </c>
      <c r="B226" s="27" t="str">
        <f t="shared" si="10"/>
        <v>Georgia</v>
      </c>
      <c r="C226" s="27" t="str">
        <f t="shared" si="11"/>
        <v>Jasper</v>
      </c>
      <c r="D226" s="27">
        <v>6</v>
      </c>
      <c r="E226" s="27">
        <v>5</v>
      </c>
    </row>
    <row r="227" spans="1:5" x14ac:dyDescent="0.25">
      <c r="A227" s="27" t="s">
        <v>802</v>
      </c>
      <c r="B227" s="27" t="str">
        <f t="shared" si="10"/>
        <v>Georgia</v>
      </c>
      <c r="C227" s="27" t="str">
        <f t="shared" si="11"/>
        <v>Jeff Davis</v>
      </c>
      <c r="D227" s="27">
        <v>2</v>
      </c>
      <c r="E227" s="27">
        <v>0</v>
      </c>
    </row>
    <row r="228" spans="1:5" x14ac:dyDescent="0.25">
      <c r="A228" s="27" t="s">
        <v>803</v>
      </c>
      <c r="B228" s="27" t="str">
        <f t="shared" si="10"/>
        <v>Georgia</v>
      </c>
      <c r="C228" s="27" t="str">
        <f t="shared" si="11"/>
        <v>Jefferson</v>
      </c>
      <c r="D228" s="27">
        <v>8</v>
      </c>
      <c r="E228" s="27">
        <v>1</v>
      </c>
    </row>
    <row r="229" spans="1:5" x14ac:dyDescent="0.25">
      <c r="A229" s="27" t="s">
        <v>804</v>
      </c>
      <c r="B229" s="27" t="str">
        <f t="shared" si="10"/>
        <v>Georgia</v>
      </c>
      <c r="C229" s="27" t="str">
        <f t="shared" si="11"/>
        <v>Jenkins</v>
      </c>
      <c r="D229" s="27">
        <v>5</v>
      </c>
      <c r="E229" s="27">
        <v>1</v>
      </c>
    </row>
    <row r="230" spans="1:5" x14ac:dyDescent="0.25">
      <c r="A230" s="27" t="s">
        <v>805</v>
      </c>
      <c r="B230" s="27" t="str">
        <f t="shared" si="10"/>
        <v>Georgia</v>
      </c>
      <c r="C230" s="27" t="str">
        <f t="shared" si="11"/>
        <v>Johnson</v>
      </c>
      <c r="D230" s="27">
        <v>4</v>
      </c>
      <c r="E230" s="27">
        <v>1</v>
      </c>
    </row>
    <row r="231" spans="1:5" x14ac:dyDescent="0.25">
      <c r="A231" s="27" t="s">
        <v>806</v>
      </c>
      <c r="B231" s="27" t="str">
        <f t="shared" si="10"/>
        <v>Georgia</v>
      </c>
      <c r="C231" s="27" t="str">
        <f t="shared" si="11"/>
        <v>Jones</v>
      </c>
      <c r="D231" s="27">
        <v>0</v>
      </c>
      <c r="E231" s="27">
        <v>4</v>
      </c>
    </row>
    <row r="232" spans="1:5" x14ac:dyDescent="0.25">
      <c r="A232" s="27" t="s">
        <v>807</v>
      </c>
      <c r="B232" s="27" t="str">
        <f t="shared" si="10"/>
        <v>Georgia</v>
      </c>
      <c r="C232" s="27" t="str">
        <f t="shared" si="11"/>
        <v>Lamar</v>
      </c>
      <c r="D232" s="27">
        <v>7</v>
      </c>
      <c r="E232" s="27">
        <v>0</v>
      </c>
    </row>
    <row r="233" spans="1:5" x14ac:dyDescent="0.25">
      <c r="A233" s="27" t="s">
        <v>808</v>
      </c>
      <c r="B233" s="27" t="str">
        <f t="shared" si="10"/>
        <v>Georgia</v>
      </c>
      <c r="C233" s="27" t="str">
        <f t="shared" si="11"/>
        <v>Lanier</v>
      </c>
      <c r="D233" s="27">
        <v>0</v>
      </c>
      <c r="E233" s="27">
        <v>0</v>
      </c>
    </row>
    <row r="234" spans="1:5" x14ac:dyDescent="0.25">
      <c r="A234" s="27" t="s">
        <v>809</v>
      </c>
      <c r="B234" s="27" t="str">
        <f t="shared" si="10"/>
        <v>Georgia</v>
      </c>
      <c r="C234" s="27" t="str">
        <f t="shared" si="11"/>
        <v>Laurens</v>
      </c>
      <c r="D234" s="27">
        <v>3</v>
      </c>
      <c r="E234" s="27">
        <v>4</v>
      </c>
    </row>
    <row r="235" spans="1:5" x14ac:dyDescent="0.25">
      <c r="A235" s="27" t="s">
        <v>810</v>
      </c>
      <c r="B235" s="27" t="str">
        <f t="shared" si="10"/>
        <v>Georgia</v>
      </c>
      <c r="C235" s="27" t="str">
        <f t="shared" si="11"/>
        <v>Lee</v>
      </c>
      <c r="D235" s="27">
        <v>10</v>
      </c>
      <c r="E235" s="27">
        <v>1</v>
      </c>
    </row>
    <row r="236" spans="1:5" x14ac:dyDescent="0.25">
      <c r="A236" s="27" t="s">
        <v>811</v>
      </c>
      <c r="B236" s="27" t="str">
        <f t="shared" si="10"/>
        <v>Georgia</v>
      </c>
      <c r="C236" s="27" t="str">
        <f t="shared" si="11"/>
        <v>Liberty</v>
      </c>
      <c r="D236" s="27">
        <v>7</v>
      </c>
      <c r="E236" s="27">
        <v>4</v>
      </c>
    </row>
    <row r="237" spans="1:5" x14ac:dyDescent="0.25">
      <c r="A237" s="27" t="s">
        <v>812</v>
      </c>
      <c r="B237" s="27" t="str">
        <f t="shared" si="10"/>
        <v>Georgia</v>
      </c>
      <c r="C237" s="27" t="str">
        <f t="shared" si="11"/>
        <v>Lincoln</v>
      </c>
      <c r="D237" s="27">
        <v>0</v>
      </c>
      <c r="E237" s="27">
        <v>1</v>
      </c>
    </row>
    <row r="238" spans="1:5" x14ac:dyDescent="0.25">
      <c r="A238" s="27" t="s">
        <v>813</v>
      </c>
      <c r="B238" s="27" t="str">
        <f t="shared" si="10"/>
        <v>Georgia</v>
      </c>
      <c r="C238" s="27" t="str">
        <f t="shared" si="11"/>
        <v>Long</v>
      </c>
      <c r="D238" s="27">
        <v>0</v>
      </c>
      <c r="E238" s="27">
        <v>0</v>
      </c>
    </row>
    <row r="239" spans="1:5" x14ac:dyDescent="0.25">
      <c r="A239" s="27" t="s">
        <v>814</v>
      </c>
      <c r="B239" s="27" t="str">
        <f t="shared" si="10"/>
        <v>Georgia</v>
      </c>
      <c r="C239" s="27" t="str">
        <f t="shared" si="11"/>
        <v>Lowndes</v>
      </c>
      <c r="D239" s="27">
        <v>15</v>
      </c>
      <c r="E239" s="27">
        <v>5</v>
      </c>
    </row>
    <row r="240" spans="1:5" x14ac:dyDescent="0.25">
      <c r="A240" s="27" t="s">
        <v>815</v>
      </c>
      <c r="B240" s="27" t="str">
        <f t="shared" si="10"/>
        <v>Georgia</v>
      </c>
      <c r="C240" s="27" t="str">
        <f t="shared" si="11"/>
        <v>Lumpkin</v>
      </c>
      <c r="D240" s="27">
        <v>0</v>
      </c>
      <c r="E240" s="27">
        <v>0</v>
      </c>
    </row>
    <row r="241" spans="1:5" x14ac:dyDescent="0.25">
      <c r="A241" s="27" t="s">
        <v>816</v>
      </c>
      <c r="B241" s="27" t="str">
        <f t="shared" si="10"/>
        <v>Georgia</v>
      </c>
      <c r="C241" s="27" t="str">
        <f t="shared" si="11"/>
        <v>McDuffie</v>
      </c>
      <c r="D241" s="27">
        <v>0</v>
      </c>
      <c r="E241" s="27">
        <v>1</v>
      </c>
    </row>
    <row r="242" spans="1:5" x14ac:dyDescent="0.25">
      <c r="A242" s="27" t="s">
        <v>817</v>
      </c>
      <c r="B242" s="27" t="str">
        <f t="shared" si="10"/>
        <v>Georgia</v>
      </c>
      <c r="C242" s="27" t="str">
        <f t="shared" si="11"/>
        <v>McIntosh</v>
      </c>
      <c r="D242" s="27">
        <v>11</v>
      </c>
      <c r="E242" s="27">
        <v>1</v>
      </c>
    </row>
    <row r="243" spans="1:5" x14ac:dyDescent="0.25">
      <c r="A243" s="27" t="s">
        <v>818</v>
      </c>
      <c r="B243" s="27" t="str">
        <f t="shared" si="10"/>
        <v>Georgia</v>
      </c>
      <c r="C243" s="27" t="str">
        <f t="shared" ref="C243:C274" si="12">MID(A243,FIND(";",A243)+1,100)</f>
        <v>Macon</v>
      </c>
      <c r="D243" s="27">
        <v>8</v>
      </c>
      <c r="E243" s="27">
        <v>2</v>
      </c>
    </row>
    <row r="244" spans="1:5" x14ac:dyDescent="0.25">
      <c r="A244" s="27" t="s">
        <v>819</v>
      </c>
      <c r="B244" s="27" t="str">
        <f t="shared" si="10"/>
        <v>Georgia</v>
      </c>
      <c r="C244" s="27" t="str">
        <f t="shared" si="12"/>
        <v>Madison</v>
      </c>
      <c r="D244" s="27">
        <v>0</v>
      </c>
      <c r="E244" s="27">
        <v>2</v>
      </c>
    </row>
    <row r="245" spans="1:5" x14ac:dyDescent="0.25">
      <c r="A245" s="27" t="s">
        <v>820</v>
      </c>
      <c r="B245" s="27" t="str">
        <f t="shared" si="10"/>
        <v>Georgia</v>
      </c>
      <c r="C245" s="27" t="str">
        <f t="shared" si="12"/>
        <v>Marion</v>
      </c>
      <c r="D245" s="27">
        <v>0</v>
      </c>
      <c r="E245" s="27">
        <v>2</v>
      </c>
    </row>
    <row r="246" spans="1:5" x14ac:dyDescent="0.25">
      <c r="A246" s="27" t="s">
        <v>821</v>
      </c>
      <c r="B246" s="27" t="str">
        <f t="shared" si="10"/>
        <v>Georgia</v>
      </c>
      <c r="C246" s="27" t="str">
        <f t="shared" si="12"/>
        <v>Meriwether</v>
      </c>
      <c r="D246" s="27">
        <v>15</v>
      </c>
      <c r="E246" s="27">
        <v>3</v>
      </c>
    </row>
    <row r="247" spans="1:5" x14ac:dyDescent="0.25">
      <c r="A247" s="27" t="s">
        <v>822</v>
      </c>
      <c r="B247" s="27" t="str">
        <f t="shared" si="10"/>
        <v>Georgia</v>
      </c>
      <c r="C247" s="27" t="str">
        <f t="shared" si="12"/>
        <v>Miller</v>
      </c>
      <c r="D247" s="27">
        <v>3</v>
      </c>
      <c r="E247" s="27">
        <v>1</v>
      </c>
    </row>
    <row r="248" spans="1:5" x14ac:dyDescent="0.25">
      <c r="A248" s="27" t="s">
        <v>823</v>
      </c>
      <c r="B248" s="27" t="str">
        <f t="shared" si="10"/>
        <v>Georgia</v>
      </c>
      <c r="C248" s="27" t="str">
        <f t="shared" si="12"/>
        <v>Milton</v>
      </c>
      <c r="D248" s="27">
        <v>0</v>
      </c>
      <c r="E248" s="27">
        <v>0</v>
      </c>
    </row>
    <row r="249" spans="1:5" x14ac:dyDescent="0.25">
      <c r="A249" s="27" t="s">
        <v>824</v>
      </c>
      <c r="B249" s="27" t="str">
        <f t="shared" si="10"/>
        <v>Georgia</v>
      </c>
      <c r="C249" s="27" t="str">
        <f t="shared" si="12"/>
        <v>Mitchell</v>
      </c>
      <c r="D249" s="27">
        <v>15</v>
      </c>
      <c r="E249" s="27">
        <v>3</v>
      </c>
    </row>
    <row r="250" spans="1:5" x14ac:dyDescent="0.25">
      <c r="A250" s="27" t="s">
        <v>825</v>
      </c>
      <c r="B250" s="27" t="str">
        <f t="shared" si="10"/>
        <v>Georgia</v>
      </c>
      <c r="C250" s="27" t="str">
        <f t="shared" si="12"/>
        <v>Monroe</v>
      </c>
      <c r="D250" s="27">
        <v>8</v>
      </c>
      <c r="E250" s="27">
        <v>2</v>
      </c>
    </row>
    <row r="251" spans="1:5" x14ac:dyDescent="0.25">
      <c r="A251" s="27" t="s">
        <v>826</v>
      </c>
      <c r="B251" s="27" t="str">
        <f t="shared" si="10"/>
        <v>Georgia</v>
      </c>
      <c r="C251" s="27" t="str">
        <f t="shared" si="12"/>
        <v>Montgomery</v>
      </c>
      <c r="D251" s="27">
        <v>3</v>
      </c>
      <c r="E251" s="27">
        <v>5</v>
      </c>
    </row>
    <row r="252" spans="1:5" x14ac:dyDescent="0.25">
      <c r="A252" s="27" t="s">
        <v>827</v>
      </c>
      <c r="B252" s="27" t="str">
        <f t="shared" si="10"/>
        <v>Georgia</v>
      </c>
      <c r="C252" s="27" t="str">
        <f t="shared" si="12"/>
        <v>Morgan</v>
      </c>
      <c r="D252" s="27">
        <v>0</v>
      </c>
      <c r="E252" s="27">
        <v>1</v>
      </c>
    </row>
    <row r="253" spans="1:5" x14ac:dyDescent="0.25">
      <c r="A253" s="27" t="s">
        <v>828</v>
      </c>
      <c r="B253" s="27" t="str">
        <f t="shared" si="10"/>
        <v>Georgia</v>
      </c>
      <c r="C253" s="27" t="str">
        <f t="shared" si="12"/>
        <v>Murray</v>
      </c>
      <c r="D253" s="27">
        <v>0</v>
      </c>
      <c r="E253" s="27">
        <v>0</v>
      </c>
    </row>
    <row r="254" spans="1:5" x14ac:dyDescent="0.25">
      <c r="A254" s="27" t="s">
        <v>829</v>
      </c>
      <c r="B254" s="27" t="str">
        <f t="shared" si="10"/>
        <v>Georgia</v>
      </c>
      <c r="C254" s="27" t="str">
        <f t="shared" si="12"/>
        <v>Muscogee</v>
      </c>
      <c r="D254" s="27">
        <v>4</v>
      </c>
      <c r="E254" s="27">
        <v>2</v>
      </c>
    </row>
    <row r="255" spans="1:5" x14ac:dyDescent="0.25">
      <c r="A255" s="27" t="s">
        <v>830</v>
      </c>
      <c r="B255" s="27" t="str">
        <f t="shared" si="10"/>
        <v>Georgia</v>
      </c>
      <c r="C255" s="27" t="str">
        <f t="shared" si="12"/>
        <v>Newton</v>
      </c>
      <c r="D255" s="27">
        <v>8</v>
      </c>
      <c r="E255" s="27">
        <v>0</v>
      </c>
    </row>
    <row r="256" spans="1:5" x14ac:dyDescent="0.25">
      <c r="A256" s="27" t="s">
        <v>831</v>
      </c>
      <c r="B256" s="27" t="str">
        <f t="shared" si="10"/>
        <v>Georgia</v>
      </c>
      <c r="C256" s="27" t="str">
        <f t="shared" si="12"/>
        <v>Oconee</v>
      </c>
      <c r="D256" s="27">
        <v>4</v>
      </c>
      <c r="E256" s="27">
        <v>5</v>
      </c>
    </row>
    <row r="257" spans="1:5" x14ac:dyDescent="0.25">
      <c r="A257" s="27" t="s">
        <v>832</v>
      </c>
      <c r="B257" s="27" t="str">
        <f t="shared" si="10"/>
        <v>Georgia</v>
      </c>
      <c r="C257" s="27" t="str">
        <f t="shared" si="12"/>
        <v>Oglethorpe</v>
      </c>
      <c r="D257" s="27">
        <v>0</v>
      </c>
      <c r="E257" s="27">
        <v>1</v>
      </c>
    </row>
    <row r="258" spans="1:5" x14ac:dyDescent="0.25">
      <c r="A258" s="27" t="s">
        <v>833</v>
      </c>
      <c r="B258" s="27" t="str">
        <f t="shared" si="10"/>
        <v>Georgia</v>
      </c>
      <c r="C258" s="27" t="str">
        <f t="shared" si="12"/>
        <v>Paulding</v>
      </c>
      <c r="D258" s="27">
        <v>2</v>
      </c>
      <c r="E258" s="27">
        <v>0</v>
      </c>
    </row>
    <row r="259" spans="1:5" x14ac:dyDescent="0.25">
      <c r="A259" s="27" t="s">
        <v>834</v>
      </c>
      <c r="B259" s="27" t="str">
        <f t="shared" si="10"/>
        <v>Georgia</v>
      </c>
      <c r="C259" s="27" t="str">
        <f t="shared" si="12"/>
        <v>Peach</v>
      </c>
      <c r="D259" s="27">
        <v>22</v>
      </c>
      <c r="E259" s="27">
        <v>1</v>
      </c>
    </row>
    <row r="260" spans="1:5" x14ac:dyDescent="0.25">
      <c r="A260" s="27" t="s">
        <v>835</v>
      </c>
      <c r="B260" s="27" t="str">
        <f t="shared" si="10"/>
        <v>Georgia</v>
      </c>
      <c r="C260" s="27" t="str">
        <f t="shared" si="12"/>
        <v>Pickens</v>
      </c>
      <c r="D260" s="27">
        <v>0</v>
      </c>
      <c r="E260" s="27">
        <v>0</v>
      </c>
    </row>
    <row r="261" spans="1:5" x14ac:dyDescent="0.25">
      <c r="A261" s="27" t="s">
        <v>836</v>
      </c>
      <c r="B261" s="27" t="str">
        <f t="shared" ref="B261:B325" si="13">LEFT(A261,FIND(";",A261)-1)</f>
        <v>Georgia</v>
      </c>
      <c r="C261" s="27" t="str">
        <f t="shared" si="12"/>
        <v>Pierce</v>
      </c>
      <c r="D261" s="27">
        <v>6</v>
      </c>
      <c r="E261" s="27">
        <v>1</v>
      </c>
    </row>
    <row r="262" spans="1:5" x14ac:dyDescent="0.25">
      <c r="A262" s="27" t="s">
        <v>837</v>
      </c>
      <c r="B262" s="27" t="str">
        <f t="shared" si="13"/>
        <v>Georgia</v>
      </c>
      <c r="C262" s="27" t="str">
        <f t="shared" si="12"/>
        <v>Pike</v>
      </c>
      <c r="D262" s="27">
        <v>4</v>
      </c>
      <c r="E262" s="27">
        <v>5</v>
      </c>
    </row>
    <row r="263" spans="1:5" x14ac:dyDescent="0.25">
      <c r="A263" s="27" t="s">
        <v>838</v>
      </c>
      <c r="B263" s="27" t="str">
        <f t="shared" si="13"/>
        <v>Georgia</v>
      </c>
      <c r="C263" s="27" t="str">
        <f t="shared" si="12"/>
        <v>Polk</v>
      </c>
      <c r="D263" s="27">
        <v>9</v>
      </c>
      <c r="E263" s="27">
        <v>0</v>
      </c>
    </row>
    <row r="264" spans="1:5" x14ac:dyDescent="0.25">
      <c r="A264" s="27" t="s">
        <v>839</v>
      </c>
      <c r="B264" s="27" t="str">
        <f t="shared" si="13"/>
        <v>Georgia</v>
      </c>
      <c r="C264" s="27" t="str">
        <f t="shared" si="12"/>
        <v>Pulaski</v>
      </c>
      <c r="D264" s="27">
        <v>6</v>
      </c>
      <c r="E264" s="27">
        <v>2</v>
      </c>
    </row>
    <row r="265" spans="1:5" x14ac:dyDescent="0.25">
      <c r="A265" s="27" t="s">
        <v>840</v>
      </c>
      <c r="B265" s="27" t="str">
        <f t="shared" si="13"/>
        <v>Georgia</v>
      </c>
      <c r="C265" s="27" t="str">
        <f t="shared" si="12"/>
        <v>Putnam</v>
      </c>
      <c r="D265" s="27">
        <v>0</v>
      </c>
      <c r="E265" s="27">
        <v>0</v>
      </c>
    </row>
    <row r="266" spans="1:5" x14ac:dyDescent="0.25">
      <c r="A266" s="27" t="s">
        <v>841</v>
      </c>
      <c r="B266" s="27" t="str">
        <f t="shared" si="13"/>
        <v>Georgia</v>
      </c>
      <c r="C266" s="27" t="str">
        <f t="shared" si="12"/>
        <v>Quitman</v>
      </c>
      <c r="D266" s="27">
        <v>0</v>
      </c>
      <c r="E266" s="27">
        <v>1</v>
      </c>
    </row>
    <row r="267" spans="1:5" x14ac:dyDescent="0.25">
      <c r="A267" s="27" t="s">
        <v>842</v>
      </c>
      <c r="B267" s="27" t="str">
        <f t="shared" si="13"/>
        <v>Georgia</v>
      </c>
      <c r="C267" s="27" t="str">
        <f t="shared" si="12"/>
        <v>Rabun</v>
      </c>
      <c r="D267" s="27">
        <v>0</v>
      </c>
      <c r="E267" s="27">
        <v>0</v>
      </c>
    </row>
    <row r="268" spans="1:5" x14ac:dyDescent="0.25">
      <c r="A268" s="27" t="s">
        <v>843</v>
      </c>
      <c r="B268" s="27" t="str">
        <f t="shared" si="13"/>
        <v>Georgia</v>
      </c>
      <c r="C268" s="27" t="str">
        <f t="shared" si="12"/>
        <v>Randolph</v>
      </c>
      <c r="D268" s="27">
        <v>8</v>
      </c>
      <c r="E268" s="27">
        <v>4</v>
      </c>
    </row>
    <row r="269" spans="1:5" x14ac:dyDescent="0.25">
      <c r="A269" s="27" t="s">
        <v>844</v>
      </c>
      <c r="B269" s="27" t="str">
        <f t="shared" si="13"/>
        <v>Georgia</v>
      </c>
      <c r="C269" s="27" t="str">
        <f t="shared" si="12"/>
        <v>Richmond</v>
      </c>
      <c r="D269" s="27">
        <v>6</v>
      </c>
      <c r="E269" s="27">
        <v>0</v>
      </c>
    </row>
    <row r="270" spans="1:5" x14ac:dyDescent="0.25">
      <c r="A270" s="27" t="s">
        <v>845</v>
      </c>
      <c r="B270" s="27" t="str">
        <f t="shared" si="13"/>
        <v>Georgia</v>
      </c>
      <c r="C270" s="27" t="str">
        <f t="shared" si="12"/>
        <v>Rockdale</v>
      </c>
      <c r="D270" s="27">
        <v>0</v>
      </c>
      <c r="E270" s="27">
        <v>0</v>
      </c>
    </row>
    <row r="271" spans="1:5" x14ac:dyDescent="0.25">
      <c r="A271" s="27" t="s">
        <v>846</v>
      </c>
      <c r="B271" s="27" t="str">
        <f t="shared" si="13"/>
        <v>Georgia</v>
      </c>
      <c r="C271" s="27" t="str">
        <f t="shared" si="12"/>
        <v>Schley</v>
      </c>
      <c r="D271" s="27">
        <v>0</v>
      </c>
      <c r="E271" s="27">
        <v>4</v>
      </c>
    </row>
    <row r="272" spans="1:5" x14ac:dyDescent="0.25">
      <c r="A272" s="27" t="s">
        <v>847</v>
      </c>
      <c r="B272" s="27" t="str">
        <f t="shared" si="13"/>
        <v>Georgia</v>
      </c>
      <c r="C272" s="27" t="str">
        <f t="shared" si="12"/>
        <v>Screven</v>
      </c>
      <c r="D272" s="27">
        <v>10</v>
      </c>
      <c r="E272" s="27">
        <v>2</v>
      </c>
    </row>
    <row r="273" spans="1:5" x14ac:dyDescent="0.25">
      <c r="A273" s="27" t="s">
        <v>848</v>
      </c>
      <c r="B273" s="27" t="str">
        <f t="shared" si="13"/>
        <v>Georgia</v>
      </c>
      <c r="C273" s="27" t="str">
        <f t="shared" si="12"/>
        <v>Seminole</v>
      </c>
      <c r="D273" s="27">
        <v>6</v>
      </c>
      <c r="E273" s="27">
        <v>0</v>
      </c>
    </row>
    <row r="274" spans="1:5" x14ac:dyDescent="0.25">
      <c r="A274" s="27" t="s">
        <v>849</v>
      </c>
      <c r="B274" s="27" t="str">
        <f t="shared" si="13"/>
        <v>Georgia</v>
      </c>
      <c r="C274" s="27" t="str">
        <f t="shared" si="12"/>
        <v>Spalding</v>
      </c>
      <c r="D274" s="27">
        <v>6</v>
      </c>
      <c r="E274" s="27">
        <v>1</v>
      </c>
    </row>
    <row r="275" spans="1:5" x14ac:dyDescent="0.25">
      <c r="A275" s="27" t="s">
        <v>850</v>
      </c>
      <c r="B275" s="27" t="str">
        <f t="shared" si="13"/>
        <v>Georgia</v>
      </c>
      <c r="C275" s="27" t="str">
        <f t="shared" ref="C275:C307" si="14">MID(A275,FIND(";",A275)+1,100)</f>
        <v>Stephens</v>
      </c>
      <c r="D275" s="27">
        <v>0</v>
      </c>
      <c r="E275" s="27">
        <v>1</v>
      </c>
    </row>
    <row r="276" spans="1:5" x14ac:dyDescent="0.25">
      <c r="A276" s="27" t="s">
        <v>851</v>
      </c>
      <c r="B276" s="27" t="str">
        <f t="shared" si="13"/>
        <v>Georgia</v>
      </c>
      <c r="C276" s="27" t="str">
        <f t="shared" si="14"/>
        <v>Stewart</v>
      </c>
      <c r="D276" s="27">
        <v>17</v>
      </c>
      <c r="E276" s="27">
        <v>0</v>
      </c>
    </row>
    <row r="277" spans="1:5" x14ac:dyDescent="0.25">
      <c r="A277" s="27" t="s">
        <v>852</v>
      </c>
      <c r="B277" s="27" t="str">
        <f t="shared" si="13"/>
        <v>Georgia</v>
      </c>
      <c r="C277" s="27" t="str">
        <f t="shared" si="14"/>
        <v>Sumter</v>
      </c>
      <c r="D277" s="27">
        <v>20</v>
      </c>
      <c r="E277" s="27">
        <v>2</v>
      </c>
    </row>
    <row r="278" spans="1:5" x14ac:dyDescent="0.25">
      <c r="A278" s="27" t="s">
        <v>853</v>
      </c>
      <c r="B278" s="27" t="str">
        <f t="shared" si="13"/>
        <v>Georgia</v>
      </c>
      <c r="C278" s="27" t="str">
        <f t="shared" si="14"/>
        <v>Talbot</v>
      </c>
      <c r="D278" s="27">
        <v>0</v>
      </c>
      <c r="E278" s="27">
        <v>5</v>
      </c>
    </row>
    <row r="279" spans="1:5" x14ac:dyDescent="0.25">
      <c r="A279" s="27" t="s">
        <v>854</v>
      </c>
      <c r="B279" s="27" t="str">
        <f t="shared" si="13"/>
        <v>Georgia</v>
      </c>
      <c r="C279" s="27" t="str">
        <f t="shared" si="14"/>
        <v>Taliaferro</v>
      </c>
      <c r="D279" s="27">
        <v>2</v>
      </c>
      <c r="E279" s="27">
        <v>2</v>
      </c>
    </row>
    <row r="280" spans="1:5" x14ac:dyDescent="0.25">
      <c r="A280" s="27" t="s">
        <v>855</v>
      </c>
      <c r="B280" s="27" t="str">
        <f t="shared" si="13"/>
        <v>Georgia</v>
      </c>
      <c r="C280" s="27" t="str">
        <f t="shared" si="14"/>
        <v>Tattnall</v>
      </c>
      <c r="D280" s="27">
        <v>4</v>
      </c>
      <c r="E280" s="27">
        <v>1</v>
      </c>
    </row>
    <row r="281" spans="1:5" x14ac:dyDescent="0.25">
      <c r="A281" s="27" t="s">
        <v>856</v>
      </c>
      <c r="B281" s="27" t="str">
        <f t="shared" si="13"/>
        <v>Georgia</v>
      </c>
      <c r="C281" s="27" t="str">
        <f t="shared" si="14"/>
        <v>Taylor</v>
      </c>
      <c r="D281" s="27">
        <v>9</v>
      </c>
      <c r="E281" s="27">
        <v>0</v>
      </c>
    </row>
    <row r="282" spans="1:5" x14ac:dyDescent="0.25">
      <c r="A282" s="27" t="s">
        <v>857</v>
      </c>
      <c r="B282" s="27" t="str">
        <f t="shared" si="13"/>
        <v>Georgia</v>
      </c>
      <c r="C282" s="27" t="str">
        <f t="shared" si="14"/>
        <v>Telfair</v>
      </c>
      <c r="D282" s="27">
        <v>0</v>
      </c>
      <c r="E282" s="27">
        <v>1</v>
      </c>
    </row>
    <row r="283" spans="1:5" x14ac:dyDescent="0.25">
      <c r="A283" s="27" t="s">
        <v>858</v>
      </c>
      <c r="B283" s="27" t="str">
        <f t="shared" si="13"/>
        <v>Georgia</v>
      </c>
      <c r="C283" s="27" t="str">
        <f t="shared" si="14"/>
        <v>Terrell</v>
      </c>
      <c r="D283" s="27">
        <v>0</v>
      </c>
      <c r="E283" s="27">
        <v>0</v>
      </c>
    </row>
    <row r="284" spans="1:5" x14ac:dyDescent="0.25">
      <c r="A284" s="27" t="s">
        <v>859</v>
      </c>
      <c r="B284" s="27" t="str">
        <f t="shared" si="13"/>
        <v>Georgia</v>
      </c>
      <c r="C284" s="27" t="str">
        <f t="shared" si="14"/>
        <v>Thomas</v>
      </c>
      <c r="D284" s="27">
        <v>19</v>
      </c>
      <c r="E284" s="27">
        <v>5</v>
      </c>
    </row>
    <row r="285" spans="1:5" x14ac:dyDescent="0.25">
      <c r="A285" s="27" t="s">
        <v>860</v>
      </c>
      <c r="B285" s="27" t="str">
        <f t="shared" si="13"/>
        <v>Georgia</v>
      </c>
      <c r="C285" s="27" t="str">
        <f t="shared" si="14"/>
        <v>Tift</v>
      </c>
      <c r="D285" s="27">
        <v>8</v>
      </c>
      <c r="E285" s="27">
        <v>2</v>
      </c>
    </row>
    <row r="286" spans="1:5" x14ac:dyDescent="0.25">
      <c r="A286" s="27" t="s">
        <v>861</v>
      </c>
      <c r="B286" s="27" t="str">
        <f t="shared" si="13"/>
        <v>Georgia</v>
      </c>
      <c r="C286" s="27" t="str">
        <f t="shared" si="14"/>
        <v>Toombs</v>
      </c>
      <c r="D286" s="27">
        <v>0</v>
      </c>
      <c r="E286" s="27">
        <v>2</v>
      </c>
    </row>
    <row r="287" spans="1:5" x14ac:dyDescent="0.25">
      <c r="A287" s="27" t="s">
        <v>862</v>
      </c>
      <c r="B287" s="27" t="str">
        <f t="shared" si="13"/>
        <v>Georgia</v>
      </c>
      <c r="C287" s="27" t="str">
        <f t="shared" si="14"/>
        <v>Towns</v>
      </c>
      <c r="D287" s="27">
        <v>0</v>
      </c>
      <c r="E287" s="27">
        <v>0</v>
      </c>
    </row>
    <row r="288" spans="1:5" x14ac:dyDescent="0.25">
      <c r="A288" s="27" t="s">
        <v>863</v>
      </c>
      <c r="B288" s="27" t="str">
        <f t="shared" si="13"/>
        <v>Georgia</v>
      </c>
      <c r="C288" s="27" t="str">
        <f t="shared" si="14"/>
        <v>Treutlen</v>
      </c>
      <c r="D288" s="27">
        <v>5</v>
      </c>
      <c r="E288" s="27">
        <v>0</v>
      </c>
    </row>
    <row r="289" spans="1:5" x14ac:dyDescent="0.25">
      <c r="A289" s="27" t="s">
        <v>864</v>
      </c>
      <c r="B289" s="27" t="str">
        <f t="shared" si="13"/>
        <v>Georgia</v>
      </c>
      <c r="C289" s="27" t="str">
        <f t="shared" si="14"/>
        <v>Troup</v>
      </c>
      <c r="D289" s="27">
        <v>9</v>
      </c>
      <c r="E289" s="27">
        <v>0</v>
      </c>
    </row>
    <row r="290" spans="1:5" x14ac:dyDescent="0.25">
      <c r="A290" s="27" t="s">
        <v>865</v>
      </c>
      <c r="B290" s="27" t="str">
        <f t="shared" si="13"/>
        <v>Georgia</v>
      </c>
      <c r="C290" s="27" t="str">
        <f t="shared" si="14"/>
        <v>Turner</v>
      </c>
      <c r="D290" s="27">
        <v>0</v>
      </c>
      <c r="E290" s="27">
        <v>3</v>
      </c>
    </row>
    <row r="291" spans="1:5" x14ac:dyDescent="0.25">
      <c r="A291" s="27" t="s">
        <v>866</v>
      </c>
      <c r="B291" s="27" t="str">
        <f t="shared" si="13"/>
        <v>Georgia</v>
      </c>
      <c r="C291" s="27" t="str">
        <f t="shared" si="14"/>
        <v>Twiggs</v>
      </c>
      <c r="D291" s="27">
        <v>0</v>
      </c>
      <c r="E291" s="27">
        <v>0</v>
      </c>
    </row>
    <row r="292" spans="1:5" x14ac:dyDescent="0.25">
      <c r="A292" s="27" t="s">
        <v>867</v>
      </c>
      <c r="B292" s="27" t="str">
        <f t="shared" si="13"/>
        <v>Georgia</v>
      </c>
      <c r="C292" s="27" t="str">
        <f t="shared" si="14"/>
        <v>Union</v>
      </c>
      <c r="D292" s="27">
        <v>0</v>
      </c>
      <c r="E292" s="27">
        <v>0</v>
      </c>
    </row>
    <row r="293" spans="1:5" x14ac:dyDescent="0.25">
      <c r="A293" s="27" t="s">
        <v>868</v>
      </c>
      <c r="B293" s="27" t="str">
        <f t="shared" si="13"/>
        <v>Georgia</v>
      </c>
      <c r="C293" s="27" t="str">
        <f t="shared" si="14"/>
        <v>Upson</v>
      </c>
      <c r="D293" s="27">
        <v>0</v>
      </c>
      <c r="E293" s="27">
        <v>1</v>
      </c>
    </row>
    <row r="294" spans="1:5" x14ac:dyDescent="0.25">
      <c r="A294" s="27" t="s">
        <v>869</v>
      </c>
      <c r="B294" s="27" t="str">
        <f t="shared" si="13"/>
        <v>Georgia</v>
      </c>
      <c r="C294" s="27" t="str">
        <f t="shared" si="14"/>
        <v>Walker</v>
      </c>
      <c r="D294" s="27">
        <v>4</v>
      </c>
      <c r="E294" s="27">
        <v>1</v>
      </c>
    </row>
    <row r="295" spans="1:5" x14ac:dyDescent="0.25">
      <c r="A295" s="27" t="s">
        <v>870</v>
      </c>
      <c r="B295" s="27" t="str">
        <f t="shared" si="13"/>
        <v>Georgia</v>
      </c>
      <c r="C295" s="27" t="str">
        <f t="shared" si="14"/>
        <v>Walton</v>
      </c>
      <c r="D295" s="27">
        <v>7</v>
      </c>
      <c r="E295" s="27">
        <v>4</v>
      </c>
    </row>
    <row r="296" spans="1:5" x14ac:dyDescent="0.25">
      <c r="A296" s="27" t="s">
        <v>871</v>
      </c>
      <c r="B296" s="27" t="str">
        <f t="shared" si="13"/>
        <v>Georgia</v>
      </c>
      <c r="C296" s="27" t="str">
        <f t="shared" si="14"/>
        <v>Ware</v>
      </c>
      <c r="D296" s="27">
        <v>2</v>
      </c>
      <c r="E296" s="27">
        <v>2</v>
      </c>
    </row>
    <row r="297" spans="1:5" x14ac:dyDescent="0.25">
      <c r="A297" s="27" t="s">
        <v>872</v>
      </c>
      <c r="B297" s="27" t="str">
        <f t="shared" si="13"/>
        <v>Georgia</v>
      </c>
      <c r="C297" s="27" t="str">
        <f t="shared" si="14"/>
        <v>Warren</v>
      </c>
      <c r="D297" s="27">
        <v>0</v>
      </c>
      <c r="E297" s="27">
        <v>2</v>
      </c>
    </row>
    <row r="298" spans="1:5" x14ac:dyDescent="0.25">
      <c r="A298" s="27" t="s">
        <v>873</v>
      </c>
      <c r="B298" s="27" t="str">
        <f t="shared" si="13"/>
        <v>Georgia</v>
      </c>
      <c r="C298" s="27" t="str">
        <f t="shared" si="14"/>
        <v>Washington</v>
      </c>
      <c r="D298" s="27">
        <v>13</v>
      </c>
      <c r="E298" s="27">
        <v>3</v>
      </c>
    </row>
    <row r="299" spans="1:5" x14ac:dyDescent="0.25">
      <c r="A299" s="27" t="s">
        <v>874</v>
      </c>
      <c r="B299" s="27" t="str">
        <f t="shared" si="13"/>
        <v>Georgia</v>
      </c>
      <c r="C299" s="27" t="str">
        <f t="shared" si="14"/>
        <v>Wayne</v>
      </c>
      <c r="D299" s="27">
        <v>8</v>
      </c>
      <c r="E299" s="27">
        <v>2</v>
      </c>
    </row>
    <row r="300" spans="1:5" x14ac:dyDescent="0.25">
      <c r="A300" s="27" t="s">
        <v>875</v>
      </c>
      <c r="B300" s="27" t="str">
        <f t="shared" si="13"/>
        <v>Georgia</v>
      </c>
      <c r="C300" s="27" t="str">
        <f t="shared" si="14"/>
        <v>Webster</v>
      </c>
      <c r="D300" s="27">
        <v>3</v>
      </c>
      <c r="E300" s="27">
        <v>0</v>
      </c>
    </row>
    <row r="301" spans="1:5" x14ac:dyDescent="0.25">
      <c r="A301" s="27" t="s">
        <v>876</v>
      </c>
      <c r="B301" s="27" t="str">
        <f t="shared" si="13"/>
        <v>Georgia</v>
      </c>
      <c r="C301" s="27" t="str">
        <f t="shared" si="14"/>
        <v>Wheeler</v>
      </c>
      <c r="D301" s="27">
        <v>0</v>
      </c>
      <c r="E301" s="27">
        <v>1</v>
      </c>
    </row>
    <row r="302" spans="1:5" x14ac:dyDescent="0.25">
      <c r="A302" s="27" t="s">
        <v>877</v>
      </c>
      <c r="B302" s="27" t="str">
        <f t="shared" si="13"/>
        <v>Georgia</v>
      </c>
      <c r="C302" s="27" t="str">
        <f t="shared" si="14"/>
        <v>White</v>
      </c>
      <c r="D302" s="27">
        <v>0</v>
      </c>
      <c r="E302" s="27">
        <v>0</v>
      </c>
    </row>
    <row r="303" spans="1:5" x14ac:dyDescent="0.25">
      <c r="A303" s="27" t="s">
        <v>878</v>
      </c>
      <c r="B303" s="27" t="str">
        <f t="shared" si="13"/>
        <v>Georgia</v>
      </c>
      <c r="C303" s="27" t="str">
        <f t="shared" si="14"/>
        <v>Whitfield</v>
      </c>
      <c r="D303" s="27">
        <v>0</v>
      </c>
      <c r="E303" s="27">
        <v>1</v>
      </c>
    </row>
    <row r="304" spans="1:5" x14ac:dyDescent="0.25">
      <c r="A304" s="27" t="s">
        <v>879</v>
      </c>
      <c r="B304" s="27" t="str">
        <f t="shared" si="13"/>
        <v>Georgia</v>
      </c>
      <c r="C304" s="27" t="str">
        <f t="shared" si="14"/>
        <v>Wilcox</v>
      </c>
      <c r="D304" s="27">
        <v>9</v>
      </c>
      <c r="E304" s="27">
        <v>2</v>
      </c>
    </row>
    <row r="305" spans="1:5" x14ac:dyDescent="0.25">
      <c r="A305" s="27" t="s">
        <v>880</v>
      </c>
      <c r="B305" s="27" t="str">
        <f t="shared" si="13"/>
        <v>Georgia</v>
      </c>
      <c r="C305" s="27" t="str">
        <f t="shared" si="14"/>
        <v>Wilkes</v>
      </c>
      <c r="D305" s="27">
        <v>2</v>
      </c>
      <c r="E305" s="27">
        <v>4</v>
      </c>
    </row>
    <row r="306" spans="1:5" x14ac:dyDescent="0.25">
      <c r="A306" s="27" t="s">
        <v>881</v>
      </c>
      <c r="B306" s="27" t="str">
        <f t="shared" si="13"/>
        <v>Georgia</v>
      </c>
      <c r="C306" s="27" t="str">
        <f t="shared" si="14"/>
        <v>Wilkinson</v>
      </c>
      <c r="D306" s="27">
        <v>9</v>
      </c>
      <c r="E306" s="27">
        <v>3</v>
      </c>
    </row>
    <row r="307" spans="1:5" x14ac:dyDescent="0.25">
      <c r="A307" s="27" t="s">
        <v>882</v>
      </c>
      <c r="B307" s="27" t="str">
        <f t="shared" si="13"/>
        <v>Georgia</v>
      </c>
      <c r="C307" s="27" t="str">
        <f t="shared" si="14"/>
        <v>Worth</v>
      </c>
      <c r="D307" s="27">
        <v>0</v>
      </c>
      <c r="E307" s="27">
        <v>5</v>
      </c>
    </row>
    <row r="308" spans="1:5" x14ac:dyDescent="0.25">
      <c r="C308" s="27">
        <f>SUM(D309:D428)</f>
        <v>319</v>
      </c>
      <c r="D308" s="27">
        <v>319</v>
      </c>
      <c r="E308" s="27">
        <v>56</v>
      </c>
    </row>
    <row r="309" spans="1:5" x14ac:dyDescent="0.25">
      <c r="A309" s="27" t="s">
        <v>883</v>
      </c>
      <c r="B309" s="27" t="str">
        <f t="shared" si="13"/>
        <v>Kentucky</v>
      </c>
      <c r="C309" s="27" t="str">
        <f t="shared" ref="C309:C340" si="15">MID(A309,FIND(";",A309)+1,100)</f>
        <v>Adair</v>
      </c>
      <c r="D309" s="27">
        <v>8</v>
      </c>
      <c r="E309" s="27">
        <v>0</v>
      </c>
    </row>
    <row r="310" spans="1:5" x14ac:dyDescent="0.25">
      <c r="A310" s="27" t="s">
        <v>884</v>
      </c>
      <c r="B310" s="27" t="str">
        <f t="shared" si="13"/>
        <v>Kentucky</v>
      </c>
      <c r="C310" s="27" t="str">
        <f t="shared" si="15"/>
        <v>Allen</v>
      </c>
      <c r="D310" s="27">
        <v>1</v>
      </c>
      <c r="E310" s="27">
        <v>0</v>
      </c>
    </row>
    <row r="311" spans="1:5" x14ac:dyDescent="0.25">
      <c r="A311" s="27" t="s">
        <v>885</v>
      </c>
      <c r="B311" s="27" t="str">
        <f t="shared" si="13"/>
        <v>Kentucky</v>
      </c>
      <c r="C311" s="27" t="str">
        <f t="shared" si="15"/>
        <v>Anderson</v>
      </c>
      <c r="D311" s="27">
        <v>0</v>
      </c>
      <c r="E311" s="27">
        <v>0</v>
      </c>
    </row>
    <row r="312" spans="1:5" x14ac:dyDescent="0.25">
      <c r="A312" s="27" t="s">
        <v>886</v>
      </c>
      <c r="B312" s="27" t="str">
        <f t="shared" si="13"/>
        <v>Kentucky</v>
      </c>
      <c r="C312" s="27" t="str">
        <f t="shared" si="15"/>
        <v>Ballard</v>
      </c>
      <c r="D312" s="27">
        <v>5</v>
      </c>
      <c r="E312" s="27">
        <v>5</v>
      </c>
    </row>
    <row r="313" spans="1:5" x14ac:dyDescent="0.25">
      <c r="A313" s="27" t="s">
        <v>887</v>
      </c>
      <c r="B313" s="27" t="str">
        <f t="shared" si="13"/>
        <v>Kentucky</v>
      </c>
      <c r="C313" s="27" t="str">
        <f t="shared" si="15"/>
        <v>Barren</v>
      </c>
      <c r="D313" s="27">
        <v>0</v>
      </c>
      <c r="E313" s="27">
        <v>0</v>
      </c>
    </row>
    <row r="314" spans="1:5" x14ac:dyDescent="0.25">
      <c r="A314" s="27" t="s">
        <v>888</v>
      </c>
      <c r="B314" s="27" t="str">
        <f t="shared" si="13"/>
        <v>Kentucky</v>
      </c>
      <c r="C314" s="27" t="str">
        <f t="shared" si="15"/>
        <v>Bath</v>
      </c>
      <c r="D314" s="27">
        <v>7</v>
      </c>
      <c r="E314" s="27">
        <v>0</v>
      </c>
    </row>
    <row r="315" spans="1:5" x14ac:dyDescent="0.25">
      <c r="A315" s="27" t="s">
        <v>889</v>
      </c>
      <c r="B315" s="27" t="str">
        <f t="shared" si="13"/>
        <v>Kentucky</v>
      </c>
      <c r="C315" s="27" t="str">
        <f t="shared" si="15"/>
        <v>Bell</v>
      </c>
      <c r="D315" s="27">
        <v>0</v>
      </c>
      <c r="E315" s="27">
        <v>0</v>
      </c>
    </row>
    <row r="316" spans="1:5" x14ac:dyDescent="0.25">
      <c r="A316" s="27" t="s">
        <v>890</v>
      </c>
      <c r="B316" s="27" t="str">
        <f t="shared" si="13"/>
        <v>Kentucky</v>
      </c>
      <c r="C316" s="27" t="str">
        <f t="shared" si="15"/>
        <v>Boone</v>
      </c>
      <c r="D316" s="27">
        <v>0</v>
      </c>
      <c r="E316" s="27">
        <v>0</v>
      </c>
    </row>
    <row r="317" spans="1:5" x14ac:dyDescent="0.25">
      <c r="A317" s="27" t="s">
        <v>891</v>
      </c>
      <c r="B317" s="27" t="str">
        <f t="shared" si="13"/>
        <v>Kentucky</v>
      </c>
      <c r="C317" s="27" t="str">
        <f t="shared" si="15"/>
        <v>Bourbon</v>
      </c>
      <c r="D317" s="27">
        <v>4</v>
      </c>
      <c r="E317" s="27">
        <v>2</v>
      </c>
    </row>
    <row r="318" spans="1:5" x14ac:dyDescent="0.25">
      <c r="A318" s="27" t="s">
        <v>892</v>
      </c>
      <c r="B318" s="27" t="str">
        <f t="shared" si="13"/>
        <v>Kentucky</v>
      </c>
      <c r="C318" s="27" t="str">
        <f t="shared" si="15"/>
        <v>Boyd</v>
      </c>
      <c r="D318" s="27">
        <v>0</v>
      </c>
      <c r="E318" s="27">
        <v>0</v>
      </c>
    </row>
    <row r="319" spans="1:5" x14ac:dyDescent="0.25">
      <c r="A319" s="27" t="s">
        <v>893</v>
      </c>
      <c r="B319" s="27" t="str">
        <f t="shared" si="13"/>
        <v>Kentucky</v>
      </c>
      <c r="C319" s="27" t="str">
        <f t="shared" si="15"/>
        <v>Boyle</v>
      </c>
      <c r="D319" s="27">
        <v>7</v>
      </c>
      <c r="E319" s="27">
        <v>0</v>
      </c>
    </row>
    <row r="320" spans="1:5" x14ac:dyDescent="0.25">
      <c r="A320" s="27" t="s">
        <v>894</v>
      </c>
      <c r="B320" s="27" t="str">
        <f t="shared" si="13"/>
        <v>Kentucky</v>
      </c>
      <c r="C320" s="27" t="str">
        <f t="shared" si="15"/>
        <v>Bracken</v>
      </c>
      <c r="D320" s="27">
        <v>0</v>
      </c>
      <c r="E320" s="27">
        <v>1</v>
      </c>
    </row>
    <row r="321" spans="1:5" x14ac:dyDescent="0.25">
      <c r="A321" s="27" t="s">
        <v>895</v>
      </c>
      <c r="B321" s="27" t="str">
        <f t="shared" si="13"/>
        <v>Kentucky</v>
      </c>
      <c r="C321" s="27" t="str">
        <f t="shared" si="15"/>
        <v>Breathitt</v>
      </c>
      <c r="D321" s="27">
        <v>2</v>
      </c>
      <c r="E321" s="27">
        <v>1</v>
      </c>
    </row>
    <row r="322" spans="1:5" x14ac:dyDescent="0.25">
      <c r="A322" s="27" t="s">
        <v>896</v>
      </c>
      <c r="B322" s="27" t="str">
        <f t="shared" si="13"/>
        <v>Kentucky</v>
      </c>
      <c r="C322" s="27" t="str">
        <f t="shared" si="15"/>
        <v>Breckinridge</v>
      </c>
      <c r="D322" s="27">
        <v>6</v>
      </c>
      <c r="E322" s="27">
        <v>2</v>
      </c>
    </row>
    <row r="323" spans="1:5" x14ac:dyDescent="0.25">
      <c r="A323" s="27" t="s">
        <v>897</v>
      </c>
      <c r="B323" s="27" t="str">
        <f t="shared" si="13"/>
        <v>Kentucky</v>
      </c>
      <c r="C323" s="27" t="str">
        <f t="shared" si="15"/>
        <v>Bullitt</v>
      </c>
      <c r="D323" s="27">
        <v>0</v>
      </c>
      <c r="E323" s="27">
        <v>1</v>
      </c>
    </row>
    <row r="324" spans="1:5" x14ac:dyDescent="0.25">
      <c r="A324" s="27" t="s">
        <v>898</v>
      </c>
      <c r="B324" s="27" t="str">
        <f t="shared" si="13"/>
        <v>Kentucky</v>
      </c>
      <c r="C324" s="27" t="str">
        <f t="shared" si="15"/>
        <v>Butler</v>
      </c>
      <c r="D324" s="27">
        <v>0</v>
      </c>
      <c r="E324" s="27">
        <v>0</v>
      </c>
    </row>
    <row r="325" spans="1:5" x14ac:dyDescent="0.25">
      <c r="A325" s="27" t="s">
        <v>899</v>
      </c>
      <c r="B325" s="27" t="str">
        <f t="shared" si="13"/>
        <v>Kentucky</v>
      </c>
      <c r="C325" s="27" t="str">
        <f t="shared" si="15"/>
        <v>Caldwell</v>
      </c>
      <c r="D325" s="27">
        <v>0</v>
      </c>
      <c r="E325" s="27">
        <v>1</v>
      </c>
    </row>
    <row r="326" spans="1:5" x14ac:dyDescent="0.25">
      <c r="A326" s="27" t="s">
        <v>900</v>
      </c>
      <c r="B326" s="27" t="str">
        <f t="shared" ref="B326:B389" si="16">LEFT(A326,FIND(";",A326)-1)</f>
        <v>Kentucky</v>
      </c>
      <c r="C326" s="27" t="str">
        <f t="shared" si="15"/>
        <v>Calloway</v>
      </c>
      <c r="D326" s="27">
        <v>6</v>
      </c>
      <c r="E326" s="27">
        <v>0</v>
      </c>
    </row>
    <row r="327" spans="1:5" x14ac:dyDescent="0.25">
      <c r="A327" s="27" t="s">
        <v>901</v>
      </c>
      <c r="B327" s="27" t="str">
        <f t="shared" si="16"/>
        <v>Kentucky</v>
      </c>
      <c r="C327" s="27" t="str">
        <f t="shared" si="15"/>
        <v>Campbell</v>
      </c>
      <c r="D327" s="27">
        <v>0</v>
      </c>
      <c r="E327" s="27">
        <v>0</v>
      </c>
    </row>
    <row r="328" spans="1:5" x14ac:dyDescent="0.25">
      <c r="A328" s="27" t="s">
        <v>902</v>
      </c>
      <c r="B328" s="27" t="str">
        <f t="shared" si="16"/>
        <v>Kentucky</v>
      </c>
      <c r="C328" s="27" t="str">
        <f t="shared" si="15"/>
        <v>Carlisle</v>
      </c>
      <c r="D328" s="27">
        <v>0</v>
      </c>
      <c r="E328" s="27">
        <v>0</v>
      </c>
    </row>
    <row r="329" spans="1:5" x14ac:dyDescent="0.25">
      <c r="A329" s="27" t="s">
        <v>903</v>
      </c>
      <c r="B329" s="27" t="str">
        <f t="shared" si="16"/>
        <v>Kentucky</v>
      </c>
      <c r="C329" s="27" t="str">
        <f t="shared" si="15"/>
        <v>Carroll</v>
      </c>
      <c r="D329" s="27">
        <v>2</v>
      </c>
      <c r="E329" s="27">
        <v>0</v>
      </c>
    </row>
    <row r="330" spans="1:5" x14ac:dyDescent="0.25">
      <c r="A330" s="27" t="s">
        <v>904</v>
      </c>
      <c r="B330" s="27" t="str">
        <f t="shared" si="16"/>
        <v>Kentucky</v>
      </c>
      <c r="C330" s="27" t="str">
        <f t="shared" si="15"/>
        <v>Carter</v>
      </c>
      <c r="D330" s="27">
        <v>0</v>
      </c>
      <c r="E330" s="27">
        <v>0</v>
      </c>
    </row>
    <row r="331" spans="1:5" x14ac:dyDescent="0.25">
      <c r="A331" s="27" t="s">
        <v>905</v>
      </c>
      <c r="B331" s="27" t="str">
        <f t="shared" si="16"/>
        <v>Kentucky</v>
      </c>
      <c r="C331" s="27" t="str">
        <f t="shared" si="15"/>
        <v>Casey</v>
      </c>
      <c r="D331" s="27">
        <v>0</v>
      </c>
      <c r="E331" s="27">
        <v>0</v>
      </c>
    </row>
    <row r="332" spans="1:5" x14ac:dyDescent="0.25">
      <c r="A332" s="27" t="s">
        <v>906</v>
      </c>
      <c r="B332" s="27" t="str">
        <f t="shared" si="16"/>
        <v>Kentucky</v>
      </c>
      <c r="C332" s="27" t="str">
        <f t="shared" si="15"/>
        <v>Christian</v>
      </c>
      <c r="D332" s="27">
        <v>12</v>
      </c>
      <c r="E332" s="27">
        <v>1</v>
      </c>
    </row>
    <row r="333" spans="1:5" x14ac:dyDescent="0.25">
      <c r="A333" s="27" t="s">
        <v>907</v>
      </c>
      <c r="B333" s="27" t="str">
        <f t="shared" si="16"/>
        <v>Kentucky</v>
      </c>
      <c r="C333" s="27" t="str">
        <f t="shared" si="15"/>
        <v>Clark</v>
      </c>
      <c r="D333" s="27">
        <v>4</v>
      </c>
      <c r="E333" s="27">
        <v>0</v>
      </c>
    </row>
    <row r="334" spans="1:5" x14ac:dyDescent="0.25">
      <c r="A334" s="27" t="s">
        <v>908</v>
      </c>
      <c r="B334" s="27" t="str">
        <f t="shared" si="16"/>
        <v>Kentucky</v>
      </c>
      <c r="C334" s="27" t="str">
        <f t="shared" si="15"/>
        <v>Clay</v>
      </c>
      <c r="D334" s="27">
        <v>0</v>
      </c>
      <c r="E334" s="27">
        <v>0</v>
      </c>
    </row>
    <row r="335" spans="1:5" x14ac:dyDescent="0.25">
      <c r="A335" s="27" t="s">
        <v>909</v>
      </c>
      <c r="B335" s="27" t="str">
        <f t="shared" si="16"/>
        <v>Kentucky</v>
      </c>
      <c r="C335" s="27" t="str">
        <f t="shared" si="15"/>
        <v>Clinton</v>
      </c>
      <c r="D335" s="27">
        <v>0</v>
      </c>
      <c r="E335" s="27">
        <v>0</v>
      </c>
    </row>
    <row r="336" spans="1:5" x14ac:dyDescent="0.25">
      <c r="A336" s="27" t="s">
        <v>910</v>
      </c>
      <c r="B336" s="27" t="str">
        <f t="shared" si="16"/>
        <v>Kentucky</v>
      </c>
      <c r="C336" s="27" t="str">
        <f t="shared" si="15"/>
        <v>Crittenden</v>
      </c>
      <c r="D336" s="27">
        <v>1</v>
      </c>
      <c r="E336" s="27">
        <v>0</v>
      </c>
    </row>
    <row r="337" spans="1:5" x14ac:dyDescent="0.25">
      <c r="A337" s="27" t="s">
        <v>911</v>
      </c>
      <c r="B337" s="27" t="str">
        <f t="shared" si="16"/>
        <v>Kentucky</v>
      </c>
      <c r="C337" s="27" t="str">
        <f t="shared" si="15"/>
        <v>Cumberland</v>
      </c>
      <c r="D337" s="27">
        <v>0</v>
      </c>
      <c r="E337" s="27">
        <v>0</v>
      </c>
    </row>
    <row r="338" spans="1:5" x14ac:dyDescent="0.25">
      <c r="A338" s="27" t="s">
        <v>1748</v>
      </c>
      <c r="B338" s="27" t="str">
        <f t="shared" si="16"/>
        <v>Kentucky</v>
      </c>
      <c r="C338" s="27" t="str">
        <f t="shared" si="15"/>
        <v>Daviess</v>
      </c>
      <c r="D338" s="27">
        <v>1</v>
      </c>
      <c r="E338" s="27">
        <v>0</v>
      </c>
    </row>
    <row r="339" spans="1:5" x14ac:dyDescent="0.25">
      <c r="A339" s="27" t="s">
        <v>912</v>
      </c>
      <c r="B339" s="27" t="str">
        <f t="shared" si="16"/>
        <v>Kentucky</v>
      </c>
      <c r="C339" s="27" t="str">
        <f t="shared" si="15"/>
        <v>Edmonson</v>
      </c>
      <c r="D339" s="27">
        <v>0</v>
      </c>
      <c r="E339" s="27">
        <v>0</v>
      </c>
    </row>
    <row r="340" spans="1:5" x14ac:dyDescent="0.25">
      <c r="A340" s="27" t="s">
        <v>913</v>
      </c>
      <c r="B340" s="27" t="str">
        <f t="shared" si="16"/>
        <v>Kentucky</v>
      </c>
      <c r="C340" s="27" t="str">
        <f t="shared" si="15"/>
        <v>Elliott</v>
      </c>
      <c r="D340" s="27">
        <v>0</v>
      </c>
      <c r="E340" s="27">
        <v>0</v>
      </c>
    </row>
    <row r="341" spans="1:5" x14ac:dyDescent="0.25">
      <c r="A341" s="27" t="s">
        <v>914</v>
      </c>
      <c r="B341" s="27" t="str">
        <f t="shared" si="16"/>
        <v>Kentucky</v>
      </c>
      <c r="C341" s="27" t="str">
        <f t="shared" ref="C341:C372" si="17">MID(A341,FIND(";",A341)+1,100)</f>
        <v>Estill</v>
      </c>
      <c r="D341" s="27">
        <v>0</v>
      </c>
      <c r="E341" s="27">
        <v>0</v>
      </c>
    </row>
    <row r="342" spans="1:5" x14ac:dyDescent="0.25">
      <c r="A342" s="27" t="s">
        <v>915</v>
      </c>
      <c r="B342" s="27" t="str">
        <f t="shared" si="16"/>
        <v>Kentucky</v>
      </c>
      <c r="C342" s="27" t="str">
        <f t="shared" si="17"/>
        <v>Fayette</v>
      </c>
      <c r="D342" s="27">
        <v>13</v>
      </c>
      <c r="E342" s="27">
        <v>0</v>
      </c>
    </row>
    <row r="343" spans="1:5" x14ac:dyDescent="0.25">
      <c r="A343" s="27" t="s">
        <v>916</v>
      </c>
      <c r="B343" s="27" t="str">
        <f t="shared" si="16"/>
        <v>Kentucky</v>
      </c>
      <c r="C343" s="27" t="str">
        <f t="shared" si="17"/>
        <v>Fleming</v>
      </c>
      <c r="D343" s="27">
        <v>5</v>
      </c>
      <c r="E343" s="27">
        <v>0</v>
      </c>
    </row>
    <row r="344" spans="1:5" x14ac:dyDescent="0.25">
      <c r="A344" s="27" t="s">
        <v>917</v>
      </c>
      <c r="B344" s="27" t="str">
        <f t="shared" si="16"/>
        <v>Kentucky</v>
      </c>
      <c r="C344" s="27" t="str">
        <f t="shared" si="17"/>
        <v>Floyd</v>
      </c>
      <c r="D344" s="27">
        <v>2</v>
      </c>
      <c r="E344" s="27">
        <v>1</v>
      </c>
    </row>
    <row r="345" spans="1:5" x14ac:dyDescent="0.25">
      <c r="A345" s="27" t="s">
        <v>918</v>
      </c>
      <c r="B345" s="27" t="str">
        <f t="shared" si="16"/>
        <v>Kentucky</v>
      </c>
      <c r="C345" s="27" t="str">
        <f t="shared" si="17"/>
        <v>Franklin</v>
      </c>
      <c r="D345" s="27">
        <v>20</v>
      </c>
      <c r="E345" s="27">
        <v>1</v>
      </c>
    </row>
    <row r="346" spans="1:5" x14ac:dyDescent="0.25">
      <c r="A346" s="27" t="s">
        <v>919</v>
      </c>
      <c r="B346" s="27" t="str">
        <f t="shared" si="16"/>
        <v>Kentucky</v>
      </c>
      <c r="C346" s="27" t="str">
        <f t="shared" si="17"/>
        <v>Fulton</v>
      </c>
      <c r="D346" s="27">
        <v>7</v>
      </c>
      <c r="E346" s="27">
        <v>5</v>
      </c>
    </row>
    <row r="347" spans="1:5" x14ac:dyDescent="0.25">
      <c r="A347" s="27" t="s">
        <v>920</v>
      </c>
      <c r="B347" s="27" t="str">
        <f t="shared" si="16"/>
        <v>Kentucky</v>
      </c>
      <c r="C347" s="27" t="str">
        <f t="shared" si="17"/>
        <v>Gallatin</v>
      </c>
      <c r="D347" s="27">
        <v>1</v>
      </c>
      <c r="E347" s="27">
        <v>0</v>
      </c>
    </row>
    <row r="348" spans="1:5" x14ac:dyDescent="0.25">
      <c r="A348" s="27" t="s">
        <v>921</v>
      </c>
      <c r="B348" s="27" t="str">
        <f t="shared" si="16"/>
        <v>Kentucky</v>
      </c>
      <c r="C348" s="27" t="str">
        <f t="shared" si="17"/>
        <v>Garrard</v>
      </c>
      <c r="D348" s="27">
        <v>3</v>
      </c>
      <c r="E348" s="27">
        <v>0</v>
      </c>
    </row>
    <row r="349" spans="1:5" x14ac:dyDescent="0.25">
      <c r="A349" s="27" t="s">
        <v>922</v>
      </c>
      <c r="B349" s="27" t="str">
        <f t="shared" si="16"/>
        <v>Kentucky</v>
      </c>
      <c r="C349" s="27" t="str">
        <f t="shared" si="17"/>
        <v>Grant</v>
      </c>
      <c r="D349" s="27">
        <v>1</v>
      </c>
      <c r="E349" s="27">
        <v>1</v>
      </c>
    </row>
    <row r="350" spans="1:5" x14ac:dyDescent="0.25">
      <c r="A350" s="27" t="s">
        <v>923</v>
      </c>
      <c r="B350" s="27" t="str">
        <f t="shared" si="16"/>
        <v>Kentucky</v>
      </c>
      <c r="C350" s="27" t="str">
        <f t="shared" si="17"/>
        <v>Graves</v>
      </c>
      <c r="D350" s="27">
        <v>9</v>
      </c>
      <c r="E350" s="27">
        <v>1</v>
      </c>
    </row>
    <row r="351" spans="1:5" x14ac:dyDescent="0.25">
      <c r="A351" s="27" t="s">
        <v>924</v>
      </c>
      <c r="B351" s="27" t="str">
        <f t="shared" si="16"/>
        <v>Kentucky</v>
      </c>
      <c r="C351" s="27" t="str">
        <f t="shared" si="17"/>
        <v>Grayson</v>
      </c>
      <c r="D351" s="27">
        <v>0</v>
      </c>
      <c r="E351" s="27">
        <v>1</v>
      </c>
    </row>
    <row r="352" spans="1:5" x14ac:dyDescent="0.25">
      <c r="A352" s="27" t="s">
        <v>925</v>
      </c>
      <c r="B352" s="27" t="str">
        <f t="shared" si="16"/>
        <v>Kentucky</v>
      </c>
      <c r="C352" s="27" t="str">
        <f t="shared" si="17"/>
        <v>Green</v>
      </c>
      <c r="D352" s="27">
        <v>5</v>
      </c>
      <c r="E352" s="27">
        <v>0</v>
      </c>
    </row>
    <row r="353" spans="1:5" x14ac:dyDescent="0.25">
      <c r="A353" s="27" t="s">
        <v>926</v>
      </c>
      <c r="B353" s="27" t="str">
        <f t="shared" si="16"/>
        <v>Kentucky</v>
      </c>
      <c r="C353" s="27" t="str">
        <f t="shared" si="17"/>
        <v>Greenup</v>
      </c>
      <c r="D353" s="27">
        <v>1</v>
      </c>
      <c r="E353" s="27">
        <v>0</v>
      </c>
    </row>
    <row r="354" spans="1:5" x14ac:dyDescent="0.25">
      <c r="A354" s="27" t="s">
        <v>927</v>
      </c>
      <c r="B354" s="27" t="str">
        <f t="shared" si="16"/>
        <v>Kentucky</v>
      </c>
      <c r="C354" s="27" t="str">
        <f t="shared" si="17"/>
        <v>Hancock</v>
      </c>
      <c r="D354" s="27">
        <v>0</v>
      </c>
      <c r="E354" s="27">
        <v>1</v>
      </c>
    </row>
    <row r="355" spans="1:5" x14ac:dyDescent="0.25">
      <c r="A355" s="27" t="s">
        <v>928</v>
      </c>
      <c r="B355" s="27" t="str">
        <f t="shared" si="16"/>
        <v>Kentucky</v>
      </c>
      <c r="C355" s="27" t="str">
        <f t="shared" si="17"/>
        <v>Hardin</v>
      </c>
      <c r="D355" s="27">
        <v>7</v>
      </c>
      <c r="E355" s="27">
        <v>1</v>
      </c>
    </row>
    <row r="356" spans="1:5" x14ac:dyDescent="0.25">
      <c r="A356" s="27" t="s">
        <v>929</v>
      </c>
      <c r="B356" s="27" t="str">
        <f t="shared" si="16"/>
        <v>Kentucky</v>
      </c>
      <c r="C356" s="27" t="str">
        <f t="shared" si="17"/>
        <v>Harlan</v>
      </c>
      <c r="D356" s="27">
        <v>4</v>
      </c>
      <c r="E356" s="27">
        <v>0</v>
      </c>
    </row>
    <row r="357" spans="1:5" x14ac:dyDescent="0.25">
      <c r="A357" s="27" t="s">
        <v>930</v>
      </c>
      <c r="B357" s="27" t="str">
        <f t="shared" si="16"/>
        <v>Kentucky</v>
      </c>
      <c r="C357" s="27" t="str">
        <f t="shared" si="17"/>
        <v>Harrison</v>
      </c>
      <c r="D357" s="27">
        <v>1</v>
      </c>
      <c r="E357" s="27">
        <v>0</v>
      </c>
    </row>
    <row r="358" spans="1:5" x14ac:dyDescent="0.25">
      <c r="A358" s="27" t="s">
        <v>931</v>
      </c>
      <c r="B358" s="27" t="str">
        <f t="shared" si="16"/>
        <v>Kentucky</v>
      </c>
      <c r="C358" s="27" t="str">
        <f t="shared" si="17"/>
        <v>Hart</v>
      </c>
      <c r="D358" s="27">
        <v>4</v>
      </c>
      <c r="E358" s="27">
        <v>0</v>
      </c>
    </row>
    <row r="359" spans="1:5" x14ac:dyDescent="0.25">
      <c r="A359" s="27" t="s">
        <v>932</v>
      </c>
      <c r="B359" s="27" t="str">
        <f t="shared" si="16"/>
        <v>Kentucky</v>
      </c>
      <c r="C359" s="27" t="str">
        <f t="shared" si="17"/>
        <v>Henderson</v>
      </c>
      <c r="D359" s="27">
        <v>10</v>
      </c>
      <c r="E359" s="27">
        <v>1</v>
      </c>
    </row>
    <row r="360" spans="1:5" x14ac:dyDescent="0.25">
      <c r="A360" s="27" t="s">
        <v>933</v>
      </c>
      <c r="B360" s="27" t="str">
        <f t="shared" si="16"/>
        <v>Kentucky</v>
      </c>
      <c r="C360" s="27" t="str">
        <f t="shared" si="17"/>
        <v>Henry</v>
      </c>
      <c r="D360" s="27">
        <v>1</v>
      </c>
      <c r="E360" s="27">
        <v>0</v>
      </c>
    </row>
    <row r="361" spans="1:5" x14ac:dyDescent="0.25">
      <c r="A361" s="27" t="s">
        <v>934</v>
      </c>
      <c r="B361" s="27" t="str">
        <f t="shared" si="16"/>
        <v>Kentucky</v>
      </c>
      <c r="C361" s="27" t="str">
        <f t="shared" si="17"/>
        <v>Hickman</v>
      </c>
      <c r="D361" s="27">
        <v>3</v>
      </c>
      <c r="E361" s="27">
        <v>0</v>
      </c>
    </row>
    <row r="362" spans="1:5" x14ac:dyDescent="0.25">
      <c r="A362" s="27" t="s">
        <v>935</v>
      </c>
      <c r="B362" s="27" t="str">
        <f t="shared" si="16"/>
        <v>Kentucky</v>
      </c>
      <c r="C362" s="27" t="str">
        <f t="shared" si="17"/>
        <v>Hopkins</v>
      </c>
      <c r="D362" s="27">
        <v>10</v>
      </c>
      <c r="E362" s="27">
        <v>0</v>
      </c>
    </row>
    <row r="363" spans="1:5" x14ac:dyDescent="0.25">
      <c r="A363" s="27" t="s">
        <v>936</v>
      </c>
      <c r="B363" s="27" t="str">
        <f t="shared" si="16"/>
        <v>Kentucky</v>
      </c>
      <c r="C363" s="27" t="str">
        <f t="shared" si="17"/>
        <v>Jackson</v>
      </c>
      <c r="D363" s="27">
        <v>0</v>
      </c>
      <c r="E363" s="27">
        <v>0</v>
      </c>
    </row>
    <row r="364" spans="1:5" x14ac:dyDescent="0.25">
      <c r="A364" s="27" t="s">
        <v>937</v>
      </c>
      <c r="B364" s="27" t="str">
        <f t="shared" si="16"/>
        <v>Kentucky</v>
      </c>
      <c r="C364" s="27" t="str">
        <f t="shared" si="17"/>
        <v>Jefferson</v>
      </c>
      <c r="D364" s="27">
        <v>19</v>
      </c>
      <c r="E364" s="27">
        <v>0</v>
      </c>
    </row>
    <row r="365" spans="1:5" x14ac:dyDescent="0.25">
      <c r="A365" s="27" t="s">
        <v>938</v>
      </c>
      <c r="B365" s="27" t="str">
        <f t="shared" si="16"/>
        <v>Kentucky</v>
      </c>
      <c r="C365" s="27" t="str">
        <f t="shared" si="17"/>
        <v>Jessamine</v>
      </c>
      <c r="D365" s="27">
        <v>6</v>
      </c>
      <c r="E365" s="27">
        <v>1</v>
      </c>
    </row>
    <row r="366" spans="1:5" x14ac:dyDescent="0.25">
      <c r="A366" s="27" t="s">
        <v>939</v>
      </c>
      <c r="B366" s="27" t="str">
        <f t="shared" si="16"/>
        <v>Kentucky</v>
      </c>
      <c r="C366" s="27" t="str">
        <f t="shared" si="17"/>
        <v>Johnson</v>
      </c>
      <c r="D366" s="27">
        <v>0</v>
      </c>
      <c r="E366" s="27">
        <v>0</v>
      </c>
    </row>
    <row r="367" spans="1:5" x14ac:dyDescent="0.25">
      <c r="A367" s="27" t="s">
        <v>940</v>
      </c>
      <c r="B367" s="27" t="str">
        <f t="shared" si="16"/>
        <v>Kentucky</v>
      </c>
      <c r="C367" s="27" t="str">
        <f t="shared" si="17"/>
        <v>Kenton</v>
      </c>
      <c r="D367" s="27">
        <v>0</v>
      </c>
      <c r="E367" s="27">
        <v>0</v>
      </c>
    </row>
    <row r="368" spans="1:5" x14ac:dyDescent="0.25">
      <c r="A368" s="27" t="s">
        <v>941</v>
      </c>
      <c r="B368" s="27" t="str">
        <f t="shared" si="16"/>
        <v>Kentucky</v>
      </c>
      <c r="C368" s="27" t="str">
        <f t="shared" si="17"/>
        <v>Knott</v>
      </c>
      <c r="D368" s="27">
        <v>0</v>
      </c>
      <c r="E368" s="27">
        <v>0</v>
      </c>
    </row>
    <row r="369" spans="1:5" x14ac:dyDescent="0.25">
      <c r="A369" s="27" t="s">
        <v>942</v>
      </c>
      <c r="B369" s="27" t="str">
        <f t="shared" si="16"/>
        <v>Kentucky</v>
      </c>
      <c r="C369" s="27" t="str">
        <f t="shared" si="17"/>
        <v>Knox</v>
      </c>
      <c r="D369" s="27">
        <v>6</v>
      </c>
      <c r="E369" s="27">
        <v>0</v>
      </c>
    </row>
    <row r="370" spans="1:5" x14ac:dyDescent="0.25">
      <c r="A370" s="27" t="s">
        <v>943</v>
      </c>
      <c r="B370" s="27" t="str">
        <f t="shared" si="16"/>
        <v>Kentucky</v>
      </c>
      <c r="C370" s="27" t="str">
        <f t="shared" si="17"/>
        <v>Larue</v>
      </c>
      <c r="D370" s="27">
        <v>0</v>
      </c>
      <c r="E370" s="27">
        <v>0</v>
      </c>
    </row>
    <row r="371" spans="1:5" x14ac:dyDescent="0.25">
      <c r="A371" s="27" t="s">
        <v>944</v>
      </c>
      <c r="B371" s="27" t="str">
        <f t="shared" si="16"/>
        <v>Kentucky</v>
      </c>
      <c r="C371" s="27" t="str">
        <f t="shared" si="17"/>
        <v>Laurel</v>
      </c>
      <c r="D371" s="27">
        <v>3</v>
      </c>
      <c r="E371" s="27">
        <v>0</v>
      </c>
    </row>
    <row r="372" spans="1:5" x14ac:dyDescent="0.25">
      <c r="A372" s="27" t="s">
        <v>945</v>
      </c>
      <c r="B372" s="27" t="str">
        <f t="shared" si="16"/>
        <v>Kentucky</v>
      </c>
      <c r="C372" s="27" t="str">
        <f t="shared" si="17"/>
        <v>Lawrence</v>
      </c>
      <c r="D372" s="27">
        <v>1</v>
      </c>
      <c r="E372" s="27">
        <v>0</v>
      </c>
    </row>
    <row r="373" spans="1:5" x14ac:dyDescent="0.25">
      <c r="A373" s="27" t="s">
        <v>946</v>
      </c>
      <c r="B373" s="27" t="str">
        <f t="shared" si="16"/>
        <v>Kentucky</v>
      </c>
      <c r="C373" s="27" t="str">
        <f t="shared" ref="C373:C404" si="18">MID(A373,FIND(";",A373)+1,100)</f>
        <v>Lee</v>
      </c>
      <c r="D373" s="27">
        <v>0</v>
      </c>
      <c r="E373" s="27">
        <v>0</v>
      </c>
    </row>
    <row r="374" spans="1:5" x14ac:dyDescent="0.25">
      <c r="A374" s="27" t="s">
        <v>947</v>
      </c>
      <c r="B374" s="27" t="str">
        <f t="shared" si="16"/>
        <v>Kentucky</v>
      </c>
      <c r="C374" s="27" t="str">
        <f t="shared" si="18"/>
        <v>Leslie</v>
      </c>
      <c r="D374" s="27">
        <v>0</v>
      </c>
      <c r="E374" s="27">
        <v>0</v>
      </c>
    </row>
    <row r="375" spans="1:5" x14ac:dyDescent="0.25">
      <c r="A375" s="27" t="s">
        <v>948</v>
      </c>
      <c r="B375" s="27" t="str">
        <f t="shared" si="16"/>
        <v>Kentucky</v>
      </c>
      <c r="C375" s="27" t="str">
        <f t="shared" si="18"/>
        <v>Letcher</v>
      </c>
      <c r="D375" s="27">
        <v>0</v>
      </c>
      <c r="E375" s="27">
        <v>1</v>
      </c>
    </row>
    <row r="376" spans="1:5" x14ac:dyDescent="0.25">
      <c r="A376" s="27" t="s">
        <v>949</v>
      </c>
      <c r="B376" s="27" t="str">
        <f t="shared" si="16"/>
        <v>Kentucky</v>
      </c>
      <c r="C376" s="27" t="str">
        <f t="shared" si="18"/>
        <v>Lewis</v>
      </c>
      <c r="D376" s="27">
        <v>0</v>
      </c>
      <c r="E376" s="27">
        <v>0</v>
      </c>
    </row>
    <row r="377" spans="1:5" x14ac:dyDescent="0.25">
      <c r="A377" s="27" t="s">
        <v>950</v>
      </c>
      <c r="B377" s="27" t="str">
        <f t="shared" si="16"/>
        <v>Kentucky</v>
      </c>
      <c r="C377" s="27" t="str">
        <f t="shared" si="18"/>
        <v>Lincoln</v>
      </c>
      <c r="D377" s="27">
        <v>0</v>
      </c>
      <c r="E377" s="27">
        <v>0</v>
      </c>
    </row>
    <row r="378" spans="1:5" x14ac:dyDescent="0.25">
      <c r="A378" s="27" t="s">
        <v>951</v>
      </c>
      <c r="B378" s="27" t="str">
        <f t="shared" si="16"/>
        <v>Kentucky</v>
      </c>
      <c r="C378" s="27" t="str">
        <f t="shared" si="18"/>
        <v>Livingston</v>
      </c>
      <c r="D378" s="27">
        <v>0</v>
      </c>
      <c r="E378" s="27">
        <v>0</v>
      </c>
    </row>
    <row r="379" spans="1:5" x14ac:dyDescent="0.25">
      <c r="A379" s="27" t="s">
        <v>952</v>
      </c>
      <c r="B379" s="27" t="str">
        <f t="shared" si="16"/>
        <v>Kentucky</v>
      </c>
      <c r="C379" s="27" t="str">
        <f t="shared" si="18"/>
        <v>Logan</v>
      </c>
      <c r="D379" s="27">
        <v>7</v>
      </c>
      <c r="E379" s="27">
        <v>2</v>
      </c>
    </row>
    <row r="380" spans="1:5" x14ac:dyDescent="0.25">
      <c r="A380" s="27" t="s">
        <v>953</v>
      </c>
      <c r="B380" s="27" t="str">
        <f t="shared" si="16"/>
        <v>Kentucky</v>
      </c>
      <c r="C380" s="27" t="str">
        <f t="shared" si="18"/>
        <v>Lyon</v>
      </c>
      <c r="D380" s="27">
        <v>0</v>
      </c>
      <c r="E380" s="27">
        <v>0</v>
      </c>
    </row>
    <row r="381" spans="1:5" x14ac:dyDescent="0.25">
      <c r="A381" s="27" t="s">
        <v>957</v>
      </c>
      <c r="B381" s="27" t="str">
        <f t="shared" si="16"/>
        <v>Kentucky</v>
      </c>
      <c r="C381" s="27" t="str">
        <f t="shared" si="18"/>
        <v>Madison</v>
      </c>
      <c r="D381" s="27">
        <v>7</v>
      </c>
      <c r="E381" s="27">
        <v>0</v>
      </c>
    </row>
    <row r="382" spans="1:5" x14ac:dyDescent="0.25">
      <c r="A382" s="27" t="s">
        <v>958</v>
      </c>
      <c r="B382" s="27" t="str">
        <f t="shared" si="16"/>
        <v>Kentucky</v>
      </c>
      <c r="C382" s="27" t="str">
        <f t="shared" si="18"/>
        <v>Magoffin</v>
      </c>
      <c r="D382" s="27">
        <v>0</v>
      </c>
      <c r="E382" s="27">
        <v>0</v>
      </c>
    </row>
    <row r="383" spans="1:5" x14ac:dyDescent="0.25">
      <c r="A383" s="27" t="s">
        <v>959</v>
      </c>
      <c r="B383" s="27" t="str">
        <f t="shared" si="16"/>
        <v>Kentucky</v>
      </c>
      <c r="C383" s="27" t="str">
        <f t="shared" si="18"/>
        <v>Marion</v>
      </c>
      <c r="D383" s="27">
        <v>6</v>
      </c>
      <c r="E383" s="27">
        <v>0</v>
      </c>
    </row>
    <row r="384" spans="1:5" x14ac:dyDescent="0.25">
      <c r="A384" s="27" t="s">
        <v>960</v>
      </c>
      <c r="B384" s="27" t="str">
        <f t="shared" si="16"/>
        <v>Kentucky</v>
      </c>
      <c r="C384" s="27" t="str">
        <f t="shared" si="18"/>
        <v>Marshall</v>
      </c>
      <c r="D384" s="27">
        <v>0</v>
      </c>
      <c r="E384" s="27">
        <v>0</v>
      </c>
    </row>
    <row r="385" spans="1:5" x14ac:dyDescent="0.25">
      <c r="A385" s="27" t="s">
        <v>961</v>
      </c>
      <c r="B385" s="27" t="str">
        <f t="shared" si="16"/>
        <v>Kentucky</v>
      </c>
      <c r="C385" s="27" t="str">
        <f t="shared" si="18"/>
        <v>Martin</v>
      </c>
      <c r="D385" s="27">
        <v>0</v>
      </c>
      <c r="E385" s="27">
        <v>0</v>
      </c>
    </row>
    <row r="386" spans="1:5" x14ac:dyDescent="0.25">
      <c r="A386" s="27" t="s">
        <v>962</v>
      </c>
      <c r="B386" s="27" t="str">
        <f t="shared" si="16"/>
        <v>Kentucky</v>
      </c>
      <c r="C386" s="27" t="str">
        <f t="shared" si="18"/>
        <v>Mason</v>
      </c>
      <c r="D386" s="27">
        <v>5</v>
      </c>
      <c r="E386" s="27">
        <v>1</v>
      </c>
    </row>
    <row r="387" spans="1:5" x14ac:dyDescent="0.25">
      <c r="A387" s="27" t="s">
        <v>954</v>
      </c>
      <c r="B387" s="27" t="str">
        <f t="shared" si="16"/>
        <v>Kentucky</v>
      </c>
      <c r="C387" s="27" t="str">
        <f t="shared" si="18"/>
        <v>McCracken</v>
      </c>
      <c r="D387" s="27">
        <v>4</v>
      </c>
      <c r="E387" s="27">
        <v>2</v>
      </c>
    </row>
    <row r="388" spans="1:5" x14ac:dyDescent="0.25">
      <c r="A388" s="27" t="s">
        <v>955</v>
      </c>
      <c r="B388" s="27" t="str">
        <f t="shared" si="16"/>
        <v>Kentucky</v>
      </c>
      <c r="C388" s="27" t="str">
        <f t="shared" si="18"/>
        <v>McCreary</v>
      </c>
      <c r="D388" s="27">
        <v>0</v>
      </c>
      <c r="E388" s="27">
        <v>0</v>
      </c>
    </row>
    <row r="389" spans="1:5" x14ac:dyDescent="0.25">
      <c r="A389" s="27" t="s">
        <v>956</v>
      </c>
      <c r="B389" s="27" t="str">
        <f t="shared" si="16"/>
        <v>Kentucky</v>
      </c>
      <c r="C389" s="27" t="str">
        <f t="shared" si="18"/>
        <v>McLean</v>
      </c>
      <c r="D389" s="27">
        <v>0</v>
      </c>
      <c r="E389" s="27">
        <v>1</v>
      </c>
    </row>
    <row r="390" spans="1:5" x14ac:dyDescent="0.25">
      <c r="A390" s="27" t="s">
        <v>963</v>
      </c>
      <c r="B390" s="27" t="str">
        <f t="shared" ref="B390:B454" si="19">LEFT(A390,FIND(";",A390)-1)</f>
        <v>Kentucky</v>
      </c>
      <c r="C390" s="27" t="str">
        <f t="shared" si="18"/>
        <v>Meade</v>
      </c>
      <c r="D390" s="27">
        <v>0</v>
      </c>
      <c r="E390" s="27">
        <v>1</v>
      </c>
    </row>
    <row r="391" spans="1:5" x14ac:dyDescent="0.25">
      <c r="A391" s="27" t="s">
        <v>964</v>
      </c>
      <c r="B391" s="27" t="str">
        <f t="shared" si="19"/>
        <v>Kentucky</v>
      </c>
      <c r="C391" s="27" t="str">
        <f t="shared" si="18"/>
        <v>Menifee</v>
      </c>
      <c r="D391" s="27">
        <v>0</v>
      </c>
      <c r="E391" s="27">
        <v>0</v>
      </c>
    </row>
    <row r="392" spans="1:5" x14ac:dyDescent="0.25">
      <c r="A392" s="27" t="s">
        <v>965</v>
      </c>
      <c r="B392" s="27" t="str">
        <f t="shared" si="19"/>
        <v>Kentucky</v>
      </c>
      <c r="C392" s="27" t="str">
        <f t="shared" si="18"/>
        <v>Mercer</v>
      </c>
      <c r="D392" s="27">
        <v>10</v>
      </c>
      <c r="E392" s="27">
        <v>0</v>
      </c>
    </row>
    <row r="393" spans="1:5" x14ac:dyDescent="0.25">
      <c r="A393" s="27" t="s">
        <v>1749</v>
      </c>
      <c r="B393" s="27" t="str">
        <f t="shared" si="19"/>
        <v>Kentucky</v>
      </c>
      <c r="C393" s="27" t="str">
        <f t="shared" si="18"/>
        <v>Metcalfe</v>
      </c>
      <c r="D393" s="27">
        <v>0</v>
      </c>
      <c r="E393" s="27">
        <v>0</v>
      </c>
    </row>
    <row r="394" spans="1:5" x14ac:dyDescent="0.25">
      <c r="A394" s="27" t="s">
        <v>967</v>
      </c>
      <c r="B394" s="27" t="str">
        <f t="shared" si="19"/>
        <v>Kentucky</v>
      </c>
      <c r="C394" s="27" t="str">
        <f t="shared" si="18"/>
        <v>Monroe</v>
      </c>
      <c r="D394" s="27">
        <v>0</v>
      </c>
      <c r="E394" s="27">
        <v>0</v>
      </c>
    </row>
    <row r="395" spans="1:5" x14ac:dyDescent="0.25">
      <c r="A395" s="27" t="s">
        <v>968</v>
      </c>
      <c r="B395" s="27" t="str">
        <f t="shared" si="19"/>
        <v>Kentucky</v>
      </c>
      <c r="C395" s="27" t="str">
        <f t="shared" si="18"/>
        <v>Montgomery</v>
      </c>
      <c r="D395" s="27">
        <v>16</v>
      </c>
      <c r="E395" s="27">
        <v>0</v>
      </c>
    </row>
    <row r="396" spans="1:5" x14ac:dyDescent="0.25">
      <c r="A396" s="27" t="s">
        <v>969</v>
      </c>
      <c r="B396" s="27" t="str">
        <f t="shared" si="19"/>
        <v>Kentucky</v>
      </c>
      <c r="C396" s="27" t="str">
        <f t="shared" si="18"/>
        <v>Morgan</v>
      </c>
      <c r="D396" s="27">
        <v>0</v>
      </c>
      <c r="E396" s="27">
        <v>0</v>
      </c>
    </row>
    <row r="397" spans="1:5" x14ac:dyDescent="0.25">
      <c r="A397" s="27" t="s">
        <v>970</v>
      </c>
      <c r="B397" s="27" t="str">
        <f t="shared" si="19"/>
        <v>Kentucky</v>
      </c>
      <c r="C397" s="27" t="str">
        <f t="shared" si="18"/>
        <v>Muhlenberg</v>
      </c>
      <c r="D397" s="27">
        <v>12</v>
      </c>
      <c r="E397" s="27">
        <v>0</v>
      </c>
    </row>
    <row r="398" spans="1:5" x14ac:dyDescent="0.25">
      <c r="A398" s="27" t="s">
        <v>971</v>
      </c>
      <c r="B398" s="27" t="str">
        <f t="shared" si="19"/>
        <v>Kentucky</v>
      </c>
      <c r="C398" s="27" t="str">
        <f t="shared" si="18"/>
        <v>Nelson</v>
      </c>
      <c r="D398" s="27">
        <v>4</v>
      </c>
      <c r="E398" s="27">
        <v>0</v>
      </c>
    </row>
    <row r="399" spans="1:5" x14ac:dyDescent="0.25">
      <c r="A399" s="27" t="s">
        <v>972</v>
      </c>
      <c r="B399" s="27" t="str">
        <f t="shared" si="19"/>
        <v>Kentucky</v>
      </c>
      <c r="C399" s="27" t="str">
        <f t="shared" si="18"/>
        <v>Nicholas</v>
      </c>
      <c r="D399" s="27">
        <v>0</v>
      </c>
      <c r="E399" s="27">
        <v>0</v>
      </c>
    </row>
    <row r="400" spans="1:5" x14ac:dyDescent="0.25">
      <c r="A400" s="27" t="s">
        <v>973</v>
      </c>
      <c r="B400" s="27" t="str">
        <f t="shared" si="19"/>
        <v>Kentucky</v>
      </c>
      <c r="C400" s="27" t="str">
        <f t="shared" si="18"/>
        <v>Ohio</v>
      </c>
      <c r="D400" s="27">
        <v>2</v>
      </c>
      <c r="E400" s="27">
        <v>0</v>
      </c>
    </row>
    <row r="401" spans="1:5" x14ac:dyDescent="0.25">
      <c r="A401" s="27" t="s">
        <v>974</v>
      </c>
      <c r="B401" s="27" t="str">
        <f t="shared" si="19"/>
        <v>Kentucky</v>
      </c>
      <c r="C401" s="27" t="str">
        <f t="shared" si="18"/>
        <v>Oldham</v>
      </c>
      <c r="D401" s="27">
        <v>3</v>
      </c>
      <c r="E401" s="27">
        <v>0</v>
      </c>
    </row>
    <row r="402" spans="1:5" x14ac:dyDescent="0.25">
      <c r="A402" s="27" t="s">
        <v>975</v>
      </c>
      <c r="B402" s="27" t="str">
        <f t="shared" si="19"/>
        <v>Kentucky</v>
      </c>
      <c r="C402" s="27" t="str">
        <f t="shared" si="18"/>
        <v>Owen</v>
      </c>
      <c r="D402" s="27">
        <v>1</v>
      </c>
      <c r="E402" s="27">
        <v>0</v>
      </c>
    </row>
    <row r="403" spans="1:5" x14ac:dyDescent="0.25">
      <c r="A403" s="27" t="s">
        <v>976</v>
      </c>
      <c r="B403" s="27" t="str">
        <f t="shared" si="19"/>
        <v>Kentucky</v>
      </c>
      <c r="C403" s="27" t="str">
        <f t="shared" si="18"/>
        <v>Owsley</v>
      </c>
      <c r="D403" s="27">
        <v>0</v>
      </c>
      <c r="E403" s="27">
        <v>0</v>
      </c>
    </row>
    <row r="404" spans="1:5" x14ac:dyDescent="0.25">
      <c r="A404" s="27" t="s">
        <v>977</v>
      </c>
      <c r="B404" s="27" t="str">
        <f t="shared" si="19"/>
        <v>Kentucky</v>
      </c>
      <c r="C404" s="27" t="str">
        <f t="shared" si="18"/>
        <v>Pendleton</v>
      </c>
      <c r="D404" s="27">
        <v>0</v>
      </c>
      <c r="E404" s="27">
        <v>0</v>
      </c>
    </row>
    <row r="405" spans="1:5" x14ac:dyDescent="0.25">
      <c r="A405" s="27" t="s">
        <v>978</v>
      </c>
      <c r="B405" s="27" t="str">
        <f t="shared" si="19"/>
        <v>Kentucky</v>
      </c>
      <c r="C405" s="27" t="str">
        <f t="shared" ref="C405:C428" si="20">MID(A405,FIND(";",A405)+1,100)</f>
        <v>Perry</v>
      </c>
      <c r="D405" s="27">
        <v>4</v>
      </c>
      <c r="E405" s="27">
        <v>0</v>
      </c>
    </row>
    <row r="406" spans="1:5" x14ac:dyDescent="0.25">
      <c r="A406" s="27" t="s">
        <v>979</v>
      </c>
      <c r="B406" s="27" t="str">
        <f t="shared" si="19"/>
        <v>Kentucky</v>
      </c>
      <c r="C406" s="27" t="str">
        <f t="shared" si="20"/>
        <v>Pike</v>
      </c>
      <c r="D406" s="27">
        <v>0</v>
      </c>
      <c r="E406" s="27">
        <v>0</v>
      </c>
    </row>
    <row r="407" spans="1:5" x14ac:dyDescent="0.25">
      <c r="A407" s="27" t="s">
        <v>980</v>
      </c>
      <c r="B407" s="27" t="str">
        <f t="shared" si="19"/>
        <v>Kentucky</v>
      </c>
      <c r="C407" s="27" t="str">
        <f t="shared" si="20"/>
        <v>Powell</v>
      </c>
      <c r="D407" s="27">
        <v>1</v>
      </c>
      <c r="E407" s="27">
        <v>0</v>
      </c>
    </row>
    <row r="408" spans="1:5" x14ac:dyDescent="0.25">
      <c r="A408" s="27" t="s">
        <v>981</v>
      </c>
      <c r="B408" s="27" t="str">
        <f t="shared" si="19"/>
        <v>Kentucky</v>
      </c>
      <c r="C408" s="27" t="str">
        <f t="shared" si="20"/>
        <v>Pulaski</v>
      </c>
      <c r="D408" s="27">
        <v>0</v>
      </c>
      <c r="E408" s="27">
        <v>0</v>
      </c>
    </row>
    <row r="409" spans="1:5" x14ac:dyDescent="0.25">
      <c r="A409" s="27" t="s">
        <v>982</v>
      </c>
      <c r="B409" s="27" t="str">
        <f t="shared" si="19"/>
        <v>Kentucky</v>
      </c>
      <c r="C409" s="27" t="str">
        <f t="shared" si="20"/>
        <v>Robertson</v>
      </c>
      <c r="D409" s="27">
        <v>0</v>
      </c>
      <c r="E409" s="27">
        <v>0</v>
      </c>
    </row>
    <row r="410" spans="1:5" x14ac:dyDescent="0.25">
      <c r="A410" s="27" t="s">
        <v>983</v>
      </c>
      <c r="B410" s="27" t="str">
        <f t="shared" si="19"/>
        <v>Kentucky</v>
      </c>
      <c r="C410" s="27" t="str">
        <f t="shared" si="20"/>
        <v>Rockcastle</v>
      </c>
      <c r="D410" s="27">
        <v>0</v>
      </c>
      <c r="E410" s="27">
        <v>0</v>
      </c>
    </row>
    <row r="411" spans="1:5" x14ac:dyDescent="0.25">
      <c r="A411" s="27" t="s">
        <v>984</v>
      </c>
      <c r="B411" s="27" t="str">
        <f t="shared" si="19"/>
        <v>Kentucky</v>
      </c>
      <c r="C411" s="27" t="str">
        <f t="shared" si="20"/>
        <v>Rowan</v>
      </c>
      <c r="D411" s="27">
        <v>0</v>
      </c>
      <c r="E411" s="27">
        <v>0</v>
      </c>
    </row>
    <row r="412" spans="1:5" x14ac:dyDescent="0.25">
      <c r="A412" s="27" t="s">
        <v>985</v>
      </c>
      <c r="B412" s="27" t="str">
        <f t="shared" si="19"/>
        <v>Kentucky</v>
      </c>
      <c r="C412" s="27" t="str">
        <f t="shared" si="20"/>
        <v>Russell</v>
      </c>
      <c r="D412" s="27">
        <v>0</v>
      </c>
      <c r="E412" s="27">
        <v>0</v>
      </c>
    </row>
    <row r="413" spans="1:5" x14ac:dyDescent="0.25">
      <c r="A413" s="27" t="s">
        <v>986</v>
      </c>
      <c r="B413" s="27" t="str">
        <f t="shared" si="19"/>
        <v>Kentucky</v>
      </c>
      <c r="C413" s="27" t="str">
        <f t="shared" si="20"/>
        <v>Scott</v>
      </c>
      <c r="D413" s="27">
        <v>5</v>
      </c>
      <c r="E413" s="27">
        <v>0</v>
      </c>
    </row>
    <row r="414" spans="1:5" x14ac:dyDescent="0.25">
      <c r="A414" s="27" t="s">
        <v>987</v>
      </c>
      <c r="B414" s="27" t="str">
        <f t="shared" si="19"/>
        <v>Kentucky</v>
      </c>
      <c r="C414" s="27" t="str">
        <f t="shared" si="20"/>
        <v>Shelby</v>
      </c>
      <c r="D414" s="27">
        <v>4</v>
      </c>
      <c r="E414" s="27">
        <v>5</v>
      </c>
    </row>
    <row r="415" spans="1:5" x14ac:dyDescent="0.25">
      <c r="A415" s="27" t="s">
        <v>988</v>
      </c>
      <c r="B415" s="27" t="str">
        <f t="shared" si="19"/>
        <v>Kentucky</v>
      </c>
      <c r="C415" s="27" t="str">
        <f t="shared" si="20"/>
        <v>Simpson</v>
      </c>
      <c r="D415" s="27">
        <v>0</v>
      </c>
      <c r="E415" s="27">
        <v>4</v>
      </c>
    </row>
    <row r="416" spans="1:5" x14ac:dyDescent="0.25">
      <c r="A416" s="27" t="s">
        <v>989</v>
      </c>
      <c r="B416" s="27" t="str">
        <f t="shared" si="19"/>
        <v>Kentucky</v>
      </c>
      <c r="C416" s="27" t="str">
        <f t="shared" si="20"/>
        <v>Spencer</v>
      </c>
      <c r="D416" s="27">
        <v>0</v>
      </c>
      <c r="E416" s="27">
        <v>1</v>
      </c>
    </row>
    <row r="417" spans="1:6" x14ac:dyDescent="0.25">
      <c r="A417" s="27" t="s">
        <v>990</v>
      </c>
      <c r="B417" s="27" t="str">
        <f t="shared" si="19"/>
        <v>Kentucky</v>
      </c>
      <c r="C417" s="27" t="str">
        <f t="shared" si="20"/>
        <v>Taylor</v>
      </c>
      <c r="D417" s="27">
        <v>0</v>
      </c>
      <c r="E417" s="27">
        <v>0</v>
      </c>
    </row>
    <row r="418" spans="1:6" x14ac:dyDescent="0.25">
      <c r="A418" s="27" t="s">
        <v>991</v>
      </c>
      <c r="B418" s="27" t="str">
        <f t="shared" si="19"/>
        <v>Kentucky</v>
      </c>
      <c r="C418" s="27" t="str">
        <f t="shared" si="20"/>
        <v>Todd</v>
      </c>
      <c r="D418" s="27">
        <v>3</v>
      </c>
      <c r="E418" s="27">
        <v>3</v>
      </c>
    </row>
    <row r="419" spans="1:6" x14ac:dyDescent="0.25">
      <c r="A419" s="27" t="s">
        <v>1795</v>
      </c>
      <c r="B419" s="27" t="str">
        <f t="shared" si="19"/>
        <v>Kentucky</v>
      </c>
      <c r="C419" s="27" t="str">
        <f t="shared" si="20"/>
        <v>Trigg</v>
      </c>
      <c r="D419" s="27">
        <v>0</v>
      </c>
      <c r="E419" s="27">
        <v>2</v>
      </c>
    </row>
    <row r="420" spans="1:6" x14ac:dyDescent="0.25">
      <c r="A420" s="27" t="s">
        <v>992</v>
      </c>
      <c r="B420" s="27" t="str">
        <f t="shared" si="19"/>
        <v>Kentucky</v>
      </c>
      <c r="C420" s="27" t="str">
        <f t="shared" si="20"/>
        <v>Trimble</v>
      </c>
      <c r="D420" s="27">
        <v>0</v>
      </c>
      <c r="E420" s="27">
        <v>0</v>
      </c>
    </row>
    <row r="421" spans="1:6" x14ac:dyDescent="0.25">
      <c r="A421" s="27" t="s">
        <v>993</v>
      </c>
      <c r="B421" s="27" t="str">
        <f t="shared" si="19"/>
        <v>Kentucky</v>
      </c>
      <c r="C421" s="27" t="str">
        <f t="shared" si="20"/>
        <v>Union</v>
      </c>
      <c r="D421" s="27">
        <v>2</v>
      </c>
      <c r="E421" s="27">
        <v>0</v>
      </c>
    </row>
    <row r="422" spans="1:6" x14ac:dyDescent="0.25">
      <c r="A422" s="27" t="s">
        <v>994</v>
      </c>
      <c r="B422" s="27" t="str">
        <f t="shared" si="19"/>
        <v>Kentucky</v>
      </c>
      <c r="C422" s="27" t="str">
        <f t="shared" si="20"/>
        <v>Warren</v>
      </c>
      <c r="D422" s="27">
        <v>4</v>
      </c>
      <c r="E422" s="27">
        <v>0</v>
      </c>
    </row>
    <row r="423" spans="1:6" x14ac:dyDescent="0.25">
      <c r="A423" s="27" t="s">
        <v>995</v>
      </c>
      <c r="B423" s="27" t="str">
        <f t="shared" si="19"/>
        <v>Kentucky</v>
      </c>
      <c r="C423" s="27" t="str">
        <f t="shared" si="20"/>
        <v>Washington</v>
      </c>
      <c r="D423" s="27">
        <v>5</v>
      </c>
      <c r="E423" s="27">
        <v>0</v>
      </c>
    </row>
    <row r="424" spans="1:6" x14ac:dyDescent="0.25">
      <c r="A424" s="27" t="s">
        <v>996</v>
      </c>
      <c r="B424" s="27" t="str">
        <f t="shared" si="19"/>
        <v>Kentucky</v>
      </c>
      <c r="C424" s="27" t="str">
        <f t="shared" si="20"/>
        <v>Wayne</v>
      </c>
      <c r="D424" s="27">
        <v>4</v>
      </c>
      <c r="E424" s="27">
        <v>1</v>
      </c>
    </row>
    <row r="425" spans="1:6" x14ac:dyDescent="0.25">
      <c r="A425" s="27" t="s">
        <v>997</v>
      </c>
      <c r="B425" s="27" t="str">
        <f t="shared" si="19"/>
        <v>Kentucky</v>
      </c>
      <c r="C425" s="27" t="str">
        <f t="shared" si="20"/>
        <v>Webster</v>
      </c>
      <c r="D425" s="27">
        <v>0</v>
      </c>
      <c r="E425" s="27">
        <v>1</v>
      </c>
    </row>
    <row r="426" spans="1:6" x14ac:dyDescent="0.25">
      <c r="A426" s="27" t="s">
        <v>998</v>
      </c>
      <c r="B426" s="27" t="str">
        <f t="shared" si="19"/>
        <v>Kentucky</v>
      </c>
      <c r="C426" s="27" t="str">
        <f t="shared" si="20"/>
        <v>Whitley</v>
      </c>
      <c r="D426" s="27">
        <v>0</v>
      </c>
      <c r="E426" s="27">
        <v>0</v>
      </c>
    </row>
    <row r="427" spans="1:6" x14ac:dyDescent="0.25">
      <c r="A427" s="27" t="s">
        <v>999</v>
      </c>
      <c r="B427" s="27" t="str">
        <f t="shared" si="19"/>
        <v>Kentucky</v>
      </c>
      <c r="C427" s="27" t="str">
        <f t="shared" si="20"/>
        <v>Wolfe</v>
      </c>
      <c r="D427" s="27">
        <v>0</v>
      </c>
      <c r="E427" s="27">
        <v>1</v>
      </c>
    </row>
    <row r="428" spans="1:6" x14ac:dyDescent="0.25">
      <c r="A428" s="27" t="s">
        <v>1000</v>
      </c>
      <c r="B428" s="27" t="str">
        <f t="shared" si="19"/>
        <v>Kentucky</v>
      </c>
      <c r="C428" s="27" t="str">
        <f t="shared" si="20"/>
        <v>Woodford</v>
      </c>
      <c r="D428" s="27">
        <v>2</v>
      </c>
      <c r="E428" s="27">
        <v>1</v>
      </c>
    </row>
    <row r="429" spans="1:6" x14ac:dyDescent="0.25">
      <c r="C429" s="7">
        <f>SUM(D430:D493)</f>
        <v>880</v>
      </c>
      <c r="D429" s="7">
        <v>880</v>
      </c>
      <c r="E429" s="27">
        <v>145</v>
      </c>
    </row>
    <row r="430" spans="1:6" x14ac:dyDescent="0.25">
      <c r="A430" s="27" t="s">
        <v>1001</v>
      </c>
      <c r="B430" s="27" t="str">
        <f t="shared" si="19"/>
        <v>Louisiana</v>
      </c>
      <c r="C430" s="27" t="str">
        <f t="shared" ref="C430:C461" si="21">MID(A430,FIND(";",A430)+1,100)</f>
        <v>Acadia</v>
      </c>
      <c r="D430" s="27">
        <v>6</v>
      </c>
      <c r="E430" s="27">
        <v>0</v>
      </c>
    </row>
    <row r="431" spans="1:6" x14ac:dyDescent="0.25">
      <c r="A431" s="27" t="s">
        <v>1002</v>
      </c>
      <c r="B431" s="27" t="str">
        <f t="shared" si="19"/>
        <v>Louisiana</v>
      </c>
      <c r="C431" s="27" t="str">
        <f t="shared" si="21"/>
        <v>Allen</v>
      </c>
      <c r="D431" s="27">
        <v>14</v>
      </c>
      <c r="E431" s="27">
        <v>0</v>
      </c>
    </row>
    <row r="432" spans="1:6" x14ac:dyDescent="0.25">
      <c r="A432" s="27" t="s">
        <v>1003</v>
      </c>
      <c r="B432" s="27" t="str">
        <f t="shared" si="19"/>
        <v>Louisiana</v>
      </c>
      <c r="C432" s="27" t="str">
        <f t="shared" si="21"/>
        <v>Ascension</v>
      </c>
      <c r="D432" s="27">
        <v>8</v>
      </c>
      <c r="E432" s="27">
        <v>0</v>
      </c>
      <c r="F432" s="27" t="s">
        <v>1975</v>
      </c>
    </row>
    <row r="433" spans="1:5" x14ac:dyDescent="0.25">
      <c r="A433" s="27" t="s">
        <v>1004</v>
      </c>
      <c r="B433" s="27" t="str">
        <f t="shared" si="19"/>
        <v>Louisiana</v>
      </c>
      <c r="C433" s="27" t="str">
        <f t="shared" si="21"/>
        <v>Assumption</v>
      </c>
      <c r="D433" s="27">
        <v>0</v>
      </c>
      <c r="E433" s="27">
        <v>0</v>
      </c>
    </row>
    <row r="434" spans="1:5" x14ac:dyDescent="0.25">
      <c r="A434" s="27" t="s">
        <v>1005</v>
      </c>
      <c r="B434" s="27" t="str">
        <f t="shared" si="19"/>
        <v>Louisiana</v>
      </c>
      <c r="C434" s="27" t="str">
        <f t="shared" si="21"/>
        <v>Avoyelles</v>
      </c>
      <c r="D434" s="27">
        <v>0</v>
      </c>
      <c r="E434" s="27">
        <v>2</v>
      </c>
    </row>
    <row r="435" spans="1:5" x14ac:dyDescent="0.25">
      <c r="A435" s="27" t="s">
        <v>1006</v>
      </c>
      <c r="B435" s="27" t="str">
        <f t="shared" si="19"/>
        <v>Louisiana</v>
      </c>
      <c r="C435" s="27" t="str">
        <f t="shared" si="21"/>
        <v>Beauregard</v>
      </c>
      <c r="D435" s="27">
        <v>13</v>
      </c>
      <c r="E435" s="27">
        <v>0</v>
      </c>
    </row>
    <row r="436" spans="1:5" x14ac:dyDescent="0.25">
      <c r="A436" s="27" t="s">
        <v>1007</v>
      </c>
      <c r="B436" s="27" t="str">
        <f t="shared" si="19"/>
        <v>Louisiana</v>
      </c>
      <c r="C436" s="27" t="str">
        <f t="shared" si="21"/>
        <v>Bienville</v>
      </c>
      <c r="D436" s="27">
        <v>40</v>
      </c>
      <c r="E436" s="27">
        <v>2</v>
      </c>
    </row>
    <row r="437" spans="1:5" x14ac:dyDescent="0.25">
      <c r="A437" s="27" t="s">
        <v>1008</v>
      </c>
      <c r="B437" s="27" t="str">
        <f t="shared" si="19"/>
        <v>Louisiana</v>
      </c>
      <c r="C437" s="27" t="str">
        <f t="shared" si="21"/>
        <v>Bossier</v>
      </c>
      <c r="D437" s="27">
        <v>17</v>
      </c>
      <c r="E437" s="27">
        <v>13</v>
      </c>
    </row>
    <row r="438" spans="1:5" x14ac:dyDescent="0.25">
      <c r="A438" s="27" t="s">
        <v>1009</v>
      </c>
      <c r="B438" s="27" t="str">
        <f t="shared" si="19"/>
        <v>Louisiana</v>
      </c>
      <c r="C438" s="27" t="str">
        <f t="shared" si="21"/>
        <v>Caddo</v>
      </c>
      <c r="D438" s="27">
        <v>93</v>
      </c>
      <c r="E438" s="27">
        <v>19</v>
      </c>
    </row>
    <row r="439" spans="1:5" x14ac:dyDescent="0.25">
      <c r="A439" s="27" t="s">
        <v>1010</v>
      </c>
      <c r="B439" s="27" t="str">
        <f t="shared" si="19"/>
        <v>Louisiana</v>
      </c>
      <c r="C439" s="27" t="str">
        <f t="shared" si="21"/>
        <v>Calcasieu</v>
      </c>
      <c r="D439" s="27">
        <v>4</v>
      </c>
      <c r="E439" s="27">
        <v>2</v>
      </c>
    </row>
    <row r="440" spans="1:5" x14ac:dyDescent="0.25">
      <c r="A440" s="27" t="s">
        <v>1011</v>
      </c>
      <c r="B440" s="27" t="str">
        <f t="shared" si="19"/>
        <v>Louisiana</v>
      </c>
      <c r="C440" s="27" t="str">
        <f t="shared" si="21"/>
        <v>Caldwell</v>
      </c>
      <c r="D440" s="27">
        <v>5</v>
      </c>
      <c r="E440" s="27">
        <v>2</v>
      </c>
    </row>
    <row r="441" spans="1:5" x14ac:dyDescent="0.25">
      <c r="A441" s="27" t="s">
        <v>1012</v>
      </c>
      <c r="B441" s="27" t="str">
        <f t="shared" si="19"/>
        <v>Louisiana</v>
      </c>
      <c r="C441" s="27" t="str">
        <f t="shared" si="21"/>
        <v>Cameron</v>
      </c>
      <c r="D441" s="27">
        <v>0</v>
      </c>
      <c r="E441" s="27">
        <v>0</v>
      </c>
    </row>
    <row r="442" spans="1:5" x14ac:dyDescent="0.25">
      <c r="A442" s="27" t="s">
        <v>1013</v>
      </c>
      <c r="B442" s="27" t="str">
        <f t="shared" si="19"/>
        <v>Louisiana</v>
      </c>
      <c r="C442" s="27" t="str">
        <f t="shared" si="21"/>
        <v>Catahoula</v>
      </c>
      <c r="D442" s="27">
        <v>9</v>
      </c>
      <c r="E442" s="27">
        <v>1</v>
      </c>
    </row>
    <row r="443" spans="1:5" x14ac:dyDescent="0.25">
      <c r="A443" s="27" t="s">
        <v>1014</v>
      </c>
      <c r="B443" s="27" t="str">
        <f t="shared" si="19"/>
        <v>Louisiana</v>
      </c>
      <c r="C443" s="27" t="str">
        <f t="shared" si="21"/>
        <v>Claiborne</v>
      </c>
      <c r="D443" s="27">
        <v>77</v>
      </c>
      <c r="E443" s="27">
        <v>6</v>
      </c>
    </row>
    <row r="444" spans="1:5" x14ac:dyDescent="0.25">
      <c r="A444" s="27" t="s">
        <v>1015</v>
      </c>
      <c r="B444" s="27" t="str">
        <f t="shared" si="19"/>
        <v>Louisiana</v>
      </c>
      <c r="C444" s="27" t="str">
        <f t="shared" si="21"/>
        <v>Concordia</v>
      </c>
      <c r="D444" s="27">
        <v>18</v>
      </c>
      <c r="E444" s="27">
        <v>4</v>
      </c>
    </row>
    <row r="445" spans="1:5" x14ac:dyDescent="0.25">
      <c r="A445" s="27" t="s">
        <v>1962</v>
      </c>
      <c r="B445" s="27" t="str">
        <f t="shared" si="19"/>
        <v>Louisiana</v>
      </c>
      <c r="C445" s="27" t="str">
        <f t="shared" si="21"/>
        <v>Desoto</v>
      </c>
      <c r="D445" s="27">
        <v>19</v>
      </c>
      <c r="E445" s="27">
        <v>1</v>
      </c>
    </row>
    <row r="446" spans="1:5" x14ac:dyDescent="0.25">
      <c r="A446" s="27" t="s">
        <v>1016</v>
      </c>
      <c r="B446" s="27" t="str">
        <f t="shared" si="19"/>
        <v>Louisiana</v>
      </c>
      <c r="C446" s="27" t="str">
        <f t="shared" si="21"/>
        <v>East Baton Rouge</v>
      </c>
      <c r="D446" s="27">
        <v>37</v>
      </c>
      <c r="E446" s="27">
        <v>2</v>
      </c>
    </row>
    <row r="447" spans="1:5" x14ac:dyDescent="0.25">
      <c r="A447" s="27" t="s">
        <v>1780</v>
      </c>
      <c r="B447" s="27" t="str">
        <f t="shared" si="19"/>
        <v>Louisiana</v>
      </c>
      <c r="C447" s="27" t="str">
        <f t="shared" si="21"/>
        <v>East Carroll/Carroll</v>
      </c>
      <c r="D447" s="27">
        <v>4</v>
      </c>
      <c r="E447" s="27">
        <v>0</v>
      </c>
    </row>
    <row r="448" spans="1:5" x14ac:dyDescent="0.25">
      <c r="A448" s="27" t="s">
        <v>1017</v>
      </c>
      <c r="B448" s="27" t="str">
        <f t="shared" si="19"/>
        <v>Louisiana</v>
      </c>
      <c r="C448" s="27" t="str">
        <f t="shared" si="21"/>
        <v>East Feliciana</v>
      </c>
      <c r="D448" s="27">
        <v>21</v>
      </c>
      <c r="E448" s="27">
        <v>2</v>
      </c>
    </row>
    <row r="449" spans="1:5" x14ac:dyDescent="0.25">
      <c r="A449" s="27" t="s">
        <v>1018</v>
      </c>
      <c r="B449" s="27" t="str">
        <f t="shared" si="19"/>
        <v>Louisiana</v>
      </c>
      <c r="C449" s="27" t="str">
        <f t="shared" si="21"/>
        <v>Evangeline</v>
      </c>
      <c r="D449" s="27">
        <v>3</v>
      </c>
      <c r="E449" s="27">
        <v>0</v>
      </c>
    </row>
    <row r="450" spans="1:5" x14ac:dyDescent="0.25">
      <c r="A450" s="27" t="s">
        <v>1019</v>
      </c>
      <c r="B450" s="27" t="str">
        <f t="shared" si="19"/>
        <v>Louisiana</v>
      </c>
      <c r="C450" s="27" t="str">
        <f t="shared" si="21"/>
        <v>Franklin</v>
      </c>
      <c r="D450" s="27">
        <v>10</v>
      </c>
      <c r="E450" s="27">
        <v>4</v>
      </c>
    </row>
    <row r="451" spans="1:5" x14ac:dyDescent="0.25">
      <c r="A451" s="27" t="s">
        <v>1020</v>
      </c>
      <c r="B451" s="27" t="str">
        <f t="shared" si="19"/>
        <v>Louisiana</v>
      </c>
      <c r="C451" s="27" t="str">
        <f t="shared" si="21"/>
        <v>Grant</v>
      </c>
      <c r="D451" s="27">
        <v>7</v>
      </c>
      <c r="E451" s="27">
        <v>0</v>
      </c>
    </row>
    <row r="452" spans="1:5" x14ac:dyDescent="0.25">
      <c r="A452" s="27" t="s">
        <v>1021</v>
      </c>
      <c r="B452" s="27" t="str">
        <f t="shared" si="19"/>
        <v>Louisiana</v>
      </c>
      <c r="C452" s="27" t="str">
        <f t="shared" si="21"/>
        <v>Iberia</v>
      </c>
      <c r="D452" s="27">
        <v>12</v>
      </c>
      <c r="E452" s="27">
        <v>2</v>
      </c>
    </row>
    <row r="453" spans="1:5" x14ac:dyDescent="0.25">
      <c r="A453" s="27" t="s">
        <v>1022</v>
      </c>
      <c r="B453" s="27" t="str">
        <f t="shared" si="19"/>
        <v>Louisiana</v>
      </c>
      <c r="C453" s="27" t="str">
        <f t="shared" si="21"/>
        <v>Iberville</v>
      </c>
      <c r="D453" s="27">
        <v>16</v>
      </c>
      <c r="E453" s="27">
        <v>2</v>
      </c>
    </row>
    <row r="454" spans="1:5" x14ac:dyDescent="0.25">
      <c r="A454" s="27" t="s">
        <v>1023</v>
      </c>
      <c r="B454" s="27" t="str">
        <f t="shared" si="19"/>
        <v>Louisiana</v>
      </c>
      <c r="C454" s="27" t="str">
        <f t="shared" si="21"/>
        <v>Jackson</v>
      </c>
      <c r="D454" s="27">
        <v>7</v>
      </c>
      <c r="E454" s="27">
        <v>1</v>
      </c>
    </row>
    <row r="455" spans="1:5" x14ac:dyDescent="0.25">
      <c r="A455" s="27" t="s">
        <v>1024</v>
      </c>
      <c r="B455" s="27" t="str">
        <f t="shared" ref="B455:B519" si="22">LEFT(A455,FIND(";",A455)-1)</f>
        <v>Louisiana</v>
      </c>
      <c r="C455" s="27" t="str">
        <f t="shared" si="21"/>
        <v>Jefferson</v>
      </c>
      <c r="D455" s="27">
        <v>8</v>
      </c>
      <c r="E455" s="27">
        <v>1</v>
      </c>
    </row>
    <row r="456" spans="1:5" x14ac:dyDescent="0.25">
      <c r="A456" s="27" t="s">
        <v>1025</v>
      </c>
      <c r="B456" s="27" t="str">
        <f t="shared" si="22"/>
        <v>Louisiana</v>
      </c>
      <c r="C456" s="27" t="str">
        <f t="shared" si="21"/>
        <v>Jefferson Davis</v>
      </c>
      <c r="D456" s="27">
        <v>4</v>
      </c>
      <c r="E456" s="27">
        <v>2</v>
      </c>
    </row>
    <row r="457" spans="1:5" x14ac:dyDescent="0.25">
      <c r="A457" s="27" t="s">
        <v>1026</v>
      </c>
      <c r="B457" s="27" t="str">
        <f t="shared" si="22"/>
        <v>Louisiana</v>
      </c>
      <c r="C457" s="27" t="str">
        <f t="shared" si="21"/>
        <v>Lafayette</v>
      </c>
      <c r="D457" s="27">
        <v>8</v>
      </c>
      <c r="E457" s="27">
        <v>1</v>
      </c>
    </row>
    <row r="458" spans="1:5" x14ac:dyDescent="0.25">
      <c r="A458" s="27" t="s">
        <v>1027</v>
      </c>
      <c r="B458" s="27" t="str">
        <f t="shared" si="22"/>
        <v>Louisiana</v>
      </c>
      <c r="C458" s="27" t="str">
        <f t="shared" si="21"/>
        <v>Lafourche</v>
      </c>
      <c r="D458" s="27">
        <v>0</v>
      </c>
      <c r="E458" s="27">
        <v>0</v>
      </c>
    </row>
    <row r="459" spans="1:5" x14ac:dyDescent="0.25">
      <c r="A459" s="27" t="s">
        <v>1028</v>
      </c>
      <c r="B459" s="27" t="str">
        <f t="shared" si="22"/>
        <v>Louisiana</v>
      </c>
      <c r="C459" s="27" t="str">
        <f t="shared" si="21"/>
        <v>La Salle</v>
      </c>
      <c r="D459" s="27">
        <v>7</v>
      </c>
      <c r="E459" s="27">
        <v>0</v>
      </c>
    </row>
    <row r="460" spans="1:5" x14ac:dyDescent="0.25">
      <c r="A460" s="27" t="s">
        <v>1029</v>
      </c>
      <c r="B460" s="27" t="str">
        <f t="shared" si="22"/>
        <v>Louisiana</v>
      </c>
      <c r="C460" s="27" t="str">
        <f t="shared" si="21"/>
        <v>Lincoln</v>
      </c>
      <c r="D460" s="27">
        <v>17</v>
      </c>
      <c r="E460" s="27">
        <v>0</v>
      </c>
    </row>
    <row r="461" spans="1:5" x14ac:dyDescent="0.25">
      <c r="A461" s="27" t="s">
        <v>1030</v>
      </c>
      <c r="B461" s="27" t="str">
        <f t="shared" si="22"/>
        <v>Louisiana</v>
      </c>
      <c r="C461" s="27" t="str">
        <f t="shared" si="21"/>
        <v>Livingston</v>
      </c>
      <c r="D461" s="27">
        <v>5</v>
      </c>
      <c r="E461" s="27">
        <v>2</v>
      </c>
    </row>
    <row r="462" spans="1:5" x14ac:dyDescent="0.25">
      <c r="A462" s="27" t="s">
        <v>1031</v>
      </c>
      <c r="B462" s="27" t="str">
        <f t="shared" si="22"/>
        <v>Louisiana</v>
      </c>
      <c r="C462" s="27" t="str">
        <f t="shared" ref="C462:C493" si="23">MID(A462,FIND(";",A462)+1,100)</f>
        <v>Madison</v>
      </c>
      <c r="D462" s="27">
        <v>4</v>
      </c>
      <c r="E462" s="27">
        <v>1</v>
      </c>
    </row>
    <row r="463" spans="1:5" x14ac:dyDescent="0.25">
      <c r="A463" s="27" t="s">
        <v>1032</v>
      </c>
      <c r="B463" s="27" t="str">
        <f t="shared" si="22"/>
        <v>Louisiana</v>
      </c>
      <c r="C463" s="27" t="str">
        <f t="shared" si="23"/>
        <v>Morehouse</v>
      </c>
      <c r="D463" s="27">
        <v>36</v>
      </c>
      <c r="E463" s="27">
        <v>4</v>
      </c>
    </row>
    <row r="464" spans="1:5" x14ac:dyDescent="0.25">
      <c r="A464" s="27" t="s">
        <v>1033</v>
      </c>
      <c r="B464" s="27" t="str">
        <f t="shared" si="22"/>
        <v>Louisiana</v>
      </c>
      <c r="C464" s="27" t="str">
        <f t="shared" si="23"/>
        <v>Natchitoches</v>
      </c>
      <c r="D464" s="27">
        <v>16</v>
      </c>
      <c r="E464" s="27">
        <v>1</v>
      </c>
    </row>
    <row r="465" spans="1:5" x14ac:dyDescent="0.25">
      <c r="A465" s="27" t="s">
        <v>1034</v>
      </c>
      <c r="B465" s="27" t="str">
        <f t="shared" si="22"/>
        <v>Louisiana</v>
      </c>
      <c r="C465" s="27" t="str">
        <f t="shared" si="23"/>
        <v>Orleans</v>
      </c>
      <c r="D465" s="27">
        <v>4</v>
      </c>
      <c r="E465" s="27">
        <v>5</v>
      </c>
    </row>
    <row r="466" spans="1:5" x14ac:dyDescent="0.25">
      <c r="A466" s="27" t="s">
        <v>1035</v>
      </c>
      <c r="B466" s="27" t="str">
        <f t="shared" si="22"/>
        <v>Louisiana</v>
      </c>
      <c r="C466" s="27" t="str">
        <f t="shared" si="23"/>
        <v>Ouachita</v>
      </c>
      <c r="D466" s="27">
        <v>16</v>
      </c>
      <c r="E466" s="27">
        <v>11</v>
      </c>
    </row>
    <row r="467" spans="1:5" x14ac:dyDescent="0.25">
      <c r="A467" s="27" t="s">
        <v>1036</v>
      </c>
      <c r="B467" s="27" t="str">
        <f t="shared" si="22"/>
        <v>Louisiana</v>
      </c>
      <c r="C467" s="27" t="str">
        <f t="shared" si="23"/>
        <v>Plaquemines</v>
      </c>
      <c r="D467" s="27">
        <v>2</v>
      </c>
      <c r="E467" s="27">
        <v>0</v>
      </c>
    </row>
    <row r="468" spans="1:5" x14ac:dyDescent="0.25">
      <c r="A468" s="27" t="s">
        <v>1750</v>
      </c>
      <c r="B468" s="27" t="str">
        <f t="shared" si="22"/>
        <v>Louisiana</v>
      </c>
      <c r="C468" s="27" t="str">
        <f t="shared" si="23"/>
        <v>Pointe Coupee</v>
      </c>
      <c r="D468" s="27">
        <v>5</v>
      </c>
      <c r="E468" s="27">
        <v>2</v>
      </c>
    </row>
    <row r="469" spans="1:5" x14ac:dyDescent="0.25">
      <c r="A469" s="27" t="s">
        <v>1037</v>
      </c>
      <c r="B469" s="27" t="str">
        <f t="shared" si="22"/>
        <v>Louisiana</v>
      </c>
      <c r="C469" s="27" t="str">
        <f t="shared" si="23"/>
        <v>Rapides</v>
      </c>
      <c r="D469" s="27">
        <v>20</v>
      </c>
      <c r="E469" s="27">
        <v>9</v>
      </c>
    </row>
    <row r="470" spans="1:5" x14ac:dyDescent="0.25">
      <c r="A470" s="27" t="s">
        <v>1751</v>
      </c>
      <c r="B470" s="27" t="str">
        <f t="shared" si="22"/>
        <v>Louisiana</v>
      </c>
      <c r="C470" s="27" t="str">
        <f t="shared" si="23"/>
        <v>Red River</v>
      </c>
      <c r="D470" s="27">
        <v>12</v>
      </c>
      <c r="E470" s="27">
        <v>4</v>
      </c>
    </row>
    <row r="471" spans="1:5" x14ac:dyDescent="0.25">
      <c r="A471" s="27" t="s">
        <v>1038</v>
      </c>
      <c r="B471" s="27" t="str">
        <f t="shared" si="22"/>
        <v>Louisiana</v>
      </c>
      <c r="C471" s="27" t="str">
        <f t="shared" si="23"/>
        <v>Richland</v>
      </c>
      <c r="D471" s="27">
        <v>21</v>
      </c>
      <c r="E471" s="27">
        <v>12</v>
      </c>
    </row>
    <row r="472" spans="1:5" x14ac:dyDescent="0.25">
      <c r="A472" s="27" t="s">
        <v>1039</v>
      </c>
      <c r="B472" s="27" t="str">
        <f t="shared" si="22"/>
        <v>Louisiana</v>
      </c>
      <c r="C472" s="27" t="str">
        <f t="shared" si="23"/>
        <v>Sabine</v>
      </c>
      <c r="D472" s="27">
        <v>23</v>
      </c>
      <c r="E472" s="27">
        <v>0</v>
      </c>
    </row>
    <row r="473" spans="1:5" x14ac:dyDescent="0.25">
      <c r="A473" s="27" t="s">
        <v>1781</v>
      </c>
      <c r="B473" s="27" t="str">
        <f t="shared" si="22"/>
        <v>Louisiana</v>
      </c>
      <c r="C473" s="27" t="str">
        <f t="shared" si="23"/>
        <v>St Bernard</v>
      </c>
      <c r="D473" s="27">
        <v>2</v>
      </c>
      <c r="E473" s="27">
        <v>2</v>
      </c>
    </row>
    <row r="474" spans="1:5" x14ac:dyDescent="0.25">
      <c r="A474" s="27" t="s">
        <v>1782</v>
      </c>
      <c r="B474" s="27" t="str">
        <f t="shared" si="22"/>
        <v>Louisiana</v>
      </c>
      <c r="C474" s="27" t="str">
        <f t="shared" si="23"/>
        <v>St Charles</v>
      </c>
      <c r="D474" s="27">
        <v>2</v>
      </c>
      <c r="E474" s="27">
        <v>2</v>
      </c>
    </row>
    <row r="475" spans="1:5" x14ac:dyDescent="0.25">
      <c r="A475" s="27" t="s">
        <v>1783</v>
      </c>
      <c r="B475" s="27" t="str">
        <f t="shared" si="22"/>
        <v>Louisiana</v>
      </c>
      <c r="C475" s="27" t="str">
        <f t="shared" si="23"/>
        <v>St Helena</v>
      </c>
      <c r="D475" s="27">
        <v>7</v>
      </c>
      <c r="E475" s="27">
        <v>1</v>
      </c>
    </row>
    <row r="476" spans="1:5" x14ac:dyDescent="0.25">
      <c r="A476" s="27" t="s">
        <v>1784</v>
      </c>
      <c r="B476" s="27" t="str">
        <f t="shared" si="22"/>
        <v>Louisiana</v>
      </c>
      <c r="C476" s="27" t="str">
        <f t="shared" si="23"/>
        <v>St James</v>
      </c>
      <c r="D476" s="27">
        <v>0</v>
      </c>
      <c r="E476" s="27">
        <v>0</v>
      </c>
    </row>
    <row r="477" spans="1:5" x14ac:dyDescent="0.25">
      <c r="A477" s="27" t="s">
        <v>1785</v>
      </c>
      <c r="B477" s="27" t="str">
        <f t="shared" si="22"/>
        <v>Louisiana</v>
      </c>
      <c r="C477" s="27" t="str">
        <f t="shared" si="23"/>
        <v>St John the Baptist</v>
      </c>
      <c r="D477" s="27">
        <v>4</v>
      </c>
      <c r="E477" s="27">
        <v>1</v>
      </c>
    </row>
    <row r="478" spans="1:5" x14ac:dyDescent="0.25">
      <c r="A478" s="27" t="s">
        <v>1786</v>
      </c>
      <c r="B478" s="27" t="str">
        <f t="shared" si="22"/>
        <v>Louisiana</v>
      </c>
      <c r="C478" s="27" t="str">
        <f t="shared" si="23"/>
        <v>St Landry</v>
      </c>
      <c r="D478" s="27">
        <v>11</v>
      </c>
      <c r="E478" s="27">
        <v>3</v>
      </c>
    </row>
    <row r="479" spans="1:5" x14ac:dyDescent="0.25">
      <c r="A479" s="27" t="s">
        <v>1787</v>
      </c>
      <c r="B479" s="27" t="str">
        <f t="shared" si="22"/>
        <v>Louisiana</v>
      </c>
      <c r="C479" s="27" t="str">
        <f t="shared" si="23"/>
        <v>St Martin</v>
      </c>
      <c r="D479" s="27">
        <v>0</v>
      </c>
      <c r="E479" s="27">
        <v>0</v>
      </c>
    </row>
    <row r="480" spans="1:5" x14ac:dyDescent="0.25">
      <c r="A480" s="27" t="s">
        <v>1788</v>
      </c>
      <c r="B480" s="27" t="str">
        <f t="shared" si="22"/>
        <v>Louisiana</v>
      </c>
      <c r="C480" s="27" t="str">
        <f t="shared" si="23"/>
        <v>St Mary</v>
      </c>
      <c r="D480" s="27">
        <v>18</v>
      </c>
      <c r="E480" s="27">
        <v>0</v>
      </c>
    </row>
    <row r="481" spans="1:5" x14ac:dyDescent="0.25">
      <c r="A481" s="27" t="s">
        <v>1789</v>
      </c>
      <c r="B481" s="27" t="str">
        <f t="shared" si="22"/>
        <v>Louisiana</v>
      </c>
      <c r="C481" s="27" t="str">
        <f t="shared" si="23"/>
        <v>St Tammany</v>
      </c>
      <c r="D481" s="27">
        <v>19</v>
      </c>
      <c r="E481" s="27">
        <v>1</v>
      </c>
    </row>
    <row r="482" spans="1:5" x14ac:dyDescent="0.25">
      <c r="A482" s="27" t="s">
        <v>1040</v>
      </c>
      <c r="B482" s="27" t="str">
        <f t="shared" si="22"/>
        <v>Louisiana</v>
      </c>
      <c r="C482" s="27" t="str">
        <f t="shared" si="23"/>
        <v>Tangipahoa</v>
      </c>
      <c r="D482" s="27">
        <v>24</v>
      </c>
      <c r="E482" s="27">
        <v>8</v>
      </c>
    </row>
    <row r="483" spans="1:5" x14ac:dyDescent="0.25">
      <c r="A483" s="27" t="s">
        <v>1041</v>
      </c>
      <c r="B483" s="27" t="str">
        <f t="shared" si="22"/>
        <v>Louisiana</v>
      </c>
      <c r="C483" s="27" t="str">
        <f t="shared" si="23"/>
        <v>Tensas</v>
      </c>
      <c r="D483" s="27">
        <v>22</v>
      </c>
      <c r="E483" s="27">
        <v>0</v>
      </c>
    </row>
    <row r="484" spans="1:5" x14ac:dyDescent="0.25">
      <c r="A484" s="27" t="s">
        <v>1042</v>
      </c>
      <c r="B484" s="27" t="str">
        <f t="shared" si="22"/>
        <v>Louisiana</v>
      </c>
      <c r="C484" s="27" t="str">
        <f t="shared" si="23"/>
        <v>Terrebonne</v>
      </c>
      <c r="D484" s="27">
        <v>9</v>
      </c>
      <c r="E484" s="27">
        <v>0</v>
      </c>
    </row>
    <row r="485" spans="1:5" x14ac:dyDescent="0.25">
      <c r="A485" s="27" t="s">
        <v>1043</v>
      </c>
      <c r="B485" s="27" t="str">
        <f t="shared" si="22"/>
        <v>Louisiana</v>
      </c>
      <c r="C485" s="27" t="str">
        <f t="shared" si="23"/>
        <v>Union</v>
      </c>
      <c r="D485" s="27">
        <v>8</v>
      </c>
      <c r="E485" s="27">
        <v>0</v>
      </c>
    </row>
    <row r="486" spans="1:5" x14ac:dyDescent="0.25">
      <c r="A486" s="27" t="s">
        <v>1752</v>
      </c>
      <c r="B486" s="27" t="str">
        <f t="shared" si="22"/>
        <v>Louisiana</v>
      </c>
      <c r="C486" s="27" t="str">
        <f t="shared" si="23"/>
        <v>Vermilion</v>
      </c>
      <c r="D486" s="27">
        <v>0</v>
      </c>
      <c r="E486" s="27">
        <v>0</v>
      </c>
    </row>
    <row r="487" spans="1:5" x14ac:dyDescent="0.25">
      <c r="A487" s="27" t="s">
        <v>1044</v>
      </c>
      <c r="B487" s="27" t="str">
        <f t="shared" si="22"/>
        <v>Louisiana</v>
      </c>
      <c r="C487" s="27" t="str">
        <f t="shared" si="23"/>
        <v>Vernon</v>
      </c>
      <c r="D487" s="27">
        <v>6</v>
      </c>
      <c r="E487" s="27">
        <v>0</v>
      </c>
    </row>
    <row r="488" spans="1:5" x14ac:dyDescent="0.25">
      <c r="A488" s="27" t="s">
        <v>1045</v>
      </c>
      <c r="B488" s="27" t="str">
        <f t="shared" si="22"/>
        <v>Louisiana</v>
      </c>
      <c r="C488" s="27" t="str">
        <f t="shared" si="23"/>
        <v>Washington</v>
      </c>
      <c r="D488" s="27">
        <v>25</v>
      </c>
      <c r="E488" s="27">
        <v>1</v>
      </c>
    </row>
    <row r="489" spans="1:5" x14ac:dyDescent="0.25">
      <c r="A489" s="27" t="s">
        <v>1046</v>
      </c>
      <c r="B489" s="27" t="str">
        <f t="shared" si="22"/>
        <v>Louisiana</v>
      </c>
      <c r="C489" s="27" t="str">
        <f t="shared" si="23"/>
        <v>Webster</v>
      </c>
      <c r="D489" s="27">
        <v>51</v>
      </c>
      <c r="E489" s="27">
        <v>1</v>
      </c>
    </row>
    <row r="490" spans="1:5" x14ac:dyDescent="0.25">
      <c r="A490" s="27" t="s">
        <v>1047</v>
      </c>
      <c r="B490" s="27" t="str">
        <f t="shared" si="22"/>
        <v>Louisiana</v>
      </c>
      <c r="C490" s="27" t="str">
        <f t="shared" si="23"/>
        <v>West Baton Rouge</v>
      </c>
      <c r="D490" s="27">
        <v>1</v>
      </c>
      <c r="E490" s="27">
        <v>0</v>
      </c>
    </row>
    <row r="491" spans="1:5" x14ac:dyDescent="0.25">
      <c r="A491" s="27" t="s">
        <v>1048</v>
      </c>
      <c r="B491" s="27" t="str">
        <f t="shared" si="22"/>
        <v>Louisiana</v>
      </c>
      <c r="C491" s="27" t="str">
        <f t="shared" si="23"/>
        <v>West Carroll</v>
      </c>
      <c r="D491" s="27">
        <v>8</v>
      </c>
      <c r="E491" s="27">
        <v>4</v>
      </c>
    </row>
    <row r="492" spans="1:5" x14ac:dyDescent="0.25">
      <c r="A492" s="27" t="s">
        <v>1049</v>
      </c>
      <c r="B492" s="27" t="str">
        <f t="shared" si="22"/>
        <v>Louisiana</v>
      </c>
      <c r="C492" s="27" t="str">
        <f t="shared" si="23"/>
        <v>West Feliciana</v>
      </c>
      <c r="D492" s="27">
        <v>6</v>
      </c>
      <c r="E492" s="27">
        <v>0</v>
      </c>
    </row>
    <row r="493" spans="1:5" x14ac:dyDescent="0.25">
      <c r="A493" s="27" t="s">
        <v>1050</v>
      </c>
      <c r="B493" s="27" t="str">
        <f t="shared" si="22"/>
        <v>Louisiana</v>
      </c>
      <c r="C493" s="27" t="str">
        <f t="shared" si="23"/>
        <v>Winn</v>
      </c>
      <c r="D493" s="27">
        <v>9</v>
      </c>
      <c r="E493" s="27">
        <v>1</v>
      </c>
    </row>
    <row r="494" spans="1:5" x14ac:dyDescent="0.25">
      <c r="C494" s="27">
        <f>SUM(D495:D576)</f>
        <v>1570</v>
      </c>
      <c r="D494" s="27">
        <v>1570</v>
      </c>
      <c r="E494" s="27">
        <v>217</v>
      </c>
    </row>
    <row r="495" spans="1:5" x14ac:dyDescent="0.25">
      <c r="A495" s="27" t="s">
        <v>1051</v>
      </c>
      <c r="B495" s="27" t="str">
        <f t="shared" si="22"/>
        <v>Mississippi</v>
      </c>
      <c r="C495" s="27" t="str">
        <f t="shared" ref="C495:C526" si="24">MID(A495,FIND(";",A495)+1,100)</f>
        <v>Adams</v>
      </c>
      <c r="D495" s="27">
        <v>9</v>
      </c>
      <c r="E495" s="27">
        <v>0</v>
      </c>
    </row>
    <row r="496" spans="1:5" x14ac:dyDescent="0.25">
      <c r="A496" s="27" t="s">
        <v>1052</v>
      </c>
      <c r="B496" s="27" t="str">
        <f t="shared" si="22"/>
        <v>Mississippi</v>
      </c>
      <c r="C496" s="27" t="str">
        <f t="shared" si="24"/>
        <v>Alcorn</v>
      </c>
      <c r="D496" s="27">
        <v>6</v>
      </c>
      <c r="E496" s="27">
        <v>5</v>
      </c>
    </row>
    <row r="497" spans="1:5" x14ac:dyDescent="0.25">
      <c r="A497" s="27" t="s">
        <v>1053</v>
      </c>
      <c r="B497" s="27" t="str">
        <f t="shared" si="22"/>
        <v>Mississippi</v>
      </c>
      <c r="C497" s="27" t="str">
        <f t="shared" si="24"/>
        <v>Amite</v>
      </c>
      <c r="D497" s="27">
        <v>16</v>
      </c>
      <c r="E497" s="27">
        <v>4</v>
      </c>
    </row>
    <row r="498" spans="1:5" x14ac:dyDescent="0.25">
      <c r="A498" s="27" t="s">
        <v>1054</v>
      </c>
      <c r="B498" s="27" t="str">
        <f t="shared" si="22"/>
        <v>Mississippi</v>
      </c>
      <c r="C498" s="27" t="str">
        <f t="shared" si="24"/>
        <v>Attala</v>
      </c>
      <c r="D498" s="27">
        <v>14</v>
      </c>
      <c r="E498" s="27">
        <v>0</v>
      </c>
    </row>
    <row r="499" spans="1:5" x14ac:dyDescent="0.25">
      <c r="A499" s="27" t="s">
        <v>1055</v>
      </c>
      <c r="B499" s="27" t="str">
        <f t="shared" si="22"/>
        <v>Mississippi</v>
      </c>
      <c r="C499" s="27" t="str">
        <f t="shared" si="24"/>
        <v>Benton</v>
      </c>
      <c r="D499" s="27">
        <v>0</v>
      </c>
      <c r="E499" s="27">
        <v>1</v>
      </c>
    </row>
    <row r="500" spans="1:5" x14ac:dyDescent="0.25">
      <c r="A500" s="27" t="s">
        <v>1056</v>
      </c>
      <c r="B500" s="27" t="str">
        <f t="shared" si="22"/>
        <v>Mississippi</v>
      </c>
      <c r="C500" s="27" t="str">
        <f t="shared" si="24"/>
        <v>Bolivar</v>
      </c>
      <c r="D500" s="27">
        <v>82</v>
      </c>
      <c r="E500" s="27">
        <v>8</v>
      </c>
    </row>
    <row r="501" spans="1:5" x14ac:dyDescent="0.25">
      <c r="A501" s="27" t="s">
        <v>1057</v>
      </c>
      <c r="B501" s="27" t="str">
        <f t="shared" si="22"/>
        <v>Mississippi</v>
      </c>
      <c r="C501" s="27" t="str">
        <f t="shared" si="24"/>
        <v>Calhoun</v>
      </c>
      <c r="D501" s="27">
        <v>0</v>
      </c>
      <c r="E501" s="27">
        <v>0</v>
      </c>
    </row>
    <row r="502" spans="1:5" x14ac:dyDescent="0.25">
      <c r="A502" s="27" t="s">
        <v>1058</v>
      </c>
      <c r="B502" s="27" t="str">
        <f t="shared" si="22"/>
        <v>Mississippi</v>
      </c>
      <c r="C502" s="27" t="str">
        <f t="shared" si="24"/>
        <v>Carroll</v>
      </c>
      <c r="D502" s="27">
        <v>37</v>
      </c>
      <c r="E502" s="27">
        <v>4</v>
      </c>
    </row>
    <row r="503" spans="1:5" x14ac:dyDescent="0.25">
      <c r="A503" s="27" t="s">
        <v>1059</v>
      </c>
      <c r="B503" s="27" t="str">
        <f t="shared" si="22"/>
        <v>Mississippi</v>
      </c>
      <c r="C503" s="27" t="str">
        <f t="shared" si="24"/>
        <v>Chickasaw</v>
      </c>
      <c r="D503" s="27">
        <v>26</v>
      </c>
      <c r="E503" s="27">
        <v>4</v>
      </c>
    </row>
    <row r="504" spans="1:5" x14ac:dyDescent="0.25">
      <c r="A504" s="27" t="s">
        <v>1060</v>
      </c>
      <c r="B504" s="27" t="str">
        <f t="shared" si="22"/>
        <v>Mississippi</v>
      </c>
      <c r="C504" s="27" t="str">
        <f t="shared" si="24"/>
        <v>Choctaw</v>
      </c>
      <c r="D504" s="27">
        <v>7</v>
      </c>
      <c r="E504" s="27">
        <v>0</v>
      </c>
    </row>
    <row r="505" spans="1:5" x14ac:dyDescent="0.25">
      <c r="A505" s="27" t="s">
        <v>1061</v>
      </c>
      <c r="B505" s="27" t="str">
        <f t="shared" si="22"/>
        <v>Mississippi</v>
      </c>
      <c r="C505" s="27" t="str">
        <f t="shared" si="24"/>
        <v>Claiborne</v>
      </c>
      <c r="D505" s="27">
        <v>35</v>
      </c>
      <c r="E505" s="27">
        <v>0</v>
      </c>
    </row>
    <row r="506" spans="1:5" x14ac:dyDescent="0.25">
      <c r="A506" s="27" t="s">
        <v>1062</v>
      </c>
      <c r="B506" s="27" t="str">
        <f t="shared" si="22"/>
        <v>Mississippi</v>
      </c>
      <c r="C506" s="27" t="str">
        <f t="shared" si="24"/>
        <v>Clarke</v>
      </c>
      <c r="D506" s="27">
        <v>5</v>
      </c>
      <c r="E506" s="27">
        <v>7</v>
      </c>
    </row>
    <row r="507" spans="1:5" x14ac:dyDescent="0.25">
      <c r="A507" s="27" t="s">
        <v>1063</v>
      </c>
      <c r="B507" s="27" t="str">
        <f t="shared" si="22"/>
        <v>Mississippi</v>
      </c>
      <c r="C507" s="27" t="str">
        <f t="shared" si="24"/>
        <v>Clay</v>
      </c>
      <c r="D507" s="27">
        <v>3</v>
      </c>
      <c r="E507" s="27">
        <v>0</v>
      </c>
    </row>
    <row r="508" spans="1:5" x14ac:dyDescent="0.25">
      <c r="A508" s="27" t="s">
        <v>1064</v>
      </c>
      <c r="B508" s="27" t="str">
        <f t="shared" si="22"/>
        <v>Mississippi</v>
      </c>
      <c r="C508" s="27" t="str">
        <f t="shared" si="24"/>
        <v>Coahoma</v>
      </c>
      <c r="D508" s="27">
        <v>89</v>
      </c>
      <c r="E508" s="27">
        <v>7</v>
      </c>
    </row>
    <row r="509" spans="1:5" x14ac:dyDescent="0.25">
      <c r="A509" s="27" t="s">
        <v>1065</v>
      </c>
      <c r="B509" s="27" t="str">
        <f t="shared" si="22"/>
        <v>Mississippi</v>
      </c>
      <c r="C509" s="27" t="str">
        <f t="shared" si="24"/>
        <v>Copiah</v>
      </c>
      <c r="D509" s="27">
        <v>13</v>
      </c>
      <c r="E509" s="27">
        <v>3</v>
      </c>
    </row>
    <row r="510" spans="1:5" x14ac:dyDescent="0.25">
      <c r="A510" s="27" t="s">
        <v>1066</v>
      </c>
      <c r="B510" s="27" t="str">
        <f t="shared" si="22"/>
        <v>Mississippi</v>
      </c>
      <c r="C510" s="27" t="str">
        <f t="shared" si="24"/>
        <v>Covington</v>
      </c>
      <c r="D510" s="27">
        <v>36</v>
      </c>
      <c r="E510" s="27">
        <v>0</v>
      </c>
    </row>
    <row r="511" spans="1:5" x14ac:dyDescent="0.25">
      <c r="A511" s="27" t="s">
        <v>1753</v>
      </c>
      <c r="B511" s="27" t="str">
        <f t="shared" si="22"/>
        <v>Mississippi</v>
      </c>
      <c r="C511" s="27" t="str">
        <f t="shared" si="24"/>
        <v>DeSoto</v>
      </c>
      <c r="D511" s="27">
        <v>1</v>
      </c>
      <c r="E511" s="27">
        <v>8</v>
      </c>
    </row>
    <row r="512" spans="1:5" x14ac:dyDescent="0.25">
      <c r="A512" s="27" t="s">
        <v>1067</v>
      </c>
      <c r="B512" s="27" t="str">
        <f t="shared" si="22"/>
        <v>Mississippi</v>
      </c>
      <c r="C512" s="27" t="str">
        <f t="shared" si="24"/>
        <v>Forrest</v>
      </c>
      <c r="D512" s="27">
        <v>21</v>
      </c>
      <c r="E512" s="27">
        <v>0</v>
      </c>
    </row>
    <row r="513" spans="1:5" x14ac:dyDescent="0.25">
      <c r="A513" s="27" t="s">
        <v>1068</v>
      </c>
      <c r="B513" s="27" t="str">
        <f t="shared" si="22"/>
        <v>Mississippi</v>
      </c>
      <c r="C513" s="27" t="str">
        <f t="shared" si="24"/>
        <v>Franklin</v>
      </c>
      <c r="D513" s="27">
        <v>9</v>
      </c>
      <c r="E513" s="27">
        <v>0</v>
      </c>
    </row>
    <row r="514" spans="1:5" x14ac:dyDescent="0.25">
      <c r="A514" s="27" t="s">
        <v>1069</v>
      </c>
      <c r="B514" s="27" t="str">
        <f t="shared" si="22"/>
        <v>Mississippi</v>
      </c>
      <c r="C514" s="27" t="str">
        <f t="shared" si="24"/>
        <v>George</v>
      </c>
      <c r="D514" s="27">
        <v>0</v>
      </c>
      <c r="E514" s="27">
        <v>1</v>
      </c>
    </row>
    <row r="515" spans="1:5" x14ac:dyDescent="0.25">
      <c r="A515" s="27" t="s">
        <v>1070</v>
      </c>
      <c r="B515" s="27" t="str">
        <f t="shared" si="22"/>
        <v>Mississippi</v>
      </c>
      <c r="C515" s="27" t="str">
        <f t="shared" si="24"/>
        <v>Greene</v>
      </c>
      <c r="D515" s="27">
        <v>8</v>
      </c>
      <c r="E515" s="27">
        <v>1</v>
      </c>
    </row>
    <row r="516" spans="1:5" x14ac:dyDescent="0.25">
      <c r="A516" s="27" t="s">
        <v>1071</v>
      </c>
      <c r="B516" s="27" t="str">
        <f t="shared" si="22"/>
        <v>Mississippi</v>
      </c>
      <c r="C516" s="27" t="str">
        <f t="shared" si="24"/>
        <v>Grenada</v>
      </c>
      <c r="D516" s="27">
        <v>23</v>
      </c>
      <c r="E516" s="27">
        <v>0</v>
      </c>
    </row>
    <row r="517" spans="1:5" x14ac:dyDescent="0.25">
      <c r="A517" s="27" t="s">
        <v>1072</v>
      </c>
      <c r="B517" s="27" t="str">
        <f t="shared" si="22"/>
        <v>Mississippi</v>
      </c>
      <c r="C517" s="27" t="str">
        <f t="shared" si="24"/>
        <v>Hancock</v>
      </c>
      <c r="D517" s="27">
        <v>3</v>
      </c>
      <c r="E517" s="27">
        <v>0</v>
      </c>
    </row>
    <row r="518" spans="1:5" x14ac:dyDescent="0.25">
      <c r="A518" s="27" t="s">
        <v>1073</v>
      </c>
      <c r="B518" s="27" t="str">
        <f t="shared" si="22"/>
        <v>Mississippi</v>
      </c>
      <c r="C518" s="27" t="str">
        <f t="shared" si="24"/>
        <v>Harrison</v>
      </c>
      <c r="D518" s="27">
        <v>8</v>
      </c>
      <c r="E518" s="27">
        <v>6</v>
      </c>
    </row>
    <row r="519" spans="1:5" x14ac:dyDescent="0.25">
      <c r="A519" s="27" t="s">
        <v>1074</v>
      </c>
      <c r="B519" s="27" t="str">
        <f t="shared" si="22"/>
        <v>Mississippi</v>
      </c>
      <c r="C519" s="27" t="str">
        <f t="shared" si="24"/>
        <v>Hinds</v>
      </c>
      <c r="D519" s="27">
        <v>47</v>
      </c>
      <c r="E519" s="27">
        <v>7</v>
      </c>
    </row>
    <row r="520" spans="1:5" x14ac:dyDescent="0.25">
      <c r="A520" s="27" t="s">
        <v>1075</v>
      </c>
      <c r="B520" s="27" t="str">
        <f t="shared" ref="B520:B584" si="25">LEFT(A520,FIND(";",A520)-1)</f>
        <v>Mississippi</v>
      </c>
      <c r="C520" s="27" t="str">
        <f t="shared" si="24"/>
        <v>Holmes</v>
      </c>
      <c r="D520" s="27">
        <v>80</v>
      </c>
      <c r="E520" s="27">
        <v>3</v>
      </c>
    </row>
    <row r="521" spans="1:5" x14ac:dyDescent="0.25">
      <c r="A521" s="27" t="s">
        <v>1076</v>
      </c>
      <c r="B521" s="27" t="str">
        <f t="shared" si="25"/>
        <v>Mississippi</v>
      </c>
      <c r="C521" s="27" t="str">
        <f t="shared" si="24"/>
        <v>Humphreys</v>
      </c>
      <c r="D521" s="27">
        <v>18</v>
      </c>
      <c r="E521" s="27">
        <v>2</v>
      </c>
    </row>
    <row r="522" spans="1:5" x14ac:dyDescent="0.25">
      <c r="A522" s="27" t="s">
        <v>1077</v>
      </c>
      <c r="B522" s="27" t="str">
        <f t="shared" si="25"/>
        <v>Mississippi</v>
      </c>
      <c r="C522" s="27" t="str">
        <f t="shared" si="24"/>
        <v>Issaquena</v>
      </c>
      <c r="D522" s="27">
        <v>23</v>
      </c>
      <c r="E522" s="27">
        <v>5</v>
      </c>
    </row>
    <row r="523" spans="1:5" x14ac:dyDescent="0.25">
      <c r="A523" s="27" t="s">
        <v>1078</v>
      </c>
      <c r="B523" s="27" t="str">
        <f t="shared" si="25"/>
        <v>Mississippi</v>
      </c>
      <c r="C523" s="27" t="str">
        <f t="shared" si="24"/>
        <v>Itawamba</v>
      </c>
      <c r="D523" s="27">
        <v>2</v>
      </c>
      <c r="E523" s="27">
        <v>0</v>
      </c>
    </row>
    <row r="524" spans="1:5" x14ac:dyDescent="0.25">
      <c r="A524" s="27" t="s">
        <v>1079</v>
      </c>
      <c r="B524" s="27" t="str">
        <f t="shared" si="25"/>
        <v>Mississippi</v>
      </c>
      <c r="C524" s="27" t="str">
        <f t="shared" si="24"/>
        <v>Jackson</v>
      </c>
      <c r="D524" s="27">
        <v>6</v>
      </c>
      <c r="E524" s="27">
        <v>4</v>
      </c>
    </row>
    <row r="525" spans="1:5" x14ac:dyDescent="0.25">
      <c r="A525" s="27" t="s">
        <v>1080</v>
      </c>
      <c r="B525" s="27" t="str">
        <f t="shared" si="25"/>
        <v>Mississippi</v>
      </c>
      <c r="C525" s="27" t="str">
        <f t="shared" si="24"/>
        <v>Jasper</v>
      </c>
      <c r="D525" s="27">
        <v>11</v>
      </c>
      <c r="E525" s="27">
        <v>0</v>
      </c>
    </row>
    <row r="526" spans="1:5" x14ac:dyDescent="0.25">
      <c r="A526" s="27" t="s">
        <v>1081</v>
      </c>
      <c r="B526" s="27" t="str">
        <f t="shared" si="25"/>
        <v>Mississippi</v>
      </c>
      <c r="C526" s="27" t="str">
        <f t="shared" si="24"/>
        <v>Jefferson</v>
      </c>
      <c r="D526" s="27">
        <v>8</v>
      </c>
      <c r="E526" s="27">
        <v>2</v>
      </c>
    </row>
    <row r="527" spans="1:5" x14ac:dyDescent="0.25">
      <c r="A527" s="27" t="s">
        <v>1082</v>
      </c>
      <c r="B527" s="27" t="str">
        <f t="shared" si="25"/>
        <v>Mississippi</v>
      </c>
      <c r="C527" s="27" t="str">
        <f t="shared" ref="C527:C558" si="26">MID(A527,FIND(";",A527)+1,100)</f>
        <v>Jefferson Davis</v>
      </c>
      <c r="D527" s="27">
        <v>37</v>
      </c>
      <c r="E527" s="27">
        <v>1</v>
      </c>
    </row>
    <row r="528" spans="1:5" x14ac:dyDescent="0.25">
      <c r="A528" s="27" t="s">
        <v>1083</v>
      </c>
      <c r="B528" s="27" t="str">
        <f t="shared" si="25"/>
        <v>Mississippi</v>
      </c>
      <c r="C528" s="27" t="str">
        <f t="shared" si="26"/>
        <v>Jones</v>
      </c>
      <c r="D528" s="27">
        <v>23</v>
      </c>
      <c r="E528" s="27">
        <v>3</v>
      </c>
    </row>
    <row r="529" spans="1:5" x14ac:dyDescent="0.25">
      <c r="A529" s="27" t="s">
        <v>1084</v>
      </c>
      <c r="B529" s="27" t="str">
        <f t="shared" si="25"/>
        <v>Mississippi</v>
      </c>
      <c r="C529" s="27" t="str">
        <f t="shared" si="26"/>
        <v>Kemper</v>
      </c>
      <c r="D529" s="27">
        <v>1</v>
      </c>
      <c r="E529" s="27">
        <v>6</v>
      </c>
    </row>
    <row r="530" spans="1:5" x14ac:dyDescent="0.25">
      <c r="A530" s="27" t="s">
        <v>1085</v>
      </c>
      <c r="B530" s="27" t="str">
        <f t="shared" si="25"/>
        <v>Mississippi</v>
      </c>
      <c r="C530" s="27" t="str">
        <f t="shared" si="26"/>
        <v>Lafayette</v>
      </c>
      <c r="D530" s="27">
        <v>5</v>
      </c>
      <c r="E530" s="27">
        <v>1</v>
      </c>
    </row>
    <row r="531" spans="1:5" x14ac:dyDescent="0.25">
      <c r="A531" s="27" t="s">
        <v>1086</v>
      </c>
      <c r="B531" s="27" t="str">
        <f t="shared" si="25"/>
        <v>Mississippi</v>
      </c>
      <c r="C531" s="27" t="str">
        <f t="shared" si="26"/>
        <v>Lamar</v>
      </c>
      <c r="D531" s="27">
        <v>21</v>
      </c>
      <c r="E531" s="27">
        <v>1</v>
      </c>
    </row>
    <row r="532" spans="1:5" x14ac:dyDescent="0.25">
      <c r="A532" s="27" t="s">
        <v>1087</v>
      </c>
      <c r="B532" s="27" t="str">
        <f t="shared" si="25"/>
        <v>Mississippi</v>
      </c>
      <c r="C532" s="27" t="str">
        <f t="shared" si="26"/>
        <v>Lauderdale</v>
      </c>
      <c r="D532" s="27">
        <v>4</v>
      </c>
      <c r="E532" s="27">
        <v>6</v>
      </c>
    </row>
    <row r="533" spans="1:5" x14ac:dyDescent="0.25">
      <c r="A533" s="27" t="s">
        <v>1088</v>
      </c>
      <c r="B533" s="27" t="str">
        <f t="shared" si="25"/>
        <v>Mississippi</v>
      </c>
      <c r="C533" s="27" t="str">
        <f t="shared" si="26"/>
        <v>Lawrence</v>
      </c>
      <c r="D533" s="27">
        <v>9</v>
      </c>
      <c r="E533" s="27">
        <v>0</v>
      </c>
    </row>
    <row r="534" spans="1:5" x14ac:dyDescent="0.25">
      <c r="A534" s="27" t="s">
        <v>1089</v>
      </c>
      <c r="B534" s="27" t="str">
        <f t="shared" si="25"/>
        <v>Mississippi</v>
      </c>
      <c r="C534" s="27" t="str">
        <f t="shared" si="26"/>
        <v>Leake</v>
      </c>
      <c r="D534" s="27">
        <v>47</v>
      </c>
      <c r="E534" s="27">
        <v>1</v>
      </c>
    </row>
    <row r="535" spans="1:5" x14ac:dyDescent="0.25">
      <c r="A535" s="27" t="s">
        <v>1090</v>
      </c>
      <c r="B535" s="27" t="str">
        <f t="shared" si="25"/>
        <v>Mississippi</v>
      </c>
      <c r="C535" s="27" t="str">
        <f t="shared" si="26"/>
        <v>Lee</v>
      </c>
      <c r="D535" s="27">
        <v>12</v>
      </c>
      <c r="E535" s="27">
        <v>1</v>
      </c>
    </row>
    <row r="536" spans="1:5" x14ac:dyDescent="0.25">
      <c r="A536" s="27" t="s">
        <v>1091</v>
      </c>
      <c r="B536" s="27" t="str">
        <f t="shared" si="25"/>
        <v>Mississippi</v>
      </c>
      <c r="C536" s="27" t="str">
        <f t="shared" si="26"/>
        <v>Leflore</v>
      </c>
      <c r="D536" s="27">
        <v>88</v>
      </c>
      <c r="E536" s="27">
        <v>0</v>
      </c>
    </row>
    <row r="537" spans="1:5" x14ac:dyDescent="0.25">
      <c r="A537" s="27" t="s">
        <v>1092</v>
      </c>
      <c r="B537" s="27" t="str">
        <f t="shared" si="25"/>
        <v>Mississippi</v>
      </c>
      <c r="C537" s="27" t="str">
        <f t="shared" si="26"/>
        <v>Lincoln</v>
      </c>
      <c r="D537" s="27">
        <v>11</v>
      </c>
      <c r="E537" s="27">
        <v>5</v>
      </c>
    </row>
    <row r="538" spans="1:5" x14ac:dyDescent="0.25">
      <c r="A538" s="27" t="s">
        <v>1093</v>
      </c>
      <c r="B538" s="27" t="str">
        <f t="shared" si="25"/>
        <v>Mississippi</v>
      </c>
      <c r="C538" s="27" t="str">
        <f t="shared" si="26"/>
        <v>Lowndes</v>
      </c>
      <c r="D538" s="27">
        <v>22</v>
      </c>
      <c r="E538" s="27">
        <v>0</v>
      </c>
    </row>
    <row r="539" spans="1:5" x14ac:dyDescent="0.25">
      <c r="A539" s="27" t="s">
        <v>1094</v>
      </c>
      <c r="B539" s="27" t="str">
        <f t="shared" si="25"/>
        <v>Mississippi</v>
      </c>
      <c r="C539" s="27" t="str">
        <f t="shared" si="26"/>
        <v>Madison</v>
      </c>
      <c r="D539" s="27">
        <v>21</v>
      </c>
      <c r="E539" s="27">
        <v>2</v>
      </c>
    </row>
    <row r="540" spans="1:5" x14ac:dyDescent="0.25">
      <c r="A540" s="27" t="s">
        <v>1095</v>
      </c>
      <c r="B540" s="27" t="str">
        <f t="shared" si="25"/>
        <v>Mississippi</v>
      </c>
      <c r="C540" s="27" t="str">
        <f t="shared" si="26"/>
        <v>Marion</v>
      </c>
      <c r="D540" s="27">
        <v>31</v>
      </c>
      <c r="E540" s="27">
        <v>3</v>
      </c>
    </row>
    <row r="541" spans="1:5" x14ac:dyDescent="0.25">
      <c r="A541" s="27" t="s">
        <v>1096</v>
      </c>
      <c r="B541" s="27" t="str">
        <f t="shared" si="25"/>
        <v>Mississippi</v>
      </c>
      <c r="C541" s="27" t="str">
        <f t="shared" si="26"/>
        <v>Marshall</v>
      </c>
      <c r="D541" s="27">
        <v>11</v>
      </c>
      <c r="E541" s="27">
        <v>2</v>
      </c>
    </row>
    <row r="542" spans="1:5" x14ac:dyDescent="0.25">
      <c r="A542" s="27" t="s">
        <v>1097</v>
      </c>
      <c r="B542" s="27" t="str">
        <f t="shared" si="25"/>
        <v>Mississippi</v>
      </c>
      <c r="C542" s="27" t="str">
        <f t="shared" si="26"/>
        <v>Monroe</v>
      </c>
      <c r="D542" s="27">
        <v>25</v>
      </c>
      <c r="E542" s="27">
        <v>3</v>
      </c>
    </row>
    <row r="543" spans="1:5" x14ac:dyDescent="0.25">
      <c r="A543" s="27" t="s">
        <v>1098</v>
      </c>
      <c r="B543" s="27" t="str">
        <f t="shared" si="25"/>
        <v>Mississippi</v>
      </c>
      <c r="C543" s="27" t="str">
        <f t="shared" si="26"/>
        <v>Montgomery</v>
      </c>
      <c r="D543" s="27">
        <v>9</v>
      </c>
      <c r="E543" s="27">
        <v>0</v>
      </c>
    </row>
    <row r="544" spans="1:5" x14ac:dyDescent="0.25">
      <c r="A544" s="27" t="s">
        <v>1099</v>
      </c>
      <c r="B544" s="27" t="str">
        <f t="shared" si="25"/>
        <v>Mississippi</v>
      </c>
      <c r="C544" s="27" t="str">
        <f t="shared" si="26"/>
        <v>Neshoba</v>
      </c>
      <c r="D544" s="27">
        <v>11</v>
      </c>
      <c r="E544" s="27">
        <v>1</v>
      </c>
    </row>
    <row r="545" spans="1:5" x14ac:dyDescent="0.25">
      <c r="A545" s="27" t="s">
        <v>1100</v>
      </c>
      <c r="B545" s="27" t="str">
        <f t="shared" si="25"/>
        <v>Mississippi</v>
      </c>
      <c r="C545" s="27" t="str">
        <f t="shared" si="26"/>
        <v>Newton</v>
      </c>
      <c r="D545" s="27">
        <v>17</v>
      </c>
      <c r="E545" s="27">
        <v>5</v>
      </c>
    </row>
    <row r="546" spans="1:5" x14ac:dyDescent="0.25">
      <c r="A546" s="27" t="s">
        <v>1101</v>
      </c>
      <c r="B546" s="27" t="str">
        <f t="shared" si="25"/>
        <v>Mississippi</v>
      </c>
      <c r="C546" s="27" t="str">
        <f t="shared" si="26"/>
        <v>Noxubee</v>
      </c>
      <c r="D546" s="27">
        <v>9</v>
      </c>
      <c r="E546" s="27">
        <v>8</v>
      </c>
    </row>
    <row r="547" spans="1:5" x14ac:dyDescent="0.25">
      <c r="A547" s="27" t="s">
        <v>1102</v>
      </c>
      <c r="B547" s="27" t="str">
        <f t="shared" si="25"/>
        <v>Mississippi</v>
      </c>
      <c r="C547" s="27" t="str">
        <f t="shared" si="26"/>
        <v>Oktibbeha</v>
      </c>
      <c r="D547" s="27">
        <v>28</v>
      </c>
      <c r="E547" s="27">
        <v>2</v>
      </c>
    </row>
    <row r="548" spans="1:5" x14ac:dyDescent="0.25">
      <c r="A548" s="27" t="s">
        <v>1103</v>
      </c>
      <c r="B548" s="27" t="str">
        <f t="shared" si="25"/>
        <v>Mississippi</v>
      </c>
      <c r="C548" s="27" t="str">
        <f t="shared" si="26"/>
        <v>Panola</v>
      </c>
      <c r="D548" s="27">
        <v>12</v>
      </c>
      <c r="E548" s="27">
        <v>2</v>
      </c>
    </row>
    <row r="549" spans="1:5" x14ac:dyDescent="0.25">
      <c r="A549" s="27" t="s">
        <v>1104</v>
      </c>
      <c r="B549" s="27" t="str">
        <f t="shared" si="25"/>
        <v>Mississippi</v>
      </c>
      <c r="C549" s="27" t="str">
        <f t="shared" si="26"/>
        <v>Pearl River</v>
      </c>
      <c r="D549" s="27">
        <v>15</v>
      </c>
      <c r="E549" s="27">
        <v>3</v>
      </c>
    </row>
    <row r="550" spans="1:5" x14ac:dyDescent="0.25">
      <c r="A550" s="27" t="s">
        <v>1105</v>
      </c>
      <c r="B550" s="27" t="str">
        <f t="shared" si="25"/>
        <v>Mississippi</v>
      </c>
      <c r="C550" s="27" t="str">
        <f t="shared" si="26"/>
        <v>Perry</v>
      </c>
      <c r="D550" s="27">
        <v>7</v>
      </c>
      <c r="E550" s="27">
        <v>4</v>
      </c>
    </row>
    <row r="551" spans="1:5" x14ac:dyDescent="0.25">
      <c r="A551" s="27" t="s">
        <v>1106</v>
      </c>
      <c r="B551" s="27" t="str">
        <f t="shared" si="25"/>
        <v>Mississippi</v>
      </c>
      <c r="C551" s="27" t="str">
        <f t="shared" si="26"/>
        <v>Pike</v>
      </c>
      <c r="D551" s="27">
        <v>26</v>
      </c>
      <c r="E551" s="27">
        <v>5</v>
      </c>
    </row>
    <row r="552" spans="1:5" x14ac:dyDescent="0.25">
      <c r="A552" s="27" t="s">
        <v>1107</v>
      </c>
      <c r="B552" s="27" t="str">
        <f t="shared" si="25"/>
        <v>Mississippi</v>
      </c>
      <c r="C552" s="27" t="str">
        <f t="shared" si="26"/>
        <v>Pontotoc</v>
      </c>
      <c r="D552" s="27">
        <v>0</v>
      </c>
      <c r="E552" s="27">
        <v>2</v>
      </c>
    </row>
    <row r="553" spans="1:5" x14ac:dyDescent="0.25">
      <c r="A553" s="27" t="s">
        <v>1108</v>
      </c>
      <c r="B553" s="27" t="str">
        <f t="shared" si="25"/>
        <v>Mississippi</v>
      </c>
      <c r="C553" s="27" t="str">
        <f t="shared" si="26"/>
        <v>Prentiss</v>
      </c>
      <c r="D553" s="27">
        <v>5</v>
      </c>
      <c r="E553" s="27">
        <v>0</v>
      </c>
    </row>
    <row r="554" spans="1:5" x14ac:dyDescent="0.25">
      <c r="A554" s="27" t="s">
        <v>1109</v>
      </c>
      <c r="B554" s="27" t="str">
        <f t="shared" si="25"/>
        <v>Mississippi</v>
      </c>
      <c r="C554" s="27" t="str">
        <f t="shared" si="26"/>
        <v>Quitman</v>
      </c>
      <c r="D554" s="27">
        <v>15</v>
      </c>
      <c r="E554" s="27">
        <v>6</v>
      </c>
    </row>
    <row r="555" spans="1:5" x14ac:dyDescent="0.25">
      <c r="A555" s="27" t="s">
        <v>1110</v>
      </c>
      <c r="B555" s="27" t="str">
        <f t="shared" si="25"/>
        <v>Mississippi</v>
      </c>
      <c r="C555" s="27" t="str">
        <f t="shared" si="26"/>
        <v>Rankin</v>
      </c>
      <c r="D555" s="27">
        <v>8</v>
      </c>
      <c r="E555" s="27">
        <v>3</v>
      </c>
    </row>
    <row r="556" spans="1:5" x14ac:dyDescent="0.25">
      <c r="A556" s="27" t="s">
        <v>1111</v>
      </c>
      <c r="B556" s="27" t="str">
        <f t="shared" si="25"/>
        <v>Mississippi</v>
      </c>
      <c r="C556" s="27" t="str">
        <f t="shared" si="26"/>
        <v>Scott</v>
      </c>
      <c r="D556" s="27">
        <v>21</v>
      </c>
      <c r="E556" s="27">
        <v>0</v>
      </c>
    </row>
    <row r="557" spans="1:5" x14ac:dyDescent="0.25">
      <c r="A557" s="27" t="s">
        <v>1112</v>
      </c>
      <c r="B557" s="27" t="str">
        <f t="shared" si="25"/>
        <v>Mississippi</v>
      </c>
      <c r="C557" s="27" t="str">
        <f t="shared" si="26"/>
        <v>Sharkey</v>
      </c>
      <c r="D557" s="27">
        <v>46</v>
      </c>
      <c r="E557" s="27">
        <v>0</v>
      </c>
    </row>
    <row r="558" spans="1:5" x14ac:dyDescent="0.25">
      <c r="A558" s="27" t="s">
        <v>1113</v>
      </c>
      <c r="B558" s="27" t="str">
        <f t="shared" si="25"/>
        <v>Mississippi</v>
      </c>
      <c r="C558" s="27" t="str">
        <f t="shared" si="26"/>
        <v>Simpson</v>
      </c>
      <c r="D558" s="27">
        <v>7</v>
      </c>
      <c r="E558" s="27">
        <v>1</v>
      </c>
    </row>
    <row r="559" spans="1:5" x14ac:dyDescent="0.25">
      <c r="A559" s="27" t="s">
        <v>1114</v>
      </c>
      <c r="B559" s="27" t="str">
        <f t="shared" si="25"/>
        <v>Mississippi</v>
      </c>
      <c r="C559" s="27" t="str">
        <f t="shared" ref="C559:C576" si="27">MID(A559,FIND(";",A559)+1,100)</f>
        <v>Smith</v>
      </c>
      <c r="D559" s="27">
        <v>6</v>
      </c>
      <c r="E559" s="27">
        <v>3</v>
      </c>
    </row>
    <row r="560" spans="1:5" x14ac:dyDescent="0.25">
      <c r="A560" s="27" t="s">
        <v>1115</v>
      </c>
      <c r="B560" s="27" t="str">
        <f t="shared" si="25"/>
        <v>Mississippi</v>
      </c>
      <c r="C560" s="27" t="str">
        <f t="shared" si="27"/>
        <v>Stone</v>
      </c>
      <c r="D560" s="27">
        <v>13</v>
      </c>
      <c r="E560" s="27">
        <v>2</v>
      </c>
    </row>
    <row r="561" spans="1:5" x14ac:dyDescent="0.25">
      <c r="A561" s="27" t="s">
        <v>1116</v>
      </c>
      <c r="B561" s="27" t="str">
        <f t="shared" si="25"/>
        <v>Mississippi</v>
      </c>
      <c r="C561" s="27" t="str">
        <f t="shared" si="27"/>
        <v>Sunflower</v>
      </c>
      <c r="D561" s="27">
        <v>63</v>
      </c>
      <c r="E561" s="27">
        <v>6</v>
      </c>
    </row>
    <row r="562" spans="1:5" x14ac:dyDescent="0.25">
      <c r="A562" s="27" t="s">
        <v>1117</v>
      </c>
      <c r="B562" s="27" t="str">
        <f t="shared" si="25"/>
        <v>Mississippi</v>
      </c>
      <c r="C562" s="27" t="str">
        <f t="shared" si="27"/>
        <v>Tallahatchie</v>
      </c>
      <c r="D562" s="27">
        <v>17</v>
      </c>
      <c r="E562" s="27">
        <v>6</v>
      </c>
    </row>
    <row r="563" spans="1:5" x14ac:dyDescent="0.25">
      <c r="A563" s="27" t="s">
        <v>1118</v>
      </c>
      <c r="B563" s="27" t="str">
        <f t="shared" si="25"/>
        <v>Mississippi</v>
      </c>
      <c r="C563" s="27" t="str">
        <f t="shared" si="27"/>
        <v>Tate</v>
      </c>
      <c r="D563" s="27">
        <v>2</v>
      </c>
      <c r="E563" s="27">
        <v>0</v>
      </c>
    </row>
    <row r="564" spans="1:5" x14ac:dyDescent="0.25">
      <c r="A564" s="27" t="s">
        <v>1119</v>
      </c>
      <c r="B564" s="27" t="str">
        <f t="shared" si="25"/>
        <v>Mississippi</v>
      </c>
      <c r="C564" s="27" t="str">
        <f t="shared" si="27"/>
        <v>Tippah</v>
      </c>
      <c r="D564" s="27">
        <v>0</v>
      </c>
      <c r="E564" s="27">
        <v>0</v>
      </c>
    </row>
    <row r="565" spans="1:5" x14ac:dyDescent="0.25">
      <c r="A565" s="27" t="s">
        <v>1120</v>
      </c>
      <c r="B565" s="27" t="str">
        <f t="shared" si="25"/>
        <v>Mississippi</v>
      </c>
      <c r="C565" s="27" t="str">
        <f t="shared" si="27"/>
        <v>Tishomingo</v>
      </c>
      <c r="D565" s="27">
        <v>0</v>
      </c>
      <c r="E565" s="27">
        <v>0</v>
      </c>
    </row>
    <row r="566" spans="1:5" x14ac:dyDescent="0.25">
      <c r="A566" s="27" t="s">
        <v>1121</v>
      </c>
      <c r="B566" s="27" t="str">
        <f t="shared" si="25"/>
        <v>Mississippi</v>
      </c>
      <c r="C566" s="27" t="str">
        <f t="shared" si="27"/>
        <v>Tunica</v>
      </c>
      <c r="D566" s="27">
        <v>25</v>
      </c>
      <c r="E566" s="27">
        <v>9</v>
      </c>
    </row>
    <row r="567" spans="1:5" x14ac:dyDescent="0.25">
      <c r="A567" s="27" t="s">
        <v>1122</v>
      </c>
      <c r="B567" s="27" t="str">
        <f t="shared" si="25"/>
        <v>Mississippi</v>
      </c>
      <c r="C567" s="27" t="str">
        <f t="shared" si="27"/>
        <v>Union</v>
      </c>
      <c r="D567" s="27">
        <v>9</v>
      </c>
      <c r="E567" s="27">
        <v>1</v>
      </c>
    </row>
    <row r="568" spans="1:5" x14ac:dyDescent="0.25">
      <c r="A568" s="27" t="s">
        <v>1123</v>
      </c>
      <c r="B568" s="27" t="str">
        <f t="shared" si="25"/>
        <v>Mississippi</v>
      </c>
      <c r="C568" s="27" t="str">
        <f t="shared" si="27"/>
        <v>Walthall</v>
      </c>
      <c r="D568" s="27">
        <v>13</v>
      </c>
      <c r="E568" s="27">
        <v>0</v>
      </c>
    </row>
    <row r="569" spans="1:5" x14ac:dyDescent="0.25">
      <c r="A569" s="27" t="s">
        <v>1124</v>
      </c>
      <c r="B569" s="27" t="str">
        <f t="shared" si="25"/>
        <v>Mississippi</v>
      </c>
      <c r="C569" s="27" t="str">
        <f t="shared" si="27"/>
        <v>Warren</v>
      </c>
      <c r="D569" s="27">
        <v>76</v>
      </c>
      <c r="E569" s="27">
        <v>4</v>
      </c>
    </row>
    <row r="570" spans="1:5" x14ac:dyDescent="0.25">
      <c r="A570" s="27" t="s">
        <v>1125</v>
      </c>
      <c r="B570" s="27" t="str">
        <f t="shared" si="25"/>
        <v>Mississippi</v>
      </c>
      <c r="C570" s="27" t="str">
        <f t="shared" si="27"/>
        <v>Washington</v>
      </c>
      <c r="D570" s="27">
        <v>50</v>
      </c>
      <c r="E570" s="27">
        <v>7</v>
      </c>
    </row>
    <row r="571" spans="1:5" x14ac:dyDescent="0.25">
      <c r="A571" s="27" t="s">
        <v>1126</v>
      </c>
      <c r="B571" s="27" t="str">
        <f t="shared" si="25"/>
        <v>Mississippi</v>
      </c>
      <c r="C571" s="27" t="str">
        <f t="shared" si="27"/>
        <v>Wayne</v>
      </c>
      <c r="D571" s="27">
        <v>4</v>
      </c>
      <c r="E571" s="27">
        <v>2</v>
      </c>
    </row>
    <row r="572" spans="1:5" x14ac:dyDescent="0.25">
      <c r="A572" s="27" t="s">
        <v>1127</v>
      </c>
      <c r="B572" s="27" t="str">
        <f t="shared" si="25"/>
        <v>Mississippi</v>
      </c>
      <c r="C572" s="27" t="str">
        <f t="shared" si="27"/>
        <v>Webster</v>
      </c>
      <c r="D572" s="27">
        <v>0</v>
      </c>
      <c r="E572" s="27">
        <v>1</v>
      </c>
    </row>
    <row r="573" spans="1:5" x14ac:dyDescent="0.25">
      <c r="A573" s="27" t="s">
        <v>1128</v>
      </c>
      <c r="B573" s="27" t="str">
        <f t="shared" si="25"/>
        <v>Mississippi</v>
      </c>
      <c r="C573" s="27" t="str">
        <f t="shared" si="27"/>
        <v>Wilkinson</v>
      </c>
      <c r="D573" s="27">
        <v>11</v>
      </c>
      <c r="E573" s="27">
        <v>5</v>
      </c>
    </row>
    <row r="574" spans="1:5" x14ac:dyDescent="0.25">
      <c r="A574" s="27" t="s">
        <v>1129</v>
      </c>
      <c r="B574" s="27" t="str">
        <f t="shared" si="25"/>
        <v>Mississippi</v>
      </c>
      <c r="C574" s="27" t="str">
        <f t="shared" si="27"/>
        <v>Winston</v>
      </c>
      <c r="D574" s="27">
        <v>9</v>
      </c>
      <c r="E574" s="27">
        <v>4</v>
      </c>
    </row>
    <row r="575" spans="1:5" x14ac:dyDescent="0.25">
      <c r="A575" s="27" t="s">
        <v>1130</v>
      </c>
      <c r="B575" s="27" t="str">
        <f t="shared" si="25"/>
        <v>Mississippi</v>
      </c>
      <c r="C575" s="27" t="str">
        <f t="shared" si="27"/>
        <v>Yalobusha</v>
      </c>
      <c r="D575" s="27">
        <v>5</v>
      </c>
      <c r="E575" s="27">
        <v>2</v>
      </c>
    </row>
    <row r="576" spans="1:5" x14ac:dyDescent="0.25">
      <c r="A576" s="27" t="s">
        <v>1131</v>
      </c>
      <c r="B576" s="27" t="str">
        <f t="shared" si="25"/>
        <v>Mississippi</v>
      </c>
      <c r="C576" s="27" t="str">
        <f t="shared" si="27"/>
        <v>Yazoo</v>
      </c>
      <c r="D576" s="27">
        <v>17</v>
      </c>
      <c r="E576" s="27">
        <v>6</v>
      </c>
    </row>
    <row r="577" spans="1:5" x14ac:dyDescent="0.25">
      <c r="C577" s="7">
        <f>SUM(D578:D677)</f>
        <v>2317</v>
      </c>
      <c r="D577" s="7">
        <v>2317</v>
      </c>
      <c r="E577" s="27">
        <v>36</v>
      </c>
    </row>
    <row r="578" spans="1:5" x14ac:dyDescent="0.25">
      <c r="A578" s="27" t="s">
        <v>1132</v>
      </c>
      <c r="B578" s="27" t="str">
        <f t="shared" si="25"/>
        <v>North Carolina</v>
      </c>
      <c r="C578" s="27" t="str">
        <f t="shared" ref="C578:C609" si="28">MID(A578,FIND(";",A578)+1,100)</f>
        <v>Alamance</v>
      </c>
      <c r="D578" s="27">
        <v>34</v>
      </c>
      <c r="E578" s="27">
        <v>1</v>
      </c>
    </row>
    <row r="579" spans="1:5" x14ac:dyDescent="0.25">
      <c r="A579" s="27" t="s">
        <v>1133</v>
      </c>
      <c r="B579" s="27" t="str">
        <f t="shared" si="25"/>
        <v>North Carolina</v>
      </c>
      <c r="C579" s="27" t="str">
        <f t="shared" si="28"/>
        <v>Alexander</v>
      </c>
      <c r="D579" s="27">
        <v>6</v>
      </c>
      <c r="E579" s="27">
        <v>0</v>
      </c>
    </row>
    <row r="580" spans="1:5" x14ac:dyDescent="0.25">
      <c r="A580" s="27" t="s">
        <v>1134</v>
      </c>
      <c r="B580" s="27" t="str">
        <f t="shared" si="25"/>
        <v>North Carolina</v>
      </c>
      <c r="C580" s="27" t="str">
        <f t="shared" si="28"/>
        <v>Alleghany</v>
      </c>
      <c r="D580" s="27">
        <v>0</v>
      </c>
      <c r="E580" s="27">
        <v>0</v>
      </c>
    </row>
    <row r="581" spans="1:5" x14ac:dyDescent="0.25">
      <c r="A581" s="27" t="s">
        <v>1135</v>
      </c>
      <c r="B581" s="27" t="str">
        <f t="shared" si="25"/>
        <v>North Carolina</v>
      </c>
      <c r="C581" s="27" t="str">
        <f t="shared" si="28"/>
        <v>Anson</v>
      </c>
      <c r="D581" s="27">
        <v>76</v>
      </c>
      <c r="E581" s="27">
        <v>2</v>
      </c>
    </row>
    <row r="582" spans="1:5" x14ac:dyDescent="0.25">
      <c r="A582" s="27" t="s">
        <v>1136</v>
      </c>
      <c r="B582" s="27" t="str">
        <f t="shared" si="25"/>
        <v>North Carolina</v>
      </c>
      <c r="C582" s="27" t="str">
        <f t="shared" si="28"/>
        <v>Ashe</v>
      </c>
      <c r="D582" s="27">
        <v>2</v>
      </c>
      <c r="E582" s="27">
        <v>0</v>
      </c>
    </row>
    <row r="583" spans="1:5" x14ac:dyDescent="0.25">
      <c r="A583" s="27" t="s">
        <v>1137</v>
      </c>
      <c r="B583" s="27" t="str">
        <f t="shared" si="25"/>
        <v>North Carolina</v>
      </c>
      <c r="C583" s="27" t="str">
        <f t="shared" si="28"/>
        <v>Avery</v>
      </c>
      <c r="D583" s="27">
        <v>2</v>
      </c>
      <c r="E583" s="27">
        <v>0</v>
      </c>
    </row>
    <row r="584" spans="1:5" x14ac:dyDescent="0.25">
      <c r="A584" s="27" t="s">
        <v>1138</v>
      </c>
      <c r="B584" s="27" t="str">
        <f t="shared" si="25"/>
        <v>North Carolina</v>
      </c>
      <c r="C584" s="27" t="str">
        <f t="shared" si="28"/>
        <v>Beaufort</v>
      </c>
      <c r="D584" s="27">
        <v>17</v>
      </c>
      <c r="E584" s="27">
        <v>1</v>
      </c>
    </row>
    <row r="585" spans="1:5" x14ac:dyDescent="0.25">
      <c r="A585" s="27" t="s">
        <v>1139</v>
      </c>
      <c r="B585" s="27" t="str">
        <f t="shared" ref="B585:B648" si="29">LEFT(A585,FIND(";",A585)-1)</f>
        <v>North Carolina</v>
      </c>
      <c r="C585" s="27" t="str">
        <f t="shared" si="28"/>
        <v>Bertie</v>
      </c>
      <c r="D585" s="27">
        <v>46</v>
      </c>
      <c r="E585" s="27">
        <v>1</v>
      </c>
    </row>
    <row r="586" spans="1:5" x14ac:dyDescent="0.25">
      <c r="A586" s="27" t="s">
        <v>1140</v>
      </c>
      <c r="B586" s="27" t="str">
        <f t="shared" si="29"/>
        <v>North Carolina</v>
      </c>
      <c r="C586" s="27" t="str">
        <f t="shared" si="28"/>
        <v>Bladen</v>
      </c>
      <c r="D586" s="27">
        <v>20</v>
      </c>
      <c r="E586" s="27">
        <v>0</v>
      </c>
    </row>
    <row r="587" spans="1:5" x14ac:dyDescent="0.25">
      <c r="A587" s="27" t="s">
        <v>1141</v>
      </c>
      <c r="B587" s="27" t="str">
        <f t="shared" si="29"/>
        <v>North Carolina</v>
      </c>
      <c r="C587" s="27" t="str">
        <f t="shared" si="28"/>
        <v>Brunswick</v>
      </c>
      <c r="D587" s="27">
        <v>31</v>
      </c>
      <c r="E587" s="27">
        <v>0</v>
      </c>
    </row>
    <row r="588" spans="1:5" x14ac:dyDescent="0.25">
      <c r="A588" s="27" t="s">
        <v>1142</v>
      </c>
      <c r="B588" s="27" t="str">
        <f t="shared" si="29"/>
        <v>North Carolina</v>
      </c>
      <c r="C588" s="27" t="str">
        <f t="shared" si="28"/>
        <v>Buncombe</v>
      </c>
      <c r="D588" s="27">
        <v>8</v>
      </c>
      <c r="E588" s="27">
        <v>1</v>
      </c>
    </row>
    <row r="589" spans="1:5" x14ac:dyDescent="0.25">
      <c r="A589" s="27" t="s">
        <v>1143</v>
      </c>
      <c r="B589" s="27" t="str">
        <f t="shared" si="29"/>
        <v>North Carolina</v>
      </c>
      <c r="C589" s="27" t="str">
        <f t="shared" si="28"/>
        <v>Burke</v>
      </c>
      <c r="D589" s="27">
        <v>15</v>
      </c>
      <c r="E589" s="27">
        <v>0</v>
      </c>
    </row>
    <row r="590" spans="1:5" x14ac:dyDescent="0.25">
      <c r="A590" s="27" t="s">
        <v>1144</v>
      </c>
      <c r="B590" s="27" t="str">
        <f t="shared" si="29"/>
        <v>North Carolina</v>
      </c>
      <c r="C590" s="27" t="str">
        <f t="shared" si="28"/>
        <v>Cabarrus</v>
      </c>
      <c r="D590" s="27">
        <v>30</v>
      </c>
      <c r="E590" s="27">
        <v>0</v>
      </c>
    </row>
    <row r="591" spans="1:5" x14ac:dyDescent="0.25">
      <c r="A591" s="27" t="s">
        <v>1145</v>
      </c>
      <c r="B591" s="27" t="str">
        <f t="shared" si="29"/>
        <v>North Carolina</v>
      </c>
      <c r="C591" s="27" t="str">
        <f t="shared" si="28"/>
        <v>Caldwell</v>
      </c>
      <c r="D591" s="27">
        <v>0</v>
      </c>
      <c r="E591" s="27">
        <v>0</v>
      </c>
    </row>
    <row r="592" spans="1:5" x14ac:dyDescent="0.25">
      <c r="A592" s="27" t="s">
        <v>1146</v>
      </c>
      <c r="B592" s="27" t="str">
        <f t="shared" si="29"/>
        <v>North Carolina</v>
      </c>
      <c r="C592" s="27" t="str">
        <f t="shared" si="28"/>
        <v>Camden</v>
      </c>
      <c r="D592" s="27">
        <v>5</v>
      </c>
      <c r="E592" s="27">
        <v>0</v>
      </c>
    </row>
    <row r="593" spans="1:5" x14ac:dyDescent="0.25">
      <c r="A593" s="27" t="s">
        <v>1147</v>
      </c>
      <c r="B593" s="27" t="str">
        <f t="shared" si="29"/>
        <v>North Carolina</v>
      </c>
      <c r="C593" s="27" t="str">
        <f t="shared" si="28"/>
        <v>Carteret</v>
      </c>
      <c r="D593" s="27">
        <v>17</v>
      </c>
      <c r="E593" s="27">
        <v>0</v>
      </c>
    </row>
    <row r="594" spans="1:5" x14ac:dyDescent="0.25">
      <c r="A594" s="27" t="s">
        <v>1148</v>
      </c>
      <c r="B594" s="27" t="str">
        <f t="shared" si="29"/>
        <v>North Carolina</v>
      </c>
      <c r="C594" s="27" t="str">
        <f t="shared" si="28"/>
        <v>Caswell</v>
      </c>
      <c r="D594" s="27">
        <v>14</v>
      </c>
      <c r="E594" s="27">
        <v>1</v>
      </c>
    </row>
    <row r="595" spans="1:5" x14ac:dyDescent="0.25">
      <c r="A595" s="27" t="s">
        <v>1149</v>
      </c>
      <c r="B595" s="27" t="str">
        <f t="shared" si="29"/>
        <v>North Carolina</v>
      </c>
      <c r="C595" s="27" t="str">
        <f t="shared" si="28"/>
        <v>Catawba</v>
      </c>
      <c r="D595" s="27">
        <v>10</v>
      </c>
      <c r="E595" s="27">
        <v>0</v>
      </c>
    </row>
    <row r="596" spans="1:5" x14ac:dyDescent="0.25">
      <c r="A596" s="27" t="s">
        <v>1150</v>
      </c>
      <c r="B596" s="27" t="str">
        <f t="shared" si="29"/>
        <v>North Carolina</v>
      </c>
      <c r="C596" s="27" t="str">
        <f t="shared" si="28"/>
        <v>Chatham</v>
      </c>
      <c r="D596" s="27">
        <v>27</v>
      </c>
      <c r="E596" s="27">
        <v>1</v>
      </c>
    </row>
    <row r="597" spans="1:5" x14ac:dyDescent="0.25">
      <c r="A597" s="27" t="s">
        <v>1151</v>
      </c>
      <c r="B597" s="27" t="str">
        <f t="shared" si="29"/>
        <v>North Carolina</v>
      </c>
      <c r="C597" s="27" t="str">
        <f t="shared" si="28"/>
        <v>Cherokee</v>
      </c>
      <c r="D597" s="27">
        <v>2</v>
      </c>
      <c r="E597" s="27">
        <v>0</v>
      </c>
    </row>
    <row r="598" spans="1:5" x14ac:dyDescent="0.25">
      <c r="A598" s="27" t="s">
        <v>1152</v>
      </c>
      <c r="B598" s="27" t="str">
        <f t="shared" si="29"/>
        <v>North Carolina</v>
      </c>
      <c r="C598" s="27" t="str">
        <f t="shared" si="28"/>
        <v>Chowan</v>
      </c>
      <c r="D598" s="27">
        <v>22</v>
      </c>
      <c r="E598" s="27">
        <v>0</v>
      </c>
    </row>
    <row r="599" spans="1:5" x14ac:dyDescent="0.25">
      <c r="A599" s="27" t="s">
        <v>1153</v>
      </c>
      <c r="B599" s="27" t="str">
        <f t="shared" si="29"/>
        <v>North Carolina</v>
      </c>
      <c r="C599" s="27" t="str">
        <f t="shared" si="28"/>
        <v>Clay</v>
      </c>
      <c r="D599" s="27">
        <v>1</v>
      </c>
      <c r="E599" s="27">
        <v>0</v>
      </c>
    </row>
    <row r="600" spans="1:5" x14ac:dyDescent="0.25">
      <c r="A600" s="27" t="s">
        <v>1154</v>
      </c>
      <c r="B600" s="27" t="str">
        <f t="shared" si="29"/>
        <v>North Carolina</v>
      </c>
      <c r="C600" s="27" t="str">
        <f t="shared" si="28"/>
        <v>Cleveland</v>
      </c>
      <c r="D600" s="27">
        <v>41</v>
      </c>
      <c r="E600" s="27">
        <v>0</v>
      </c>
    </row>
    <row r="601" spans="1:5" x14ac:dyDescent="0.25">
      <c r="A601" s="27" t="s">
        <v>1155</v>
      </c>
      <c r="B601" s="27" t="str">
        <f t="shared" si="29"/>
        <v>North Carolina</v>
      </c>
      <c r="C601" s="27" t="str">
        <f t="shared" si="28"/>
        <v>Columbus</v>
      </c>
      <c r="D601" s="27">
        <v>38</v>
      </c>
      <c r="E601" s="27">
        <v>0</v>
      </c>
    </row>
    <row r="602" spans="1:5" x14ac:dyDescent="0.25">
      <c r="A602" s="27" t="s">
        <v>1156</v>
      </c>
      <c r="B602" s="27" t="str">
        <f t="shared" si="29"/>
        <v>North Carolina</v>
      </c>
      <c r="C602" s="27" t="str">
        <f t="shared" si="28"/>
        <v>Craven</v>
      </c>
      <c r="D602" s="27">
        <v>25</v>
      </c>
      <c r="E602" s="27">
        <v>1</v>
      </c>
    </row>
    <row r="603" spans="1:5" x14ac:dyDescent="0.25">
      <c r="A603" s="27" t="s">
        <v>1157</v>
      </c>
      <c r="B603" s="27" t="str">
        <f t="shared" si="29"/>
        <v>North Carolina</v>
      </c>
      <c r="C603" s="27" t="str">
        <f t="shared" si="28"/>
        <v>Cumberland</v>
      </c>
      <c r="D603" s="27">
        <v>19</v>
      </c>
      <c r="E603" s="27">
        <v>0</v>
      </c>
    </row>
    <row r="604" spans="1:5" x14ac:dyDescent="0.25">
      <c r="A604" s="27" t="s">
        <v>1158</v>
      </c>
      <c r="B604" s="27" t="str">
        <f t="shared" si="29"/>
        <v>North Carolina</v>
      </c>
      <c r="C604" s="27" t="str">
        <f t="shared" si="28"/>
        <v>Currituck</v>
      </c>
      <c r="D604" s="27">
        <v>7</v>
      </c>
      <c r="E604" s="27">
        <v>0</v>
      </c>
    </row>
    <row r="605" spans="1:5" x14ac:dyDescent="0.25">
      <c r="A605" s="27" t="s">
        <v>1159</v>
      </c>
      <c r="B605" s="27" t="str">
        <f t="shared" si="29"/>
        <v>North Carolina</v>
      </c>
      <c r="C605" s="27" t="str">
        <f t="shared" si="28"/>
        <v>Dare</v>
      </c>
      <c r="D605" s="27">
        <v>5</v>
      </c>
      <c r="E605" s="27">
        <v>0</v>
      </c>
    </row>
    <row r="606" spans="1:5" x14ac:dyDescent="0.25">
      <c r="A606" s="27" t="s">
        <v>1160</v>
      </c>
      <c r="B606" s="27" t="str">
        <f t="shared" si="29"/>
        <v>North Carolina</v>
      </c>
      <c r="C606" s="27" t="str">
        <f t="shared" si="28"/>
        <v>Davidson</v>
      </c>
      <c r="D606" s="27">
        <v>9</v>
      </c>
      <c r="E606" s="27">
        <v>0</v>
      </c>
    </row>
    <row r="607" spans="1:5" x14ac:dyDescent="0.25">
      <c r="A607" s="27" t="s">
        <v>1161</v>
      </c>
      <c r="B607" s="27" t="str">
        <f t="shared" si="29"/>
        <v>North Carolina</v>
      </c>
      <c r="C607" s="27" t="str">
        <f t="shared" si="28"/>
        <v>Davie</v>
      </c>
      <c r="D607" s="27">
        <v>8</v>
      </c>
      <c r="E607" s="27">
        <v>0</v>
      </c>
    </row>
    <row r="608" spans="1:5" x14ac:dyDescent="0.25">
      <c r="A608" s="27" t="s">
        <v>1162</v>
      </c>
      <c r="B608" s="27" t="str">
        <f t="shared" si="29"/>
        <v>North Carolina</v>
      </c>
      <c r="C608" s="27" t="str">
        <f t="shared" si="28"/>
        <v>Duplin</v>
      </c>
      <c r="D608" s="27">
        <v>24</v>
      </c>
      <c r="E608" s="27">
        <v>0</v>
      </c>
    </row>
    <row r="609" spans="1:5" x14ac:dyDescent="0.25">
      <c r="A609" s="27" t="s">
        <v>1163</v>
      </c>
      <c r="B609" s="27" t="str">
        <f t="shared" si="29"/>
        <v>North Carolina</v>
      </c>
      <c r="C609" s="27" t="str">
        <f t="shared" si="28"/>
        <v>Durham</v>
      </c>
      <c r="D609" s="27">
        <v>45</v>
      </c>
      <c r="E609" s="27">
        <v>0</v>
      </c>
    </row>
    <row r="610" spans="1:5" x14ac:dyDescent="0.25">
      <c r="A610" s="27" t="s">
        <v>1164</v>
      </c>
      <c r="B610" s="27" t="str">
        <f t="shared" si="29"/>
        <v>North Carolina</v>
      </c>
      <c r="C610" s="27" t="str">
        <f t="shared" ref="C610:C641" si="30">MID(A610,FIND(";",A610)+1,100)</f>
        <v>Edgecombe</v>
      </c>
      <c r="D610" s="27">
        <v>66</v>
      </c>
      <c r="E610" s="27">
        <v>1</v>
      </c>
    </row>
    <row r="611" spans="1:5" x14ac:dyDescent="0.25">
      <c r="A611" s="27" t="s">
        <v>1165</v>
      </c>
      <c r="B611" s="27" t="str">
        <f t="shared" si="29"/>
        <v>North Carolina</v>
      </c>
      <c r="C611" s="27" t="str">
        <f t="shared" si="30"/>
        <v>Forsyth</v>
      </c>
      <c r="D611" s="27">
        <v>8</v>
      </c>
      <c r="E611" s="27">
        <v>0</v>
      </c>
    </row>
    <row r="612" spans="1:5" x14ac:dyDescent="0.25">
      <c r="A612" s="27" t="s">
        <v>1166</v>
      </c>
      <c r="B612" s="27" t="str">
        <f t="shared" si="29"/>
        <v>North Carolina</v>
      </c>
      <c r="C612" s="27" t="str">
        <f t="shared" si="30"/>
        <v>Franklin</v>
      </c>
      <c r="D612" s="27">
        <v>45</v>
      </c>
      <c r="E612" s="27">
        <v>1</v>
      </c>
    </row>
    <row r="613" spans="1:5" x14ac:dyDescent="0.25">
      <c r="A613" s="27" t="s">
        <v>1167</v>
      </c>
      <c r="B613" s="27" t="str">
        <f t="shared" si="29"/>
        <v>North Carolina</v>
      </c>
      <c r="C613" s="27" t="str">
        <f t="shared" si="30"/>
        <v>Gaston</v>
      </c>
      <c r="D613" s="27">
        <v>55</v>
      </c>
      <c r="E613" s="27">
        <v>0</v>
      </c>
    </row>
    <row r="614" spans="1:5" x14ac:dyDescent="0.25">
      <c r="A614" s="27" t="s">
        <v>1168</v>
      </c>
      <c r="B614" s="27" t="str">
        <f t="shared" si="29"/>
        <v>North Carolina</v>
      </c>
      <c r="C614" s="27" t="str">
        <f t="shared" si="30"/>
        <v>Gates</v>
      </c>
      <c r="D614" s="27">
        <v>14</v>
      </c>
      <c r="E614" s="27">
        <v>0</v>
      </c>
    </row>
    <row r="615" spans="1:5" x14ac:dyDescent="0.25">
      <c r="A615" s="27" t="s">
        <v>1169</v>
      </c>
      <c r="B615" s="27" t="str">
        <f t="shared" si="29"/>
        <v>North Carolina</v>
      </c>
      <c r="C615" s="27" t="str">
        <f t="shared" si="30"/>
        <v>Graham</v>
      </c>
      <c r="D615" s="27">
        <v>0</v>
      </c>
      <c r="E615" s="27">
        <v>0</v>
      </c>
    </row>
    <row r="616" spans="1:5" x14ac:dyDescent="0.25">
      <c r="A616" s="27" t="s">
        <v>1170</v>
      </c>
      <c r="B616" s="27" t="str">
        <f t="shared" si="29"/>
        <v>North Carolina</v>
      </c>
      <c r="C616" s="27" t="str">
        <f t="shared" si="30"/>
        <v>Granville</v>
      </c>
      <c r="D616" s="27">
        <v>0</v>
      </c>
      <c r="E616" s="27">
        <v>0</v>
      </c>
    </row>
    <row r="617" spans="1:5" x14ac:dyDescent="0.25">
      <c r="A617" s="27" t="s">
        <v>1171</v>
      </c>
      <c r="B617" s="27" t="str">
        <f t="shared" si="29"/>
        <v>North Carolina</v>
      </c>
      <c r="C617" s="27" t="str">
        <f t="shared" si="30"/>
        <v>Greene</v>
      </c>
      <c r="D617" s="27">
        <v>10</v>
      </c>
      <c r="E617" s="27">
        <v>0</v>
      </c>
    </row>
    <row r="618" spans="1:5" x14ac:dyDescent="0.25">
      <c r="A618" s="27" t="s">
        <v>1172</v>
      </c>
      <c r="B618" s="27" t="str">
        <f t="shared" si="29"/>
        <v>North Carolina</v>
      </c>
      <c r="C618" s="27" t="str">
        <f t="shared" si="30"/>
        <v>Guilford</v>
      </c>
      <c r="D618" s="27">
        <v>50</v>
      </c>
      <c r="E618" s="27">
        <v>1</v>
      </c>
    </row>
    <row r="619" spans="1:5" x14ac:dyDescent="0.25">
      <c r="A619" s="27" t="s">
        <v>1173</v>
      </c>
      <c r="B619" s="27" t="str">
        <f t="shared" si="29"/>
        <v>North Carolina</v>
      </c>
      <c r="C619" s="27" t="str">
        <f t="shared" si="30"/>
        <v>Halifax</v>
      </c>
      <c r="D619" s="27">
        <v>115</v>
      </c>
      <c r="E619" s="27">
        <v>0</v>
      </c>
    </row>
    <row r="620" spans="1:5" x14ac:dyDescent="0.25">
      <c r="A620" s="27" t="s">
        <v>1174</v>
      </c>
      <c r="B620" s="27" t="str">
        <f t="shared" si="29"/>
        <v>North Carolina</v>
      </c>
      <c r="C620" s="27" t="str">
        <f t="shared" si="30"/>
        <v>Harnett</v>
      </c>
      <c r="D620" s="27">
        <v>70</v>
      </c>
      <c r="E620" s="27">
        <v>0</v>
      </c>
    </row>
    <row r="621" spans="1:5" x14ac:dyDescent="0.25">
      <c r="A621" s="27" t="s">
        <v>1175</v>
      </c>
      <c r="B621" s="27" t="str">
        <f t="shared" si="29"/>
        <v>North Carolina</v>
      </c>
      <c r="C621" s="27" t="str">
        <f t="shared" si="30"/>
        <v>Haywood</v>
      </c>
      <c r="D621" s="27">
        <v>4</v>
      </c>
      <c r="E621" s="27">
        <v>1</v>
      </c>
    </row>
    <row r="622" spans="1:5" x14ac:dyDescent="0.25">
      <c r="A622" s="27" t="s">
        <v>1176</v>
      </c>
      <c r="B622" s="27" t="str">
        <f t="shared" si="29"/>
        <v>North Carolina</v>
      </c>
      <c r="C622" s="27" t="str">
        <f t="shared" si="30"/>
        <v>Henderson</v>
      </c>
      <c r="D622" s="27">
        <v>3</v>
      </c>
      <c r="E622" s="27">
        <v>0</v>
      </c>
    </row>
    <row r="623" spans="1:5" x14ac:dyDescent="0.25">
      <c r="A623" s="27" t="s">
        <v>1177</v>
      </c>
      <c r="B623" s="27" t="str">
        <f t="shared" si="29"/>
        <v>North Carolina</v>
      </c>
      <c r="C623" s="27" t="str">
        <f t="shared" si="30"/>
        <v>Hertford</v>
      </c>
      <c r="D623" s="27">
        <v>26</v>
      </c>
      <c r="E623" s="27">
        <v>0</v>
      </c>
    </row>
    <row r="624" spans="1:5" x14ac:dyDescent="0.25">
      <c r="A624" s="27" t="s">
        <v>1178</v>
      </c>
      <c r="B624" s="27" t="str">
        <f t="shared" si="29"/>
        <v>North Carolina</v>
      </c>
      <c r="C624" s="27" t="str">
        <f t="shared" si="30"/>
        <v>Hoke</v>
      </c>
      <c r="D624" s="27">
        <v>11</v>
      </c>
      <c r="E624" s="27">
        <v>0</v>
      </c>
    </row>
    <row r="625" spans="1:5" x14ac:dyDescent="0.25">
      <c r="A625" s="27" t="s">
        <v>1179</v>
      </c>
      <c r="B625" s="27" t="str">
        <f t="shared" si="29"/>
        <v>North Carolina</v>
      </c>
      <c r="C625" s="27" t="str">
        <f t="shared" si="30"/>
        <v>Hyde</v>
      </c>
      <c r="D625" s="27">
        <v>9</v>
      </c>
      <c r="E625" s="27">
        <v>0</v>
      </c>
    </row>
    <row r="626" spans="1:5" x14ac:dyDescent="0.25">
      <c r="A626" s="27" t="s">
        <v>1180</v>
      </c>
      <c r="B626" s="27" t="str">
        <f t="shared" si="29"/>
        <v>North Carolina</v>
      </c>
      <c r="C626" s="27" t="str">
        <f t="shared" si="30"/>
        <v>Iredell</v>
      </c>
      <c r="D626" s="27">
        <v>23</v>
      </c>
      <c r="E626" s="27">
        <v>0</v>
      </c>
    </row>
    <row r="627" spans="1:5" x14ac:dyDescent="0.25">
      <c r="A627" s="27" t="s">
        <v>1181</v>
      </c>
      <c r="B627" s="27" t="str">
        <f t="shared" si="29"/>
        <v>North Carolina</v>
      </c>
      <c r="C627" s="27" t="str">
        <f t="shared" si="30"/>
        <v>Jackson</v>
      </c>
      <c r="D627" s="27">
        <v>5</v>
      </c>
      <c r="E627" s="27">
        <v>0</v>
      </c>
    </row>
    <row r="628" spans="1:5" x14ac:dyDescent="0.25">
      <c r="A628" s="27" t="s">
        <v>1182</v>
      </c>
      <c r="B628" s="27" t="str">
        <f t="shared" si="29"/>
        <v>North Carolina</v>
      </c>
      <c r="C628" s="27" t="str">
        <f t="shared" si="30"/>
        <v>Johnston</v>
      </c>
      <c r="D628" s="27">
        <v>49</v>
      </c>
      <c r="E628" s="27">
        <v>1</v>
      </c>
    </row>
    <row r="629" spans="1:5" x14ac:dyDescent="0.25">
      <c r="A629" s="27" t="s">
        <v>1183</v>
      </c>
      <c r="B629" s="27" t="str">
        <f t="shared" si="29"/>
        <v>North Carolina</v>
      </c>
      <c r="C629" s="27" t="str">
        <f t="shared" si="30"/>
        <v>Jones</v>
      </c>
      <c r="D629" s="27">
        <v>11</v>
      </c>
      <c r="E629" s="27">
        <v>0</v>
      </c>
    </row>
    <row r="630" spans="1:5" x14ac:dyDescent="0.25">
      <c r="A630" s="27" t="s">
        <v>1184</v>
      </c>
      <c r="B630" s="27" t="str">
        <f t="shared" si="29"/>
        <v>North Carolina</v>
      </c>
      <c r="C630" s="27" t="str">
        <f t="shared" si="30"/>
        <v>Lee</v>
      </c>
      <c r="D630" s="27">
        <v>16</v>
      </c>
      <c r="E630" s="27">
        <v>0</v>
      </c>
    </row>
    <row r="631" spans="1:5" x14ac:dyDescent="0.25">
      <c r="A631" s="27" t="s">
        <v>1185</v>
      </c>
      <c r="B631" s="27" t="str">
        <f t="shared" si="29"/>
        <v>North Carolina</v>
      </c>
      <c r="C631" s="27" t="str">
        <f t="shared" si="30"/>
        <v>Lenoir</v>
      </c>
      <c r="D631" s="27">
        <v>26</v>
      </c>
      <c r="E631" s="27">
        <v>2</v>
      </c>
    </row>
    <row r="632" spans="1:5" x14ac:dyDescent="0.25">
      <c r="A632" s="27" t="s">
        <v>1186</v>
      </c>
      <c r="B632" s="27" t="str">
        <f t="shared" si="29"/>
        <v>North Carolina</v>
      </c>
      <c r="C632" s="27" t="str">
        <f t="shared" si="30"/>
        <v>Lincoln</v>
      </c>
      <c r="D632" s="27">
        <v>14</v>
      </c>
      <c r="E632" s="27">
        <v>0</v>
      </c>
    </row>
    <row r="633" spans="1:5" x14ac:dyDescent="0.25">
      <c r="A633" s="27" t="s">
        <v>1187</v>
      </c>
      <c r="B633" s="27" t="str">
        <f t="shared" si="29"/>
        <v>North Carolina</v>
      </c>
      <c r="C633" s="27" t="str">
        <f t="shared" si="30"/>
        <v>McDowell</v>
      </c>
      <c r="D633" s="27">
        <v>19</v>
      </c>
      <c r="E633" s="27">
        <v>0</v>
      </c>
    </row>
    <row r="634" spans="1:5" x14ac:dyDescent="0.25">
      <c r="A634" s="27" t="s">
        <v>1188</v>
      </c>
      <c r="B634" s="27" t="str">
        <f t="shared" si="29"/>
        <v>North Carolina</v>
      </c>
      <c r="C634" s="27" t="str">
        <f t="shared" si="30"/>
        <v>Macon</v>
      </c>
      <c r="D634" s="27">
        <v>2</v>
      </c>
      <c r="E634" s="27">
        <v>0</v>
      </c>
    </row>
    <row r="635" spans="1:5" x14ac:dyDescent="0.25">
      <c r="A635" s="27" t="s">
        <v>1189</v>
      </c>
      <c r="B635" s="27" t="str">
        <f t="shared" si="29"/>
        <v>North Carolina</v>
      </c>
      <c r="C635" s="27" t="str">
        <f t="shared" si="30"/>
        <v>Madison</v>
      </c>
      <c r="D635" s="27">
        <v>2</v>
      </c>
      <c r="E635" s="27">
        <v>0</v>
      </c>
    </row>
    <row r="636" spans="1:5" x14ac:dyDescent="0.25">
      <c r="A636" s="27" t="s">
        <v>1190</v>
      </c>
      <c r="B636" s="27" t="str">
        <f t="shared" si="29"/>
        <v>North Carolina</v>
      </c>
      <c r="C636" s="27" t="str">
        <f t="shared" si="30"/>
        <v>Martin</v>
      </c>
      <c r="D636" s="27">
        <v>34</v>
      </c>
      <c r="E636" s="27">
        <v>0</v>
      </c>
    </row>
    <row r="637" spans="1:5" x14ac:dyDescent="0.25">
      <c r="A637" s="27" t="s">
        <v>1191</v>
      </c>
      <c r="B637" s="27" t="str">
        <f t="shared" si="29"/>
        <v>North Carolina</v>
      </c>
      <c r="C637" s="27" t="str">
        <f t="shared" si="30"/>
        <v>Mecklenburg</v>
      </c>
      <c r="D637" s="27">
        <v>64</v>
      </c>
      <c r="E637" s="27">
        <v>3</v>
      </c>
    </row>
    <row r="638" spans="1:5" x14ac:dyDescent="0.25">
      <c r="A638" s="27" t="s">
        <v>1192</v>
      </c>
      <c r="B638" s="27" t="str">
        <f t="shared" si="29"/>
        <v>North Carolina</v>
      </c>
      <c r="C638" s="27" t="str">
        <f t="shared" si="30"/>
        <v>Mitchell</v>
      </c>
      <c r="D638" s="27">
        <v>0</v>
      </c>
      <c r="E638" s="27">
        <v>0</v>
      </c>
    </row>
    <row r="639" spans="1:5" x14ac:dyDescent="0.25">
      <c r="A639" s="27" t="s">
        <v>1193</v>
      </c>
      <c r="B639" s="27" t="str">
        <f t="shared" si="29"/>
        <v>North Carolina</v>
      </c>
      <c r="C639" s="27" t="str">
        <f t="shared" si="30"/>
        <v>Montgomery</v>
      </c>
      <c r="D639" s="27">
        <v>29</v>
      </c>
      <c r="E639" s="27">
        <v>0</v>
      </c>
    </row>
    <row r="640" spans="1:5" x14ac:dyDescent="0.25">
      <c r="A640" s="27" t="s">
        <v>1194</v>
      </c>
      <c r="B640" s="27" t="str">
        <f t="shared" si="29"/>
        <v>North Carolina</v>
      </c>
      <c r="C640" s="27" t="str">
        <f t="shared" si="30"/>
        <v>Moore</v>
      </c>
      <c r="D640" s="27">
        <v>46</v>
      </c>
      <c r="E640" s="27">
        <v>2</v>
      </c>
    </row>
    <row r="641" spans="1:5" x14ac:dyDescent="0.25">
      <c r="A641" s="27" t="s">
        <v>1195</v>
      </c>
      <c r="B641" s="27" t="str">
        <f t="shared" si="29"/>
        <v>North Carolina</v>
      </c>
      <c r="C641" s="27" t="str">
        <f t="shared" si="30"/>
        <v>Nash</v>
      </c>
      <c r="D641" s="27">
        <v>62</v>
      </c>
      <c r="E641" s="27">
        <v>0</v>
      </c>
    </row>
    <row r="642" spans="1:5" x14ac:dyDescent="0.25">
      <c r="A642" s="27" t="s">
        <v>1196</v>
      </c>
      <c r="B642" s="27" t="str">
        <f t="shared" si="29"/>
        <v>North Carolina</v>
      </c>
      <c r="C642" s="27" t="str">
        <f t="shared" ref="C642:C677" si="31">MID(A642,FIND(";",A642)+1,100)</f>
        <v>New Hanover</v>
      </c>
      <c r="D642" s="27">
        <v>26</v>
      </c>
      <c r="E642" s="27">
        <v>0</v>
      </c>
    </row>
    <row r="643" spans="1:5" x14ac:dyDescent="0.25">
      <c r="A643" s="27" t="s">
        <v>1197</v>
      </c>
      <c r="B643" s="27" t="str">
        <f t="shared" si="29"/>
        <v>North Carolina</v>
      </c>
      <c r="C643" s="27" t="str">
        <f t="shared" si="31"/>
        <v>Northampton</v>
      </c>
      <c r="D643" s="27">
        <v>71</v>
      </c>
      <c r="E643" s="27">
        <v>1</v>
      </c>
    </row>
    <row r="644" spans="1:5" x14ac:dyDescent="0.25">
      <c r="A644" s="27" t="s">
        <v>1754</v>
      </c>
      <c r="B644" s="27" t="str">
        <f t="shared" si="29"/>
        <v>North Carolina</v>
      </c>
      <c r="C644" s="27" t="str">
        <f t="shared" si="31"/>
        <v>Onslow</v>
      </c>
      <c r="D644" s="27">
        <v>2</v>
      </c>
      <c r="E644" s="27">
        <v>2</v>
      </c>
    </row>
    <row r="645" spans="1:5" x14ac:dyDescent="0.25">
      <c r="A645" s="27" t="s">
        <v>1198</v>
      </c>
      <c r="B645" s="27" t="str">
        <f t="shared" si="29"/>
        <v>North Carolina</v>
      </c>
      <c r="C645" s="27" t="str">
        <f t="shared" si="31"/>
        <v>Orange</v>
      </c>
      <c r="D645" s="27">
        <v>14</v>
      </c>
      <c r="E645" s="27">
        <v>0</v>
      </c>
    </row>
    <row r="646" spans="1:5" x14ac:dyDescent="0.25">
      <c r="A646" s="27" t="s">
        <v>1199</v>
      </c>
      <c r="B646" s="27" t="str">
        <f t="shared" si="29"/>
        <v>North Carolina</v>
      </c>
      <c r="C646" s="27" t="str">
        <f t="shared" si="31"/>
        <v>Pamlico</v>
      </c>
      <c r="D646" s="27">
        <v>3</v>
      </c>
      <c r="E646" s="27">
        <v>0</v>
      </c>
    </row>
    <row r="647" spans="1:5" x14ac:dyDescent="0.25">
      <c r="A647" s="27" t="s">
        <v>1200</v>
      </c>
      <c r="B647" s="27" t="str">
        <f t="shared" si="29"/>
        <v>North Carolina</v>
      </c>
      <c r="C647" s="27" t="str">
        <f t="shared" si="31"/>
        <v>Pasquotank</v>
      </c>
      <c r="D647" s="27">
        <v>18</v>
      </c>
      <c r="E647" s="27">
        <v>0</v>
      </c>
    </row>
    <row r="648" spans="1:5" x14ac:dyDescent="0.25">
      <c r="A648" s="27" t="s">
        <v>1201</v>
      </c>
      <c r="B648" s="27" t="str">
        <f t="shared" si="29"/>
        <v>North Carolina</v>
      </c>
      <c r="C648" s="27" t="str">
        <f t="shared" si="31"/>
        <v>Pender</v>
      </c>
      <c r="D648" s="27">
        <v>26</v>
      </c>
      <c r="E648" s="27">
        <v>0</v>
      </c>
    </row>
    <row r="649" spans="1:5" x14ac:dyDescent="0.25">
      <c r="A649" s="27" t="s">
        <v>1202</v>
      </c>
      <c r="B649" s="27" t="str">
        <f t="shared" ref="B649:B713" si="32">LEFT(A649,FIND(";",A649)-1)</f>
        <v>North Carolina</v>
      </c>
      <c r="C649" s="27" t="str">
        <f t="shared" si="31"/>
        <v>Perquimans</v>
      </c>
      <c r="D649" s="27">
        <v>10</v>
      </c>
      <c r="E649" s="27">
        <v>0</v>
      </c>
    </row>
    <row r="650" spans="1:5" x14ac:dyDescent="0.25">
      <c r="A650" s="27" t="s">
        <v>1203</v>
      </c>
      <c r="B650" s="27" t="str">
        <f t="shared" si="32"/>
        <v>North Carolina</v>
      </c>
      <c r="C650" s="27" t="str">
        <f t="shared" si="31"/>
        <v>Person</v>
      </c>
      <c r="D650" s="27">
        <v>29</v>
      </c>
      <c r="E650" s="27">
        <v>1</v>
      </c>
    </row>
    <row r="651" spans="1:5" x14ac:dyDescent="0.25">
      <c r="A651" s="27" t="s">
        <v>1204</v>
      </c>
      <c r="B651" s="27" t="str">
        <f t="shared" si="32"/>
        <v>North Carolina</v>
      </c>
      <c r="C651" s="27" t="str">
        <f t="shared" si="31"/>
        <v>Pitt</v>
      </c>
      <c r="D651" s="27">
        <v>42</v>
      </c>
      <c r="E651" s="27">
        <v>0</v>
      </c>
    </row>
    <row r="652" spans="1:5" x14ac:dyDescent="0.25">
      <c r="A652" s="27" t="s">
        <v>1205</v>
      </c>
      <c r="B652" s="27" t="str">
        <f t="shared" si="32"/>
        <v>North Carolina</v>
      </c>
      <c r="C652" s="27" t="str">
        <f t="shared" si="31"/>
        <v>Polk</v>
      </c>
      <c r="D652" s="27">
        <v>11</v>
      </c>
      <c r="E652" s="27">
        <v>0</v>
      </c>
    </row>
    <row r="653" spans="1:5" x14ac:dyDescent="0.25">
      <c r="A653" s="27" t="s">
        <v>1206</v>
      </c>
      <c r="B653" s="27" t="str">
        <f t="shared" si="32"/>
        <v>North Carolina</v>
      </c>
      <c r="C653" s="27" t="str">
        <f t="shared" si="31"/>
        <v>Randolph</v>
      </c>
      <c r="D653" s="27">
        <v>22</v>
      </c>
      <c r="E653" s="27">
        <v>0</v>
      </c>
    </row>
    <row r="654" spans="1:5" x14ac:dyDescent="0.25">
      <c r="A654" s="27" t="s">
        <v>1207</v>
      </c>
      <c r="B654" s="27" t="str">
        <f t="shared" si="32"/>
        <v>North Carolina</v>
      </c>
      <c r="C654" s="27" t="str">
        <f t="shared" si="31"/>
        <v>Richmond</v>
      </c>
      <c r="D654" s="27">
        <v>61</v>
      </c>
      <c r="E654" s="27">
        <v>0</v>
      </c>
    </row>
    <row r="655" spans="1:5" x14ac:dyDescent="0.25">
      <c r="A655" s="27" t="s">
        <v>1208</v>
      </c>
      <c r="B655" s="27" t="str">
        <f t="shared" si="32"/>
        <v>North Carolina</v>
      </c>
      <c r="C655" s="27" t="str">
        <f t="shared" si="31"/>
        <v>Robeson</v>
      </c>
      <c r="D655" s="27">
        <v>52</v>
      </c>
      <c r="E655" s="27">
        <v>0</v>
      </c>
    </row>
    <row r="656" spans="1:5" x14ac:dyDescent="0.25">
      <c r="A656" s="27" t="s">
        <v>1209</v>
      </c>
      <c r="B656" s="27" t="str">
        <f t="shared" si="32"/>
        <v>North Carolina</v>
      </c>
      <c r="C656" s="27" t="str">
        <f t="shared" si="31"/>
        <v>Rockingham</v>
      </c>
      <c r="D656" s="27">
        <v>30</v>
      </c>
      <c r="E656" s="27">
        <v>0</v>
      </c>
    </row>
    <row r="657" spans="1:5" x14ac:dyDescent="0.25">
      <c r="A657" s="27" t="s">
        <v>1210</v>
      </c>
      <c r="B657" s="27" t="str">
        <f t="shared" si="32"/>
        <v>North Carolina</v>
      </c>
      <c r="C657" s="27" t="str">
        <f t="shared" si="31"/>
        <v>Rowan</v>
      </c>
      <c r="D657" s="27">
        <v>27</v>
      </c>
      <c r="E657" s="27">
        <v>3</v>
      </c>
    </row>
    <row r="658" spans="1:5" x14ac:dyDescent="0.25">
      <c r="A658" s="27" t="s">
        <v>1755</v>
      </c>
      <c r="B658" s="27" t="str">
        <f t="shared" si="32"/>
        <v>North Carolina</v>
      </c>
      <c r="C658" s="27" t="str">
        <f t="shared" si="31"/>
        <v>Rutherford</v>
      </c>
      <c r="D658" s="27">
        <v>5</v>
      </c>
      <c r="E658" s="27">
        <v>1</v>
      </c>
    </row>
    <row r="659" spans="1:5" x14ac:dyDescent="0.25">
      <c r="A659" s="27" t="s">
        <v>1211</v>
      </c>
      <c r="B659" s="27" t="str">
        <f t="shared" si="32"/>
        <v>North Carolina</v>
      </c>
      <c r="C659" s="27" t="str">
        <f t="shared" si="31"/>
        <v>Sampson</v>
      </c>
      <c r="D659" s="27">
        <v>21</v>
      </c>
      <c r="E659" s="27">
        <v>0</v>
      </c>
    </row>
    <row r="660" spans="1:5" x14ac:dyDescent="0.25">
      <c r="A660" s="27" t="s">
        <v>1212</v>
      </c>
      <c r="B660" s="27" t="str">
        <f t="shared" si="32"/>
        <v>North Carolina</v>
      </c>
      <c r="C660" s="27" t="str">
        <f t="shared" si="31"/>
        <v>Scotland</v>
      </c>
      <c r="D660" s="27">
        <v>36</v>
      </c>
      <c r="E660" s="27">
        <v>0</v>
      </c>
    </row>
    <row r="661" spans="1:5" x14ac:dyDescent="0.25">
      <c r="A661" s="27" t="s">
        <v>1213</v>
      </c>
      <c r="B661" s="27" t="str">
        <f t="shared" si="32"/>
        <v>North Carolina</v>
      </c>
      <c r="C661" s="27" t="str">
        <f t="shared" si="31"/>
        <v>Stanly</v>
      </c>
      <c r="D661" s="27">
        <v>17</v>
      </c>
      <c r="E661" s="27">
        <v>0</v>
      </c>
    </row>
    <row r="662" spans="1:5" x14ac:dyDescent="0.25">
      <c r="A662" s="27" t="s">
        <v>1214</v>
      </c>
      <c r="B662" s="27" t="str">
        <f t="shared" si="32"/>
        <v>North Carolina</v>
      </c>
      <c r="C662" s="27" t="str">
        <f t="shared" si="31"/>
        <v>Stokes</v>
      </c>
      <c r="D662" s="27">
        <v>4</v>
      </c>
      <c r="E662" s="27">
        <v>0</v>
      </c>
    </row>
    <row r="663" spans="1:5" x14ac:dyDescent="0.25">
      <c r="A663" s="27" t="s">
        <v>1215</v>
      </c>
      <c r="B663" s="27" t="str">
        <f t="shared" si="32"/>
        <v>North Carolina</v>
      </c>
      <c r="C663" s="27" t="str">
        <f t="shared" si="31"/>
        <v>Surry</v>
      </c>
      <c r="D663" s="27">
        <v>12</v>
      </c>
      <c r="E663" s="27">
        <v>0</v>
      </c>
    </row>
    <row r="664" spans="1:5" x14ac:dyDescent="0.25">
      <c r="A664" s="27" t="s">
        <v>1216</v>
      </c>
      <c r="B664" s="27" t="str">
        <f t="shared" si="32"/>
        <v>North Carolina</v>
      </c>
      <c r="C664" s="27" t="str">
        <f t="shared" si="31"/>
        <v>Swain</v>
      </c>
      <c r="D664" s="27">
        <v>1</v>
      </c>
      <c r="E664" s="27">
        <v>0</v>
      </c>
    </row>
    <row r="665" spans="1:5" x14ac:dyDescent="0.25">
      <c r="A665" s="27" t="s">
        <v>1217</v>
      </c>
      <c r="B665" s="27" t="str">
        <f t="shared" si="32"/>
        <v>North Carolina</v>
      </c>
      <c r="C665" s="27" t="str">
        <f t="shared" si="31"/>
        <v>Transylvania</v>
      </c>
      <c r="D665" s="27">
        <v>0</v>
      </c>
      <c r="E665" s="27">
        <v>0</v>
      </c>
    </row>
    <row r="666" spans="1:5" x14ac:dyDescent="0.25">
      <c r="A666" s="27" t="s">
        <v>1218</v>
      </c>
      <c r="B666" s="27" t="str">
        <f t="shared" si="32"/>
        <v>North Carolina</v>
      </c>
      <c r="C666" s="27" t="str">
        <f t="shared" si="31"/>
        <v>Tyrrell</v>
      </c>
      <c r="D666" s="27">
        <v>4</v>
      </c>
      <c r="E666" s="27">
        <v>0</v>
      </c>
    </row>
    <row r="667" spans="1:5" x14ac:dyDescent="0.25">
      <c r="A667" s="27" t="s">
        <v>1219</v>
      </c>
      <c r="B667" s="27" t="str">
        <f t="shared" si="32"/>
        <v>North Carolina</v>
      </c>
      <c r="C667" s="27" t="str">
        <f t="shared" si="31"/>
        <v>Union</v>
      </c>
      <c r="D667" s="27">
        <v>32</v>
      </c>
      <c r="E667" s="27">
        <v>0</v>
      </c>
    </row>
    <row r="668" spans="1:5" x14ac:dyDescent="0.25">
      <c r="A668" s="27" t="s">
        <v>1220</v>
      </c>
      <c r="B668" s="27" t="str">
        <f t="shared" si="32"/>
        <v>North Carolina</v>
      </c>
      <c r="C668" s="27" t="str">
        <f t="shared" si="31"/>
        <v>Vance</v>
      </c>
      <c r="D668" s="27">
        <v>14</v>
      </c>
      <c r="E668" s="27">
        <v>0</v>
      </c>
    </row>
    <row r="669" spans="1:5" x14ac:dyDescent="0.25">
      <c r="A669" s="27" t="s">
        <v>1221</v>
      </c>
      <c r="B669" s="27" t="str">
        <f t="shared" si="32"/>
        <v>North Carolina</v>
      </c>
      <c r="C669" s="27" t="str">
        <f t="shared" si="31"/>
        <v>Wake</v>
      </c>
      <c r="D669" s="27">
        <v>84</v>
      </c>
      <c r="E669" s="27">
        <v>2</v>
      </c>
    </row>
    <row r="670" spans="1:5" x14ac:dyDescent="0.25">
      <c r="A670" s="27" t="s">
        <v>1222</v>
      </c>
      <c r="B670" s="27" t="str">
        <f t="shared" si="32"/>
        <v>North Carolina</v>
      </c>
      <c r="C670" s="27" t="str">
        <f t="shared" si="31"/>
        <v>Warren</v>
      </c>
      <c r="D670" s="27">
        <v>60</v>
      </c>
      <c r="E670" s="27">
        <v>2</v>
      </c>
    </row>
    <row r="671" spans="1:5" x14ac:dyDescent="0.25">
      <c r="A671" s="27" t="s">
        <v>1223</v>
      </c>
      <c r="B671" s="27" t="str">
        <f t="shared" si="32"/>
        <v>North Carolina</v>
      </c>
      <c r="C671" s="27" t="str">
        <f t="shared" si="31"/>
        <v>Washington</v>
      </c>
      <c r="D671" s="27">
        <v>18</v>
      </c>
      <c r="E671" s="27">
        <v>0</v>
      </c>
    </row>
    <row r="672" spans="1:5" x14ac:dyDescent="0.25">
      <c r="A672" s="27" t="s">
        <v>1756</v>
      </c>
      <c r="B672" s="27" t="str">
        <f t="shared" si="32"/>
        <v>North Carolina</v>
      </c>
      <c r="C672" s="27" t="str">
        <f t="shared" si="31"/>
        <v>Watauga</v>
      </c>
      <c r="D672" s="27">
        <v>0</v>
      </c>
      <c r="E672" s="27">
        <v>0</v>
      </c>
    </row>
    <row r="673" spans="1:5" x14ac:dyDescent="0.25">
      <c r="A673" s="27" t="s">
        <v>1224</v>
      </c>
      <c r="B673" s="27" t="str">
        <f t="shared" si="32"/>
        <v>North Carolina</v>
      </c>
      <c r="C673" s="27" t="str">
        <f t="shared" si="31"/>
        <v>Wayne</v>
      </c>
      <c r="D673" s="27">
        <v>24</v>
      </c>
      <c r="E673" s="27">
        <v>3</v>
      </c>
    </row>
    <row r="674" spans="1:5" x14ac:dyDescent="0.25">
      <c r="A674" s="27" t="s">
        <v>1225</v>
      </c>
      <c r="B674" s="27" t="str">
        <f t="shared" si="32"/>
        <v>North Carolina</v>
      </c>
      <c r="C674" s="27" t="str">
        <f t="shared" si="31"/>
        <v>Wilkes</v>
      </c>
      <c r="D674" s="27">
        <v>7</v>
      </c>
      <c r="E674" s="27">
        <v>0</v>
      </c>
    </row>
    <row r="675" spans="1:5" x14ac:dyDescent="0.25">
      <c r="A675" s="27" t="s">
        <v>1226</v>
      </c>
      <c r="B675" s="27" t="str">
        <f t="shared" si="32"/>
        <v>North Carolina</v>
      </c>
      <c r="C675" s="27" t="str">
        <f t="shared" si="31"/>
        <v>Wilson</v>
      </c>
      <c r="D675" s="27">
        <v>37</v>
      </c>
      <c r="E675" s="27">
        <v>0</v>
      </c>
    </row>
    <row r="676" spans="1:5" x14ac:dyDescent="0.25">
      <c r="A676" s="27" t="s">
        <v>1227</v>
      </c>
      <c r="B676" s="27" t="str">
        <f t="shared" si="32"/>
        <v>North Carolina</v>
      </c>
      <c r="C676" s="27" t="str">
        <f t="shared" si="31"/>
        <v>Yadkin</v>
      </c>
      <c r="D676" s="27">
        <v>3</v>
      </c>
      <c r="E676" s="27">
        <v>0</v>
      </c>
    </row>
    <row r="677" spans="1:5" x14ac:dyDescent="0.25">
      <c r="A677" s="27" t="s">
        <v>1228</v>
      </c>
      <c r="B677" s="27" t="str">
        <f t="shared" si="32"/>
        <v>North Carolina</v>
      </c>
      <c r="C677" s="27" t="str">
        <f t="shared" si="31"/>
        <v>Yancey</v>
      </c>
      <c r="D677" s="27">
        <v>0</v>
      </c>
      <c r="E677" s="27">
        <v>0</v>
      </c>
    </row>
    <row r="678" spans="1:5" x14ac:dyDescent="0.25">
      <c r="C678" s="27">
        <f>SUM(D679:D724)</f>
        <v>1526</v>
      </c>
      <c r="D678" s="27">
        <v>1526</v>
      </c>
      <c r="E678" s="27">
        <v>64</v>
      </c>
    </row>
    <row r="679" spans="1:5" x14ac:dyDescent="0.25">
      <c r="A679" s="27" t="s">
        <v>1229</v>
      </c>
      <c r="B679" s="27" t="str">
        <f t="shared" si="32"/>
        <v>South Carolina</v>
      </c>
      <c r="C679" s="27" t="str">
        <f t="shared" ref="C679:C724" si="33">MID(A679,FIND(";",A679)+1,100)</f>
        <v>Abbeville</v>
      </c>
      <c r="D679" s="27">
        <v>17</v>
      </c>
      <c r="E679" s="27">
        <v>3</v>
      </c>
    </row>
    <row r="680" spans="1:5" x14ac:dyDescent="0.25">
      <c r="A680" s="27" t="s">
        <v>1230</v>
      </c>
      <c r="B680" s="27" t="str">
        <f t="shared" si="32"/>
        <v>South Carolina</v>
      </c>
      <c r="C680" s="27" t="str">
        <f t="shared" si="33"/>
        <v>Aiken</v>
      </c>
      <c r="D680" s="27">
        <v>36</v>
      </c>
      <c r="E680" s="27">
        <v>6</v>
      </c>
    </row>
    <row r="681" spans="1:5" x14ac:dyDescent="0.25">
      <c r="A681" s="27" t="s">
        <v>1231</v>
      </c>
      <c r="B681" s="27" t="str">
        <f t="shared" si="32"/>
        <v>South Carolina</v>
      </c>
      <c r="C681" s="27" t="str">
        <f t="shared" si="33"/>
        <v>Allendale</v>
      </c>
      <c r="D681" s="27">
        <v>25</v>
      </c>
      <c r="E681" s="27">
        <v>1</v>
      </c>
    </row>
    <row r="682" spans="1:5" x14ac:dyDescent="0.25">
      <c r="A682" s="27" t="s">
        <v>1232</v>
      </c>
      <c r="B682" s="27" t="str">
        <f t="shared" si="32"/>
        <v>South Carolina</v>
      </c>
      <c r="C682" s="27" t="str">
        <f t="shared" si="33"/>
        <v>Anderson</v>
      </c>
      <c r="D682" s="27">
        <v>62</v>
      </c>
      <c r="E682" s="27">
        <v>2</v>
      </c>
    </row>
    <row r="683" spans="1:5" x14ac:dyDescent="0.25">
      <c r="A683" s="27" t="s">
        <v>1233</v>
      </c>
      <c r="B683" s="27" t="str">
        <f t="shared" si="32"/>
        <v>South Carolina</v>
      </c>
      <c r="C683" s="27" t="str">
        <f t="shared" si="33"/>
        <v>Bamberg</v>
      </c>
      <c r="D683" s="27">
        <v>9</v>
      </c>
      <c r="E683" s="27">
        <v>3</v>
      </c>
    </row>
    <row r="684" spans="1:5" x14ac:dyDescent="0.25">
      <c r="A684" s="27" t="s">
        <v>1234</v>
      </c>
      <c r="B684" s="27" t="str">
        <f t="shared" si="32"/>
        <v>South Carolina</v>
      </c>
      <c r="C684" s="27" t="str">
        <f t="shared" si="33"/>
        <v>Barnwell</v>
      </c>
      <c r="D684" s="27">
        <v>26</v>
      </c>
      <c r="E684" s="27">
        <v>4</v>
      </c>
    </row>
    <row r="685" spans="1:5" x14ac:dyDescent="0.25">
      <c r="A685" s="27" t="s">
        <v>1235</v>
      </c>
      <c r="B685" s="27" t="str">
        <f t="shared" si="32"/>
        <v>South Carolina</v>
      </c>
      <c r="C685" s="27" t="str">
        <f t="shared" si="33"/>
        <v>Beaufort</v>
      </c>
      <c r="D685" s="27">
        <v>32</v>
      </c>
      <c r="E685" s="27">
        <v>1</v>
      </c>
    </row>
    <row r="686" spans="1:5" x14ac:dyDescent="0.25">
      <c r="A686" s="27" t="s">
        <v>1236</v>
      </c>
      <c r="B686" s="27" t="str">
        <f t="shared" si="32"/>
        <v>South Carolina</v>
      </c>
      <c r="C686" s="27" t="str">
        <f t="shared" si="33"/>
        <v>Berkeley</v>
      </c>
      <c r="D686" s="27">
        <v>23</v>
      </c>
      <c r="E686" s="27">
        <v>0</v>
      </c>
    </row>
    <row r="687" spans="1:5" x14ac:dyDescent="0.25">
      <c r="A687" s="27" t="s">
        <v>1237</v>
      </c>
      <c r="B687" s="27" t="str">
        <f t="shared" si="32"/>
        <v>South Carolina</v>
      </c>
      <c r="C687" s="27" t="str">
        <f t="shared" si="33"/>
        <v>Calhoun</v>
      </c>
      <c r="D687" s="27">
        <v>7</v>
      </c>
      <c r="E687" s="27">
        <v>0</v>
      </c>
    </row>
    <row r="688" spans="1:5" x14ac:dyDescent="0.25">
      <c r="A688" s="27" t="s">
        <v>1238</v>
      </c>
      <c r="B688" s="27" t="str">
        <f t="shared" si="32"/>
        <v>South Carolina</v>
      </c>
      <c r="C688" s="27" t="str">
        <f t="shared" si="33"/>
        <v>Charleston</v>
      </c>
      <c r="D688" s="27">
        <v>40</v>
      </c>
      <c r="E688" s="27">
        <v>0</v>
      </c>
    </row>
    <row r="689" spans="1:5" x14ac:dyDescent="0.25">
      <c r="A689" s="27" t="s">
        <v>1239</v>
      </c>
      <c r="B689" s="27" t="str">
        <f t="shared" si="32"/>
        <v>South Carolina</v>
      </c>
      <c r="C689" s="27" t="str">
        <f t="shared" si="33"/>
        <v>Cherokee</v>
      </c>
      <c r="D689" s="27">
        <v>3</v>
      </c>
      <c r="E689" s="27">
        <v>2</v>
      </c>
    </row>
    <row r="690" spans="1:5" x14ac:dyDescent="0.25">
      <c r="A690" s="27" t="s">
        <v>1240</v>
      </c>
      <c r="B690" s="27" t="str">
        <f t="shared" si="32"/>
        <v>South Carolina</v>
      </c>
      <c r="C690" s="27" t="str">
        <f t="shared" si="33"/>
        <v>Chester</v>
      </c>
      <c r="D690" s="27">
        <v>11</v>
      </c>
      <c r="E690" s="27">
        <v>0</v>
      </c>
    </row>
    <row r="691" spans="1:5" x14ac:dyDescent="0.25">
      <c r="A691" s="27" t="s">
        <v>1757</v>
      </c>
      <c r="B691" s="27" t="str">
        <f t="shared" si="32"/>
        <v>South Carolina</v>
      </c>
      <c r="C691" s="27" t="str">
        <f t="shared" si="33"/>
        <v>Chesterfield</v>
      </c>
      <c r="D691" s="27">
        <v>36</v>
      </c>
      <c r="E691" s="27">
        <v>2</v>
      </c>
    </row>
    <row r="692" spans="1:5" x14ac:dyDescent="0.25">
      <c r="A692" s="27" t="s">
        <v>1241</v>
      </c>
      <c r="B692" s="27" t="str">
        <f t="shared" si="32"/>
        <v>South Carolina</v>
      </c>
      <c r="C692" s="27" t="str">
        <f t="shared" si="33"/>
        <v>Clarendon</v>
      </c>
      <c r="D692" s="27">
        <v>12</v>
      </c>
      <c r="E692" s="27">
        <v>1</v>
      </c>
    </row>
    <row r="693" spans="1:5" x14ac:dyDescent="0.25">
      <c r="A693" s="27" t="s">
        <v>1242</v>
      </c>
      <c r="B693" s="27" t="str">
        <f t="shared" si="32"/>
        <v>South Carolina</v>
      </c>
      <c r="C693" s="27" t="str">
        <f t="shared" si="33"/>
        <v>Colleton</v>
      </c>
      <c r="D693" s="27">
        <v>19</v>
      </c>
      <c r="E693" s="27">
        <v>0</v>
      </c>
    </row>
    <row r="694" spans="1:5" x14ac:dyDescent="0.25">
      <c r="A694" s="27" t="s">
        <v>1243</v>
      </c>
      <c r="B694" s="27" t="str">
        <f t="shared" si="32"/>
        <v>South Carolina</v>
      </c>
      <c r="C694" s="27" t="str">
        <f t="shared" si="33"/>
        <v>Darlington</v>
      </c>
      <c r="D694" s="27">
        <v>58</v>
      </c>
      <c r="E694" s="27">
        <v>0</v>
      </c>
    </row>
    <row r="695" spans="1:5" x14ac:dyDescent="0.25">
      <c r="A695" s="27" t="s">
        <v>1244</v>
      </c>
      <c r="B695" s="27" t="str">
        <f t="shared" si="32"/>
        <v>South Carolina</v>
      </c>
      <c r="C695" s="27" t="str">
        <f t="shared" si="33"/>
        <v>Dillon</v>
      </c>
      <c r="D695" s="27">
        <v>49</v>
      </c>
      <c r="E695" s="27">
        <v>0</v>
      </c>
    </row>
    <row r="696" spans="1:5" x14ac:dyDescent="0.25">
      <c r="A696" s="27" t="s">
        <v>1245</v>
      </c>
      <c r="B696" s="27" t="str">
        <f t="shared" si="32"/>
        <v>South Carolina</v>
      </c>
      <c r="C696" s="27" t="str">
        <f t="shared" si="33"/>
        <v>Dorchester</v>
      </c>
      <c r="D696" s="27">
        <v>10</v>
      </c>
      <c r="E696" s="27">
        <v>1</v>
      </c>
    </row>
    <row r="697" spans="1:5" x14ac:dyDescent="0.25">
      <c r="A697" s="27" t="s">
        <v>1246</v>
      </c>
      <c r="B697" s="27" t="str">
        <f t="shared" si="32"/>
        <v>South Carolina</v>
      </c>
      <c r="C697" s="27" t="str">
        <f t="shared" si="33"/>
        <v>Edgefield</v>
      </c>
      <c r="D697" s="27">
        <v>22</v>
      </c>
      <c r="E697" s="27">
        <v>1</v>
      </c>
    </row>
    <row r="698" spans="1:5" x14ac:dyDescent="0.25">
      <c r="A698" s="27" t="s">
        <v>1247</v>
      </c>
      <c r="B698" s="27" t="str">
        <f t="shared" si="32"/>
        <v>South Carolina</v>
      </c>
      <c r="C698" s="27" t="str">
        <f t="shared" si="33"/>
        <v>Fairfield</v>
      </c>
      <c r="D698" s="27">
        <v>26</v>
      </c>
      <c r="E698" s="27">
        <v>1</v>
      </c>
    </row>
    <row r="699" spans="1:5" x14ac:dyDescent="0.25">
      <c r="A699" s="27" t="s">
        <v>1248</v>
      </c>
      <c r="B699" s="27" t="str">
        <f t="shared" si="32"/>
        <v>South Carolina</v>
      </c>
      <c r="C699" s="27" t="str">
        <f t="shared" si="33"/>
        <v>Florence</v>
      </c>
      <c r="D699" s="27">
        <v>87</v>
      </c>
      <c r="E699" s="27">
        <v>3</v>
      </c>
    </row>
    <row r="700" spans="1:5" x14ac:dyDescent="0.25">
      <c r="A700" s="27" t="s">
        <v>1249</v>
      </c>
      <c r="B700" s="27" t="str">
        <f t="shared" si="32"/>
        <v>South Carolina</v>
      </c>
      <c r="C700" s="27" t="str">
        <f t="shared" si="33"/>
        <v>Georgetown</v>
      </c>
      <c r="D700" s="27">
        <v>7</v>
      </c>
      <c r="E700" s="27">
        <v>0</v>
      </c>
    </row>
    <row r="701" spans="1:5" x14ac:dyDescent="0.25">
      <c r="A701" s="27" t="s">
        <v>1250</v>
      </c>
      <c r="B701" s="27" t="str">
        <f t="shared" si="32"/>
        <v>South Carolina</v>
      </c>
      <c r="C701" s="27" t="str">
        <f t="shared" si="33"/>
        <v>Greenville</v>
      </c>
      <c r="D701" s="27">
        <v>82</v>
      </c>
      <c r="E701" s="27">
        <v>2</v>
      </c>
    </row>
    <row r="702" spans="1:5" x14ac:dyDescent="0.25">
      <c r="A702" s="27" t="s">
        <v>1758</v>
      </c>
      <c r="B702" s="27" t="str">
        <f t="shared" si="32"/>
        <v>South Carolina</v>
      </c>
      <c r="C702" s="27" t="str">
        <f t="shared" si="33"/>
        <v>Greenwood</v>
      </c>
      <c r="D702" s="27">
        <v>4</v>
      </c>
      <c r="E702" s="27">
        <v>3</v>
      </c>
    </row>
    <row r="703" spans="1:5" x14ac:dyDescent="0.25">
      <c r="A703" s="27" t="s">
        <v>1251</v>
      </c>
      <c r="B703" s="27" t="str">
        <f t="shared" si="32"/>
        <v>South Carolina</v>
      </c>
      <c r="C703" s="27" t="str">
        <f t="shared" si="33"/>
        <v>Hampton</v>
      </c>
      <c r="D703" s="27">
        <v>14</v>
      </c>
      <c r="E703" s="27">
        <v>3</v>
      </c>
    </row>
    <row r="704" spans="1:5" x14ac:dyDescent="0.25">
      <c r="A704" s="27" t="s">
        <v>1252</v>
      </c>
      <c r="B704" s="27" t="str">
        <f t="shared" si="32"/>
        <v>South Carolina</v>
      </c>
      <c r="C704" s="27" t="str">
        <f t="shared" si="33"/>
        <v>Horry</v>
      </c>
      <c r="D704" s="27">
        <v>54</v>
      </c>
      <c r="E704" s="27">
        <v>0</v>
      </c>
    </row>
    <row r="705" spans="1:5" x14ac:dyDescent="0.25">
      <c r="A705" s="27" t="s">
        <v>1253</v>
      </c>
      <c r="B705" s="27" t="str">
        <f t="shared" si="32"/>
        <v>South Carolina</v>
      </c>
      <c r="C705" s="27" t="str">
        <f t="shared" si="33"/>
        <v>Jasper</v>
      </c>
      <c r="D705" s="27">
        <v>14</v>
      </c>
      <c r="E705" s="27">
        <v>0</v>
      </c>
    </row>
    <row r="706" spans="1:5" x14ac:dyDescent="0.25">
      <c r="A706" s="27" t="s">
        <v>1254</v>
      </c>
      <c r="B706" s="27" t="str">
        <f t="shared" si="32"/>
        <v>South Carolina</v>
      </c>
      <c r="C706" s="27" t="str">
        <f t="shared" si="33"/>
        <v>Kershaw</v>
      </c>
      <c r="D706" s="27">
        <v>39</v>
      </c>
      <c r="E706" s="27">
        <v>1</v>
      </c>
    </row>
    <row r="707" spans="1:5" x14ac:dyDescent="0.25">
      <c r="A707" s="27" t="s">
        <v>1255</v>
      </c>
      <c r="B707" s="27" t="str">
        <f t="shared" si="32"/>
        <v>South Carolina</v>
      </c>
      <c r="C707" s="27" t="str">
        <f t="shared" si="33"/>
        <v>Lancaster</v>
      </c>
      <c r="D707" s="27">
        <v>27</v>
      </c>
      <c r="E707" s="27">
        <v>0</v>
      </c>
    </row>
    <row r="708" spans="1:5" x14ac:dyDescent="0.25">
      <c r="A708" s="27" t="s">
        <v>1256</v>
      </c>
      <c r="B708" s="27" t="str">
        <f t="shared" si="32"/>
        <v>South Carolina</v>
      </c>
      <c r="C708" s="27" t="str">
        <f t="shared" si="33"/>
        <v>Laurens</v>
      </c>
      <c r="D708" s="27">
        <v>42</v>
      </c>
      <c r="E708" s="27">
        <v>3</v>
      </c>
    </row>
    <row r="709" spans="1:5" x14ac:dyDescent="0.25">
      <c r="A709" s="27" t="s">
        <v>1257</v>
      </c>
      <c r="B709" s="27" t="str">
        <f t="shared" si="32"/>
        <v>South Carolina</v>
      </c>
      <c r="C709" s="27" t="str">
        <f t="shared" si="33"/>
        <v>Lee</v>
      </c>
      <c r="D709" s="27">
        <v>4</v>
      </c>
      <c r="E709" s="27">
        <v>0</v>
      </c>
    </row>
    <row r="710" spans="1:5" x14ac:dyDescent="0.25">
      <c r="A710" s="27" t="s">
        <v>1258</v>
      </c>
      <c r="B710" s="27" t="str">
        <f t="shared" si="32"/>
        <v>South Carolina</v>
      </c>
      <c r="C710" s="27" t="str">
        <f t="shared" si="33"/>
        <v>Lexington</v>
      </c>
      <c r="D710" s="27">
        <v>20</v>
      </c>
      <c r="E710" s="27">
        <v>2</v>
      </c>
    </row>
    <row r="711" spans="1:5" x14ac:dyDescent="0.25">
      <c r="A711" s="27" t="s">
        <v>1259</v>
      </c>
      <c r="B711" s="27" t="str">
        <f t="shared" si="32"/>
        <v>South Carolina</v>
      </c>
      <c r="C711" s="27" t="str">
        <f t="shared" si="33"/>
        <v>McCormick</v>
      </c>
      <c r="D711" s="27">
        <v>2</v>
      </c>
      <c r="E711" s="27">
        <v>1</v>
      </c>
    </row>
    <row r="712" spans="1:5" x14ac:dyDescent="0.25">
      <c r="A712" s="27" t="s">
        <v>1260</v>
      </c>
      <c r="B712" s="27" t="str">
        <f t="shared" si="32"/>
        <v>South Carolina</v>
      </c>
      <c r="C712" s="27" t="str">
        <f t="shared" si="33"/>
        <v>Marion</v>
      </c>
      <c r="D712" s="27">
        <v>69</v>
      </c>
      <c r="E712" s="27">
        <v>1</v>
      </c>
    </row>
    <row r="713" spans="1:5" x14ac:dyDescent="0.25">
      <c r="A713" s="27" t="s">
        <v>1261</v>
      </c>
      <c r="B713" s="27" t="str">
        <f t="shared" si="32"/>
        <v>South Carolina</v>
      </c>
      <c r="C713" s="27" t="str">
        <f t="shared" si="33"/>
        <v>Marlboro</v>
      </c>
      <c r="D713" s="27">
        <v>46</v>
      </c>
      <c r="E713" s="27">
        <v>0</v>
      </c>
    </row>
    <row r="714" spans="1:5" x14ac:dyDescent="0.25">
      <c r="A714" s="27" t="s">
        <v>1262</v>
      </c>
      <c r="B714" s="27" t="str">
        <f t="shared" ref="B714:B777" si="34">LEFT(A714,FIND(";",A714)-1)</f>
        <v>South Carolina</v>
      </c>
      <c r="C714" s="27" t="str">
        <f t="shared" si="33"/>
        <v>Newberry</v>
      </c>
      <c r="D714" s="27">
        <v>72</v>
      </c>
      <c r="E714" s="27">
        <v>3</v>
      </c>
    </row>
    <row r="715" spans="1:5" x14ac:dyDescent="0.25">
      <c r="A715" s="27" t="s">
        <v>1263</v>
      </c>
      <c r="B715" s="27" t="str">
        <f t="shared" si="34"/>
        <v>South Carolina</v>
      </c>
      <c r="C715" s="27" t="str">
        <f t="shared" si="33"/>
        <v>Oconee</v>
      </c>
      <c r="D715" s="27">
        <v>33</v>
      </c>
      <c r="E715" s="27">
        <v>1</v>
      </c>
    </row>
    <row r="716" spans="1:5" x14ac:dyDescent="0.25">
      <c r="A716" s="27" t="s">
        <v>1264</v>
      </c>
      <c r="B716" s="27" t="str">
        <f t="shared" si="34"/>
        <v>South Carolina</v>
      </c>
      <c r="C716" s="27" t="str">
        <f t="shared" si="33"/>
        <v>Orangeburg</v>
      </c>
      <c r="D716" s="27">
        <v>74</v>
      </c>
      <c r="E716" s="27">
        <v>6</v>
      </c>
    </row>
    <row r="717" spans="1:5" x14ac:dyDescent="0.25">
      <c r="A717" s="27" t="s">
        <v>1265</v>
      </c>
      <c r="B717" s="27" t="str">
        <f t="shared" si="34"/>
        <v>South Carolina</v>
      </c>
      <c r="C717" s="27" t="str">
        <f t="shared" si="33"/>
        <v>Pickens</v>
      </c>
      <c r="D717" s="27">
        <v>17</v>
      </c>
      <c r="E717" s="27">
        <v>0</v>
      </c>
    </row>
    <row r="718" spans="1:5" x14ac:dyDescent="0.25">
      <c r="A718" s="27" t="s">
        <v>1266</v>
      </c>
      <c r="B718" s="27" t="str">
        <f t="shared" si="34"/>
        <v>South Carolina</v>
      </c>
      <c r="C718" s="27" t="str">
        <f t="shared" si="33"/>
        <v>Richland</v>
      </c>
      <c r="D718" s="27">
        <v>34</v>
      </c>
      <c r="E718" s="27">
        <v>0</v>
      </c>
    </row>
    <row r="719" spans="1:5" x14ac:dyDescent="0.25">
      <c r="A719" s="27" t="s">
        <v>1267</v>
      </c>
      <c r="B719" s="27" t="str">
        <f t="shared" si="34"/>
        <v>South Carolina</v>
      </c>
      <c r="C719" s="27" t="str">
        <f t="shared" si="33"/>
        <v>Saluda</v>
      </c>
      <c r="D719" s="27">
        <v>31</v>
      </c>
      <c r="E719" s="27">
        <v>0</v>
      </c>
    </row>
    <row r="720" spans="1:5" x14ac:dyDescent="0.25">
      <c r="A720" s="27" t="s">
        <v>1268</v>
      </c>
      <c r="B720" s="27" t="str">
        <f t="shared" si="34"/>
        <v>South Carolina</v>
      </c>
      <c r="C720" s="27" t="str">
        <f t="shared" si="33"/>
        <v>Spartanburg</v>
      </c>
      <c r="D720" s="27">
        <v>55</v>
      </c>
      <c r="E720" s="27">
        <v>0</v>
      </c>
    </row>
    <row r="721" spans="1:5" x14ac:dyDescent="0.25">
      <c r="A721" s="27" t="s">
        <v>1269</v>
      </c>
      <c r="B721" s="27" t="str">
        <f t="shared" si="34"/>
        <v>South Carolina</v>
      </c>
      <c r="C721" s="27" t="str">
        <f t="shared" si="33"/>
        <v>Sumter</v>
      </c>
      <c r="D721" s="27">
        <v>42</v>
      </c>
      <c r="E721" s="27">
        <v>1</v>
      </c>
    </row>
    <row r="722" spans="1:5" x14ac:dyDescent="0.25">
      <c r="A722" s="27" t="s">
        <v>1270</v>
      </c>
      <c r="B722" s="27" t="str">
        <f t="shared" si="34"/>
        <v>South Carolina</v>
      </c>
      <c r="C722" s="27" t="str">
        <f t="shared" si="33"/>
        <v>Union</v>
      </c>
      <c r="D722" s="27">
        <v>34</v>
      </c>
      <c r="E722" s="27">
        <v>3</v>
      </c>
    </row>
    <row r="723" spans="1:5" x14ac:dyDescent="0.25">
      <c r="A723" s="27" t="s">
        <v>1271</v>
      </c>
      <c r="B723" s="27" t="str">
        <f t="shared" si="34"/>
        <v>South Carolina</v>
      </c>
      <c r="C723" s="27" t="str">
        <f t="shared" si="33"/>
        <v>Williamsburg</v>
      </c>
      <c r="D723" s="27">
        <v>33</v>
      </c>
      <c r="E723" s="27">
        <v>1</v>
      </c>
    </row>
    <row r="724" spans="1:5" x14ac:dyDescent="0.25">
      <c r="A724" s="27" t="s">
        <v>1272</v>
      </c>
      <c r="B724" s="27" t="str">
        <f t="shared" si="34"/>
        <v>South Carolina</v>
      </c>
      <c r="C724" s="27" t="str">
        <f t="shared" si="33"/>
        <v>York</v>
      </c>
      <c r="D724" s="27">
        <v>67</v>
      </c>
      <c r="E724" s="27">
        <v>1</v>
      </c>
    </row>
    <row r="725" spans="1:5" x14ac:dyDescent="0.25">
      <c r="C725" s="31">
        <f>SUM(D726:D820)</f>
        <v>850</v>
      </c>
      <c r="D725" s="31">
        <v>834</v>
      </c>
      <c r="E725" s="27">
        <v>73</v>
      </c>
    </row>
    <row r="726" spans="1:5" x14ac:dyDescent="0.25">
      <c r="A726" s="27" t="s">
        <v>1275</v>
      </c>
      <c r="B726" s="27" t="str">
        <f t="shared" si="34"/>
        <v>Tennessee</v>
      </c>
      <c r="C726" s="27" t="str">
        <f t="shared" ref="C726:C757" si="35">MID(A726,FIND(";",A726)+1,100)</f>
        <v>Anderson</v>
      </c>
      <c r="D726" s="27">
        <v>0</v>
      </c>
      <c r="E726" s="27">
        <v>0</v>
      </c>
    </row>
    <row r="727" spans="1:5" x14ac:dyDescent="0.25">
      <c r="A727" s="27" t="s">
        <v>1276</v>
      </c>
      <c r="B727" s="27" t="str">
        <f t="shared" si="34"/>
        <v>Tennessee</v>
      </c>
      <c r="C727" s="27" t="str">
        <f t="shared" si="35"/>
        <v>Bedford</v>
      </c>
      <c r="D727" s="27">
        <v>1</v>
      </c>
      <c r="E727" s="27">
        <v>3</v>
      </c>
    </row>
    <row r="728" spans="1:5" x14ac:dyDescent="0.25">
      <c r="A728" s="27" t="s">
        <v>1277</v>
      </c>
      <c r="B728" s="27" t="str">
        <f t="shared" si="34"/>
        <v>Tennessee</v>
      </c>
      <c r="C728" s="27" t="str">
        <f t="shared" si="35"/>
        <v>Benton</v>
      </c>
      <c r="D728" s="27">
        <v>0</v>
      </c>
      <c r="E728" s="27">
        <v>2</v>
      </c>
    </row>
    <row r="729" spans="1:5" x14ac:dyDescent="0.25">
      <c r="A729" s="27" t="s">
        <v>1759</v>
      </c>
      <c r="B729" s="27" t="str">
        <f t="shared" si="34"/>
        <v>Tennessee</v>
      </c>
      <c r="C729" s="27" t="str">
        <f t="shared" si="35"/>
        <v>Bledsoe</v>
      </c>
      <c r="D729" s="27">
        <v>3</v>
      </c>
      <c r="E729" s="27">
        <v>0</v>
      </c>
    </row>
    <row r="730" spans="1:5" x14ac:dyDescent="0.25">
      <c r="A730" s="27" t="s">
        <v>1278</v>
      </c>
      <c r="B730" s="27" t="str">
        <f t="shared" si="34"/>
        <v>Tennessee</v>
      </c>
      <c r="C730" s="27" t="str">
        <f t="shared" si="35"/>
        <v>Blount</v>
      </c>
      <c r="D730" s="27">
        <v>3</v>
      </c>
      <c r="E730" s="27">
        <v>0</v>
      </c>
    </row>
    <row r="731" spans="1:5" x14ac:dyDescent="0.25">
      <c r="A731" s="27" t="s">
        <v>1279</v>
      </c>
      <c r="B731" s="27" t="str">
        <f t="shared" si="34"/>
        <v>Tennessee</v>
      </c>
      <c r="C731" s="27" t="str">
        <f t="shared" si="35"/>
        <v>Bradley</v>
      </c>
      <c r="D731" s="27">
        <v>12</v>
      </c>
      <c r="E731" s="27">
        <v>0</v>
      </c>
    </row>
    <row r="732" spans="1:5" x14ac:dyDescent="0.25">
      <c r="A732" s="27" t="s">
        <v>1280</v>
      </c>
      <c r="B732" s="27" t="str">
        <f t="shared" si="34"/>
        <v>Tennessee</v>
      </c>
      <c r="C732" s="27" t="str">
        <f t="shared" si="35"/>
        <v>Campbell</v>
      </c>
      <c r="D732" s="27">
        <v>0</v>
      </c>
      <c r="E732" s="27">
        <v>1</v>
      </c>
    </row>
    <row r="733" spans="1:5" x14ac:dyDescent="0.25">
      <c r="A733" s="27" t="s">
        <v>1281</v>
      </c>
      <c r="B733" s="27" t="str">
        <f t="shared" si="34"/>
        <v>Tennessee</v>
      </c>
      <c r="C733" s="27" t="str">
        <f t="shared" si="35"/>
        <v>Cannon</v>
      </c>
      <c r="D733" s="27">
        <v>0</v>
      </c>
      <c r="E733" s="27">
        <v>0</v>
      </c>
    </row>
    <row r="734" spans="1:5" x14ac:dyDescent="0.25">
      <c r="A734" s="27" t="s">
        <v>1282</v>
      </c>
      <c r="B734" s="27" t="str">
        <f t="shared" si="34"/>
        <v>Tennessee</v>
      </c>
      <c r="C734" s="27" t="str">
        <f t="shared" si="35"/>
        <v>Carroll</v>
      </c>
      <c r="D734" s="27">
        <v>29</v>
      </c>
      <c r="E734" s="27">
        <v>1</v>
      </c>
    </row>
    <row r="735" spans="1:5" x14ac:dyDescent="0.25">
      <c r="A735" s="27" t="s">
        <v>1283</v>
      </c>
      <c r="B735" s="27" t="str">
        <f t="shared" si="34"/>
        <v>Tennessee</v>
      </c>
      <c r="C735" s="27" t="str">
        <f t="shared" si="35"/>
        <v>Carter</v>
      </c>
      <c r="D735" s="27">
        <v>0</v>
      </c>
      <c r="E735" s="27">
        <v>0</v>
      </c>
    </row>
    <row r="736" spans="1:5" x14ac:dyDescent="0.25">
      <c r="A736" s="27" t="s">
        <v>1284</v>
      </c>
      <c r="B736" s="27" t="str">
        <f t="shared" si="34"/>
        <v>Tennessee</v>
      </c>
      <c r="C736" s="27" t="str">
        <f t="shared" si="35"/>
        <v>Cheatham</v>
      </c>
      <c r="D736" s="27">
        <v>1</v>
      </c>
      <c r="E736" s="27">
        <v>0</v>
      </c>
    </row>
    <row r="737" spans="1:5" x14ac:dyDescent="0.25">
      <c r="A737" s="27" t="s">
        <v>1285</v>
      </c>
      <c r="B737" s="27" t="str">
        <f t="shared" si="34"/>
        <v>Tennessee</v>
      </c>
      <c r="C737" s="27" t="str">
        <f t="shared" si="35"/>
        <v>Chester</v>
      </c>
      <c r="D737" s="27">
        <v>5</v>
      </c>
      <c r="E737" s="27">
        <v>0</v>
      </c>
    </row>
    <row r="738" spans="1:5" x14ac:dyDescent="0.25">
      <c r="A738" s="27" t="s">
        <v>1286</v>
      </c>
      <c r="B738" s="27" t="str">
        <f t="shared" si="34"/>
        <v>Tennessee</v>
      </c>
      <c r="C738" s="27" t="str">
        <f t="shared" si="35"/>
        <v>Claiborne</v>
      </c>
      <c r="D738" s="27">
        <v>2</v>
      </c>
      <c r="E738" s="27">
        <v>0</v>
      </c>
    </row>
    <row r="739" spans="1:5" x14ac:dyDescent="0.25">
      <c r="A739" s="27" t="s">
        <v>1287</v>
      </c>
      <c r="B739" s="27" t="str">
        <f t="shared" si="34"/>
        <v>Tennessee</v>
      </c>
      <c r="C739" s="27" t="str">
        <f t="shared" si="35"/>
        <v>Clay</v>
      </c>
      <c r="D739" s="27">
        <v>2</v>
      </c>
      <c r="E739" s="27">
        <v>0</v>
      </c>
    </row>
    <row r="740" spans="1:5" x14ac:dyDescent="0.25">
      <c r="A740" s="27" t="s">
        <v>1288</v>
      </c>
      <c r="B740" s="27" t="str">
        <f t="shared" si="34"/>
        <v>Tennessee</v>
      </c>
      <c r="C740" s="27" t="str">
        <f t="shared" si="35"/>
        <v>Cocke</v>
      </c>
      <c r="D740" s="27">
        <v>6</v>
      </c>
      <c r="E740" s="27">
        <v>0</v>
      </c>
    </row>
    <row r="741" spans="1:5" x14ac:dyDescent="0.25">
      <c r="A741" s="27" t="s">
        <v>1289</v>
      </c>
      <c r="B741" s="27" t="str">
        <f t="shared" si="34"/>
        <v>Tennessee</v>
      </c>
      <c r="C741" s="27" t="str">
        <f t="shared" si="35"/>
        <v>Coffee</v>
      </c>
      <c r="D741" s="27">
        <v>7</v>
      </c>
      <c r="E741" s="27">
        <v>1</v>
      </c>
    </row>
    <row r="742" spans="1:5" x14ac:dyDescent="0.25">
      <c r="A742" s="27" t="s">
        <v>1290</v>
      </c>
      <c r="B742" s="27" t="str">
        <f t="shared" si="34"/>
        <v>Tennessee</v>
      </c>
      <c r="C742" s="27" t="str">
        <f t="shared" si="35"/>
        <v>Crockett</v>
      </c>
      <c r="D742" s="27">
        <v>16</v>
      </c>
      <c r="E742" s="27">
        <v>1</v>
      </c>
    </row>
    <row r="743" spans="1:5" x14ac:dyDescent="0.25">
      <c r="A743" s="27" t="s">
        <v>1291</v>
      </c>
      <c r="B743" s="27" t="str">
        <f t="shared" si="34"/>
        <v>Tennessee</v>
      </c>
      <c r="C743" s="27" t="str">
        <f t="shared" si="35"/>
        <v>Cumberland</v>
      </c>
      <c r="D743" s="27">
        <v>0</v>
      </c>
      <c r="E743" s="27">
        <v>0</v>
      </c>
    </row>
    <row r="744" spans="1:5" x14ac:dyDescent="0.25">
      <c r="A744" s="27" t="s">
        <v>1292</v>
      </c>
      <c r="B744" s="27" t="str">
        <f t="shared" si="34"/>
        <v>Tennessee</v>
      </c>
      <c r="C744" s="27" t="str">
        <f t="shared" si="35"/>
        <v>Davidson</v>
      </c>
      <c r="D744" s="27">
        <v>24</v>
      </c>
      <c r="E744" s="27">
        <v>1</v>
      </c>
    </row>
    <row r="745" spans="1:5" x14ac:dyDescent="0.25">
      <c r="A745" s="27" t="s">
        <v>1293</v>
      </c>
      <c r="B745" s="27" t="str">
        <f t="shared" si="34"/>
        <v>Tennessee</v>
      </c>
      <c r="C745" s="27" t="str">
        <f t="shared" si="35"/>
        <v>Decatur</v>
      </c>
      <c r="D745" s="27">
        <v>8</v>
      </c>
      <c r="E745" s="27">
        <v>0</v>
      </c>
    </row>
    <row r="746" spans="1:5" x14ac:dyDescent="0.25">
      <c r="A746" s="27" t="s">
        <v>1760</v>
      </c>
      <c r="B746" s="27" t="str">
        <f t="shared" si="34"/>
        <v>Tennessee</v>
      </c>
      <c r="C746" s="27" t="str">
        <f t="shared" si="35"/>
        <v>DeKalb</v>
      </c>
      <c r="D746" s="27">
        <v>2</v>
      </c>
      <c r="E746" s="27">
        <v>1</v>
      </c>
    </row>
    <row r="747" spans="1:5" x14ac:dyDescent="0.25">
      <c r="A747" s="27" t="s">
        <v>1294</v>
      </c>
      <c r="B747" s="27" t="str">
        <f t="shared" si="34"/>
        <v>Tennessee</v>
      </c>
      <c r="C747" s="27" t="str">
        <f t="shared" si="35"/>
        <v>Dickson</v>
      </c>
      <c r="D747" s="27">
        <v>5</v>
      </c>
      <c r="E747" s="27">
        <v>0</v>
      </c>
    </row>
    <row r="748" spans="1:5" x14ac:dyDescent="0.25">
      <c r="A748" s="27" t="s">
        <v>1295</v>
      </c>
      <c r="B748" s="27" t="str">
        <f t="shared" si="34"/>
        <v>Tennessee</v>
      </c>
      <c r="C748" s="27" t="str">
        <f t="shared" si="35"/>
        <v>Dyer</v>
      </c>
      <c r="D748" s="27">
        <v>23</v>
      </c>
      <c r="E748" s="27">
        <v>5</v>
      </c>
    </row>
    <row r="749" spans="1:5" x14ac:dyDescent="0.25">
      <c r="A749" s="27" t="s">
        <v>1296</v>
      </c>
      <c r="B749" s="27" t="str">
        <f t="shared" si="34"/>
        <v>Tennessee</v>
      </c>
      <c r="C749" s="27" t="str">
        <f t="shared" si="35"/>
        <v>Fayette</v>
      </c>
      <c r="D749" s="27">
        <v>37</v>
      </c>
      <c r="E749" s="27">
        <v>1</v>
      </c>
    </row>
    <row r="750" spans="1:5" x14ac:dyDescent="0.25">
      <c r="A750" s="27" t="s">
        <v>1297</v>
      </c>
      <c r="B750" s="27" t="str">
        <f t="shared" si="34"/>
        <v>Tennessee</v>
      </c>
      <c r="C750" s="27" t="str">
        <f t="shared" si="35"/>
        <v>Fentress</v>
      </c>
      <c r="D750" s="27">
        <v>0</v>
      </c>
      <c r="E750" s="27">
        <v>0</v>
      </c>
    </row>
    <row r="751" spans="1:5" x14ac:dyDescent="0.25">
      <c r="A751" s="27" t="s">
        <v>1298</v>
      </c>
      <c r="B751" s="27" t="str">
        <f t="shared" si="34"/>
        <v>Tennessee</v>
      </c>
      <c r="C751" s="27" t="str">
        <f t="shared" si="35"/>
        <v>Franklin</v>
      </c>
      <c r="D751" s="27">
        <v>7</v>
      </c>
      <c r="E751" s="27">
        <v>3</v>
      </c>
    </row>
    <row r="752" spans="1:5" x14ac:dyDescent="0.25">
      <c r="A752" s="27" t="s">
        <v>1299</v>
      </c>
      <c r="B752" s="27" t="str">
        <f t="shared" si="34"/>
        <v>Tennessee</v>
      </c>
      <c r="C752" s="27" t="str">
        <f t="shared" si="35"/>
        <v>Gibson</v>
      </c>
      <c r="D752" s="27">
        <v>38</v>
      </c>
      <c r="E752" s="27">
        <v>1</v>
      </c>
    </row>
    <row r="753" spans="1:5" x14ac:dyDescent="0.25">
      <c r="A753" s="27" t="s">
        <v>1300</v>
      </c>
      <c r="B753" s="27" t="str">
        <f t="shared" si="34"/>
        <v>Tennessee</v>
      </c>
      <c r="C753" s="27" t="str">
        <f t="shared" si="35"/>
        <v>Giles</v>
      </c>
      <c r="D753" s="27">
        <v>9</v>
      </c>
      <c r="E753" s="27">
        <v>1</v>
      </c>
    </row>
    <row r="754" spans="1:5" x14ac:dyDescent="0.25">
      <c r="A754" s="27" t="s">
        <v>1761</v>
      </c>
      <c r="B754" s="27" t="str">
        <f t="shared" si="34"/>
        <v>Tennessee</v>
      </c>
      <c r="C754" s="27" t="str">
        <f t="shared" si="35"/>
        <v>Grainger</v>
      </c>
      <c r="D754" s="27">
        <v>0</v>
      </c>
      <c r="E754" s="27">
        <v>0</v>
      </c>
    </row>
    <row r="755" spans="1:5" x14ac:dyDescent="0.25">
      <c r="A755" s="27" t="s">
        <v>1301</v>
      </c>
      <c r="B755" s="27" t="str">
        <f t="shared" si="34"/>
        <v>Tennessee</v>
      </c>
      <c r="C755" s="27" t="str">
        <f t="shared" si="35"/>
        <v>Greene</v>
      </c>
      <c r="D755" s="27">
        <v>0</v>
      </c>
      <c r="E755" s="27">
        <v>0</v>
      </c>
    </row>
    <row r="756" spans="1:5" x14ac:dyDescent="0.25">
      <c r="A756" s="27" t="s">
        <v>1302</v>
      </c>
      <c r="B756" s="27" t="str">
        <f t="shared" si="34"/>
        <v>Tennessee</v>
      </c>
      <c r="C756" s="27" t="str">
        <f t="shared" si="35"/>
        <v>Grundy</v>
      </c>
      <c r="D756" s="27">
        <v>0</v>
      </c>
      <c r="E756" s="27">
        <v>0</v>
      </c>
    </row>
    <row r="757" spans="1:5" x14ac:dyDescent="0.25">
      <c r="A757" s="27" t="s">
        <v>1303</v>
      </c>
      <c r="B757" s="27" t="str">
        <f t="shared" si="34"/>
        <v>Tennessee</v>
      </c>
      <c r="C757" s="27" t="str">
        <f t="shared" si="35"/>
        <v>Hamblen</v>
      </c>
      <c r="D757" s="27">
        <v>8</v>
      </c>
      <c r="E757" s="27">
        <v>0</v>
      </c>
    </row>
    <row r="758" spans="1:5" x14ac:dyDescent="0.25">
      <c r="A758" s="27" t="s">
        <v>1304</v>
      </c>
      <c r="B758" s="27" t="str">
        <f t="shared" si="34"/>
        <v>Tennessee</v>
      </c>
      <c r="C758" s="27" t="str">
        <f t="shared" ref="C758:C789" si="36">MID(A758,FIND(";",A758)+1,100)</f>
        <v>Hamilton</v>
      </c>
      <c r="D758" s="27">
        <v>16</v>
      </c>
      <c r="E758" s="27">
        <v>1</v>
      </c>
    </row>
    <row r="759" spans="1:5" x14ac:dyDescent="0.25">
      <c r="A759" s="27" t="s">
        <v>1305</v>
      </c>
      <c r="B759" s="27" t="str">
        <f t="shared" si="34"/>
        <v>Tennessee</v>
      </c>
      <c r="C759" s="27" t="str">
        <f t="shared" si="36"/>
        <v>Hancock</v>
      </c>
      <c r="D759" s="27">
        <v>0</v>
      </c>
      <c r="E759" s="27">
        <v>0</v>
      </c>
    </row>
    <row r="760" spans="1:5" x14ac:dyDescent="0.25">
      <c r="A760" s="27" t="s">
        <v>1306</v>
      </c>
      <c r="B760" s="27" t="str">
        <f t="shared" si="34"/>
        <v>Tennessee</v>
      </c>
      <c r="C760" s="27" t="str">
        <f t="shared" si="36"/>
        <v>Hardeman</v>
      </c>
      <c r="D760" s="27">
        <v>18</v>
      </c>
      <c r="E760" s="27">
        <v>1</v>
      </c>
    </row>
    <row r="761" spans="1:5" x14ac:dyDescent="0.25">
      <c r="A761" s="27" t="s">
        <v>1307</v>
      </c>
      <c r="B761" s="27" t="str">
        <f t="shared" si="34"/>
        <v>Tennessee</v>
      </c>
      <c r="C761" s="27" t="str">
        <f t="shared" si="36"/>
        <v>Hardin</v>
      </c>
      <c r="D761" s="27">
        <v>5</v>
      </c>
      <c r="E761" s="27">
        <v>0</v>
      </c>
    </row>
    <row r="762" spans="1:5" x14ac:dyDescent="0.25">
      <c r="A762" s="27" t="s">
        <v>1308</v>
      </c>
      <c r="B762" s="27" t="str">
        <f t="shared" si="34"/>
        <v>Tennessee</v>
      </c>
      <c r="C762" s="27" t="str">
        <f t="shared" si="36"/>
        <v>Hawkins</v>
      </c>
      <c r="D762" s="27">
        <v>2</v>
      </c>
      <c r="E762" s="27">
        <v>0</v>
      </c>
    </row>
    <row r="763" spans="1:5" x14ac:dyDescent="0.25">
      <c r="A763" s="27" t="s">
        <v>1309</v>
      </c>
      <c r="B763" s="27" t="str">
        <f t="shared" si="34"/>
        <v>Tennessee</v>
      </c>
      <c r="C763" s="27" t="str">
        <f t="shared" si="36"/>
        <v>Haywood</v>
      </c>
      <c r="D763" s="27">
        <v>10</v>
      </c>
      <c r="E763" s="27">
        <v>1</v>
      </c>
    </row>
    <row r="764" spans="1:5" x14ac:dyDescent="0.25">
      <c r="A764" s="27" t="s">
        <v>1310</v>
      </c>
      <c r="B764" s="27" t="str">
        <f t="shared" si="34"/>
        <v>Tennessee</v>
      </c>
      <c r="C764" s="27" t="str">
        <f t="shared" si="36"/>
        <v>Henderson</v>
      </c>
      <c r="D764" s="27">
        <v>3</v>
      </c>
      <c r="E764" s="27">
        <v>1</v>
      </c>
    </row>
    <row r="765" spans="1:5" x14ac:dyDescent="0.25">
      <c r="A765" s="27" t="s">
        <v>1311</v>
      </c>
      <c r="B765" s="27" t="str">
        <f t="shared" si="34"/>
        <v>Tennessee</v>
      </c>
      <c r="C765" s="27" t="str">
        <f t="shared" si="36"/>
        <v>Henry</v>
      </c>
      <c r="D765" s="27">
        <v>18</v>
      </c>
      <c r="E765" s="27">
        <v>0</v>
      </c>
    </row>
    <row r="766" spans="1:5" x14ac:dyDescent="0.25">
      <c r="A766" s="27" t="s">
        <v>1312</v>
      </c>
      <c r="B766" s="27" t="str">
        <f t="shared" si="34"/>
        <v>Tennessee</v>
      </c>
      <c r="C766" s="27" t="str">
        <f t="shared" si="36"/>
        <v>Hickman</v>
      </c>
      <c r="D766" s="27">
        <v>3</v>
      </c>
      <c r="E766" s="27">
        <v>0</v>
      </c>
    </row>
    <row r="767" spans="1:5" x14ac:dyDescent="0.25">
      <c r="A767" s="27" t="s">
        <v>1313</v>
      </c>
      <c r="B767" s="27" t="str">
        <f t="shared" si="34"/>
        <v>Tennessee</v>
      </c>
      <c r="C767" s="27" t="str">
        <f t="shared" si="36"/>
        <v>Houston</v>
      </c>
      <c r="D767" s="27">
        <v>2</v>
      </c>
      <c r="E767" s="27">
        <v>0</v>
      </c>
    </row>
    <row r="768" spans="1:5" x14ac:dyDescent="0.25">
      <c r="A768" s="27" t="s">
        <v>1314</v>
      </c>
      <c r="B768" s="27" t="str">
        <f t="shared" si="34"/>
        <v>Tennessee</v>
      </c>
      <c r="C768" s="27" t="str">
        <f t="shared" si="36"/>
        <v>Humphreys</v>
      </c>
      <c r="D768" s="27">
        <v>0</v>
      </c>
      <c r="E768" s="27">
        <v>0</v>
      </c>
    </row>
    <row r="769" spans="1:5" x14ac:dyDescent="0.25">
      <c r="A769" s="27" t="s">
        <v>1315</v>
      </c>
      <c r="B769" s="27" t="str">
        <f t="shared" si="34"/>
        <v>Tennessee</v>
      </c>
      <c r="C769" s="27" t="str">
        <f t="shared" si="36"/>
        <v>Jackson</v>
      </c>
      <c r="D769" s="27">
        <v>0</v>
      </c>
      <c r="E769" s="27">
        <v>0</v>
      </c>
    </row>
    <row r="770" spans="1:5" x14ac:dyDescent="0.25">
      <c r="A770" s="27" t="s">
        <v>1317</v>
      </c>
      <c r="B770" s="27" t="str">
        <f t="shared" si="34"/>
        <v>Tennessee</v>
      </c>
      <c r="C770" s="27" t="str">
        <f t="shared" si="36"/>
        <v>Jefferson</v>
      </c>
      <c r="D770" s="27">
        <v>14</v>
      </c>
      <c r="E770" s="27">
        <v>0</v>
      </c>
    </row>
    <row r="771" spans="1:5" x14ac:dyDescent="0.25">
      <c r="A771" s="27" t="s">
        <v>1318</v>
      </c>
      <c r="B771" s="27" t="str">
        <f t="shared" si="34"/>
        <v>Tennessee</v>
      </c>
      <c r="C771" s="27" t="str">
        <f t="shared" si="36"/>
        <v>Johnson</v>
      </c>
      <c r="D771" s="27">
        <v>0</v>
      </c>
      <c r="E771" s="27">
        <v>0</v>
      </c>
    </row>
    <row r="772" spans="1:5" x14ac:dyDescent="0.25">
      <c r="A772" s="27" t="s">
        <v>1319</v>
      </c>
      <c r="B772" s="27" t="str">
        <f t="shared" si="34"/>
        <v>Tennessee</v>
      </c>
      <c r="C772" s="27" t="str">
        <f t="shared" si="36"/>
        <v>Knox</v>
      </c>
      <c r="D772" s="27">
        <v>3</v>
      </c>
      <c r="E772" s="27">
        <v>0</v>
      </c>
    </row>
    <row r="773" spans="1:5" x14ac:dyDescent="0.25">
      <c r="A773" s="27" t="s">
        <v>1320</v>
      </c>
      <c r="B773" s="27" t="str">
        <f t="shared" si="34"/>
        <v>Tennessee</v>
      </c>
      <c r="C773" s="27" t="str">
        <f t="shared" si="36"/>
        <v>Lake</v>
      </c>
      <c r="D773" s="27">
        <v>3</v>
      </c>
      <c r="E773" s="27">
        <v>2</v>
      </c>
    </row>
    <row r="774" spans="1:5" x14ac:dyDescent="0.25">
      <c r="A774" s="27" t="s">
        <v>1321</v>
      </c>
      <c r="B774" s="27" t="str">
        <f t="shared" si="34"/>
        <v>Tennessee</v>
      </c>
      <c r="C774" s="27" t="str">
        <f t="shared" si="36"/>
        <v>Lauderdale</v>
      </c>
      <c r="D774" s="27">
        <v>25</v>
      </c>
      <c r="E774" s="27">
        <v>8</v>
      </c>
    </row>
    <row r="775" spans="1:5" x14ac:dyDescent="0.25">
      <c r="A775" s="27" t="s">
        <v>1322</v>
      </c>
      <c r="B775" s="27" t="str">
        <f t="shared" si="34"/>
        <v>Tennessee</v>
      </c>
      <c r="C775" s="27" t="str">
        <f t="shared" si="36"/>
        <v>Lawrence</v>
      </c>
      <c r="D775" s="27">
        <v>2</v>
      </c>
      <c r="E775" s="27">
        <v>0</v>
      </c>
    </row>
    <row r="776" spans="1:5" x14ac:dyDescent="0.25">
      <c r="A776" s="27" t="s">
        <v>1323</v>
      </c>
      <c r="B776" s="27" t="str">
        <f t="shared" si="34"/>
        <v>Tennessee</v>
      </c>
      <c r="C776" s="27" t="str">
        <f t="shared" si="36"/>
        <v>Lewis</v>
      </c>
      <c r="D776" s="27">
        <v>2</v>
      </c>
      <c r="E776" s="27">
        <v>2</v>
      </c>
    </row>
    <row r="777" spans="1:5" x14ac:dyDescent="0.25">
      <c r="A777" s="27" t="s">
        <v>1324</v>
      </c>
      <c r="B777" s="27" t="str">
        <f t="shared" si="34"/>
        <v>Tennessee</v>
      </c>
      <c r="C777" s="27" t="str">
        <f t="shared" si="36"/>
        <v>Lincoln</v>
      </c>
      <c r="D777" s="27">
        <v>10</v>
      </c>
      <c r="E777" s="27">
        <v>0</v>
      </c>
    </row>
    <row r="778" spans="1:5" x14ac:dyDescent="0.25">
      <c r="A778" s="27" t="s">
        <v>1325</v>
      </c>
      <c r="B778" s="27" t="str">
        <f t="shared" ref="B778:B820" si="37">LEFT(A778,FIND(";",A778)-1)</f>
        <v>Tennessee</v>
      </c>
      <c r="C778" s="27" t="str">
        <f t="shared" si="36"/>
        <v>Loudon</v>
      </c>
      <c r="D778" s="27">
        <v>4</v>
      </c>
      <c r="E778" s="27">
        <v>0</v>
      </c>
    </row>
    <row r="779" spans="1:5" x14ac:dyDescent="0.25">
      <c r="A779" s="27" t="s">
        <v>1326</v>
      </c>
      <c r="B779" s="27" t="str">
        <f t="shared" si="37"/>
        <v>Tennessee</v>
      </c>
      <c r="C779" s="27" t="str">
        <f t="shared" si="36"/>
        <v>McMinn</v>
      </c>
      <c r="D779" s="27">
        <v>18</v>
      </c>
      <c r="E779" s="27">
        <v>0</v>
      </c>
    </row>
    <row r="780" spans="1:5" x14ac:dyDescent="0.25">
      <c r="A780" s="27" t="s">
        <v>1327</v>
      </c>
      <c r="B780" s="27" t="str">
        <f t="shared" si="37"/>
        <v>Tennessee</v>
      </c>
      <c r="C780" s="27" t="str">
        <f t="shared" si="36"/>
        <v>McNairy</v>
      </c>
      <c r="D780" s="27">
        <v>5</v>
      </c>
      <c r="E780" s="27">
        <v>0</v>
      </c>
    </row>
    <row r="781" spans="1:5" x14ac:dyDescent="0.25">
      <c r="A781" s="27" t="s">
        <v>1328</v>
      </c>
      <c r="B781" s="27" t="str">
        <f t="shared" si="37"/>
        <v>Tennessee</v>
      </c>
      <c r="C781" s="27" t="str">
        <f t="shared" si="36"/>
        <v>Macon</v>
      </c>
      <c r="D781" s="27">
        <v>1</v>
      </c>
      <c r="E781" s="27">
        <v>1</v>
      </c>
    </row>
    <row r="782" spans="1:5" x14ac:dyDescent="0.25">
      <c r="A782" s="27" t="s">
        <v>1329</v>
      </c>
      <c r="B782" s="27" t="str">
        <f t="shared" si="37"/>
        <v>Tennessee</v>
      </c>
      <c r="C782" s="27" t="str">
        <f t="shared" si="36"/>
        <v>Madison</v>
      </c>
      <c r="D782" s="27">
        <v>18</v>
      </c>
      <c r="E782" s="27">
        <v>0</v>
      </c>
    </row>
    <row r="783" spans="1:5" x14ac:dyDescent="0.25">
      <c r="A783" s="27" t="s">
        <v>1330</v>
      </c>
      <c r="B783" s="27" t="str">
        <f t="shared" si="37"/>
        <v>Tennessee</v>
      </c>
      <c r="C783" s="27" t="str">
        <f t="shared" si="36"/>
        <v>Marion</v>
      </c>
      <c r="D783" s="27">
        <v>6</v>
      </c>
      <c r="E783" s="27">
        <v>1</v>
      </c>
    </row>
    <row r="784" spans="1:5" x14ac:dyDescent="0.25">
      <c r="A784" s="27" t="s">
        <v>1331</v>
      </c>
      <c r="B784" s="27" t="str">
        <f t="shared" si="37"/>
        <v>Tennessee</v>
      </c>
      <c r="C784" s="27" t="str">
        <f t="shared" si="36"/>
        <v>Marshall</v>
      </c>
      <c r="D784" s="27">
        <v>9</v>
      </c>
      <c r="E784" s="27">
        <v>4</v>
      </c>
    </row>
    <row r="785" spans="1:5" x14ac:dyDescent="0.25">
      <c r="A785" s="27" t="s">
        <v>1332</v>
      </c>
      <c r="B785" s="27" t="str">
        <f t="shared" si="37"/>
        <v>Tennessee</v>
      </c>
      <c r="C785" s="27" t="str">
        <f t="shared" si="36"/>
        <v>Maury</v>
      </c>
      <c r="D785" s="27">
        <v>22</v>
      </c>
      <c r="E785" s="27">
        <v>1</v>
      </c>
    </row>
    <row r="786" spans="1:5" x14ac:dyDescent="0.25">
      <c r="A786" s="27" t="s">
        <v>1333</v>
      </c>
      <c r="B786" s="27" t="str">
        <f t="shared" si="37"/>
        <v>Tennessee</v>
      </c>
      <c r="C786" s="27" t="str">
        <f t="shared" si="36"/>
        <v>Meigs</v>
      </c>
      <c r="D786" s="27">
        <v>2</v>
      </c>
      <c r="E786" s="27">
        <v>1</v>
      </c>
    </row>
    <row r="787" spans="1:5" x14ac:dyDescent="0.25">
      <c r="A787" s="27" t="s">
        <v>1334</v>
      </c>
      <c r="B787" s="27" t="str">
        <f t="shared" si="37"/>
        <v>Tennessee</v>
      </c>
      <c r="C787" s="27" t="str">
        <f t="shared" si="36"/>
        <v>Monroe</v>
      </c>
      <c r="D787" s="27">
        <v>13</v>
      </c>
      <c r="E787" s="27">
        <v>0</v>
      </c>
    </row>
    <row r="788" spans="1:5" x14ac:dyDescent="0.25">
      <c r="A788" s="27" t="s">
        <v>1335</v>
      </c>
      <c r="B788" s="27" t="str">
        <f t="shared" si="37"/>
        <v>Tennessee</v>
      </c>
      <c r="C788" s="27" t="str">
        <f t="shared" si="36"/>
        <v>Montgomery</v>
      </c>
      <c r="D788" s="27">
        <v>34</v>
      </c>
      <c r="E788" s="27">
        <v>1</v>
      </c>
    </row>
    <row r="789" spans="1:5" x14ac:dyDescent="0.25">
      <c r="A789" s="27" t="s">
        <v>1336</v>
      </c>
      <c r="B789" s="27" t="str">
        <f t="shared" si="37"/>
        <v>Tennessee</v>
      </c>
      <c r="C789" s="27" t="str">
        <f t="shared" si="36"/>
        <v>Moore</v>
      </c>
      <c r="D789" s="27">
        <v>0</v>
      </c>
      <c r="E789" s="27">
        <v>2</v>
      </c>
    </row>
    <row r="790" spans="1:5" x14ac:dyDescent="0.25">
      <c r="A790" s="27" t="s">
        <v>1337</v>
      </c>
      <c r="B790" s="27" t="str">
        <f t="shared" si="37"/>
        <v>Tennessee</v>
      </c>
      <c r="C790" s="27" t="str">
        <f t="shared" ref="C790:C820" si="38">MID(A790,FIND(";",A790)+1,100)</f>
        <v>Morgan</v>
      </c>
      <c r="D790" s="27">
        <v>0</v>
      </c>
      <c r="E790" s="27">
        <v>1</v>
      </c>
    </row>
    <row r="791" spans="1:5" x14ac:dyDescent="0.25">
      <c r="A791" s="27" t="s">
        <v>1338</v>
      </c>
      <c r="B791" s="27" t="str">
        <f t="shared" si="37"/>
        <v>Tennessee</v>
      </c>
      <c r="C791" s="27" t="str">
        <f t="shared" si="38"/>
        <v>Obion</v>
      </c>
      <c r="D791" s="27">
        <v>12</v>
      </c>
      <c r="E791" s="27">
        <v>7</v>
      </c>
    </row>
    <row r="792" spans="1:5" x14ac:dyDescent="0.25">
      <c r="A792" s="27" t="s">
        <v>1339</v>
      </c>
      <c r="B792" s="27" t="str">
        <f t="shared" si="37"/>
        <v>Tennessee</v>
      </c>
      <c r="C792" s="27" t="str">
        <f t="shared" si="38"/>
        <v>Overton</v>
      </c>
      <c r="D792" s="27">
        <v>0</v>
      </c>
      <c r="E792" s="27">
        <v>0</v>
      </c>
    </row>
    <row r="793" spans="1:5" x14ac:dyDescent="0.25">
      <c r="A793" s="27" t="s">
        <v>1340</v>
      </c>
      <c r="B793" s="27" t="str">
        <f t="shared" si="37"/>
        <v>Tennessee</v>
      </c>
      <c r="C793" s="27" t="str">
        <f t="shared" si="38"/>
        <v>Perry</v>
      </c>
      <c r="D793" s="27">
        <v>0</v>
      </c>
      <c r="E793" s="27">
        <v>0</v>
      </c>
    </row>
    <row r="794" spans="1:5" x14ac:dyDescent="0.25">
      <c r="A794" s="27" t="s">
        <v>1341</v>
      </c>
      <c r="B794" s="27" t="str">
        <f t="shared" si="37"/>
        <v>Tennessee</v>
      </c>
      <c r="C794" s="27" t="str">
        <f t="shared" si="38"/>
        <v>Pickett</v>
      </c>
      <c r="D794" s="27">
        <v>0</v>
      </c>
      <c r="E794" s="27">
        <v>0</v>
      </c>
    </row>
    <row r="795" spans="1:5" x14ac:dyDescent="0.25">
      <c r="A795" s="27" t="s">
        <v>1342</v>
      </c>
      <c r="B795" s="27" t="str">
        <f t="shared" si="37"/>
        <v>Tennessee</v>
      </c>
      <c r="C795" s="27" t="str">
        <f t="shared" si="38"/>
        <v>Polk</v>
      </c>
      <c r="D795" s="27">
        <v>2</v>
      </c>
      <c r="E795" s="27">
        <v>0</v>
      </c>
    </row>
    <row r="796" spans="1:5" x14ac:dyDescent="0.25">
      <c r="A796" s="27" t="s">
        <v>1343</v>
      </c>
      <c r="B796" s="27" t="str">
        <f t="shared" si="37"/>
        <v>Tennessee</v>
      </c>
      <c r="C796" s="27" t="str">
        <f t="shared" si="38"/>
        <v>Putnam</v>
      </c>
      <c r="D796" s="27">
        <v>2</v>
      </c>
      <c r="E796" s="27">
        <v>0</v>
      </c>
    </row>
    <row r="797" spans="1:5" x14ac:dyDescent="0.25">
      <c r="A797" s="27" t="s">
        <v>1344</v>
      </c>
      <c r="B797" s="27" t="str">
        <f t="shared" si="37"/>
        <v>Tennessee</v>
      </c>
      <c r="C797" s="27" t="str">
        <f t="shared" si="38"/>
        <v>Rhea</v>
      </c>
      <c r="D797" s="27">
        <v>7</v>
      </c>
      <c r="E797" s="27">
        <v>0</v>
      </c>
    </row>
    <row r="798" spans="1:5" x14ac:dyDescent="0.25">
      <c r="A798" s="27" t="s">
        <v>1345</v>
      </c>
      <c r="B798" s="27" t="str">
        <f t="shared" si="37"/>
        <v>Tennessee</v>
      </c>
      <c r="C798" s="27" t="str">
        <f t="shared" si="38"/>
        <v>Roane</v>
      </c>
      <c r="D798" s="27">
        <v>0</v>
      </c>
      <c r="E798" s="27">
        <v>0</v>
      </c>
    </row>
    <row r="799" spans="1:5" x14ac:dyDescent="0.25">
      <c r="A799" s="27" t="s">
        <v>1346</v>
      </c>
      <c r="B799" s="27" t="str">
        <f t="shared" si="37"/>
        <v>Tennessee</v>
      </c>
      <c r="C799" s="27" t="str">
        <f t="shared" si="38"/>
        <v>Robertson</v>
      </c>
      <c r="D799" s="27">
        <v>22</v>
      </c>
      <c r="E799" s="27">
        <v>2</v>
      </c>
    </row>
    <row r="800" spans="1:5" x14ac:dyDescent="0.25">
      <c r="A800" s="27" t="s">
        <v>1347</v>
      </c>
      <c r="B800" s="27" t="str">
        <f t="shared" si="37"/>
        <v>Tennessee</v>
      </c>
      <c r="C800" s="27" t="str">
        <f t="shared" si="38"/>
        <v>Rutherford</v>
      </c>
      <c r="D800" s="27">
        <v>16</v>
      </c>
      <c r="E800" s="27">
        <v>1</v>
      </c>
    </row>
    <row r="801" spans="1:5" x14ac:dyDescent="0.25">
      <c r="A801" s="27" t="s">
        <v>1348</v>
      </c>
      <c r="B801" s="27" t="str">
        <f t="shared" si="37"/>
        <v>Tennessee</v>
      </c>
      <c r="C801" s="27" t="str">
        <f t="shared" si="38"/>
        <v>Scott</v>
      </c>
      <c r="D801" s="27">
        <v>0</v>
      </c>
      <c r="E801" s="27">
        <v>1</v>
      </c>
    </row>
    <row r="802" spans="1:5" x14ac:dyDescent="0.25">
      <c r="A802" s="27" t="s">
        <v>1762</v>
      </c>
      <c r="B802" s="27" t="str">
        <f t="shared" si="37"/>
        <v>Tennessee</v>
      </c>
      <c r="C802" s="27" t="str">
        <f t="shared" si="38"/>
        <v>Sequatchie</v>
      </c>
      <c r="D802" s="27">
        <v>0</v>
      </c>
      <c r="E802" s="27">
        <v>0</v>
      </c>
    </row>
    <row r="803" spans="1:5" x14ac:dyDescent="0.25">
      <c r="A803" s="27" t="s">
        <v>1349</v>
      </c>
      <c r="B803" s="27" t="str">
        <f t="shared" si="37"/>
        <v>Tennessee</v>
      </c>
      <c r="C803" s="27" t="str">
        <f t="shared" si="38"/>
        <v>Sevier</v>
      </c>
      <c r="D803" s="27">
        <v>2</v>
      </c>
      <c r="E803" s="27">
        <v>0</v>
      </c>
    </row>
    <row r="804" spans="1:5" x14ac:dyDescent="0.25">
      <c r="A804" s="27" t="s">
        <v>1350</v>
      </c>
      <c r="B804" s="27" t="str">
        <f t="shared" si="37"/>
        <v>Tennessee</v>
      </c>
      <c r="C804" s="27" t="str">
        <f t="shared" si="38"/>
        <v>Shelby</v>
      </c>
      <c r="D804" s="27">
        <v>184</v>
      </c>
      <c r="E804" s="27">
        <v>5</v>
      </c>
    </row>
    <row r="805" spans="1:5" x14ac:dyDescent="0.25">
      <c r="A805" s="27" t="s">
        <v>1351</v>
      </c>
      <c r="B805" s="27" t="str">
        <f t="shared" si="37"/>
        <v>Tennessee</v>
      </c>
      <c r="C805" s="27" t="str">
        <f t="shared" si="38"/>
        <v>Smith</v>
      </c>
      <c r="D805" s="27">
        <v>3</v>
      </c>
      <c r="E805" s="27">
        <v>1</v>
      </c>
    </row>
    <row r="806" spans="1:5" x14ac:dyDescent="0.25">
      <c r="A806" s="27" t="s">
        <v>1352</v>
      </c>
      <c r="B806" s="27" t="str">
        <f t="shared" si="37"/>
        <v>Tennessee</v>
      </c>
      <c r="C806" s="27" t="str">
        <f t="shared" si="38"/>
        <v>Stewart</v>
      </c>
      <c r="D806" s="27">
        <v>0</v>
      </c>
      <c r="E806" s="27">
        <v>1</v>
      </c>
    </row>
    <row r="807" spans="1:5" x14ac:dyDescent="0.25">
      <c r="A807" s="27" t="s">
        <v>1353</v>
      </c>
      <c r="B807" s="27" t="str">
        <f t="shared" si="37"/>
        <v>Tennessee</v>
      </c>
      <c r="C807" s="27" t="str">
        <f t="shared" si="38"/>
        <v>Sullivan</v>
      </c>
      <c r="D807" s="27">
        <v>11</v>
      </c>
      <c r="E807" s="27">
        <v>0</v>
      </c>
    </row>
    <row r="808" spans="1:5" x14ac:dyDescent="0.25">
      <c r="A808" s="27" t="s">
        <v>1354</v>
      </c>
      <c r="B808" s="27" t="str">
        <f t="shared" si="37"/>
        <v>Tennessee</v>
      </c>
      <c r="C808" s="27" t="str">
        <f t="shared" si="38"/>
        <v>Sumner</v>
      </c>
      <c r="D808" s="27">
        <v>13</v>
      </c>
      <c r="E808" s="27">
        <v>1</v>
      </c>
    </row>
    <row r="809" spans="1:5" x14ac:dyDescent="0.25">
      <c r="A809" s="27" t="s">
        <v>1355</v>
      </c>
      <c r="B809" s="27" t="str">
        <f t="shared" si="37"/>
        <v>Tennessee</v>
      </c>
      <c r="C809" s="27" t="str">
        <f t="shared" si="38"/>
        <v>Tipton</v>
      </c>
      <c r="D809" s="27">
        <v>24</v>
      </c>
      <c r="E809" s="27">
        <v>0</v>
      </c>
    </row>
    <row r="810" spans="1:5" x14ac:dyDescent="0.25">
      <c r="A810" s="27" t="s">
        <v>1356</v>
      </c>
      <c r="B810" s="27" t="str">
        <f t="shared" si="37"/>
        <v>Tennessee</v>
      </c>
      <c r="C810" s="27" t="str">
        <f t="shared" si="38"/>
        <v>Trousdale</v>
      </c>
      <c r="D810" s="27">
        <v>3</v>
      </c>
      <c r="E810" s="27">
        <v>0</v>
      </c>
    </row>
    <row r="811" spans="1:5" x14ac:dyDescent="0.25">
      <c r="A811" s="27" t="s">
        <v>1357</v>
      </c>
      <c r="B811" s="27" t="str">
        <f t="shared" si="37"/>
        <v>Tennessee</v>
      </c>
      <c r="C811" s="27" t="str">
        <f t="shared" si="38"/>
        <v>Unicoi</v>
      </c>
      <c r="D811" s="27">
        <v>0</v>
      </c>
      <c r="E811" s="27">
        <v>0</v>
      </c>
    </row>
    <row r="812" spans="1:5" x14ac:dyDescent="0.25">
      <c r="A812" s="27" t="s">
        <v>1358</v>
      </c>
      <c r="B812" s="27" t="str">
        <f t="shared" si="37"/>
        <v>Tennessee</v>
      </c>
      <c r="C812" s="27" t="str">
        <f t="shared" si="38"/>
        <v>Union</v>
      </c>
      <c r="D812" s="27">
        <v>0</v>
      </c>
      <c r="E812" s="27">
        <v>1</v>
      </c>
    </row>
    <row r="813" spans="1:5" x14ac:dyDescent="0.25">
      <c r="A813" s="27" t="s">
        <v>1359</v>
      </c>
      <c r="B813" s="27" t="str">
        <f t="shared" si="37"/>
        <v>Tennessee</v>
      </c>
      <c r="C813" s="27" t="str">
        <f t="shared" si="38"/>
        <v>Van Buren</v>
      </c>
      <c r="D813" s="27">
        <v>0</v>
      </c>
      <c r="E813" s="27">
        <v>0</v>
      </c>
    </row>
    <row r="814" spans="1:5" x14ac:dyDescent="0.25">
      <c r="A814" s="27" t="s">
        <v>1360</v>
      </c>
      <c r="B814" s="27" t="str">
        <f t="shared" si="37"/>
        <v>Tennessee</v>
      </c>
      <c r="C814" s="27" t="str">
        <f t="shared" si="38"/>
        <v>Warren</v>
      </c>
      <c r="D814" s="27">
        <v>6</v>
      </c>
      <c r="E814" s="27">
        <v>0</v>
      </c>
    </row>
    <row r="815" spans="1:5" x14ac:dyDescent="0.25">
      <c r="A815" s="27" t="s">
        <v>1361</v>
      </c>
      <c r="B815" s="27" t="str">
        <f t="shared" si="37"/>
        <v>Tennessee</v>
      </c>
      <c r="C815" s="27" t="str">
        <f t="shared" si="38"/>
        <v>Washington</v>
      </c>
      <c r="D815" s="27">
        <v>0</v>
      </c>
      <c r="E815" s="27">
        <v>0</v>
      </c>
    </row>
    <row r="816" spans="1:5" x14ac:dyDescent="0.25">
      <c r="A816" s="27" t="s">
        <v>1362</v>
      </c>
      <c r="B816" s="27" t="str">
        <f t="shared" si="37"/>
        <v>Tennessee</v>
      </c>
      <c r="C816" s="27" t="str">
        <f t="shared" si="38"/>
        <v>Wayne</v>
      </c>
      <c r="D816" s="27">
        <v>2</v>
      </c>
      <c r="E816" s="27">
        <v>1</v>
      </c>
    </row>
    <row r="817" spans="1:5" x14ac:dyDescent="0.25">
      <c r="A817" s="27" t="s">
        <v>1363</v>
      </c>
      <c r="B817" s="27" t="str">
        <f t="shared" si="37"/>
        <v>Tennessee</v>
      </c>
      <c r="C817" s="27" t="str">
        <f t="shared" si="38"/>
        <v>Weakley</v>
      </c>
      <c r="D817" s="27">
        <v>1</v>
      </c>
      <c r="E817" s="27">
        <v>1</v>
      </c>
    </row>
    <row r="818" spans="1:5" x14ac:dyDescent="0.25">
      <c r="A818" s="27" t="s">
        <v>1364</v>
      </c>
      <c r="B818" s="27" t="str">
        <f t="shared" si="37"/>
        <v>Tennessee</v>
      </c>
      <c r="C818" s="27" t="str">
        <f t="shared" si="38"/>
        <v>White</v>
      </c>
      <c r="D818" s="27">
        <v>5</v>
      </c>
      <c r="E818" s="27">
        <v>0</v>
      </c>
    </row>
    <row r="819" spans="1:5" x14ac:dyDescent="0.25">
      <c r="A819" s="27" t="s">
        <v>1365</v>
      </c>
      <c r="B819" s="27" t="str">
        <f t="shared" si="37"/>
        <v>Tennessee</v>
      </c>
      <c r="C819" s="27" t="str">
        <f t="shared" si="38"/>
        <v>Williamson</v>
      </c>
      <c r="D819" s="27">
        <v>9</v>
      </c>
      <c r="E819" s="27">
        <v>0</v>
      </c>
    </row>
    <row r="820" spans="1:5" x14ac:dyDescent="0.25">
      <c r="A820" s="27" t="s">
        <v>1366</v>
      </c>
      <c r="B820" s="27" t="str">
        <f t="shared" si="37"/>
        <v>Tennessee</v>
      </c>
      <c r="C820" s="27" t="str">
        <f t="shared" si="38"/>
        <v>Wilson</v>
      </c>
      <c r="D820" s="27">
        <v>10</v>
      </c>
      <c r="E820" s="27">
        <v>1</v>
      </c>
    </row>
    <row r="821" spans="1:5" x14ac:dyDescent="0.25">
      <c r="C821" s="27">
        <f>SUM(D822:D925)</f>
        <v>1173</v>
      </c>
      <c r="D821" s="27">
        <v>1173</v>
      </c>
      <c r="E821" s="27">
        <v>164</v>
      </c>
    </row>
    <row r="822" spans="1:5" x14ac:dyDescent="0.25">
      <c r="A822" s="27" t="s">
        <v>1368</v>
      </c>
      <c r="B822" s="27" t="str">
        <f t="shared" ref="B822:B884" si="39">LEFT(A822,FIND(";",A822)-1)</f>
        <v>Texas</v>
      </c>
      <c r="C822" s="27" t="str">
        <f t="shared" ref="C822:C853" si="40">MID(A822,FIND(";",A822)+1,100)</f>
        <v>Anderson</v>
      </c>
      <c r="D822" s="27">
        <v>7</v>
      </c>
      <c r="E822" s="27">
        <v>0</v>
      </c>
    </row>
    <row r="823" spans="1:5" x14ac:dyDescent="0.25">
      <c r="A823" s="27" t="s">
        <v>1370</v>
      </c>
      <c r="B823" s="27" t="str">
        <f t="shared" si="39"/>
        <v>Texas</v>
      </c>
      <c r="C823" s="27" t="str">
        <f t="shared" si="40"/>
        <v>Angelina</v>
      </c>
      <c r="D823" s="27">
        <v>2</v>
      </c>
      <c r="E823" s="27">
        <v>0</v>
      </c>
    </row>
    <row r="824" spans="1:5" x14ac:dyDescent="0.25">
      <c r="A824" s="27" t="s">
        <v>1375</v>
      </c>
      <c r="B824" s="27" t="str">
        <f t="shared" si="39"/>
        <v>Texas</v>
      </c>
      <c r="C824" s="27" t="str">
        <f t="shared" si="40"/>
        <v>Austin</v>
      </c>
      <c r="D824" s="27">
        <v>3</v>
      </c>
      <c r="E824" s="27">
        <v>0</v>
      </c>
    </row>
    <row r="825" spans="1:5" x14ac:dyDescent="0.25">
      <c r="A825" s="27" t="s">
        <v>1378</v>
      </c>
      <c r="B825" s="27" t="str">
        <f t="shared" si="39"/>
        <v>Texas</v>
      </c>
      <c r="C825" s="27" t="str">
        <f t="shared" si="40"/>
        <v>Bastrop</v>
      </c>
      <c r="D825" s="27">
        <v>15</v>
      </c>
      <c r="E825" s="27">
        <v>0</v>
      </c>
    </row>
    <row r="826" spans="1:5" x14ac:dyDescent="0.25">
      <c r="A826" s="27" t="s">
        <v>1381</v>
      </c>
      <c r="B826" s="27" t="str">
        <f t="shared" si="39"/>
        <v>Texas</v>
      </c>
      <c r="C826" s="27" t="str">
        <f t="shared" si="40"/>
        <v>Bell</v>
      </c>
      <c r="D826" s="27">
        <v>0</v>
      </c>
      <c r="E826" s="27">
        <v>2</v>
      </c>
    </row>
    <row r="827" spans="1:5" x14ac:dyDescent="0.25">
      <c r="A827" s="27" t="s">
        <v>1382</v>
      </c>
      <c r="B827" s="27" t="str">
        <f t="shared" si="39"/>
        <v>Texas</v>
      </c>
      <c r="C827" s="27" t="str">
        <f t="shared" si="40"/>
        <v>Bexar</v>
      </c>
      <c r="D827" s="27">
        <v>0</v>
      </c>
      <c r="E827" s="27">
        <v>0</v>
      </c>
    </row>
    <row r="828" spans="1:5" x14ac:dyDescent="0.25">
      <c r="A828" s="27" t="s">
        <v>1386</v>
      </c>
      <c r="B828" s="27" t="str">
        <f t="shared" si="39"/>
        <v>Texas</v>
      </c>
      <c r="C828" s="27" t="str">
        <f t="shared" si="40"/>
        <v>Bowie</v>
      </c>
      <c r="D828" s="27">
        <v>60</v>
      </c>
      <c r="E828" s="27">
        <v>3</v>
      </c>
    </row>
    <row r="829" spans="1:5" x14ac:dyDescent="0.25">
      <c r="A829" s="27" t="s">
        <v>1387</v>
      </c>
      <c r="B829" s="27" t="str">
        <f t="shared" si="39"/>
        <v>Texas</v>
      </c>
      <c r="C829" s="27" t="str">
        <f t="shared" si="40"/>
        <v>Brazoria</v>
      </c>
      <c r="D829" s="27">
        <v>7</v>
      </c>
      <c r="E829" s="27">
        <v>9</v>
      </c>
    </row>
    <row r="830" spans="1:5" x14ac:dyDescent="0.25">
      <c r="A830" s="27" t="s">
        <v>1388</v>
      </c>
      <c r="B830" s="27" t="str">
        <f t="shared" si="39"/>
        <v>Texas</v>
      </c>
      <c r="C830" s="27" t="str">
        <f t="shared" si="40"/>
        <v>Brazos</v>
      </c>
      <c r="D830" s="27">
        <v>11</v>
      </c>
      <c r="E830" s="27">
        <v>3</v>
      </c>
    </row>
    <row r="831" spans="1:5" x14ac:dyDescent="0.25">
      <c r="A831" s="27" t="s">
        <v>1393</v>
      </c>
      <c r="B831" s="27" t="str">
        <f t="shared" si="39"/>
        <v>Texas</v>
      </c>
      <c r="C831" s="27" t="str">
        <f t="shared" si="40"/>
        <v>Burleson</v>
      </c>
      <c r="D831" s="27">
        <v>27</v>
      </c>
      <c r="E831" s="27">
        <v>0</v>
      </c>
    </row>
    <row r="832" spans="1:5" x14ac:dyDescent="0.25">
      <c r="A832" s="27" t="s">
        <v>1395</v>
      </c>
      <c r="B832" s="27" t="str">
        <f t="shared" si="39"/>
        <v>Texas</v>
      </c>
      <c r="C832" s="27" t="str">
        <f t="shared" si="40"/>
        <v>Caldwell</v>
      </c>
      <c r="D832" s="27">
        <v>10</v>
      </c>
      <c r="E832" s="27">
        <v>4</v>
      </c>
    </row>
    <row r="833" spans="1:5" x14ac:dyDescent="0.25">
      <c r="A833" s="27" t="s">
        <v>1396</v>
      </c>
      <c r="B833" s="27" t="str">
        <f t="shared" si="39"/>
        <v>Texas</v>
      </c>
      <c r="C833" s="27" t="str">
        <f t="shared" si="40"/>
        <v>Calhoun</v>
      </c>
      <c r="D833" s="27">
        <v>2</v>
      </c>
      <c r="E833" s="27">
        <v>0</v>
      </c>
    </row>
    <row r="834" spans="1:5" x14ac:dyDescent="0.25">
      <c r="A834" s="27" t="s">
        <v>1399</v>
      </c>
      <c r="B834" s="27" t="str">
        <f t="shared" si="39"/>
        <v>Texas</v>
      </c>
      <c r="C834" s="27" t="str">
        <f t="shared" si="40"/>
        <v>Camp</v>
      </c>
      <c r="D834" s="27">
        <v>21</v>
      </c>
      <c r="E834" s="27">
        <v>1</v>
      </c>
    </row>
    <row r="835" spans="1:5" x14ac:dyDescent="0.25">
      <c r="A835" s="27" t="s">
        <v>1790</v>
      </c>
      <c r="B835" s="27" t="str">
        <f t="shared" si="39"/>
        <v>Texas</v>
      </c>
      <c r="C835" s="27" t="str">
        <f t="shared" si="40"/>
        <v>Cass/Davis</v>
      </c>
      <c r="D835" s="27">
        <v>68</v>
      </c>
      <c r="E835" s="27">
        <v>3</v>
      </c>
    </row>
    <row r="836" spans="1:5" x14ac:dyDescent="0.25">
      <c r="A836" s="27" t="s">
        <v>1402</v>
      </c>
      <c r="B836" s="27" t="str">
        <f t="shared" si="39"/>
        <v>Texas</v>
      </c>
      <c r="C836" s="27" t="str">
        <f t="shared" si="40"/>
        <v>Chambers</v>
      </c>
      <c r="D836" s="27">
        <v>3</v>
      </c>
      <c r="E836" s="27">
        <v>0</v>
      </c>
    </row>
    <row r="837" spans="1:5" x14ac:dyDescent="0.25">
      <c r="A837" s="27" t="s">
        <v>1403</v>
      </c>
      <c r="B837" s="27" t="str">
        <f t="shared" si="39"/>
        <v>Texas</v>
      </c>
      <c r="C837" s="27" t="str">
        <f t="shared" si="40"/>
        <v>Cherokee</v>
      </c>
      <c r="D837" s="27">
        <v>52</v>
      </c>
      <c r="E837" s="27">
        <v>2</v>
      </c>
    </row>
    <row r="838" spans="1:5" x14ac:dyDescent="0.25">
      <c r="A838" s="27" t="s">
        <v>1408</v>
      </c>
      <c r="B838" s="27" t="str">
        <f t="shared" si="39"/>
        <v>Texas</v>
      </c>
      <c r="C838" s="27" t="str">
        <f t="shared" si="40"/>
        <v>Collin</v>
      </c>
      <c r="D838" s="27">
        <v>0</v>
      </c>
      <c r="E838" s="27">
        <v>1</v>
      </c>
    </row>
    <row r="839" spans="1:5" x14ac:dyDescent="0.25">
      <c r="A839" s="27" t="s">
        <v>1409</v>
      </c>
      <c r="B839" s="27" t="str">
        <f t="shared" si="39"/>
        <v>Texas</v>
      </c>
      <c r="C839" s="27" t="str">
        <f t="shared" si="40"/>
        <v>Collingsworth</v>
      </c>
      <c r="D839" s="27">
        <v>0</v>
      </c>
      <c r="E839" s="27">
        <v>0</v>
      </c>
    </row>
    <row r="840" spans="1:5" x14ac:dyDescent="0.25">
      <c r="A840" s="27" t="s">
        <v>1410</v>
      </c>
      <c r="B840" s="27" t="str">
        <f t="shared" si="39"/>
        <v>Texas</v>
      </c>
      <c r="C840" s="27" t="str">
        <f t="shared" si="40"/>
        <v>Colorado</v>
      </c>
      <c r="D840" s="27">
        <v>5</v>
      </c>
      <c r="E840" s="27">
        <v>3</v>
      </c>
    </row>
    <row r="841" spans="1:5" x14ac:dyDescent="0.25">
      <c r="A841" s="27" t="s">
        <v>1414</v>
      </c>
      <c r="B841" s="27" t="str">
        <f t="shared" si="39"/>
        <v>Texas</v>
      </c>
      <c r="C841" s="27" t="str">
        <f t="shared" si="40"/>
        <v>Cooke</v>
      </c>
      <c r="D841" s="27">
        <v>0</v>
      </c>
      <c r="E841" s="27">
        <v>1</v>
      </c>
    </row>
    <row r="842" spans="1:5" x14ac:dyDescent="0.25">
      <c r="A842" s="27" t="s">
        <v>1416</v>
      </c>
      <c r="B842" s="27" t="str">
        <f t="shared" si="39"/>
        <v>Texas</v>
      </c>
      <c r="C842" s="27" t="str">
        <f t="shared" si="40"/>
        <v>Cottle</v>
      </c>
      <c r="D842" s="27">
        <v>2</v>
      </c>
      <c r="E842" s="27">
        <v>0</v>
      </c>
    </row>
    <row r="843" spans="1:5" x14ac:dyDescent="0.25">
      <c r="A843" s="27" t="s">
        <v>1422</v>
      </c>
      <c r="B843" s="27" t="str">
        <f t="shared" si="39"/>
        <v>Texas</v>
      </c>
      <c r="C843" s="27" t="str">
        <f t="shared" si="40"/>
        <v>Dallas</v>
      </c>
      <c r="D843" s="27">
        <v>0</v>
      </c>
      <c r="E843" s="27">
        <v>1</v>
      </c>
    </row>
    <row r="844" spans="1:5" x14ac:dyDescent="0.25">
      <c r="A844" s="27" t="s">
        <v>1425</v>
      </c>
      <c r="B844" s="27" t="str">
        <f t="shared" si="39"/>
        <v>Texas</v>
      </c>
      <c r="C844" s="27" t="str">
        <f t="shared" si="40"/>
        <v>Delta</v>
      </c>
      <c r="D844" s="27">
        <v>0</v>
      </c>
      <c r="E844" s="27">
        <v>0</v>
      </c>
    </row>
    <row r="845" spans="1:5" x14ac:dyDescent="0.25">
      <c r="A845" s="27" t="s">
        <v>1426</v>
      </c>
      <c r="B845" s="27" t="str">
        <f t="shared" si="39"/>
        <v>Texas</v>
      </c>
      <c r="C845" s="27" t="str">
        <f t="shared" si="40"/>
        <v>Denton</v>
      </c>
      <c r="D845" s="27">
        <v>0</v>
      </c>
      <c r="E845" s="27">
        <v>2</v>
      </c>
    </row>
    <row r="846" spans="1:5" x14ac:dyDescent="0.25">
      <c r="A846" s="27" t="s">
        <v>1427</v>
      </c>
      <c r="B846" s="27" t="str">
        <f t="shared" si="39"/>
        <v>Texas</v>
      </c>
      <c r="C846" s="27" t="str">
        <f t="shared" si="40"/>
        <v>DeWitt</v>
      </c>
      <c r="D846" s="27">
        <v>10</v>
      </c>
      <c r="E846" s="27">
        <v>0</v>
      </c>
    </row>
    <row r="847" spans="1:5" x14ac:dyDescent="0.25">
      <c r="A847" s="27" t="s">
        <v>1436</v>
      </c>
      <c r="B847" s="27" t="str">
        <f t="shared" si="39"/>
        <v>Texas</v>
      </c>
      <c r="C847" s="27" t="str">
        <f t="shared" si="40"/>
        <v>Ellis</v>
      </c>
      <c r="D847" s="27">
        <v>2</v>
      </c>
      <c r="E847" s="27">
        <v>1</v>
      </c>
    </row>
    <row r="848" spans="1:5" x14ac:dyDescent="0.25">
      <c r="A848" s="27" t="s">
        <v>1438</v>
      </c>
      <c r="B848" s="27" t="str">
        <f t="shared" si="39"/>
        <v>Texas</v>
      </c>
      <c r="C848" s="27" t="str">
        <f t="shared" si="40"/>
        <v>Falls</v>
      </c>
      <c r="D848" s="27">
        <v>2</v>
      </c>
      <c r="E848" s="27">
        <v>2</v>
      </c>
    </row>
    <row r="849" spans="1:5" x14ac:dyDescent="0.25">
      <c r="A849" s="27" t="s">
        <v>1439</v>
      </c>
      <c r="B849" s="27" t="str">
        <f t="shared" si="39"/>
        <v>Texas</v>
      </c>
      <c r="C849" s="27" t="str">
        <f t="shared" si="40"/>
        <v>Fannin</v>
      </c>
      <c r="D849" s="27">
        <v>7</v>
      </c>
      <c r="E849" s="27">
        <v>1</v>
      </c>
    </row>
    <row r="850" spans="1:5" x14ac:dyDescent="0.25">
      <c r="A850" s="27" t="s">
        <v>1440</v>
      </c>
      <c r="B850" s="27" t="str">
        <f t="shared" si="39"/>
        <v>Texas</v>
      </c>
      <c r="C850" s="27" t="str">
        <f t="shared" si="40"/>
        <v>Fayette</v>
      </c>
      <c r="D850" s="27">
        <v>7</v>
      </c>
      <c r="E850" s="27">
        <v>0</v>
      </c>
    </row>
    <row r="851" spans="1:5" x14ac:dyDescent="0.25">
      <c r="A851" s="27" t="s">
        <v>1444</v>
      </c>
      <c r="B851" s="27" t="str">
        <f t="shared" si="39"/>
        <v>Texas</v>
      </c>
      <c r="C851" s="27" t="str">
        <f t="shared" si="40"/>
        <v>Fort Bend</v>
      </c>
      <c r="D851" s="27">
        <v>20</v>
      </c>
      <c r="E851" s="27">
        <v>1</v>
      </c>
    </row>
    <row r="852" spans="1:5" x14ac:dyDescent="0.25">
      <c r="A852" s="27" t="s">
        <v>1445</v>
      </c>
      <c r="B852" s="27" t="str">
        <f t="shared" si="39"/>
        <v>Texas</v>
      </c>
      <c r="C852" s="27" t="str">
        <f t="shared" si="40"/>
        <v>Franklin</v>
      </c>
      <c r="D852" s="27">
        <v>2</v>
      </c>
      <c r="E852" s="27">
        <v>0</v>
      </c>
    </row>
    <row r="853" spans="1:5" x14ac:dyDescent="0.25">
      <c r="A853" s="27" t="s">
        <v>1763</v>
      </c>
      <c r="B853" s="27" t="str">
        <f t="shared" si="39"/>
        <v>Texas</v>
      </c>
      <c r="C853" s="27" t="str">
        <f t="shared" si="40"/>
        <v>Freestone</v>
      </c>
      <c r="D853" s="27">
        <v>18</v>
      </c>
      <c r="E853" s="27">
        <v>5</v>
      </c>
    </row>
    <row r="854" spans="1:5" x14ac:dyDescent="0.25">
      <c r="A854" s="27" t="s">
        <v>1448</v>
      </c>
      <c r="B854" s="27" t="str">
        <f t="shared" si="39"/>
        <v>Texas</v>
      </c>
      <c r="C854" s="27" t="str">
        <f t="shared" ref="C854:C885" si="41">MID(A854,FIND(";",A854)+1,100)</f>
        <v>Galveston</v>
      </c>
      <c r="D854" s="27">
        <v>3</v>
      </c>
      <c r="E854" s="27">
        <v>1</v>
      </c>
    </row>
    <row r="855" spans="1:5" x14ac:dyDescent="0.25">
      <c r="A855" s="27" t="s">
        <v>1452</v>
      </c>
      <c r="B855" s="27" t="str">
        <f t="shared" si="39"/>
        <v>Texas</v>
      </c>
      <c r="C855" s="27" t="str">
        <f t="shared" si="41"/>
        <v>Goliad</v>
      </c>
      <c r="D855" s="27">
        <v>0</v>
      </c>
      <c r="E855" s="27">
        <v>2</v>
      </c>
    </row>
    <row r="856" spans="1:5" x14ac:dyDescent="0.25">
      <c r="A856" s="27" t="s">
        <v>1453</v>
      </c>
      <c r="B856" s="27" t="str">
        <f t="shared" si="39"/>
        <v>Texas</v>
      </c>
      <c r="C856" s="27" t="str">
        <f t="shared" si="41"/>
        <v>Gonzales</v>
      </c>
      <c r="D856" s="27">
        <v>2</v>
      </c>
      <c r="E856" s="27">
        <v>0</v>
      </c>
    </row>
    <row r="857" spans="1:5" x14ac:dyDescent="0.25">
      <c r="A857" s="27" t="s">
        <v>1455</v>
      </c>
      <c r="B857" s="27" t="str">
        <f t="shared" si="39"/>
        <v>Texas</v>
      </c>
      <c r="C857" s="27" t="str">
        <f t="shared" si="41"/>
        <v>Grayson</v>
      </c>
      <c r="D857" s="27">
        <v>2</v>
      </c>
      <c r="E857" s="27">
        <v>1</v>
      </c>
    </row>
    <row r="858" spans="1:5" x14ac:dyDescent="0.25">
      <c r="A858" s="27" t="s">
        <v>1456</v>
      </c>
      <c r="B858" s="27" t="str">
        <f t="shared" si="39"/>
        <v>Texas</v>
      </c>
      <c r="C858" s="27" t="str">
        <f t="shared" si="41"/>
        <v>Gregg</v>
      </c>
      <c r="D858" s="27">
        <v>48</v>
      </c>
      <c r="E858" s="27">
        <v>5</v>
      </c>
    </row>
    <row r="859" spans="1:5" x14ac:dyDescent="0.25">
      <c r="A859" s="27" t="s">
        <v>1457</v>
      </c>
      <c r="B859" s="27" t="str">
        <f t="shared" si="39"/>
        <v>Texas</v>
      </c>
      <c r="C859" s="27" t="str">
        <f t="shared" si="41"/>
        <v>Grimes</v>
      </c>
      <c r="D859" s="27">
        <v>13</v>
      </c>
      <c r="E859" s="27">
        <v>4</v>
      </c>
    </row>
    <row r="860" spans="1:5" x14ac:dyDescent="0.25">
      <c r="A860" s="27" t="s">
        <v>1764</v>
      </c>
      <c r="B860" s="27" t="str">
        <f t="shared" si="39"/>
        <v>Texas</v>
      </c>
      <c r="C860" s="27" t="str">
        <f t="shared" si="41"/>
        <v>Guadalupe</v>
      </c>
      <c r="D860" s="27">
        <v>17</v>
      </c>
      <c r="E860" s="27">
        <v>0</v>
      </c>
    </row>
    <row r="861" spans="1:5" x14ac:dyDescent="0.25">
      <c r="A861" s="27" t="s">
        <v>1463</v>
      </c>
      <c r="B861" s="27" t="str">
        <f t="shared" si="39"/>
        <v>Texas</v>
      </c>
      <c r="C861" s="27" t="str">
        <f t="shared" si="41"/>
        <v>Hardin</v>
      </c>
      <c r="D861" s="27">
        <v>4</v>
      </c>
      <c r="E861" s="27">
        <v>1</v>
      </c>
    </row>
    <row r="862" spans="1:5" x14ac:dyDescent="0.25">
      <c r="A862" s="27" t="s">
        <v>1464</v>
      </c>
      <c r="B862" s="27" t="str">
        <f t="shared" si="39"/>
        <v>Texas</v>
      </c>
      <c r="C862" s="27" t="str">
        <f t="shared" si="41"/>
        <v>Harris</v>
      </c>
      <c r="D862" s="27">
        <v>1</v>
      </c>
      <c r="E862" s="27">
        <v>6</v>
      </c>
    </row>
    <row r="863" spans="1:5" x14ac:dyDescent="0.25">
      <c r="A863" s="27" t="s">
        <v>1465</v>
      </c>
      <c r="B863" s="27" t="str">
        <f t="shared" si="39"/>
        <v>Texas</v>
      </c>
      <c r="C863" s="27" t="str">
        <f t="shared" si="41"/>
        <v>Harrison</v>
      </c>
      <c r="D863" s="27">
        <v>38</v>
      </c>
      <c r="E863" s="27">
        <v>9</v>
      </c>
    </row>
    <row r="864" spans="1:5" x14ac:dyDescent="0.25">
      <c r="A864" s="27" t="s">
        <v>1468</v>
      </c>
      <c r="B864" s="27" t="str">
        <f t="shared" si="39"/>
        <v>Texas</v>
      </c>
      <c r="C864" s="27" t="str">
        <f t="shared" si="41"/>
        <v>Hays</v>
      </c>
      <c r="D864" s="27">
        <v>0</v>
      </c>
      <c r="E864" s="27">
        <v>0</v>
      </c>
    </row>
    <row r="865" spans="1:5" x14ac:dyDescent="0.25">
      <c r="A865" s="27" t="s">
        <v>1470</v>
      </c>
      <c r="B865" s="27" t="str">
        <f t="shared" si="39"/>
        <v>Texas</v>
      </c>
      <c r="C865" s="27" t="str">
        <f t="shared" si="41"/>
        <v>Henderson</v>
      </c>
      <c r="D865" s="27">
        <v>14</v>
      </c>
      <c r="E865" s="27">
        <v>0</v>
      </c>
    </row>
    <row r="866" spans="1:5" x14ac:dyDescent="0.25">
      <c r="A866" s="27" t="s">
        <v>1472</v>
      </c>
      <c r="B866" s="27" t="str">
        <f t="shared" si="39"/>
        <v>Texas</v>
      </c>
      <c r="C866" s="27" t="str">
        <f t="shared" si="41"/>
        <v>Hill</v>
      </c>
      <c r="D866" s="27">
        <v>0</v>
      </c>
      <c r="E866" s="27">
        <v>1</v>
      </c>
    </row>
    <row r="867" spans="1:5" x14ac:dyDescent="0.25">
      <c r="A867" s="27" t="s">
        <v>1475</v>
      </c>
      <c r="B867" s="27" t="str">
        <f t="shared" si="39"/>
        <v>Texas</v>
      </c>
      <c r="C867" s="27" t="str">
        <f t="shared" si="41"/>
        <v>Hopkins</v>
      </c>
      <c r="D867" s="27">
        <v>4</v>
      </c>
      <c r="E867" s="27">
        <v>3</v>
      </c>
    </row>
    <row r="868" spans="1:5" x14ac:dyDescent="0.25">
      <c r="A868" s="27" t="s">
        <v>1476</v>
      </c>
      <c r="B868" s="27" t="str">
        <f t="shared" si="39"/>
        <v>Texas</v>
      </c>
      <c r="C868" s="27" t="str">
        <f t="shared" si="41"/>
        <v>Houston</v>
      </c>
      <c r="D868" s="27">
        <v>41</v>
      </c>
      <c r="E868" s="27">
        <v>0</v>
      </c>
    </row>
    <row r="869" spans="1:5" x14ac:dyDescent="0.25">
      <c r="A869" s="27" t="s">
        <v>1479</v>
      </c>
      <c r="B869" s="27" t="str">
        <f t="shared" si="39"/>
        <v>Texas</v>
      </c>
      <c r="C869" s="27" t="str">
        <f t="shared" si="41"/>
        <v>Hunt</v>
      </c>
      <c r="D869" s="27">
        <v>5</v>
      </c>
      <c r="E869" s="27">
        <v>0</v>
      </c>
    </row>
    <row r="870" spans="1:5" x14ac:dyDescent="0.25">
      <c r="A870" s="27" t="s">
        <v>1483</v>
      </c>
      <c r="B870" s="27" t="str">
        <f t="shared" si="39"/>
        <v>Texas</v>
      </c>
      <c r="C870" s="27" t="str">
        <f t="shared" si="41"/>
        <v>Jackson</v>
      </c>
      <c r="D870" s="27">
        <v>0</v>
      </c>
      <c r="E870" s="27">
        <v>0</v>
      </c>
    </row>
    <row r="871" spans="1:5" x14ac:dyDescent="0.25">
      <c r="A871" s="27" t="s">
        <v>1484</v>
      </c>
      <c r="B871" s="27" t="str">
        <f t="shared" si="39"/>
        <v>Texas</v>
      </c>
      <c r="C871" s="27" t="str">
        <f t="shared" si="41"/>
        <v>Jasper</v>
      </c>
      <c r="D871" s="27">
        <v>9</v>
      </c>
      <c r="E871" s="27">
        <v>0</v>
      </c>
    </row>
    <row r="872" spans="1:5" x14ac:dyDescent="0.25">
      <c r="A872" s="27" t="s">
        <v>1486</v>
      </c>
      <c r="B872" s="27" t="str">
        <f t="shared" si="39"/>
        <v>Texas</v>
      </c>
      <c r="C872" s="27" t="str">
        <f t="shared" si="41"/>
        <v>Jefferson</v>
      </c>
      <c r="D872" s="27">
        <v>9</v>
      </c>
      <c r="E872" s="27">
        <v>4</v>
      </c>
    </row>
    <row r="873" spans="1:5" x14ac:dyDescent="0.25">
      <c r="A873" s="27" t="s">
        <v>1489</v>
      </c>
      <c r="B873" s="27" t="str">
        <f t="shared" si="39"/>
        <v>Texas</v>
      </c>
      <c r="C873" s="27" t="str">
        <f t="shared" si="41"/>
        <v>Johnson</v>
      </c>
      <c r="D873" s="27">
        <v>9</v>
      </c>
      <c r="E873" s="27">
        <v>0</v>
      </c>
    </row>
    <row r="874" spans="1:5" x14ac:dyDescent="0.25">
      <c r="A874" s="27" t="s">
        <v>1492</v>
      </c>
      <c r="B874" s="27" t="str">
        <f t="shared" si="39"/>
        <v>Texas</v>
      </c>
      <c r="C874" s="27" t="str">
        <f t="shared" si="41"/>
        <v>Kaufman</v>
      </c>
      <c r="D874" s="27">
        <v>4</v>
      </c>
      <c r="E874" s="27">
        <v>1</v>
      </c>
    </row>
    <row r="875" spans="1:5" x14ac:dyDescent="0.25">
      <c r="A875" s="27" t="s">
        <v>1498</v>
      </c>
      <c r="B875" s="27" t="str">
        <f t="shared" si="39"/>
        <v>Texas</v>
      </c>
      <c r="C875" s="27" t="str">
        <f t="shared" si="41"/>
        <v>King</v>
      </c>
      <c r="D875" s="27">
        <v>0</v>
      </c>
      <c r="E875" s="27">
        <v>0</v>
      </c>
    </row>
    <row r="876" spans="1:5" x14ac:dyDescent="0.25">
      <c r="A876" s="27" t="s">
        <v>1499</v>
      </c>
      <c r="B876" s="27" t="str">
        <f t="shared" si="39"/>
        <v>Texas</v>
      </c>
      <c r="C876" s="27" t="str">
        <f t="shared" si="41"/>
        <v>Kinney</v>
      </c>
      <c r="D876" s="27">
        <v>0</v>
      </c>
      <c r="E876" s="27">
        <v>0</v>
      </c>
    </row>
    <row r="877" spans="1:5" x14ac:dyDescent="0.25">
      <c r="A877" s="27" t="s">
        <v>1502</v>
      </c>
      <c r="B877" s="27" t="str">
        <f t="shared" si="39"/>
        <v>Texas</v>
      </c>
      <c r="C877" s="27" t="str">
        <f t="shared" si="41"/>
        <v>Lamar</v>
      </c>
      <c r="D877" s="27">
        <v>0</v>
      </c>
      <c r="E877" s="27">
        <v>5</v>
      </c>
    </row>
    <row r="878" spans="1:5" x14ac:dyDescent="0.25">
      <c r="A878" s="27" t="s">
        <v>1506</v>
      </c>
      <c r="B878" s="27" t="str">
        <f t="shared" si="39"/>
        <v>Texas</v>
      </c>
      <c r="C878" s="27" t="str">
        <f t="shared" si="41"/>
        <v>Lavaca</v>
      </c>
      <c r="D878" s="27">
        <v>5</v>
      </c>
      <c r="E878" s="27">
        <v>1</v>
      </c>
    </row>
    <row r="879" spans="1:5" x14ac:dyDescent="0.25">
      <c r="A879" s="27" t="s">
        <v>1507</v>
      </c>
      <c r="B879" s="27" t="str">
        <f t="shared" si="39"/>
        <v>Texas</v>
      </c>
      <c r="C879" s="27" t="str">
        <f t="shared" si="41"/>
        <v>Lee</v>
      </c>
      <c r="D879" s="27">
        <v>26</v>
      </c>
      <c r="E879" s="27">
        <v>0</v>
      </c>
    </row>
    <row r="880" spans="1:5" x14ac:dyDescent="0.25">
      <c r="A880" s="27" t="s">
        <v>1508</v>
      </c>
      <c r="B880" s="27" t="str">
        <f t="shared" si="39"/>
        <v>Texas</v>
      </c>
      <c r="C880" s="27" t="str">
        <f t="shared" si="41"/>
        <v>Leon</v>
      </c>
      <c r="D880" s="27">
        <v>4</v>
      </c>
      <c r="E880" s="27">
        <v>3</v>
      </c>
    </row>
    <row r="881" spans="1:5" x14ac:dyDescent="0.25">
      <c r="A881" s="27" t="s">
        <v>1509</v>
      </c>
      <c r="B881" s="27" t="str">
        <f t="shared" si="39"/>
        <v>Texas</v>
      </c>
      <c r="C881" s="27" t="str">
        <f t="shared" si="41"/>
        <v>Liberty</v>
      </c>
      <c r="D881" s="27">
        <v>8</v>
      </c>
      <c r="E881" s="27">
        <v>0</v>
      </c>
    </row>
    <row r="882" spans="1:5" x14ac:dyDescent="0.25">
      <c r="A882" s="27" t="s">
        <v>1510</v>
      </c>
      <c r="B882" s="27" t="str">
        <f t="shared" si="39"/>
        <v>Texas</v>
      </c>
      <c r="C882" s="27" t="str">
        <f t="shared" si="41"/>
        <v>Limestone</v>
      </c>
      <c r="D882" s="27">
        <v>30</v>
      </c>
      <c r="E882" s="27">
        <v>3</v>
      </c>
    </row>
    <row r="883" spans="1:5" x14ac:dyDescent="0.25">
      <c r="A883" s="27" t="s">
        <v>1518</v>
      </c>
      <c r="B883" s="27" t="str">
        <f>LEFT(A883,FIND(";",A883)-1)</f>
        <v>Texas</v>
      </c>
      <c r="C883" s="27" t="str">
        <f t="shared" si="41"/>
        <v>McLennan</v>
      </c>
      <c r="D883" s="27">
        <v>0</v>
      </c>
      <c r="E883" s="27">
        <v>4</v>
      </c>
    </row>
    <row r="884" spans="1:5" x14ac:dyDescent="0.25">
      <c r="A884" s="27" t="s">
        <v>1520</v>
      </c>
      <c r="B884" s="27" t="str">
        <f t="shared" si="39"/>
        <v>Texas</v>
      </c>
      <c r="C884" s="27" t="str">
        <f t="shared" si="41"/>
        <v>Madison</v>
      </c>
      <c r="D884" s="27">
        <v>13</v>
      </c>
      <c r="E884" s="27">
        <v>0</v>
      </c>
    </row>
    <row r="885" spans="1:5" x14ac:dyDescent="0.25">
      <c r="A885" s="27" t="s">
        <v>1521</v>
      </c>
      <c r="B885" s="27" t="str">
        <f t="shared" ref="B885:B925" si="42">LEFT(A885,FIND(";",A885)-1)</f>
        <v>Texas</v>
      </c>
      <c r="C885" s="27" t="str">
        <f t="shared" si="41"/>
        <v>Marion</v>
      </c>
      <c r="D885" s="27">
        <v>9</v>
      </c>
      <c r="E885" s="27">
        <v>2</v>
      </c>
    </row>
    <row r="886" spans="1:5" x14ac:dyDescent="0.25">
      <c r="A886" s="27" t="s">
        <v>1524</v>
      </c>
      <c r="B886" s="27" t="str">
        <f t="shared" si="42"/>
        <v>Texas</v>
      </c>
      <c r="C886" s="27" t="str">
        <f t="shared" ref="C886:C917" si="43">MID(A886,FIND(";",A886)+1,100)</f>
        <v>Matagorda</v>
      </c>
      <c r="D886" s="27">
        <v>6</v>
      </c>
      <c r="E886" s="27">
        <v>1</v>
      </c>
    </row>
    <row r="887" spans="1:5" x14ac:dyDescent="0.25">
      <c r="A887" s="27" t="s">
        <v>1529</v>
      </c>
      <c r="B887" s="27" t="str">
        <f t="shared" si="42"/>
        <v>Texas</v>
      </c>
      <c r="C887" s="27" t="str">
        <f t="shared" si="43"/>
        <v>Milam</v>
      </c>
      <c r="D887" s="27">
        <v>17</v>
      </c>
      <c r="E887" s="27">
        <v>2</v>
      </c>
    </row>
    <row r="888" spans="1:5" x14ac:dyDescent="0.25">
      <c r="A888" s="27" t="s">
        <v>1531</v>
      </c>
      <c r="B888" s="27" t="str">
        <f t="shared" si="42"/>
        <v>Texas</v>
      </c>
      <c r="C888" s="27" t="str">
        <f t="shared" si="43"/>
        <v>Mitchell</v>
      </c>
      <c r="D888" s="27">
        <v>0</v>
      </c>
      <c r="E888" s="27">
        <v>0</v>
      </c>
    </row>
    <row r="889" spans="1:5" x14ac:dyDescent="0.25">
      <c r="A889" s="27" t="s">
        <v>1533</v>
      </c>
      <c r="B889" s="27" t="str">
        <f t="shared" si="42"/>
        <v>Texas</v>
      </c>
      <c r="C889" s="27" t="str">
        <f t="shared" si="43"/>
        <v>Montgomery</v>
      </c>
      <c r="D889" s="27">
        <v>12</v>
      </c>
      <c r="E889" s="27">
        <v>6</v>
      </c>
    </row>
    <row r="890" spans="1:5" x14ac:dyDescent="0.25">
      <c r="A890" s="27" t="s">
        <v>1535</v>
      </c>
      <c r="B890" s="27" t="str">
        <f t="shared" si="42"/>
        <v>Texas</v>
      </c>
      <c r="C890" s="27" t="str">
        <f t="shared" si="43"/>
        <v>Morris</v>
      </c>
      <c r="D890" s="27">
        <v>25</v>
      </c>
      <c r="E890" s="27">
        <v>1</v>
      </c>
    </row>
    <row r="891" spans="1:5" x14ac:dyDescent="0.25">
      <c r="A891" s="27" t="s">
        <v>1536</v>
      </c>
      <c r="B891" s="27" t="str">
        <f t="shared" si="42"/>
        <v>Texas</v>
      </c>
      <c r="C891" s="27" t="str">
        <f t="shared" si="43"/>
        <v>Motley</v>
      </c>
      <c r="D891" s="27">
        <v>0</v>
      </c>
      <c r="E891" s="27">
        <v>0</v>
      </c>
    </row>
    <row r="892" spans="1:5" x14ac:dyDescent="0.25">
      <c r="A892" s="27" t="s">
        <v>1537</v>
      </c>
      <c r="B892" s="27" t="str">
        <f t="shared" si="42"/>
        <v>Texas</v>
      </c>
      <c r="C892" s="27" t="str">
        <f t="shared" si="43"/>
        <v>Nacogdoches</v>
      </c>
      <c r="D892" s="27">
        <v>21</v>
      </c>
      <c r="E892" s="27">
        <v>0</v>
      </c>
    </row>
    <row r="893" spans="1:5" x14ac:dyDescent="0.25">
      <c r="A893" s="27" t="s">
        <v>1538</v>
      </c>
      <c r="B893" s="27" t="str">
        <f t="shared" si="42"/>
        <v>Texas</v>
      </c>
      <c r="C893" s="27" t="str">
        <f t="shared" si="43"/>
        <v>Navarro</v>
      </c>
      <c r="D893" s="27">
        <v>13</v>
      </c>
      <c r="E893" s="27">
        <v>2</v>
      </c>
    </row>
    <row r="894" spans="1:5" x14ac:dyDescent="0.25">
      <c r="A894" s="27" t="s">
        <v>1539</v>
      </c>
      <c r="B894" s="27" t="str">
        <f t="shared" si="42"/>
        <v>Texas</v>
      </c>
      <c r="C894" s="27" t="str">
        <f t="shared" si="43"/>
        <v>Newton</v>
      </c>
      <c r="D894" s="27">
        <v>2</v>
      </c>
      <c r="E894" s="27">
        <v>3</v>
      </c>
    </row>
    <row r="895" spans="1:5" x14ac:dyDescent="0.25">
      <c r="A895" s="27" t="s">
        <v>1541</v>
      </c>
      <c r="B895" s="27" t="str">
        <f t="shared" si="42"/>
        <v>Texas</v>
      </c>
      <c r="C895" s="27" t="str">
        <f t="shared" si="43"/>
        <v>Nueces</v>
      </c>
      <c r="D895" s="27">
        <v>0</v>
      </c>
      <c r="E895" s="27">
        <v>1</v>
      </c>
    </row>
    <row r="896" spans="1:5" x14ac:dyDescent="0.25">
      <c r="A896" s="27" t="s">
        <v>1544</v>
      </c>
      <c r="B896" s="27" t="str">
        <f t="shared" si="42"/>
        <v>Texas</v>
      </c>
      <c r="C896" s="27" t="str">
        <f t="shared" si="43"/>
        <v>Orange</v>
      </c>
      <c r="D896" s="27">
        <v>0</v>
      </c>
      <c r="E896" s="27">
        <v>1</v>
      </c>
    </row>
    <row r="897" spans="1:5" x14ac:dyDescent="0.25">
      <c r="A897" s="27" t="s">
        <v>1546</v>
      </c>
      <c r="B897" s="27" t="str">
        <f t="shared" si="42"/>
        <v>Texas</v>
      </c>
      <c r="C897" s="27" t="str">
        <f t="shared" si="43"/>
        <v>Panola</v>
      </c>
      <c r="D897" s="27">
        <v>21</v>
      </c>
      <c r="E897" s="27">
        <v>1</v>
      </c>
    </row>
    <row r="898" spans="1:5" x14ac:dyDescent="0.25">
      <c r="A898" s="27" t="s">
        <v>1550</v>
      </c>
      <c r="B898" s="27" t="str">
        <f t="shared" si="42"/>
        <v>Texas</v>
      </c>
      <c r="C898" s="27" t="str">
        <f t="shared" si="43"/>
        <v>Polk</v>
      </c>
      <c r="D898" s="27">
        <v>20</v>
      </c>
      <c r="E898" s="27">
        <v>1</v>
      </c>
    </row>
    <row r="899" spans="1:5" x14ac:dyDescent="0.25">
      <c r="A899" s="27" t="s">
        <v>1553</v>
      </c>
      <c r="B899" s="27" t="str">
        <f t="shared" si="42"/>
        <v>Texas</v>
      </c>
      <c r="C899" s="27" t="str">
        <f t="shared" si="43"/>
        <v>Rains</v>
      </c>
      <c r="D899" s="27">
        <v>3</v>
      </c>
      <c r="E899" s="27">
        <v>0</v>
      </c>
    </row>
    <row r="900" spans="1:5" x14ac:dyDescent="0.25">
      <c r="A900" s="27" t="s">
        <v>1557</v>
      </c>
      <c r="B900" s="27" t="str">
        <f t="shared" si="42"/>
        <v>Texas</v>
      </c>
      <c r="C900" s="27" t="str">
        <f t="shared" si="43"/>
        <v>Red River</v>
      </c>
      <c r="D900" s="27">
        <v>3</v>
      </c>
      <c r="E900" s="27">
        <v>4</v>
      </c>
    </row>
    <row r="901" spans="1:5" x14ac:dyDescent="0.25">
      <c r="A901" s="27" t="s">
        <v>1559</v>
      </c>
      <c r="B901" s="27" t="str">
        <f t="shared" si="42"/>
        <v>Texas</v>
      </c>
      <c r="C901" s="27" t="str">
        <f t="shared" si="43"/>
        <v>Refugio</v>
      </c>
      <c r="D901" s="27">
        <v>2</v>
      </c>
      <c r="E901" s="27">
        <v>0</v>
      </c>
    </row>
    <row r="902" spans="1:5" x14ac:dyDescent="0.25">
      <c r="A902" s="27" t="s">
        <v>1561</v>
      </c>
      <c r="B902" s="27" t="str">
        <f t="shared" si="42"/>
        <v>Texas</v>
      </c>
      <c r="C902" s="27" t="str">
        <f t="shared" si="43"/>
        <v>Robertson</v>
      </c>
      <c r="D902" s="27">
        <v>19</v>
      </c>
      <c r="E902" s="27">
        <v>5</v>
      </c>
    </row>
    <row r="903" spans="1:5" x14ac:dyDescent="0.25">
      <c r="A903" s="27" t="s">
        <v>1562</v>
      </c>
      <c r="B903" s="27" t="str">
        <f t="shared" si="42"/>
        <v>Texas</v>
      </c>
      <c r="C903" s="27" t="str">
        <f t="shared" si="43"/>
        <v>Rockwall</v>
      </c>
      <c r="D903" s="27">
        <v>0</v>
      </c>
      <c r="E903" s="27">
        <v>1</v>
      </c>
    </row>
    <row r="904" spans="1:5" x14ac:dyDescent="0.25">
      <c r="A904" s="27" t="s">
        <v>1564</v>
      </c>
      <c r="B904" s="27" t="str">
        <f t="shared" si="42"/>
        <v>Texas</v>
      </c>
      <c r="C904" s="27" t="str">
        <f t="shared" si="43"/>
        <v>Rusk</v>
      </c>
      <c r="D904" s="27">
        <v>53</v>
      </c>
      <c r="E904" s="27">
        <v>2</v>
      </c>
    </row>
    <row r="905" spans="1:5" x14ac:dyDescent="0.25">
      <c r="A905" s="27" t="s">
        <v>1565</v>
      </c>
      <c r="B905" s="27" t="str">
        <f t="shared" si="42"/>
        <v>Texas</v>
      </c>
      <c r="C905" s="27" t="str">
        <f t="shared" si="43"/>
        <v>Sabine</v>
      </c>
      <c r="D905" s="27">
        <v>2</v>
      </c>
      <c r="E905" s="27">
        <v>7</v>
      </c>
    </row>
    <row r="906" spans="1:5" x14ac:dyDescent="0.25">
      <c r="A906" s="27" t="s">
        <v>1566</v>
      </c>
      <c r="B906" s="27" t="str">
        <f t="shared" si="42"/>
        <v>Texas</v>
      </c>
      <c r="C906" s="27" t="str">
        <f t="shared" si="43"/>
        <v>San Augustine</v>
      </c>
      <c r="D906" s="27">
        <v>4</v>
      </c>
      <c r="E906" s="27">
        <v>0</v>
      </c>
    </row>
    <row r="907" spans="1:5" x14ac:dyDescent="0.25">
      <c r="A907" s="27" t="s">
        <v>1567</v>
      </c>
      <c r="B907" s="27" t="str">
        <f t="shared" si="42"/>
        <v>Texas</v>
      </c>
      <c r="C907" s="27" t="str">
        <f t="shared" si="43"/>
        <v>San Jacinto</v>
      </c>
      <c r="D907" s="27">
        <v>20</v>
      </c>
      <c r="E907" s="27">
        <v>0</v>
      </c>
    </row>
    <row r="908" spans="1:5" x14ac:dyDescent="0.25">
      <c r="A908" s="27" t="s">
        <v>1573</v>
      </c>
      <c r="B908" s="27" t="str">
        <f t="shared" si="42"/>
        <v>Texas</v>
      </c>
      <c r="C908" s="27" t="str">
        <f t="shared" si="43"/>
        <v>Shelby</v>
      </c>
      <c r="D908" s="27">
        <v>16</v>
      </c>
      <c r="E908" s="27">
        <v>2</v>
      </c>
    </row>
    <row r="909" spans="1:5" x14ac:dyDescent="0.25">
      <c r="A909" s="27" t="s">
        <v>1575</v>
      </c>
      <c r="B909" s="27" t="str">
        <f t="shared" si="42"/>
        <v>Texas</v>
      </c>
      <c r="C909" s="27" t="str">
        <f t="shared" si="43"/>
        <v>Smith</v>
      </c>
      <c r="D909" s="27">
        <v>48</v>
      </c>
      <c r="E909" s="27">
        <v>1</v>
      </c>
    </row>
    <row r="910" spans="1:5" x14ac:dyDescent="0.25">
      <c r="A910" s="27" t="s">
        <v>1582</v>
      </c>
      <c r="B910" s="27" t="str">
        <f t="shared" si="42"/>
        <v>Texas</v>
      </c>
      <c r="C910" s="27" t="str">
        <f t="shared" si="43"/>
        <v>Tarrant</v>
      </c>
      <c r="D910" s="27">
        <v>4</v>
      </c>
      <c r="E910" s="27">
        <v>2</v>
      </c>
    </row>
    <row r="911" spans="1:5" x14ac:dyDescent="0.25">
      <c r="A911" s="27" t="s">
        <v>1587</v>
      </c>
      <c r="B911" s="27" t="str">
        <f t="shared" si="42"/>
        <v>Texas</v>
      </c>
      <c r="C911" s="27" t="str">
        <f t="shared" si="43"/>
        <v>Titus</v>
      </c>
      <c r="D911" s="27">
        <v>11</v>
      </c>
      <c r="E911" s="27">
        <v>0</v>
      </c>
    </row>
    <row r="912" spans="1:5" x14ac:dyDescent="0.25">
      <c r="A912" s="27" t="s">
        <v>1589</v>
      </c>
      <c r="B912" s="27" t="str">
        <f t="shared" si="42"/>
        <v>Texas</v>
      </c>
      <c r="C912" s="27" t="str">
        <f t="shared" si="43"/>
        <v>Travis</v>
      </c>
      <c r="D912" s="27">
        <v>9</v>
      </c>
      <c r="E912" s="27">
        <v>0</v>
      </c>
    </row>
    <row r="913" spans="1:5" x14ac:dyDescent="0.25">
      <c r="A913" s="27" t="s">
        <v>1590</v>
      </c>
      <c r="B913" s="27" t="str">
        <f t="shared" si="42"/>
        <v>Texas</v>
      </c>
      <c r="C913" s="27" t="str">
        <f t="shared" si="43"/>
        <v>Trinity</v>
      </c>
      <c r="D913" s="27">
        <v>14</v>
      </c>
      <c r="E913" s="27">
        <v>1</v>
      </c>
    </row>
    <row r="914" spans="1:5" x14ac:dyDescent="0.25">
      <c r="A914" s="27" t="s">
        <v>1591</v>
      </c>
      <c r="B914" s="27" t="str">
        <f t="shared" si="42"/>
        <v>Texas</v>
      </c>
      <c r="C914" s="27" t="str">
        <f t="shared" si="43"/>
        <v>Tyler</v>
      </c>
      <c r="D914" s="27">
        <v>2</v>
      </c>
      <c r="E914" s="27">
        <v>3</v>
      </c>
    </row>
    <row r="915" spans="1:5" x14ac:dyDescent="0.25">
      <c r="A915" s="27" t="s">
        <v>1592</v>
      </c>
      <c r="B915" s="27" t="str">
        <f t="shared" si="42"/>
        <v>Texas</v>
      </c>
      <c r="C915" s="27" t="str">
        <f t="shared" si="43"/>
        <v>Upshur</v>
      </c>
      <c r="D915" s="27">
        <v>15</v>
      </c>
      <c r="E915" s="27">
        <v>3</v>
      </c>
    </row>
    <row r="916" spans="1:5" x14ac:dyDescent="0.25">
      <c r="A916" s="27" t="s">
        <v>1595</v>
      </c>
      <c r="B916" s="27" t="str">
        <f t="shared" si="42"/>
        <v>Texas</v>
      </c>
      <c r="C916" s="27" t="str">
        <f t="shared" si="43"/>
        <v>Van Zandt</v>
      </c>
      <c r="D916" s="27">
        <v>11</v>
      </c>
      <c r="E916" s="27">
        <v>0</v>
      </c>
    </row>
    <row r="917" spans="1:5" x14ac:dyDescent="0.25">
      <c r="A917" s="27" t="s">
        <v>1596</v>
      </c>
      <c r="B917" s="27" t="str">
        <f t="shared" si="42"/>
        <v>Texas</v>
      </c>
      <c r="C917" s="27" t="str">
        <f t="shared" si="43"/>
        <v>Victoria</v>
      </c>
      <c r="D917" s="27">
        <v>0</v>
      </c>
      <c r="E917" s="27">
        <v>0</v>
      </c>
    </row>
    <row r="918" spans="1:5" x14ac:dyDescent="0.25">
      <c r="A918" s="27" t="s">
        <v>1597</v>
      </c>
      <c r="B918" s="27" t="str">
        <f t="shared" si="42"/>
        <v>Texas</v>
      </c>
      <c r="C918" s="27" t="str">
        <f t="shared" ref="C918:C925" si="44">MID(A918,FIND(";",A918)+1,100)</f>
        <v>Walker</v>
      </c>
      <c r="D918" s="27">
        <v>24</v>
      </c>
      <c r="E918" s="27">
        <v>7</v>
      </c>
    </row>
    <row r="919" spans="1:5" x14ac:dyDescent="0.25">
      <c r="A919" s="27" t="s">
        <v>1598</v>
      </c>
      <c r="B919" s="27" t="str">
        <f t="shared" si="42"/>
        <v>Texas</v>
      </c>
      <c r="C919" s="27" t="str">
        <f t="shared" si="44"/>
        <v>Waller</v>
      </c>
      <c r="D919" s="27">
        <v>16</v>
      </c>
      <c r="E919" s="27">
        <v>4</v>
      </c>
    </row>
    <row r="920" spans="1:5" x14ac:dyDescent="0.25">
      <c r="A920" s="27" t="s">
        <v>1600</v>
      </c>
      <c r="B920" s="27" t="str">
        <f t="shared" si="42"/>
        <v>Texas</v>
      </c>
      <c r="C920" s="27" t="str">
        <f t="shared" si="44"/>
        <v>Washington</v>
      </c>
      <c r="D920" s="27">
        <v>36</v>
      </c>
      <c r="E920" s="27">
        <v>0</v>
      </c>
    </row>
    <row r="921" spans="1:5" x14ac:dyDescent="0.25">
      <c r="A921" s="27" t="s">
        <v>1602</v>
      </c>
      <c r="B921" s="27" t="str">
        <f t="shared" si="42"/>
        <v>Texas</v>
      </c>
      <c r="C921" s="27" t="str">
        <f t="shared" si="44"/>
        <v>Wharton</v>
      </c>
      <c r="D921" s="27">
        <v>14</v>
      </c>
      <c r="E921" s="27">
        <v>0</v>
      </c>
    </row>
    <row r="922" spans="1:5" x14ac:dyDescent="0.25">
      <c r="A922" s="27" t="s">
        <v>1604</v>
      </c>
      <c r="B922" s="27" t="str">
        <f t="shared" si="42"/>
        <v>Texas</v>
      </c>
      <c r="C922" s="27" t="str">
        <f t="shared" si="44"/>
        <v>Wichita</v>
      </c>
      <c r="D922" s="27">
        <v>0</v>
      </c>
      <c r="E922" s="27">
        <v>0</v>
      </c>
    </row>
    <row r="923" spans="1:5" x14ac:dyDescent="0.25">
      <c r="A923" s="27" t="s">
        <v>1605</v>
      </c>
      <c r="B923" s="27" t="str">
        <f t="shared" si="42"/>
        <v>Texas</v>
      </c>
      <c r="C923" s="27" t="str">
        <f t="shared" si="44"/>
        <v>Wilbarger</v>
      </c>
      <c r="D923" s="27">
        <v>6</v>
      </c>
      <c r="E923" s="27">
        <v>0</v>
      </c>
    </row>
    <row r="924" spans="1:5" x14ac:dyDescent="0.25">
      <c r="A924" s="27" t="s">
        <v>1607</v>
      </c>
      <c r="B924" s="27" t="str">
        <f t="shared" si="42"/>
        <v>Texas</v>
      </c>
      <c r="C924" s="27" t="str">
        <f t="shared" si="44"/>
        <v>Williamson</v>
      </c>
      <c r="D924" s="27">
        <v>9</v>
      </c>
      <c r="E924" s="27">
        <v>0</v>
      </c>
    </row>
    <row r="925" spans="1:5" x14ac:dyDescent="0.25">
      <c r="A925" s="27" t="s">
        <v>1611</v>
      </c>
      <c r="B925" s="27" t="str">
        <f t="shared" si="42"/>
        <v>Texas</v>
      </c>
      <c r="C925" s="27" t="str">
        <f t="shared" si="44"/>
        <v>Wood</v>
      </c>
      <c r="D925" s="27">
        <v>14</v>
      </c>
      <c r="E925" s="27">
        <v>1</v>
      </c>
    </row>
    <row r="926" spans="1:5" x14ac:dyDescent="0.25">
      <c r="C926" s="27">
        <f>SUM(D927:D1026)</f>
        <v>819</v>
      </c>
      <c r="D926" s="27">
        <v>819</v>
      </c>
      <c r="E926" s="27">
        <v>25</v>
      </c>
    </row>
    <row r="927" spans="1:5" x14ac:dyDescent="0.25">
      <c r="A927" s="27" t="s">
        <v>1766</v>
      </c>
      <c r="B927" s="27" t="str">
        <f t="shared" ref="B927:B958" si="45">LEFT(A927,FIND(";",A927)-1)</f>
        <v>Virginia</v>
      </c>
      <c r="C927" s="27" t="str">
        <f t="shared" ref="C927:C958" si="46">MID(A927,FIND(";",A927)+1,100)</f>
        <v>Accomack</v>
      </c>
      <c r="D927" s="27">
        <v>7</v>
      </c>
      <c r="E927" s="27">
        <v>0</v>
      </c>
    </row>
    <row r="928" spans="1:5" x14ac:dyDescent="0.25">
      <c r="A928" s="27" t="s">
        <v>1616</v>
      </c>
      <c r="B928" s="27" t="str">
        <f t="shared" si="45"/>
        <v>Virginia</v>
      </c>
      <c r="C928" s="27" t="str">
        <f t="shared" si="46"/>
        <v>Albemarle</v>
      </c>
      <c r="D928" s="27">
        <v>11</v>
      </c>
      <c r="E928" s="27">
        <v>1</v>
      </c>
    </row>
    <row r="929" spans="1:5" x14ac:dyDescent="0.25">
      <c r="A929" s="27" t="s">
        <v>1617</v>
      </c>
      <c r="B929" s="27" t="str">
        <f t="shared" si="45"/>
        <v>Virginia</v>
      </c>
      <c r="C929" s="27" t="str">
        <f t="shared" si="46"/>
        <v>Alleghany</v>
      </c>
      <c r="D929" s="27">
        <v>0</v>
      </c>
      <c r="E929" s="27">
        <v>0</v>
      </c>
    </row>
    <row r="930" spans="1:5" x14ac:dyDescent="0.25">
      <c r="A930" s="27" t="s">
        <v>1618</v>
      </c>
      <c r="B930" s="27" t="str">
        <f t="shared" si="45"/>
        <v>Virginia</v>
      </c>
      <c r="C930" s="27" t="str">
        <f t="shared" si="46"/>
        <v>Amelia</v>
      </c>
      <c r="D930" s="27">
        <v>18</v>
      </c>
      <c r="E930" s="27">
        <v>0</v>
      </c>
    </row>
    <row r="931" spans="1:5" x14ac:dyDescent="0.25">
      <c r="A931" s="27" t="s">
        <v>1619</v>
      </c>
      <c r="B931" s="27" t="str">
        <f t="shared" si="45"/>
        <v>Virginia</v>
      </c>
      <c r="C931" s="27" t="str">
        <f t="shared" si="46"/>
        <v>Amherst</v>
      </c>
      <c r="D931" s="27">
        <v>11</v>
      </c>
      <c r="E931" s="27">
        <v>1</v>
      </c>
    </row>
    <row r="932" spans="1:5" x14ac:dyDescent="0.25">
      <c r="A932" s="27" t="s">
        <v>1620</v>
      </c>
      <c r="B932" s="27" t="str">
        <f t="shared" si="45"/>
        <v>Virginia</v>
      </c>
      <c r="C932" s="27" t="str">
        <f t="shared" si="46"/>
        <v>Appomattox</v>
      </c>
      <c r="D932" s="27">
        <v>7</v>
      </c>
      <c r="E932" s="27">
        <v>0</v>
      </c>
    </row>
    <row r="933" spans="1:5" x14ac:dyDescent="0.25">
      <c r="A933" s="27" t="s">
        <v>1793</v>
      </c>
      <c r="B933" s="27" t="str">
        <f t="shared" si="45"/>
        <v>Virginia</v>
      </c>
      <c r="C933" s="27" t="str">
        <f t="shared" si="46"/>
        <v>Arlington/Alexandria</v>
      </c>
      <c r="D933" s="27">
        <v>16</v>
      </c>
      <c r="E933" s="27">
        <v>0</v>
      </c>
    </row>
    <row r="934" spans="1:5" x14ac:dyDescent="0.25">
      <c r="A934" s="27" t="s">
        <v>1621</v>
      </c>
      <c r="B934" s="27" t="str">
        <f t="shared" si="45"/>
        <v>Virginia</v>
      </c>
      <c r="C934" s="27" t="str">
        <f t="shared" si="46"/>
        <v>Augusta</v>
      </c>
      <c r="D934" s="27">
        <v>4</v>
      </c>
      <c r="E934" s="27">
        <v>0</v>
      </c>
    </row>
    <row r="935" spans="1:5" x14ac:dyDescent="0.25">
      <c r="A935" s="27" t="s">
        <v>1622</v>
      </c>
      <c r="B935" s="27" t="str">
        <f t="shared" si="45"/>
        <v>Virginia</v>
      </c>
      <c r="C935" s="27" t="str">
        <f t="shared" si="46"/>
        <v>Bath</v>
      </c>
      <c r="D935" s="27">
        <v>4</v>
      </c>
      <c r="E935" s="27">
        <v>0</v>
      </c>
    </row>
    <row r="936" spans="1:5" x14ac:dyDescent="0.25">
      <c r="A936" s="27" t="s">
        <v>1623</v>
      </c>
      <c r="B936" s="27" t="str">
        <f t="shared" si="45"/>
        <v>Virginia</v>
      </c>
      <c r="C936" s="27" t="str">
        <f t="shared" si="46"/>
        <v>Bedford</v>
      </c>
      <c r="D936" s="27">
        <v>2</v>
      </c>
      <c r="E936" s="27">
        <v>0</v>
      </c>
    </row>
    <row r="937" spans="1:5" x14ac:dyDescent="0.25">
      <c r="A937" s="27" t="s">
        <v>1624</v>
      </c>
      <c r="B937" s="27" t="str">
        <f t="shared" si="45"/>
        <v>Virginia</v>
      </c>
      <c r="C937" s="27" t="str">
        <f t="shared" si="46"/>
        <v>Bland</v>
      </c>
      <c r="D937" s="27">
        <v>0</v>
      </c>
      <c r="E937" s="27">
        <v>0</v>
      </c>
    </row>
    <row r="938" spans="1:5" x14ac:dyDescent="0.25">
      <c r="A938" s="27" t="s">
        <v>1625</v>
      </c>
      <c r="B938" s="27" t="str">
        <f t="shared" si="45"/>
        <v>Virginia</v>
      </c>
      <c r="C938" s="27" t="str">
        <f t="shared" si="46"/>
        <v>Botetourt</v>
      </c>
      <c r="D938" s="27">
        <v>5</v>
      </c>
      <c r="E938" s="27">
        <v>0</v>
      </c>
    </row>
    <row r="939" spans="1:5" x14ac:dyDescent="0.25">
      <c r="A939" s="27" t="s">
        <v>1626</v>
      </c>
      <c r="B939" s="27" t="str">
        <f t="shared" si="45"/>
        <v>Virginia</v>
      </c>
      <c r="C939" s="27" t="str">
        <f t="shared" si="46"/>
        <v>Brunswick</v>
      </c>
      <c r="D939" s="27">
        <v>22</v>
      </c>
      <c r="E939" s="27">
        <v>2</v>
      </c>
    </row>
    <row r="940" spans="1:5" x14ac:dyDescent="0.25">
      <c r="A940" s="27" t="s">
        <v>1627</v>
      </c>
      <c r="B940" s="27" t="str">
        <f t="shared" si="45"/>
        <v>Virginia</v>
      </c>
      <c r="C940" s="27" t="str">
        <f t="shared" si="46"/>
        <v>Buchanan</v>
      </c>
      <c r="D940" s="27">
        <v>0</v>
      </c>
      <c r="E940" s="27">
        <v>0</v>
      </c>
    </row>
    <row r="941" spans="1:5" x14ac:dyDescent="0.25">
      <c r="A941" s="27" t="s">
        <v>1628</v>
      </c>
      <c r="B941" s="27" t="str">
        <f t="shared" si="45"/>
        <v>Virginia</v>
      </c>
      <c r="C941" s="27" t="str">
        <f t="shared" si="46"/>
        <v>Buckingham</v>
      </c>
      <c r="D941" s="27">
        <v>6</v>
      </c>
      <c r="E941" s="27">
        <v>0</v>
      </c>
    </row>
    <row r="942" spans="1:5" x14ac:dyDescent="0.25">
      <c r="A942" s="27" t="s">
        <v>1629</v>
      </c>
      <c r="B942" s="27" t="str">
        <f t="shared" si="45"/>
        <v>Virginia</v>
      </c>
      <c r="C942" s="27" t="str">
        <f t="shared" si="46"/>
        <v>Campbell</v>
      </c>
      <c r="D942" s="27">
        <v>32</v>
      </c>
      <c r="E942" s="27">
        <v>0</v>
      </c>
    </row>
    <row r="943" spans="1:5" x14ac:dyDescent="0.25">
      <c r="A943" s="27" t="s">
        <v>1630</v>
      </c>
      <c r="B943" s="27" t="str">
        <f t="shared" si="45"/>
        <v>Virginia</v>
      </c>
      <c r="C943" s="27" t="str">
        <f t="shared" si="46"/>
        <v>Caroline</v>
      </c>
      <c r="D943" s="27">
        <v>16</v>
      </c>
      <c r="E943" s="27">
        <v>0</v>
      </c>
    </row>
    <row r="944" spans="1:5" x14ac:dyDescent="0.25">
      <c r="A944" s="27" t="s">
        <v>1631</v>
      </c>
      <c r="B944" s="27" t="str">
        <f t="shared" si="45"/>
        <v>Virginia</v>
      </c>
      <c r="C944" s="27" t="str">
        <f t="shared" si="46"/>
        <v>Carroll</v>
      </c>
      <c r="D944" s="27">
        <v>2</v>
      </c>
      <c r="E944" s="27">
        <v>0</v>
      </c>
    </row>
    <row r="945" spans="1:5" x14ac:dyDescent="0.25">
      <c r="A945" s="27" t="s">
        <v>1632</v>
      </c>
      <c r="B945" s="27" t="str">
        <f t="shared" si="45"/>
        <v>Virginia</v>
      </c>
      <c r="C945" s="27" t="str">
        <f t="shared" si="46"/>
        <v>Charles City</v>
      </c>
      <c r="D945" s="27">
        <v>14</v>
      </c>
      <c r="E945" s="27">
        <v>0</v>
      </c>
    </row>
    <row r="946" spans="1:5" x14ac:dyDescent="0.25">
      <c r="A946" s="27" t="s">
        <v>1633</v>
      </c>
      <c r="B946" s="27" t="str">
        <f t="shared" si="45"/>
        <v>Virginia</v>
      </c>
      <c r="C946" s="27" t="str">
        <f t="shared" si="46"/>
        <v>Charlotte</v>
      </c>
      <c r="D946" s="27">
        <v>23</v>
      </c>
      <c r="E946" s="27">
        <v>0</v>
      </c>
    </row>
    <row r="947" spans="1:5" x14ac:dyDescent="0.25">
      <c r="A947" s="27" t="s">
        <v>1634</v>
      </c>
      <c r="B947" s="27" t="str">
        <f t="shared" si="45"/>
        <v>Virginia</v>
      </c>
      <c r="C947" s="27" t="str">
        <f t="shared" si="46"/>
        <v>Chesterfield</v>
      </c>
      <c r="D947" s="27">
        <v>12</v>
      </c>
      <c r="E947" s="27">
        <v>0</v>
      </c>
    </row>
    <row r="948" spans="1:5" x14ac:dyDescent="0.25">
      <c r="A948" s="27" t="s">
        <v>1635</v>
      </c>
      <c r="B948" s="27" t="str">
        <f t="shared" si="45"/>
        <v>Virginia</v>
      </c>
      <c r="C948" s="27" t="str">
        <f t="shared" si="46"/>
        <v>Clarke</v>
      </c>
      <c r="D948" s="27">
        <v>6</v>
      </c>
      <c r="E948" s="27">
        <v>0</v>
      </c>
    </row>
    <row r="949" spans="1:5" x14ac:dyDescent="0.25">
      <c r="A949" s="27" t="s">
        <v>1636</v>
      </c>
      <c r="B949" s="27" t="str">
        <f t="shared" si="45"/>
        <v>Virginia</v>
      </c>
      <c r="C949" s="27" t="str">
        <f t="shared" si="46"/>
        <v>Craig</v>
      </c>
      <c r="D949" s="27">
        <v>0</v>
      </c>
      <c r="E949" s="27">
        <v>0</v>
      </c>
    </row>
    <row r="950" spans="1:5" x14ac:dyDescent="0.25">
      <c r="A950" s="27" t="s">
        <v>1637</v>
      </c>
      <c r="B950" s="27" t="str">
        <f t="shared" si="45"/>
        <v>Virginia</v>
      </c>
      <c r="C950" s="27" t="str">
        <f t="shared" si="46"/>
        <v>Culpeper</v>
      </c>
      <c r="D950" s="27">
        <v>2</v>
      </c>
      <c r="E950" s="27">
        <v>1</v>
      </c>
    </row>
    <row r="951" spans="1:5" x14ac:dyDescent="0.25">
      <c r="A951" s="27" t="s">
        <v>1638</v>
      </c>
      <c r="B951" s="27" t="str">
        <f t="shared" si="45"/>
        <v>Virginia</v>
      </c>
      <c r="C951" s="27" t="str">
        <f t="shared" si="46"/>
        <v>Cumberland</v>
      </c>
      <c r="D951" s="27">
        <v>4</v>
      </c>
      <c r="E951" s="27">
        <v>0</v>
      </c>
    </row>
    <row r="952" spans="1:5" x14ac:dyDescent="0.25">
      <c r="A952" s="27" t="s">
        <v>1639</v>
      </c>
      <c r="B952" s="27" t="str">
        <f t="shared" si="45"/>
        <v>Virginia</v>
      </c>
      <c r="C952" s="27" t="str">
        <f t="shared" si="46"/>
        <v>Dickenson</v>
      </c>
      <c r="D952" s="27">
        <v>0</v>
      </c>
      <c r="E952" s="27">
        <v>0</v>
      </c>
    </row>
    <row r="953" spans="1:5" x14ac:dyDescent="0.25">
      <c r="A953" s="27" t="s">
        <v>1640</v>
      </c>
      <c r="B953" s="27" t="str">
        <f t="shared" si="45"/>
        <v>Virginia</v>
      </c>
      <c r="C953" s="27" t="str">
        <f t="shared" si="46"/>
        <v>Dinwiddie</v>
      </c>
      <c r="D953" s="27">
        <v>8</v>
      </c>
      <c r="E953" s="27">
        <v>0</v>
      </c>
    </row>
    <row r="954" spans="1:5" x14ac:dyDescent="0.25">
      <c r="A954" s="27" t="s">
        <v>1641</v>
      </c>
      <c r="B954" s="27" t="str">
        <f t="shared" si="45"/>
        <v>Virginia</v>
      </c>
      <c r="C954" s="27" t="str">
        <f t="shared" si="46"/>
        <v>Elizabeth City</v>
      </c>
      <c r="D954" s="27">
        <v>15</v>
      </c>
      <c r="E954" s="27">
        <v>0</v>
      </c>
    </row>
    <row r="955" spans="1:5" x14ac:dyDescent="0.25">
      <c r="A955" s="27" t="s">
        <v>1642</v>
      </c>
      <c r="B955" s="27" t="str">
        <f t="shared" si="45"/>
        <v>Virginia</v>
      </c>
      <c r="C955" s="27" t="str">
        <f t="shared" si="46"/>
        <v>Essex</v>
      </c>
      <c r="D955" s="27">
        <v>0</v>
      </c>
      <c r="E955" s="27">
        <v>0</v>
      </c>
    </row>
    <row r="956" spans="1:5" x14ac:dyDescent="0.25">
      <c r="A956" s="27" t="s">
        <v>1643</v>
      </c>
      <c r="B956" s="27" t="str">
        <f t="shared" si="45"/>
        <v>Virginia</v>
      </c>
      <c r="C956" s="27" t="str">
        <f t="shared" si="46"/>
        <v>Fairfax</v>
      </c>
      <c r="D956" s="27">
        <v>9</v>
      </c>
      <c r="E956" s="27">
        <v>0</v>
      </c>
    </row>
    <row r="957" spans="1:5" x14ac:dyDescent="0.25">
      <c r="A957" s="27" t="s">
        <v>1644</v>
      </c>
      <c r="B957" s="27" t="str">
        <f t="shared" si="45"/>
        <v>Virginia</v>
      </c>
      <c r="C957" s="27" t="str">
        <f t="shared" si="46"/>
        <v>Fauquier</v>
      </c>
      <c r="D957" s="27">
        <v>15</v>
      </c>
      <c r="E957" s="27">
        <v>0</v>
      </c>
    </row>
    <row r="958" spans="1:5" x14ac:dyDescent="0.25">
      <c r="A958" s="27" t="s">
        <v>1645</v>
      </c>
      <c r="B958" s="27" t="str">
        <f t="shared" si="45"/>
        <v>Virginia</v>
      </c>
      <c r="C958" s="27" t="str">
        <f t="shared" si="46"/>
        <v>Floyd</v>
      </c>
      <c r="D958" s="27">
        <v>2</v>
      </c>
      <c r="E958" s="27">
        <v>0</v>
      </c>
    </row>
    <row r="959" spans="1:5" x14ac:dyDescent="0.25">
      <c r="A959" s="27" t="s">
        <v>1646</v>
      </c>
      <c r="B959" s="27" t="str">
        <f t="shared" ref="B959:B990" si="47">LEFT(A959,FIND(";",A959)-1)</f>
        <v>Virginia</v>
      </c>
      <c r="C959" s="27" t="str">
        <f t="shared" ref="C959:C990" si="48">MID(A959,FIND(";",A959)+1,100)</f>
        <v>Fluvanna</v>
      </c>
      <c r="D959" s="27">
        <v>11</v>
      </c>
      <c r="E959" s="27">
        <v>0</v>
      </c>
    </row>
    <row r="960" spans="1:5" x14ac:dyDescent="0.25">
      <c r="A960" s="27" t="s">
        <v>1647</v>
      </c>
      <c r="B960" s="27" t="str">
        <f t="shared" si="47"/>
        <v>Virginia</v>
      </c>
      <c r="C960" s="27" t="str">
        <f t="shared" si="48"/>
        <v>Franklin</v>
      </c>
      <c r="D960" s="27">
        <v>7</v>
      </c>
      <c r="E960" s="27">
        <v>0</v>
      </c>
    </row>
    <row r="961" spans="1:5" x14ac:dyDescent="0.25">
      <c r="A961" s="27" t="s">
        <v>1648</v>
      </c>
      <c r="B961" s="27" t="str">
        <f t="shared" si="47"/>
        <v>Virginia</v>
      </c>
      <c r="C961" s="27" t="str">
        <f t="shared" si="48"/>
        <v>Frederick</v>
      </c>
      <c r="D961" s="27">
        <v>1</v>
      </c>
      <c r="E961" s="27">
        <v>0</v>
      </c>
    </row>
    <row r="962" spans="1:5" x14ac:dyDescent="0.25">
      <c r="A962" s="27" t="s">
        <v>1649</v>
      </c>
      <c r="B962" s="27" t="str">
        <f t="shared" si="47"/>
        <v>Virginia</v>
      </c>
      <c r="C962" s="27" t="str">
        <f t="shared" si="48"/>
        <v>Giles</v>
      </c>
      <c r="D962" s="27">
        <v>0</v>
      </c>
      <c r="E962" s="27">
        <v>0</v>
      </c>
    </row>
    <row r="963" spans="1:5" x14ac:dyDescent="0.25">
      <c r="A963" s="27" t="s">
        <v>1650</v>
      </c>
      <c r="B963" s="27" t="str">
        <f t="shared" si="47"/>
        <v>Virginia</v>
      </c>
      <c r="C963" s="27" t="str">
        <f t="shared" si="48"/>
        <v>Gloucester</v>
      </c>
      <c r="D963" s="27">
        <v>20</v>
      </c>
      <c r="E963" s="27">
        <v>0</v>
      </c>
    </row>
    <row r="964" spans="1:5" x14ac:dyDescent="0.25">
      <c r="A964" s="27" t="s">
        <v>1651</v>
      </c>
      <c r="B964" s="27" t="str">
        <f t="shared" si="47"/>
        <v>Virginia</v>
      </c>
      <c r="C964" s="27" t="str">
        <f t="shared" si="48"/>
        <v>Goochland</v>
      </c>
      <c r="D964" s="27">
        <v>13</v>
      </c>
      <c r="E964" s="27">
        <v>0</v>
      </c>
    </row>
    <row r="965" spans="1:5" x14ac:dyDescent="0.25">
      <c r="A965" s="27" t="s">
        <v>1652</v>
      </c>
      <c r="B965" s="27" t="str">
        <f t="shared" si="47"/>
        <v>Virginia</v>
      </c>
      <c r="C965" s="27" t="str">
        <f t="shared" si="48"/>
        <v>Grayson</v>
      </c>
      <c r="D965" s="27">
        <v>0</v>
      </c>
      <c r="E965" s="27">
        <v>0</v>
      </c>
    </row>
    <row r="966" spans="1:5" x14ac:dyDescent="0.25">
      <c r="A966" s="27" t="s">
        <v>1653</v>
      </c>
      <c r="B966" s="27" t="str">
        <f t="shared" si="47"/>
        <v>Virginia</v>
      </c>
      <c r="C966" s="27" t="str">
        <f t="shared" si="48"/>
        <v>Greene</v>
      </c>
      <c r="D966" s="27">
        <v>0</v>
      </c>
      <c r="E966" s="27">
        <v>0</v>
      </c>
    </row>
    <row r="967" spans="1:5" x14ac:dyDescent="0.25">
      <c r="A967" s="27" t="s">
        <v>1654</v>
      </c>
      <c r="B967" s="27" t="str">
        <f t="shared" si="47"/>
        <v>Virginia</v>
      </c>
      <c r="C967" s="27" t="str">
        <f t="shared" si="48"/>
        <v>Greensville</v>
      </c>
      <c r="D967" s="27">
        <v>28</v>
      </c>
      <c r="E967" s="27">
        <v>2</v>
      </c>
    </row>
    <row r="968" spans="1:5" x14ac:dyDescent="0.25">
      <c r="A968" s="27" t="s">
        <v>1655</v>
      </c>
      <c r="B968" s="27" t="str">
        <f t="shared" si="47"/>
        <v>Virginia</v>
      </c>
      <c r="C968" s="27" t="str">
        <f t="shared" si="48"/>
        <v>Halifax</v>
      </c>
      <c r="D968" s="27">
        <v>34</v>
      </c>
      <c r="E968" s="27">
        <v>2</v>
      </c>
    </row>
    <row r="969" spans="1:5" x14ac:dyDescent="0.25">
      <c r="A969" s="27" t="s">
        <v>1656</v>
      </c>
      <c r="B969" s="27" t="str">
        <f t="shared" si="47"/>
        <v>Virginia</v>
      </c>
      <c r="C969" s="27" t="str">
        <f t="shared" si="48"/>
        <v>Hanover</v>
      </c>
      <c r="D969" s="27">
        <v>8</v>
      </c>
      <c r="E969" s="27">
        <v>0</v>
      </c>
    </row>
    <row r="970" spans="1:5" x14ac:dyDescent="0.25">
      <c r="A970" s="27" t="s">
        <v>1657</v>
      </c>
      <c r="B970" s="27" t="str">
        <f t="shared" si="47"/>
        <v>Virginia</v>
      </c>
      <c r="C970" s="27" t="str">
        <f t="shared" si="48"/>
        <v>Henrico</v>
      </c>
      <c r="D970" s="27">
        <v>20</v>
      </c>
      <c r="E970" s="27">
        <v>1</v>
      </c>
    </row>
    <row r="971" spans="1:5" x14ac:dyDescent="0.25">
      <c r="A971" s="27" t="s">
        <v>1658</v>
      </c>
      <c r="B971" s="27" t="str">
        <f t="shared" si="47"/>
        <v>Virginia</v>
      </c>
      <c r="C971" s="27" t="str">
        <f t="shared" si="48"/>
        <v>Henry</v>
      </c>
      <c r="D971" s="27">
        <v>14</v>
      </c>
      <c r="E971" s="27">
        <v>0</v>
      </c>
    </row>
    <row r="972" spans="1:5" x14ac:dyDescent="0.25">
      <c r="A972" s="27" t="s">
        <v>1659</v>
      </c>
      <c r="B972" s="27" t="str">
        <f t="shared" si="47"/>
        <v>Virginia</v>
      </c>
      <c r="C972" s="27" t="str">
        <f t="shared" si="48"/>
        <v>Highland</v>
      </c>
      <c r="D972" s="27">
        <v>0</v>
      </c>
      <c r="E972" s="27">
        <v>0</v>
      </c>
    </row>
    <row r="973" spans="1:5" x14ac:dyDescent="0.25">
      <c r="A973" s="27" t="s">
        <v>1768</v>
      </c>
      <c r="B973" s="27" t="str">
        <f t="shared" si="47"/>
        <v>Virginia</v>
      </c>
      <c r="C973" s="27" t="str">
        <f t="shared" si="48"/>
        <v>Isle Of Wight</v>
      </c>
      <c r="D973" s="27">
        <v>11</v>
      </c>
      <c r="E973" s="27">
        <v>0</v>
      </c>
    </row>
    <row r="974" spans="1:5" x14ac:dyDescent="0.25">
      <c r="A974" s="27" t="s">
        <v>1661</v>
      </c>
      <c r="B974" s="27" t="str">
        <f t="shared" si="47"/>
        <v>Virginia</v>
      </c>
      <c r="C974" s="27" t="str">
        <f t="shared" si="48"/>
        <v>James City</v>
      </c>
      <c r="D974" s="27">
        <v>7</v>
      </c>
      <c r="E974" s="27">
        <v>0</v>
      </c>
    </row>
    <row r="975" spans="1:5" x14ac:dyDescent="0.25">
      <c r="A975" s="27" t="s">
        <v>1769</v>
      </c>
      <c r="B975" s="27" t="str">
        <f t="shared" si="47"/>
        <v>Virginia</v>
      </c>
      <c r="C975" s="27" t="str">
        <f t="shared" si="48"/>
        <v>King And Queen</v>
      </c>
      <c r="D975" s="27">
        <v>13</v>
      </c>
      <c r="E975" s="27">
        <v>1</v>
      </c>
    </row>
    <row r="976" spans="1:5" x14ac:dyDescent="0.25">
      <c r="A976" s="27" t="s">
        <v>1663</v>
      </c>
      <c r="B976" s="27" t="str">
        <f t="shared" si="47"/>
        <v>Virginia</v>
      </c>
      <c r="C976" s="27" t="str">
        <f t="shared" si="48"/>
        <v>King George</v>
      </c>
      <c r="D976" s="27">
        <v>3</v>
      </c>
      <c r="E976" s="27">
        <v>0</v>
      </c>
    </row>
    <row r="977" spans="1:5" x14ac:dyDescent="0.25">
      <c r="A977" s="27" t="s">
        <v>1664</v>
      </c>
      <c r="B977" s="27" t="str">
        <f t="shared" si="47"/>
        <v>Virginia</v>
      </c>
      <c r="C977" s="27" t="str">
        <f t="shared" si="48"/>
        <v>King William</v>
      </c>
      <c r="D977" s="27">
        <v>7</v>
      </c>
      <c r="E977" s="27">
        <v>0</v>
      </c>
    </row>
    <row r="978" spans="1:5" x14ac:dyDescent="0.25">
      <c r="A978" s="27" t="s">
        <v>1665</v>
      </c>
      <c r="B978" s="27" t="str">
        <f t="shared" si="47"/>
        <v>Virginia</v>
      </c>
      <c r="C978" s="27" t="str">
        <f t="shared" si="48"/>
        <v>Lancaster</v>
      </c>
      <c r="D978" s="27">
        <v>17</v>
      </c>
      <c r="E978" s="27">
        <v>0</v>
      </c>
    </row>
    <row r="979" spans="1:5" x14ac:dyDescent="0.25">
      <c r="A979" s="27" t="s">
        <v>1666</v>
      </c>
      <c r="B979" s="27" t="str">
        <f t="shared" si="47"/>
        <v>Virginia</v>
      </c>
      <c r="C979" s="27" t="str">
        <f t="shared" si="48"/>
        <v>Lee</v>
      </c>
      <c r="D979" s="27">
        <v>0</v>
      </c>
      <c r="E979" s="27">
        <v>0</v>
      </c>
    </row>
    <row r="980" spans="1:5" x14ac:dyDescent="0.25">
      <c r="A980" s="27" t="s">
        <v>1667</v>
      </c>
      <c r="B980" s="27" t="str">
        <f t="shared" si="47"/>
        <v>Virginia</v>
      </c>
      <c r="C980" s="27" t="str">
        <f t="shared" si="48"/>
        <v>Loudoun</v>
      </c>
      <c r="D980" s="27">
        <v>0</v>
      </c>
      <c r="E980" s="27">
        <v>1</v>
      </c>
    </row>
    <row r="981" spans="1:5" x14ac:dyDescent="0.25">
      <c r="A981" s="27" t="s">
        <v>1668</v>
      </c>
      <c r="B981" s="27" t="str">
        <f t="shared" si="47"/>
        <v>Virginia</v>
      </c>
      <c r="C981" s="27" t="str">
        <f t="shared" si="48"/>
        <v>Louisa</v>
      </c>
      <c r="D981" s="27">
        <v>5</v>
      </c>
      <c r="E981" s="27">
        <v>0</v>
      </c>
    </row>
    <row r="982" spans="1:5" x14ac:dyDescent="0.25">
      <c r="A982" s="27" t="s">
        <v>1669</v>
      </c>
      <c r="B982" s="27" t="str">
        <f t="shared" si="47"/>
        <v>Virginia</v>
      </c>
      <c r="C982" s="27" t="str">
        <f t="shared" si="48"/>
        <v>Lunenburg</v>
      </c>
      <c r="D982" s="27">
        <v>8</v>
      </c>
      <c r="E982" s="27">
        <v>0</v>
      </c>
    </row>
    <row r="983" spans="1:5" x14ac:dyDescent="0.25">
      <c r="A983" s="27" t="s">
        <v>1670</v>
      </c>
      <c r="B983" s="27" t="str">
        <f t="shared" si="47"/>
        <v>Virginia</v>
      </c>
      <c r="C983" s="27" t="str">
        <f t="shared" si="48"/>
        <v>Madison</v>
      </c>
      <c r="D983" s="27">
        <v>0</v>
      </c>
      <c r="E983" s="27">
        <v>0</v>
      </c>
    </row>
    <row r="984" spans="1:5" x14ac:dyDescent="0.25">
      <c r="A984" s="27" t="s">
        <v>1671</v>
      </c>
      <c r="B984" s="27" t="str">
        <f t="shared" si="47"/>
        <v>Virginia</v>
      </c>
      <c r="C984" s="27" t="str">
        <f t="shared" si="48"/>
        <v>Mathews</v>
      </c>
      <c r="D984" s="27">
        <v>8</v>
      </c>
      <c r="E984" s="27">
        <v>0</v>
      </c>
    </row>
    <row r="985" spans="1:5" x14ac:dyDescent="0.25">
      <c r="A985" s="27" t="s">
        <v>1771</v>
      </c>
      <c r="B985" s="27" t="str">
        <f t="shared" si="47"/>
        <v>Virginia</v>
      </c>
      <c r="C985" s="27" t="str">
        <f t="shared" si="48"/>
        <v>Mecklenburg</v>
      </c>
      <c r="D985" s="27">
        <v>35</v>
      </c>
      <c r="E985" s="27">
        <v>0</v>
      </c>
    </row>
    <row r="986" spans="1:5" x14ac:dyDescent="0.25">
      <c r="A986" s="27" t="s">
        <v>1672</v>
      </c>
      <c r="B986" s="27" t="str">
        <f t="shared" si="47"/>
        <v>Virginia</v>
      </c>
      <c r="C986" s="27" t="str">
        <f t="shared" si="48"/>
        <v>Middlesex</v>
      </c>
      <c r="D986" s="27">
        <v>8</v>
      </c>
      <c r="E986" s="27">
        <v>0</v>
      </c>
    </row>
    <row r="987" spans="1:5" x14ac:dyDescent="0.25">
      <c r="A987" s="27" t="s">
        <v>1673</v>
      </c>
      <c r="B987" s="27" t="str">
        <f t="shared" si="47"/>
        <v>Virginia</v>
      </c>
      <c r="C987" s="27" t="str">
        <f t="shared" si="48"/>
        <v>Montgomery</v>
      </c>
      <c r="D987" s="27">
        <v>6</v>
      </c>
      <c r="E987" s="27">
        <v>0</v>
      </c>
    </row>
    <row r="988" spans="1:5" x14ac:dyDescent="0.25">
      <c r="A988" s="27" t="s">
        <v>1674</v>
      </c>
      <c r="B988" s="27" t="str">
        <f t="shared" si="47"/>
        <v>Virginia</v>
      </c>
      <c r="C988" s="27" t="str">
        <f t="shared" si="48"/>
        <v>Nansemond</v>
      </c>
      <c r="D988" s="27">
        <v>41</v>
      </c>
      <c r="E988" s="27">
        <v>0</v>
      </c>
    </row>
    <row r="989" spans="1:5" x14ac:dyDescent="0.25">
      <c r="A989" s="27" t="s">
        <v>1675</v>
      </c>
      <c r="B989" s="27" t="str">
        <f t="shared" si="47"/>
        <v>Virginia</v>
      </c>
      <c r="C989" s="27" t="str">
        <f t="shared" si="48"/>
        <v>Nelson</v>
      </c>
      <c r="D989" s="27">
        <v>0</v>
      </c>
      <c r="E989" s="27">
        <v>2</v>
      </c>
    </row>
    <row r="990" spans="1:5" x14ac:dyDescent="0.25">
      <c r="A990" s="27" t="s">
        <v>1676</v>
      </c>
      <c r="B990" s="27" t="str">
        <f t="shared" si="47"/>
        <v>Virginia</v>
      </c>
      <c r="C990" s="27" t="str">
        <f t="shared" si="48"/>
        <v>New Kent</v>
      </c>
      <c r="D990" s="27">
        <v>7</v>
      </c>
      <c r="E990" s="27">
        <v>0</v>
      </c>
    </row>
    <row r="991" spans="1:5" x14ac:dyDescent="0.25">
      <c r="A991" s="27" t="s">
        <v>1677</v>
      </c>
      <c r="B991" s="27" t="str">
        <f t="shared" ref="B991:B1022" si="49">LEFT(A991,FIND(";",A991)-1)</f>
        <v>Virginia</v>
      </c>
      <c r="C991" s="27" t="str">
        <f t="shared" ref="C991:C1026" si="50">MID(A991,FIND(";",A991)+1,100)</f>
        <v>Norfolk</v>
      </c>
      <c r="D991" s="27">
        <v>24</v>
      </c>
      <c r="E991" s="27">
        <v>0</v>
      </c>
    </row>
    <row r="992" spans="1:5" x14ac:dyDescent="0.25">
      <c r="A992" s="27" t="s">
        <v>1678</v>
      </c>
      <c r="B992" s="27" t="str">
        <f t="shared" si="49"/>
        <v>Virginia</v>
      </c>
      <c r="C992" s="27" t="str">
        <f t="shared" si="50"/>
        <v>Northampton</v>
      </c>
      <c r="D992" s="27">
        <v>4</v>
      </c>
      <c r="E992" s="27">
        <v>0</v>
      </c>
    </row>
    <row r="993" spans="1:5" x14ac:dyDescent="0.25">
      <c r="A993" s="27" t="s">
        <v>1679</v>
      </c>
      <c r="B993" s="27" t="str">
        <f t="shared" si="49"/>
        <v>Virginia</v>
      </c>
      <c r="C993" s="27" t="str">
        <f t="shared" si="50"/>
        <v>Northumberland</v>
      </c>
      <c r="D993" s="27">
        <v>10</v>
      </c>
      <c r="E993" s="27">
        <v>1</v>
      </c>
    </row>
    <row r="994" spans="1:5" x14ac:dyDescent="0.25">
      <c r="A994" s="27" t="s">
        <v>1680</v>
      </c>
      <c r="B994" s="27" t="str">
        <f t="shared" si="49"/>
        <v>Virginia</v>
      </c>
      <c r="C994" s="27" t="str">
        <f t="shared" si="50"/>
        <v>Nottoway</v>
      </c>
      <c r="D994" s="27">
        <v>16</v>
      </c>
      <c r="E994" s="27">
        <v>0</v>
      </c>
    </row>
    <row r="995" spans="1:5" x14ac:dyDescent="0.25">
      <c r="A995" s="27" t="s">
        <v>1681</v>
      </c>
      <c r="B995" s="27" t="str">
        <f t="shared" si="49"/>
        <v>Virginia</v>
      </c>
      <c r="C995" s="27" t="str">
        <f t="shared" si="50"/>
        <v>Orange</v>
      </c>
      <c r="D995" s="27">
        <v>4</v>
      </c>
      <c r="E995" s="27">
        <v>0</v>
      </c>
    </row>
    <row r="996" spans="1:5" x14ac:dyDescent="0.25">
      <c r="A996" s="27" t="s">
        <v>1682</v>
      </c>
      <c r="B996" s="27" t="str">
        <f t="shared" si="49"/>
        <v>Virginia</v>
      </c>
      <c r="C996" s="27" t="str">
        <f t="shared" si="50"/>
        <v>Page</v>
      </c>
      <c r="D996" s="27">
        <v>3</v>
      </c>
      <c r="E996" s="27">
        <v>0</v>
      </c>
    </row>
    <row r="997" spans="1:5" x14ac:dyDescent="0.25">
      <c r="A997" s="27" t="s">
        <v>1683</v>
      </c>
      <c r="B997" s="27" t="str">
        <f t="shared" si="49"/>
        <v>Virginia</v>
      </c>
      <c r="C997" s="27" t="str">
        <f t="shared" si="50"/>
        <v>Patrick</v>
      </c>
      <c r="D997" s="27">
        <v>0</v>
      </c>
      <c r="E997" s="27">
        <v>0</v>
      </c>
    </row>
    <row r="998" spans="1:5" x14ac:dyDescent="0.25">
      <c r="A998" s="27" t="s">
        <v>1684</v>
      </c>
      <c r="B998" s="27" t="str">
        <f t="shared" si="49"/>
        <v>Virginia</v>
      </c>
      <c r="C998" s="27" t="str">
        <f t="shared" si="50"/>
        <v>Pittsylvania</v>
      </c>
      <c r="D998" s="27">
        <v>31</v>
      </c>
      <c r="E998" s="27">
        <v>0</v>
      </c>
    </row>
    <row r="999" spans="1:5" x14ac:dyDescent="0.25">
      <c r="A999" s="27" t="s">
        <v>1685</v>
      </c>
      <c r="B999" s="27" t="str">
        <f t="shared" si="49"/>
        <v>Virginia</v>
      </c>
      <c r="C999" s="27" t="str">
        <f t="shared" si="50"/>
        <v>Powhatan</v>
      </c>
      <c r="D999" s="27">
        <v>0</v>
      </c>
      <c r="E999" s="27">
        <v>0</v>
      </c>
    </row>
    <row r="1000" spans="1:5" x14ac:dyDescent="0.25">
      <c r="A1000" s="27" t="s">
        <v>1686</v>
      </c>
      <c r="B1000" s="27" t="str">
        <f t="shared" si="49"/>
        <v>Virginia</v>
      </c>
      <c r="C1000" s="27" t="str">
        <f t="shared" si="50"/>
        <v>Prince Edward</v>
      </c>
      <c r="D1000" s="27">
        <v>16</v>
      </c>
      <c r="E1000" s="27">
        <v>0</v>
      </c>
    </row>
    <row r="1001" spans="1:5" x14ac:dyDescent="0.25">
      <c r="A1001" s="27" t="s">
        <v>1687</v>
      </c>
      <c r="B1001" s="27" t="str">
        <f t="shared" si="49"/>
        <v>Virginia</v>
      </c>
      <c r="C1001" s="27" t="str">
        <f t="shared" si="50"/>
        <v>Prince George</v>
      </c>
      <c r="D1001" s="27">
        <v>7</v>
      </c>
      <c r="E1001" s="27">
        <v>0</v>
      </c>
    </row>
    <row r="1002" spans="1:5" x14ac:dyDescent="0.25">
      <c r="A1002" s="27" t="s">
        <v>1689</v>
      </c>
      <c r="B1002" s="27" t="str">
        <f t="shared" si="49"/>
        <v>Virginia</v>
      </c>
      <c r="C1002" s="27" t="str">
        <f t="shared" si="50"/>
        <v>Prince William</v>
      </c>
      <c r="D1002" s="27">
        <v>5</v>
      </c>
      <c r="E1002" s="27">
        <v>0</v>
      </c>
    </row>
    <row r="1003" spans="1:5" x14ac:dyDescent="0.25">
      <c r="A1003" s="27" t="s">
        <v>1688</v>
      </c>
      <c r="B1003" s="27" t="str">
        <f t="shared" si="49"/>
        <v>Virginia</v>
      </c>
      <c r="C1003" s="27" t="str">
        <f t="shared" si="50"/>
        <v>Princess Anne</v>
      </c>
      <c r="D1003" s="27">
        <v>2</v>
      </c>
      <c r="E1003" s="27">
        <v>0</v>
      </c>
    </row>
    <row r="1004" spans="1:5" x14ac:dyDescent="0.25">
      <c r="A1004" s="27" t="s">
        <v>1690</v>
      </c>
      <c r="B1004" s="27" t="str">
        <f t="shared" si="49"/>
        <v>Virginia</v>
      </c>
      <c r="C1004" s="27" t="str">
        <f t="shared" si="50"/>
        <v>Pulaski</v>
      </c>
      <c r="D1004" s="27">
        <v>2</v>
      </c>
      <c r="E1004" s="27">
        <v>0</v>
      </c>
    </row>
    <row r="1005" spans="1:5" x14ac:dyDescent="0.25">
      <c r="A1005" s="27" t="s">
        <v>1691</v>
      </c>
      <c r="B1005" s="27" t="str">
        <f t="shared" si="49"/>
        <v>Virginia</v>
      </c>
      <c r="C1005" s="27" t="str">
        <f t="shared" si="50"/>
        <v>Rappahannock</v>
      </c>
      <c r="D1005" s="27">
        <v>7</v>
      </c>
      <c r="E1005" s="27">
        <v>0</v>
      </c>
    </row>
    <row r="1006" spans="1:5" x14ac:dyDescent="0.25">
      <c r="A1006" s="27" t="s">
        <v>1692</v>
      </c>
      <c r="B1006" s="27" t="str">
        <f t="shared" si="49"/>
        <v>Virginia</v>
      </c>
      <c r="C1006" s="27" t="str">
        <f t="shared" si="50"/>
        <v>Richmond</v>
      </c>
      <c r="D1006" s="27">
        <v>4</v>
      </c>
      <c r="E1006" s="27">
        <v>0</v>
      </c>
    </row>
    <row r="1007" spans="1:5" x14ac:dyDescent="0.25">
      <c r="A1007" s="27" t="s">
        <v>1693</v>
      </c>
      <c r="B1007" s="27" t="str">
        <f t="shared" si="49"/>
        <v>Virginia</v>
      </c>
      <c r="C1007" s="27" t="str">
        <f t="shared" si="50"/>
        <v>Roanoke</v>
      </c>
      <c r="D1007" s="27">
        <v>6</v>
      </c>
      <c r="E1007" s="27">
        <v>0</v>
      </c>
    </row>
    <row r="1008" spans="1:5" x14ac:dyDescent="0.25">
      <c r="A1008" s="27" t="s">
        <v>1694</v>
      </c>
      <c r="B1008" s="27" t="str">
        <f t="shared" si="49"/>
        <v>Virginia</v>
      </c>
      <c r="C1008" s="27" t="str">
        <f t="shared" si="50"/>
        <v>Rockbridge</v>
      </c>
      <c r="D1008" s="27">
        <v>7</v>
      </c>
      <c r="E1008" s="27">
        <v>0</v>
      </c>
    </row>
    <row r="1009" spans="1:5" x14ac:dyDescent="0.25">
      <c r="A1009" s="27" t="s">
        <v>1695</v>
      </c>
      <c r="B1009" s="27" t="str">
        <f t="shared" si="49"/>
        <v>Virginia</v>
      </c>
      <c r="C1009" s="27" t="str">
        <f t="shared" si="50"/>
        <v>Rockingham</v>
      </c>
      <c r="D1009" s="27">
        <v>4</v>
      </c>
      <c r="E1009" s="27">
        <v>0</v>
      </c>
    </row>
    <row r="1010" spans="1:5" x14ac:dyDescent="0.25">
      <c r="A1010" s="27" t="s">
        <v>1696</v>
      </c>
      <c r="B1010" s="27" t="str">
        <f t="shared" si="49"/>
        <v>Virginia</v>
      </c>
      <c r="C1010" s="27" t="str">
        <f t="shared" si="50"/>
        <v>Russell</v>
      </c>
      <c r="D1010" s="27">
        <v>0</v>
      </c>
      <c r="E1010" s="27">
        <v>0</v>
      </c>
    </row>
    <row r="1011" spans="1:5" x14ac:dyDescent="0.25">
      <c r="A1011" s="27" t="s">
        <v>1697</v>
      </c>
      <c r="B1011" s="27" t="str">
        <f t="shared" si="49"/>
        <v>Virginia</v>
      </c>
      <c r="C1011" s="27" t="str">
        <f t="shared" si="50"/>
        <v>Scott</v>
      </c>
      <c r="D1011" s="27">
        <v>5</v>
      </c>
      <c r="E1011" s="27">
        <v>0</v>
      </c>
    </row>
    <row r="1012" spans="1:5" x14ac:dyDescent="0.25">
      <c r="A1012" s="27" t="s">
        <v>1698</v>
      </c>
      <c r="B1012" s="27" t="str">
        <f t="shared" si="49"/>
        <v>Virginia</v>
      </c>
      <c r="C1012" s="27" t="str">
        <f t="shared" si="50"/>
        <v>Shenandoah</v>
      </c>
      <c r="D1012" s="27">
        <v>0</v>
      </c>
      <c r="E1012" s="27">
        <v>1</v>
      </c>
    </row>
    <row r="1013" spans="1:5" x14ac:dyDescent="0.25">
      <c r="A1013" s="27" t="s">
        <v>1699</v>
      </c>
      <c r="B1013" s="27" t="str">
        <f t="shared" si="49"/>
        <v>Virginia</v>
      </c>
      <c r="C1013" s="27" t="str">
        <f t="shared" si="50"/>
        <v>Smyth</v>
      </c>
      <c r="D1013" s="27">
        <v>4</v>
      </c>
      <c r="E1013" s="27">
        <v>0</v>
      </c>
    </row>
    <row r="1014" spans="1:5" x14ac:dyDescent="0.25">
      <c r="A1014" s="27" t="s">
        <v>1700</v>
      </c>
      <c r="B1014" s="27" t="str">
        <f t="shared" si="49"/>
        <v>Virginia</v>
      </c>
      <c r="C1014" s="27" t="str">
        <f t="shared" si="50"/>
        <v>Southampton</v>
      </c>
      <c r="D1014" s="27">
        <v>21</v>
      </c>
      <c r="E1014" s="27">
        <v>1</v>
      </c>
    </row>
    <row r="1015" spans="1:5" x14ac:dyDescent="0.25">
      <c r="A1015" s="27" t="s">
        <v>1701</v>
      </c>
      <c r="B1015" s="27" t="str">
        <f t="shared" si="49"/>
        <v>Virginia</v>
      </c>
      <c r="C1015" s="27" t="str">
        <f t="shared" si="50"/>
        <v>Spotsylvania</v>
      </c>
      <c r="D1015" s="27">
        <v>1</v>
      </c>
      <c r="E1015" s="27">
        <v>0</v>
      </c>
    </row>
    <row r="1016" spans="1:5" x14ac:dyDescent="0.25">
      <c r="A1016" s="27" t="s">
        <v>1702</v>
      </c>
      <c r="B1016" s="27" t="str">
        <f t="shared" si="49"/>
        <v>Virginia</v>
      </c>
      <c r="C1016" s="27" t="str">
        <f t="shared" si="50"/>
        <v>Stafford</v>
      </c>
      <c r="D1016" s="27">
        <v>1</v>
      </c>
      <c r="E1016" s="27">
        <v>0</v>
      </c>
    </row>
    <row r="1017" spans="1:5" x14ac:dyDescent="0.25">
      <c r="A1017" s="27" t="s">
        <v>1703</v>
      </c>
      <c r="B1017" s="27" t="str">
        <f t="shared" si="49"/>
        <v>Virginia</v>
      </c>
      <c r="C1017" s="27" t="str">
        <f t="shared" si="50"/>
        <v>Surry</v>
      </c>
      <c r="D1017" s="27">
        <v>0</v>
      </c>
      <c r="E1017" s="27">
        <v>0</v>
      </c>
    </row>
    <row r="1018" spans="1:5" x14ac:dyDescent="0.25">
      <c r="A1018" s="27" t="s">
        <v>1704</v>
      </c>
      <c r="B1018" s="27" t="str">
        <f t="shared" si="49"/>
        <v>Virginia</v>
      </c>
      <c r="C1018" s="27" t="str">
        <f t="shared" si="50"/>
        <v>Sussex</v>
      </c>
      <c r="D1018" s="27">
        <v>8</v>
      </c>
      <c r="E1018" s="27">
        <v>2</v>
      </c>
    </row>
    <row r="1019" spans="1:5" x14ac:dyDescent="0.25">
      <c r="A1019" s="27" t="s">
        <v>1705</v>
      </c>
      <c r="B1019" s="27" t="str">
        <f t="shared" si="49"/>
        <v>Virginia</v>
      </c>
      <c r="C1019" s="27" t="str">
        <f t="shared" si="50"/>
        <v>Tazewell</v>
      </c>
      <c r="D1019" s="27">
        <v>0</v>
      </c>
      <c r="E1019" s="27">
        <v>1</v>
      </c>
    </row>
    <row r="1020" spans="1:5" x14ac:dyDescent="0.25">
      <c r="A1020" s="27" t="s">
        <v>1706</v>
      </c>
      <c r="B1020" s="27" t="str">
        <f t="shared" si="49"/>
        <v>Virginia</v>
      </c>
      <c r="C1020" s="27" t="str">
        <f t="shared" si="50"/>
        <v>Warren</v>
      </c>
      <c r="D1020" s="27">
        <v>0</v>
      </c>
      <c r="E1020" s="27">
        <v>0</v>
      </c>
    </row>
    <row r="1021" spans="1:5" x14ac:dyDescent="0.25">
      <c r="A1021" s="27" t="s">
        <v>1707</v>
      </c>
      <c r="B1021" s="27" t="str">
        <f t="shared" si="49"/>
        <v>Virginia</v>
      </c>
      <c r="C1021" s="27" t="str">
        <f t="shared" si="50"/>
        <v>Warwick</v>
      </c>
      <c r="D1021" s="27">
        <v>0</v>
      </c>
      <c r="E1021" s="27">
        <v>1</v>
      </c>
    </row>
    <row r="1022" spans="1:5" x14ac:dyDescent="0.25">
      <c r="A1022" s="27" t="s">
        <v>1708</v>
      </c>
      <c r="B1022" s="27" t="str">
        <f t="shared" si="49"/>
        <v>Virginia</v>
      </c>
      <c r="C1022" s="27" t="str">
        <f t="shared" si="50"/>
        <v>Washington</v>
      </c>
      <c r="D1022" s="27">
        <v>3</v>
      </c>
      <c r="E1022" s="27">
        <v>0</v>
      </c>
    </row>
    <row r="1023" spans="1:5" x14ac:dyDescent="0.25">
      <c r="A1023" s="27" t="s">
        <v>1709</v>
      </c>
      <c r="B1023" s="27" t="str">
        <f t="shared" ref="B1023:B1026" si="51">LEFT(A1023,FIND(";",A1023)-1)</f>
        <v>Virginia</v>
      </c>
      <c r="C1023" s="27" t="str">
        <f t="shared" si="50"/>
        <v>Westmoreland</v>
      </c>
      <c r="D1023" s="27">
        <v>11</v>
      </c>
      <c r="E1023" s="27">
        <v>0</v>
      </c>
    </row>
    <row r="1024" spans="1:5" x14ac:dyDescent="0.25">
      <c r="A1024" s="27" t="s">
        <v>1710</v>
      </c>
      <c r="B1024" s="27" t="str">
        <f t="shared" si="51"/>
        <v>Virginia</v>
      </c>
      <c r="C1024" s="27" t="str">
        <f t="shared" si="50"/>
        <v>Wise</v>
      </c>
      <c r="D1024" s="27">
        <v>0</v>
      </c>
      <c r="E1024" s="27">
        <v>2</v>
      </c>
    </row>
    <row r="1025" spans="1:5" x14ac:dyDescent="0.25">
      <c r="A1025" s="27" t="s">
        <v>1711</v>
      </c>
      <c r="B1025" s="27" t="str">
        <f t="shared" si="51"/>
        <v>Virginia</v>
      </c>
      <c r="C1025" s="27" t="str">
        <f t="shared" si="50"/>
        <v>Wythe</v>
      </c>
      <c r="D1025" s="27">
        <v>2</v>
      </c>
      <c r="E1025" s="27">
        <v>2</v>
      </c>
    </row>
    <row r="1026" spans="1:5" x14ac:dyDescent="0.25">
      <c r="A1026" s="27" t="s">
        <v>1712</v>
      </c>
      <c r="B1026" s="27" t="str">
        <f t="shared" si="51"/>
        <v>Virginia</v>
      </c>
      <c r="C1026" s="27" t="str">
        <f t="shared" si="50"/>
        <v>York</v>
      </c>
      <c r="D1026" s="27">
        <v>6</v>
      </c>
      <c r="E1026" s="27">
        <v>0</v>
      </c>
    </row>
    <row r="1045" spans="1:3" x14ac:dyDescent="0.25">
      <c r="A1045" s="27" t="s">
        <v>1367</v>
      </c>
      <c r="B1045" s="27" t="str">
        <f t="shared" ref="B1045:B1108" si="52">LEFT(A1045,FIND(";",A1045)-1)</f>
        <v/>
      </c>
      <c r="C1045" s="27" t="str">
        <f t="shared" ref="C1045:C1108" si="53">MID(A1045,FIND(";",A1045)+1,100)</f>
        <v/>
      </c>
    </row>
    <row r="1046" spans="1:3" x14ac:dyDescent="0.25">
      <c r="A1046" s="27" t="s">
        <v>1367</v>
      </c>
      <c r="B1046" s="27" t="str">
        <f t="shared" si="52"/>
        <v/>
      </c>
      <c r="C1046" s="27" t="str">
        <f t="shared" si="53"/>
        <v/>
      </c>
    </row>
    <row r="1047" spans="1:3" x14ac:dyDescent="0.25">
      <c r="A1047" s="27" t="s">
        <v>1367</v>
      </c>
      <c r="B1047" s="27" t="str">
        <f t="shared" si="52"/>
        <v/>
      </c>
      <c r="C1047" s="27" t="str">
        <f t="shared" si="53"/>
        <v/>
      </c>
    </row>
    <row r="1048" spans="1:3" x14ac:dyDescent="0.25">
      <c r="A1048" s="27" t="s">
        <v>1367</v>
      </c>
      <c r="B1048" s="27" t="str">
        <f t="shared" si="52"/>
        <v/>
      </c>
      <c r="C1048" s="27" t="str">
        <f t="shared" si="53"/>
        <v/>
      </c>
    </row>
    <row r="1049" spans="1:3" x14ac:dyDescent="0.25">
      <c r="A1049" s="27" t="s">
        <v>1367</v>
      </c>
      <c r="B1049" s="27" t="str">
        <f t="shared" si="52"/>
        <v/>
      </c>
      <c r="C1049" s="27" t="str">
        <f t="shared" si="53"/>
        <v/>
      </c>
    </row>
    <row r="1050" spans="1:3" x14ac:dyDescent="0.25">
      <c r="A1050" s="27" t="s">
        <v>1367</v>
      </c>
      <c r="B1050" s="27" t="str">
        <f t="shared" si="52"/>
        <v/>
      </c>
      <c r="C1050" s="27" t="str">
        <f t="shared" si="53"/>
        <v/>
      </c>
    </row>
    <row r="1051" spans="1:3" x14ac:dyDescent="0.25">
      <c r="A1051" s="27" t="s">
        <v>1367</v>
      </c>
      <c r="B1051" s="27" t="str">
        <f t="shared" si="52"/>
        <v/>
      </c>
      <c r="C1051" s="27" t="str">
        <f t="shared" si="53"/>
        <v/>
      </c>
    </row>
    <row r="1052" spans="1:3" x14ac:dyDescent="0.25">
      <c r="A1052" s="27" t="s">
        <v>1367</v>
      </c>
      <c r="B1052" s="27" t="str">
        <f t="shared" si="52"/>
        <v/>
      </c>
      <c r="C1052" s="27" t="str">
        <f t="shared" si="53"/>
        <v/>
      </c>
    </row>
    <row r="1053" spans="1:3" x14ac:dyDescent="0.25">
      <c r="A1053" s="27" t="s">
        <v>1367</v>
      </c>
      <c r="B1053" s="27" t="str">
        <f t="shared" si="52"/>
        <v/>
      </c>
      <c r="C1053" s="27" t="str">
        <f t="shared" si="53"/>
        <v/>
      </c>
    </row>
    <row r="1054" spans="1:3" x14ac:dyDescent="0.25">
      <c r="A1054" s="27" t="s">
        <v>1367</v>
      </c>
      <c r="B1054" s="27" t="str">
        <f t="shared" si="52"/>
        <v/>
      </c>
      <c r="C1054" s="27" t="str">
        <f t="shared" si="53"/>
        <v/>
      </c>
    </row>
    <row r="1055" spans="1:3" x14ac:dyDescent="0.25">
      <c r="A1055" s="27" t="s">
        <v>1367</v>
      </c>
      <c r="B1055" s="27" t="str">
        <f t="shared" si="52"/>
        <v/>
      </c>
      <c r="C1055" s="27" t="str">
        <f t="shared" si="53"/>
        <v/>
      </c>
    </row>
    <row r="1056" spans="1:3" x14ac:dyDescent="0.25">
      <c r="A1056" s="27" t="s">
        <v>1367</v>
      </c>
      <c r="B1056" s="27" t="str">
        <f t="shared" si="52"/>
        <v/>
      </c>
      <c r="C1056" s="27" t="str">
        <f t="shared" si="53"/>
        <v/>
      </c>
    </row>
    <row r="1057" spans="1:3" x14ac:dyDescent="0.25">
      <c r="A1057" s="27" t="s">
        <v>1367</v>
      </c>
      <c r="B1057" s="27" t="str">
        <f t="shared" si="52"/>
        <v/>
      </c>
      <c r="C1057" s="27" t="str">
        <f t="shared" si="53"/>
        <v/>
      </c>
    </row>
    <row r="1058" spans="1:3" x14ac:dyDescent="0.25">
      <c r="A1058" s="27" t="s">
        <v>1367</v>
      </c>
      <c r="B1058" s="27" t="str">
        <f t="shared" si="52"/>
        <v/>
      </c>
      <c r="C1058" s="27" t="str">
        <f t="shared" si="53"/>
        <v/>
      </c>
    </row>
    <row r="1059" spans="1:3" x14ac:dyDescent="0.25">
      <c r="A1059" s="27" t="s">
        <v>1367</v>
      </c>
      <c r="B1059" s="27" t="str">
        <f t="shared" si="52"/>
        <v/>
      </c>
      <c r="C1059" s="27" t="str">
        <f t="shared" si="53"/>
        <v/>
      </c>
    </row>
    <row r="1060" spans="1:3" x14ac:dyDescent="0.25">
      <c r="A1060" s="27" t="s">
        <v>1367</v>
      </c>
      <c r="B1060" s="27" t="str">
        <f t="shared" si="52"/>
        <v/>
      </c>
      <c r="C1060" s="27" t="str">
        <f t="shared" si="53"/>
        <v/>
      </c>
    </row>
    <row r="1061" spans="1:3" x14ac:dyDescent="0.25">
      <c r="A1061" s="27" t="s">
        <v>1367</v>
      </c>
      <c r="B1061" s="27" t="str">
        <f t="shared" si="52"/>
        <v/>
      </c>
      <c r="C1061" s="27" t="str">
        <f t="shared" si="53"/>
        <v/>
      </c>
    </row>
    <row r="1062" spans="1:3" x14ac:dyDescent="0.25">
      <c r="A1062" s="27" t="s">
        <v>1367</v>
      </c>
      <c r="B1062" s="27" t="str">
        <f t="shared" si="52"/>
        <v/>
      </c>
      <c r="C1062" s="27" t="str">
        <f t="shared" si="53"/>
        <v/>
      </c>
    </row>
    <row r="1063" spans="1:3" x14ac:dyDescent="0.25">
      <c r="A1063" s="27" t="s">
        <v>1367</v>
      </c>
      <c r="B1063" s="27" t="str">
        <f t="shared" si="52"/>
        <v/>
      </c>
      <c r="C1063" s="27" t="str">
        <f t="shared" si="53"/>
        <v/>
      </c>
    </row>
    <row r="1064" spans="1:3" x14ac:dyDescent="0.25">
      <c r="A1064" s="27" t="s">
        <v>1367</v>
      </c>
      <c r="B1064" s="27" t="str">
        <f t="shared" si="52"/>
        <v/>
      </c>
      <c r="C1064" s="27" t="str">
        <f t="shared" si="53"/>
        <v/>
      </c>
    </row>
    <row r="1065" spans="1:3" x14ac:dyDescent="0.25">
      <c r="A1065" s="27" t="s">
        <v>1367</v>
      </c>
      <c r="B1065" s="27" t="str">
        <f t="shared" si="52"/>
        <v/>
      </c>
      <c r="C1065" s="27" t="str">
        <f t="shared" si="53"/>
        <v/>
      </c>
    </row>
    <row r="1066" spans="1:3" x14ac:dyDescent="0.25">
      <c r="A1066" s="27" t="s">
        <v>1367</v>
      </c>
      <c r="B1066" s="27" t="str">
        <f t="shared" si="52"/>
        <v/>
      </c>
      <c r="C1066" s="27" t="str">
        <f t="shared" si="53"/>
        <v/>
      </c>
    </row>
    <row r="1067" spans="1:3" x14ac:dyDescent="0.25">
      <c r="A1067" s="27" t="s">
        <v>1367</v>
      </c>
      <c r="B1067" s="27" t="str">
        <f t="shared" si="52"/>
        <v/>
      </c>
      <c r="C1067" s="27" t="str">
        <f t="shared" si="53"/>
        <v/>
      </c>
    </row>
    <row r="1068" spans="1:3" x14ac:dyDescent="0.25">
      <c r="A1068" s="27" t="s">
        <v>1367</v>
      </c>
      <c r="B1068" s="27" t="str">
        <f t="shared" si="52"/>
        <v/>
      </c>
      <c r="C1068" s="27" t="str">
        <f t="shared" si="53"/>
        <v/>
      </c>
    </row>
    <row r="1069" spans="1:3" x14ac:dyDescent="0.25">
      <c r="A1069" s="27" t="s">
        <v>1367</v>
      </c>
      <c r="B1069" s="27" t="str">
        <f t="shared" si="52"/>
        <v/>
      </c>
      <c r="C1069" s="27" t="str">
        <f t="shared" si="53"/>
        <v/>
      </c>
    </row>
    <row r="1070" spans="1:3" x14ac:dyDescent="0.25">
      <c r="A1070" s="27" t="s">
        <v>1367</v>
      </c>
      <c r="B1070" s="27" t="str">
        <f t="shared" si="52"/>
        <v/>
      </c>
      <c r="C1070" s="27" t="str">
        <f t="shared" si="53"/>
        <v/>
      </c>
    </row>
    <row r="1071" spans="1:3" x14ac:dyDescent="0.25">
      <c r="A1071" s="27" t="s">
        <v>1367</v>
      </c>
      <c r="B1071" s="27" t="str">
        <f t="shared" si="52"/>
        <v/>
      </c>
      <c r="C1071" s="27" t="str">
        <f t="shared" si="53"/>
        <v/>
      </c>
    </row>
    <row r="1072" spans="1:3" x14ac:dyDescent="0.25">
      <c r="A1072" s="27" t="s">
        <v>1367</v>
      </c>
      <c r="B1072" s="27" t="str">
        <f t="shared" si="52"/>
        <v/>
      </c>
      <c r="C1072" s="27" t="str">
        <f t="shared" si="53"/>
        <v/>
      </c>
    </row>
    <row r="1073" spans="1:3" x14ac:dyDescent="0.25">
      <c r="A1073" s="27" t="s">
        <v>1367</v>
      </c>
      <c r="B1073" s="27" t="str">
        <f t="shared" si="52"/>
        <v/>
      </c>
      <c r="C1073" s="27" t="str">
        <f t="shared" si="53"/>
        <v/>
      </c>
    </row>
    <row r="1074" spans="1:3" x14ac:dyDescent="0.25">
      <c r="A1074" s="27" t="s">
        <v>1367</v>
      </c>
      <c r="B1074" s="27" t="str">
        <f t="shared" si="52"/>
        <v/>
      </c>
      <c r="C1074" s="27" t="str">
        <f t="shared" si="53"/>
        <v/>
      </c>
    </row>
    <row r="1075" spans="1:3" x14ac:dyDescent="0.25">
      <c r="A1075" s="27" t="s">
        <v>1367</v>
      </c>
      <c r="B1075" s="27" t="str">
        <f t="shared" si="52"/>
        <v/>
      </c>
      <c r="C1075" s="27" t="str">
        <f t="shared" si="53"/>
        <v/>
      </c>
    </row>
    <row r="1076" spans="1:3" x14ac:dyDescent="0.25">
      <c r="A1076" s="27" t="s">
        <v>1367</v>
      </c>
      <c r="B1076" s="27" t="str">
        <f t="shared" si="52"/>
        <v/>
      </c>
      <c r="C1076" s="27" t="str">
        <f t="shared" si="53"/>
        <v/>
      </c>
    </row>
    <row r="1077" spans="1:3" x14ac:dyDescent="0.25">
      <c r="A1077" s="27" t="s">
        <v>1367</v>
      </c>
      <c r="B1077" s="27" t="str">
        <f t="shared" si="52"/>
        <v/>
      </c>
      <c r="C1077" s="27" t="str">
        <f t="shared" si="53"/>
        <v/>
      </c>
    </row>
    <row r="1078" spans="1:3" x14ac:dyDescent="0.25">
      <c r="A1078" s="27" t="s">
        <v>1367</v>
      </c>
      <c r="B1078" s="27" t="str">
        <f t="shared" si="52"/>
        <v/>
      </c>
      <c r="C1078" s="27" t="str">
        <f t="shared" si="53"/>
        <v/>
      </c>
    </row>
    <row r="1079" spans="1:3" x14ac:dyDescent="0.25">
      <c r="A1079" s="27" t="s">
        <v>1367</v>
      </c>
      <c r="B1079" s="27" t="str">
        <f t="shared" si="52"/>
        <v/>
      </c>
      <c r="C1079" s="27" t="str">
        <f t="shared" si="53"/>
        <v/>
      </c>
    </row>
    <row r="1080" spans="1:3" x14ac:dyDescent="0.25">
      <c r="A1080" s="27" t="s">
        <v>1367</v>
      </c>
      <c r="B1080" s="27" t="str">
        <f t="shared" si="52"/>
        <v/>
      </c>
      <c r="C1080" s="27" t="str">
        <f t="shared" si="53"/>
        <v/>
      </c>
    </row>
    <row r="1081" spans="1:3" x14ac:dyDescent="0.25">
      <c r="A1081" s="27" t="s">
        <v>1367</v>
      </c>
      <c r="B1081" s="27" t="str">
        <f t="shared" si="52"/>
        <v/>
      </c>
      <c r="C1081" s="27" t="str">
        <f t="shared" si="53"/>
        <v/>
      </c>
    </row>
    <row r="1082" spans="1:3" x14ac:dyDescent="0.25">
      <c r="A1082" s="27" t="s">
        <v>1367</v>
      </c>
      <c r="B1082" s="27" t="str">
        <f t="shared" si="52"/>
        <v/>
      </c>
      <c r="C1082" s="27" t="str">
        <f t="shared" si="53"/>
        <v/>
      </c>
    </row>
    <row r="1083" spans="1:3" x14ac:dyDescent="0.25">
      <c r="A1083" s="27" t="s">
        <v>1367</v>
      </c>
      <c r="B1083" s="27" t="str">
        <f t="shared" si="52"/>
        <v/>
      </c>
      <c r="C1083" s="27" t="str">
        <f t="shared" si="53"/>
        <v/>
      </c>
    </row>
    <row r="1084" spans="1:3" x14ac:dyDescent="0.25">
      <c r="A1084" s="27" t="s">
        <v>1367</v>
      </c>
      <c r="B1084" s="27" t="str">
        <f t="shared" si="52"/>
        <v/>
      </c>
      <c r="C1084" s="27" t="str">
        <f t="shared" si="53"/>
        <v/>
      </c>
    </row>
    <row r="1085" spans="1:3" x14ac:dyDescent="0.25">
      <c r="A1085" s="27" t="s">
        <v>1367</v>
      </c>
      <c r="B1085" s="27" t="str">
        <f t="shared" si="52"/>
        <v/>
      </c>
      <c r="C1085" s="27" t="str">
        <f t="shared" si="53"/>
        <v/>
      </c>
    </row>
    <row r="1086" spans="1:3" x14ac:dyDescent="0.25">
      <c r="A1086" s="27" t="s">
        <v>1367</v>
      </c>
      <c r="B1086" s="27" t="str">
        <f t="shared" si="52"/>
        <v/>
      </c>
      <c r="C1086" s="27" t="str">
        <f t="shared" si="53"/>
        <v/>
      </c>
    </row>
    <row r="1087" spans="1:3" x14ac:dyDescent="0.25">
      <c r="A1087" s="27" t="s">
        <v>1367</v>
      </c>
      <c r="B1087" s="27" t="str">
        <f t="shared" si="52"/>
        <v/>
      </c>
      <c r="C1087" s="27" t="str">
        <f t="shared" si="53"/>
        <v/>
      </c>
    </row>
    <row r="1088" spans="1:3" x14ac:dyDescent="0.25">
      <c r="A1088" s="27" t="s">
        <v>1367</v>
      </c>
      <c r="B1088" s="27" t="str">
        <f t="shared" si="52"/>
        <v/>
      </c>
      <c r="C1088" s="27" t="str">
        <f t="shared" si="53"/>
        <v/>
      </c>
    </row>
    <row r="1089" spans="1:3" x14ac:dyDescent="0.25">
      <c r="A1089" s="27" t="s">
        <v>1367</v>
      </c>
      <c r="B1089" s="27" t="str">
        <f t="shared" si="52"/>
        <v/>
      </c>
      <c r="C1089" s="27" t="str">
        <f t="shared" si="53"/>
        <v/>
      </c>
    </row>
    <row r="1090" spans="1:3" x14ac:dyDescent="0.25">
      <c r="A1090" s="27" t="s">
        <v>1367</v>
      </c>
      <c r="B1090" s="27" t="str">
        <f t="shared" si="52"/>
        <v/>
      </c>
      <c r="C1090" s="27" t="str">
        <f t="shared" si="53"/>
        <v/>
      </c>
    </row>
    <row r="1091" spans="1:3" x14ac:dyDescent="0.25">
      <c r="A1091" s="27" t="s">
        <v>1367</v>
      </c>
      <c r="B1091" s="27" t="str">
        <f t="shared" si="52"/>
        <v/>
      </c>
      <c r="C1091" s="27" t="str">
        <f t="shared" si="53"/>
        <v/>
      </c>
    </row>
    <row r="1092" spans="1:3" x14ac:dyDescent="0.25">
      <c r="A1092" s="27" t="s">
        <v>1367</v>
      </c>
      <c r="B1092" s="27" t="str">
        <f t="shared" si="52"/>
        <v/>
      </c>
      <c r="C1092" s="27" t="str">
        <f t="shared" si="53"/>
        <v/>
      </c>
    </row>
    <row r="1093" spans="1:3" x14ac:dyDescent="0.25">
      <c r="A1093" s="27" t="s">
        <v>1367</v>
      </c>
      <c r="B1093" s="27" t="str">
        <f t="shared" si="52"/>
        <v/>
      </c>
      <c r="C1093" s="27" t="str">
        <f t="shared" si="53"/>
        <v/>
      </c>
    </row>
    <row r="1094" spans="1:3" x14ac:dyDescent="0.25">
      <c r="A1094" s="27" t="s">
        <v>1367</v>
      </c>
      <c r="B1094" s="27" t="str">
        <f t="shared" si="52"/>
        <v/>
      </c>
      <c r="C1094" s="27" t="str">
        <f t="shared" si="53"/>
        <v/>
      </c>
    </row>
    <row r="1095" spans="1:3" x14ac:dyDescent="0.25">
      <c r="A1095" s="27" t="s">
        <v>1367</v>
      </c>
      <c r="B1095" s="27" t="str">
        <f t="shared" si="52"/>
        <v/>
      </c>
      <c r="C1095" s="27" t="str">
        <f t="shared" si="53"/>
        <v/>
      </c>
    </row>
    <row r="1096" spans="1:3" x14ac:dyDescent="0.25">
      <c r="A1096" s="27" t="s">
        <v>1367</v>
      </c>
      <c r="B1096" s="27" t="str">
        <f t="shared" si="52"/>
        <v/>
      </c>
      <c r="C1096" s="27" t="str">
        <f t="shared" si="53"/>
        <v/>
      </c>
    </row>
    <row r="1097" spans="1:3" x14ac:dyDescent="0.25">
      <c r="A1097" s="27" t="s">
        <v>1367</v>
      </c>
      <c r="B1097" s="27" t="str">
        <f t="shared" si="52"/>
        <v/>
      </c>
      <c r="C1097" s="27" t="str">
        <f t="shared" si="53"/>
        <v/>
      </c>
    </row>
    <row r="1098" spans="1:3" x14ac:dyDescent="0.25">
      <c r="A1098" s="27" t="s">
        <v>1367</v>
      </c>
      <c r="B1098" s="27" t="str">
        <f t="shared" si="52"/>
        <v/>
      </c>
      <c r="C1098" s="27" t="str">
        <f t="shared" si="53"/>
        <v/>
      </c>
    </row>
    <row r="1099" spans="1:3" x14ac:dyDescent="0.25">
      <c r="A1099" s="27" t="s">
        <v>1367</v>
      </c>
      <c r="B1099" s="27" t="str">
        <f t="shared" si="52"/>
        <v/>
      </c>
      <c r="C1099" s="27" t="str">
        <f t="shared" si="53"/>
        <v/>
      </c>
    </row>
    <row r="1100" spans="1:3" x14ac:dyDescent="0.25">
      <c r="A1100" s="27" t="s">
        <v>1367</v>
      </c>
      <c r="B1100" s="27" t="str">
        <f t="shared" si="52"/>
        <v/>
      </c>
      <c r="C1100" s="27" t="str">
        <f t="shared" si="53"/>
        <v/>
      </c>
    </row>
    <row r="1101" spans="1:3" x14ac:dyDescent="0.25">
      <c r="A1101" s="27" t="s">
        <v>1367</v>
      </c>
      <c r="B1101" s="27" t="str">
        <f t="shared" si="52"/>
        <v/>
      </c>
      <c r="C1101" s="27" t="str">
        <f t="shared" si="53"/>
        <v/>
      </c>
    </row>
    <row r="1102" spans="1:3" x14ac:dyDescent="0.25">
      <c r="A1102" s="27" t="s">
        <v>1367</v>
      </c>
      <c r="B1102" s="27" t="str">
        <f t="shared" si="52"/>
        <v/>
      </c>
      <c r="C1102" s="27" t="str">
        <f t="shared" si="53"/>
        <v/>
      </c>
    </row>
    <row r="1103" spans="1:3" x14ac:dyDescent="0.25">
      <c r="A1103" s="27" t="s">
        <v>1367</v>
      </c>
      <c r="B1103" s="27" t="str">
        <f t="shared" si="52"/>
        <v/>
      </c>
      <c r="C1103" s="27" t="str">
        <f t="shared" si="53"/>
        <v/>
      </c>
    </row>
    <row r="1104" spans="1:3" x14ac:dyDescent="0.25">
      <c r="A1104" s="27" t="s">
        <v>1367</v>
      </c>
      <c r="B1104" s="27" t="str">
        <f t="shared" si="52"/>
        <v/>
      </c>
      <c r="C1104" s="27" t="str">
        <f t="shared" si="53"/>
        <v/>
      </c>
    </row>
    <row r="1105" spans="1:3" x14ac:dyDescent="0.25">
      <c r="A1105" s="27" t="s">
        <v>1367</v>
      </c>
      <c r="B1105" s="27" t="str">
        <f t="shared" si="52"/>
        <v/>
      </c>
      <c r="C1105" s="27" t="str">
        <f t="shared" si="53"/>
        <v/>
      </c>
    </row>
    <row r="1106" spans="1:3" x14ac:dyDescent="0.25">
      <c r="A1106" s="27" t="s">
        <v>1367</v>
      </c>
      <c r="B1106" s="27" t="str">
        <f t="shared" si="52"/>
        <v/>
      </c>
      <c r="C1106" s="27" t="str">
        <f t="shared" si="53"/>
        <v/>
      </c>
    </row>
    <row r="1107" spans="1:3" x14ac:dyDescent="0.25">
      <c r="A1107" s="27" t="s">
        <v>1367</v>
      </c>
      <c r="B1107" s="27" t="str">
        <f t="shared" si="52"/>
        <v/>
      </c>
      <c r="C1107" s="27" t="str">
        <f t="shared" si="53"/>
        <v/>
      </c>
    </row>
    <row r="1108" spans="1:3" x14ac:dyDescent="0.25">
      <c r="A1108" s="27" t="s">
        <v>1367</v>
      </c>
      <c r="B1108" s="27" t="str">
        <f t="shared" si="52"/>
        <v/>
      </c>
      <c r="C1108" s="27" t="str">
        <f t="shared" si="53"/>
        <v/>
      </c>
    </row>
    <row r="1109" spans="1:3" x14ac:dyDescent="0.25">
      <c r="A1109" s="27" t="s">
        <v>1367</v>
      </c>
      <c r="B1109" s="27" t="str">
        <f t="shared" ref="B1109:B1172" si="54">LEFT(A1109,FIND(";",A1109)-1)</f>
        <v/>
      </c>
      <c r="C1109" s="27" t="str">
        <f t="shared" ref="C1109:C1172" si="55">MID(A1109,FIND(";",A1109)+1,100)</f>
        <v/>
      </c>
    </row>
    <row r="1110" spans="1:3" x14ac:dyDescent="0.25">
      <c r="A1110" s="27" t="s">
        <v>1367</v>
      </c>
      <c r="B1110" s="27" t="str">
        <f t="shared" si="54"/>
        <v/>
      </c>
      <c r="C1110" s="27" t="str">
        <f t="shared" si="55"/>
        <v/>
      </c>
    </row>
    <row r="1111" spans="1:3" x14ac:dyDescent="0.25">
      <c r="A1111" s="27" t="s">
        <v>1367</v>
      </c>
      <c r="B1111" s="27" t="str">
        <f t="shared" si="54"/>
        <v/>
      </c>
      <c r="C1111" s="27" t="str">
        <f t="shared" si="55"/>
        <v/>
      </c>
    </row>
    <row r="1112" spans="1:3" x14ac:dyDescent="0.25">
      <c r="A1112" s="27" t="s">
        <v>1367</v>
      </c>
      <c r="B1112" s="27" t="str">
        <f t="shared" si="54"/>
        <v/>
      </c>
      <c r="C1112" s="27" t="str">
        <f t="shared" si="55"/>
        <v/>
      </c>
    </row>
    <row r="1113" spans="1:3" x14ac:dyDescent="0.25">
      <c r="A1113" s="27" t="s">
        <v>1367</v>
      </c>
      <c r="B1113" s="27" t="str">
        <f t="shared" si="54"/>
        <v/>
      </c>
      <c r="C1113" s="27" t="str">
        <f t="shared" si="55"/>
        <v/>
      </c>
    </row>
    <row r="1114" spans="1:3" x14ac:dyDescent="0.25">
      <c r="A1114" s="27" t="s">
        <v>1367</v>
      </c>
      <c r="B1114" s="27" t="str">
        <f t="shared" si="54"/>
        <v/>
      </c>
      <c r="C1114" s="27" t="str">
        <f t="shared" si="55"/>
        <v/>
      </c>
    </row>
    <row r="1115" spans="1:3" x14ac:dyDescent="0.25">
      <c r="A1115" s="27" t="s">
        <v>1367</v>
      </c>
      <c r="B1115" s="27" t="str">
        <f t="shared" si="54"/>
        <v/>
      </c>
      <c r="C1115" s="27" t="str">
        <f t="shared" si="55"/>
        <v/>
      </c>
    </row>
    <row r="1116" spans="1:3" x14ac:dyDescent="0.25">
      <c r="A1116" s="27" t="s">
        <v>1367</v>
      </c>
      <c r="B1116" s="27" t="str">
        <f t="shared" si="54"/>
        <v/>
      </c>
      <c r="C1116" s="27" t="str">
        <f t="shared" si="55"/>
        <v/>
      </c>
    </row>
    <row r="1117" spans="1:3" x14ac:dyDescent="0.25">
      <c r="A1117" s="27" t="s">
        <v>1367</v>
      </c>
      <c r="B1117" s="27" t="str">
        <f t="shared" si="54"/>
        <v/>
      </c>
      <c r="C1117" s="27" t="str">
        <f t="shared" si="55"/>
        <v/>
      </c>
    </row>
    <row r="1118" spans="1:3" x14ac:dyDescent="0.25">
      <c r="A1118" s="27" t="s">
        <v>1367</v>
      </c>
      <c r="B1118" s="27" t="str">
        <f t="shared" si="54"/>
        <v/>
      </c>
      <c r="C1118" s="27" t="str">
        <f t="shared" si="55"/>
        <v/>
      </c>
    </row>
    <row r="1119" spans="1:3" x14ac:dyDescent="0.25">
      <c r="A1119" s="27" t="s">
        <v>1367</v>
      </c>
      <c r="B1119" s="27" t="str">
        <f t="shared" si="54"/>
        <v/>
      </c>
      <c r="C1119" s="27" t="str">
        <f t="shared" si="55"/>
        <v/>
      </c>
    </row>
    <row r="1120" spans="1:3" x14ac:dyDescent="0.25">
      <c r="A1120" s="27" t="s">
        <v>1367</v>
      </c>
      <c r="B1120" s="27" t="str">
        <f t="shared" si="54"/>
        <v/>
      </c>
      <c r="C1120" s="27" t="str">
        <f t="shared" si="55"/>
        <v/>
      </c>
    </row>
    <row r="1121" spans="1:3" x14ac:dyDescent="0.25">
      <c r="A1121" s="27" t="s">
        <v>1367</v>
      </c>
      <c r="B1121" s="27" t="str">
        <f t="shared" si="54"/>
        <v/>
      </c>
      <c r="C1121" s="27" t="str">
        <f t="shared" si="55"/>
        <v/>
      </c>
    </row>
    <row r="1122" spans="1:3" x14ac:dyDescent="0.25">
      <c r="A1122" s="27" t="s">
        <v>1367</v>
      </c>
      <c r="B1122" s="27" t="str">
        <f t="shared" si="54"/>
        <v/>
      </c>
      <c r="C1122" s="27" t="str">
        <f t="shared" si="55"/>
        <v/>
      </c>
    </row>
    <row r="1123" spans="1:3" x14ac:dyDescent="0.25">
      <c r="A1123" s="27" t="s">
        <v>1367</v>
      </c>
      <c r="B1123" s="27" t="str">
        <f t="shared" si="54"/>
        <v/>
      </c>
      <c r="C1123" s="27" t="str">
        <f t="shared" si="55"/>
        <v/>
      </c>
    </row>
    <row r="1124" spans="1:3" x14ac:dyDescent="0.25">
      <c r="A1124" s="27" t="s">
        <v>1367</v>
      </c>
      <c r="B1124" s="27" t="str">
        <f t="shared" si="54"/>
        <v/>
      </c>
      <c r="C1124" s="27" t="str">
        <f t="shared" si="55"/>
        <v/>
      </c>
    </row>
    <row r="1125" spans="1:3" x14ac:dyDescent="0.25">
      <c r="A1125" s="27" t="s">
        <v>1367</v>
      </c>
      <c r="B1125" s="27" t="str">
        <f t="shared" si="54"/>
        <v/>
      </c>
      <c r="C1125" s="27" t="str">
        <f t="shared" si="55"/>
        <v/>
      </c>
    </row>
    <row r="1126" spans="1:3" x14ac:dyDescent="0.25">
      <c r="A1126" s="27" t="s">
        <v>1367</v>
      </c>
      <c r="B1126" s="27" t="str">
        <f t="shared" si="54"/>
        <v/>
      </c>
      <c r="C1126" s="27" t="str">
        <f t="shared" si="55"/>
        <v/>
      </c>
    </row>
    <row r="1127" spans="1:3" x14ac:dyDescent="0.25">
      <c r="A1127" s="27" t="s">
        <v>1367</v>
      </c>
      <c r="B1127" s="27" t="str">
        <f t="shared" si="54"/>
        <v/>
      </c>
      <c r="C1127" s="27" t="str">
        <f t="shared" si="55"/>
        <v/>
      </c>
    </row>
    <row r="1128" spans="1:3" x14ac:dyDescent="0.25">
      <c r="A1128" s="27" t="s">
        <v>1367</v>
      </c>
      <c r="B1128" s="27" t="str">
        <f t="shared" si="54"/>
        <v/>
      </c>
      <c r="C1128" s="27" t="str">
        <f t="shared" si="55"/>
        <v/>
      </c>
    </row>
    <row r="1129" spans="1:3" x14ac:dyDescent="0.25">
      <c r="A1129" s="27" t="s">
        <v>1367</v>
      </c>
      <c r="B1129" s="27" t="str">
        <f t="shared" si="54"/>
        <v/>
      </c>
      <c r="C1129" s="27" t="str">
        <f t="shared" si="55"/>
        <v/>
      </c>
    </row>
    <row r="1130" spans="1:3" x14ac:dyDescent="0.25">
      <c r="A1130" s="27" t="s">
        <v>1367</v>
      </c>
      <c r="B1130" s="27" t="str">
        <f t="shared" si="54"/>
        <v/>
      </c>
      <c r="C1130" s="27" t="str">
        <f t="shared" si="55"/>
        <v/>
      </c>
    </row>
    <row r="1131" spans="1:3" x14ac:dyDescent="0.25">
      <c r="A1131" s="27" t="s">
        <v>1367</v>
      </c>
      <c r="B1131" s="27" t="str">
        <f t="shared" si="54"/>
        <v/>
      </c>
      <c r="C1131" s="27" t="str">
        <f t="shared" si="55"/>
        <v/>
      </c>
    </row>
    <row r="1132" spans="1:3" x14ac:dyDescent="0.25">
      <c r="A1132" s="27" t="s">
        <v>1367</v>
      </c>
      <c r="B1132" s="27" t="str">
        <f t="shared" si="54"/>
        <v/>
      </c>
      <c r="C1132" s="27" t="str">
        <f t="shared" si="55"/>
        <v/>
      </c>
    </row>
    <row r="1133" spans="1:3" x14ac:dyDescent="0.25">
      <c r="A1133" s="27" t="s">
        <v>1367</v>
      </c>
      <c r="B1133" s="27" t="str">
        <f t="shared" si="54"/>
        <v/>
      </c>
      <c r="C1133" s="27" t="str">
        <f t="shared" si="55"/>
        <v/>
      </c>
    </row>
    <row r="1134" spans="1:3" x14ac:dyDescent="0.25">
      <c r="A1134" s="27" t="s">
        <v>1367</v>
      </c>
      <c r="B1134" s="27" t="str">
        <f t="shared" si="54"/>
        <v/>
      </c>
      <c r="C1134" s="27" t="str">
        <f t="shared" si="55"/>
        <v/>
      </c>
    </row>
    <row r="1135" spans="1:3" x14ac:dyDescent="0.25">
      <c r="A1135" s="27" t="s">
        <v>1367</v>
      </c>
      <c r="B1135" s="27" t="str">
        <f t="shared" si="54"/>
        <v/>
      </c>
      <c r="C1135" s="27" t="str">
        <f t="shared" si="55"/>
        <v/>
      </c>
    </row>
    <row r="1136" spans="1:3" x14ac:dyDescent="0.25">
      <c r="A1136" s="27" t="s">
        <v>1367</v>
      </c>
      <c r="B1136" s="27" t="str">
        <f t="shared" si="54"/>
        <v/>
      </c>
      <c r="C1136" s="27" t="str">
        <f t="shared" si="55"/>
        <v/>
      </c>
    </row>
    <row r="1137" spans="1:3" x14ac:dyDescent="0.25">
      <c r="A1137" s="27" t="s">
        <v>1367</v>
      </c>
      <c r="B1137" s="27" t="str">
        <f t="shared" si="54"/>
        <v/>
      </c>
      <c r="C1137" s="27" t="str">
        <f t="shared" si="55"/>
        <v/>
      </c>
    </row>
    <row r="1138" spans="1:3" x14ac:dyDescent="0.25">
      <c r="A1138" s="27" t="s">
        <v>1367</v>
      </c>
      <c r="B1138" s="27" t="str">
        <f t="shared" si="54"/>
        <v/>
      </c>
      <c r="C1138" s="27" t="str">
        <f t="shared" si="55"/>
        <v/>
      </c>
    </row>
    <row r="1139" spans="1:3" x14ac:dyDescent="0.25">
      <c r="A1139" s="27" t="s">
        <v>1367</v>
      </c>
      <c r="B1139" s="27" t="str">
        <f t="shared" si="54"/>
        <v/>
      </c>
      <c r="C1139" s="27" t="str">
        <f t="shared" si="55"/>
        <v/>
      </c>
    </row>
    <row r="1140" spans="1:3" x14ac:dyDescent="0.25">
      <c r="A1140" s="27" t="s">
        <v>1367</v>
      </c>
      <c r="B1140" s="27" t="str">
        <f t="shared" si="54"/>
        <v/>
      </c>
      <c r="C1140" s="27" t="str">
        <f t="shared" si="55"/>
        <v/>
      </c>
    </row>
    <row r="1141" spans="1:3" x14ac:dyDescent="0.25">
      <c r="A1141" s="27" t="s">
        <v>1367</v>
      </c>
      <c r="B1141" s="27" t="str">
        <f t="shared" si="54"/>
        <v/>
      </c>
      <c r="C1141" s="27" t="str">
        <f t="shared" si="55"/>
        <v/>
      </c>
    </row>
    <row r="1142" spans="1:3" x14ac:dyDescent="0.25">
      <c r="A1142" s="27" t="s">
        <v>1367</v>
      </c>
      <c r="B1142" s="27" t="str">
        <f t="shared" si="54"/>
        <v/>
      </c>
      <c r="C1142" s="27" t="str">
        <f t="shared" si="55"/>
        <v/>
      </c>
    </row>
    <row r="1143" spans="1:3" x14ac:dyDescent="0.25">
      <c r="A1143" s="27" t="s">
        <v>1367</v>
      </c>
      <c r="B1143" s="27" t="str">
        <f t="shared" si="54"/>
        <v/>
      </c>
      <c r="C1143" s="27" t="str">
        <f t="shared" si="55"/>
        <v/>
      </c>
    </row>
    <row r="1144" spans="1:3" x14ac:dyDescent="0.25">
      <c r="A1144" s="27" t="s">
        <v>1367</v>
      </c>
      <c r="B1144" s="27" t="str">
        <f t="shared" si="54"/>
        <v/>
      </c>
      <c r="C1144" s="27" t="str">
        <f t="shared" si="55"/>
        <v/>
      </c>
    </row>
    <row r="1145" spans="1:3" x14ac:dyDescent="0.25">
      <c r="A1145" s="27" t="s">
        <v>1367</v>
      </c>
      <c r="B1145" s="27" t="str">
        <f t="shared" si="54"/>
        <v/>
      </c>
      <c r="C1145" s="27" t="str">
        <f t="shared" si="55"/>
        <v/>
      </c>
    </row>
    <row r="1146" spans="1:3" x14ac:dyDescent="0.25">
      <c r="A1146" s="27" t="s">
        <v>1367</v>
      </c>
      <c r="B1146" s="27" t="str">
        <f t="shared" si="54"/>
        <v/>
      </c>
      <c r="C1146" s="27" t="str">
        <f t="shared" si="55"/>
        <v/>
      </c>
    </row>
    <row r="1147" spans="1:3" x14ac:dyDescent="0.25">
      <c r="A1147" s="27" t="s">
        <v>1367</v>
      </c>
      <c r="B1147" s="27" t="str">
        <f t="shared" si="54"/>
        <v/>
      </c>
      <c r="C1147" s="27" t="str">
        <f t="shared" si="55"/>
        <v/>
      </c>
    </row>
    <row r="1148" spans="1:3" x14ac:dyDescent="0.25">
      <c r="A1148" s="27" t="s">
        <v>1367</v>
      </c>
      <c r="B1148" s="27" t="str">
        <f t="shared" si="54"/>
        <v/>
      </c>
      <c r="C1148" s="27" t="str">
        <f t="shared" si="55"/>
        <v/>
      </c>
    </row>
    <row r="1149" spans="1:3" x14ac:dyDescent="0.25">
      <c r="A1149" s="27" t="s">
        <v>1367</v>
      </c>
      <c r="B1149" s="27" t="str">
        <f t="shared" si="54"/>
        <v/>
      </c>
      <c r="C1149" s="27" t="str">
        <f t="shared" si="55"/>
        <v/>
      </c>
    </row>
    <row r="1150" spans="1:3" x14ac:dyDescent="0.25">
      <c r="A1150" s="27" t="s">
        <v>1367</v>
      </c>
      <c r="B1150" s="27" t="str">
        <f t="shared" si="54"/>
        <v/>
      </c>
      <c r="C1150" s="27" t="str">
        <f t="shared" si="55"/>
        <v/>
      </c>
    </row>
    <row r="1151" spans="1:3" x14ac:dyDescent="0.25">
      <c r="A1151" s="27" t="s">
        <v>1367</v>
      </c>
      <c r="B1151" s="27" t="str">
        <f t="shared" si="54"/>
        <v/>
      </c>
      <c r="C1151" s="27" t="str">
        <f t="shared" si="55"/>
        <v/>
      </c>
    </row>
    <row r="1152" spans="1:3" x14ac:dyDescent="0.25">
      <c r="A1152" s="27" t="s">
        <v>1367</v>
      </c>
      <c r="B1152" s="27" t="str">
        <f t="shared" si="54"/>
        <v/>
      </c>
      <c r="C1152" s="27" t="str">
        <f t="shared" si="55"/>
        <v/>
      </c>
    </row>
    <row r="1153" spans="1:3" x14ac:dyDescent="0.25">
      <c r="A1153" s="27" t="s">
        <v>1367</v>
      </c>
      <c r="B1153" s="27" t="str">
        <f t="shared" si="54"/>
        <v/>
      </c>
      <c r="C1153" s="27" t="str">
        <f t="shared" si="55"/>
        <v/>
      </c>
    </row>
    <row r="1154" spans="1:3" x14ac:dyDescent="0.25">
      <c r="A1154" s="27" t="s">
        <v>1367</v>
      </c>
      <c r="B1154" s="27" t="str">
        <f t="shared" si="54"/>
        <v/>
      </c>
      <c r="C1154" s="27" t="str">
        <f t="shared" si="55"/>
        <v/>
      </c>
    </row>
    <row r="1155" spans="1:3" x14ac:dyDescent="0.25">
      <c r="A1155" s="27" t="s">
        <v>1367</v>
      </c>
      <c r="B1155" s="27" t="str">
        <f t="shared" si="54"/>
        <v/>
      </c>
      <c r="C1155" s="27" t="str">
        <f t="shared" si="55"/>
        <v/>
      </c>
    </row>
    <row r="1156" spans="1:3" x14ac:dyDescent="0.25">
      <c r="A1156" s="27" t="s">
        <v>1367</v>
      </c>
      <c r="B1156" s="27" t="str">
        <f t="shared" si="54"/>
        <v/>
      </c>
      <c r="C1156" s="27" t="str">
        <f t="shared" si="55"/>
        <v/>
      </c>
    </row>
    <row r="1157" spans="1:3" x14ac:dyDescent="0.25">
      <c r="A1157" s="27" t="s">
        <v>1367</v>
      </c>
      <c r="B1157" s="27" t="str">
        <f t="shared" si="54"/>
        <v/>
      </c>
      <c r="C1157" s="27" t="str">
        <f t="shared" si="55"/>
        <v/>
      </c>
    </row>
    <row r="1158" spans="1:3" x14ac:dyDescent="0.25">
      <c r="A1158" s="27" t="s">
        <v>1367</v>
      </c>
      <c r="B1158" s="27" t="str">
        <f t="shared" si="54"/>
        <v/>
      </c>
      <c r="C1158" s="27" t="str">
        <f t="shared" si="55"/>
        <v/>
      </c>
    </row>
    <row r="1159" spans="1:3" x14ac:dyDescent="0.25">
      <c r="A1159" s="27" t="s">
        <v>1367</v>
      </c>
      <c r="B1159" s="27" t="str">
        <f t="shared" si="54"/>
        <v/>
      </c>
      <c r="C1159" s="27" t="str">
        <f t="shared" si="55"/>
        <v/>
      </c>
    </row>
    <row r="1160" spans="1:3" x14ac:dyDescent="0.25">
      <c r="A1160" s="27" t="s">
        <v>1367</v>
      </c>
      <c r="B1160" s="27" t="str">
        <f t="shared" si="54"/>
        <v/>
      </c>
      <c r="C1160" s="27" t="str">
        <f t="shared" si="55"/>
        <v/>
      </c>
    </row>
    <row r="1161" spans="1:3" x14ac:dyDescent="0.25">
      <c r="A1161" s="27" t="s">
        <v>1367</v>
      </c>
      <c r="B1161" s="27" t="str">
        <f t="shared" si="54"/>
        <v/>
      </c>
      <c r="C1161" s="27" t="str">
        <f t="shared" si="55"/>
        <v/>
      </c>
    </row>
    <row r="1162" spans="1:3" x14ac:dyDescent="0.25">
      <c r="A1162" s="27" t="s">
        <v>1367</v>
      </c>
      <c r="B1162" s="27" t="str">
        <f t="shared" si="54"/>
        <v/>
      </c>
      <c r="C1162" s="27" t="str">
        <f t="shared" si="55"/>
        <v/>
      </c>
    </row>
    <row r="1163" spans="1:3" x14ac:dyDescent="0.25">
      <c r="A1163" s="27" t="s">
        <v>1367</v>
      </c>
      <c r="B1163" s="27" t="str">
        <f t="shared" si="54"/>
        <v/>
      </c>
      <c r="C1163" s="27" t="str">
        <f t="shared" si="55"/>
        <v/>
      </c>
    </row>
    <row r="1164" spans="1:3" x14ac:dyDescent="0.25">
      <c r="A1164" s="27" t="s">
        <v>1367</v>
      </c>
      <c r="B1164" s="27" t="str">
        <f t="shared" si="54"/>
        <v/>
      </c>
      <c r="C1164" s="27" t="str">
        <f t="shared" si="55"/>
        <v/>
      </c>
    </row>
    <row r="1165" spans="1:3" x14ac:dyDescent="0.25">
      <c r="A1165" s="27" t="s">
        <v>1367</v>
      </c>
      <c r="B1165" s="27" t="str">
        <f t="shared" si="54"/>
        <v/>
      </c>
      <c r="C1165" s="27" t="str">
        <f t="shared" si="55"/>
        <v/>
      </c>
    </row>
    <row r="1166" spans="1:3" x14ac:dyDescent="0.25">
      <c r="A1166" s="27" t="s">
        <v>1367</v>
      </c>
      <c r="B1166" s="27" t="str">
        <f t="shared" si="54"/>
        <v/>
      </c>
      <c r="C1166" s="27" t="str">
        <f t="shared" si="55"/>
        <v/>
      </c>
    </row>
    <row r="1167" spans="1:3" x14ac:dyDescent="0.25">
      <c r="A1167" s="27" t="s">
        <v>1367</v>
      </c>
      <c r="B1167" s="27" t="str">
        <f t="shared" si="54"/>
        <v/>
      </c>
      <c r="C1167" s="27" t="str">
        <f t="shared" si="55"/>
        <v/>
      </c>
    </row>
    <row r="1168" spans="1:3" x14ac:dyDescent="0.25">
      <c r="A1168" s="27" t="s">
        <v>1367</v>
      </c>
      <c r="B1168" s="27" t="str">
        <f t="shared" si="54"/>
        <v/>
      </c>
      <c r="C1168" s="27" t="str">
        <f t="shared" si="55"/>
        <v/>
      </c>
    </row>
    <row r="1169" spans="1:3" x14ac:dyDescent="0.25">
      <c r="A1169" s="27" t="s">
        <v>1367</v>
      </c>
      <c r="B1169" s="27" t="str">
        <f t="shared" si="54"/>
        <v/>
      </c>
      <c r="C1169" s="27" t="str">
        <f t="shared" si="55"/>
        <v/>
      </c>
    </row>
    <row r="1170" spans="1:3" x14ac:dyDescent="0.25">
      <c r="A1170" s="27" t="s">
        <v>1367</v>
      </c>
      <c r="B1170" s="27" t="str">
        <f t="shared" si="54"/>
        <v/>
      </c>
      <c r="C1170" s="27" t="str">
        <f t="shared" si="55"/>
        <v/>
      </c>
    </row>
    <row r="1171" spans="1:3" x14ac:dyDescent="0.25">
      <c r="A1171" s="27" t="s">
        <v>1367</v>
      </c>
      <c r="B1171" s="27" t="str">
        <f t="shared" si="54"/>
        <v/>
      </c>
      <c r="C1171" s="27" t="str">
        <f t="shared" si="55"/>
        <v/>
      </c>
    </row>
    <row r="1172" spans="1:3" x14ac:dyDescent="0.25">
      <c r="A1172" s="27" t="s">
        <v>1367</v>
      </c>
      <c r="B1172" s="27" t="str">
        <f t="shared" si="54"/>
        <v/>
      </c>
      <c r="C1172" s="27" t="str">
        <f t="shared" si="55"/>
        <v/>
      </c>
    </row>
    <row r="1173" spans="1:3" x14ac:dyDescent="0.25">
      <c r="A1173" s="27" t="s">
        <v>1367</v>
      </c>
      <c r="B1173" s="27" t="str">
        <f t="shared" ref="B1173:B1236" si="56">LEFT(A1173,FIND(";",A1173)-1)</f>
        <v/>
      </c>
      <c r="C1173" s="27" t="str">
        <f t="shared" ref="C1173:C1236" si="57">MID(A1173,FIND(";",A1173)+1,100)</f>
        <v/>
      </c>
    </row>
    <row r="1174" spans="1:3" x14ac:dyDescent="0.25">
      <c r="A1174" s="27" t="s">
        <v>1367</v>
      </c>
      <c r="B1174" s="27" t="str">
        <f t="shared" si="56"/>
        <v/>
      </c>
      <c r="C1174" s="27" t="str">
        <f t="shared" si="57"/>
        <v/>
      </c>
    </row>
    <row r="1175" spans="1:3" x14ac:dyDescent="0.25">
      <c r="A1175" s="27" t="s">
        <v>1367</v>
      </c>
      <c r="B1175" s="27" t="str">
        <f t="shared" si="56"/>
        <v/>
      </c>
      <c r="C1175" s="27" t="str">
        <f t="shared" si="57"/>
        <v/>
      </c>
    </row>
    <row r="1176" spans="1:3" x14ac:dyDescent="0.25">
      <c r="A1176" s="27" t="s">
        <v>1367</v>
      </c>
      <c r="B1176" s="27" t="str">
        <f t="shared" si="56"/>
        <v/>
      </c>
      <c r="C1176" s="27" t="str">
        <f t="shared" si="57"/>
        <v/>
      </c>
    </row>
    <row r="1177" spans="1:3" x14ac:dyDescent="0.25">
      <c r="A1177" s="27" t="s">
        <v>1367</v>
      </c>
      <c r="B1177" s="27" t="str">
        <f t="shared" si="56"/>
        <v/>
      </c>
      <c r="C1177" s="27" t="str">
        <f t="shared" si="57"/>
        <v/>
      </c>
    </row>
    <row r="1178" spans="1:3" x14ac:dyDescent="0.25">
      <c r="A1178" s="27" t="s">
        <v>1367</v>
      </c>
      <c r="B1178" s="27" t="str">
        <f t="shared" si="56"/>
        <v/>
      </c>
      <c r="C1178" s="27" t="str">
        <f t="shared" si="57"/>
        <v/>
      </c>
    </row>
    <row r="1179" spans="1:3" x14ac:dyDescent="0.25">
      <c r="A1179" s="27" t="s">
        <v>1367</v>
      </c>
      <c r="B1179" s="27" t="str">
        <f t="shared" si="56"/>
        <v/>
      </c>
      <c r="C1179" s="27" t="str">
        <f t="shared" si="57"/>
        <v/>
      </c>
    </row>
    <row r="1180" spans="1:3" x14ac:dyDescent="0.25">
      <c r="A1180" s="27" t="s">
        <v>1367</v>
      </c>
      <c r="B1180" s="27" t="str">
        <f t="shared" si="56"/>
        <v/>
      </c>
      <c r="C1180" s="27" t="str">
        <f t="shared" si="57"/>
        <v/>
      </c>
    </row>
    <row r="1181" spans="1:3" x14ac:dyDescent="0.25">
      <c r="A1181" s="27" t="s">
        <v>1367</v>
      </c>
      <c r="B1181" s="27" t="str">
        <f t="shared" si="56"/>
        <v/>
      </c>
      <c r="C1181" s="27" t="str">
        <f t="shared" si="57"/>
        <v/>
      </c>
    </row>
    <row r="1182" spans="1:3" x14ac:dyDescent="0.25">
      <c r="A1182" s="27" t="s">
        <v>1367</v>
      </c>
      <c r="B1182" s="27" t="str">
        <f t="shared" si="56"/>
        <v/>
      </c>
      <c r="C1182" s="27" t="str">
        <f t="shared" si="57"/>
        <v/>
      </c>
    </row>
    <row r="1183" spans="1:3" x14ac:dyDescent="0.25">
      <c r="A1183" s="27" t="s">
        <v>1367</v>
      </c>
      <c r="B1183" s="27" t="str">
        <f t="shared" si="56"/>
        <v/>
      </c>
      <c r="C1183" s="27" t="str">
        <f t="shared" si="57"/>
        <v/>
      </c>
    </row>
    <row r="1184" spans="1:3" x14ac:dyDescent="0.25">
      <c r="A1184" s="27" t="s">
        <v>1367</v>
      </c>
      <c r="B1184" s="27" t="str">
        <f t="shared" si="56"/>
        <v/>
      </c>
      <c r="C1184" s="27" t="str">
        <f t="shared" si="57"/>
        <v/>
      </c>
    </row>
    <row r="1185" spans="1:3" x14ac:dyDescent="0.25">
      <c r="A1185" s="27" t="s">
        <v>1367</v>
      </c>
      <c r="B1185" s="27" t="str">
        <f t="shared" si="56"/>
        <v/>
      </c>
      <c r="C1185" s="27" t="str">
        <f t="shared" si="57"/>
        <v/>
      </c>
    </row>
    <row r="1186" spans="1:3" x14ac:dyDescent="0.25">
      <c r="A1186" s="27" t="s">
        <v>1367</v>
      </c>
      <c r="B1186" s="27" t="str">
        <f t="shared" si="56"/>
        <v/>
      </c>
      <c r="C1186" s="27" t="str">
        <f t="shared" si="57"/>
        <v/>
      </c>
    </row>
    <row r="1187" spans="1:3" x14ac:dyDescent="0.25">
      <c r="A1187" s="27" t="s">
        <v>1367</v>
      </c>
      <c r="B1187" s="27" t="str">
        <f t="shared" si="56"/>
        <v/>
      </c>
      <c r="C1187" s="27" t="str">
        <f t="shared" si="57"/>
        <v/>
      </c>
    </row>
    <row r="1188" spans="1:3" x14ac:dyDescent="0.25">
      <c r="A1188" s="27" t="s">
        <v>1367</v>
      </c>
      <c r="B1188" s="27" t="str">
        <f t="shared" si="56"/>
        <v/>
      </c>
      <c r="C1188" s="27" t="str">
        <f t="shared" si="57"/>
        <v/>
      </c>
    </row>
    <row r="1189" spans="1:3" x14ac:dyDescent="0.25">
      <c r="A1189" s="27" t="s">
        <v>1367</v>
      </c>
      <c r="B1189" s="27" t="str">
        <f t="shared" si="56"/>
        <v/>
      </c>
      <c r="C1189" s="27" t="str">
        <f t="shared" si="57"/>
        <v/>
      </c>
    </row>
    <row r="1190" spans="1:3" x14ac:dyDescent="0.25">
      <c r="A1190" s="27" t="s">
        <v>1367</v>
      </c>
      <c r="B1190" s="27" t="str">
        <f t="shared" si="56"/>
        <v/>
      </c>
      <c r="C1190" s="27" t="str">
        <f t="shared" si="57"/>
        <v/>
      </c>
    </row>
    <row r="1191" spans="1:3" x14ac:dyDescent="0.25">
      <c r="A1191" s="27" t="s">
        <v>1367</v>
      </c>
      <c r="B1191" s="27" t="str">
        <f t="shared" si="56"/>
        <v/>
      </c>
      <c r="C1191" s="27" t="str">
        <f t="shared" si="57"/>
        <v/>
      </c>
    </row>
    <row r="1192" spans="1:3" x14ac:dyDescent="0.25">
      <c r="A1192" s="27" t="s">
        <v>1367</v>
      </c>
      <c r="B1192" s="27" t="str">
        <f t="shared" si="56"/>
        <v/>
      </c>
      <c r="C1192" s="27" t="str">
        <f t="shared" si="57"/>
        <v/>
      </c>
    </row>
    <row r="1193" spans="1:3" x14ac:dyDescent="0.25">
      <c r="A1193" s="27" t="s">
        <v>1367</v>
      </c>
      <c r="B1193" s="27" t="str">
        <f t="shared" si="56"/>
        <v/>
      </c>
      <c r="C1193" s="27" t="str">
        <f t="shared" si="57"/>
        <v/>
      </c>
    </row>
    <row r="1194" spans="1:3" x14ac:dyDescent="0.25">
      <c r="A1194" s="27" t="s">
        <v>1367</v>
      </c>
      <c r="B1194" s="27" t="str">
        <f t="shared" si="56"/>
        <v/>
      </c>
      <c r="C1194" s="27" t="str">
        <f t="shared" si="57"/>
        <v/>
      </c>
    </row>
    <row r="1195" spans="1:3" x14ac:dyDescent="0.25">
      <c r="A1195" s="27" t="s">
        <v>1367</v>
      </c>
      <c r="B1195" s="27" t="str">
        <f t="shared" si="56"/>
        <v/>
      </c>
      <c r="C1195" s="27" t="str">
        <f t="shared" si="57"/>
        <v/>
      </c>
    </row>
    <row r="1196" spans="1:3" x14ac:dyDescent="0.25">
      <c r="A1196" s="27" t="s">
        <v>1367</v>
      </c>
      <c r="B1196" s="27" t="str">
        <f t="shared" si="56"/>
        <v/>
      </c>
      <c r="C1196" s="27" t="str">
        <f t="shared" si="57"/>
        <v/>
      </c>
    </row>
    <row r="1197" spans="1:3" x14ac:dyDescent="0.25">
      <c r="A1197" s="27" t="s">
        <v>1367</v>
      </c>
      <c r="B1197" s="27" t="str">
        <f t="shared" si="56"/>
        <v/>
      </c>
      <c r="C1197" s="27" t="str">
        <f t="shared" si="57"/>
        <v/>
      </c>
    </row>
    <row r="1198" spans="1:3" x14ac:dyDescent="0.25">
      <c r="A1198" s="27" t="s">
        <v>1367</v>
      </c>
      <c r="B1198" s="27" t="str">
        <f t="shared" si="56"/>
        <v/>
      </c>
      <c r="C1198" s="27" t="str">
        <f t="shared" si="57"/>
        <v/>
      </c>
    </row>
    <row r="1199" spans="1:3" x14ac:dyDescent="0.25">
      <c r="A1199" s="27" t="s">
        <v>1367</v>
      </c>
      <c r="B1199" s="27" t="str">
        <f t="shared" si="56"/>
        <v/>
      </c>
      <c r="C1199" s="27" t="str">
        <f t="shared" si="57"/>
        <v/>
      </c>
    </row>
    <row r="1200" spans="1:3" x14ac:dyDescent="0.25">
      <c r="A1200" s="27" t="s">
        <v>1367</v>
      </c>
      <c r="B1200" s="27" t="str">
        <f t="shared" si="56"/>
        <v/>
      </c>
      <c r="C1200" s="27" t="str">
        <f t="shared" si="57"/>
        <v/>
      </c>
    </row>
    <row r="1201" spans="1:3" x14ac:dyDescent="0.25">
      <c r="A1201" s="27" t="s">
        <v>1367</v>
      </c>
      <c r="B1201" s="27" t="str">
        <f t="shared" si="56"/>
        <v/>
      </c>
      <c r="C1201" s="27" t="str">
        <f t="shared" si="57"/>
        <v/>
      </c>
    </row>
    <row r="1202" spans="1:3" x14ac:dyDescent="0.25">
      <c r="A1202" s="27" t="s">
        <v>1367</v>
      </c>
      <c r="B1202" s="27" t="str">
        <f t="shared" si="56"/>
        <v/>
      </c>
      <c r="C1202" s="27" t="str">
        <f t="shared" si="57"/>
        <v/>
      </c>
    </row>
    <row r="1203" spans="1:3" x14ac:dyDescent="0.25">
      <c r="A1203" s="27" t="s">
        <v>1367</v>
      </c>
      <c r="B1203" s="27" t="str">
        <f t="shared" si="56"/>
        <v/>
      </c>
      <c r="C1203" s="27" t="str">
        <f t="shared" si="57"/>
        <v/>
      </c>
    </row>
    <row r="1204" spans="1:3" x14ac:dyDescent="0.25">
      <c r="A1204" s="27" t="s">
        <v>1367</v>
      </c>
      <c r="B1204" s="27" t="str">
        <f t="shared" si="56"/>
        <v/>
      </c>
      <c r="C1204" s="27" t="str">
        <f t="shared" si="57"/>
        <v/>
      </c>
    </row>
    <row r="1205" spans="1:3" x14ac:dyDescent="0.25">
      <c r="A1205" s="27" t="s">
        <v>1367</v>
      </c>
      <c r="B1205" s="27" t="str">
        <f t="shared" si="56"/>
        <v/>
      </c>
      <c r="C1205" s="27" t="str">
        <f t="shared" si="57"/>
        <v/>
      </c>
    </row>
    <row r="1206" spans="1:3" x14ac:dyDescent="0.25">
      <c r="A1206" s="27" t="s">
        <v>1367</v>
      </c>
      <c r="B1206" s="27" t="str">
        <f t="shared" si="56"/>
        <v/>
      </c>
      <c r="C1206" s="27" t="str">
        <f t="shared" si="57"/>
        <v/>
      </c>
    </row>
    <row r="1207" spans="1:3" x14ac:dyDescent="0.25">
      <c r="A1207" s="27" t="s">
        <v>1367</v>
      </c>
      <c r="B1207" s="27" t="str">
        <f t="shared" si="56"/>
        <v/>
      </c>
      <c r="C1207" s="27" t="str">
        <f t="shared" si="57"/>
        <v/>
      </c>
    </row>
    <row r="1208" spans="1:3" x14ac:dyDescent="0.25">
      <c r="A1208" s="27" t="s">
        <v>1367</v>
      </c>
      <c r="B1208" s="27" t="str">
        <f t="shared" si="56"/>
        <v/>
      </c>
      <c r="C1208" s="27" t="str">
        <f t="shared" si="57"/>
        <v/>
      </c>
    </row>
    <row r="1209" spans="1:3" x14ac:dyDescent="0.25">
      <c r="A1209" s="27" t="s">
        <v>1367</v>
      </c>
      <c r="B1209" s="27" t="str">
        <f t="shared" si="56"/>
        <v/>
      </c>
      <c r="C1209" s="27" t="str">
        <f t="shared" si="57"/>
        <v/>
      </c>
    </row>
    <row r="1210" spans="1:3" x14ac:dyDescent="0.25">
      <c r="A1210" s="27" t="s">
        <v>1367</v>
      </c>
      <c r="B1210" s="27" t="str">
        <f t="shared" si="56"/>
        <v/>
      </c>
      <c r="C1210" s="27" t="str">
        <f t="shared" si="57"/>
        <v/>
      </c>
    </row>
    <row r="1211" spans="1:3" x14ac:dyDescent="0.25">
      <c r="A1211" s="27" t="s">
        <v>1367</v>
      </c>
      <c r="B1211" s="27" t="str">
        <f t="shared" si="56"/>
        <v/>
      </c>
      <c r="C1211" s="27" t="str">
        <f t="shared" si="57"/>
        <v/>
      </c>
    </row>
    <row r="1212" spans="1:3" x14ac:dyDescent="0.25">
      <c r="A1212" s="27" t="s">
        <v>1367</v>
      </c>
      <c r="B1212" s="27" t="str">
        <f t="shared" si="56"/>
        <v/>
      </c>
      <c r="C1212" s="27" t="str">
        <f t="shared" si="57"/>
        <v/>
      </c>
    </row>
    <row r="1213" spans="1:3" x14ac:dyDescent="0.25">
      <c r="A1213" s="27" t="s">
        <v>1367</v>
      </c>
      <c r="B1213" s="27" t="str">
        <f t="shared" si="56"/>
        <v/>
      </c>
      <c r="C1213" s="27" t="str">
        <f t="shared" si="57"/>
        <v/>
      </c>
    </row>
    <row r="1214" spans="1:3" x14ac:dyDescent="0.25">
      <c r="A1214" s="27" t="s">
        <v>1367</v>
      </c>
      <c r="B1214" s="27" t="str">
        <f t="shared" si="56"/>
        <v/>
      </c>
      <c r="C1214" s="27" t="str">
        <f t="shared" si="57"/>
        <v/>
      </c>
    </row>
    <row r="1215" spans="1:3" x14ac:dyDescent="0.25">
      <c r="A1215" s="27" t="s">
        <v>1367</v>
      </c>
      <c r="B1215" s="27" t="str">
        <f t="shared" si="56"/>
        <v/>
      </c>
      <c r="C1215" s="27" t="str">
        <f t="shared" si="57"/>
        <v/>
      </c>
    </row>
    <row r="1216" spans="1:3" x14ac:dyDescent="0.25">
      <c r="A1216" s="27" t="s">
        <v>1367</v>
      </c>
      <c r="B1216" s="27" t="str">
        <f t="shared" si="56"/>
        <v/>
      </c>
      <c r="C1216" s="27" t="str">
        <f t="shared" si="57"/>
        <v/>
      </c>
    </row>
    <row r="1217" spans="1:3" x14ac:dyDescent="0.25">
      <c r="A1217" s="27" t="s">
        <v>1367</v>
      </c>
      <c r="B1217" s="27" t="str">
        <f t="shared" si="56"/>
        <v/>
      </c>
      <c r="C1217" s="27" t="str">
        <f t="shared" si="57"/>
        <v/>
      </c>
    </row>
    <row r="1218" spans="1:3" x14ac:dyDescent="0.25">
      <c r="A1218" s="27" t="s">
        <v>1367</v>
      </c>
      <c r="B1218" s="27" t="str">
        <f t="shared" si="56"/>
        <v/>
      </c>
      <c r="C1218" s="27" t="str">
        <f t="shared" si="57"/>
        <v/>
      </c>
    </row>
    <row r="1219" spans="1:3" x14ac:dyDescent="0.25">
      <c r="A1219" s="27" t="s">
        <v>1367</v>
      </c>
      <c r="B1219" s="27" t="str">
        <f t="shared" si="56"/>
        <v/>
      </c>
      <c r="C1219" s="27" t="str">
        <f t="shared" si="57"/>
        <v/>
      </c>
    </row>
    <row r="1220" spans="1:3" x14ac:dyDescent="0.25">
      <c r="A1220" s="27" t="s">
        <v>1367</v>
      </c>
      <c r="B1220" s="27" t="str">
        <f t="shared" si="56"/>
        <v/>
      </c>
      <c r="C1220" s="27" t="str">
        <f t="shared" si="57"/>
        <v/>
      </c>
    </row>
    <row r="1221" spans="1:3" x14ac:dyDescent="0.25">
      <c r="A1221" s="27" t="s">
        <v>1367</v>
      </c>
      <c r="B1221" s="27" t="str">
        <f t="shared" si="56"/>
        <v/>
      </c>
      <c r="C1221" s="27" t="str">
        <f t="shared" si="57"/>
        <v/>
      </c>
    </row>
    <row r="1222" spans="1:3" x14ac:dyDescent="0.25">
      <c r="A1222" s="27" t="s">
        <v>1367</v>
      </c>
      <c r="B1222" s="27" t="str">
        <f t="shared" si="56"/>
        <v/>
      </c>
      <c r="C1222" s="27" t="str">
        <f t="shared" si="57"/>
        <v/>
      </c>
    </row>
    <row r="1223" spans="1:3" x14ac:dyDescent="0.25">
      <c r="A1223" s="27" t="s">
        <v>1367</v>
      </c>
      <c r="B1223" s="27" t="str">
        <f t="shared" si="56"/>
        <v/>
      </c>
      <c r="C1223" s="27" t="str">
        <f t="shared" si="57"/>
        <v/>
      </c>
    </row>
    <row r="1224" spans="1:3" x14ac:dyDescent="0.25">
      <c r="A1224" s="27" t="s">
        <v>1367</v>
      </c>
      <c r="B1224" s="27" t="str">
        <f t="shared" si="56"/>
        <v/>
      </c>
      <c r="C1224" s="27" t="str">
        <f t="shared" si="57"/>
        <v/>
      </c>
    </row>
    <row r="1225" spans="1:3" x14ac:dyDescent="0.25">
      <c r="A1225" s="27" t="s">
        <v>1367</v>
      </c>
      <c r="B1225" s="27" t="str">
        <f t="shared" si="56"/>
        <v/>
      </c>
      <c r="C1225" s="27" t="str">
        <f t="shared" si="57"/>
        <v/>
      </c>
    </row>
    <row r="1226" spans="1:3" x14ac:dyDescent="0.25">
      <c r="A1226" s="27" t="s">
        <v>1367</v>
      </c>
      <c r="B1226" s="27" t="str">
        <f t="shared" si="56"/>
        <v/>
      </c>
      <c r="C1226" s="27" t="str">
        <f t="shared" si="57"/>
        <v/>
      </c>
    </row>
    <row r="1227" spans="1:3" x14ac:dyDescent="0.25">
      <c r="A1227" s="27" t="s">
        <v>1367</v>
      </c>
      <c r="B1227" s="27" t="str">
        <f t="shared" si="56"/>
        <v/>
      </c>
      <c r="C1227" s="27" t="str">
        <f t="shared" si="57"/>
        <v/>
      </c>
    </row>
    <row r="1228" spans="1:3" x14ac:dyDescent="0.25">
      <c r="A1228" s="27" t="s">
        <v>1367</v>
      </c>
      <c r="B1228" s="27" t="str">
        <f t="shared" si="56"/>
        <v/>
      </c>
      <c r="C1228" s="27" t="str">
        <f t="shared" si="57"/>
        <v/>
      </c>
    </row>
    <row r="1229" spans="1:3" x14ac:dyDescent="0.25">
      <c r="A1229" s="27" t="s">
        <v>1367</v>
      </c>
      <c r="B1229" s="27" t="str">
        <f t="shared" si="56"/>
        <v/>
      </c>
      <c r="C1229" s="27" t="str">
        <f t="shared" si="57"/>
        <v/>
      </c>
    </row>
    <row r="1230" spans="1:3" x14ac:dyDescent="0.25">
      <c r="A1230" s="27" t="s">
        <v>1367</v>
      </c>
      <c r="B1230" s="27" t="str">
        <f t="shared" si="56"/>
        <v/>
      </c>
      <c r="C1230" s="27" t="str">
        <f t="shared" si="57"/>
        <v/>
      </c>
    </row>
    <row r="1231" spans="1:3" x14ac:dyDescent="0.25">
      <c r="A1231" s="27" t="s">
        <v>1367</v>
      </c>
      <c r="B1231" s="27" t="str">
        <f t="shared" si="56"/>
        <v/>
      </c>
      <c r="C1231" s="27" t="str">
        <f t="shared" si="57"/>
        <v/>
      </c>
    </row>
    <row r="1232" spans="1:3" x14ac:dyDescent="0.25">
      <c r="A1232" s="27" t="s">
        <v>1367</v>
      </c>
      <c r="B1232" s="27" t="str">
        <f t="shared" si="56"/>
        <v/>
      </c>
      <c r="C1232" s="27" t="str">
        <f t="shared" si="57"/>
        <v/>
      </c>
    </row>
    <row r="1233" spans="1:3" x14ac:dyDescent="0.25">
      <c r="A1233" s="27" t="s">
        <v>1367</v>
      </c>
      <c r="B1233" s="27" t="str">
        <f t="shared" si="56"/>
        <v/>
      </c>
      <c r="C1233" s="27" t="str">
        <f t="shared" si="57"/>
        <v/>
      </c>
    </row>
    <row r="1234" spans="1:3" x14ac:dyDescent="0.25">
      <c r="A1234" s="27" t="s">
        <v>1367</v>
      </c>
      <c r="B1234" s="27" t="str">
        <f t="shared" si="56"/>
        <v/>
      </c>
      <c r="C1234" s="27" t="str">
        <f t="shared" si="57"/>
        <v/>
      </c>
    </row>
    <row r="1235" spans="1:3" x14ac:dyDescent="0.25">
      <c r="A1235" s="27" t="s">
        <v>1367</v>
      </c>
      <c r="B1235" s="27" t="str">
        <f t="shared" si="56"/>
        <v/>
      </c>
      <c r="C1235" s="27" t="str">
        <f t="shared" si="57"/>
        <v/>
      </c>
    </row>
    <row r="1236" spans="1:3" x14ac:dyDescent="0.25">
      <c r="A1236" s="27" t="s">
        <v>1367</v>
      </c>
      <c r="B1236" s="27" t="str">
        <f t="shared" si="56"/>
        <v/>
      </c>
      <c r="C1236" s="27" t="str">
        <f t="shared" si="57"/>
        <v/>
      </c>
    </row>
    <row r="1237" spans="1:3" x14ac:dyDescent="0.25">
      <c r="A1237" s="27" t="s">
        <v>1367</v>
      </c>
      <c r="B1237" s="27" t="str">
        <f t="shared" ref="B1237:B1300" si="58">LEFT(A1237,FIND(";",A1237)-1)</f>
        <v/>
      </c>
      <c r="C1237" s="27" t="str">
        <f t="shared" ref="C1237:C1300" si="59">MID(A1237,FIND(";",A1237)+1,100)</f>
        <v/>
      </c>
    </row>
    <row r="1238" spans="1:3" x14ac:dyDescent="0.25">
      <c r="A1238" s="27" t="s">
        <v>1367</v>
      </c>
      <c r="B1238" s="27" t="str">
        <f t="shared" si="58"/>
        <v/>
      </c>
      <c r="C1238" s="27" t="str">
        <f t="shared" si="59"/>
        <v/>
      </c>
    </row>
    <row r="1239" spans="1:3" x14ac:dyDescent="0.25">
      <c r="A1239" s="27" t="s">
        <v>1367</v>
      </c>
      <c r="B1239" s="27" t="str">
        <f t="shared" si="58"/>
        <v/>
      </c>
      <c r="C1239" s="27" t="str">
        <f t="shared" si="59"/>
        <v/>
      </c>
    </row>
    <row r="1240" spans="1:3" x14ac:dyDescent="0.25">
      <c r="A1240" s="27" t="s">
        <v>1367</v>
      </c>
      <c r="B1240" s="27" t="str">
        <f t="shared" si="58"/>
        <v/>
      </c>
      <c r="C1240" s="27" t="str">
        <f t="shared" si="59"/>
        <v/>
      </c>
    </row>
    <row r="1241" spans="1:3" x14ac:dyDescent="0.25">
      <c r="A1241" s="27" t="s">
        <v>1367</v>
      </c>
      <c r="B1241" s="27" t="str">
        <f t="shared" si="58"/>
        <v/>
      </c>
      <c r="C1241" s="27" t="str">
        <f t="shared" si="59"/>
        <v/>
      </c>
    </row>
    <row r="1242" spans="1:3" x14ac:dyDescent="0.25">
      <c r="A1242" s="27" t="s">
        <v>1367</v>
      </c>
      <c r="B1242" s="27" t="str">
        <f t="shared" si="58"/>
        <v/>
      </c>
      <c r="C1242" s="27" t="str">
        <f t="shared" si="59"/>
        <v/>
      </c>
    </row>
    <row r="1243" spans="1:3" x14ac:dyDescent="0.25">
      <c r="A1243" s="27" t="s">
        <v>1367</v>
      </c>
      <c r="B1243" s="27" t="str">
        <f t="shared" si="58"/>
        <v/>
      </c>
      <c r="C1243" s="27" t="str">
        <f t="shared" si="59"/>
        <v/>
      </c>
    </row>
    <row r="1244" spans="1:3" x14ac:dyDescent="0.25">
      <c r="A1244" s="27" t="s">
        <v>1367</v>
      </c>
      <c r="B1244" s="27" t="str">
        <f t="shared" si="58"/>
        <v/>
      </c>
      <c r="C1244" s="27" t="str">
        <f t="shared" si="59"/>
        <v/>
      </c>
    </row>
    <row r="1245" spans="1:3" x14ac:dyDescent="0.25">
      <c r="A1245" s="27" t="s">
        <v>1367</v>
      </c>
      <c r="B1245" s="27" t="str">
        <f t="shared" si="58"/>
        <v/>
      </c>
      <c r="C1245" s="27" t="str">
        <f t="shared" si="59"/>
        <v/>
      </c>
    </row>
    <row r="1246" spans="1:3" x14ac:dyDescent="0.25">
      <c r="A1246" s="27" t="s">
        <v>1367</v>
      </c>
      <c r="B1246" s="27" t="str">
        <f t="shared" si="58"/>
        <v/>
      </c>
      <c r="C1246" s="27" t="str">
        <f t="shared" si="59"/>
        <v/>
      </c>
    </row>
    <row r="1247" spans="1:3" x14ac:dyDescent="0.25">
      <c r="A1247" s="27" t="s">
        <v>1367</v>
      </c>
      <c r="B1247" s="27" t="str">
        <f t="shared" si="58"/>
        <v/>
      </c>
      <c r="C1247" s="27" t="str">
        <f t="shared" si="59"/>
        <v/>
      </c>
    </row>
    <row r="1248" spans="1:3" x14ac:dyDescent="0.25">
      <c r="A1248" s="27" t="s">
        <v>1367</v>
      </c>
      <c r="B1248" s="27" t="str">
        <f t="shared" si="58"/>
        <v/>
      </c>
      <c r="C1248" s="27" t="str">
        <f t="shared" si="59"/>
        <v/>
      </c>
    </row>
    <row r="1249" spans="1:3" x14ac:dyDescent="0.25">
      <c r="A1249" s="27" t="s">
        <v>1367</v>
      </c>
      <c r="B1249" s="27" t="str">
        <f t="shared" si="58"/>
        <v/>
      </c>
      <c r="C1249" s="27" t="str">
        <f t="shared" si="59"/>
        <v/>
      </c>
    </row>
    <row r="1250" spans="1:3" x14ac:dyDescent="0.25">
      <c r="A1250" s="27" t="s">
        <v>1367</v>
      </c>
      <c r="B1250" s="27" t="str">
        <f t="shared" si="58"/>
        <v/>
      </c>
      <c r="C1250" s="27" t="str">
        <f t="shared" si="59"/>
        <v/>
      </c>
    </row>
    <row r="1251" spans="1:3" x14ac:dyDescent="0.25">
      <c r="A1251" s="27" t="s">
        <v>1367</v>
      </c>
      <c r="B1251" s="27" t="str">
        <f t="shared" si="58"/>
        <v/>
      </c>
      <c r="C1251" s="27" t="str">
        <f t="shared" si="59"/>
        <v/>
      </c>
    </row>
    <row r="1252" spans="1:3" x14ac:dyDescent="0.25">
      <c r="A1252" s="27" t="s">
        <v>1367</v>
      </c>
      <c r="B1252" s="27" t="str">
        <f t="shared" si="58"/>
        <v/>
      </c>
      <c r="C1252" s="27" t="str">
        <f t="shared" si="59"/>
        <v/>
      </c>
    </row>
    <row r="1253" spans="1:3" x14ac:dyDescent="0.25">
      <c r="A1253" s="27" t="s">
        <v>1367</v>
      </c>
      <c r="B1253" s="27" t="str">
        <f t="shared" si="58"/>
        <v/>
      </c>
      <c r="C1253" s="27" t="str">
        <f t="shared" si="59"/>
        <v/>
      </c>
    </row>
    <row r="1254" spans="1:3" x14ac:dyDescent="0.25">
      <c r="A1254" s="27" t="s">
        <v>1367</v>
      </c>
      <c r="B1254" s="27" t="str">
        <f t="shared" si="58"/>
        <v/>
      </c>
      <c r="C1254" s="27" t="str">
        <f t="shared" si="59"/>
        <v/>
      </c>
    </row>
    <row r="1255" spans="1:3" x14ac:dyDescent="0.25">
      <c r="A1255" s="27" t="s">
        <v>1367</v>
      </c>
      <c r="B1255" s="27" t="str">
        <f t="shared" si="58"/>
        <v/>
      </c>
      <c r="C1255" s="27" t="str">
        <f t="shared" si="59"/>
        <v/>
      </c>
    </row>
    <row r="1256" spans="1:3" x14ac:dyDescent="0.25">
      <c r="A1256" s="27" t="s">
        <v>1367</v>
      </c>
      <c r="B1256" s="27" t="str">
        <f t="shared" si="58"/>
        <v/>
      </c>
      <c r="C1256" s="27" t="str">
        <f t="shared" si="59"/>
        <v/>
      </c>
    </row>
    <row r="1257" spans="1:3" x14ac:dyDescent="0.25">
      <c r="A1257" s="27" t="s">
        <v>1367</v>
      </c>
      <c r="B1257" s="27" t="str">
        <f t="shared" si="58"/>
        <v/>
      </c>
      <c r="C1257" s="27" t="str">
        <f t="shared" si="59"/>
        <v/>
      </c>
    </row>
    <row r="1258" spans="1:3" x14ac:dyDescent="0.25">
      <c r="A1258" s="27" t="s">
        <v>1367</v>
      </c>
      <c r="B1258" s="27" t="str">
        <f t="shared" si="58"/>
        <v/>
      </c>
      <c r="C1258" s="27" t="str">
        <f t="shared" si="59"/>
        <v/>
      </c>
    </row>
    <row r="1259" spans="1:3" x14ac:dyDescent="0.25">
      <c r="A1259" s="27" t="s">
        <v>1367</v>
      </c>
      <c r="B1259" s="27" t="str">
        <f t="shared" si="58"/>
        <v/>
      </c>
      <c r="C1259" s="27" t="str">
        <f t="shared" si="59"/>
        <v/>
      </c>
    </row>
    <row r="1260" spans="1:3" x14ac:dyDescent="0.25">
      <c r="A1260" s="27" t="s">
        <v>1367</v>
      </c>
      <c r="B1260" s="27" t="str">
        <f t="shared" si="58"/>
        <v/>
      </c>
      <c r="C1260" s="27" t="str">
        <f t="shared" si="59"/>
        <v/>
      </c>
    </row>
    <row r="1261" spans="1:3" x14ac:dyDescent="0.25">
      <c r="A1261" s="27" t="s">
        <v>1367</v>
      </c>
      <c r="B1261" s="27" t="str">
        <f t="shared" si="58"/>
        <v/>
      </c>
      <c r="C1261" s="27" t="str">
        <f t="shared" si="59"/>
        <v/>
      </c>
    </row>
    <row r="1262" spans="1:3" x14ac:dyDescent="0.25">
      <c r="A1262" s="27" t="s">
        <v>1367</v>
      </c>
      <c r="B1262" s="27" t="str">
        <f t="shared" si="58"/>
        <v/>
      </c>
      <c r="C1262" s="27" t="str">
        <f t="shared" si="59"/>
        <v/>
      </c>
    </row>
    <row r="1263" spans="1:3" x14ac:dyDescent="0.25">
      <c r="A1263" s="27" t="s">
        <v>1367</v>
      </c>
      <c r="B1263" s="27" t="str">
        <f t="shared" si="58"/>
        <v/>
      </c>
      <c r="C1263" s="27" t="str">
        <f t="shared" si="59"/>
        <v/>
      </c>
    </row>
    <row r="1264" spans="1:3" x14ac:dyDescent="0.25">
      <c r="A1264" s="27" t="s">
        <v>1367</v>
      </c>
      <c r="B1264" s="27" t="str">
        <f t="shared" si="58"/>
        <v/>
      </c>
      <c r="C1264" s="27" t="str">
        <f t="shared" si="59"/>
        <v/>
      </c>
    </row>
    <row r="1265" spans="1:3" x14ac:dyDescent="0.25">
      <c r="A1265" s="27" t="s">
        <v>1367</v>
      </c>
      <c r="B1265" s="27" t="str">
        <f t="shared" si="58"/>
        <v/>
      </c>
      <c r="C1265" s="27" t="str">
        <f t="shared" si="59"/>
        <v/>
      </c>
    </row>
    <row r="1266" spans="1:3" x14ac:dyDescent="0.25">
      <c r="A1266" s="27" t="s">
        <v>1367</v>
      </c>
      <c r="B1266" s="27" t="str">
        <f t="shared" si="58"/>
        <v/>
      </c>
      <c r="C1266" s="27" t="str">
        <f t="shared" si="59"/>
        <v/>
      </c>
    </row>
    <row r="1267" spans="1:3" x14ac:dyDescent="0.25">
      <c r="A1267" s="27" t="s">
        <v>1367</v>
      </c>
      <c r="B1267" s="27" t="str">
        <f t="shared" si="58"/>
        <v/>
      </c>
      <c r="C1267" s="27" t="str">
        <f t="shared" si="59"/>
        <v/>
      </c>
    </row>
    <row r="1268" spans="1:3" x14ac:dyDescent="0.25">
      <c r="A1268" s="27" t="s">
        <v>1367</v>
      </c>
      <c r="B1268" s="27" t="str">
        <f t="shared" si="58"/>
        <v/>
      </c>
      <c r="C1268" s="27" t="str">
        <f t="shared" si="59"/>
        <v/>
      </c>
    </row>
    <row r="1269" spans="1:3" x14ac:dyDescent="0.25">
      <c r="A1269" s="27" t="s">
        <v>1367</v>
      </c>
      <c r="B1269" s="27" t="str">
        <f t="shared" si="58"/>
        <v/>
      </c>
      <c r="C1269" s="27" t="str">
        <f t="shared" si="59"/>
        <v/>
      </c>
    </row>
    <row r="1270" spans="1:3" x14ac:dyDescent="0.25">
      <c r="A1270" s="27" t="s">
        <v>1367</v>
      </c>
      <c r="B1270" s="27" t="str">
        <f t="shared" si="58"/>
        <v/>
      </c>
      <c r="C1270" s="27" t="str">
        <f t="shared" si="59"/>
        <v/>
      </c>
    </row>
    <row r="1271" spans="1:3" x14ac:dyDescent="0.25">
      <c r="A1271" s="27" t="s">
        <v>1367</v>
      </c>
      <c r="B1271" s="27" t="str">
        <f t="shared" si="58"/>
        <v/>
      </c>
      <c r="C1271" s="27" t="str">
        <f t="shared" si="59"/>
        <v/>
      </c>
    </row>
    <row r="1272" spans="1:3" x14ac:dyDescent="0.25">
      <c r="A1272" s="27" t="s">
        <v>1367</v>
      </c>
      <c r="B1272" s="27" t="str">
        <f t="shared" si="58"/>
        <v/>
      </c>
      <c r="C1272" s="27" t="str">
        <f t="shared" si="59"/>
        <v/>
      </c>
    </row>
    <row r="1273" spans="1:3" x14ac:dyDescent="0.25">
      <c r="A1273" s="27" t="s">
        <v>1367</v>
      </c>
      <c r="B1273" s="27" t="str">
        <f t="shared" si="58"/>
        <v/>
      </c>
      <c r="C1273" s="27" t="str">
        <f t="shared" si="59"/>
        <v/>
      </c>
    </row>
    <row r="1274" spans="1:3" x14ac:dyDescent="0.25">
      <c r="A1274" s="27" t="s">
        <v>1367</v>
      </c>
      <c r="B1274" s="27" t="str">
        <f t="shared" si="58"/>
        <v/>
      </c>
      <c r="C1274" s="27" t="str">
        <f t="shared" si="59"/>
        <v/>
      </c>
    </row>
    <row r="1275" spans="1:3" x14ac:dyDescent="0.25">
      <c r="A1275" s="27" t="s">
        <v>1367</v>
      </c>
      <c r="B1275" s="27" t="str">
        <f t="shared" si="58"/>
        <v/>
      </c>
      <c r="C1275" s="27" t="str">
        <f t="shared" si="59"/>
        <v/>
      </c>
    </row>
    <row r="1276" spans="1:3" x14ac:dyDescent="0.25">
      <c r="A1276" s="27" t="s">
        <v>1367</v>
      </c>
      <c r="B1276" s="27" t="str">
        <f t="shared" si="58"/>
        <v/>
      </c>
      <c r="C1276" s="27" t="str">
        <f t="shared" si="59"/>
        <v/>
      </c>
    </row>
    <row r="1277" spans="1:3" x14ac:dyDescent="0.25">
      <c r="A1277" s="27" t="s">
        <v>1367</v>
      </c>
      <c r="B1277" s="27" t="str">
        <f t="shared" si="58"/>
        <v/>
      </c>
      <c r="C1277" s="27" t="str">
        <f t="shared" si="59"/>
        <v/>
      </c>
    </row>
    <row r="1278" spans="1:3" x14ac:dyDescent="0.25">
      <c r="A1278" s="27" t="s">
        <v>1367</v>
      </c>
      <c r="B1278" s="27" t="str">
        <f t="shared" si="58"/>
        <v/>
      </c>
      <c r="C1278" s="27" t="str">
        <f t="shared" si="59"/>
        <v/>
      </c>
    </row>
    <row r="1279" spans="1:3" x14ac:dyDescent="0.25">
      <c r="A1279" s="27" t="s">
        <v>1367</v>
      </c>
      <c r="B1279" s="27" t="str">
        <f t="shared" si="58"/>
        <v/>
      </c>
      <c r="C1279" s="27" t="str">
        <f t="shared" si="59"/>
        <v/>
      </c>
    </row>
    <row r="1280" spans="1:3" x14ac:dyDescent="0.25">
      <c r="A1280" s="27" t="s">
        <v>1367</v>
      </c>
      <c r="B1280" s="27" t="str">
        <f t="shared" si="58"/>
        <v/>
      </c>
      <c r="C1280" s="27" t="str">
        <f t="shared" si="59"/>
        <v/>
      </c>
    </row>
    <row r="1281" spans="1:3" x14ac:dyDescent="0.25">
      <c r="A1281" s="27" t="s">
        <v>1367</v>
      </c>
      <c r="B1281" s="27" t="str">
        <f t="shared" si="58"/>
        <v/>
      </c>
      <c r="C1281" s="27" t="str">
        <f t="shared" si="59"/>
        <v/>
      </c>
    </row>
    <row r="1282" spans="1:3" x14ac:dyDescent="0.25">
      <c r="A1282" s="27" t="s">
        <v>1367</v>
      </c>
      <c r="B1282" s="27" t="str">
        <f t="shared" si="58"/>
        <v/>
      </c>
      <c r="C1282" s="27" t="str">
        <f t="shared" si="59"/>
        <v/>
      </c>
    </row>
    <row r="1283" spans="1:3" x14ac:dyDescent="0.25">
      <c r="A1283" s="27" t="s">
        <v>1367</v>
      </c>
      <c r="B1283" s="27" t="str">
        <f t="shared" si="58"/>
        <v/>
      </c>
      <c r="C1283" s="27" t="str">
        <f t="shared" si="59"/>
        <v/>
      </c>
    </row>
    <row r="1284" spans="1:3" x14ac:dyDescent="0.25">
      <c r="A1284" s="27" t="s">
        <v>1367</v>
      </c>
      <c r="B1284" s="27" t="str">
        <f t="shared" si="58"/>
        <v/>
      </c>
      <c r="C1284" s="27" t="str">
        <f t="shared" si="59"/>
        <v/>
      </c>
    </row>
    <row r="1285" spans="1:3" x14ac:dyDescent="0.25">
      <c r="A1285" s="27" t="s">
        <v>1367</v>
      </c>
      <c r="B1285" s="27" t="str">
        <f t="shared" si="58"/>
        <v/>
      </c>
      <c r="C1285" s="27" t="str">
        <f t="shared" si="59"/>
        <v/>
      </c>
    </row>
    <row r="1286" spans="1:3" x14ac:dyDescent="0.25">
      <c r="A1286" s="27" t="s">
        <v>1367</v>
      </c>
      <c r="B1286" s="27" t="str">
        <f t="shared" si="58"/>
        <v/>
      </c>
      <c r="C1286" s="27" t="str">
        <f t="shared" si="59"/>
        <v/>
      </c>
    </row>
    <row r="1287" spans="1:3" x14ac:dyDescent="0.25">
      <c r="A1287" s="27" t="s">
        <v>1367</v>
      </c>
      <c r="B1287" s="27" t="str">
        <f t="shared" si="58"/>
        <v/>
      </c>
      <c r="C1287" s="27" t="str">
        <f t="shared" si="59"/>
        <v/>
      </c>
    </row>
    <row r="1288" spans="1:3" x14ac:dyDescent="0.25">
      <c r="A1288" s="27" t="s">
        <v>1367</v>
      </c>
      <c r="B1288" s="27" t="str">
        <f t="shared" si="58"/>
        <v/>
      </c>
      <c r="C1288" s="27" t="str">
        <f t="shared" si="59"/>
        <v/>
      </c>
    </row>
    <row r="1289" spans="1:3" x14ac:dyDescent="0.25">
      <c r="A1289" s="27" t="s">
        <v>1367</v>
      </c>
      <c r="B1289" s="27" t="str">
        <f t="shared" si="58"/>
        <v/>
      </c>
      <c r="C1289" s="27" t="str">
        <f t="shared" si="59"/>
        <v/>
      </c>
    </row>
    <row r="1290" spans="1:3" x14ac:dyDescent="0.25">
      <c r="A1290" s="27" t="s">
        <v>1367</v>
      </c>
      <c r="B1290" s="27" t="str">
        <f t="shared" si="58"/>
        <v/>
      </c>
      <c r="C1290" s="27" t="str">
        <f t="shared" si="59"/>
        <v/>
      </c>
    </row>
    <row r="1291" spans="1:3" x14ac:dyDescent="0.25">
      <c r="A1291" s="27" t="s">
        <v>1367</v>
      </c>
      <c r="B1291" s="27" t="str">
        <f t="shared" si="58"/>
        <v/>
      </c>
      <c r="C1291" s="27" t="str">
        <f t="shared" si="59"/>
        <v/>
      </c>
    </row>
    <row r="1292" spans="1:3" x14ac:dyDescent="0.25">
      <c r="A1292" s="27" t="s">
        <v>1367</v>
      </c>
      <c r="B1292" s="27" t="str">
        <f t="shared" si="58"/>
        <v/>
      </c>
      <c r="C1292" s="27" t="str">
        <f t="shared" si="59"/>
        <v/>
      </c>
    </row>
    <row r="1293" spans="1:3" x14ac:dyDescent="0.25">
      <c r="A1293" s="27" t="s">
        <v>1367</v>
      </c>
      <c r="B1293" s="27" t="str">
        <f t="shared" si="58"/>
        <v/>
      </c>
      <c r="C1293" s="27" t="str">
        <f t="shared" si="59"/>
        <v/>
      </c>
    </row>
    <row r="1294" spans="1:3" x14ac:dyDescent="0.25">
      <c r="A1294" s="27" t="s">
        <v>1367</v>
      </c>
      <c r="B1294" s="27" t="str">
        <f t="shared" si="58"/>
        <v/>
      </c>
      <c r="C1294" s="27" t="str">
        <f t="shared" si="59"/>
        <v/>
      </c>
    </row>
    <row r="1295" spans="1:3" x14ac:dyDescent="0.25">
      <c r="A1295" s="27" t="s">
        <v>1367</v>
      </c>
      <c r="B1295" s="27" t="str">
        <f t="shared" si="58"/>
        <v/>
      </c>
      <c r="C1295" s="27" t="str">
        <f t="shared" si="59"/>
        <v/>
      </c>
    </row>
    <row r="1296" spans="1:3" x14ac:dyDescent="0.25">
      <c r="A1296" s="27" t="s">
        <v>1367</v>
      </c>
      <c r="B1296" s="27" t="str">
        <f t="shared" si="58"/>
        <v/>
      </c>
      <c r="C1296" s="27" t="str">
        <f t="shared" si="59"/>
        <v/>
      </c>
    </row>
    <row r="1297" spans="1:3" x14ac:dyDescent="0.25">
      <c r="A1297" s="27" t="s">
        <v>1367</v>
      </c>
      <c r="B1297" s="27" t="str">
        <f t="shared" si="58"/>
        <v/>
      </c>
      <c r="C1297" s="27" t="str">
        <f t="shared" si="59"/>
        <v/>
      </c>
    </row>
    <row r="1298" spans="1:3" x14ac:dyDescent="0.25">
      <c r="A1298" s="27" t="s">
        <v>1367</v>
      </c>
      <c r="B1298" s="27" t="str">
        <f t="shared" si="58"/>
        <v/>
      </c>
      <c r="C1298" s="27" t="str">
        <f t="shared" si="59"/>
        <v/>
      </c>
    </row>
    <row r="1299" spans="1:3" x14ac:dyDescent="0.25">
      <c r="A1299" s="27" t="s">
        <v>1367</v>
      </c>
      <c r="B1299" s="27" t="str">
        <f t="shared" si="58"/>
        <v/>
      </c>
      <c r="C1299" s="27" t="str">
        <f t="shared" si="59"/>
        <v/>
      </c>
    </row>
    <row r="1300" spans="1:3" x14ac:dyDescent="0.25">
      <c r="A1300" s="27" t="s">
        <v>1367</v>
      </c>
      <c r="B1300" s="27" t="str">
        <f t="shared" si="58"/>
        <v/>
      </c>
      <c r="C1300" s="27" t="str">
        <f t="shared" si="59"/>
        <v/>
      </c>
    </row>
    <row r="1301" spans="1:3" x14ac:dyDescent="0.25">
      <c r="A1301" s="27" t="s">
        <v>1367</v>
      </c>
      <c r="B1301" s="27" t="str">
        <f t="shared" ref="B1301:B1364" si="60">LEFT(A1301,FIND(";",A1301)-1)</f>
        <v/>
      </c>
      <c r="C1301" s="27" t="str">
        <f t="shared" ref="C1301:C1364" si="61">MID(A1301,FIND(";",A1301)+1,100)</f>
        <v/>
      </c>
    </row>
    <row r="1302" spans="1:3" x14ac:dyDescent="0.25">
      <c r="A1302" s="27" t="s">
        <v>1367</v>
      </c>
      <c r="B1302" s="27" t="str">
        <f t="shared" si="60"/>
        <v/>
      </c>
      <c r="C1302" s="27" t="str">
        <f t="shared" si="61"/>
        <v/>
      </c>
    </row>
    <row r="1303" spans="1:3" x14ac:dyDescent="0.25">
      <c r="A1303" s="27" t="s">
        <v>1367</v>
      </c>
      <c r="B1303" s="27" t="str">
        <f t="shared" si="60"/>
        <v/>
      </c>
      <c r="C1303" s="27" t="str">
        <f t="shared" si="61"/>
        <v/>
      </c>
    </row>
    <row r="1304" spans="1:3" x14ac:dyDescent="0.25">
      <c r="A1304" s="27" t="s">
        <v>1367</v>
      </c>
      <c r="B1304" s="27" t="str">
        <f t="shared" si="60"/>
        <v/>
      </c>
      <c r="C1304" s="27" t="str">
        <f t="shared" si="61"/>
        <v/>
      </c>
    </row>
    <row r="1305" spans="1:3" x14ac:dyDescent="0.25">
      <c r="A1305" s="27" t="s">
        <v>1367</v>
      </c>
      <c r="B1305" s="27" t="str">
        <f t="shared" si="60"/>
        <v/>
      </c>
      <c r="C1305" s="27" t="str">
        <f t="shared" si="61"/>
        <v/>
      </c>
    </row>
    <row r="1306" spans="1:3" x14ac:dyDescent="0.25">
      <c r="A1306" s="27" t="s">
        <v>1367</v>
      </c>
      <c r="B1306" s="27" t="str">
        <f t="shared" si="60"/>
        <v/>
      </c>
      <c r="C1306" s="27" t="str">
        <f t="shared" si="61"/>
        <v/>
      </c>
    </row>
    <row r="1307" spans="1:3" x14ac:dyDescent="0.25">
      <c r="A1307" s="27" t="s">
        <v>1367</v>
      </c>
      <c r="B1307" s="27" t="str">
        <f t="shared" si="60"/>
        <v/>
      </c>
      <c r="C1307" s="27" t="str">
        <f t="shared" si="61"/>
        <v/>
      </c>
    </row>
    <row r="1308" spans="1:3" x14ac:dyDescent="0.25">
      <c r="A1308" s="27" t="s">
        <v>1367</v>
      </c>
      <c r="B1308" s="27" t="str">
        <f t="shared" si="60"/>
        <v/>
      </c>
      <c r="C1308" s="27" t="str">
        <f t="shared" si="61"/>
        <v/>
      </c>
    </row>
    <row r="1309" spans="1:3" x14ac:dyDescent="0.25">
      <c r="A1309" s="27" t="s">
        <v>1367</v>
      </c>
      <c r="B1309" s="27" t="str">
        <f t="shared" si="60"/>
        <v/>
      </c>
      <c r="C1309" s="27" t="str">
        <f t="shared" si="61"/>
        <v/>
      </c>
    </row>
    <row r="1310" spans="1:3" x14ac:dyDescent="0.25">
      <c r="A1310" s="27" t="s">
        <v>1367</v>
      </c>
      <c r="B1310" s="27" t="str">
        <f t="shared" si="60"/>
        <v/>
      </c>
      <c r="C1310" s="27" t="str">
        <f t="shared" si="61"/>
        <v/>
      </c>
    </row>
    <row r="1311" spans="1:3" x14ac:dyDescent="0.25">
      <c r="A1311" s="27" t="s">
        <v>1367</v>
      </c>
      <c r="B1311" s="27" t="str">
        <f t="shared" si="60"/>
        <v/>
      </c>
      <c r="C1311" s="27" t="str">
        <f t="shared" si="61"/>
        <v/>
      </c>
    </row>
    <row r="1312" spans="1:3" x14ac:dyDescent="0.25">
      <c r="A1312" s="27" t="s">
        <v>1367</v>
      </c>
      <c r="B1312" s="27" t="str">
        <f t="shared" si="60"/>
        <v/>
      </c>
      <c r="C1312" s="27" t="str">
        <f t="shared" si="61"/>
        <v/>
      </c>
    </row>
    <row r="1313" spans="1:3" x14ac:dyDescent="0.25">
      <c r="A1313" s="27" t="s">
        <v>1367</v>
      </c>
      <c r="B1313" s="27" t="str">
        <f t="shared" si="60"/>
        <v/>
      </c>
      <c r="C1313" s="27" t="str">
        <f t="shared" si="61"/>
        <v/>
      </c>
    </row>
    <row r="1314" spans="1:3" x14ac:dyDescent="0.25">
      <c r="A1314" s="27" t="s">
        <v>1367</v>
      </c>
      <c r="B1314" s="27" t="str">
        <f t="shared" si="60"/>
        <v/>
      </c>
      <c r="C1314" s="27" t="str">
        <f t="shared" si="61"/>
        <v/>
      </c>
    </row>
    <row r="1315" spans="1:3" x14ac:dyDescent="0.25">
      <c r="A1315" s="27" t="s">
        <v>1367</v>
      </c>
      <c r="B1315" s="27" t="str">
        <f t="shared" si="60"/>
        <v/>
      </c>
      <c r="C1315" s="27" t="str">
        <f t="shared" si="61"/>
        <v/>
      </c>
    </row>
    <row r="1316" spans="1:3" x14ac:dyDescent="0.25">
      <c r="A1316" s="27" t="s">
        <v>1367</v>
      </c>
      <c r="B1316" s="27" t="str">
        <f t="shared" si="60"/>
        <v/>
      </c>
      <c r="C1316" s="27" t="str">
        <f t="shared" si="61"/>
        <v/>
      </c>
    </row>
    <row r="1317" spans="1:3" x14ac:dyDescent="0.25">
      <c r="A1317" s="27" t="s">
        <v>1367</v>
      </c>
      <c r="B1317" s="27" t="str">
        <f t="shared" si="60"/>
        <v/>
      </c>
      <c r="C1317" s="27" t="str">
        <f t="shared" si="61"/>
        <v/>
      </c>
    </row>
    <row r="1318" spans="1:3" x14ac:dyDescent="0.25">
      <c r="A1318" s="27" t="s">
        <v>1367</v>
      </c>
      <c r="B1318" s="27" t="str">
        <f t="shared" si="60"/>
        <v/>
      </c>
      <c r="C1318" s="27" t="str">
        <f t="shared" si="61"/>
        <v/>
      </c>
    </row>
    <row r="1319" spans="1:3" x14ac:dyDescent="0.25">
      <c r="A1319" s="27" t="s">
        <v>1367</v>
      </c>
      <c r="B1319" s="27" t="str">
        <f t="shared" si="60"/>
        <v/>
      </c>
      <c r="C1319" s="27" t="str">
        <f t="shared" si="61"/>
        <v/>
      </c>
    </row>
    <row r="1320" spans="1:3" x14ac:dyDescent="0.25">
      <c r="A1320" s="27" t="s">
        <v>1367</v>
      </c>
      <c r="B1320" s="27" t="str">
        <f t="shared" si="60"/>
        <v/>
      </c>
      <c r="C1320" s="27" t="str">
        <f t="shared" si="61"/>
        <v/>
      </c>
    </row>
    <row r="1321" spans="1:3" x14ac:dyDescent="0.25">
      <c r="A1321" s="27" t="s">
        <v>1367</v>
      </c>
      <c r="B1321" s="27" t="str">
        <f t="shared" si="60"/>
        <v/>
      </c>
      <c r="C1321" s="27" t="str">
        <f t="shared" si="61"/>
        <v/>
      </c>
    </row>
    <row r="1322" spans="1:3" x14ac:dyDescent="0.25">
      <c r="A1322" s="27" t="s">
        <v>1367</v>
      </c>
      <c r="B1322" s="27" t="str">
        <f t="shared" si="60"/>
        <v/>
      </c>
      <c r="C1322" s="27" t="str">
        <f t="shared" si="61"/>
        <v/>
      </c>
    </row>
    <row r="1323" spans="1:3" x14ac:dyDescent="0.25">
      <c r="A1323" s="27" t="s">
        <v>1367</v>
      </c>
      <c r="B1323" s="27" t="str">
        <f t="shared" si="60"/>
        <v/>
      </c>
      <c r="C1323" s="27" t="str">
        <f t="shared" si="61"/>
        <v/>
      </c>
    </row>
    <row r="1324" spans="1:3" x14ac:dyDescent="0.25">
      <c r="A1324" s="27" t="s">
        <v>1367</v>
      </c>
      <c r="B1324" s="27" t="str">
        <f t="shared" si="60"/>
        <v/>
      </c>
      <c r="C1324" s="27" t="str">
        <f t="shared" si="61"/>
        <v/>
      </c>
    </row>
    <row r="1325" spans="1:3" x14ac:dyDescent="0.25">
      <c r="A1325" s="27" t="s">
        <v>1367</v>
      </c>
      <c r="B1325" s="27" t="str">
        <f t="shared" si="60"/>
        <v/>
      </c>
      <c r="C1325" s="27" t="str">
        <f t="shared" si="61"/>
        <v/>
      </c>
    </row>
    <row r="1326" spans="1:3" x14ac:dyDescent="0.25">
      <c r="A1326" s="27" t="s">
        <v>1367</v>
      </c>
      <c r="B1326" s="27" t="str">
        <f t="shared" si="60"/>
        <v/>
      </c>
      <c r="C1326" s="27" t="str">
        <f t="shared" si="61"/>
        <v/>
      </c>
    </row>
    <row r="1327" spans="1:3" x14ac:dyDescent="0.25">
      <c r="A1327" s="27" t="s">
        <v>1367</v>
      </c>
      <c r="B1327" s="27" t="str">
        <f t="shared" si="60"/>
        <v/>
      </c>
      <c r="C1327" s="27" t="str">
        <f t="shared" si="61"/>
        <v/>
      </c>
    </row>
    <row r="1328" spans="1:3" x14ac:dyDescent="0.25">
      <c r="A1328" s="27" t="s">
        <v>1367</v>
      </c>
      <c r="B1328" s="27" t="str">
        <f t="shared" si="60"/>
        <v/>
      </c>
      <c r="C1328" s="27" t="str">
        <f t="shared" si="61"/>
        <v/>
      </c>
    </row>
    <row r="1329" spans="1:3" x14ac:dyDescent="0.25">
      <c r="A1329" s="27" t="s">
        <v>1367</v>
      </c>
      <c r="B1329" s="27" t="str">
        <f t="shared" si="60"/>
        <v/>
      </c>
      <c r="C1329" s="27" t="str">
        <f t="shared" si="61"/>
        <v/>
      </c>
    </row>
    <row r="1330" spans="1:3" x14ac:dyDescent="0.25">
      <c r="A1330" s="27" t="s">
        <v>1367</v>
      </c>
      <c r="B1330" s="27" t="str">
        <f t="shared" si="60"/>
        <v/>
      </c>
      <c r="C1330" s="27" t="str">
        <f t="shared" si="61"/>
        <v/>
      </c>
    </row>
    <row r="1331" spans="1:3" x14ac:dyDescent="0.25">
      <c r="A1331" s="27" t="s">
        <v>1367</v>
      </c>
      <c r="B1331" s="27" t="str">
        <f t="shared" si="60"/>
        <v/>
      </c>
      <c r="C1331" s="27" t="str">
        <f t="shared" si="61"/>
        <v/>
      </c>
    </row>
    <row r="1332" spans="1:3" x14ac:dyDescent="0.25">
      <c r="A1332" s="27" t="s">
        <v>1367</v>
      </c>
      <c r="B1332" s="27" t="str">
        <f t="shared" si="60"/>
        <v/>
      </c>
      <c r="C1332" s="27" t="str">
        <f t="shared" si="61"/>
        <v/>
      </c>
    </row>
    <row r="1333" spans="1:3" x14ac:dyDescent="0.25">
      <c r="A1333" s="27" t="s">
        <v>1367</v>
      </c>
      <c r="B1333" s="27" t="str">
        <f t="shared" si="60"/>
        <v/>
      </c>
      <c r="C1333" s="27" t="str">
        <f t="shared" si="61"/>
        <v/>
      </c>
    </row>
    <row r="1334" spans="1:3" x14ac:dyDescent="0.25">
      <c r="A1334" s="27" t="s">
        <v>1367</v>
      </c>
      <c r="B1334" s="27" t="str">
        <f t="shared" si="60"/>
        <v/>
      </c>
      <c r="C1334" s="27" t="str">
        <f t="shared" si="61"/>
        <v/>
      </c>
    </row>
    <row r="1335" spans="1:3" x14ac:dyDescent="0.25">
      <c r="A1335" s="27" t="s">
        <v>1367</v>
      </c>
      <c r="B1335" s="27" t="str">
        <f t="shared" si="60"/>
        <v/>
      </c>
      <c r="C1335" s="27" t="str">
        <f t="shared" si="61"/>
        <v/>
      </c>
    </row>
    <row r="1336" spans="1:3" x14ac:dyDescent="0.25">
      <c r="A1336" s="27" t="s">
        <v>1367</v>
      </c>
      <c r="B1336" s="27" t="str">
        <f t="shared" si="60"/>
        <v/>
      </c>
      <c r="C1336" s="27" t="str">
        <f t="shared" si="61"/>
        <v/>
      </c>
    </row>
    <row r="1337" spans="1:3" x14ac:dyDescent="0.25">
      <c r="A1337" s="27" t="s">
        <v>1367</v>
      </c>
      <c r="B1337" s="27" t="str">
        <f t="shared" si="60"/>
        <v/>
      </c>
      <c r="C1337" s="27" t="str">
        <f t="shared" si="61"/>
        <v/>
      </c>
    </row>
    <row r="1338" spans="1:3" x14ac:dyDescent="0.25">
      <c r="A1338" s="27" t="s">
        <v>1367</v>
      </c>
      <c r="B1338" s="27" t="str">
        <f t="shared" si="60"/>
        <v/>
      </c>
      <c r="C1338" s="27" t="str">
        <f t="shared" si="61"/>
        <v/>
      </c>
    </row>
    <row r="1339" spans="1:3" x14ac:dyDescent="0.25">
      <c r="A1339" s="27" t="s">
        <v>1367</v>
      </c>
      <c r="B1339" s="27" t="str">
        <f t="shared" si="60"/>
        <v/>
      </c>
      <c r="C1339" s="27" t="str">
        <f t="shared" si="61"/>
        <v/>
      </c>
    </row>
    <row r="1340" spans="1:3" x14ac:dyDescent="0.25">
      <c r="A1340" s="27" t="s">
        <v>1367</v>
      </c>
      <c r="B1340" s="27" t="str">
        <f t="shared" si="60"/>
        <v/>
      </c>
      <c r="C1340" s="27" t="str">
        <f t="shared" si="61"/>
        <v/>
      </c>
    </row>
    <row r="1341" spans="1:3" x14ac:dyDescent="0.25">
      <c r="A1341" s="27" t="s">
        <v>1367</v>
      </c>
      <c r="B1341" s="27" t="str">
        <f t="shared" si="60"/>
        <v/>
      </c>
      <c r="C1341" s="27" t="str">
        <f t="shared" si="61"/>
        <v/>
      </c>
    </row>
    <row r="1342" spans="1:3" x14ac:dyDescent="0.25">
      <c r="A1342" s="27" t="s">
        <v>1367</v>
      </c>
      <c r="B1342" s="27" t="str">
        <f t="shared" si="60"/>
        <v/>
      </c>
      <c r="C1342" s="27" t="str">
        <f t="shared" si="61"/>
        <v/>
      </c>
    </row>
    <row r="1343" spans="1:3" x14ac:dyDescent="0.25">
      <c r="A1343" s="27" t="s">
        <v>1367</v>
      </c>
      <c r="B1343" s="27" t="str">
        <f t="shared" si="60"/>
        <v/>
      </c>
      <c r="C1343" s="27" t="str">
        <f t="shared" si="61"/>
        <v/>
      </c>
    </row>
    <row r="1344" spans="1:3" x14ac:dyDescent="0.25">
      <c r="A1344" s="27" t="s">
        <v>1367</v>
      </c>
      <c r="B1344" s="27" t="str">
        <f t="shared" si="60"/>
        <v/>
      </c>
      <c r="C1344" s="27" t="str">
        <f t="shared" si="61"/>
        <v/>
      </c>
    </row>
    <row r="1345" spans="1:3" x14ac:dyDescent="0.25">
      <c r="A1345" s="27" t="s">
        <v>1367</v>
      </c>
      <c r="B1345" s="27" t="str">
        <f t="shared" si="60"/>
        <v/>
      </c>
      <c r="C1345" s="27" t="str">
        <f t="shared" si="61"/>
        <v/>
      </c>
    </row>
    <row r="1346" spans="1:3" x14ac:dyDescent="0.25">
      <c r="A1346" s="27" t="s">
        <v>1367</v>
      </c>
      <c r="B1346" s="27" t="str">
        <f t="shared" si="60"/>
        <v/>
      </c>
      <c r="C1346" s="27" t="str">
        <f t="shared" si="61"/>
        <v/>
      </c>
    </row>
    <row r="1347" spans="1:3" x14ac:dyDescent="0.25">
      <c r="A1347" s="27" t="s">
        <v>1367</v>
      </c>
      <c r="B1347" s="27" t="str">
        <f t="shared" si="60"/>
        <v/>
      </c>
      <c r="C1347" s="27" t="str">
        <f t="shared" si="61"/>
        <v/>
      </c>
    </row>
    <row r="1348" spans="1:3" x14ac:dyDescent="0.25">
      <c r="A1348" s="27" t="s">
        <v>1367</v>
      </c>
      <c r="B1348" s="27" t="str">
        <f t="shared" si="60"/>
        <v/>
      </c>
      <c r="C1348" s="27" t="str">
        <f t="shared" si="61"/>
        <v/>
      </c>
    </row>
    <row r="1349" spans="1:3" x14ac:dyDescent="0.25">
      <c r="A1349" s="27" t="s">
        <v>1367</v>
      </c>
      <c r="B1349" s="27" t="str">
        <f t="shared" si="60"/>
        <v/>
      </c>
      <c r="C1349" s="27" t="str">
        <f t="shared" si="61"/>
        <v/>
      </c>
    </row>
    <row r="1350" spans="1:3" x14ac:dyDescent="0.25">
      <c r="A1350" s="27" t="s">
        <v>1367</v>
      </c>
      <c r="B1350" s="27" t="str">
        <f t="shared" si="60"/>
        <v/>
      </c>
      <c r="C1350" s="27" t="str">
        <f t="shared" si="61"/>
        <v/>
      </c>
    </row>
    <row r="1351" spans="1:3" x14ac:dyDescent="0.25">
      <c r="A1351" s="27" t="s">
        <v>1367</v>
      </c>
      <c r="B1351" s="27" t="str">
        <f t="shared" si="60"/>
        <v/>
      </c>
      <c r="C1351" s="27" t="str">
        <f t="shared" si="61"/>
        <v/>
      </c>
    </row>
    <row r="1352" spans="1:3" x14ac:dyDescent="0.25">
      <c r="A1352" s="27" t="s">
        <v>1367</v>
      </c>
      <c r="B1352" s="27" t="str">
        <f t="shared" si="60"/>
        <v/>
      </c>
      <c r="C1352" s="27" t="str">
        <f t="shared" si="61"/>
        <v/>
      </c>
    </row>
    <row r="1353" spans="1:3" x14ac:dyDescent="0.25">
      <c r="A1353" s="27" t="s">
        <v>1367</v>
      </c>
      <c r="B1353" s="27" t="str">
        <f t="shared" si="60"/>
        <v/>
      </c>
      <c r="C1353" s="27" t="str">
        <f t="shared" si="61"/>
        <v/>
      </c>
    </row>
    <row r="1354" spans="1:3" x14ac:dyDescent="0.25">
      <c r="A1354" s="27" t="s">
        <v>1367</v>
      </c>
      <c r="B1354" s="27" t="str">
        <f t="shared" si="60"/>
        <v/>
      </c>
      <c r="C1354" s="27" t="str">
        <f t="shared" si="61"/>
        <v/>
      </c>
    </row>
    <row r="1355" spans="1:3" x14ac:dyDescent="0.25">
      <c r="A1355" s="27" t="s">
        <v>1367</v>
      </c>
      <c r="B1355" s="27" t="str">
        <f t="shared" si="60"/>
        <v/>
      </c>
      <c r="C1355" s="27" t="str">
        <f t="shared" si="61"/>
        <v/>
      </c>
    </row>
    <row r="1356" spans="1:3" x14ac:dyDescent="0.25">
      <c r="A1356" s="27" t="s">
        <v>1367</v>
      </c>
      <c r="B1356" s="27" t="str">
        <f t="shared" si="60"/>
        <v/>
      </c>
      <c r="C1356" s="27" t="str">
        <f t="shared" si="61"/>
        <v/>
      </c>
    </row>
    <row r="1357" spans="1:3" x14ac:dyDescent="0.25">
      <c r="A1357" s="27" t="s">
        <v>1367</v>
      </c>
      <c r="B1357" s="27" t="str">
        <f t="shared" si="60"/>
        <v/>
      </c>
      <c r="C1357" s="27" t="str">
        <f t="shared" si="61"/>
        <v/>
      </c>
    </row>
    <row r="1358" spans="1:3" x14ac:dyDescent="0.25">
      <c r="A1358" s="27" t="s">
        <v>1367</v>
      </c>
      <c r="B1358" s="27" t="str">
        <f t="shared" si="60"/>
        <v/>
      </c>
      <c r="C1358" s="27" t="str">
        <f t="shared" si="61"/>
        <v/>
      </c>
    </row>
    <row r="1359" spans="1:3" x14ac:dyDescent="0.25">
      <c r="A1359" s="27" t="s">
        <v>1367</v>
      </c>
      <c r="B1359" s="27" t="str">
        <f t="shared" si="60"/>
        <v/>
      </c>
      <c r="C1359" s="27" t="str">
        <f t="shared" si="61"/>
        <v/>
      </c>
    </row>
    <row r="1360" spans="1:3" x14ac:dyDescent="0.25">
      <c r="A1360" s="27" t="s">
        <v>1367</v>
      </c>
      <c r="B1360" s="27" t="str">
        <f t="shared" si="60"/>
        <v/>
      </c>
      <c r="C1360" s="27" t="str">
        <f t="shared" si="61"/>
        <v/>
      </c>
    </row>
    <row r="1361" spans="1:3" x14ac:dyDescent="0.25">
      <c r="A1361" s="27" t="s">
        <v>1367</v>
      </c>
      <c r="B1361" s="27" t="str">
        <f t="shared" si="60"/>
        <v/>
      </c>
      <c r="C1361" s="27" t="str">
        <f t="shared" si="61"/>
        <v/>
      </c>
    </row>
    <row r="1362" spans="1:3" x14ac:dyDescent="0.25">
      <c r="A1362" s="27" t="s">
        <v>1367</v>
      </c>
      <c r="B1362" s="27" t="str">
        <f t="shared" si="60"/>
        <v/>
      </c>
      <c r="C1362" s="27" t="str">
        <f t="shared" si="61"/>
        <v/>
      </c>
    </row>
    <row r="1363" spans="1:3" x14ac:dyDescent="0.25">
      <c r="A1363" s="27" t="s">
        <v>1367</v>
      </c>
      <c r="B1363" s="27" t="str">
        <f t="shared" si="60"/>
        <v/>
      </c>
      <c r="C1363" s="27" t="str">
        <f t="shared" si="61"/>
        <v/>
      </c>
    </row>
    <row r="1364" spans="1:3" x14ac:dyDescent="0.25">
      <c r="A1364" s="27" t="s">
        <v>1367</v>
      </c>
      <c r="B1364" s="27" t="str">
        <f t="shared" si="60"/>
        <v/>
      </c>
      <c r="C1364" s="27" t="str">
        <f t="shared" si="61"/>
        <v/>
      </c>
    </row>
    <row r="1365" spans="1:3" x14ac:dyDescent="0.25">
      <c r="A1365" s="27" t="s">
        <v>1367</v>
      </c>
      <c r="B1365" s="27" t="str">
        <f t="shared" ref="B1365:B1428" si="62">LEFT(A1365,FIND(";",A1365)-1)</f>
        <v/>
      </c>
      <c r="C1365" s="27" t="str">
        <f t="shared" ref="C1365:C1428" si="63">MID(A1365,FIND(";",A1365)+1,100)</f>
        <v/>
      </c>
    </row>
    <row r="1366" spans="1:3" x14ac:dyDescent="0.25">
      <c r="A1366" s="27" t="s">
        <v>1367</v>
      </c>
      <c r="B1366" s="27" t="str">
        <f t="shared" si="62"/>
        <v/>
      </c>
      <c r="C1366" s="27" t="str">
        <f t="shared" si="63"/>
        <v/>
      </c>
    </row>
    <row r="1367" spans="1:3" x14ac:dyDescent="0.25">
      <c r="A1367" s="27" t="s">
        <v>1367</v>
      </c>
      <c r="B1367" s="27" t="str">
        <f t="shared" si="62"/>
        <v/>
      </c>
      <c r="C1367" s="27" t="str">
        <f t="shared" si="63"/>
        <v/>
      </c>
    </row>
    <row r="1368" spans="1:3" x14ac:dyDescent="0.25">
      <c r="A1368" s="27" t="s">
        <v>1367</v>
      </c>
      <c r="B1368" s="27" t="str">
        <f t="shared" si="62"/>
        <v/>
      </c>
      <c r="C1368" s="27" t="str">
        <f t="shared" si="63"/>
        <v/>
      </c>
    </row>
    <row r="1369" spans="1:3" x14ac:dyDescent="0.25">
      <c r="A1369" s="27" t="s">
        <v>1367</v>
      </c>
      <c r="B1369" s="27" t="str">
        <f t="shared" si="62"/>
        <v/>
      </c>
      <c r="C1369" s="27" t="str">
        <f t="shared" si="63"/>
        <v/>
      </c>
    </row>
    <row r="1370" spans="1:3" x14ac:dyDescent="0.25">
      <c r="A1370" s="27" t="s">
        <v>1367</v>
      </c>
      <c r="B1370" s="27" t="str">
        <f t="shared" si="62"/>
        <v/>
      </c>
      <c r="C1370" s="27" t="str">
        <f t="shared" si="63"/>
        <v/>
      </c>
    </row>
    <row r="1371" spans="1:3" x14ac:dyDescent="0.25">
      <c r="A1371" s="27" t="s">
        <v>1367</v>
      </c>
      <c r="B1371" s="27" t="str">
        <f t="shared" si="62"/>
        <v/>
      </c>
      <c r="C1371" s="27" t="str">
        <f t="shared" si="63"/>
        <v/>
      </c>
    </row>
    <row r="1372" spans="1:3" x14ac:dyDescent="0.25">
      <c r="A1372" s="27" t="s">
        <v>1367</v>
      </c>
      <c r="B1372" s="27" t="str">
        <f t="shared" si="62"/>
        <v/>
      </c>
      <c r="C1372" s="27" t="str">
        <f t="shared" si="63"/>
        <v/>
      </c>
    </row>
    <row r="1373" spans="1:3" x14ac:dyDescent="0.25">
      <c r="A1373" s="27" t="s">
        <v>1367</v>
      </c>
      <c r="B1373" s="27" t="str">
        <f t="shared" si="62"/>
        <v/>
      </c>
      <c r="C1373" s="27" t="str">
        <f t="shared" si="63"/>
        <v/>
      </c>
    </row>
    <row r="1374" spans="1:3" x14ac:dyDescent="0.25">
      <c r="A1374" s="27" t="s">
        <v>1367</v>
      </c>
      <c r="B1374" s="27" t="str">
        <f t="shared" si="62"/>
        <v/>
      </c>
      <c r="C1374" s="27" t="str">
        <f t="shared" si="63"/>
        <v/>
      </c>
    </row>
    <row r="1375" spans="1:3" x14ac:dyDescent="0.25">
      <c r="A1375" s="27" t="s">
        <v>1367</v>
      </c>
      <c r="B1375" s="27" t="str">
        <f t="shared" si="62"/>
        <v/>
      </c>
      <c r="C1375" s="27" t="str">
        <f t="shared" si="63"/>
        <v/>
      </c>
    </row>
    <row r="1376" spans="1:3" x14ac:dyDescent="0.25">
      <c r="A1376" s="27" t="s">
        <v>1367</v>
      </c>
      <c r="B1376" s="27" t="str">
        <f t="shared" si="62"/>
        <v/>
      </c>
      <c r="C1376" s="27" t="str">
        <f t="shared" si="63"/>
        <v/>
      </c>
    </row>
    <row r="1377" spans="1:3" x14ac:dyDescent="0.25">
      <c r="A1377" s="27" t="s">
        <v>1367</v>
      </c>
      <c r="B1377" s="27" t="str">
        <f t="shared" si="62"/>
        <v/>
      </c>
      <c r="C1377" s="27" t="str">
        <f t="shared" si="63"/>
        <v/>
      </c>
    </row>
    <row r="1378" spans="1:3" x14ac:dyDescent="0.25">
      <c r="A1378" s="27" t="s">
        <v>1367</v>
      </c>
      <c r="B1378" s="27" t="str">
        <f t="shared" si="62"/>
        <v/>
      </c>
      <c r="C1378" s="27" t="str">
        <f t="shared" si="63"/>
        <v/>
      </c>
    </row>
    <row r="1379" spans="1:3" x14ac:dyDescent="0.25">
      <c r="A1379" s="27" t="s">
        <v>1367</v>
      </c>
      <c r="B1379" s="27" t="str">
        <f t="shared" si="62"/>
        <v/>
      </c>
      <c r="C1379" s="27" t="str">
        <f t="shared" si="63"/>
        <v/>
      </c>
    </row>
    <row r="1380" spans="1:3" x14ac:dyDescent="0.25">
      <c r="A1380" s="27" t="s">
        <v>1367</v>
      </c>
      <c r="B1380" s="27" t="str">
        <f t="shared" si="62"/>
        <v/>
      </c>
      <c r="C1380" s="27" t="str">
        <f t="shared" si="63"/>
        <v/>
      </c>
    </row>
    <row r="1381" spans="1:3" x14ac:dyDescent="0.25">
      <c r="A1381" s="27" t="s">
        <v>1367</v>
      </c>
      <c r="B1381" s="27" t="str">
        <f t="shared" si="62"/>
        <v/>
      </c>
      <c r="C1381" s="27" t="str">
        <f t="shared" si="63"/>
        <v/>
      </c>
    </row>
    <row r="1382" spans="1:3" x14ac:dyDescent="0.25">
      <c r="A1382" s="27" t="s">
        <v>1367</v>
      </c>
      <c r="B1382" s="27" t="str">
        <f t="shared" si="62"/>
        <v/>
      </c>
      <c r="C1382" s="27" t="str">
        <f t="shared" si="63"/>
        <v/>
      </c>
    </row>
    <row r="1383" spans="1:3" x14ac:dyDescent="0.25">
      <c r="A1383" s="27" t="s">
        <v>1367</v>
      </c>
      <c r="B1383" s="27" t="str">
        <f t="shared" si="62"/>
        <v/>
      </c>
      <c r="C1383" s="27" t="str">
        <f t="shared" si="63"/>
        <v/>
      </c>
    </row>
    <row r="1384" spans="1:3" x14ac:dyDescent="0.25">
      <c r="A1384" s="27" t="s">
        <v>1367</v>
      </c>
      <c r="B1384" s="27" t="str">
        <f t="shared" si="62"/>
        <v/>
      </c>
      <c r="C1384" s="27" t="str">
        <f t="shared" si="63"/>
        <v/>
      </c>
    </row>
    <row r="1385" spans="1:3" x14ac:dyDescent="0.25">
      <c r="A1385" s="27" t="s">
        <v>1367</v>
      </c>
      <c r="B1385" s="27" t="str">
        <f t="shared" si="62"/>
        <v/>
      </c>
      <c r="C1385" s="27" t="str">
        <f t="shared" si="63"/>
        <v/>
      </c>
    </row>
    <row r="1386" spans="1:3" x14ac:dyDescent="0.25">
      <c r="A1386" s="27" t="s">
        <v>1367</v>
      </c>
      <c r="B1386" s="27" t="str">
        <f t="shared" si="62"/>
        <v/>
      </c>
      <c r="C1386" s="27" t="str">
        <f t="shared" si="63"/>
        <v/>
      </c>
    </row>
    <row r="1387" spans="1:3" x14ac:dyDescent="0.25">
      <c r="A1387" s="27" t="s">
        <v>1367</v>
      </c>
      <c r="B1387" s="27" t="str">
        <f t="shared" si="62"/>
        <v/>
      </c>
      <c r="C1387" s="27" t="str">
        <f t="shared" si="63"/>
        <v/>
      </c>
    </row>
    <row r="1388" spans="1:3" x14ac:dyDescent="0.25">
      <c r="A1388" s="27" t="s">
        <v>1367</v>
      </c>
      <c r="B1388" s="27" t="str">
        <f t="shared" si="62"/>
        <v/>
      </c>
      <c r="C1388" s="27" t="str">
        <f t="shared" si="63"/>
        <v/>
      </c>
    </row>
    <row r="1389" spans="1:3" x14ac:dyDescent="0.25">
      <c r="A1389" s="27" t="s">
        <v>1367</v>
      </c>
      <c r="B1389" s="27" t="str">
        <f t="shared" si="62"/>
        <v/>
      </c>
      <c r="C1389" s="27" t="str">
        <f t="shared" si="63"/>
        <v/>
      </c>
    </row>
    <row r="1390" spans="1:3" x14ac:dyDescent="0.25">
      <c r="A1390" s="27" t="s">
        <v>1367</v>
      </c>
      <c r="B1390" s="27" t="str">
        <f t="shared" si="62"/>
        <v/>
      </c>
      <c r="C1390" s="27" t="str">
        <f t="shared" si="63"/>
        <v/>
      </c>
    </row>
    <row r="1391" spans="1:3" x14ac:dyDescent="0.25">
      <c r="A1391" s="27" t="s">
        <v>1367</v>
      </c>
      <c r="B1391" s="27" t="str">
        <f t="shared" si="62"/>
        <v/>
      </c>
      <c r="C1391" s="27" t="str">
        <f t="shared" si="63"/>
        <v/>
      </c>
    </row>
    <row r="1392" spans="1:3" x14ac:dyDescent="0.25">
      <c r="A1392" s="27" t="s">
        <v>1367</v>
      </c>
      <c r="B1392" s="27" t="str">
        <f t="shared" si="62"/>
        <v/>
      </c>
      <c r="C1392" s="27" t="str">
        <f t="shared" si="63"/>
        <v/>
      </c>
    </row>
    <row r="1393" spans="1:3" x14ac:dyDescent="0.25">
      <c r="A1393" s="27" t="s">
        <v>1367</v>
      </c>
      <c r="B1393" s="27" t="str">
        <f t="shared" si="62"/>
        <v/>
      </c>
      <c r="C1393" s="27" t="str">
        <f t="shared" si="63"/>
        <v/>
      </c>
    </row>
    <row r="1394" spans="1:3" x14ac:dyDescent="0.25">
      <c r="A1394" s="27" t="s">
        <v>1367</v>
      </c>
      <c r="B1394" s="27" t="str">
        <f t="shared" si="62"/>
        <v/>
      </c>
      <c r="C1394" s="27" t="str">
        <f t="shared" si="63"/>
        <v/>
      </c>
    </row>
    <row r="1395" spans="1:3" x14ac:dyDescent="0.25">
      <c r="A1395" s="27" t="s">
        <v>1367</v>
      </c>
      <c r="B1395" s="27" t="str">
        <f t="shared" si="62"/>
        <v/>
      </c>
      <c r="C1395" s="27" t="str">
        <f t="shared" si="63"/>
        <v/>
      </c>
    </row>
    <row r="1396" spans="1:3" x14ac:dyDescent="0.25">
      <c r="A1396" s="27" t="s">
        <v>1367</v>
      </c>
      <c r="B1396" s="27" t="str">
        <f t="shared" si="62"/>
        <v/>
      </c>
      <c r="C1396" s="27" t="str">
        <f t="shared" si="63"/>
        <v/>
      </c>
    </row>
    <row r="1397" spans="1:3" x14ac:dyDescent="0.25">
      <c r="A1397" s="27" t="s">
        <v>1367</v>
      </c>
      <c r="B1397" s="27" t="str">
        <f t="shared" si="62"/>
        <v/>
      </c>
      <c r="C1397" s="27" t="str">
        <f t="shared" si="63"/>
        <v/>
      </c>
    </row>
    <row r="1398" spans="1:3" x14ac:dyDescent="0.25">
      <c r="A1398" s="27" t="s">
        <v>1367</v>
      </c>
      <c r="B1398" s="27" t="str">
        <f t="shared" si="62"/>
        <v/>
      </c>
      <c r="C1398" s="27" t="str">
        <f t="shared" si="63"/>
        <v/>
      </c>
    </row>
    <row r="1399" spans="1:3" x14ac:dyDescent="0.25">
      <c r="A1399" s="27" t="s">
        <v>1367</v>
      </c>
      <c r="B1399" s="27" t="str">
        <f t="shared" si="62"/>
        <v/>
      </c>
      <c r="C1399" s="27" t="str">
        <f t="shared" si="63"/>
        <v/>
      </c>
    </row>
    <row r="1400" spans="1:3" x14ac:dyDescent="0.25">
      <c r="A1400" s="27" t="s">
        <v>1367</v>
      </c>
      <c r="B1400" s="27" t="str">
        <f t="shared" si="62"/>
        <v/>
      </c>
      <c r="C1400" s="27" t="str">
        <f t="shared" si="63"/>
        <v/>
      </c>
    </row>
    <row r="1401" spans="1:3" x14ac:dyDescent="0.25">
      <c r="A1401" s="27" t="s">
        <v>1367</v>
      </c>
      <c r="B1401" s="27" t="str">
        <f t="shared" si="62"/>
        <v/>
      </c>
      <c r="C1401" s="27" t="str">
        <f t="shared" si="63"/>
        <v/>
      </c>
    </row>
    <row r="1402" spans="1:3" x14ac:dyDescent="0.25">
      <c r="A1402" s="27" t="s">
        <v>1367</v>
      </c>
      <c r="B1402" s="27" t="str">
        <f t="shared" si="62"/>
        <v/>
      </c>
      <c r="C1402" s="27" t="str">
        <f t="shared" si="63"/>
        <v/>
      </c>
    </row>
    <row r="1403" spans="1:3" x14ac:dyDescent="0.25">
      <c r="A1403" s="27" t="s">
        <v>1367</v>
      </c>
      <c r="B1403" s="27" t="str">
        <f t="shared" si="62"/>
        <v/>
      </c>
      <c r="C1403" s="27" t="str">
        <f t="shared" si="63"/>
        <v/>
      </c>
    </row>
    <row r="1404" spans="1:3" x14ac:dyDescent="0.25">
      <c r="A1404" s="27" t="s">
        <v>1367</v>
      </c>
      <c r="B1404" s="27" t="str">
        <f t="shared" si="62"/>
        <v/>
      </c>
      <c r="C1404" s="27" t="str">
        <f t="shared" si="63"/>
        <v/>
      </c>
    </row>
    <row r="1405" spans="1:3" x14ac:dyDescent="0.25">
      <c r="A1405" s="27" t="s">
        <v>1367</v>
      </c>
      <c r="B1405" s="27" t="str">
        <f t="shared" si="62"/>
        <v/>
      </c>
      <c r="C1405" s="27" t="str">
        <f t="shared" si="63"/>
        <v/>
      </c>
    </row>
    <row r="1406" spans="1:3" x14ac:dyDescent="0.25">
      <c r="A1406" s="27" t="s">
        <v>1367</v>
      </c>
      <c r="B1406" s="27" t="str">
        <f t="shared" si="62"/>
        <v/>
      </c>
      <c r="C1406" s="27" t="str">
        <f t="shared" si="63"/>
        <v/>
      </c>
    </row>
    <row r="1407" spans="1:3" x14ac:dyDescent="0.25">
      <c r="A1407" s="27" t="s">
        <v>1367</v>
      </c>
      <c r="B1407" s="27" t="str">
        <f t="shared" si="62"/>
        <v/>
      </c>
      <c r="C1407" s="27" t="str">
        <f t="shared" si="63"/>
        <v/>
      </c>
    </row>
    <row r="1408" spans="1:3" x14ac:dyDescent="0.25">
      <c r="A1408" s="27" t="s">
        <v>1367</v>
      </c>
      <c r="B1408" s="27" t="str">
        <f t="shared" si="62"/>
        <v/>
      </c>
      <c r="C1408" s="27" t="str">
        <f t="shared" si="63"/>
        <v/>
      </c>
    </row>
    <row r="1409" spans="1:3" x14ac:dyDescent="0.25">
      <c r="A1409" s="27" t="s">
        <v>1367</v>
      </c>
      <c r="B1409" s="27" t="str">
        <f t="shared" si="62"/>
        <v/>
      </c>
      <c r="C1409" s="27" t="str">
        <f t="shared" si="63"/>
        <v/>
      </c>
    </row>
    <row r="1410" spans="1:3" x14ac:dyDescent="0.25">
      <c r="A1410" s="27" t="s">
        <v>1367</v>
      </c>
      <c r="B1410" s="27" t="str">
        <f t="shared" si="62"/>
        <v/>
      </c>
      <c r="C1410" s="27" t="str">
        <f t="shared" si="63"/>
        <v/>
      </c>
    </row>
    <row r="1411" spans="1:3" x14ac:dyDescent="0.25">
      <c r="A1411" s="27" t="s">
        <v>1367</v>
      </c>
      <c r="B1411" s="27" t="str">
        <f t="shared" si="62"/>
        <v/>
      </c>
      <c r="C1411" s="27" t="str">
        <f t="shared" si="63"/>
        <v/>
      </c>
    </row>
    <row r="1412" spans="1:3" x14ac:dyDescent="0.25">
      <c r="A1412" s="27" t="s">
        <v>1367</v>
      </c>
      <c r="B1412" s="27" t="str">
        <f t="shared" si="62"/>
        <v/>
      </c>
      <c r="C1412" s="27" t="str">
        <f t="shared" si="63"/>
        <v/>
      </c>
    </row>
    <row r="1413" spans="1:3" x14ac:dyDescent="0.25">
      <c r="A1413" s="27" t="s">
        <v>1367</v>
      </c>
      <c r="B1413" s="27" t="str">
        <f t="shared" si="62"/>
        <v/>
      </c>
      <c r="C1413" s="27" t="str">
        <f t="shared" si="63"/>
        <v/>
      </c>
    </row>
    <row r="1414" spans="1:3" x14ac:dyDescent="0.25">
      <c r="A1414" s="27" t="s">
        <v>1367</v>
      </c>
      <c r="B1414" s="27" t="str">
        <f t="shared" si="62"/>
        <v/>
      </c>
      <c r="C1414" s="27" t="str">
        <f t="shared" si="63"/>
        <v/>
      </c>
    </row>
    <row r="1415" spans="1:3" x14ac:dyDescent="0.25">
      <c r="A1415" s="27" t="s">
        <v>1367</v>
      </c>
      <c r="B1415" s="27" t="str">
        <f t="shared" si="62"/>
        <v/>
      </c>
      <c r="C1415" s="27" t="str">
        <f t="shared" si="63"/>
        <v/>
      </c>
    </row>
    <row r="1416" spans="1:3" x14ac:dyDescent="0.25">
      <c r="A1416" s="27" t="s">
        <v>1367</v>
      </c>
      <c r="B1416" s="27" t="str">
        <f t="shared" si="62"/>
        <v/>
      </c>
      <c r="C1416" s="27" t="str">
        <f t="shared" si="63"/>
        <v/>
      </c>
    </row>
    <row r="1417" spans="1:3" x14ac:dyDescent="0.25">
      <c r="A1417" s="27" t="s">
        <v>1367</v>
      </c>
      <c r="B1417" s="27" t="str">
        <f t="shared" si="62"/>
        <v/>
      </c>
      <c r="C1417" s="27" t="str">
        <f t="shared" si="63"/>
        <v/>
      </c>
    </row>
    <row r="1418" spans="1:3" x14ac:dyDescent="0.25">
      <c r="A1418" s="27" t="s">
        <v>1367</v>
      </c>
      <c r="B1418" s="27" t="str">
        <f t="shared" si="62"/>
        <v/>
      </c>
      <c r="C1418" s="27" t="str">
        <f t="shared" si="63"/>
        <v/>
      </c>
    </row>
    <row r="1419" spans="1:3" x14ac:dyDescent="0.25">
      <c r="A1419" s="27" t="s">
        <v>1367</v>
      </c>
      <c r="B1419" s="27" t="str">
        <f t="shared" si="62"/>
        <v/>
      </c>
      <c r="C1419" s="27" t="str">
        <f t="shared" si="63"/>
        <v/>
      </c>
    </row>
    <row r="1420" spans="1:3" x14ac:dyDescent="0.25">
      <c r="A1420" s="27" t="s">
        <v>1367</v>
      </c>
      <c r="B1420" s="27" t="str">
        <f t="shared" si="62"/>
        <v/>
      </c>
      <c r="C1420" s="27" t="str">
        <f t="shared" si="63"/>
        <v/>
      </c>
    </row>
    <row r="1421" spans="1:3" x14ac:dyDescent="0.25">
      <c r="A1421" s="27" t="s">
        <v>1367</v>
      </c>
      <c r="B1421" s="27" t="str">
        <f t="shared" si="62"/>
        <v/>
      </c>
      <c r="C1421" s="27" t="str">
        <f t="shared" si="63"/>
        <v/>
      </c>
    </row>
    <row r="1422" spans="1:3" x14ac:dyDescent="0.25">
      <c r="A1422" s="27" t="s">
        <v>1367</v>
      </c>
      <c r="B1422" s="27" t="str">
        <f t="shared" si="62"/>
        <v/>
      </c>
      <c r="C1422" s="27" t="str">
        <f t="shared" si="63"/>
        <v/>
      </c>
    </row>
    <row r="1423" spans="1:3" x14ac:dyDescent="0.25">
      <c r="A1423" s="27" t="s">
        <v>1367</v>
      </c>
      <c r="B1423" s="27" t="str">
        <f t="shared" si="62"/>
        <v/>
      </c>
      <c r="C1423" s="27" t="str">
        <f t="shared" si="63"/>
        <v/>
      </c>
    </row>
    <row r="1424" spans="1:3" x14ac:dyDescent="0.25">
      <c r="A1424" s="27" t="s">
        <v>1367</v>
      </c>
      <c r="B1424" s="27" t="str">
        <f t="shared" si="62"/>
        <v/>
      </c>
      <c r="C1424" s="27" t="str">
        <f t="shared" si="63"/>
        <v/>
      </c>
    </row>
    <row r="1425" spans="1:3" x14ac:dyDescent="0.25">
      <c r="A1425" s="27" t="s">
        <v>1367</v>
      </c>
      <c r="B1425" s="27" t="str">
        <f t="shared" si="62"/>
        <v/>
      </c>
      <c r="C1425" s="27" t="str">
        <f t="shared" si="63"/>
        <v/>
      </c>
    </row>
    <row r="1426" spans="1:3" x14ac:dyDescent="0.25">
      <c r="A1426" s="27" t="s">
        <v>1367</v>
      </c>
      <c r="B1426" s="27" t="str">
        <f t="shared" si="62"/>
        <v/>
      </c>
      <c r="C1426" s="27" t="str">
        <f t="shared" si="63"/>
        <v/>
      </c>
    </row>
    <row r="1427" spans="1:3" x14ac:dyDescent="0.25">
      <c r="A1427" s="27" t="s">
        <v>1367</v>
      </c>
      <c r="B1427" s="27" t="str">
        <f t="shared" si="62"/>
        <v/>
      </c>
      <c r="C1427" s="27" t="str">
        <f t="shared" si="63"/>
        <v/>
      </c>
    </row>
    <row r="1428" spans="1:3" x14ac:dyDescent="0.25">
      <c r="A1428" s="27" t="s">
        <v>1367</v>
      </c>
      <c r="B1428" s="27" t="str">
        <f t="shared" si="62"/>
        <v/>
      </c>
      <c r="C1428" s="27" t="str">
        <f t="shared" si="63"/>
        <v/>
      </c>
    </row>
    <row r="1429" spans="1:3" x14ac:dyDescent="0.25">
      <c r="A1429" s="27" t="s">
        <v>1367</v>
      </c>
      <c r="B1429" s="27" t="str">
        <f t="shared" ref="B1429:B1467" si="64">LEFT(A1429,FIND(";",A1429)-1)</f>
        <v/>
      </c>
      <c r="C1429" s="27" t="str">
        <f t="shared" ref="C1429:C1467" si="65">MID(A1429,FIND(";",A1429)+1,100)</f>
        <v/>
      </c>
    </row>
    <row r="1430" spans="1:3" x14ac:dyDescent="0.25">
      <c r="A1430" s="27" t="s">
        <v>1367</v>
      </c>
      <c r="B1430" s="27" t="str">
        <f t="shared" si="64"/>
        <v/>
      </c>
      <c r="C1430" s="27" t="str">
        <f t="shared" si="65"/>
        <v/>
      </c>
    </row>
    <row r="1431" spans="1:3" x14ac:dyDescent="0.25">
      <c r="A1431" s="27" t="s">
        <v>1367</v>
      </c>
      <c r="B1431" s="27" t="str">
        <f t="shared" si="64"/>
        <v/>
      </c>
      <c r="C1431" s="27" t="str">
        <f t="shared" si="65"/>
        <v/>
      </c>
    </row>
    <row r="1432" spans="1:3" x14ac:dyDescent="0.25">
      <c r="A1432" s="27" t="s">
        <v>1367</v>
      </c>
      <c r="B1432" s="27" t="str">
        <f t="shared" si="64"/>
        <v/>
      </c>
      <c r="C1432" s="27" t="str">
        <f t="shared" si="65"/>
        <v/>
      </c>
    </row>
    <row r="1433" spans="1:3" x14ac:dyDescent="0.25">
      <c r="A1433" s="27" t="s">
        <v>1367</v>
      </c>
      <c r="B1433" s="27" t="str">
        <f t="shared" si="64"/>
        <v/>
      </c>
      <c r="C1433" s="27" t="str">
        <f t="shared" si="65"/>
        <v/>
      </c>
    </row>
    <row r="1434" spans="1:3" x14ac:dyDescent="0.25">
      <c r="A1434" s="27" t="s">
        <v>1367</v>
      </c>
      <c r="B1434" s="27" t="str">
        <f t="shared" si="64"/>
        <v/>
      </c>
      <c r="C1434" s="27" t="str">
        <f t="shared" si="65"/>
        <v/>
      </c>
    </row>
    <row r="1435" spans="1:3" x14ac:dyDescent="0.25">
      <c r="A1435" s="27" t="s">
        <v>1367</v>
      </c>
      <c r="B1435" s="27" t="str">
        <f t="shared" si="64"/>
        <v/>
      </c>
      <c r="C1435" s="27" t="str">
        <f t="shared" si="65"/>
        <v/>
      </c>
    </row>
    <row r="1436" spans="1:3" x14ac:dyDescent="0.25">
      <c r="A1436" s="27" t="s">
        <v>1367</v>
      </c>
      <c r="B1436" s="27" t="str">
        <f t="shared" si="64"/>
        <v/>
      </c>
      <c r="C1436" s="27" t="str">
        <f t="shared" si="65"/>
        <v/>
      </c>
    </row>
    <row r="1437" spans="1:3" x14ac:dyDescent="0.25">
      <c r="A1437" s="27" t="s">
        <v>1367</v>
      </c>
      <c r="B1437" s="27" t="str">
        <f t="shared" si="64"/>
        <v/>
      </c>
      <c r="C1437" s="27" t="str">
        <f t="shared" si="65"/>
        <v/>
      </c>
    </row>
    <row r="1438" spans="1:3" x14ac:dyDescent="0.25">
      <c r="A1438" s="27" t="s">
        <v>1367</v>
      </c>
      <c r="B1438" s="27" t="str">
        <f t="shared" si="64"/>
        <v/>
      </c>
      <c r="C1438" s="27" t="str">
        <f t="shared" si="65"/>
        <v/>
      </c>
    </row>
    <row r="1439" spans="1:3" x14ac:dyDescent="0.25">
      <c r="A1439" s="27" t="s">
        <v>1367</v>
      </c>
      <c r="B1439" s="27" t="str">
        <f t="shared" si="64"/>
        <v/>
      </c>
      <c r="C1439" s="27" t="str">
        <f t="shared" si="65"/>
        <v/>
      </c>
    </row>
    <row r="1440" spans="1:3" x14ac:dyDescent="0.25">
      <c r="A1440" s="27" t="s">
        <v>1367</v>
      </c>
      <c r="B1440" s="27" t="str">
        <f t="shared" si="64"/>
        <v/>
      </c>
      <c r="C1440" s="27" t="str">
        <f t="shared" si="65"/>
        <v/>
      </c>
    </row>
    <row r="1441" spans="1:3" x14ac:dyDescent="0.25">
      <c r="A1441" s="27" t="s">
        <v>1367</v>
      </c>
      <c r="B1441" s="27" t="str">
        <f t="shared" si="64"/>
        <v/>
      </c>
      <c r="C1441" s="27" t="str">
        <f t="shared" si="65"/>
        <v/>
      </c>
    </row>
    <row r="1442" spans="1:3" x14ac:dyDescent="0.25">
      <c r="A1442" s="27" t="s">
        <v>1367</v>
      </c>
      <c r="B1442" s="27" t="str">
        <f t="shared" si="64"/>
        <v/>
      </c>
      <c r="C1442" s="27" t="str">
        <f t="shared" si="65"/>
        <v/>
      </c>
    </row>
    <row r="1443" spans="1:3" x14ac:dyDescent="0.25">
      <c r="A1443" s="27" t="s">
        <v>1367</v>
      </c>
      <c r="B1443" s="27" t="str">
        <f t="shared" si="64"/>
        <v/>
      </c>
      <c r="C1443" s="27" t="str">
        <f t="shared" si="65"/>
        <v/>
      </c>
    </row>
    <row r="1444" spans="1:3" x14ac:dyDescent="0.25">
      <c r="A1444" s="27" t="s">
        <v>1367</v>
      </c>
      <c r="B1444" s="27" t="str">
        <f t="shared" si="64"/>
        <v/>
      </c>
      <c r="C1444" s="27" t="str">
        <f t="shared" si="65"/>
        <v/>
      </c>
    </row>
    <row r="1445" spans="1:3" x14ac:dyDescent="0.25">
      <c r="A1445" s="27" t="s">
        <v>1367</v>
      </c>
      <c r="B1445" s="27" t="str">
        <f t="shared" si="64"/>
        <v/>
      </c>
      <c r="C1445" s="27" t="str">
        <f t="shared" si="65"/>
        <v/>
      </c>
    </row>
    <row r="1446" spans="1:3" x14ac:dyDescent="0.25">
      <c r="A1446" s="27" t="s">
        <v>1367</v>
      </c>
      <c r="B1446" s="27" t="str">
        <f t="shared" si="64"/>
        <v/>
      </c>
      <c r="C1446" s="27" t="str">
        <f t="shared" si="65"/>
        <v/>
      </c>
    </row>
    <row r="1447" spans="1:3" x14ac:dyDescent="0.25">
      <c r="A1447" s="27" t="s">
        <v>1367</v>
      </c>
      <c r="B1447" s="27" t="str">
        <f t="shared" si="64"/>
        <v/>
      </c>
      <c r="C1447" s="27" t="str">
        <f t="shared" si="65"/>
        <v/>
      </c>
    </row>
    <row r="1448" spans="1:3" x14ac:dyDescent="0.25">
      <c r="A1448" s="27" t="s">
        <v>1367</v>
      </c>
      <c r="B1448" s="27" t="str">
        <f t="shared" si="64"/>
        <v/>
      </c>
      <c r="C1448" s="27" t="str">
        <f t="shared" si="65"/>
        <v/>
      </c>
    </row>
    <row r="1449" spans="1:3" x14ac:dyDescent="0.25">
      <c r="A1449" s="27" t="s">
        <v>1367</v>
      </c>
      <c r="B1449" s="27" t="str">
        <f t="shared" si="64"/>
        <v/>
      </c>
      <c r="C1449" s="27" t="str">
        <f t="shared" si="65"/>
        <v/>
      </c>
    </row>
    <row r="1450" spans="1:3" x14ac:dyDescent="0.25">
      <c r="A1450" s="27" t="s">
        <v>1367</v>
      </c>
      <c r="B1450" s="27" t="str">
        <f t="shared" si="64"/>
        <v/>
      </c>
      <c r="C1450" s="27" t="str">
        <f t="shared" si="65"/>
        <v/>
      </c>
    </row>
    <row r="1451" spans="1:3" x14ac:dyDescent="0.25">
      <c r="A1451" s="27" t="s">
        <v>1367</v>
      </c>
      <c r="B1451" s="27" t="str">
        <f t="shared" si="64"/>
        <v/>
      </c>
      <c r="C1451" s="27" t="str">
        <f t="shared" si="65"/>
        <v/>
      </c>
    </row>
    <row r="1452" spans="1:3" x14ac:dyDescent="0.25">
      <c r="A1452" s="27" t="s">
        <v>1367</v>
      </c>
      <c r="B1452" s="27" t="str">
        <f t="shared" si="64"/>
        <v/>
      </c>
      <c r="C1452" s="27" t="str">
        <f t="shared" si="65"/>
        <v/>
      </c>
    </row>
    <row r="1453" spans="1:3" x14ac:dyDescent="0.25">
      <c r="A1453" s="27" t="s">
        <v>1367</v>
      </c>
      <c r="B1453" s="27" t="str">
        <f t="shared" si="64"/>
        <v/>
      </c>
      <c r="C1453" s="27" t="str">
        <f t="shared" si="65"/>
        <v/>
      </c>
    </row>
    <row r="1454" spans="1:3" x14ac:dyDescent="0.25">
      <c r="A1454" s="27" t="s">
        <v>1367</v>
      </c>
      <c r="B1454" s="27" t="str">
        <f t="shared" si="64"/>
        <v/>
      </c>
      <c r="C1454" s="27" t="str">
        <f t="shared" si="65"/>
        <v/>
      </c>
    </row>
    <row r="1455" spans="1:3" x14ac:dyDescent="0.25">
      <c r="A1455" s="27" t="s">
        <v>1367</v>
      </c>
      <c r="B1455" s="27" t="str">
        <f t="shared" si="64"/>
        <v/>
      </c>
      <c r="C1455" s="27" t="str">
        <f t="shared" si="65"/>
        <v/>
      </c>
    </row>
    <row r="1456" spans="1:3" x14ac:dyDescent="0.25">
      <c r="A1456" s="27" t="s">
        <v>1367</v>
      </c>
      <c r="B1456" s="27" t="str">
        <f t="shared" si="64"/>
        <v/>
      </c>
      <c r="C1456" s="27" t="str">
        <f t="shared" si="65"/>
        <v/>
      </c>
    </row>
    <row r="1457" spans="1:3" x14ac:dyDescent="0.25">
      <c r="A1457" s="27" t="s">
        <v>1367</v>
      </c>
      <c r="B1457" s="27" t="str">
        <f t="shared" si="64"/>
        <v/>
      </c>
      <c r="C1457" s="27" t="str">
        <f t="shared" si="65"/>
        <v/>
      </c>
    </row>
    <row r="1458" spans="1:3" x14ac:dyDescent="0.25">
      <c r="A1458" s="27" t="s">
        <v>1367</v>
      </c>
      <c r="B1458" s="27" t="str">
        <f t="shared" si="64"/>
        <v/>
      </c>
      <c r="C1458" s="27" t="str">
        <f t="shared" si="65"/>
        <v/>
      </c>
    </row>
    <row r="1459" spans="1:3" x14ac:dyDescent="0.25">
      <c r="A1459" s="27" t="s">
        <v>1367</v>
      </c>
      <c r="B1459" s="27" t="str">
        <f t="shared" si="64"/>
        <v/>
      </c>
      <c r="C1459" s="27" t="str">
        <f t="shared" si="65"/>
        <v/>
      </c>
    </row>
    <row r="1460" spans="1:3" x14ac:dyDescent="0.25">
      <c r="A1460" s="27" t="s">
        <v>1367</v>
      </c>
      <c r="B1460" s="27" t="str">
        <f t="shared" si="64"/>
        <v/>
      </c>
      <c r="C1460" s="27" t="str">
        <f t="shared" si="65"/>
        <v/>
      </c>
    </row>
    <row r="1461" spans="1:3" x14ac:dyDescent="0.25">
      <c r="A1461" s="27" t="s">
        <v>1367</v>
      </c>
      <c r="B1461" s="27" t="str">
        <f t="shared" si="64"/>
        <v/>
      </c>
      <c r="C1461" s="27" t="str">
        <f t="shared" si="65"/>
        <v/>
      </c>
    </row>
    <row r="1462" spans="1:3" x14ac:dyDescent="0.25">
      <c r="A1462" s="27" t="s">
        <v>1367</v>
      </c>
      <c r="B1462" s="27" t="str">
        <f t="shared" si="64"/>
        <v/>
      </c>
      <c r="C1462" s="27" t="str">
        <f t="shared" si="65"/>
        <v/>
      </c>
    </row>
    <row r="1463" spans="1:3" x14ac:dyDescent="0.25">
      <c r="A1463" s="27" t="s">
        <v>1367</v>
      </c>
      <c r="B1463" s="27" t="str">
        <f t="shared" si="64"/>
        <v/>
      </c>
      <c r="C1463" s="27" t="str">
        <f t="shared" si="65"/>
        <v/>
      </c>
    </row>
    <row r="1464" spans="1:3" x14ac:dyDescent="0.25">
      <c r="A1464" s="27" t="s">
        <v>1367</v>
      </c>
      <c r="B1464" s="27" t="str">
        <f t="shared" si="64"/>
        <v/>
      </c>
      <c r="C1464" s="27" t="str">
        <f t="shared" si="65"/>
        <v/>
      </c>
    </row>
    <row r="1465" spans="1:3" x14ac:dyDescent="0.25">
      <c r="A1465" s="27" t="s">
        <v>1367</v>
      </c>
      <c r="B1465" s="27" t="str">
        <f t="shared" si="64"/>
        <v/>
      </c>
      <c r="C1465" s="27" t="str">
        <f t="shared" si="65"/>
        <v/>
      </c>
    </row>
    <row r="1466" spans="1:3" x14ac:dyDescent="0.25">
      <c r="A1466" s="27" t="s">
        <v>1367</v>
      </c>
      <c r="B1466" s="27" t="str">
        <f t="shared" si="64"/>
        <v/>
      </c>
      <c r="C1466" s="27" t="str">
        <f t="shared" si="65"/>
        <v/>
      </c>
    </row>
    <row r="1467" spans="1:3" x14ac:dyDescent="0.25">
      <c r="A1467" s="27" t="s">
        <v>1367</v>
      </c>
      <c r="B1467" s="27" t="str">
        <f t="shared" si="64"/>
        <v/>
      </c>
      <c r="C1467" s="27" t="str">
        <f t="shared" si="65"/>
        <v/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09"/>
  <sheetViews>
    <sheetView workbookViewId="0"/>
  </sheetViews>
  <sheetFormatPr defaultColWidth="8.85546875" defaultRowHeight="15" x14ac:dyDescent="0.25"/>
  <cols>
    <col min="1" max="1" width="29.28515625" style="27" bestFit="1" customWidth="1"/>
    <col min="2" max="2" width="15.28515625" style="27" bestFit="1" customWidth="1"/>
    <col min="3" max="3" width="19.7109375" style="27" bestFit="1" customWidth="1"/>
    <col min="4" max="4" width="27.42578125" style="27" customWidth="1"/>
    <col min="5" max="5" width="18.28515625" style="27" customWidth="1"/>
    <col min="6" max="8" width="8.85546875" style="27"/>
    <col min="10" max="16384" width="8.85546875" style="27"/>
  </cols>
  <sheetData>
    <row r="1" spans="1:8" s="20" customFormat="1" x14ac:dyDescent="0.25">
      <c r="B1" s="20" t="s">
        <v>2</v>
      </c>
      <c r="C1" s="20" t="s">
        <v>0</v>
      </c>
      <c r="D1" s="20" t="s">
        <v>2567</v>
      </c>
      <c r="E1" s="20" t="s">
        <v>584</v>
      </c>
      <c r="F1" s="20" t="s">
        <v>1</v>
      </c>
      <c r="G1" s="20" t="s">
        <v>4</v>
      </c>
      <c r="H1" s="20" t="s">
        <v>214</v>
      </c>
    </row>
    <row r="2" spans="1:8" x14ac:dyDescent="0.25">
      <c r="A2" s="27" t="s">
        <v>586</v>
      </c>
      <c r="B2" s="27" t="str">
        <f>LEFT(A2,FIND(";",A2)-1)</f>
        <v>Alabama</v>
      </c>
      <c r="C2" s="27" t="str">
        <f>MID(A2,FIND(";",A2)+1,100)</f>
        <v>Autauga</v>
      </c>
      <c r="D2" s="27">
        <v>282</v>
      </c>
      <c r="E2" s="27">
        <v>9716</v>
      </c>
      <c r="F2" s="27">
        <v>1902</v>
      </c>
      <c r="G2" s="27">
        <v>1077</v>
      </c>
      <c r="H2" s="27" t="s">
        <v>2010</v>
      </c>
    </row>
    <row r="3" spans="1:8" x14ac:dyDescent="0.25">
      <c r="A3" s="27" t="s">
        <v>587</v>
      </c>
      <c r="B3" s="27" t="str">
        <f t="shared" ref="B3:B66" si="0">LEFT(A3,FIND(";",A3)-1)</f>
        <v>Alabama</v>
      </c>
      <c r="C3" s="27" t="str">
        <f t="shared" ref="C3:C66" si="1">MID(A3,FIND(";",A3)+1,100)</f>
        <v>Baldwin</v>
      </c>
      <c r="E3" s="27">
        <v>13870</v>
      </c>
      <c r="F3" s="27">
        <v>1902</v>
      </c>
      <c r="G3" s="27">
        <v>1077</v>
      </c>
      <c r="H3" s="27" t="s">
        <v>2010</v>
      </c>
    </row>
    <row r="4" spans="1:8" x14ac:dyDescent="0.25">
      <c r="A4" s="27" t="s">
        <v>588</v>
      </c>
      <c r="B4" s="27" t="str">
        <f t="shared" si="0"/>
        <v>Alabama</v>
      </c>
      <c r="C4" s="27" t="str">
        <f t="shared" si="1"/>
        <v>Barbour</v>
      </c>
      <c r="D4" s="27">
        <v>213</v>
      </c>
      <c r="E4" s="27">
        <v>17681</v>
      </c>
      <c r="F4" s="27">
        <v>1902</v>
      </c>
      <c r="G4" s="27">
        <v>1077</v>
      </c>
      <c r="H4" s="27" t="s">
        <v>2010</v>
      </c>
    </row>
    <row r="5" spans="1:8" x14ac:dyDescent="0.25">
      <c r="A5" s="27" t="s">
        <v>589</v>
      </c>
      <c r="B5" s="27" t="str">
        <f t="shared" si="0"/>
        <v>Alabama</v>
      </c>
      <c r="C5" s="27" t="str">
        <f t="shared" si="1"/>
        <v>Bibb</v>
      </c>
      <c r="D5" s="27">
        <v>197</v>
      </c>
      <c r="E5" s="27">
        <v>9156</v>
      </c>
      <c r="F5" s="27">
        <v>1902</v>
      </c>
      <c r="G5" s="27">
        <v>1077</v>
      </c>
      <c r="H5" s="27" t="s">
        <v>2010</v>
      </c>
    </row>
    <row r="6" spans="1:8" x14ac:dyDescent="0.25">
      <c r="A6" s="27" t="s">
        <v>590</v>
      </c>
      <c r="B6" s="27" t="str">
        <f t="shared" si="0"/>
        <v>Alabama</v>
      </c>
      <c r="C6" s="27" t="str">
        <f t="shared" si="1"/>
        <v>Blount</v>
      </c>
      <c r="D6" s="27">
        <v>75</v>
      </c>
      <c r="E6" s="27">
        <v>14152</v>
      </c>
      <c r="F6" s="27">
        <v>1902</v>
      </c>
      <c r="G6" s="27">
        <v>1077</v>
      </c>
      <c r="H6" s="27" t="s">
        <v>2010</v>
      </c>
    </row>
    <row r="7" spans="1:8" x14ac:dyDescent="0.25">
      <c r="A7" s="27" t="s">
        <v>591</v>
      </c>
      <c r="B7" s="27" t="str">
        <f t="shared" si="0"/>
        <v>Alabama</v>
      </c>
      <c r="C7" s="27" t="str">
        <f t="shared" si="1"/>
        <v>Bullock</v>
      </c>
      <c r="D7" s="27">
        <v>396</v>
      </c>
      <c r="E7" s="27">
        <v>19798</v>
      </c>
      <c r="F7" s="27">
        <v>1902</v>
      </c>
      <c r="G7" s="27">
        <v>1077</v>
      </c>
      <c r="H7" s="27" t="s">
        <v>2010</v>
      </c>
    </row>
    <row r="8" spans="1:8" x14ac:dyDescent="0.25">
      <c r="A8" s="27" t="s">
        <v>592</v>
      </c>
      <c r="B8" s="27" t="str">
        <f t="shared" si="0"/>
        <v>Alabama</v>
      </c>
      <c r="C8" s="27" t="str">
        <f t="shared" si="1"/>
        <v>Butler</v>
      </c>
      <c r="D8" s="27">
        <v>666</v>
      </c>
      <c r="E8" s="27">
        <v>16834</v>
      </c>
      <c r="F8" s="27">
        <v>1902</v>
      </c>
      <c r="G8" s="27">
        <v>1077</v>
      </c>
      <c r="H8" s="27" t="s">
        <v>2010</v>
      </c>
    </row>
    <row r="9" spans="1:8" x14ac:dyDescent="0.25">
      <c r="A9" s="27" t="s">
        <v>593</v>
      </c>
      <c r="B9" s="27" t="str">
        <f t="shared" si="0"/>
        <v>Alabama</v>
      </c>
      <c r="C9" s="27" t="str">
        <f t="shared" si="1"/>
        <v>Calhoun/Benton</v>
      </c>
      <c r="D9" s="27">
        <v>329</v>
      </c>
      <c r="E9" s="27">
        <v>16088</v>
      </c>
      <c r="F9" s="27">
        <v>1902</v>
      </c>
      <c r="G9" s="27">
        <v>1077</v>
      </c>
      <c r="H9" s="27" t="s">
        <v>2010</v>
      </c>
    </row>
    <row r="10" spans="1:8" x14ac:dyDescent="0.25">
      <c r="A10" s="27" t="s">
        <v>594</v>
      </c>
      <c r="B10" s="27" t="str">
        <f t="shared" si="0"/>
        <v>Alabama</v>
      </c>
      <c r="C10" s="27" t="str">
        <f t="shared" si="1"/>
        <v>Chambers</v>
      </c>
      <c r="E10" s="27">
        <v>21213</v>
      </c>
      <c r="F10" s="27">
        <v>1902</v>
      </c>
      <c r="G10" s="27">
        <v>1077</v>
      </c>
      <c r="H10" s="27" t="s">
        <v>2010</v>
      </c>
    </row>
    <row r="11" spans="1:8" x14ac:dyDescent="0.25">
      <c r="A11" s="27" t="s">
        <v>595</v>
      </c>
      <c r="B11" s="27" t="str">
        <f t="shared" si="0"/>
        <v>Alabama</v>
      </c>
      <c r="C11" s="27" t="str">
        <f t="shared" si="1"/>
        <v>Cherokee</v>
      </c>
      <c r="D11" s="27">
        <v>150</v>
      </c>
      <c r="E11" s="27">
        <v>13250</v>
      </c>
      <c r="F11" s="27">
        <v>1902</v>
      </c>
      <c r="G11" s="27">
        <v>1077</v>
      </c>
      <c r="H11" s="27" t="s">
        <v>2010</v>
      </c>
    </row>
    <row r="12" spans="1:8" x14ac:dyDescent="0.25">
      <c r="A12" s="27" t="s">
        <v>596</v>
      </c>
      <c r="B12" s="27" t="str">
        <f t="shared" si="0"/>
        <v>Alabama</v>
      </c>
      <c r="C12" s="27" t="str">
        <f t="shared" si="1"/>
        <v>Chilton/Baker</v>
      </c>
      <c r="D12" s="27">
        <v>138</v>
      </c>
      <c r="E12" s="27">
        <v>12642</v>
      </c>
      <c r="F12" s="27">
        <v>1902</v>
      </c>
      <c r="G12" s="27">
        <v>1077</v>
      </c>
      <c r="H12" s="27" t="s">
        <v>2010</v>
      </c>
    </row>
    <row r="13" spans="1:8" x14ac:dyDescent="0.25">
      <c r="A13" s="27" t="s">
        <v>597</v>
      </c>
      <c r="B13" s="27" t="str">
        <f t="shared" si="0"/>
        <v>Alabama</v>
      </c>
      <c r="C13" s="27" t="str">
        <f t="shared" si="1"/>
        <v>Choctaw</v>
      </c>
      <c r="D13" s="27">
        <v>122</v>
      </c>
      <c r="E13" s="27">
        <v>10314</v>
      </c>
      <c r="F13" s="27">
        <v>1902</v>
      </c>
      <c r="G13" s="27">
        <v>1077</v>
      </c>
      <c r="H13" s="27" t="s">
        <v>2010</v>
      </c>
    </row>
    <row r="14" spans="1:8" x14ac:dyDescent="0.25">
      <c r="A14" s="27" t="s">
        <v>598</v>
      </c>
      <c r="B14" s="27" t="str">
        <f t="shared" si="0"/>
        <v>Alabama</v>
      </c>
      <c r="C14" s="27" t="str">
        <f t="shared" si="1"/>
        <v>Clarke</v>
      </c>
      <c r="D14" s="27">
        <v>125</v>
      </c>
      <c r="E14" s="27">
        <v>18139</v>
      </c>
      <c r="F14" s="27">
        <v>1902</v>
      </c>
      <c r="G14" s="27">
        <v>1077</v>
      </c>
      <c r="H14" s="27" t="s">
        <v>2010</v>
      </c>
    </row>
    <row r="15" spans="1:8" x14ac:dyDescent="0.25">
      <c r="A15" s="27" t="s">
        <v>599</v>
      </c>
      <c r="B15" s="27" t="str">
        <f t="shared" si="0"/>
        <v>Alabama</v>
      </c>
      <c r="C15" s="27" t="str">
        <f t="shared" si="1"/>
        <v>Clay</v>
      </c>
      <c r="E15" s="27">
        <v>12073</v>
      </c>
      <c r="F15" s="27">
        <v>1902</v>
      </c>
      <c r="G15" s="27">
        <v>1077</v>
      </c>
      <c r="H15" s="27" t="s">
        <v>2010</v>
      </c>
    </row>
    <row r="16" spans="1:8" x14ac:dyDescent="0.25">
      <c r="A16" s="27" t="s">
        <v>600</v>
      </c>
      <c r="B16" s="27" t="str">
        <f t="shared" si="0"/>
        <v>Alabama</v>
      </c>
      <c r="C16" s="27" t="str">
        <f t="shared" si="1"/>
        <v>Cleburne</v>
      </c>
      <c r="D16" s="27">
        <v>154</v>
      </c>
      <c r="E16" s="27">
        <v>9289</v>
      </c>
      <c r="F16" s="27">
        <v>1902</v>
      </c>
      <c r="G16" s="27">
        <v>1077</v>
      </c>
      <c r="H16" s="27" t="s">
        <v>2010</v>
      </c>
    </row>
    <row r="17" spans="1:8" x14ac:dyDescent="0.25">
      <c r="A17" s="27" t="s">
        <v>601</v>
      </c>
      <c r="B17" s="27" t="str">
        <f t="shared" si="0"/>
        <v>Alabama</v>
      </c>
      <c r="C17" s="27" t="str">
        <f t="shared" si="1"/>
        <v>Coffee</v>
      </c>
      <c r="D17" s="27">
        <v>221</v>
      </c>
      <c r="E17" s="27">
        <v>11847</v>
      </c>
      <c r="F17" s="27">
        <v>1902</v>
      </c>
      <c r="G17" s="27">
        <v>1077</v>
      </c>
      <c r="H17" s="27" t="s">
        <v>2010</v>
      </c>
    </row>
    <row r="18" spans="1:8" x14ac:dyDescent="0.25">
      <c r="A18" s="27" t="s">
        <v>602</v>
      </c>
      <c r="B18" s="27" t="str">
        <f t="shared" si="0"/>
        <v>Alabama</v>
      </c>
      <c r="C18" s="27" t="str">
        <f t="shared" si="1"/>
        <v>Colbert</v>
      </c>
      <c r="D18" s="27">
        <v>172</v>
      </c>
      <c r="E18" s="27">
        <v>9236</v>
      </c>
      <c r="F18" s="27">
        <v>1902</v>
      </c>
      <c r="G18" s="27">
        <v>1077</v>
      </c>
      <c r="H18" s="27" t="s">
        <v>2010</v>
      </c>
    </row>
    <row r="19" spans="1:8" x14ac:dyDescent="0.25">
      <c r="A19" s="27" t="s">
        <v>603</v>
      </c>
      <c r="B19" s="27" t="str">
        <f t="shared" si="0"/>
        <v>Alabama</v>
      </c>
      <c r="C19" s="27" t="str">
        <f t="shared" si="1"/>
        <v>Conecuh</v>
      </c>
      <c r="D19" s="27">
        <v>404</v>
      </c>
      <c r="E19" s="27">
        <v>10443</v>
      </c>
      <c r="F19" s="27">
        <v>1902</v>
      </c>
      <c r="G19" s="27">
        <v>1077</v>
      </c>
      <c r="H19" s="27" t="s">
        <v>2010</v>
      </c>
    </row>
    <row r="20" spans="1:8" x14ac:dyDescent="0.25">
      <c r="A20" s="27" t="s">
        <v>604</v>
      </c>
      <c r="B20" s="27" t="str">
        <f t="shared" si="0"/>
        <v>Alabama</v>
      </c>
      <c r="C20" s="27" t="str">
        <f t="shared" si="1"/>
        <v>Coosa</v>
      </c>
      <c r="D20" s="27">
        <v>58</v>
      </c>
      <c r="E20" s="27">
        <v>10198</v>
      </c>
      <c r="F20" s="27">
        <v>1902</v>
      </c>
      <c r="G20" s="27">
        <v>1077</v>
      </c>
      <c r="H20" s="27" t="s">
        <v>2010</v>
      </c>
    </row>
    <row r="21" spans="1:8" x14ac:dyDescent="0.25">
      <c r="A21" s="27" t="s">
        <v>605</v>
      </c>
      <c r="B21" s="27" t="str">
        <f t="shared" si="0"/>
        <v>Alabama</v>
      </c>
      <c r="C21" s="27" t="str">
        <f t="shared" si="1"/>
        <v>Covington</v>
      </c>
      <c r="D21" s="27">
        <v>150</v>
      </c>
      <c r="E21" s="27">
        <v>8938</v>
      </c>
      <c r="F21" s="27">
        <v>1902</v>
      </c>
      <c r="G21" s="27">
        <v>1077</v>
      </c>
      <c r="H21" s="27" t="s">
        <v>2010</v>
      </c>
    </row>
    <row r="22" spans="1:8" x14ac:dyDescent="0.25">
      <c r="A22" s="27" t="s">
        <v>606</v>
      </c>
      <c r="B22" s="27" t="str">
        <f t="shared" si="0"/>
        <v>Alabama</v>
      </c>
      <c r="C22" s="27" t="str">
        <f t="shared" si="1"/>
        <v>Crenshaw</v>
      </c>
      <c r="D22" s="27">
        <v>230</v>
      </c>
      <c r="E22" s="27">
        <v>14032</v>
      </c>
      <c r="F22" s="27">
        <v>1902</v>
      </c>
      <c r="G22" s="27">
        <v>1077</v>
      </c>
      <c r="H22" s="27" t="s">
        <v>2010</v>
      </c>
    </row>
    <row r="23" spans="1:8" x14ac:dyDescent="0.25">
      <c r="A23" s="27" t="s">
        <v>607</v>
      </c>
      <c r="B23" s="27" t="str">
        <f t="shared" si="0"/>
        <v>Alabama</v>
      </c>
      <c r="C23" s="27" t="str">
        <f t="shared" si="1"/>
        <v>Cullman</v>
      </c>
      <c r="D23" s="27">
        <v>177</v>
      </c>
      <c r="E23" s="27">
        <v>14701</v>
      </c>
      <c r="F23" s="27">
        <v>1902</v>
      </c>
      <c r="G23" s="27">
        <v>1077</v>
      </c>
      <c r="H23" s="27" t="s">
        <v>2010</v>
      </c>
    </row>
    <row r="24" spans="1:8" x14ac:dyDescent="0.25">
      <c r="A24" s="27" t="s">
        <v>608</v>
      </c>
      <c r="B24" s="27" t="str">
        <f t="shared" si="0"/>
        <v>Alabama</v>
      </c>
      <c r="C24" s="27" t="str">
        <f t="shared" si="1"/>
        <v>Dale</v>
      </c>
      <c r="D24" s="27">
        <v>200</v>
      </c>
      <c r="E24" s="27">
        <v>12430</v>
      </c>
      <c r="F24" s="27">
        <v>1902</v>
      </c>
      <c r="G24" s="27">
        <v>1077</v>
      </c>
      <c r="H24" s="27" t="s">
        <v>2010</v>
      </c>
    </row>
    <row r="25" spans="1:8" x14ac:dyDescent="0.25">
      <c r="A25" s="27" t="s">
        <v>609</v>
      </c>
      <c r="B25" s="27" t="str">
        <f t="shared" si="0"/>
        <v>Alabama</v>
      </c>
      <c r="C25" s="27" t="str">
        <f t="shared" si="1"/>
        <v>Dallas</v>
      </c>
      <c r="D25" s="27">
        <v>258</v>
      </c>
      <c r="E25" s="27">
        <v>24024</v>
      </c>
      <c r="F25" s="27">
        <v>1902</v>
      </c>
      <c r="G25" s="27">
        <v>1077</v>
      </c>
      <c r="H25" s="27" t="s">
        <v>2010</v>
      </c>
    </row>
    <row r="26" spans="1:8" x14ac:dyDescent="0.25">
      <c r="A26" s="27" t="s">
        <v>610</v>
      </c>
      <c r="B26" s="27" t="str">
        <f t="shared" si="0"/>
        <v>Alabama</v>
      </c>
      <c r="C26" s="27" t="str">
        <f t="shared" si="1"/>
        <v>DeKalb</v>
      </c>
      <c r="D26" s="27">
        <v>176</v>
      </c>
      <c r="E26" s="27">
        <v>15340</v>
      </c>
      <c r="F26" s="27">
        <v>1902</v>
      </c>
      <c r="G26" s="27">
        <v>1077</v>
      </c>
      <c r="H26" s="27" t="s">
        <v>2010</v>
      </c>
    </row>
    <row r="27" spans="1:8" x14ac:dyDescent="0.25">
      <c r="A27" s="27" t="s">
        <v>611</v>
      </c>
      <c r="B27" s="27" t="str">
        <f t="shared" si="0"/>
        <v>Alabama</v>
      </c>
      <c r="C27" s="27" t="str">
        <f t="shared" si="1"/>
        <v>Elmore</v>
      </c>
      <c r="D27" s="27">
        <v>200</v>
      </c>
      <c r="E27" s="27">
        <v>14888</v>
      </c>
      <c r="F27" s="27">
        <v>1902</v>
      </c>
      <c r="G27" s="27">
        <v>1077</v>
      </c>
      <c r="H27" s="27" t="s">
        <v>2010</v>
      </c>
    </row>
    <row r="28" spans="1:8" x14ac:dyDescent="0.25">
      <c r="A28" s="27" t="s">
        <v>612</v>
      </c>
      <c r="B28" s="27" t="str">
        <f t="shared" si="0"/>
        <v>Alabama</v>
      </c>
      <c r="C28" s="27" t="str">
        <f t="shared" si="1"/>
        <v>Escambia</v>
      </c>
      <c r="D28" s="27">
        <v>113</v>
      </c>
      <c r="E28" s="27">
        <v>18691</v>
      </c>
      <c r="F28" s="27">
        <v>1902</v>
      </c>
      <c r="G28" s="27">
        <v>1077</v>
      </c>
      <c r="H28" s="27" t="s">
        <v>2010</v>
      </c>
    </row>
    <row r="29" spans="1:8" x14ac:dyDescent="0.25">
      <c r="A29" s="27" t="s">
        <v>613</v>
      </c>
      <c r="B29" s="27" t="str">
        <f t="shared" si="0"/>
        <v>Alabama</v>
      </c>
      <c r="C29" s="27" t="str">
        <f t="shared" si="1"/>
        <v>Etowah</v>
      </c>
      <c r="D29" s="27">
        <v>720</v>
      </c>
      <c r="E29" s="27">
        <v>11170</v>
      </c>
      <c r="F29" s="27">
        <v>1902</v>
      </c>
      <c r="G29" s="27">
        <v>1077</v>
      </c>
      <c r="H29" s="27" t="s">
        <v>2010</v>
      </c>
    </row>
    <row r="30" spans="1:8" x14ac:dyDescent="0.25">
      <c r="A30" s="27" t="s">
        <v>614</v>
      </c>
      <c r="B30" s="27" t="str">
        <f t="shared" si="0"/>
        <v>Alabama</v>
      </c>
      <c r="C30" s="27" t="str">
        <f t="shared" si="1"/>
        <v>Fayette</v>
      </c>
      <c r="D30" s="27">
        <v>105</v>
      </c>
      <c r="E30" s="27">
        <v>12093</v>
      </c>
      <c r="F30" s="27">
        <v>1902</v>
      </c>
      <c r="G30" s="27">
        <v>1077</v>
      </c>
      <c r="H30" s="27" t="s">
        <v>2010</v>
      </c>
    </row>
    <row r="31" spans="1:8" x14ac:dyDescent="0.25">
      <c r="A31" s="27" t="s">
        <v>615</v>
      </c>
      <c r="B31" s="27" t="str">
        <f t="shared" si="0"/>
        <v>Alabama</v>
      </c>
      <c r="C31" s="27" t="str">
        <f t="shared" si="1"/>
        <v>Franklin</v>
      </c>
      <c r="D31" s="27">
        <v>994</v>
      </c>
      <c r="E31" s="27">
        <v>9594</v>
      </c>
      <c r="F31" s="27">
        <v>1902</v>
      </c>
      <c r="G31" s="27">
        <v>1077</v>
      </c>
      <c r="H31" s="27" t="s">
        <v>2010</v>
      </c>
    </row>
    <row r="32" spans="1:8" x14ac:dyDescent="0.25">
      <c r="A32" s="27" t="s">
        <v>616</v>
      </c>
      <c r="B32" s="27" t="str">
        <f t="shared" si="0"/>
        <v>Alabama</v>
      </c>
      <c r="C32" s="27" t="str">
        <f t="shared" si="1"/>
        <v>Geneva</v>
      </c>
      <c r="D32" s="27">
        <v>125</v>
      </c>
      <c r="E32" s="27">
        <v>11528</v>
      </c>
      <c r="F32" s="27">
        <v>1902</v>
      </c>
      <c r="G32" s="27">
        <v>1077</v>
      </c>
      <c r="H32" s="27" t="s">
        <v>2010</v>
      </c>
    </row>
    <row r="33" spans="1:8" x14ac:dyDescent="0.25">
      <c r="A33" s="27" t="s">
        <v>617</v>
      </c>
      <c r="B33" s="27" t="str">
        <f t="shared" si="0"/>
        <v>Alabama</v>
      </c>
      <c r="C33" s="27" t="str">
        <f t="shared" si="1"/>
        <v>Greene</v>
      </c>
      <c r="D33" s="27">
        <v>7</v>
      </c>
      <c r="E33" s="27">
        <v>13452</v>
      </c>
      <c r="F33" s="27">
        <v>1902</v>
      </c>
      <c r="G33" s="27">
        <v>1077</v>
      </c>
      <c r="H33" s="27" t="s">
        <v>2010</v>
      </c>
    </row>
    <row r="34" spans="1:8" x14ac:dyDescent="0.25">
      <c r="A34" s="27" t="s">
        <v>618</v>
      </c>
      <c r="B34" s="27" t="str">
        <f t="shared" si="0"/>
        <v>Alabama</v>
      </c>
      <c r="C34" s="27" t="str">
        <f t="shared" si="1"/>
        <v>Hale</v>
      </c>
      <c r="D34" s="27">
        <v>187</v>
      </c>
      <c r="E34" s="27">
        <v>17651</v>
      </c>
      <c r="F34" s="27">
        <v>1902</v>
      </c>
      <c r="G34" s="27">
        <v>1077</v>
      </c>
      <c r="H34" s="27" t="s">
        <v>2010</v>
      </c>
    </row>
    <row r="35" spans="1:8" x14ac:dyDescent="0.25">
      <c r="A35" s="27" t="s">
        <v>619</v>
      </c>
      <c r="B35" s="27" t="str">
        <f t="shared" si="0"/>
        <v>Alabama</v>
      </c>
      <c r="C35" s="27" t="str">
        <f t="shared" si="1"/>
        <v>Henry</v>
      </c>
      <c r="D35" s="27">
        <v>100</v>
      </c>
      <c r="E35" s="27">
        <v>25081</v>
      </c>
      <c r="F35" s="27">
        <v>1902</v>
      </c>
      <c r="G35" s="27">
        <v>1077</v>
      </c>
      <c r="H35" s="27" t="s">
        <v>2010</v>
      </c>
    </row>
    <row r="36" spans="1:8" x14ac:dyDescent="0.25">
      <c r="A36" s="27" t="s">
        <v>620</v>
      </c>
      <c r="B36" s="27" t="str">
        <f t="shared" si="0"/>
        <v>Alabama</v>
      </c>
      <c r="C36" s="27" t="str">
        <f t="shared" si="1"/>
        <v>Houston</v>
      </c>
      <c r="F36" s="27">
        <v>1902</v>
      </c>
      <c r="G36" s="27">
        <v>1077</v>
      </c>
      <c r="H36" s="27" t="s">
        <v>2010</v>
      </c>
    </row>
    <row r="37" spans="1:8" x14ac:dyDescent="0.25">
      <c r="A37" s="27" t="s">
        <v>621</v>
      </c>
      <c r="B37" s="27" t="str">
        <f t="shared" si="0"/>
        <v>Alabama</v>
      </c>
      <c r="C37" s="27" t="str">
        <f t="shared" si="1"/>
        <v>Jackson</v>
      </c>
      <c r="D37" s="27">
        <v>429</v>
      </c>
      <c r="E37" s="27">
        <v>19153</v>
      </c>
      <c r="F37" s="27">
        <v>1902</v>
      </c>
      <c r="G37" s="27">
        <v>1077</v>
      </c>
      <c r="H37" s="27" t="s">
        <v>2010</v>
      </c>
    </row>
    <row r="38" spans="1:8" x14ac:dyDescent="0.25">
      <c r="A38" s="27" t="s">
        <v>622</v>
      </c>
      <c r="B38" s="27" t="str">
        <f t="shared" si="0"/>
        <v>Alabama</v>
      </c>
      <c r="C38" s="27" t="str">
        <f t="shared" si="1"/>
        <v>Jefferson</v>
      </c>
      <c r="D38" s="27">
        <v>6592</v>
      </c>
      <c r="E38" s="27">
        <v>65063</v>
      </c>
      <c r="F38" s="27">
        <v>1902</v>
      </c>
      <c r="G38" s="27">
        <v>1077</v>
      </c>
      <c r="H38" s="27" t="s">
        <v>2010</v>
      </c>
    </row>
    <row r="39" spans="1:8" x14ac:dyDescent="0.25">
      <c r="A39" s="27" t="s">
        <v>623</v>
      </c>
      <c r="B39" s="27" t="str">
        <f t="shared" si="0"/>
        <v>Alabama</v>
      </c>
      <c r="C39" s="27" t="str">
        <f t="shared" si="1"/>
        <v>Lamar/Sanford</v>
      </c>
      <c r="D39" s="27">
        <v>40</v>
      </c>
      <c r="E39" s="27">
        <v>9687</v>
      </c>
      <c r="F39" s="27">
        <v>1902</v>
      </c>
      <c r="G39" s="27">
        <v>1077</v>
      </c>
      <c r="H39" s="27" t="s">
        <v>2010</v>
      </c>
    </row>
    <row r="40" spans="1:8" x14ac:dyDescent="0.25">
      <c r="A40" s="27" t="s">
        <v>624</v>
      </c>
      <c r="B40" s="27" t="str">
        <f t="shared" si="0"/>
        <v>Alabama</v>
      </c>
      <c r="C40" s="27" t="str">
        <f t="shared" si="1"/>
        <v>Lauderdale</v>
      </c>
      <c r="D40" s="27">
        <v>447</v>
      </c>
      <c r="E40" s="27">
        <v>12896</v>
      </c>
      <c r="F40" s="27">
        <v>1902</v>
      </c>
      <c r="G40" s="27">
        <v>1077</v>
      </c>
      <c r="H40" s="27" t="s">
        <v>2010</v>
      </c>
    </row>
    <row r="41" spans="1:8" x14ac:dyDescent="0.25">
      <c r="A41" s="27" t="s">
        <v>625</v>
      </c>
      <c r="B41" s="27" t="str">
        <f t="shared" si="0"/>
        <v>Alabama</v>
      </c>
      <c r="C41" s="27" t="str">
        <f t="shared" si="1"/>
        <v>Lawrence</v>
      </c>
      <c r="D41" s="27">
        <v>154</v>
      </c>
      <c r="E41" s="27">
        <v>12822</v>
      </c>
      <c r="F41" s="27">
        <v>1902</v>
      </c>
      <c r="G41" s="27">
        <v>1077</v>
      </c>
      <c r="H41" s="27" t="s">
        <v>2010</v>
      </c>
    </row>
    <row r="42" spans="1:8" x14ac:dyDescent="0.25">
      <c r="A42" s="27" t="s">
        <v>626</v>
      </c>
      <c r="B42" s="27" t="str">
        <f t="shared" si="0"/>
        <v>Alabama</v>
      </c>
      <c r="C42" s="27" t="str">
        <f t="shared" si="1"/>
        <v>Lee</v>
      </c>
      <c r="D42" s="27">
        <v>62</v>
      </c>
      <c r="E42" s="27">
        <v>12623</v>
      </c>
      <c r="F42" s="27">
        <v>1902</v>
      </c>
      <c r="G42" s="27">
        <v>1077</v>
      </c>
      <c r="H42" s="27" t="s">
        <v>2010</v>
      </c>
    </row>
    <row r="43" spans="1:8" x14ac:dyDescent="0.25">
      <c r="A43" s="27" t="s">
        <v>627</v>
      </c>
      <c r="B43" s="27" t="str">
        <f t="shared" si="0"/>
        <v>Alabama</v>
      </c>
      <c r="C43" s="27" t="str">
        <f t="shared" si="1"/>
        <v>Limestone</v>
      </c>
      <c r="D43" s="27">
        <v>382</v>
      </c>
      <c r="E43" s="27">
        <v>13191</v>
      </c>
      <c r="F43" s="27">
        <v>1902</v>
      </c>
      <c r="G43" s="27">
        <v>1077</v>
      </c>
      <c r="H43" s="27" t="s">
        <v>2010</v>
      </c>
    </row>
    <row r="44" spans="1:8" x14ac:dyDescent="0.25">
      <c r="A44" s="27" t="s">
        <v>628</v>
      </c>
      <c r="B44" s="27" t="str">
        <f t="shared" si="0"/>
        <v>Alabama</v>
      </c>
      <c r="C44" s="27" t="str">
        <f t="shared" si="1"/>
        <v>Lowndes</v>
      </c>
      <c r="D44" s="27">
        <v>52</v>
      </c>
      <c r="E44" s="27">
        <v>25503</v>
      </c>
      <c r="F44" s="27">
        <v>1902</v>
      </c>
      <c r="G44" s="27">
        <v>1077</v>
      </c>
      <c r="H44" s="27" t="s">
        <v>2010</v>
      </c>
    </row>
    <row r="45" spans="1:8" x14ac:dyDescent="0.25">
      <c r="A45" s="27" t="s">
        <v>629</v>
      </c>
      <c r="B45" s="27" t="str">
        <f t="shared" si="0"/>
        <v>Alabama</v>
      </c>
      <c r="C45" s="27" t="str">
        <f t="shared" si="1"/>
        <v>Macon</v>
      </c>
      <c r="D45" s="27">
        <v>226</v>
      </c>
      <c r="E45" s="27">
        <v>14471</v>
      </c>
      <c r="F45" s="27">
        <v>1902</v>
      </c>
      <c r="G45" s="27">
        <v>1077</v>
      </c>
      <c r="H45" s="27" t="s">
        <v>2010</v>
      </c>
    </row>
    <row r="46" spans="1:8" x14ac:dyDescent="0.25">
      <c r="A46" s="27" t="s">
        <v>630</v>
      </c>
      <c r="B46" s="27" t="str">
        <f t="shared" si="0"/>
        <v>Alabama</v>
      </c>
      <c r="C46" s="27" t="str">
        <f t="shared" si="1"/>
        <v>Madison</v>
      </c>
      <c r="D46" s="27">
        <v>249</v>
      </c>
      <c r="E46" s="27">
        <v>25943</v>
      </c>
      <c r="F46" s="27">
        <v>1902</v>
      </c>
      <c r="G46" s="27">
        <v>1077</v>
      </c>
      <c r="H46" s="27" t="s">
        <v>2010</v>
      </c>
    </row>
    <row r="47" spans="1:8" x14ac:dyDescent="0.25">
      <c r="A47" s="27" t="s">
        <v>631</v>
      </c>
      <c r="B47" s="27" t="str">
        <f t="shared" si="0"/>
        <v>Alabama</v>
      </c>
      <c r="C47" s="27" t="str">
        <f t="shared" si="1"/>
        <v>Marengo</v>
      </c>
      <c r="D47" s="27">
        <v>50</v>
      </c>
      <c r="E47" s="27">
        <v>20985</v>
      </c>
      <c r="F47" s="27">
        <v>1902</v>
      </c>
      <c r="G47" s="27">
        <v>1077</v>
      </c>
      <c r="H47" s="27" t="s">
        <v>2010</v>
      </c>
    </row>
    <row r="48" spans="1:8" x14ac:dyDescent="0.25">
      <c r="A48" s="27" t="s">
        <v>632</v>
      </c>
      <c r="B48" s="27" t="str">
        <f t="shared" si="0"/>
        <v>Alabama</v>
      </c>
      <c r="C48" s="27" t="str">
        <f t="shared" si="1"/>
        <v>Marion</v>
      </c>
      <c r="D48" s="27">
        <v>78</v>
      </c>
      <c r="E48" s="27">
        <v>9827</v>
      </c>
      <c r="F48" s="27">
        <v>1902</v>
      </c>
      <c r="G48" s="27">
        <v>1077</v>
      </c>
      <c r="H48" s="27" t="s">
        <v>2010</v>
      </c>
    </row>
    <row r="49" spans="1:8" x14ac:dyDescent="0.25">
      <c r="A49" s="27" t="s">
        <v>633</v>
      </c>
      <c r="B49" s="27" t="str">
        <f t="shared" si="0"/>
        <v>Alabama</v>
      </c>
      <c r="C49" s="27" t="str">
        <f t="shared" si="1"/>
        <v>Marshall</v>
      </c>
      <c r="D49" s="27">
        <v>473</v>
      </c>
      <c r="E49" s="27">
        <v>14923</v>
      </c>
      <c r="F49" s="27">
        <v>1902</v>
      </c>
      <c r="G49" s="27">
        <v>1077</v>
      </c>
      <c r="H49" s="27" t="s">
        <v>2010</v>
      </c>
    </row>
    <row r="50" spans="1:8" x14ac:dyDescent="0.25">
      <c r="A50" s="27" t="s">
        <v>634</v>
      </c>
      <c r="B50" s="27" t="str">
        <f t="shared" si="0"/>
        <v>Alabama</v>
      </c>
      <c r="C50" s="27" t="str">
        <f t="shared" si="1"/>
        <v>Mobile</v>
      </c>
      <c r="D50" s="27">
        <v>21461</v>
      </c>
      <c r="E50" s="27">
        <v>82272</v>
      </c>
      <c r="F50" s="27">
        <v>1902</v>
      </c>
      <c r="G50" s="27">
        <v>1077</v>
      </c>
      <c r="H50" s="27" t="s">
        <v>2010</v>
      </c>
    </row>
    <row r="51" spans="1:8" x14ac:dyDescent="0.25">
      <c r="A51" s="27" t="s">
        <v>635</v>
      </c>
      <c r="B51" s="27" t="str">
        <f t="shared" si="0"/>
        <v>Alabama</v>
      </c>
      <c r="C51" s="27" t="str">
        <f t="shared" si="1"/>
        <v>Monroe</v>
      </c>
      <c r="D51" s="27">
        <v>263</v>
      </c>
      <c r="E51" s="27">
        <v>11307</v>
      </c>
      <c r="F51" s="27">
        <v>1902</v>
      </c>
      <c r="G51" s="27">
        <v>1077</v>
      </c>
      <c r="H51" s="27" t="s">
        <v>2010</v>
      </c>
    </row>
    <row r="52" spans="1:8" x14ac:dyDescent="0.25">
      <c r="A52" s="27" t="s">
        <v>636</v>
      </c>
      <c r="B52" s="27" t="str">
        <f t="shared" si="0"/>
        <v>Alabama</v>
      </c>
      <c r="C52" s="27" t="str">
        <f t="shared" si="1"/>
        <v>Montgomery</v>
      </c>
      <c r="D52" s="27">
        <v>2269</v>
      </c>
      <c r="E52" s="27">
        <v>3542</v>
      </c>
      <c r="F52" s="27">
        <v>1902</v>
      </c>
      <c r="G52" s="27">
        <v>1077</v>
      </c>
      <c r="H52" s="27" t="s">
        <v>2010</v>
      </c>
    </row>
    <row r="53" spans="1:8" x14ac:dyDescent="0.25">
      <c r="A53" s="27" t="s">
        <v>1775</v>
      </c>
      <c r="B53" s="27" t="str">
        <f t="shared" si="0"/>
        <v>Alabama</v>
      </c>
      <c r="C53" s="27" t="str">
        <f t="shared" si="1"/>
        <v>Morgan/Cotaco</v>
      </c>
      <c r="D53" s="27">
        <v>126</v>
      </c>
      <c r="E53" s="27">
        <v>16319</v>
      </c>
      <c r="F53" s="27">
        <v>1902</v>
      </c>
      <c r="G53" s="27">
        <v>1077</v>
      </c>
      <c r="H53" s="27" t="s">
        <v>2010</v>
      </c>
    </row>
    <row r="54" spans="1:8" x14ac:dyDescent="0.25">
      <c r="A54" s="27" t="s">
        <v>637</v>
      </c>
      <c r="B54" s="27" t="str">
        <f t="shared" si="0"/>
        <v>Alabama</v>
      </c>
      <c r="C54" s="27" t="str">
        <f t="shared" si="1"/>
        <v>Perry</v>
      </c>
      <c r="D54" s="27">
        <v>284</v>
      </c>
      <c r="E54" s="27">
        <v>17130</v>
      </c>
      <c r="F54" s="27">
        <v>1902</v>
      </c>
      <c r="G54" s="27">
        <v>1077</v>
      </c>
      <c r="H54" s="27" t="s">
        <v>2010</v>
      </c>
    </row>
    <row r="55" spans="1:8" x14ac:dyDescent="0.25">
      <c r="A55" s="27" t="s">
        <v>638</v>
      </c>
      <c r="B55" s="27" t="str">
        <f t="shared" si="0"/>
        <v>Alabama</v>
      </c>
      <c r="C55" s="27" t="str">
        <f t="shared" si="1"/>
        <v>Pickens</v>
      </c>
      <c r="D55" s="27">
        <v>72</v>
      </c>
      <c r="E55" s="27">
        <v>13318</v>
      </c>
      <c r="F55" s="27">
        <v>1902</v>
      </c>
      <c r="G55" s="27">
        <v>1077</v>
      </c>
      <c r="H55" s="27" t="s">
        <v>2010</v>
      </c>
    </row>
    <row r="56" spans="1:8" x14ac:dyDescent="0.25">
      <c r="A56" s="27" t="s">
        <v>639</v>
      </c>
      <c r="B56" s="27" t="str">
        <f t="shared" si="0"/>
        <v>Alabama</v>
      </c>
      <c r="C56" s="27" t="str">
        <f t="shared" si="1"/>
        <v>Pike</v>
      </c>
      <c r="D56" s="27">
        <v>235</v>
      </c>
      <c r="E56" s="27">
        <v>14189</v>
      </c>
      <c r="F56" s="27">
        <v>1902</v>
      </c>
      <c r="G56" s="27">
        <v>1077</v>
      </c>
      <c r="H56" s="27" t="s">
        <v>2010</v>
      </c>
    </row>
    <row r="57" spans="1:8" x14ac:dyDescent="0.25">
      <c r="A57" s="27" t="s">
        <v>640</v>
      </c>
      <c r="B57" s="27" t="str">
        <f t="shared" si="0"/>
        <v>Alabama</v>
      </c>
      <c r="C57" s="27" t="str">
        <f t="shared" si="1"/>
        <v>Randolph</v>
      </c>
      <c r="D57" s="27">
        <v>408</v>
      </c>
      <c r="E57" s="27">
        <v>13988</v>
      </c>
      <c r="F57" s="27">
        <v>1902</v>
      </c>
      <c r="G57" s="27">
        <v>1077</v>
      </c>
      <c r="H57" s="27" t="s">
        <v>2010</v>
      </c>
    </row>
    <row r="58" spans="1:8" x14ac:dyDescent="0.25">
      <c r="A58" s="27" t="s">
        <v>641</v>
      </c>
      <c r="B58" s="27" t="str">
        <f t="shared" si="0"/>
        <v>Alabama</v>
      </c>
      <c r="C58" s="27" t="str">
        <f t="shared" si="1"/>
        <v>Russell</v>
      </c>
      <c r="D58" s="27">
        <v>102</v>
      </c>
      <c r="E58" s="27">
        <v>11790</v>
      </c>
      <c r="F58" s="27">
        <v>1902</v>
      </c>
      <c r="G58" s="27">
        <v>1077</v>
      </c>
      <c r="H58" s="27" t="s">
        <v>2010</v>
      </c>
    </row>
    <row r="59" spans="1:8" x14ac:dyDescent="0.25">
      <c r="A59" s="27" t="s">
        <v>1745</v>
      </c>
      <c r="B59" s="27" t="str">
        <f t="shared" si="0"/>
        <v>Alabama</v>
      </c>
      <c r="C59" s="27" t="str">
        <f t="shared" si="1"/>
        <v>St Clair</v>
      </c>
      <c r="D59" s="27">
        <v>184</v>
      </c>
      <c r="E59" s="27">
        <v>14465</v>
      </c>
      <c r="F59" s="27">
        <v>1902</v>
      </c>
      <c r="G59" s="27">
        <v>1077</v>
      </c>
      <c r="H59" s="27" t="s">
        <v>2010</v>
      </c>
    </row>
    <row r="60" spans="1:8" x14ac:dyDescent="0.25">
      <c r="A60" s="27" t="s">
        <v>642</v>
      </c>
      <c r="B60" s="27" t="str">
        <f t="shared" si="0"/>
        <v>Alabama</v>
      </c>
      <c r="C60" s="27" t="str">
        <f t="shared" si="1"/>
        <v>Shelby</v>
      </c>
      <c r="D60" s="27">
        <v>285</v>
      </c>
      <c r="E60" s="27">
        <v>12096</v>
      </c>
      <c r="F60" s="27">
        <v>1902</v>
      </c>
      <c r="G60" s="27">
        <v>1077</v>
      </c>
      <c r="H60" s="27" t="s">
        <v>2010</v>
      </c>
    </row>
    <row r="61" spans="1:8" x14ac:dyDescent="0.25">
      <c r="A61" s="27" t="s">
        <v>643</v>
      </c>
      <c r="B61" s="27" t="str">
        <f t="shared" si="0"/>
        <v>Alabama</v>
      </c>
      <c r="C61" s="27" t="str">
        <f t="shared" si="1"/>
        <v>Sumter</v>
      </c>
      <c r="D61" s="27">
        <v>300</v>
      </c>
      <c r="E61" s="27">
        <v>18405</v>
      </c>
      <c r="F61" s="27">
        <v>1902</v>
      </c>
      <c r="G61" s="27">
        <v>1077</v>
      </c>
      <c r="H61" s="27" t="s">
        <v>2010</v>
      </c>
    </row>
    <row r="62" spans="1:8" x14ac:dyDescent="0.25">
      <c r="A62" s="27" t="s">
        <v>644</v>
      </c>
      <c r="B62" s="27" t="str">
        <f t="shared" si="0"/>
        <v>Alabama</v>
      </c>
      <c r="C62" s="27" t="str">
        <f t="shared" si="1"/>
        <v>Talladega</v>
      </c>
      <c r="D62" s="27">
        <v>1873</v>
      </c>
      <c r="E62" s="27">
        <v>19290</v>
      </c>
      <c r="F62" s="27">
        <v>1902</v>
      </c>
      <c r="G62" s="27">
        <v>1077</v>
      </c>
      <c r="H62" s="27" t="s">
        <v>2010</v>
      </c>
    </row>
    <row r="63" spans="1:8" x14ac:dyDescent="0.25">
      <c r="A63" s="27" t="s">
        <v>645</v>
      </c>
      <c r="B63" s="27" t="str">
        <f t="shared" si="0"/>
        <v>Alabama</v>
      </c>
      <c r="C63" s="27" t="str">
        <f t="shared" si="1"/>
        <v>Tallapoosa</v>
      </c>
      <c r="D63" s="27">
        <v>226</v>
      </c>
      <c r="E63" s="27">
        <v>18144</v>
      </c>
      <c r="F63" s="27">
        <v>1902</v>
      </c>
      <c r="G63" s="27">
        <v>1077</v>
      </c>
      <c r="H63" s="27" t="s">
        <v>2010</v>
      </c>
    </row>
    <row r="64" spans="1:8" x14ac:dyDescent="0.25">
      <c r="A64" s="27" t="s">
        <v>646</v>
      </c>
      <c r="B64" s="27" t="str">
        <f t="shared" si="0"/>
        <v>Alabama</v>
      </c>
      <c r="C64" s="27" t="str">
        <f t="shared" si="1"/>
        <v>Tuscaloosa</v>
      </c>
      <c r="D64" s="27">
        <v>500</v>
      </c>
      <c r="E64" s="27">
        <v>17255</v>
      </c>
      <c r="F64" s="27">
        <v>1902</v>
      </c>
      <c r="G64" s="27">
        <v>1077</v>
      </c>
      <c r="H64" s="27" t="s">
        <v>2010</v>
      </c>
    </row>
    <row r="65" spans="1:8" x14ac:dyDescent="0.25">
      <c r="A65" s="27" t="s">
        <v>647</v>
      </c>
      <c r="B65" s="27" t="str">
        <f t="shared" si="0"/>
        <v>Alabama</v>
      </c>
      <c r="C65" s="27" t="str">
        <f t="shared" si="1"/>
        <v>Walker</v>
      </c>
      <c r="D65" s="27">
        <v>1274</v>
      </c>
      <c r="E65" s="27">
        <v>19958</v>
      </c>
      <c r="F65" s="27">
        <v>1902</v>
      </c>
      <c r="G65" s="27">
        <v>1077</v>
      </c>
      <c r="H65" s="27" t="s">
        <v>2010</v>
      </c>
    </row>
    <row r="66" spans="1:8" x14ac:dyDescent="0.25">
      <c r="A66" s="27" t="s">
        <v>648</v>
      </c>
      <c r="B66" s="27" t="str">
        <f t="shared" si="0"/>
        <v>Alabama</v>
      </c>
      <c r="C66" s="27" t="str">
        <f t="shared" si="1"/>
        <v>Washington</v>
      </c>
      <c r="E66" s="27">
        <v>6012</v>
      </c>
      <c r="F66" s="27">
        <v>1902</v>
      </c>
      <c r="G66" s="27">
        <v>1077</v>
      </c>
      <c r="H66" s="27" t="s">
        <v>2010</v>
      </c>
    </row>
    <row r="67" spans="1:8" x14ac:dyDescent="0.25">
      <c r="A67" s="27" t="s">
        <v>649</v>
      </c>
      <c r="B67" s="27" t="str">
        <f t="shared" ref="B67:B130" si="2">LEFT(A67,FIND(";",A67)-1)</f>
        <v>Alabama</v>
      </c>
      <c r="C67" s="27" t="str">
        <f t="shared" ref="C67:C130" si="3">MID(A67,FIND(";",A67)+1,100)</f>
        <v>Wilcox</v>
      </c>
      <c r="E67" s="27">
        <v>22149</v>
      </c>
      <c r="F67" s="27">
        <v>1902</v>
      </c>
      <c r="G67" s="27">
        <v>1077</v>
      </c>
      <c r="H67" s="27" t="s">
        <v>2010</v>
      </c>
    </row>
    <row r="68" spans="1:8" x14ac:dyDescent="0.25">
      <c r="A68" s="27" t="s">
        <v>1776</v>
      </c>
      <c r="B68" s="27" t="str">
        <f t="shared" si="2"/>
        <v>Alabama</v>
      </c>
      <c r="C68" s="27" t="str">
        <f t="shared" si="3"/>
        <v>Winston/Hancock</v>
      </c>
      <c r="D68" s="27">
        <v>50</v>
      </c>
      <c r="E68" s="27">
        <v>7668</v>
      </c>
      <c r="F68" s="27">
        <v>1902</v>
      </c>
      <c r="G68" s="27">
        <v>1077</v>
      </c>
      <c r="H68" s="27" t="s">
        <v>2010</v>
      </c>
    </row>
    <row r="69" spans="1:8" x14ac:dyDescent="0.25">
      <c r="A69" s="27" t="s">
        <v>650</v>
      </c>
      <c r="B69" s="27" t="str">
        <f t="shared" si="2"/>
        <v/>
      </c>
      <c r="C69" s="27" t="str">
        <f t="shared" si="3"/>
        <v>MY TOTAL</v>
      </c>
      <c r="D69" s="27">
        <f>SUM(D2:D68)</f>
        <v>46590</v>
      </c>
      <c r="F69" s="27">
        <v>1902</v>
      </c>
      <c r="G69" s="27">
        <v>1077</v>
      </c>
      <c r="H69" s="27" t="s">
        <v>2010</v>
      </c>
    </row>
    <row r="70" spans="1:8" x14ac:dyDescent="0.25">
      <c r="A70" s="27" t="s">
        <v>651</v>
      </c>
      <c r="B70" s="27" t="str">
        <f t="shared" si="2"/>
        <v/>
      </c>
      <c r="C70" s="27" t="str">
        <f t="shared" si="3"/>
        <v>REPORTED TOTAL</v>
      </c>
      <c r="D70" s="27">
        <v>46590</v>
      </c>
      <c r="F70" s="27">
        <v>1902</v>
      </c>
      <c r="G70" s="27">
        <v>1077</v>
      </c>
      <c r="H70" s="27" t="s">
        <v>2010</v>
      </c>
    </row>
    <row r="71" spans="1:8" x14ac:dyDescent="0.25">
      <c r="A71" s="27" t="s">
        <v>652</v>
      </c>
      <c r="B71" s="27" t="str">
        <f t="shared" si="2"/>
        <v>Arkansas</v>
      </c>
      <c r="C71" s="27" t="str">
        <f t="shared" si="3"/>
        <v>Arkansas</v>
      </c>
      <c r="E71" s="27">
        <v>20668</v>
      </c>
      <c r="F71" s="27">
        <v>1902</v>
      </c>
      <c r="G71" s="27">
        <v>1079</v>
      </c>
      <c r="H71" s="27" t="s">
        <v>2011</v>
      </c>
    </row>
    <row r="72" spans="1:8" x14ac:dyDescent="0.25">
      <c r="A72" s="27" t="s">
        <v>653</v>
      </c>
      <c r="B72" s="27" t="str">
        <f t="shared" si="2"/>
        <v>Arkansas</v>
      </c>
      <c r="C72" s="27" t="str">
        <f t="shared" si="3"/>
        <v>Ashley</v>
      </c>
      <c r="E72" s="27">
        <v>11569</v>
      </c>
      <c r="F72" s="27">
        <v>1902</v>
      </c>
      <c r="G72" s="27">
        <v>1079</v>
      </c>
      <c r="H72" s="27" t="s">
        <v>2011</v>
      </c>
    </row>
    <row r="73" spans="1:8" x14ac:dyDescent="0.25">
      <c r="A73" s="27" t="s">
        <v>654</v>
      </c>
      <c r="B73" s="27" t="str">
        <f t="shared" si="2"/>
        <v>Arkansas</v>
      </c>
      <c r="C73" s="27" t="str">
        <f t="shared" si="3"/>
        <v>Baxter</v>
      </c>
      <c r="E73" s="27">
        <v>8628</v>
      </c>
      <c r="F73" s="27">
        <v>1902</v>
      </c>
      <c r="G73" s="27">
        <v>1079</v>
      </c>
      <c r="H73" s="27" t="s">
        <v>2011</v>
      </c>
    </row>
    <row r="74" spans="1:8" x14ac:dyDescent="0.25">
      <c r="A74" s="27" t="s">
        <v>655</v>
      </c>
      <c r="B74" s="27" t="str">
        <f t="shared" si="2"/>
        <v>Arkansas</v>
      </c>
      <c r="C74" s="27" t="str">
        <f t="shared" si="3"/>
        <v>Benton</v>
      </c>
      <c r="E74" s="27">
        <v>32284</v>
      </c>
      <c r="F74" s="27">
        <v>1902</v>
      </c>
      <c r="G74" s="27">
        <v>1079</v>
      </c>
      <c r="H74" s="27" t="s">
        <v>2011</v>
      </c>
    </row>
    <row r="75" spans="1:8" x14ac:dyDescent="0.25">
      <c r="A75" s="27" t="s">
        <v>656</v>
      </c>
      <c r="B75" s="27" t="str">
        <f t="shared" si="2"/>
        <v>Arkansas</v>
      </c>
      <c r="C75" s="27" t="str">
        <f t="shared" si="3"/>
        <v>Boone</v>
      </c>
      <c r="E75" s="27">
        <v>14592</v>
      </c>
      <c r="F75" s="27">
        <v>1902</v>
      </c>
      <c r="G75" s="27">
        <v>1079</v>
      </c>
      <c r="H75" s="27" t="s">
        <v>2011</v>
      </c>
    </row>
    <row r="76" spans="1:8" x14ac:dyDescent="0.25">
      <c r="A76" s="27" t="s">
        <v>657</v>
      </c>
      <c r="B76" s="27" t="str">
        <f t="shared" si="2"/>
        <v>Arkansas</v>
      </c>
      <c r="C76" s="27" t="str">
        <f t="shared" si="3"/>
        <v>Bradley</v>
      </c>
      <c r="E76" s="27">
        <v>8949</v>
      </c>
      <c r="F76" s="27">
        <v>1902</v>
      </c>
      <c r="G76" s="27">
        <v>1079</v>
      </c>
      <c r="H76" s="27" t="s">
        <v>2011</v>
      </c>
    </row>
    <row r="77" spans="1:8" x14ac:dyDescent="0.25">
      <c r="A77" s="27" t="s">
        <v>658</v>
      </c>
      <c r="B77" s="27" t="str">
        <f t="shared" si="2"/>
        <v>Arkansas</v>
      </c>
      <c r="C77" s="27" t="str">
        <f t="shared" si="3"/>
        <v>Calhoun</v>
      </c>
      <c r="E77" s="27">
        <v>10825</v>
      </c>
      <c r="F77" s="27">
        <v>1902</v>
      </c>
      <c r="G77" s="27">
        <v>1079</v>
      </c>
      <c r="H77" s="27" t="s">
        <v>2011</v>
      </c>
    </row>
    <row r="78" spans="1:8" x14ac:dyDescent="0.25">
      <c r="A78" s="27" t="s">
        <v>659</v>
      </c>
      <c r="B78" s="27" t="str">
        <f t="shared" si="2"/>
        <v>Arkansas</v>
      </c>
      <c r="C78" s="27" t="str">
        <f t="shared" si="3"/>
        <v>Carroll</v>
      </c>
      <c r="E78" s="27">
        <v>19392</v>
      </c>
      <c r="F78" s="27">
        <v>1902</v>
      </c>
      <c r="G78" s="27">
        <v>1079</v>
      </c>
      <c r="H78" s="27" t="s">
        <v>2011</v>
      </c>
    </row>
    <row r="79" spans="1:8" x14ac:dyDescent="0.25">
      <c r="A79" s="27" t="s">
        <v>660</v>
      </c>
      <c r="B79" s="27" t="str">
        <f t="shared" si="2"/>
        <v>Arkansas</v>
      </c>
      <c r="C79" s="27" t="str">
        <f t="shared" si="3"/>
        <v>Chicot</v>
      </c>
      <c r="E79" s="27">
        <v>24469</v>
      </c>
      <c r="F79" s="27">
        <v>1902</v>
      </c>
      <c r="G79" s="27">
        <v>1079</v>
      </c>
      <c r="H79" s="27" t="s">
        <v>2011</v>
      </c>
    </row>
    <row r="80" spans="1:8" x14ac:dyDescent="0.25">
      <c r="A80" s="27" t="s">
        <v>661</v>
      </c>
      <c r="B80" s="27" t="str">
        <f t="shared" si="2"/>
        <v>Arkansas</v>
      </c>
      <c r="C80" s="27" t="str">
        <f t="shared" si="3"/>
        <v>Clark</v>
      </c>
      <c r="E80" s="27">
        <v>26517</v>
      </c>
      <c r="F80" s="27">
        <v>1902</v>
      </c>
      <c r="G80" s="27">
        <v>1079</v>
      </c>
      <c r="H80" s="27" t="s">
        <v>2011</v>
      </c>
    </row>
    <row r="81" spans="1:8" x14ac:dyDescent="0.25">
      <c r="A81" s="27" t="s">
        <v>662</v>
      </c>
      <c r="B81" s="27" t="str">
        <f t="shared" si="2"/>
        <v>Arkansas</v>
      </c>
      <c r="C81" s="27" t="str">
        <f t="shared" si="3"/>
        <v>Clay</v>
      </c>
      <c r="E81" s="27">
        <v>24853</v>
      </c>
      <c r="F81" s="27">
        <v>1902</v>
      </c>
      <c r="G81" s="27">
        <v>1079</v>
      </c>
      <c r="H81" s="27" t="s">
        <v>2011</v>
      </c>
    </row>
    <row r="82" spans="1:8" x14ac:dyDescent="0.25">
      <c r="A82" s="27" t="s">
        <v>663</v>
      </c>
      <c r="B82" s="27" t="str">
        <f t="shared" si="2"/>
        <v>Arkansas</v>
      </c>
      <c r="C82" s="27" t="str">
        <f t="shared" si="3"/>
        <v>Cleburne</v>
      </c>
      <c r="E82" s="27">
        <v>8891</v>
      </c>
      <c r="F82" s="27">
        <v>1902</v>
      </c>
      <c r="G82" s="27">
        <v>1079</v>
      </c>
      <c r="H82" s="27" t="s">
        <v>2011</v>
      </c>
    </row>
    <row r="83" spans="1:8" x14ac:dyDescent="0.25">
      <c r="A83" s="27" t="s">
        <v>1777</v>
      </c>
      <c r="B83" s="27" t="str">
        <f t="shared" si="2"/>
        <v>Arkansas</v>
      </c>
      <c r="C83" s="27" t="str">
        <f t="shared" si="3"/>
        <v>Cleveland/Dorsey</v>
      </c>
      <c r="E83" s="27">
        <v>11632</v>
      </c>
      <c r="F83" s="27">
        <v>1902</v>
      </c>
      <c r="G83" s="27">
        <v>1079</v>
      </c>
      <c r="H83" s="27" t="s">
        <v>2011</v>
      </c>
    </row>
    <row r="84" spans="1:8" x14ac:dyDescent="0.25">
      <c r="A84" s="27" t="s">
        <v>664</v>
      </c>
      <c r="B84" s="27" t="str">
        <f t="shared" si="2"/>
        <v>Arkansas</v>
      </c>
      <c r="C84" s="27" t="str">
        <f t="shared" si="3"/>
        <v>Columbia</v>
      </c>
      <c r="E84" s="27">
        <v>22843</v>
      </c>
      <c r="F84" s="27">
        <v>1902</v>
      </c>
      <c r="G84" s="27">
        <v>1079</v>
      </c>
      <c r="H84" s="27" t="s">
        <v>2011</v>
      </c>
    </row>
    <row r="85" spans="1:8" x14ac:dyDescent="0.25">
      <c r="A85" s="27" t="s">
        <v>665</v>
      </c>
      <c r="B85" s="27" t="str">
        <f t="shared" si="2"/>
        <v>Arkansas</v>
      </c>
      <c r="C85" s="27" t="str">
        <f t="shared" si="3"/>
        <v>Conway</v>
      </c>
      <c r="E85" s="27">
        <v>23996</v>
      </c>
      <c r="F85" s="27">
        <v>1902</v>
      </c>
      <c r="G85" s="27">
        <v>1079</v>
      </c>
      <c r="H85" s="27" t="s">
        <v>2011</v>
      </c>
    </row>
    <row r="86" spans="1:8" x14ac:dyDescent="0.25">
      <c r="A86" s="27" t="s">
        <v>666</v>
      </c>
      <c r="B86" s="27" t="str">
        <f t="shared" si="2"/>
        <v>Arkansas</v>
      </c>
      <c r="C86" s="27" t="str">
        <f t="shared" si="3"/>
        <v>Craighead</v>
      </c>
      <c r="E86" s="27">
        <v>32437</v>
      </c>
      <c r="F86" s="27">
        <v>1902</v>
      </c>
      <c r="G86" s="27">
        <v>1079</v>
      </c>
      <c r="H86" s="27" t="s">
        <v>2011</v>
      </c>
    </row>
    <row r="87" spans="1:8" x14ac:dyDescent="0.25">
      <c r="A87" s="27" t="s">
        <v>667</v>
      </c>
      <c r="B87" s="27" t="str">
        <f t="shared" si="2"/>
        <v>Arkansas</v>
      </c>
      <c r="C87" s="27" t="str">
        <f t="shared" si="3"/>
        <v>Crawford</v>
      </c>
      <c r="E87" s="27">
        <v>30065</v>
      </c>
      <c r="F87" s="27">
        <v>1902</v>
      </c>
      <c r="G87" s="27">
        <v>1079</v>
      </c>
      <c r="H87" s="27" t="s">
        <v>2011</v>
      </c>
    </row>
    <row r="88" spans="1:8" x14ac:dyDescent="0.25">
      <c r="A88" s="27" t="s">
        <v>668</v>
      </c>
      <c r="B88" s="27" t="str">
        <f t="shared" si="2"/>
        <v>Arkansas</v>
      </c>
      <c r="C88" s="27" t="str">
        <f t="shared" si="3"/>
        <v>Crittenden</v>
      </c>
      <c r="E88" s="27">
        <v>19907</v>
      </c>
      <c r="F88" s="27">
        <v>1902</v>
      </c>
      <c r="G88" s="27">
        <v>1079</v>
      </c>
      <c r="H88" s="27" t="s">
        <v>2011</v>
      </c>
    </row>
    <row r="89" spans="1:8" x14ac:dyDescent="0.25">
      <c r="A89" s="27" t="s">
        <v>669</v>
      </c>
      <c r="B89" s="27" t="str">
        <f t="shared" si="2"/>
        <v>Arkansas</v>
      </c>
      <c r="C89" s="27" t="str">
        <f t="shared" si="3"/>
        <v>Cross</v>
      </c>
      <c r="E89" s="27">
        <v>14832</v>
      </c>
      <c r="F89" s="27">
        <v>1902</v>
      </c>
      <c r="G89" s="27">
        <v>1079</v>
      </c>
      <c r="H89" s="27" t="s">
        <v>2011</v>
      </c>
    </row>
    <row r="90" spans="1:8" x14ac:dyDescent="0.25">
      <c r="A90" s="27" t="s">
        <v>670</v>
      </c>
      <c r="B90" s="27" t="str">
        <f t="shared" si="2"/>
        <v>Arkansas</v>
      </c>
      <c r="C90" s="27" t="str">
        <f t="shared" si="3"/>
        <v>Dallas</v>
      </c>
      <c r="E90" s="27">
        <v>12625</v>
      </c>
      <c r="F90" s="27">
        <v>1902</v>
      </c>
      <c r="G90" s="27">
        <v>1079</v>
      </c>
      <c r="H90" s="27" t="s">
        <v>2011</v>
      </c>
    </row>
    <row r="91" spans="1:8" x14ac:dyDescent="0.25">
      <c r="A91" s="27" t="s">
        <v>671</v>
      </c>
      <c r="B91" s="27" t="str">
        <f t="shared" si="2"/>
        <v>Arkansas</v>
      </c>
      <c r="C91" s="27" t="str">
        <f t="shared" si="3"/>
        <v>Desha</v>
      </c>
      <c r="E91" s="27">
        <v>13408</v>
      </c>
      <c r="F91" s="27">
        <v>1902</v>
      </c>
      <c r="G91" s="27">
        <v>1079</v>
      </c>
      <c r="H91" s="27" t="s">
        <v>2011</v>
      </c>
    </row>
    <row r="92" spans="1:8" x14ac:dyDescent="0.25">
      <c r="A92" s="27" t="s">
        <v>672</v>
      </c>
      <c r="B92" s="27" t="str">
        <f t="shared" si="2"/>
        <v>Arkansas</v>
      </c>
      <c r="C92" s="27" t="str">
        <f t="shared" si="3"/>
        <v>Drew</v>
      </c>
      <c r="E92" s="27">
        <v>20843</v>
      </c>
      <c r="F92" s="27">
        <v>1902</v>
      </c>
      <c r="G92" s="27">
        <v>1079</v>
      </c>
      <c r="H92" s="27" t="s">
        <v>2011</v>
      </c>
    </row>
    <row r="93" spans="1:8" x14ac:dyDescent="0.25">
      <c r="A93" s="27" t="s">
        <v>1746</v>
      </c>
      <c r="B93" s="27" t="str">
        <f t="shared" si="2"/>
        <v>Arkansas</v>
      </c>
      <c r="C93" s="27" t="str">
        <f t="shared" si="3"/>
        <v>Faulkner</v>
      </c>
      <c r="E93" s="27">
        <v>23580</v>
      </c>
      <c r="F93" s="27">
        <v>1902</v>
      </c>
      <c r="G93" s="27">
        <v>1079</v>
      </c>
      <c r="H93" s="27" t="s">
        <v>2011</v>
      </c>
    </row>
    <row r="94" spans="1:8" x14ac:dyDescent="0.25">
      <c r="A94" s="27" t="s">
        <v>673</v>
      </c>
      <c r="B94" s="27" t="str">
        <f t="shared" si="2"/>
        <v>Arkansas</v>
      </c>
      <c r="C94" s="27" t="str">
        <f t="shared" si="3"/>
        <v>Franklin</v>
      </c>
      <c r="E94" s="27">
        <v>21823</v>
      </c>
      <c r="F94" s="27">
        <v>1902</v>
      </c>
      <c r="G94" s="27">
        <v>1079</v>
      </c>
      <c r="H94" s="27" t="s">
        <v>2011</v>
      </c>
    </row>
    <row r="95" spans="1:8" x14ac:dyDescent="0.25">
      <c r="A95" s="27" t="s">
        <v>674</v>
      </c>
      <c r="B95" s="27" t="str">
        <f t="shared" si="2"/>
        <v>Arkansas</v>
      </c>
      <c r="C95" s="27" t="str">
        <f t="shared" si="3"/>
        <v>Fulton</v>
      </c>
      <c r="E95" s="27">
        <v>11595</v>
      </c>
      <c r="F95" s="27">
        <v>1902</v>
      </c>
      <c r="G95" s="27">
        <v>1079</v>
      </c>
      <c r="H95" s="27" t="s">
        <v>2011</v>
      </c>
    </row>
    <row r="96" spans="1:8" x14ac:dyDescent="0.25">
      <c r="A96" s="27" t="s">
        <v>675</v>
      </c>
      <c r="B96" s="27" t="str">
        <f t="shared" si="2"/>
        <v>Arkansas</v>
      </c>
      <c r="C96" s="27" t="str">
        <f t="shared" si="3"/>
        <v>Garland</v>
      </c>
      <c r="E96" s="27">
        <v>32430</v>
      </c>
      <c r="F96" s="27">
        <v>1902</v>
      </c>
      <c r="G96" s="27">
        <v>1079</v>
      </c>
      <c r="H96" s="27" t="s">
        <v>2011</v>
      </c>
    </row>
    <row r="97" spans="1:8" x14ac:dyDescent="0.25">
      <c r="A97" s="27" t="s">
        <v>676</v>
      </c>
      <c r="B97" s="27" t="str">
        <f t="shared" si="2"/>
        <v>Arkansas</v>
      </c>
      <c r="C97" s="27" t="str">
        <f t="shared" si="3"/>
        <v>Grant</v>
      </c>
      <c r="E97" s="27">
        <v>8350</v>
      </c>
      <c r="F97" s="27">
        <v>1902</v>
      </c>
      <c r="G97" s="27">
        <v>1079</v>
      </c>
      <c r="H97" s="27" t="s">
        <v>2011</v>
      </c>
    </row>
    <row r="98" spans="1:8" x14ac:dyDescent="0.25">
      <c r="A98" s="27" t="s">
        <v>677</v>
      </c>
      <c r="B98" s="27" t="str">
        <f t="shared" si="2"/>
        <v>Arkansas</v>
      </c>
      <c r="C98" s="27" t="str">
        <f t="shared" si="3"/>
        <v>Greene</v>
      </c>
      <c r="E98" s="27">
        <v>19361</v>
      </c>
      <c r="F98" s="27">
        <v>1902</v>
      </c>
      <c r="G98" s="27">
        <v>1079</v>
      </c>
      <c r="H98" s="27" t="s">
        <v>2011</v>
      </c>
    </row>
    <row r="99" spans="1:8" x14ac:dyDescent="0.25">
      <c r="A99" s="27" t="s">
        <v>678</v>
      </c>
      <c r="B99" s="27" t="str">
        <f t="shared" si="2"/>
        <v>Arkansas</v>
      </c>
      <c r="C99" s="27" t="str">
        <f t="shared" si="3"/>
        <v>Hempstead</v>
      </c>
      <c r="E99" s="27">
        <v>27777</v>
      </c>
      <c r="F99" s="27">
        <v>1902</v>
      </c>
      <c r="G99" s="27">
        <v>1079</v>
      </c>
      <c r="H99" s="27" t="s">
        <v>2011</v>
      </c>
    </row>
    <row r="100" spans="1:8" x14ac:dyDescent="0.25">
      <c r="A100" s="27" t="s">
        <v>679</v>
      </c>
      <c r="B100" s="27" t="str">
        <f t="shared" si="2"/>
        <v>Arkansas</v>
      </c>
      <c r="C100" s="27" t="str">
        <f t="shared" si="3"/>
        <v>Hot Spring</v>
      </c>
      <c r="E100" s="27">
        <v>17481</v>
      </c>
      <c r="F100" s="27">
        <v>1902</v>
      </c>
      <c r="G100" s="27">
        <v>1079</v>
      </c>
      <c r="H100" s="27" t="s">
        <v>2011</v>
      </c>
    </row>
    <row r="101" spans="1:8" x14ac:dyDescent="0.25">
      <c r="A101" s="27" t="s">
        <v>680</v>
      </c>
      <c r="B101" s="27" t="str">
        <f t="shared" si="2"/>
        <v>Arkansas</v>
      </c>
      <c r="C101" s="27" t="str">
        <f t="shared" si="3"/>
        <v>Howard</v>
      </c>
      <c r="E101" s="27">
        <v>12910</v>
      </c>
      <c r="F101" s="27">
        <v>1902</v>
      </c>
      <c r="G101" s="27">
        <v>1079</v>
      </c>
      <c r="H101" s="27" t="s">
        <v>2011</v>
      </c>
    </row>
    <row r="102" spans="1:8" x14ac:dyDescent="0.25">
      <c r="A102" s="27" t="s">
        <v>681</v>
      </c>
      <c r="B102" s="27" t="str">
        <f t="shared" si="2"/>
        <v>Arkansas</v>
      </c>
      <c r="C102" s="27" t="str">
        <f t="shared" si="3"/>
        <v>Independence</v>
      </c>
      <c r="E102" s="27">
        <v>28493</v>
      </c>
      <c r="F102" s="27">
        <v>1902</v>
      </c>
      <c r="G102" s="27">
        <v>1079</v>
      </c>
      <c r="H102" s="27" t="s">
        <v>2011</v>
      </c>
    </row>
    <row r="103" spans="1:8" x14ac:dyDescent="0.25">
      <c r="A103" s="27" t="s">
        <v>682</v>
      </c>
      <c r="B103" s="27" t="str">
        <f t="shared" si="2"/>
        <v>Arkansas</v>
      </c>
      <c r="C103" s="27" t="str">
        <f t="shared" si="3"/>
        <v>Izard</v>
      </c>
      <c r="E103" s="27">
        <v>11438</v>
      </c>
      <c r="F103" s="27">
        <v>1902</v>
      </c>
      <c r="G103" s="27">
        <v>1079</v>
      </c>
      <c r="H103" s="27" t="s">
        <v>2011</v>
      </c>
    </row>
    <row r="104" spans="1:8" x14ac:dyDescent="0.25">
      <c r="A104" s="27" t="s">
        <v>683</v>
      </c>
      <c r="B104" s="27" t="str">
        <f t="shared" si="2"/>
        <v>Arkansas</v>
      </c>
      <c r="C104" s="27" t="str">
        <f t="shared" si="3"/>
        <v>Jackson</v>
      </c>
      <c r="E104" s="27">
        <v>23688</v>
      </c>
      <c r="F104" s="27">
        <v>1902</v>
      </c>
      <c r="G104" s="27">
        <v>1079</v>
      </c>
      <c r="H104" s="27" t="s">
        <v>2011</v>
      </c>
    </row>
    <row r="105" spans="1:8" x14ac:dyDescent="0.25">
      <c r="A105" s="27" t="s">
        <v>684</v>
      </c>
      <c r="B105" s="27" t="str">
        <f t="shared" si="2"/>
        <v>Arkansas</v>
      </c>
      <c r="C105" s="27" t="str">
        <f t="shared" si="3"/>
        <v>Jefferson</v>
      </c>
      <c r="E105" s="27">
        <v>55540</v>
      </c>
      <c r="F105" s="27">
        <v>1902</v>
      </c>
      <c r="G105" s="27">
        <v>1079</v>
      </c>
      <c r="H105" s="27" t="s">
        <v>2011</v>
      </c>
    </row>
    <row r="106" spans="1:8" x14ac:dyDescent="0.25">
      <c r="A106" s="27" t="s">
        <v>685</v>
      </c>
      <c r="B106" s="27" t="str">
        <f t="shared" si="2"/>
        <v>Arkansas</v>
      </c>
      <c r="C106" s="27" t="str">
        <f t="shared" si="3"/>
        <v>Johnson</v>
      </c>
      <c r="E106" s="27">
        <v>20864</v>
      </c>
      <c r="F106" s="27">
        <v>1902</v>
      </c>
      <c r="G106" s="27">
        <v>1079</v>
      </c>
      <c r="H106" s="27" t="s">
        <v>2011</v>
      </c>
    </row>
    <row r="107" spans="1:8" x14ac:dyDescent="0.25">
      <c r="A107" s="27" t="s">
        <v>686</v>
      </c>
      <c r="B107" s="27" t="str">
        <f t="shared" si="2"/>
        <v>Arkansas</v>
      </c>
      <c r="C107" s="27" t="str">
        <f t="shared" si="3"/>
        <v>Lafayette</v>
      </c>
      <c r="E107" s="27">
        <v>10214</v>
      </c>
      <c r="F107" s="27">
        <v>1902</v>
      </c>
      <c r="G107" s="27">
        <v>1079</v>
      </c>
      <c r="H107" s="27" t="s">
        <v>2011</v>
      </c>
    </row>
    <row r="108" spans="1:8" x14ac:dyDescent="0.25">
      <c r="A108" s="27" t="s">
        <v>687</v>
      </c>
      <c r="B108" s="27" t="str">
        <f t="shared" si="2"/>
        <v>Arkansas</v>
      </c>
      <c r="C108" s="27" t="str">
        <f t="shared" si="3"/>
        <v>Lawrence</v>
      </c>
      <c r="E108" s="27">
        <v>20454</v>
      </c>
      <c r="F108" s="27">
        <v>1902</v>
      </c>
      <c r="G108" s="27">
        <v>1079</v>
      </c>
      <c r="H108" s="27" t="s">
        <v>2011</v>
      </c>
    </row>
    <row r="109" spans="1:8" x14ac:dyDescent="0.25">
      <c r="A109" s="27" t="s">
        <v>688</v>
      </c>
      <c r="B109" s="27" t="str">
        <f t="shared" si="2"/>
        <v>Arkansas</v>
      </c>
      <c r="C109" s="27" t="str">
        <f t="shared" si="3"/>
        <v>Lee</v>
      </c>
      <c r="E109" s="27">
        <v>18762</v>
      </c>
      <c r="F109" s="27">
        <v>1902</v>
      </c>
      <c r="G109" s="27">
        <v>1079</v>
      </c>
      <c r="H109" s="27" t="s">
        <v>2011</v>
      </c>
    </row>
    <row r="110" spans="1:8" x14ac:dyDescent="0.25">
      <c r="A110" s="27" t="s">
        <v>689</v>
      </c>
      <c r="B110" s="27" t="str">
        <f t="shared" si="2"/>
        <v>Arkansas</v>
      </c>
      <c r="C110" s="27" t="str">
        <f t="shared" si="3"/>
        <v>Lincoln</v>
      </c>
      <c r="E110" s="27">
        <v>14012</v>
      </c>
      <c r="F110" s="27">
        <v>1902</v>
      </c>
      <c r="G110" s="27">
        <v>1079</v>
      </c>
      <c r="H110" s="27" t="s">
        <v>2011</v>
      </c>
    </row>
    <row r="111" spans="1:8" x14ac:dyDescent="0.25">
      <c r="A111" s="27" t="s">
        <v>690</v>
      </c>
      <c r="B111" s="27" t="str">
        <f t="shared" si="2"/>
        <v>Arkansas</v>
      </c>
      <c r="C111" s="27" t="str">
        <f t="shared" si="3"/>
        <v>Little River</v>
      </c>
      <c r="E111" s="27">
        <v>14954</v>
      </c>
      <c r="F111" s="27">
        <v>1902</v>
      </c>
      <c r="G111" s="27">
        <v>1079</v>
      </c>
      <c r="H111" s="27" t="s">
        <v>2011</v>
      </c>
    </row>
    <row r="112" spans="1:8" x14ac:dyDescent="0.25">
      <c r="A112" s="27" t="s">
        <v>691</v>
      </c>
      <c r="B112" s="27" t="str">
        <f t="shared" si="2"/>
        <v>Arkansas</v>
      </c>
      <c r="C112" s="27" t="str">
        <f t="shared" si="3"/>
        <v>Logan</v>
      </c>
      <c r="E112" s="27">
        <v>14299</v>
      </c>
      <c r="F112" s="27">
        <v>1902</v>
      </c>
      <c r="G112" s="27">
        <v>1079</v>
      </c>
      <c r="H112" s="27" t="s">
        <v>2011</v>
      </c>
    </row>
    <row r="113" spans="1:8" x14ac:dyDescent="0.25">
      <c r="A113" s="27" t="s">
        <v>692</v>
      </c>
      <c r="B113" s="27" t="str">
        <f t="shared" si="2"/>
        <v>Arkansas</v>
      </c>
      <c r="C113" s="27" t="str">
        <f t="shared" si="3"/>
        <v>Lonoke</v>
      </c>
      <c r="E113" s="27">
        <v>29783</v>
      </c>
      <c r="F113" s="27">
        <v>1902</v>
      </c>
      <c r="G113" s="27">
        <v>1079</v>
      </c>
      <c r="H113" s="27" t="s">
        <v>2011</v>
      </c>
    </row>
    <row r="114" spans="1:8" x14ac:dyDescent="0.25">
      <c r="A114" s="27" t="s">
        <v>693</v>
      </c>
      <c r="B114" s="27" t="str">
        <f t="shared" si="2"/>
        <v>Arkansas</v>
      </c>
      <c r="C114" s="27" t="str">
        <f t="shared" si="3"/>
        <v>Madison</v>
      </c>
      <c r="E114" s="27">
        <v>14118</v>
      </c>
      <c r="F114" s="27">
        <v>1902</v>
      </c>
      <c r="G114" s="27">
        <v>1079</v>
      </c>
      <c r="H114" s="27" t="s">
        <v>2011</v>
      </c>
    </row>
    <row r="115" spans="1:8" x14ac:dyDescent="0.25">
      <c r="A115" s="27" t="s">
        <v>694</v>
      </c>
      <c r="B115" s="27" t="str">
        <f t="shared" si="2"/>
        <v>Arkansas</v>
      </c>
      <c r="C115" s="27" t="str">
        <f t="shared" si="3"/>
        <v>Marion</v>
      </c>
      <c r="E115" s="27">
        <v>10943</v>
      </c>
      <c r="F115" s="27">
        <v>1902</v>
      </c>
      <c r="G115" s="27">
        <v>1079</v>
      </c>
      <c r="H115" s="27" t="s">
        <v>2011</v>
      </c>
    </row>
    <row r="116" spans="1:8" x14ac:dyDescent="0.25">
      <c r="A116" s="27" t="s">
        <v>695</v>
      </c>
      <c r="B116" s="27" t="str">
        <f t="shared" si="2"/>
        <v>Arkansas</v>
      </c>
      <c r="C116" s="27" t="str">
        <f t="shared" si="3"/>
        <v>Miller</v>
      </c>
      <c r="E116" s="27">
        <v>30448</v>
      </c>
      <c r="F116" s="27">
        <v>1902</v>
      </c>
      <c r="G116" s="27">
        <v>1079</v>
      </c>
      <c r="H116" s="27" t="s">
        <v>2011</v>
      </c>
    </row>
    <row r="117" spans="1:8" x14ac:dyDescent="0.25">
      <c r="A117" s="27" t="s">
        <v>696</v>
      </c>
      <c r="B117" s="27" t="str">
        <f t="shared" si="2"/>
        <v>Arkansas</v>
      </c>
      <c r="C117" s="27" t="str">
        <f t="shared" si="3"/>
        <v>Mississippi</v>
      </c>
      <c r="D117" s="27">
        <v>300</v>
      </c>
      <c r="E117" s="27">
        <v>21201</v>
      </c>
      <c r="F117" s="27">
        <v>1902</v>
      </c>
      <c r="G117" s="27">
        <v>1079</v>
      </c>
      <c r="H117" s="27" t="s">
        <v>2011</v>
      </c>
    </row>
    <row r="118" spans="1:8" x14ac:dyDescent="0.25">
      <c r="A118" s="27" t="s">
        <v>697</v>
      </c>
      <c r="B118" s="27" t="str">
        <f t="shared" si="2"/>
        <v>Arkansas</v>
      </c>
      <c r="C118" s="27" t="str">
        <f t="shared" si="3"/>
        <v>Monroe</v>
      </c>
      <c r="D118" s="27">
        <v>1500</v>
      </c>
      <c r="E118" s="27">
        <v>20814</v>
      </c>
      <c r="F118" s="27">
        <v>1902</v>
      </c>
      <c r="G118" s="27">
        <v>1079</v>
      </c>
      <c r="H118" s="27" t="s">
        <v>2011</v>
      </c>
    </row>
    <row r="119" spans="1:8" x14ac:dyDescent="0.25">
      <c r="A119" s="27" t="s">
        <v>1713</v>
      </c>
      <c r="B119" s="27" t="str">
        <f t="shared" si="2"/>
        <v>Arkansas</v>
      </c>
      <c r="C119" s="27" t="str">
        <f t="shared" si="3"/>
        <v>Montgomery</v>
      </c>
      <c r="E119" s="27">
        <v>7400</v>
      </c>
      <c r="F119" s="27">
        <v>1902</v>
      </c>
      <c r="G119" s="27">
        <v>1079</v>
      </c>
      <c r="H119" s="27" t="s">
        <v>2011</v>
      </c>
    </row>
    <row r="120" spans="1:8" x14ac:dyDescent="0.25">
      <c r="A120" s="27" t="s">
        <v>698</v>
      </c>
      <c r="B120" s="27" t="str">
        <f t="shared" si="2"/>
        <v>Arkansas</v>
      </c>
      <c r="C120" s="27" t="str">
        <f t="shared" si="3"/>
        <v>Nevada</v>
      </c>
      <c r="E120" s="27">
        <v>17776</v>
      </c>
      <c r="F120" s="27">
        <v>1902</v>
      </c>
      <c r="G120" s="27">
        <v>1079</v>
      </c>
      <c r="H120" s="27" t="s">
        <v>2011</v>
      </c>
    </row>
    <row r="121" spans="1:8" x14ac:dyDescent="0.25">
      <c r="A121" s="27" t="s">
        <v>699</v>
      </c>
      <c r="B121" s="27" t="str">
        <f t="shared" si="2"/>
        <v>Arkansas</v>
      </c>
      <c r="C121" s="27" t="str">
        <f t="shared" si="3"/>
        <v>Newton</v>
      </c>
      <c r="E121" s="27">
        <v>9804</v>
      </c>
      <c r="F121" s="27">
        <v>1902</v>
      </c>
      <c r="G121" s="27">
        <v>1079</v>
      </c>
      <c r="H121" s="27" t="s">
        <v>2011</v>
      </c>
    </row>
    <row r="122" spans="1:8" x14ac:dyDescent="0.25">
      <c r="A122" s="27" t="s">
        <v>700</v>
      </c>
      <c r="B122" s="27" t="str">
        <f t="shared" si="2"/>
        <v>Arkansas</v>
      </c>
      <c r="C122" s="27" t="str">
        <f t="shared" si="3"/>
        <v>Ouachita</v>
      </c>
      <c r="E122" s="27">
        <v>27123</v>
      </c>
      <c r="F122" s="27">
        <v>1902</v>
      </c>
      <c r="G122" s="27">
        <v>1079</v>
      </c>
      <c r="H122" s="27" t="s">
        <v>2011</v>
      </c>
    </row>
    <row r="123" spans="1:8" x14ac:dyDescent="0.25">
      <c r="A123" s="27" t="s">
        <v>701</v>
      </c>
      <c r="B123" s="27" t="str">
        <f t="shared" si="2"/>
        <v>Arkansas</v>
      </c>
      <c r="C123" s="27" t="str">
        <f t="shared" si="3"/>
        <v>Perry</v>
      </c>
      <c r="E123" s="27">
        <v>8438</v>
      </c>
      <c r="F123" s="27">
        <v>1902</v>
      </c>
      <c r="G123" s="27">
        <v>1079</v>
      </c>
      <c r="H123" s="27" t="s">
        <v>2011</v>
      </c>
    </row>
    <row r="124" spans="1:8" x14ac:dyDescent="0.25">
      <c r="A124" s="27" t="s">
        <v>702</v>
      </c>
      <c r="B124" s="27" t="str">
        <f t="shared" si="2"/>
        <v>Arkansas</v>
      </c>
      <c r="C124" s="27" t="str">
        <f t="shared" si="3"/>
        <v>Phillips</v>
      </c>
      <c r="E124" s="27">
        <v>30926</v>
      </c>
      <c r="F124" s="27">
        <v>1902</v>
      </c>
      <c r="G124" s="27">
        <v>1079</v>
      </c>
      <c r="H124" s="27" t="s">
        <v>2011</v>
      </c>
    </row>
    <row r="125" spans="1:8" x14ac:dyDescent="0.25">
      <c r="A125" s="27" t="s">
        <v>703</v>
      </c>
      <c r="B125" s="27" t="str">
        <f t="shared" si="2"/>
        <v>Arkansas</v>
      </c>
      <c r="C125" s="27" t="str">
        <f t="shared" si="3"/>
        <v>Pike</v>
      </c>
      <c r="E125" s="27">
        <v>8434</v>
      </c>
      <c r="F125" s="27">
        <v>1902</v>
      </c>
      <c r="G125" s="27">
        <v>1079</v>
      </c>
      <c r="H125" s="27" t="s">
        <v>2011</v>
      </c>
    </row>
    <row r="126" spans="1:8" x14ac:dyDescent="0.25">
      <c r="A126" s="27" t="s">
        <v>704</v>
      </c>
      <c r="B126" s="27" t="str">
        <f t="shared" si="2"/>
        <v>Arkansas</v>
      </c>
      <c r="C126" s="27" t="str">
        <f t="shared" si="3"/>
        <v>Poinsett</v>
      </c>
      <c r="E126" s="27">
        <v>11684</v>
      </c>
      <c r="F126" s="27">
        <v>1902</v>
      </c>
      <c r="G126" s="27">
        <v>1081</v>
      </c>
      <c r="H126" s="27" t="s">
        <v>2012</v>
      </c>
    </row>
    <row r="127" spans="1:8" x14ac:dyDescent="0.25">
      <c r="A127" s="27" t="s">
        <v>705</v>
      </c>
      <c r="B127" s="27" t="str">
        <f t="shared" si="2"/>
        <v>Arkansas</v>
      </c>
      <c r="C127" s="27" t="str">
        <f t="shared" si="3"/>
        <v>Polk</v>
      </c>
      <c r="E127" s="27">
        <v>13787</v>
      </c>
      <c r="F127" s="27">
        <v>1902</v>
      </c>
      <c r="G127" s="27">
        <v>1081</v>
      </c>
      <c r="H127" s="27" t="s">
        <v>2012</v>
      </c>
    </row>
    <row r="128" spans="1:8" x14ac:dyDescent="0.25">
      <c r="A128" s="27" t="s">
        <v>706</v>
      </c>
      <c r="B128" s="27" t="str">
        <f t="shared" si="2"/>
        <v>Arkansas</v>
      </c>
      <c r="C128" s="27" t="str">
        <f t="shared" si="3"/>
        <v>Pope</v>
      </c>
      <c r="E128" s="27">
        <v>24073</v>
      </c>
      <c r="F128" s="27">
        <v>1902</v>
      </c>
      <c r="G128" s="27">
        <v>1081</v>
      </c>
      <c r="H128" s="27" t="s">
        <v>2012</v>
      </c>
    </row>
    <row r="129" spans="1:8" x14ac:dyDescent="0.25">
      <c r="A129" s="27" t="s">
        <v>707</v>
      </c>
      <c r="B129" s="27" t="str">
        <f t="shared" si="2"/>
        <v>Arkansas</v>
      </c>
      <c r="C129" s="27" t="str">
        <f t="shared" si="3"/>
        <v>Prairie</v>
      </c>
      <c r="E129" s="27">
        <v>16755</v>
      </c>
      <c r="F129" s="27">
        <v>1902</v>
      </c>
      <c r="G129" s="27">
        <v>1081</v>
      </c>
      <c r="H129" s="27" t="s">
        <v>2012</v>
      </c>
    </row>
    <row r="130" spans="1:8" x14ac:dyDescent="0.25">
      <c r="A130" s="27" t="s">
        <v>708</v>
      </c>
      <c r="B130" s="27" t="str">
        <f t="shared" si="2"/>
        <v>Arkansas</v>
      </c>
      <c r="C130" s="27" t="str">
        <f t="shared" si="3"/>
        <v>Pulaski</v>
      </c>
      <c r="D130" s="27">
        <v>100</v>
      </c>
      <c r="E130" s="27">
        <v>91450</v>
      </c>
      <c r="F130" s="27">
        <v>1902</v>
      </c>
      <c r="G130" s="27">
        <v>1081</v>
      </c>
      <c r="H130" s="27" t="s">
        <v>2012</v>
      </c>
    </row>
    <row r="131" spans="1:8" x14ac:dyDescent="0.25">
      <c r="A131" s="27" t="s">
        <v>709</v>
      </c>
      <c r="B131" s="27" t="str">
        <f t="shared" ref="B131:B194" si="4">LEFT(A131,FIND(";",A131)-1)</f>
        <v>Arkansas</v>
      </c>
      <c r="C131" s="27" t="str">
        <f t="shared" ref="C131:C194" si="5">MID(A131,FIND(";",A131)+1,100)</f>
        <v>Randolph</v>
      </c>
      <c r="E131" s="27">
        <v>18443</v>
      </c>
      <c r="F131" s="27">
        <v>1902</v>
      </c>
      <c r="G131" s="27">
        <v>1081</v>
      </c>
      <c r="H131" s="27" t="s">
        <v>2012</v>
      </c>
    </row>
    <row r="132" spans="1:8" x14ac:dyDescent="0.25">
      <c r="A132" s="27" t="s">
        <v>1747</v>
      </c>
      <c r="B132" s="27" t="str">
        <f t="shared" si="4"/>
        <v>Arkansas</v>
      </c>
      <c r="C132" s="27" t="str">
        <f t="shared" si="5"/>
        <v>St Francis</v>
      </c>
      <c r="D132" s="27">
        <v>10</v>
      </c>
      <c r="E132" s="27">
        <v>21601</v>
      </c>
      <c r="F132" s="27">
        <v>1902</v>
      </c>
      <c r="G132" s="27">
        <v>1081</v>
      </c>
      <c r="H132" s="27" t="s">
        <v>2012</v>
      </c>
    </row>
    <row r="133" spans="1:8" x14ac:dyDescent="0.25">
      <c r="A133" s="27" t="s">
        <v>710</v>
      </c>
      <c r="B133" s="27" t="str">
        <f t="shared" si="4"/>
        <v>Arkansas</v>
      </c>
      <c r="C133" s="27" t="str">
        <f t="shared" si="5"/>
        <v>Saline</v>
      </c>
      <c r="E133" s="27">
        <v>14499</v>
      </c>
      <c r="F133" s="27">
        <v>1902</v>
      </c>
      <c r="G133" s="27">
        <v>1081</v>
      </c>
      <c r="H133" s="27" t="s">
        <v>2012</v>
      </c>
    </row>
    <row r="134" spans="1:8" x14ac:dyDescent="0.25">
      <c r="A134" s="27" t="s">
        <v>711</v>
      </c>
      <c r="B134" s="27" t="str">
        <f t="shared" si="4"/>
        <v>Arkansas</v>
      </c>
      <c r="C134" s="27" t="str">
        <f t="shared" si="5"/>
        <v>Scott</v>
      </c>
      <c r="E134" s="27">
        <v>10634</v>
      </c>
      <c r="F134" s="27">
        <v>1902</v>
      </c>
      <c r="G134" s="27">
        <v>1081</v>
      </c>
      <c r="H134" s="27" t="s">
        <v>2012</v>
      </c>
    </row>
    <row r="135" spans="1:8" x14ac:dyDescent="0.25">
      <c r="A135" s="27" t="s">
        <v>712</v>
      </c>
      <c r="B135" s="27" t="str">
        <f t="shared" si="4"/>
        <v>Arkansas</v>
      </c>
      <c r="C135" s="27" t="str">
        <f t="shared" si="5"/>
        <v>Searcy</v>
      </c>
      <c r="E135" s="27">
        <v>7696</v>
      </c>
      <c r="F135" s="27">
        <v>1902</v>
      </c>
      <c r="G135" s="27">
        <v>1081</v>
      </c>
      <c r="H135" s="27" t="s">
        <v>2012</v>
      </c>
    </row>
    <row r="136" spans="1:8" x14ac:dyDescent="0.25">
      <c r="A136" s="27" t="s">
        <v>713</v>
      </c>
      <c r="B136" s="27" t="str">
        <f t="shared" si="4"/>
        <v>Arkansas</v>
      </c>
      <c r="C136" s="27" t="str">
        <f t="shared" si="5"/>
        <v>Sebastian</v>
      </c>
      <c r="E136" s="27">
        <v>56458</v>
      </c>
      <c r="F136" s="27">
        <v>1902</v>
      </c>
      <c r="G136" s="27">
        <v>1081</v>
      </c>
      <c r="H136" s="27" t="s">
        <v>2012</v>
      </c>
    </row>
    <row r="137" spans="1:8" x14ac:dyDescent="0.25">
      <c r="A137" s="27" t="s">
        <v>714</v>
      </c>
      <c r="B137" s="27" t="str">
        <f t="shared" si="4"/>
        <v>Arkansas</v>
      </c>
      <c r="C137" s="27" t="str">
        <f t="shared" si="5"/>
        <v>Sevier</v>
      </c>
      <c r="E137" s="27">
        <v>16076</v>
      </c>
      <c r="F137" s="27">
        <v>1902</v>
      </c>
      <c r="G137" s="27">
        <v>1081</v>
      </c>
      <c r="H137" s="27" t="s">
        <v>2012</v>
      </c>
    </row>
    <row r="138" spans="1:8" x14ac:dyDescent="0.25">
      <c r="A138" s="27" t="s">
        <v>715</v>
      </c>
      <c r="B138" s="27" t="str">
        <f t="shared" si="4"/>
        <v>Arkansas</v>
      </c>
      <c r="C138" s="27" t="str">
        <f t="shared" si="5"/>
        <v>Sharp</v>
      </c>
      <c r="E138" s="27">
        <v>12709</v>
      </c>
      <c r="F138" s="27">
        <v>1902</v>
      </c>
      <c r="G138" s="27">
        <v>1081</v>
      </c>
      <c r="H138" s="27" t="s">
        <v>2012</v>
      </c>
    </row>
    <row r="139" spans="1:8" x14ac:dyDescent="0.25">
      <c r="A139" s="27" t="s">
        <v>716</v>
      </c>
      <c r="B139" s="27" t="str">
        <f t="shared" si="4"/>
        <v>Arkansas</v>
      </c>
      <c r="C139" s="27" t="str">
        <f t="shared" si="5"/>
        <v>Stone</v>
      </c>
      <c r="E139" s="27">
        <v>6367</v>
      </c>
      <c r="F139" s="27">
        <v>1902</v>
      </c>
      <c r="G139" s="27">
        <v>1081</v>
      </c>
      <c r="H139" s="27" t="s">
        <v>2012</v>
      </c>
    </row>
    <row r="140" spans="1:8" x14ac:dyDescent="0.25">
      <c r="A140" s="27" t="s">
        <v>717</v>
      </c>
      <c r="B140" s="27" t="str">
        <f t="shared" si="4"/>
        <v>Arkansas</v>
      </c>
      <c r="C140" s="27" t="str">
        <f t="shared" si="5"/>
        <v>Union</v>
      </c>
      <c r="E140" s="27">
        <v>21319</v>
      </c>
      <c r="F140" s="27">
        <v>1902</v>
      </c>
      <c r="G140" s="27">
        <v>1081</v>
      </c>
      <c r="H140" s="27" t="s">
        <v>2012</v>
      </c>
    </row>
    <row r="141" spans="1:8" x14ac:dyDescent="0.25">
      <c r="A141" s="27" t="s">
        <v>718</v>
      </c>
      <c r="B141" s="27" t="str">
        <f t="shared" si="4"/>
        <v>Arkansas</v>
      </c>
      <c r="C141" s="27" t="str">
        <f t="shared" si="5"/>
        <v>Van Buren</v>
      </c>
      <c r="E141" s="27">
        <v>8011</v>
      </c>
      <c r="F141" s="27">
        <v>1902</v>
      </c>
      <c r="G141" s="27">
        <v>1081</v>
      </c>
      <c r="H141" s="27" t="s">
        <v>2012</v>
      </c>
    </row>
    <row r="142" spans="1:8" x14ac:dyDescent="0.25">
      <c r="A142" s="27" t="s">
        <v>719</v>
      </c>
      <c r="B142" s="27" t="str">
        <f t="shared" si="4"/>
        <v>Arkansas</v>
      </c>
      <c r="C142" s="27" t="str">
        <f t="shared" si="5"/>
        <v>Washington</v>
      </c>
      <c r="E142" s="27">
        <v>32738</v>
      </c>
      <c r="F142" s="27">
        <v>1902</v>
      </c>
      <c r="G142" s="27">
        <v>1081</v>
      </c>
      <c r="H142" s="27" t="s">
        <v>2012</v>
      </c>
    </row>
    <row r="143" spans="1:8" x14ac:dyDescent="0.25">
      <c r="A143" s="27" t="s">
        <v>720</v>
      </c>
      <c r="B143" s="27" t="str">
        <f t="shared" si="4"/>
        <v>Arkansas</v>
      </c>
      <c r="C143" s="27" t="str">
        <f t="shared" si="5"/>
        <v>White</v>
      </c>
      <c r="E143" s="27">
        <v>30973</v>
      </c>
      <c r="F143" s="27">
        <v>1902</v>
      </c>
      <c r="G143" s="27">
        <v>1081</v>
      </c>
      <c r="H143" s="27" t="s">
        <v>2012</v>
      </c>
    </row>
    <row r="144" spans="1:8" x14ac:dyDescent="0.25">
      <c r="A144" s="27" t="s">
        <v>721</v>
      </c>
      <c r="B144" s="27" t="str">
        <f t="shared" si="4"/>
        <v>Arkansas</v>
      </c>
      <c r="C144" s="27" t="str">
        <f t="shared" si="5"/>
        <v>Woodruff</v>
      </c>
      <c r="E144" s="27">
        <v>16800</v>
      </c>
      <c r="F144" s="27">
        <v>1902</v>
      </c>
      <c r="G144" s="27">
        <v>1081</v>
      </c>
      <c r="H144" s="27" t="s">
        <v>2012</v>
      </c>
    </row>
    <row r="145" spans="1:8" x14ac:dyDescent="0.25">
      <c r="A145" s="27" t="s">
        <v>722</v>
      </c>
      <c r="B145" s="27" t="str">
        <f t="shared" si="4"/>
        <v>Arkansas</v>
      </c>
      <c r="C145" s="27" t="str">
        <f t="shared" si="5"/>
        <v>Yell</v>
      </c>
      <c r="E145" s="27">
        <v>27798</v>
      </c>
      <c r="F145" s="27">
        <v>1902</v>
      </c>
      <c r="G145" s="27">
        <v>1081</v>
      </c>
      <c r="H145" s="27" t="s">
        <v>2012</v>
      </c>
    </row>
    <row r="146" spans="1:8" x14ac:dyDescent="0.25">
      <c r="A146" s="27" t="s">
        <v>650</v>
      </c>
      <c r="B146" s="27" t="str">
        <f t="shared" si="4"/>
        <v/>
      </c>
      <c r="C146" s="27" t="str">
        <f t="shared" si="5"/>
        <v>MY TOTAL</v>
      </c>
      <c r="H146" s="27" t="s">
        <v>2013</v>
      </c>
    </row>
    <row r="147" spans="1:8" x14ac:dyDescent="0.25">
      <c r="A147" s="27" t="s">
        <v>651</v>
      </c>
      <c r="B147" s="27" t="str">
        <f t="shared" si="4"/>
        <v/>
      </c>
      <c r="C147" s="27" t="str">
        <f t="shared" si="5"/>
        <v>REPORTED TOTAL</v>
      </c>
      <c r="H147" s="27" t="s">
        <v>2013</v>
      </c>
    </row>
    <row r="148" spans="1:8" x14ac:dyDescent="0.25">
      <c r="A148" s="27" t="s">
        <v>723</v>
      </c>
      <c r="B148" s="27" t="str">
        <f t="shared" si="4"/>
        <v>Georgia</v>
      </c>
      <c r="C148" s="27" t="str">
        <f t="shared" si="5"/>
        <v>Appling</v>
      </c>
      <c r="E148" s="27">
        <v>6978</v>
      </c>
      <c r="F148" s="27">
        <v>1902</v>
      </c>
      <c r="G148" s="27">
        <v>1087</v>
      </c>
      <c r="H148" s="27" t="s">
        <v>2014</v>
      </c>
    </row>
    <row r="149" spans="1:8" x14ac:dyDescent="0.25">
      <c r="A149" s="27" t="s">
        <v>724</v>
      </c>
      <c r="B149" s="27" t="str">
        <f t="shared" si="4"/>
        <v>Georgia</v>
      </c>
      <c r="C149" s="27" t="str">
        <f t="shared" si="5"/>
        <v>Atkinson</v>
      </c>
      <c r="F149" s="27">
        <v>1902</v>
      </c>
      <c r="G149" s="27">
        <v>1087</v>
      </c>
      <c r="H149" s="27" t="s">
        <v>2014</v>
      </c>
    </row>
    <row r="150" spans="1:8" x14ac:dyDescent="0.25">
      <c r="A150" s="27" t="s">
        <v>725</v>
      </c>
      <c r="B150" s="27" t="str">
        <f t="shared" si="4"/>
        <v>Georgia</v>
      </c>
      <c r="C150" s="27" t="str">
        <f t="shared" si="5"/>
        <v>Bacon</v>
      </c>
      <c r="D150" s="27">
        <v>376</v>
      </c>
      <c r="F150" s="27">
        <v>1902</v>
      </c>
      <c r="G150" s="27">
        <v>1087</v>
      </c>
      <c r="H150" s="27" t="s">
        <v>2014</v>
      </c>
    </row>
    <row r="151" spans="1:8" x14ac:dyDescent="0.25">
      <c r="A151" s="27" t="s">
        <v>726</v>
      </c>
      <c r="B151" s="27" t="str">
        <f t="shared" si="4"/>
        <v>Georgia</v>
      </c>
      <c r="C151" s="27" t="str">
        <f t="shared" si="5"/>
        <v>Baker</v>
      </c>
      <c r="D151" s="27">
        <v>187</v>
      </c>
      <c r="F151" s="27">
        <v>1902</v>
      </c>
      <c r="G151" s="27">
        <v>1087</v>
      </c>
      <c r="H151" s="27" t="s">
        <v>2014</v>
      </c>
    </row>
    <row r="152" spans="1:8" x14ac:dyDescent="0.25">
      <c r="A152" s="27" t="s">
        <v>727</v>
      </c>
      <c r="B152" s="27" t="str">
        <f t="shared" si="4"/>
        <v>Georgia</v>
      </c>
      <c r="C152" s="27" t="str">
        <f t="shared" si="5"/>
        <v>Baldwin</v>
      </c>
      <c r="D152" s="27">
        <v>271</v>
      </c>
      <c r="E152" s="27">
        <v>11161</v>
      </c>
      <c r="F152" s="27">
        <v>1902</v>
      </c>
      <c r="G152" s="27">
        <v>1087</v>
      </c>
      <c r="H152" s="27" t="s">
        <v>2014</v>
      </c>
    </row>
    <row r="153" spans="1:8" x14ac:dyDescent="0.25">
      <c r="A153" s="27" t="s">
        <v>728</v>
      </c>
      <c r="B153" s="27" t="str">
        <f t="shared" si="4"/>
        <v>Georgia</v>
      </c>
      <c r="C153" s="27" t="str">
        <f t="shared" si="5"/>
        <v>Banks</v>
      </c>
      <c r="E153" s="27">
        <v>7572</v>
      </c>
      <c r="F153" s="27">
        <v>1902</v>
      </c>
      <c r="G153" s="27">
        <v>1087</v>
      </c>
      <c r="H153" s="27" t="s">
        <v>2014</v>
      </c>
    </row>
    <row r="154" spans="1:8" x14ac:dyDescent="0.25">
      <c r="A154" s="27" t="s">
        <v>729</v>
      </c>
      <c r="B154" s="27" t="str">
        <f t="shared" si="4"/>
        <v>Georgia</v>
      </c>
      <c r="C154" s="27" t="str">
        <f t="shared" si="5"/>
        <v>Barrow</v>
      </c>
      <c r="F154" s="27">
        <v>1902</v>
      </c>
      <c r="G154" s="27">
        <v>1087</v>
      </c>
      <c r="H154" s="27" t="s">
        <v>2014</v>
      </c>
    </row>
    <row r="155" spans="1:8" x14ac:dyDescent="0.25">
      <c r="A155" s="27" t="s">
        <v>1778</v>
      </c>
      <c r="B155" s="27" t="str">
        <f t="shared" si="4"/>
        <v>Georgia</v>
      </c>
      <c r="C155" s="27" t="str">
        <f t="shared" si="5"/>
        <v>Bartow/Cass</v>
      </c>
      <c r="E155" s="27">
        <v>14000</v>
      </c>
      <c r="F155" s="27">
        <v>1902</v>
      </c>
      <c r="G155" s="27">
        <v>1087</v>
      </c>
      <c r="H155" s="27" t="s">
        <v>2014</v>
      </c>
    </row>
    <row r="156" spans="1:8" x14ac:dyDescent="0.25">
      <c r="A156" s="27" t="s">
        <v>730</v>
      </c>
      <c r="B156" s="27" t="str">
        <f t="shared" si="4"/>
        <v>Georgia</v>
      </c>
      <c r="C156" s="27" t="str">
        <f t="shared" si="5"/>
        <v>Ben Hill</v>
      </c>
      <c r="F156" s="27">
        <v>1902</v>
      </c>
      <c r="G156" s="27">
        <v>1087</v>
      </c>
      <c r="H156" s="27" t="s">
        <v>2014</v>
      </c>
    </row>
    <row r="157" spans="1:8" x14ac:dyDescent="0.25">
      <c r="A157" s="27" t="s">
        <v>731</v>
      </c>
      <c r="B157" s="27" t="str">
        <f t="shared" si="4"/>
        <v>Georgia</v>
      </c>
      <c r="C157" s="27" t="str">
        <f t="shared" si="5"/>
        <v>Berrien</v>
      </c>
      <c r="E157" s="27">
        <v>11686</v>
      </c>
      <c r="F157" s="27">
        <v>1902</v>
      </c>
      <c r="G157" s="27">
        <v>1087</v>
      </c>
      <c r="H157" s="27" t="s">
        <v>2014</v>
      </c>
    </row>
    <row r="158" spans="1:8" x14ac:dyDescent="0.25">
      <c r="A158" s="27" t="s">
        <v>732</v>
      </c>
      <c r="B158" s="27" t="str">
        <f t="shared" si="4"/>
        <v>Georgia</v>
      </c>
      <c r="C158" s="27" t="str">
        <f t="shared" si="5"/>
        <v>Bibb</v>
      </c>
      <c r="F158" s="27">
        <v>1902</v>
      </c>
      <c r="G158" s="27">
        <v>1087</v>
      </c>
      <c r="H158" s="27" t="s">
        <v>2014</v>
      </c>
    </row>
    <row r="159" spans="1:8" x14ac:dyDescent="0.25">
      <c r="A159" s="27" t="s">
        <v>733</v>
      </c>
      <c r="B159" s="27" t="str">
        <f t="shared" si="4"/>
        <v>Georgia</v>
      </c>
      <c r="C159" s="27" t="str">
        <f t="shared" si="5"/>
        <v>Bleckley</v>
      </c>
      <c r="F159" s="27">
        <v>1902</v>
      </c>
      <c r="G159" s="27">
        <v>1087</v>
      </c>
      <c r="H159" s="27" t="s">
        <v>2014</v>
      </c>
    </row>
    <row r="160" spans="1:8" x14ac:dyDescent="0.25">
      <c r="A160" s="27" t="s">
        <v>734</v>
      </c>
      <c r="B160" s="27" t="str">
        <f t="shared" si="4"/>
        <v>Georgia</v>
      </c>
      <c r="C160" s="27" t="str">
        <f t="shared" si="5"/>
        <v>Brantley</v>
      </c>
      <c r="F160" s="27">
        <v>1902</v>
      </c>
      <c r="G160" s="27">
        <v>1087</v>
      </c>
      <c r="H160" s="27" t="s">
        <v>2014</v>
      </c>
    </row>
    <row r="161" spans="1:8" x14ac:dyDescent="0.25">
      <c r="A161" s="27" t="s">
        <v>735</v>
      </c>
      <c r="B161" s="27" t="str">
        <f t="shared" si="4"/>
        <v>Georgia</v>
      </c>
      <c r="C161" s="27" t="str">
        <f t="shared" si="5"/>
        <v>Brooks</v>
      </c>
      <c r="E161" s="27">
        <v>11241</v>
      </c>
      <c r="F161" s="27">
        <v>1902</v>
      </c>
      <c r="G161" s="27">
        <v>1087</v>
      </c>
      <c r="H161" s="27" t="s">
        <v>2014</v>
      </c>
    </row>
    <row r="162" spans="1:8" x14ac:dyDescent="0.25">
      <c r="A162" s="27" t="s">
        <v>736</v>
      </c>
      <c r="B162" s="27" t="str">
        <f t="shared" si="4"/>
        <v>Georgia</v>
      </c>
      <c r="C162" s="27" t="str">
        <f t="shared" si="5"/>
        <v>Bryan</v>
      </c>
      <c r="E162" s="27">
        <v>6155</v>
      </c>
      <c r="F162" s="27">
        <v>1902</v>
      </c>
      <c r="G162" s="27">
        <v>1087</v>
      </c>
      <c r="H162" s="27" t="s">
        <v>2014</v>
      </c>
    </row>
    <row r="163" spans="1:8" x14ac:dyDescent="0.25">
      <c r="A163" s="27" t="s">
        <v>737</v>
      </c>
      <c r="B163" s="27" t="str">
        <f t="shared" si="4"/>
        <v>Georgia</v>
      </c>
      <c r="C163" s="27" t="str">
        <f t="shared" si="5"/>
        <v>Bulloch</v>
      </c>
      <c r="E163" s="27">
        <v>12541</v>
      </c>
      <c r="F163" s="27">
        <v>1902</v>
      </c>
      <c r="G163" s="27">
        <v>1087</v>
      </c>
      <c r="H163" s="27" t="s">
        <v>2014</v>
      </c>
    </row>
    <row r="164" spans="1:8" x14ac:dyDescent="0.25">
      <c r="A164" s="27" t="s">
        <v>738</v>
      </c>
      <c r="B164" s="27" t="str">
        <f t="shared" si="4"/>
        <v>Georgia</v>
      </c>
      <c r="C164" s="27" t="str">
        <f t="shared" si="5"/>
        <v>Burke</v>
      </c>
      <c r="E164" s="27">
        <v>23790</v>
      </c>
      <c r="F164" s="27">
        <v>1902</v>
      </c>
      <c r="G164" s="27">
        <v>1087</v>
      </c>
      <c r="H164" s="27" t="s">
        <v>2014</v>
      </c>
    </row>
    <row r="165" spans="1:8" x14ac:dyDescent="0.25">
      <c r="A165" s="27" t="s">
        <v>739</v>
      </c>
      <c r="B165" s="27" t="str">
        <f t="shared" si="4"/>
        <v>Georgia</v>
      </c>
      <c r="C165" s="27" t="str">
        <f t="shared" si="5"/>
        <v>Butts</v>
      </c>
      <c r="D165" s="27">
        <v>15</v>
      </c>
      <c r="E165" s="27">
        <v>9127</v>
      </c>
      <c r="F165" s="27">
        <v>1902</v>
      </c>
      <c r="G165" s="27">
        <v>1087</v>
      </c>
      <c r="H165" s="27" t="s">
        <v>2014</v>
      </c>
    </row>
    <row r="166" spans="1:8" x14ac:dyDescent="0.25">
      <c r="A166" s="27" t="s">
        <v>740</v>
      </c>
      <c r="B166" s="27" t="str">
        <f t="shared" si="4"/>
        <v>Georgia</v>
      </c>
      <c r="C166" s="27" t="str">
        <f t="shared" si="5"/>
        <v>Calhoun</v>
      </c>
      <c r="E166" s="27">
        <v>7267</v>
      </c>
      <c r="F166" s="27">
        <v>1902</v>
      </c>
      <c r="G166" s="27">
        <v>1087</v>
      </c>
      <c r="H166" s="27" t="s">
        <v>2014</v>
      </c>
    </row>
    <row r="167" spans="1:8" x14ac:dyDescent="0.25">
      <c r="A167" s="27" t="s">
        <v>741</v>
      </c>
      <c r="B167" s="27" t="str">
        <f t="shared" si="4"/>
        <v>Georgia</v>
      </c>
      <c r="C167" s="27" t="str">
        <f t="shared" si="5"/>
        <v>Camden</v>
      </c>
      <c r="E167" s="27">
        <v>4943</v>
      </c>
      <c r="F167" s="27">
        <v>1902</v>
      </c>
      <c r="G167" s="27">
        <v>1087</v>
      </c>
      <c r="H167" s="27" t="s">
        <v>2014</v>
      </c>
    </row>
    <row r="168" spans="1:8" x14ac:dyDescent="0.25">
      <c r="A168" s="27" t="s">
        <v>742</v>
      </c>
      <c r="B168" s="27" t="str">
        <f t="shared" si="4"/>
        <v>Georgia</v>
      </c>
      <c r="C168" s="27" t="str">
        <f t="shared" si="5"/>
        <v>Campbell</v>
      </c>
      <c r="E168" s="27">
        <v>8004</v>
      </c>
      <c r="F168" s="27">
        <v>1902</v>
      </c>
      <c r="G168" s="27">
        <v>1087</v>
      </c>
      <c r="H168" s="27" t="s">
        <v>2014</v>
      </c>
    </row>
    <row r="169" spans="1:8" x14ac:dyDescent="0.25">
      <c r="A169" s="27" t="s">
        <v>743</v>
      </c>
      <c r="B169" s="27" t="str">
        <f t="shared" si="4"/>
        <v>Georgia</v>
      </c>
      <c r="C169" s="27" t="str">
        <f t="shared" si="5"/>
        <v>Candler</v>
      </c>
      <c r="F169" s="27">
        <v>1902</v>
      </c>
      <c r="G169" s="27">
        <v>1087</v>
      </c>
      <c r="H169" s="27" t="s">
        <v>2014</v>
      </c>
    </row>
    <row r="170" spans="1:8" x14ac:dyDescent="0.25">
      <c r="A170" s="27" t="s">
        <v>744</v>
      </c>
      <c r="B170" s="27" t="str">
        <f t="shared" si="4"/>
        <v>Georgia</v>
      </c>
      <c r="C170" s="27" t="str">
        <f t="shared" si="5"/>
        <v>Carroll</v>
      </c>
      <c r="D170" s="27">
        <v>1882</v>
      </c>
      <c r="E170" s="27">
        <v>18657</v>
      </c>
      <c r="F170" s="27">
        <v>1902</v>
      </c>
      <c r="G170" s="27">
        <v>1087</v>
      </c>
      <c r="H170" s="27" t="s">
        <v>2014</v>
      </c>
    </row>
    <row r="171" spans="1:8" x14ac:dyDescent="0.25">
      <c r="A171" s="27" t="s">
        <v>745</v>
      </c>
      <c r="B171" s="27" t="str">
        <f t="shared" si="4"/>
        <v>Georgia</v>
      </c>
      <c r="C171" s="27" t="str">
        <f t="shared" si="5"/>
        <v>Catoosa</v>
      </c>
      <c r="E171" s="27">
        <v>4431</v>
      </c>
      <c r="F171" s="27">
        <v>1902</v>
      </c>
      <c r="G171" s="27">
        <v>1087</v>
      </c>
      <c r="H171" s="27" t="s">
        <v>2014</v>
      </c>
    </row>
    <row r="172" spans="1:8" x14ac:dyDescent="0.25">
      <c r="A172" s="27" t="s">
        <v>746</v>
      </c>
      <c r="B172" s="27" t="str">
        <f t="shared" si="4"/>
        <v>Georgia</v>
      </c>
      <c r="C172" s="27" t="str">
        <f t="shared" si="5"/>
        <v>Charlton</v>
      </c>
      <c r="E172" s="27">
        <v>2878</v>
      </c>
      <c r="F172" s="27">
        <v>1902</v>
      </c>
      <c r="G172" s="27">
        <v>1087</v>
      </c>
      <c r="H172" s="27" t="s">
        <v>2014</v>
      </c>
    </row>
    <row r="173" spans="1:8" x14ac:dyDescent="0.25">
      <c r="A173" s="27" t="s">
        <v>747</v>
      </c>
      <c r="B173" s="27" t="str">
        <f t="shared" si="4"/>
        <v>Georgia</v>
      </c>
      <c r="C173" s="27" t="str">
        <f t="shared" si="5"/>
        <v>Chatham</v>
      </c>
      <c r="D173" s="27">
        <v>563</v>
      </c>
      <c r="F173" s="27">
        <v>1902</v>
      </c>
      <c r="G173" s="27">
        <v>1087</v>
      </c>
      <c r="H173" s="27" t="s">
        <v>2014</v>
      </c>
    </row>
    <row r="174" spans="1:8" x14ac:dyDescent="0.25">
      <c r="A174" s="27" t="s">
        <v>748</v>
      </c>
      <c r="B174" s="27" t="str">
        <f t="shared" si="4"/>
        <v>Georgia</v>
      </c>
      <c r="C174" s="27" t="str">
        <f t="shared" si="5"/>
        <v>Chattahoochee</v>
      </c>
      <c r="E174" s="27">
        <v>4229</v>
      </c>
      <c r="F174" s="27">
        <v>1902</v>
      </c>
      <c r="G174" s="27">
        <v>1087</v>
      </c>
      <c r="H174" s="27" t="s">
        <v>2014</v>
      </c>
    </row>
    <row r="175" spans="1:8" x14ac:dyDescent="0.25">
      <c r="A175" s="27" t="s">
        <v>749</v>
      </c>
      <c r="B175" s="27" t="str">
        <f t="shared" si="4"/>
        <v>Georgia</v>
      </c>
      <c r="C175" s="27" t="str">
        <f t="shared" si="5"/>
        <v>Chattooga</v>
      </c>
      <c r="E175" s="27">
        <v>9130</v>
      </c>
      <c r="F175" s="27">
        <v>1902</v>
      </c>
      <c r="G175" s="27">
        <v>1087</v>
      </c>
      <c r="H175" s="27" t="s">
        <v>2014</v>
      </c>
    </row>
    <row r="176" spans="1:8" x14ac:dyDescent="0.25">
      <c r="A176" s="27" t="s">
        <v>750</v>
      </c>
      <c r="B176" s="27" t="str">
        <f t="shared" si="4"/>
        <v>Georgia</v>
      </c>
      <c r="C176" s="27" t="str">
        <f t="shared" si="5"/>
        <v>Cherokee</v>
      </c>
      <c r="D176" s="27">
        <v>56</v>
      </c>
      <c r="E176" s="27">
        <v>11220</v>
      </c>
      <c r="F176" s="27">
        <v>1902</v>
      </c>
      <c r="G176" s="27">
        <v>1087</v>
      </c>
      <c r="H176" s="27" t="s">
        <v>2014</v>
      </c>
    </row>
    <row r="177" spans="1:8" x14ac:dyDescent="0.25">
      <c r="A177" s="27" t="s">
        <v>751</v>
      </c>
      <c r="B177" s="27" t="str">
        <f t="shared" si="4"/>
        <v>Georgia</v>
      </c>
      <c r="C177" s="27" t="str">
        <f t="shared" si="5"/>
        <v>Clarke</v>
      </c>
      <c r="D177" s="27">
        <v>34</v>
      </c>
      <c r="E177" s="27">
        <v>7144</v>
      </c>
      <c r="F177" s="27">
        <v>1902</v>
      </c>
      <c r="G177" s="27">
        <v>1087</v>
      </c>
      <c r="H177" s="27" t="s">
        <v>2014</v>
      </c>
    </row>
    <row r="178" spans="1:8" x14ac:dyDescent="0.25">
      <c r="A178" s="27" t="s">
        <v>752</v>
      </c>
      <c r="B178" s="27" t="str">
        <f t="shared" si="4"/>
        <v>Georgia</v>
      </c>
      <c r="C178" s="27" t="str">
        <f t="shared" si="5"/>
        <v>Clay</v>
      </c>
      <c r="E178" s="27">
        <v>6325</v>
      </c>
      <c r="F178" s="27">
        <v>1902</v>
      </c>
      <c r="G178" s="27">
        <v>1087</v>
      </c>
      <c r="H178" s="27" t="s">
        <v>2014</v>
      </c>
    </row>
    <row r="179" spans="1:8" x14ac:dyDescent="0.25">
      <c r="A179" s="27" t="s">
        <v>753</v>
      </c>
      <c r="B179" s="27" t="str">
        <f t="shared" si="4"/>
        <v>Georgia</v>
      </c>
      <c r="C179" s="27" t="str">
        <f t="shared" si="5"/>
        <v>Clayton</v>
      </c>
      <c r="D179" s="27">
        <v>331</v>
      </c>
      <c r="E179" s="27">
        <v>6696</v>
      </c>
      <c r="F179" s="27">
        <v>1902</v>
      </c>
      <c r="G179" s="27">
        <v>1087</v>
      </c>
      <c r="H179" s="27" t="s">
        <v>2014</v>
      </c>
    </row>
    <row r="180" spans="1:8" x14ac:dyDescent="0.25">
      <c r="A180" s="27" t="s">
        <v>754</v>
      </c>
      <c r="B180" s="27" t="str">
        <f t="shared" si="4"/>
        <v>Georgia</v>
      </c>
      <c r="C180" s="27" t="str">
        <f t="shared" si="5"/>
        <v>Clinch</v>
      </c>
      <c r="E180" s="27">
        <v>5119</v>
      </c>
      <c r="F180" s="27">
        <v>1902</v>
      </c>
      <c r="G180" s="27">
        <v>1087</v>
      </c>
      <c r="H180" s="27" t="s">
        <v>2014</v>
      </c>
    </row>
    <row r="181" spans="1:8" x14ac:dyDescent="0.25">
      <c r="A181" s="27" t="s">
        <v>755</v>
      </c>
      <c r="B181" s="27" t="str">
        <f t="shared" si="4"/>
        <v>Georgia</v>
      </c>
      <c r="C181" s="27" t="str">
        <f t="shared" si="5"/>
        <v>Cobb</v>
      </c>
      <c r="D181" s="27">
        <v>524</v>
      </c>
      <c r="E181" s="27">
        <v>13802</v>
      </c>
      <c r="F181" s="27">
        <v>1902</v>
      </c>
      <c r="G181" s="27">
        <v>1087</v>
      </c>
      <c r="H181" s="27" t="s">
        <v>2014</v>
      </c>
    </row>
    <row r="182" spans="1:8" x14ac:dyDescent="0.25">
      <c r="A182" s="27" t="s">
        <v>756</v>
      </c>
      <c r="B182" s="27" t="str">
        <f t="shared" si="4"/>
        <v>Georgia</v>
      </c>
      <c r="C182" s="27" t="str">
        <f t="shared" si="5"/>
        <v>Coffee</v>
      </c>
      <c r="E182" s="27">
        <v>8559</v>
      </c>
      <c r="F182" s="27">
        <v>1902</v>
      </c>
      <c r="G182" s="27">
        <v>1087</v>
      </c>
      <c r="H182" s="27" t="s">
        <v>2014</v>
      </c>
    </row>
    <row r="183" spans="1:8" x14ac:dyDescent="0.25">
      <c r="A183" s="27" t="s">
        <v>757</v>
      </c>
      <c r="B183" s="27" t="str">
        <f t="shared" si="4"/>
        <v>Georgia</v>
      </c>
      <c r="C183" s="27" t="str">
        <f t="shared" si="5"/>
        <v>Colquitt</v>
      </c>
      <c r="E183" s="27">
        <v>5314</v>
      </c>
      <c r="F183" s="27">
        <v>1902</v>
      </c>
      <c r="G183" s="27">
        <v>1087</v>
      </c>
      <c r="H183" s="27" t="s">
        <v>2014</v>
      </c>
    </row>
    <row r="184" spans="1:8" x14ac:dyDescent="0.25">
      <c r="A184" s="27" t="s">
        <v>758</v>
      </c>
      <c r="B184" s="27" t="str">
        <f t="shared" si="4"/>
        <v>Georgia</v>
      </c>
      <c r="C184" s="27" t="str">
        <f t="shared" si="5"/>
        <v>Columbia</v>
      </c>
      <c r="E184" s="27">
        <v>7288</v>
      </c>
      <c r="F184" s="27">
        <v>1902</v>
      </c>
      <c r="G184" s="27">
        <v>1087</v>
      </c>
      <c r="H184" s="27" t="s">
        <v>2014</v>
      </c>
    </row>
    <row r="185" spans="1:8" x14ac:dyDescent="0.25">
      <c r="A185" s="27" t="s">
        <v>759</v>
      </c>
      <c r="B185" s="27" t="str">
        <f t="shared" si="4"/>
        <v>Georgia</v>
      </c>
      <c r="C185" s="27" t="str">
        <f t="shared" si="5"/>
        <v>Cook</v>
      </c>
      <c r="F185" s="27">
        <v>1902</v>
      </c>
      <c r="G185" s="27">
        <v>1087</v>
      </c>
      <c r="H185" s="27" t="s">
        <v>2014</v>
      </c>
    </row>
    <row r="186" spans="1:8" x14ac:dyDescent="0.25">
      <c r="A186" s="27" t="s">
        <v>760</v>
      </c>
      <c r="B186" s="27" t="str">
        <f t="shared" si="4"/>
        <v>Georgia</v>
      </c>
      <c r="C186" s="27" t="str">
        <f t="shared" si="5"/>
        <v>Coweta</v>
      </c>
      <c r="D186" s="27">
        <v>300</v>
      </c>
      <c r="E186" s="27">
        <v>15569</v>
      </c>
      <c r="F186" s="27">
        <v>1902</v>
      </c>
      <c r="G186" s="27">
        <v>1087</v>
      </c>
      <c r="H186" s="27" t="s">
        <v>2014</v>
      </c>
    </row>
    <row r="187" spans="1:8" x14ac:dyDescent="0.25">
      <c r="A187" s="27" t="s">
        <v>761</v>
      </c>
      <c r="B187" s="27" t="str">
        <f t="shared" si="4"/>
        <v>Georgia</v>
      </c>
      <c r="C187" s="27" t="str">
        <f t="shared" si="5"/>
        <v>Crawford</v>
      </c>
      <c r="E187" s="27">
        <v>6987</v>
      </c>
      <c r="F187" s="27">
        <v>1902</v>
      </c>
      <c r="G187" s="27">
        <v>1087</v>
      </c>
      <c r="H187" s="27" t="s">
        <v>2014</v>
      </c>
    </row>
    <row r="188" spans="1:8" x14ac:dyDescent="0.25">
      <c r="A188" s="27" t="s">
        <v>762</v>
      </c>
      <c r="B188" s="27" t="str">
        <f t="shared" si="4"/>
        <v>Georgia</v>
      </c>
      <c r="C188" s="27" t="str">
        <f t="shared" si="5"/>
        <v>Crisp</v>
      </c>
      <c r="F188" s="27">
        <v>1902</v>
      </c>
      <c r="G188" s="27">
        <v>1087</v>
      </c>
      <c r="H188" s="27" t="s">
        <v>2014</v>
      </c>
    </row>
    <row r="189" spans="1:8" x14ac:dyDescent="0.25">
      <c r="A189" s="27" t="s">
        <v>763</v>
      </c>
      <c r="B189" s="27" t="str">
        <f t="shared" si="4"/>
        <v>Georgia</v>
      </c>
      <c r="C189" s="27" t="str">
        <f t="shared" si="5"/>
        <v>Dade</v>
      </c>
      <c r="D189" s="27">
        <v>418</v>
      </c>
      <c r="E189" s="27">
        <v>3427</v>
      </c>
      <c r="F189" s="27">
        <v>1902</v>
      </c>
      <c r="G189" s="27">
        <v>1087</v>
      </c>
      <c r="H189" s="27" t="s">
        <v>2014</v>
      </c>
    </row>
    <row r="190" spans="1:8" x14ac:dyDescent="0.25">
      <c r="A190" s="27" t="s">
        <v>764</v>
      </c>
      <c r="B190" s="27" t="str">
        <f t="shared" si="4"/>
        <v>Georgia</v>
      </c>
      <c r="C190" s="27" t="str">
        <f t="shared" si="5"/>
        <v>Dawson</v>
      </c>
      <c r="D190" s="27">
        <v>50</v>
      </c>
      <c r="E190" s="27">
        <v>4023</v>
      </c>
      <c r="F190" s="27">
        <v>1902</v>
      </c>
      <c r="G190" s="27">
        <v>1087</v>
      </c>
      <c r="H190" s="27" t="s">
        <v>2014</v>
      </c>
    </row>
    <row r="191" spans="1:8" x14ac:dyDescent="0.25">
      <c r="A191" s="27" t="s">
        <v>765</v>
      </c>
      <c r="B191" s="27" t="str">
        <f t="shared" si="4"/>
        <v>Georgia</v>
      </c>
      <c r="C191" s="27" t="str">
        <f t="shared" si="5"/>
        <v>Decatur</v>
      </c>
      <c r="E191" s="27">
        <v>17513</v>
      </c>
      <c r="F191" s="27">
        <v>1902</v>
      </c>
      <c r="G191" s="27">
        <v>1087</v>
      </c>
      <c r="H191" s="27" t="s">
        <v>2014</v>
      </c>
    </row>
    <row r="192" spans="1:8" x14ac:dyDescent="0.25">
      <c r="A192" s="27" t="s">
        <v>766</v>
      </c>
      <c r="B192" s="27" t="str">
        <f t="shared" si="4"/>
        <v>Georgia</v>
      </c>
      <c r="C192" s="27" t="str">
        <f t="shared" si="5"/>
        <v>DeKalb</v>
      </c>
      <c r="D192" s="27">
        <v>1259</v>
      </c>
      <c r="E192" s="27">
        <v>9941</v>
      </c>
      <c r="F192" s="27">
        <v>1902</v>
      </c>
      <c r="G192" s="27">
        <v>1087</v>
      </c>
      <c r="H192" s="27" t="s">
        <v>2014</v>
      </c>
    </row>
    <row r="193" spans="1:8" x14ac:dyDescent="0.25">
      <c r="A193" s="27" t="s">
        <v>767</v>
      </c>
      <c r="B193" s="27" t="str">
        <f t="shared" si="4"/>
        <v>Georgia</v>
      </c>
      <c r="C193" s="27" t="str">
        <f t="shared" si="5"/>
        <v>Dodge</v>
      </c>
      <c r="E193" s="27">
        <v>10493</v>
      </c>
      <c r="F193" s="27">
        <v>1902</v>
      </c>
      <c r="G193" s="27">
        <v>1087</v>
      </c>
      <c r="H193" s="27" t="s">
        <v>2014</v>
      </c>
    </row>
    <row r="194" spans="1:8" x14ac:dyDescent="0.25">
      <c r="A194" s="27" t="s">
        <v>768</v>
      </c>
      <c r="B194" s="27" t="str">
        <f t="shared" si="4"/>
        <v>Georgia</v>
      </c>
      <c r="C194" s="27" t="str">
        <f t="shared" si="5"/>
        <v>Dooly</v>
      </c>
      <c r="E194" s="27">
        <v>17900</v>
      </c>
      <c r="F194" s="27">
        <v>1902</v>
      </c>
      <c r="G194" s="27">
        <v>1087</v>
      </c>
      <c r="H194" s="27" t="s">
        <v>2014</v>
      </c>
    </row>
    <row r="195" spans="1:8" x14ac:dyDescent="0.25">
      <c r="A195" s="27" t="s">
        <v>769</v>
      </c>
      <c r="B195" s="27" t="str">
        <f t="shared" ref="B195:B258" si="6">LEFT(A195,FIND(";",A195)-1)</f>
        <v>Georgia</v>
      </c>
      <c r="C195" s="27" t="str">
        <f t="shared" ref="C195:C258" si="7">MID(A195,FIND(";",A195)+1,100)</f>
        <v>Dougherty</v>
      </c>
      <c r="E195" s="27">
        <v>9161</v>
      </c>
      <c r="F195" s="27">
        <v>1902</v>
      </c>
      <c r="G195" s="27">
        <v>1087</v>
      </c>
      <c r="H195" s="27" t="s">
        <v>2014</v>
      </c>
    </row>
    <row r="196" spans="1:8" x14ac:dyDescent="0.25">
      <c r="A196" s="27" t="s">
        <v>770</v>
      </c>
      <c r="B196" s="27" t="str">
        <f t="shared" si="6"/>
        <v>Georgia</v>
      </c>
      <c r="C196" s="27" t="str">
        <f t="shared" si="7"/>
        <v>Douglas</v>
      </c>
      <c r="D196" s="27">
        <v>305</v>
      </c>
      <c r="E196" s="27">
        <v>6024</v>
      </c>
      <c r="F196" s="27">
        <v>1902</v>
      </c>
      <c r="G196" s="27">
        <v>1087</v>
      </c>
      <c r="H196" s="27" t="s">
        <v>2014</v>
      </c>
    </row>
    <row r="197" spans="1:8" x14ac:dyDescent="0.25">
      <c r="A197" s="27" t="s">
        <v>771</v>
      </c>
      <c r="B197" s="27" t="str">
        <f t="shared" si="6"/>
        <v>Georgia</v>
      </c>
      <c r="C197" s="27" t="str">
        <f t="shared" si="7"/>
        <v>Early</v>
      </c>
      <c r="E197" s="27">
        <v>9496</v>
      </c>
      <c r="F197" s="27">
        <v>1902</v>
      </c>
      <c r="G197" s="27">
        <v>1087</v>
      </c>
      <c r="H197" s="27" t="s">
        <v>2014</v>
      </c>
    </row>
    <row r="198" spans="1:8" x14ac:dyDescent="0.25">
      <c r="A198" s="27" t="s">
        <v>772</v>
      </c>
      <c r="B198" s="27" t="str">
        <f t="shared" si="6"/>
        <v>Georgia</v>
      </c>
      <c r="C198" s="27" t="str">
        <f t="shared" si="7"/>
        <v>Echols</v>
      </c>
      <c r="E198" s="27">
        <v>1796</v>
      </c>
      <c r="F198" s="27">
        <v>1902</v>
      </c>
      <c r="G198" s="27">
        <v>1087</v>
      </c>
      <c r="H198" s="27" t="s">
        <v>2014</v>
      </c>
    </row>
    <row r="199" spans="1:8" x14ac:dyDescent="0.25">
      <c r="A199" s="27" t="s">
        <v>773</v>
      </c>
      <c r="B199" s="27" t="str">
        <f t="shared" si="6"/>
        <v>Georgia</v>
      </c>
      <c r="C199" s="27" t="str">
        <f t="shared" si="7"/>
        <v>Effingham</v>
      </c>
      <c r="E199" s="27">
        <v>5751</v>
      </c>
      <c r="F199" s="27">
        <v>1902</v>
      </c>
      <c r="G199" s="27">
        <v>1087</v>
      </c>
      <c r="H199" s="27" t="s">
        <v>2014</v>
      </c>
    </row>
    <row r="200" spans="1:8" x14ac:dyDescent="0.25">
      <c r="A200" s="27" t="s">
        <v>774</v>
      </c>
      <c r="B200" s="27" t="str">
        <f t="shared" si="6"/>
        <v>Georgia</v>
      </c>
      <c r="C200" s="27" t="str">
        <f t="shared" si="7"/>
        <v>Elbert</v>
      </c>
      <c r="D200" s="27">
        <v>1733</v>
      </c>
      <c r="E200" s="27">
        <v>11785</v>
      </c>
      <c r="F200" s="27">
        <v>1902</v>
      </c>
      <c r="G200" s="27">
        <v>1087</v>
      </c>
      <c r="H200" s="27" t="s">
        <v>2014</v>
      </c>
    </row>
    <row r="201" spans="1:8" x14ac:dyDescent="0.25">
      <c r="A201" s="27" t="s">
        <v>775</v>
      </c>
      <c r="B201" s="27" t="str">
        <f t="shared" si="6"/>
        <v>Georgia</v>
      </c>
      <c r="C201" s="27" t="str">
        <f t="shared" si="7"/>
        <v>Emanuel</v>
      </c>
      <c r="E201" s="27">
        <v>8908</v>
      </c>
      <c r="F201" s="27">
        <v>1902</v>
      </c>
      <c r="G201" s="27">
        <v>1087</v>
      </c>
      <c r="H201" s="27" t="s">
        <v>2014</v>
      </c>
    </row>
    <row r="202" spans="1:8" x14ac:dyDescent="0.25">
      <c r="A202" s="27" t="s">
        <v>776</v>
      </c>
      <c r="B202" s="27" t="str">
        <f t="shared" si="6"/>
        <v>Georgia</v>
      </c>
      <c r="C202" s="27" t="str">
        <f t="shared" si="7"/>
        <v>Evans</v>
      </c>
      <c r="F202" s="27">
        <v>1902</v>
      </c>
      <c r="G202" s="27">
        <v>1087</v>
      </c>
      <c r="H202" s="27" t="s">
        <v>2014</v>
      </c>
    </row>
    <row r="203" spans="1:8" x14ac:dyDescent="0.25">
      <c r="A203" s="27" t="s">
        <v>777</v>
      </c>
      <c r="B203" s="27" t="str">
        <f t="shared" si="6"/>
        <v>Georgia</v>
      </c>
      <c r="C203" s="27" t="str">
        <f t="shared" si="7"/>
        <v>Fannin</v>
      </c>
      <c r="E203" s="27">
        <v>7565</v>
      </c>
      <c r="F203" s="27">
        <v>1902</v>
      </c>
      <c r="G203" s="27">
        <v>1087</v>
      </c>
      <c r="H203" s="27" t="s">
        <v>2014</v>
      </c>
    </row>
    <row r="204" spans="1:8" x14ac:dyDescent="0.25">
      <c r="A204" s="27" t="s">
        <v>778</v>
      </c>
      <c r="B204" s="27" t="str">
        <f t="shared" si="6"/>
        <v>Georgia</v>
      </c>
      <c r="C204" s="27" t="str">
        <f t="shared" si="7"/>
        <v>Fayette</v>
      </c>
      <c r="D204" s="27">
        <v>89</v>
      </c>
      <c r="E204" s="27">
        <v>6614</v>
      </c>
      <c r="F204" s="27">
        <v>1902</v>
      </c>
      <c r="G204" s="27">
        <v>1087</v>
      </c>
      <c r="H204" s="27" t="s">
        <v>2014</v>
      </c>
    </row>
    <row r="205" spans="1:8" x14ac:dyDescent="0.25">
      <c r="A205" s="27" t="s">
        <v>779</v>
      </c>
      <c r="B205" s="27" t="str">
        <f t="shared" si="6"/>
        <v>Georgia</v>
      </c>
      <c r="C205" s="27" t="str">
        <f t="shared" si="7"/>
        <v>Floyd</v>
      </c>
      <c r="D205" s="27">
        <v>900</v>
      </c>
      <c r="F205" s="27">
        <v>1902</v>
      </c>
      <c r="G205" s="27">
        <v>1087</v>
      </c>
      <c r="H205" s="27" t="s">
        <v>2014</v>
      </c>
    </row>
    <row r="206" spans="1:8" x14ac:dyDescent="0.25">
      <c r="A206" s="27" t="s">
        <v>780</v>
      </c>
      <c r="B206" s="27" t="str">
        <f t="shared" si="6"/>
        <v>Georgia</v>
      </c>
      <c r="C206" s="27" t="str">
        <f t="shared" si="7"/>
        <v>Forsyth</v>
      </c>
      <c r="E206" s="27">
        <v>8890</v>
      </c>
      <c r="F206" s="27">
        <v>1902</v>
      </c>
      <c r="G206" s="27">
        <v>1087</v>
      </c>
      <c r="H206" s="27" t="s">
        <v>2014</v>
      </c>
    </row>
    <row r="207" spans="1:8" x14ac:dyDescent="0.25">
      <c r="A207" s="27" t="s">
        <v>781</v>
      </c>
      <c r="B207" s="27" t="str">
        <f t="shared" si="6"/>
        <v>Georgia</v>
      </c>
      <c r="C207" s="27" t="str">
        <f t="shared" si="7"/>
        <v>Franklin</v>
      </c>
      <c r="E207" s="27">
        <v>13818</v>
      </c>
      <c r="F207" s="27">
        <v>1902</v>
      </c>
      <c r="G207" s="27">
        <v>1087</v>
      </c>
      <c r="H207" s="27" t="s">
        <v>2014</v>
      </c>
    </row>
    <row r="208" spans="1:8" x14ac:dyDescent="0.25">
      <c r="A208" s="27" t="s">
        <v>782</v>
      </c>
      <c r="B208" s="27" t="str">
        <f t="shared" si="6"/>
        <v>Georgia</v>
      </c>
      <c r="C208" s="27" t="str">
        <f t="shared" si="7"/>
        <v>Fulton</v>
      </c>
      <c r="D208" s="27">
        <v>1382</v>
      </c>
      <c r="E208" s="27">
        <v>16617</v>
      </c>
      <c r="F208" s="27">
        <v>1902</v>
      </c>
      <c r="G208" s="27">
        <v>1087</v>
      </c>
      <c r="H208" s="27" t="s">
        <v>2014</v>
      </c>
    </row>
    <row r="209" spans="1:8" x14ac:dyDescent="0.25">
      <c r="A209" s="27" t="s">
        <v>783</v>
      </c>
      <c r="B209" s="27" t="str">
        <f t="shared" si="6"/>
        <v>Georgia</v>
      </c>
      <c r="C209" s="27" t="str">
        <f t="shared" si="7"/>
        <v>Gilmer</v>
      </c>
      <c r="E209" s="27">
        <v>7574</v>
      </c>
      <c r="F209" s="27">
        <v>1902</v>
      </c>
      <c r="G209" s="27">
        <v>1087</v>
      </c>
      <c r="H209" s="27" t="s">
        <v>2014</v>
      </c>
    </row>
    <row r="210" spans="1:8" x14ac:dyDescent="0.25">
      <c r="A210" s="27" t="s">
        <v>784</v>
      </c>
      <c r="B210" s="27" t="str">
        <f t="shared" si="6"/>
        <v>Georgia</v>
      </c>
      <c r="C210" s="27" t="str">
        <f t="shared" si="7"/>
        <v>Glascock</v>
      </c>
      <c r="E210" s="27">
        <v>3157</v>
      </c>
      <c r="F210" s="27">
        <v>1902</v>
      </c>
      <c r="G210" s="27">
        <v>1087</v>
      </c>
      <c r="H210" s="27" t="s">
        <v>2014</v>
      </c>
    </row>
    <row r="211" spans="1:8" x14ac:dyDescent="0.25">
      <c r="A211" s="27" t="s">
        <v>785</v>
      </c>
      <c r="B211" s="27" t="str">
        <f t="shared" si="6"/>
        <v>Georgia</v>
      </c>
      <c r="C211" s="27" t="str">
        <f t="shared" si="7"/>
        <v>Glynn</v>
      </c>
      <c r="F211" s="27">
        <v>1902</v>
      </c>
      <c r="G211" s="27">
        <v>1087</v>
      </c>
      <c r="H211" s="27" t="s">
        <v>2014</v>
      </c>
    </row>
    <row r="212" spans="1:8" x14ac:dyDescent="0.25">
      <c r="A212" s="27" t="s">
        <v>786</v>
      </c>
      <c r="B212" s="27" t="str">
        <f t="shared" si="6"/>
        <v>Georgia</v>
      </c>
      <c r="C212" s="27" t="str">
        <f t="shared" si="7"/>
        <v>Gordon</v>
      </c>
      <c r="E212" s="27">
        <v>4778</v>
      </c>
      <c r="F212" s="27">
        <v>1902</v>
      </c>
      <c r="G212" s="27">
        <v>1087</v>
      </c>
      <c r="H212" s="27" t="s">
        <v>2014</v>
      </c>
    </row>
    <row r="213" spans="1:8" x14ac:dyDescent="0.25">
      <c r="A213" s="27" t="s">
        <v>787</v>
      </c>
      <c r="B213" s="27" t="str">
        <f t="shared" si="6"/>
        <v>Georgia</v>
      </c>
      <c r="C213" s="27" t="str">
        <f t="shared" si="7"/>
        <v>Grady</v>
      </c>
      <c r="F213" s="27">
        <v>1902</v>
      </c>
      <c r="G213" s="27">
        <v>1087</v>
      </c>
      <c r="H213" s="27" t="s">
        <v>2014</v>
      </c>
    </row>
    <row r="214" spans="1:8" x14ac:dyDescent="0.25">
      <c r="A214" s="27" t="s">
        <v>788</v>
      </c>
      <c r="B214" s="27" t="str">
        <f t="shared" si="6"/>
        <v>Georgia</v>
      </c>
      <c r="C214" s="27" t="str">
        <f t="shared" si="7"/>
        <v>Greene</v>
      </c>
      <c r="D214" s="27">
        <v>112</v>
      </c>
      <c r="E214" s="27">
        <v>14546</v>
      </c>
      <c r="F214" s="27">
        <v>1902</v>
      </c>
      <c r="G214" s="27">
        <v>1087</v>
      </c>
      <c r="H214" s="27" t="s">
        <v>2014</v>
      </c>
    </row>
    <row r="215" spans="1:8" x14ac:dyDescent="0.25">
      <c r="A215" s="27" t="s">
        <v>789</v>
      </c>
      <c r="B215" s="27" t="str">
        <f t="shared" si="6"/>
        <v>Georgia</v>
      </c>
      <c r="C215" s="27" t="str">
        <f t="shared" si="7"/>
        <v>Gwinnett</v>
      </c>
      <c r="D215" s="27">
        <v>63</v>
      </c>
      <c r="E215" s="27">
        <v>17451</v>
      </c>
      <c r="F215" s="27">
        <v>1902</v>
      </c>
      <c r="G215" s="27">
        <v>1087</v>
      </c>
      <c r="H215" s="27" t="s">
        <v>2014</v>
      </c>
    </row>
    <row r="216" spans="1:8" x14ac:dyDescent="0.25">
      <c r="A216" s="27" t="s">
        <v>790</v>
      </c>
      <c r="B216" s="27" t="str">
        <f t="shared" si="6"/>
        <v>Georgia</v>
      </c>
      <c r="C216" s="27" t="str">
        <f t="shared" si="7"/>
        <v>Habersham</v>
      </c>
      <c r="D216" s="27">
        <v>61</v>
      </c>
      <c r="E216" s="27">
        <v>8352</v>
      </c>
      <c r="F216" s="27">
        <v>1902</v>
      </c>
      <c r="G216" s="27">
        <v>1087</v>
      </c>
      <c r="H216" s="27" t="s">
        <v>2014</v>
      </c>
    </row>
    <row r="217" spans="1:8" x14ac:dyDescent="0.25">
      <c r="A217" s="27" t="s">
        <v>791</v>
      </c>
      <c r="B217" s="27" t="str">
        <f t="shared" si="6"/>
        <v>Georgia</v>
      </c>
      <c r="C217" s="27" t="str">
        <f t="shared" si="7"/>
        <v>Hall</v>
      </c>
      <c r="D217" s="27">
        <v>1500</v>
      </c>
      <c r="E217" s="27">
        <v>11964</v>
      </c>
      <c r="F217" s="27">
        <v>1902</v>
      </c>
      <c r="G217" s="27">
        <v>1087</v>
      </c>
      <c r="H217" s="27" t="s">
        <v>2014</v>
      </c>
    </row>
    <row r="218" spans="1:8" x14ac:dyDescent="0.25">
      <c r="A218" s="27" t="s">
        <v>792</v>
      </c>
      <c r="B218" s="27" t="str">
        <f t="shared" si="6"/>
        <v>Georgia</v>
      </c>
      <c r="C218" s="27" t="str">
        <f t="shared" si="7"/>
        <v>Hancock</v>
      </c>
      <c r="E218" s="27">
        <v>15129</v>
      </c>
      <c r="F218" s="27">
        <v>1902</v>
      </c>
      <c r="G218" s="27">
        <v>1087</v>
      </c>
      <c r="H218" s="27" t="s">
        <v>2014</v>
      </c>
    </row>
    <row r="219" spans="1:8" x14ac:dyDescent="0.25">
      <c r="A219" s="27" t="s">
        <v>793</v>
      </c>
      <c r="B219" s="27" t="str">
        <f t="shared" si="6"/>
        <v>Georgia</v>
      </c>
      <c r="C219" s="27" t="str">
        <f t="shared" si="7"/>
        <v>Haralson</v>
      </c>
      <c r="E219" s="27">
        <v>8429</v>
      </c>
      <c r="F219" s="27">
        <v>1902</v>
      </c>
      <c r="G219" s="27">
        <v>1087</v>
      </c>
      <c r="H219" s="27" t="s">
        <v>2014</v>
      </c>
    </row>
    <row r="220" spans="1:8" x14ac:dyDescent="0.25">
      <c r="A220" s="27" t="s">
        <v>794</v>
      </c>
      <c r="B220" s="27" t="str">
        <f t="shared" si="6"/>
        <v>Georgia</v>
      </c>
      <c r="C220" s="27" t="str">
        <f t="shared" si="7"/>
        <v>Harris</v>
      </c>
      <c r="E220" s="27">
        <v>13025</v>
      </c>
      <c r="F220" s="27">
        <v>1902</v>
      </c>
      <c r="G220" s="27">
        <v>1087</v>
      </c>
      <c r="H220" s="27" t="s">
        <v>2014</v>
      </c>
    </row>
    <row r="221" spans="1:8" x14ac:dyDescent="0.25">
      <c r="A221" s="27" t="s">
        <v>795</v>
      </c>
      <c r="B221" s="27" t="str">
        <f t="shared" si="6"/>
        <v>Georgia</v>
      </c>
      <c r="C221" s="27" t="str">
        <f t="shared" si="7"/>
        <v>Hart</v>
      </c>
      <c r="D221" s="27">
        <v>151</v>
      </c>
      <c r="E221" s="27">
        <v>9922</v>
      </c>
      <c r="F221" s="27">
        <v>1902</v>
      </c>
      <c r="G221" s="27">
        <v>1087</v>
      </c>
      <c r="H221" s="27" t="s">
        <v>2014</v>
      </c>
    </row>
    <row r="222" spans="1:8" x14ac:dyDescent="0.25">
      <c r="A222" s="27" t="s">
        <v>796</v>
      </c>
      <c r="B222" s="27" t="str">
        <f t="shared" si="6"/>
        <v>Georgia</v>
      </c>
      <c r="C222" s="27" t="str">
        <f t="shared" si="7"/>
        <v>Heard</v>
      </c>
      <c r="E222" s="27">
        <v>7611</v>
      </c>
      <c r="F222" s="27">
        <v>1902</v>
      </c>
      <c r="G222" s="27">
        <v>1087</v>
      </c>
      <c r="H222" s="27" t="s">
        <v>2014</v>
      </c>
    </row>
    <row r="223" spans="1:8" x14ac:dyDescent="0.25">
      <c r="A223" s="27" t="s">
        <v>797</v>
      </c>
      <c r="B223" s="27" t="str">
        <f t="shared" si="6"/>
        <v>Georgia</v>
      </c>
      <c r="C223" s="27" t="str">
        <f t="shared" si="7"/>
        <v>Henry</v>
      </c>
      <c r="E223" s="27">
        <v>12531</v>
      </c>
      <c r="F223" s="27">
        <v>1902</v>
      </c>
      <c r="G223" s="27">
        <v>1087</v>
      </c>
      <c r="H223" s="27" t="s">
        <v>2014</v>
      </c>
    </row>
    <row r="224" spans="1:8" x14ac:dyDescent="0.25">
      <c r="A224" s="27" t="s">
        <v>798</v>
      </c>
      <c r="B224" s="27" t="str">
        <f t="shared" si="6"/>
        <v>Georgia</v>
      </c>
      <c r="C224" s="27" t="str">
        <f t="shared" si="7"/>
        <v>Houston</v>
      </c>
      <c r="E224" s="27">
        <v>15215</v>
      </c>
      <c r="F224" s="27">
        <v>1902</v>
      </c>
      <c r="G224" s="27">
        <v>1087</v>
      </c>
      <c r="H224" s="27" t="s">
        <v>2014</v>
      </c>
    </row>
    <row r="225" spans="1:8" x14ac:dyDescent="0.25">
      <c r="A225" s="27" t="s">
        <v>799</v>
      </c>
      <c r="B225" s="27" t="str">
        <f t="shared" si="6"/>
        <v>Georgia</v>
      </c>
      <c r="C225" s="27" t="str">
        <f t="shared" si="7"/>
        <v>Irwin</v>
      </c>
      <c r="E225" s="27">
        <v>8411</v>
      </c>
      <c r="F225" s="27">
        <v>1902</v>
      </c>
      <c r="G225" s="27">
        <v>1087</v>
      </c>
      <c r="H225" s="27" t="s">
        <v>2014</v>
      </c>
    </row>
    <row r="226" spans="1:8" x14ac:dyDescent="0.25">
      <c r="A226" s="27" t="s">
        <v>800</v>
      </c>
      <c r="B226" s="27" t="str">
        <f t="shared" si="6"/>
        <v>Georgia</v>
      </c>
      <c r="C226" s="27" t="str">
        <f t="shared" si="7"/>
        <v>Jackson</v>
      </c>
      <c r="D226" s="27">
        <v>341</v>
      </c>
      <c r="E226" s="27">
        <v>17299</v>
      </c>
      <c r="F226" s="27">
        <v>1902</v>
      </c>
      <c r="G226" s="27">
        <v>1087</v>
      </c>
      <c r="H226" s="27" t="s">
        <v>2014</v>
      </c>
    </row>
    <row r="227" spans="1:8" x14ac:dyDescent="0.25">
      <c r="A227" s="27" t="s">
        <v>801</v>
      </c>
      <c r="B227" s="27" t="str">
        <f t="shared" si="6"/>
        <v>Georgia</v>
      </c>
      <c r="C227" s="27" t="str">
        <f t="shared" si="7"/>
        <v>Jasper</v>
      </c>
      <c r="D227" s="27">
        <v>87</v>
      </c>
      <c r="E227" s="27">
        <v>10467</v>
      </c>
      <c r="F227" s="27">
        <v>1902</v>
      </c>
      <c r="G227" s="27">
        <v>1087</v>
      </c>
      <c r="H227" s="27" t="s">
        <v>2014</v>
      </c>
    </row>
    <row r="228" spans="1:8" x14ac:dyDescent="0.25">
      <c r="A228" s="27" t="s">
        <v>802</v>
      </c>
      <c r="B228" s="27" t="str">
        <f t="shared" si="6"/>
        <v>Georgia</v>
      </c>
      <c r="C228" s="27" t="str">
        <f t="shared" si="7"/>
        <v>Jeff Davis</v>
      </c>
      <c r="F228" s="27">
        <v>1902</v>
      </c>
      <c r="G228" s="27">
        <v>1087</v>
      </c>
      <c r="H228" s="27" t="s">
        <v>2014</v>
      </c>
    </row>
    <row r="229" spans="1:8" x14ac:dyDescent="0.25">
      <c r="A229" s="27" t="s">
        <v>803</v>
      </c>
      <c r="B229" s="27" t="str">
        <f t="shared" si="6"/>
        <v>Georgia</v>
      </c>
      <c r="C229" s="27" t="str">
        <f t="shared" si="7"/>
        <v>Jefferson</v>
      </c>
      <c r="E229" s="27">
        <v>13036</v>
      </c>
      <c r="F229" s="27">
        <v>1902</v>
      </c>
      <c r="G229" s="27">
        <v>1087</v>
      </c>
      <c r="H229" s="27" t="s">
        <v>2014</v>
      </c>
    </row>
    <row r="230" spans="1:8" x14ac:dyDescent="0.25">
      <c r="A230" s="27" t="s">
        <v>804</v>
      </c>
      <c r="B230" s="27" t="str">
        <f t="shared" si="6"/>
        <v>Georgia</v>
      </c>
      <c r="C230" s="27" t="str">
        <f t="shared" si="7"/>
        <v>Jenkins</v>
      </c>
      <c r="F230" s="27">
        <v>1902</v>
      </c>
      <c r="G230" s="27">
        <v>1087</v>
      </c>
      <c r="H230" s="27" t="s">
        <v>2014</v>
      </c>
    </row>
    <row r="231" spans="1:8" x14ac:dyDescent="0.25">
      <c r="A231" s="27" t="s">
        <v>805</v>
      </c>
      <c r="B231" s="27" t="str">
        <f t="shared" si="6"/>
        <v>Georgia</v>
      </c>
      <c r="C231" s="27" t="str">
        <f t="shared" si="7"/>
        <v>Johnson</v>
      </c>
      <c r="E231" s="27">
        <v>7490</v>
      </c>
      <c r="F231" s="27">
        <v>1902</v>
      </c>
      <c r="G231" s="27">
        <v>1087</v>
      </c>
      <c r="H231" s="27" t="s">
        <v>2014</v>
      </c>
    </row>
    <row r="232" spans="1:8" x14ac:dyDescent="0.25">
      <c r="A232" s="27" t="s">
        <v>806</v>
      </c>
      <c r="B232" s="27" t="str">
        <f t="shared" si="6"/>
        <v>Georgia</v>
      </c>
      <c r="C232" s="27" t="str">
        <f t="shared" si="7"/>
        <v>Jones</v>
      </c>
      <c r="E232" s="27">
        <v>11059</v>
      </c>
      <c r="F232" s="27">
        <v>1902</v>
      </c>
      <c r="G232" s="27">
        <v>1087</v>
      </c>
      <c r="H232" s="27" t="s">
        <v>2014</v>
      </c>
    </row>
    <row r="233" spans="1:8" x14ac:dyDescent="0.25">
      <c r="A233" s="27" t="s">
        <v>807</v>
      </c>
      <c r="B233" s="27" t="str">
        <f t="shared" si="6"/>
        <v>Georgia</v>
      </c>
      <c r="C233" s="27" t="str">
        <f t="shared" si="7"/>
        <v>Lamar</v>
      </c>
      <c r="F233" s="27">
        <v>1902</v>
      </c>
      <c r="G233" s="27">
        <v>1087</v>
      </c>
      <c r="H233" s="27" t="s">
        <v>2014</v>
      </c>
    </row>
    <row r="234" spans="1:8" x14ac:dyDescent="0.25">
      <c r="A234" s="27" t="s">
        <v>808</v>
      </c>
      <c r="B234" s="27" t="str">
        <f t="shared" si="6"/>
        <v>Georgia</v>
      </c>
      <c r="C234" s="27" t="str">
        <f t="shared" si="7"/>
        <v>Lanier</v>
      </c>
      <c r="F234" s="27">
        <v>1902</v>
      </c>
      <c r="G234" s="27">
        <v>1087</v>
      </c>
      <c r="H234" s="27" t="s">
        <v>2014</v>
      </c>
    </row>
    <row r="235" spans="1:8" x14ac:dyDescent="0.25">
      <c r="A235" s="27" t="s">
        <v>809</v>
      </c>
      <c r="B235" s="27" t="str">
        <f t="shared" si="6"/>
        <v>Georgia</v>
      </c>
      <c r="C235" s="27" t="str">
        <f t="shared" si="7"/>
        <v>Laurens</v>
      </c>
      <c r="E235" s="27">
        <v>16660</v>
      </c>
      <c r="F235" s="27">
        <v>1902</v>
      </c>
      <c r="G235" s="27">
        <v>1087</v>
      </c>
      <c r="H235" s="27" t="s">
        <v>2014</v>
      </c>
    </row>
    <row r="236" spans="1:8" x14ac:dyDescent="0.25">
      <c r="A236" s="27" t="s">
        <v>810</v>
      </c>
      <c r="B236" s="27" t="str">
        <f t="shared" si="6"/>
        <v>Georgia</v>
      </c>
      <c r="C236" s="27" t="str">
        <f t="shared" si="7"/>
        <v>Lee</v>
      </c>
      <c r="E236" s="27">
        <v>6466</v>
      </c>
      <c r="F236" s="27">
        <v>1902</v>
      </c>
      <c r="G236" s="27">
        <v>1087</v>
      </c>
      <c r="H236" s="27" t="s">
        <v>2014</v>
      </c>
    </row>
    <row r="237" spans="1:8" x14ac:dyDescent="0.25">
      <c r="A237" s="27" t="s">
        <v>811</v>
      </c>
      <c r="B237" s="27" t="str">
        <f t="shared" si="6"/>
        <v>Georgia</v>
      </c>
      <c r="C237" s="27" t="str">
        <f t="shared" si="7"/>
        <v>Liberty</v>
      </c>
      <c r="E237" s="27">
        <v>8695</v>
      </c>
      <c r="F237" s="27">
        <v>1902</v>
      </c>
      <c r="G237" s="27">
        <v>1087</v>
      </c>
      <c r="H237" s="27" t="s">
        <v>2014</v>
      </c>
    </row>
    <row r="238" spans="1:8" x14ac:dyDescent="0.25">
      <c r="A238" s="27" t="s">
        <v>812</v>
      </c>
      <c r="B238" s="27" t="str">
        <f t="shared" si="6"/>
        <v>Georgia</v>
      </c>
      <c r="C238" s="27" t="str">
        <f t="shared" si="7"/>
        <v>Lincoln</v>
      </c>
      <c r="E238" s="27">
        <v>4798</v>
      </c>
      <c r="F238" s="27">
        <v>1902</v>
      </c>
      <c r="G238" s="27">
        <v>1087</v>
      </c>
      <c r="H238" s="27" t="s">
        <v>2014</v>
      </c>
    </row>
    <row r="239" spans="1:8" x14ac:dyDescent="0.25">
      <c r="A239" s="27" t="s">
        <v>813</v>
      </c>
      <c r="B239" s="27" t="str">
        <f t="shared" si="6"/>
        <v>Georgia</v>
      </c>
      <c r="C239" s="27" t="str">
        <f t="shared" si="7"/>
        <v>Long</v>
      </c>
      <c r="F239" s="27">
        <v>1902</v>
      </c>
      <c r="G239" s="27">
        <v>1087</v>
      </c>
      <c r="H239" s="27" t="s">
        <v>2014</v>
      </c>
    </row>
    <row r="240" spans="1:8" x14ac:dyDescent="0.25">
      <c r="A240" s="27" t="s">
        <v>814</v>
      </c>
      <c r="B240" s="27" t="str">
        <f t="shared" si="6"/>
        <v>Georgia</v>
      </c>
      <c r="C240" s="27" t="str">
        <f t="shared" si="7"/>
        <v>Lowndes</v>
      </c>
      <c r="E240" s="27">
        <v>13047</v>
      </c>
      <c r="F240" s="27">
        <v>1902</v>
      </c>
      <c r="G240" s="27">
        <v>1087</v>
      </c>
      <c r="H240" s="27" t="s">
        <v>2014</v>
      </c>
    </row>
    <row r="241" spans="1:8" x14ac:dyDescent="0.25">
      <c r="A241" s="27" t="s">
        <v>815</v>
      </c>
      <c r="B241" s="27" t="str">
        <f t="shared" si="6"/>
        <v>Georgia</v>
      </c>
      <c r="C241" s="27" t="str">
        <f t="shared" si="7"/>
        <v>Lumpkin</v>
      </c>
      <c r="E241" s="27">
        <v>5615</v>
      </c>
      <c r="F241" s="27">
        <v>1902</v>
      </c>
      <c r="G241" s="27">
        <v>1087</v>
      </c>
      <c r="H241" s="27" t="s">
        <v>2014</v>
      </c>
    </row>
    <row r="242" spans="1:8" x14ac:dyDescent="0.25">
      <c r="A242" s="27" t="s">
        <v>816</v>
      </c>
      <c r="B242" s="27" t="str">
        <f t="shared" si="6"/>
        <v>Georgia</v>
      </c>
      <c r="C242" s="27" t="str">
        <f t="shared" si="7"/>
        <v>McDuffie</v>
      </c>
      <c r="E242" s="27">
        <v>6832</v>
      </c>
      <c r="F242" s="27">
        <v>1902</v>
      </c>
      <c r="G242" s="27">
        <v>1087</v>
      </c>
      <c r="H242" s="27" t="s">
        <v>2014</v>
      </c>
    </row>
    <row r="243" spans="1:8" x14ac:dyDescent="0.25">
      <c r="A243" s="27" t="s">
        <v>817</v>
      </c>
      <c r="B243" s="27" t="str">
        <f t="shared" si="6"/>
        <v>Georgia</v>
      </c>
      <c r="C243" s="27" t="str">
        <f t="shared" si="7"/>
        <v>McIntosh</v>
      </c>
      <c r="E243" s="27">
        <v>4999</v>
      </c>
      <c r="F243" s="27">
        <v>1902</v>
      </c>
      <c r="G243" s="27">
        <v>1087</v>
      </c>
      <c r="H243" s="27" t="s">
        <v>2014</v>
      </c>
    </row>
    <row r="244" spans="1:8" x14ac:dyDescent="0.25">
      <c r="A244" s="27" t="s">
        <v>818</v>
      </c>
      <c r="B244" s="27" t="str">
        <f t="shared" si="6"/>
        <v>Georgia</v>
      </c>
      <c r="C244" s="27" t="str">
        <f t="shared" si="7"/>
        <v>Macon</v>
      </c>
      <c r="E244" s="27">
        <v>10082</v>
      </c>
      <c r="F244" s="27">
        <v>1902</v>
      </c>
      <c r="G244" s="27">
        <v>1087</v>
      </c>
      <c r="H244" s="27" t="s">
        <v>2014</v>
      </c>
    </row>
    <row r="245" spans="1:8" x14ac:dyDescent="0.25">
      <c r="A245" s="27" t="s">
        <v>819</v>
      </c>
      <c r="B245" s="27" t="str">
        <f t="shared" si="6"/>
        <v>Georgia</v>
      </c>
      <c r="C245" s="27" t="str">
        <f t="shared" si="7"/>
        <v>Madison</v>
      </c>
      <c r="E245" s="27">
        <v>8616</v>
      </c>
      <c r="F245" s="27">
        <v>1902</v>
      </c>
      <c r="G245" s="27">
        <v>1087</v>
      </c>
      <c r="H245" s="27" t="s">
        <v>2014</v>
      </c>
    </row>
    <row r="246" spans="1:8" x14ac:dyDescent="0.25">
      <c r="A246" s="27" t="s">
        <v>820</v>
      </c>
      <c r="B246" s="27" t="str">
        <f t="shared" si="6"/>
        <v>Georgia</v>
      </c>
      <c r="C246" s="27" t="str">
        <f t="shared" si="7"/>
        <v>Marion</v>
      </c>
      <c r="E246" s="27">
        <v>6485</v>
      </c>
      <c r="F246" s="27">
        <v>1902</v>
      </c>
      <c r="G246" s="27">
        <v>1087</v>
      </c>
      <c r="H246" s="27" t="s">
        <v>2014</v>
      </c>
    </row>
    <row r="247" spans="1:8" x14ac:dyDescent="0.25">
      <c r="A247" s="27" t="s">
        <v>821</v>
      </c>
      <c r="B247" s="27" t="str">
        <f t="shared" si="6"/>
        <v>Georgia</v>
      </c>
      <c r="C247" s="27" t="str">
        <f t="shared" si="7"/>
        <v>Meriwether</v>
      </c>
      <c r="D247" s="27">
        <v>456</v>
      </c>
      <c r="E247" s="27">
        <v>24779</v>
      </c>
      <c r="F247" s="27">
        <v>1902</v>
      </c>
      <c r="G247" s="27">
        <v>1087</v>
      </c>
      <c r="H247" s="27" t="s">
        <v>2014</v>
      </c>
    </row>
    <row r="248" spans="1:8" x14ac:dyDescent="0.25">
      <c r="A248" s="27" t="s">
        <v>822</v>
      </c>
      <c r="B248" s="27" t="str">
        <f t="shared" si="6"/>
        <v>Georgia</v>
      </c>
      <c r="C248" s="27" t="str">
        <f t="shared" si="7"/>
        <v>Miller</v>
      </c>
      <c r="E248" s="27">
        <v>4246</v>
      </c>
      <c r="F248" s="27">
        <v>1902</v>
      </c>
      <c r="G248" s="27">
        <v>1087</v>
      </c>
      <c r="H248" s="27" t="s">
        <v>2014</v>
      </c>
    </row>
    <row r="249" spans="1:8" x14ac:dyDescent="0.25">
      <c r="A249" s="27" t="s">
        <v>823</v>
      </c>
      <c r="B249" s="27" t="str">
        <f t="shared" si="6"/>
        <v>Georgia</v>
      </c>
      <c r="C249" s="27" t="str">
        <f t="shared" si="7"/>
        <v>Milton</v>
      </c>
      <c r="E249" s="27">
        <v>4032</v>
      </c>
      <c r="F249" s="27">
        <v>1902</v>
      </c>
      <c r="G249" s="27">
        <v>1087</v>
      </c>
      <c r="H249" s="27" t="s">
        <v>2014</v>
      </c>
    </row>
    <row r="250" spans="1:8" x14ac:dyDescent="0.25">
      <c r="A250" s="27" t="s">
        <v>824</v>
      </c>
      <c r="B250" s="27" t="str">
        <f t="shared" si="6"/>
        <v>Georgia</v>
      </c>
      <c r="C250" s="27" t="str">
        <f t="shared" si="7"/>
        <v>Mitchell</v>
      </c>
      <c r="E250" s="27">
        <v>10047</v>
      </c>
      <c r="F250" s="27">
        <v>1902</v>
      </c>
      <c r="G250" s="27">
        <v>1087</v>
      </c>
      <c r="H250" s="27" t="s">
        <v>2014</v>
      </c>
    </row>
    <row r="251" spans="1:8" x14ac:dyDescent="0.25">
      <c r="A251" s="27" t="s">
        <v>825</v>
      </c>
      <c r="B251" s="27" t="str">
        <f t="shared" si="6"/>
        <v>Georgia</v>
      </c>
      <c r="C251" s="27" t="str">
        <f t="shared" si="7"/>
        <v>Monroe</v>
      </c>
      <c r="E251" s="27">
        <v>16037</v>
      </c>
      <c r="F251" s="27">
        <v>1902</v>
      </c>
      <c r="G251" s="27">
        <v>1087</v>
      </c>
      <c r="H251" s="27" t="s">
        <v>2014</v>
      </c>
    </row>
    <row r="252" spans="1:8" x14ac:dyDescent="0.25">
      <c r="A252" s="27" t="s">
        <v>826</v>
      </c>
      <c r="B252" s="27" t="str">
        <f t="shared" si="6"/>
        <v>Georgia</v>
      </c>
      <c r="C252" s="27" t="str">
        <f t="shared" si="7"/>
        <v>Montgomery</v>
      </c>
      <c r="D252" s="27">
        <v>11</v>
      </c>
      <c r="E252" s="27">
        <v>8173</v>
      </c>
      <c r="F252" s="27">
        <v>1902</v>
      </c>
      <c r="G252" s="27">
        <v>1087</v>
      </c>
      <c r="H252" s="27" t="s">
        <v>2014</v>
      </c>
    </row>
    <row r="253" spans="1:8" x14ac:dyDescent="0.25">
      <c r="A253" s="27" t="s">
        <v>827</v>
      </c>
      <c r="B253" s="27" t="str">
        <f t="shared" si="6"/>
        <v>Georgia</v>
      </c>
      <c r="C253" s="27" t="str">
        <f t="shared" si="7"/>
        <v>Morgan</v>
      </c>
      <c r="D253" s="27">
        <v>1828</v>
      </c>
      <c r="E253" s="27">
        <v>12263</v>
      </c>
      <c r="F253" s="27">
        <v>1902</v>
      </c>
      <c r="G253" s="27">
        <v>1087</v>
      </c>
      <c r="H253" s="27" t="s">
        <v>2014</v>
      </c>
    </row>
    <row r="254" spans="1:8" x14ac:dyDescent="0.25">
      <c r="A254" s="27" t="s">
        <v>828</v>
      </c>
      <c r="B254" s="27" t="str">
        <f t="shared" si="6"/>
        <v>Georgia</v>
      </c>
      <c r="C254" s="27" t="str">
        <f t="shared" si="7"/>
        <v>Murray</v>
      </c>
      <c r="D254" s="27">
        <v>359</v>
      </c>
      <c r="E254" s="27">
        <v>6869</v>
      </c>
      <c r="F254" s="27">
        <v>1902</v>
      </c>
      <c r="G254" s="27">
        <v>1087</v>
      </c>
      <c r="H254" s="27" t="s">
        <v>2014</v>
      </c>
    </row>
    <row r="255" spans="1:8" x14ac:dyDescent="0.25">
      <c r="A255" s="27" t="s">
        <v>829</v>
      </c>
      <c r="B255" s="27" t="str">
        <f t="shared" si="6"/>
        <v>Georgia</v>
      </c>
      <c r="C255" s="27" t="str">
        <f t="shared" si="7"/>
        <v>Muscogee</v>
      </c>
      <c r="E255" s="27">
        <v>8184</v>
      </c>
      <c r="F255" s="27">
        <v>1902</v>
      </c>
      <c r="G255" s="27">
        <v>1087</v>
      </c>
      <c r="H255" s="27" t="s">
        <v>2014</v>
      </c>
    </row>
    <row r="256" spans="1:8" x14ac:dyDescent="0.25">
      <c r="A256" s="27" t="s">
        <v>830</v>
      </c>
      <c r="B256" s="27" t="str">
        <f t="shared" si="6"/>
        <v>Georgia</v>
      </c>
      <c r="C256" s="27" t="str">
        <f t="shared" si="7"/>
        <v>Newton</v>
      </c>
      <c r="D256" s="27">
        <v>2015</v>
      </c>
      <c r="E256" s="27">
        <v>10458</v>
      </c>
      <c r="F256" s="27">
        <v>1902</v>
      </c>
      <c r="G256" s="27">
        <v>1087</v>
      </c>
      <c r="H256" s="27" t="s">
        <v>2014</v>
      </c>
    </row>
    <row r="257" spans="1:8" x14ac:dyDescent="0.25">
      <c r="A257" s="27" t="s">
        <v>831</v>
      </c>
      <c r="B257" s="27" t="str">
        <f t="shared" si="6"/>
        <v>Georgia</v>
      </c>
      <c r="C257" s="27" t="str">
        <f t="shared" si="7"/>
        <v>Oconee</v>
      </c>
      <c r="E257" s="27">
        <v>6356</v>
      </c>
      <c r="F257" s="27">
        <v>1902</v>
      </c>
      <c r="G257" s="27">
        <v>1087</v>
      </c>
      <c r="H257" s="27" t="s">
        <v>2014</v>
      </c>
    </row>
    <row r="258" spans="1:8" x14ac:dyDescent="0.25">
      <c r="A258" s="27" t="s">
        <v>832</v>
      </c>
      <c r="B258" s="27" t="str">
        <f t="shared" si="6"/>
        <v>Georgia</v>
      </c>
      <c r="C258" s="27" t="str">
        <f t="shared" si="7"/>
        <v>Oglethorpe</v>
      </c>
      <c r="E258" s="27">
        <v>11644</v>
      </c>
      <c r="F258" s="27">
        <v>1902</v>
      </c>
      <c r="G258" s="27">
        <v>1087</v>
      </c>
      <c r="H258" s="27" t="s">
        <v>2014</v>
      </c>
    </row>
    <row r="259" spans="1:8" x14ac:dyDescent="0.25">
      <c r="A259" s="27" t="s">
        <v>833</v>
      </c>
      <c r="B259" s="27" t="str">
        <f t="shared" ref="B259:B322" si="8">LEFT(A259,FIND(";",A259)-1)</f>
        <v>Georgia</v>
      </c>
      <c r="C259" s="27" t="str">
        <f t="shared" ref="C259:C322" si="9">MID(A259,FIND(";",A259)+1,100)</f>
        <v>Paulding</v>
      </c>
      <c r="D259" s="27">
        <v>500</v>
      </c>
      <c r="E259" s="27">
        <v>9278</v>
      </c>
      <c r="F259" s="27">
        <v>1902</v>
      </c>
      <c r="G259" s="27">
        <v>1087</v>
      </c>
      <c r="H259" s="27" t="s">
        <v>2014</v>
      </c>
    </row>
    <row r="260" spans="1:8" x14ac:dyDescent="0.25">
      <c r="A260" s="27" t="s">
        <v>834</v>
      </c>
      <c r="B260" s="27" t="str">
        <f t="shared" si="8"/>
        <v>Georgia</v>
      </c>
      <c r="C260" s="27" t="str">
        <f t="shared" si="9"/>
        <v>Peach</v>
      </c>
      <c r="F260" s="27">
        <v>1902</v>
      </c>
      <c r="G260" s="27">
        <v>1087</v>
      </c>
      <c r="H260" s="27" t="s">
        <v>2014</v>
      </c>
    </row>
    <row r="261" spans="1:8" x14ac:dyDescent="0.25">
      <c r="A261" s="27" t="s">
        <v>835</v>
      </c>
      <c r="B261" s="27" t="str">
        <f t="shared" si="8"/>
        <v>Georgia</v>
      </c>
      <c r="C261" s="27" t="str">
        <f t="shared" si="9"/>
        <v>Pickens</v>
      </c>
      <c r="E261" s="27">
        <v>6068</v>
      </c>
      <c r="F261" s="27">
        <v>1902</v>
      </c>
      <c r="G261" s="27">
        <v>1087</v>
      </c>
      <c r="H261" s="27" t="s">
        <v>2014</v>
      </c>
    </row>
    <row r="262" spans="1:8" x14ac:dyDescent="0.25">
      <c r="A262" s="27" t="s">
        <v>836</v>
      </c>
      <c r="B262" s="27" t="str">
        <f t="shared" si="8"/>
        <v>Georgia</v>
      </c>
      <c r="C262" s="27" t="str">
        <f t="shared" si="9"/>
        <v>Pierce</v>
      </c>
      <c r="E262" s="27">
        <v>5981</v>
      </c>
      <c r="F262" s="27">
        <v>1902</v>
      </c>
      <c r="G262" s="27">
        <v>1087</v>
      </c>
      <c r="H262" s="27" t="s">
        <v>2014</v>
      </c>
    </row>
    <row r="263" spans="1:8" x14ac:dyDescent="0.25">
      <c r="A263" s="27" t="s">
        <v>837</v>
      </c>
      <c r="B263" s="27" t="str">
        <f t="shared" si="8"/>
        <v>Georgia</v>
      </c>
      <c r="C263" s="27" t="str">
        <f t="shared" si="9"/>
        <v>Pike</v>
      </c>
      <c r="E263" s="27">
        <v>12492</v>
      </c>
      <c r="F263" s="27">
        <v>1902</v>
      </c>
      <c r="G263" s="27">
        <v>1087</v>
      </c>
      <c r="H263" s="27" t="s">
        <v>2014</v>
      </c>
    </row>
    <row r="264" spans="1:8" x14ac:dyDescent="0.25">
      <c r="A264" s="27" t="s">
        <v>838</v>
      </c>
      <c r="B264" s="27" t="str">
        <f t="shared" si="8"/>
        <v>Georgia</v>
      </c>
      <c r="C264" s="27" t="str">
        <f t="shared" si="9"/>
        <v>Polk</v>
      </c>
      <c r="E264" s="27">
        <v>11574</v>
      </c>
      <c r="F264" s="27">
        <v>1902</v>
      </c>
      <c r="G264" s="27">
        <v>1087</v>
      </c>
      <c r="H264" s="27" t="s">
        <v>2014</v>
      </c>
    </row>
    <row r="265" spans="1:8" x14ac:dyDescent="0.25">
      <c r="A265" s="27" t="s">
        <v>839</v>
      </c>
      <c r="B265" s="27" t="str">
        <f t="shared" si="8"/>
        <v>Georgia</v>
      </c>
      <c r="C265" s="27" t="str">
        <f t="shared" si="9"/>
        <v>Pulaski</v>
      </c>
      <c r="E265" s="27">
        <v>15155</v>
      </c>
      <c r="F265" s="27">
        <v>1902</v>
      </c>
      <c r="G265" s="27">
        <v>1087</v>
      </c>
      <c r="H265" s="27" t="s">
        <v>2014</v>
      </c>
    </row>
    <row r="266" spans="1:8" x14ac:dyDescent="0.25">
      <c r="A266" s="27" t="s">
        <v>840</v>
      </c>
      <c r="B266" s="27" t="str">
        <f t="shared" si="8"/>
        <v>Georgia</v>
      </c>
      <c r="C266" s="27" t="str">
        <f t="shared" si="9"/>
        <v>Putnam</v>
      </c>
      <c r="E266" s="27">
        <v>12200</v>
      </c>
      <c r="F266" s="27">
        <v>1902</v>
      </c>
      <c r="G266" s="27">
        <v>1087</v>
      </c>
      <c r="H266" s="27" t="s">
        <v>2014</v>
      </c>
    </row>
    <row r="267" spans="1:8" x14ac:dyDescent="0.25">
      <c r="A267" s="27" t="s">
        <v>841</v>
      </c>
      <c r="B267" s="27" t="str">
        <f t="shared" si="8"/>
        <v>Georgia</v>
      </c>
      <c r="C267" s="27" t="str">
        <f t="shared" si="9"/>
        <v>Quitman</v>
      </c>
      <c r="E267" s="27">
        <v>3110</v>
      </c>
      <c r="F267" s="27">
        <v>1902</v>
      </c>
      <c r="G267" s="27">
        <v>1087</v>
      </c>
      <c r="H267" s="27" t="s">
        <v>2014</v>
      </c>
    </row>
    <row r="268" spans="1:8" x14ac:dyDescent="0.25">
      <c r="A268" s="27" t="s">
        <v>842</v>
      </c>
      <c r="B268" s="27" t="str">
        <f t="shared" si="8"/>
        <v>Georgia</v>
      </c>
      <c r="C268" s="27" t="str">
        <f t="shared" si="9"/>
        <v>Rabun</v>
      </c>
      <c r="D268" s="27">
        <v>10</v>
      </c>
      <c r="E268" s="27">
        <v>4807</v>
      </c>
      <c r="F268" s="27">
        <v>1902</v>
      </c>
      <c r="G268" s="27">
        <v>1087</v>
      </c>
      <c r="H268" s="27" t="s">
        <v>2014</v>
      </c>
    </row>
    <row r="269" spans="1:8" x14ac:dyDescent="0.25">
      <c r="A269" s="27" t="s">
        <v>843</v>
      </c>
      <c r="B269" s="27" t="str">
        <f t="shared" si="8"/>
        <v>Georgia</v>
      </c>
      <c r="C269" s="27" t="str">
        <f t="shared" si="9"/>
        <v>Randolph</v>
      </c>
      <c r="E269" s="27">
        <v>14153</v>
      </c>
      <c r="F269" s="27">
        <v>1902</v>
      </c>
      <c r="G269" s="27">
        <v>1087</v>
      </c>
      <c r="H269" s="27" t="s">
        <v>2014</v>
      </c>
    </row>
    <row r="270" spans="1:8" x14ac:dyDescent="0.25">
      <c r="A270" s="27" t="s">
        <v>844</v>
      </c>
      <c r="B270" s="27" t="str">
        <f t="shared" si="8"/>
        <v>Georgia</v>
      </c>
      <c r="C270" s="27" t="str">
        <f t="shared" si="9"/>
        <v>Richmond</v>
      </c>
      <c r="D270" s="27">
        <v>2093</v>
      </c>
      <c r="F270" s="27">
        <v>1902</v>
      </c>
      <c r="G270" s="27">
        <v>1087</v>
      </c>
      <c r="H270" s="27" t="s">
        <v>2014</v>
      </c>
    </row>
    <row r="271" spans="1:8" x14ac:dyDescent="0.25">
      <c r="A271" s="27" t="s">
        <v>845</v>
      </c>
      <c r="B271" s="27" t="str">
        <f t="shared" si="8"/>
        <v>Georgia</v>
      </c>
      <c r="C271" s="27" t="str">
        <f t="shared" si="9"/>
        <v>Rockdale</v>
      </c>
      <c r="D271" s="27">
        <v>416</v>
      </c>
      <c r="E271" s="27">
        <v>4139</v>
      </c>
      <c r="F271" s="27">
        <v>1902</v>
      </c>
      <c r="G271" s="27">
        <v>1087</v>
      </c>
      <c r="H271" s="27" t="s">
        <v>2014</v>
      </c>
    </row>
    <row r="272" spans="1:8" x14ac:dyDescent="0.25">
      <c r="A272" s="27" t="s">
        <v>846</v>
      </c>
      <c r="B272" s="27" t="str">
        <f t="shared" si="8"/>
        <v>Georgia</v>
      </c>
      <c r="C272" s="27" t="str">
        <f t="shared" si="9"/>
        <v>Schley</v>
      </c>
      <c r="E272" s="27">
        <v>4117</v>
      </c>
      <c r="F272" s="27">
        <v>1902</v>
      </c>
      <c r="G272" s="27">
        <v>1087</v>
      </c>
      <c r="H272" s="27" t="s">
        <v>2014</v>
      </c>
    </row>
    <row r="273" spans="1:8" x14ac:dyDescent="0.25">
      <c r="A273" s="27" t="s">
        <v>847</v>
      </c>
      <c r="B273" s="27" t="str">
        <f t="shared" si="8"/>
        <v>Georgia</v>
      </c>
      <c r="C273" s="27" t="str">
        <f t="shared" si="9"/>
        <v>Screven</v>
      </c>
      <c r="E273" s="27">
        <v>13241</v>
      </c>
      <c r="F273" s="27">
        <v>1902</v>
      </c>
      <c r="G273" s="27">
        <v>1087</v>
      </c>
      <c r="H273" s="27" t="s">
        <v>2014</v>
      </c>
    </row>
    <row r="274" spans="1:8" x14ac:dyDescent="0.25">
      <c r="A274" s="27" t="s">
        <v>848</v>
      </c>
      <c r="B274" s="27" t="str">
        <f t="shared" si="8"/>
        <v>Georgia</v>
      </c>
      <c r="C274" s="27" t="str">
        <f t="shared" si="9"/>
        <v>Seminole</v>
      </c>
      <c r="F274" s="27">
        <v>1902</v>
      </c>
      <c r="G274" s="27">
        <v>1087</v>
      </c>
      <c r="H274" s="27" t="s">
        <v>2014</v>
      </c>
    </row>
    <row r="275" spans="1:8" x14ac:dyDescent="0.25">
      <c r="A275" s="27" t="s">
        <v>849</v>
      </c>
      <c r="B275" s="27" t="str">
        <f t="shared" si="8"/>
        <v>Georgia</v>
      </c>
      <c r="C275" s="27" t="str">
        <f t="shared" si="9"/>
        <v>Spalding</v>
      </c>
      <c r="D275" s="27">
        <v>500</v>
      </c>
      <c r="E275" s="27">
        <v>6961</v>
      </c>
      <c r="F275" s="27">
        <v>1902</v>
      </c>
      <c r="G275" s="27">
        <v>1087</v>
      </c>
      <c r="H275" s="27" t="s">
        <v>2014</v>
      </c>
    </row>
    <row r="276" spans="1:8" x14ac:dyDescent="0.25">
      <c r="A276" s="27" t="s">
        <v>850</v>
      </c>
      <c r="B276" s="27" t="str">
        <f t="shared" si="8"/>
        <v>Georgia</v>
      </c>
      <c r="C276" s="27" t="str">
        <f t="shared" si="9"/>
        <v>Stephens</v>
      </c>
      <c r="F276" s="27">
        <v>1902</v>
      </c>
      <c r="G276" s="27">
        <v>1087</v>
      </c>
      <c r="H276" s="27" t="s">
        <v>2014</v>
      </c>
    </row>
    <row r="277" spans="1:8" x14ac:dyDescent="0.25">
      <c r="A277" s="27" t="s">
        <v>851</v>
      </c>
      <c r="B277" s="27" t="str">
        <f t="shared" si="8"/>
        <v>Georgia</v>
      </c>
      <c r="C277" s="27" t="str">
        <f t="shared" si="9"/>
        <v>Stewart</v>
      </c>
      <c r="E277" s="27">
        <v>12341</v>
      </c>
      <c r="F277" s="27">
        <v>1902</v>
      </c>
      <c r="G277" s="27">
        <v>1087</v>
      </c>
      <c r="H277" s="27" t="s">
        <v>2014</v>
      </c>
    </row>
    <row r="278" spans="1:8" x14ac:dyDescent="0.25">
      <c r="A278" s="27" t="s">
        <v>852</v>
      </c>
      <c r="B278" s="27" t="str">
        <f t="shared" si="8"/>
        <v>Georgia</v>
      </c>
      <c r="C278" s="27" t="str">
        <f t="shared" si="9"/>
        <v>Sumter</v>
      </c>
      <c r="E278" s="27">
        <v>12001</v>
      </c>
      <c r="F278" s="27">
        <v>1902</v>
      </c>
      <c r="G278" s="27">
        <v>1087</v>
      </c>
      <c r="H278" s="27" t="s">
        <v>2014</v>
      </c>
    </row>
    <row r="279" spans="1:8" x14ac:dyDescent="0.25">
      <c r="A279" s="27" t="s">
        <v>853</v>
      </c>
      <c r="B279" s="27" t="str">
        <f t="shared" si="8"/>
        <v>Georgia</v>
      </c>
      <c r="C279" s="27" t="str">
        <f t="shared" si="9"/>
        <v>Talbot</v>
      </c>
      <c r="E279" s="27">
        <v>10018</v>
      </c>
      <c r="F279" s="27">
        <v>1902</v>
      </c>
      <c r="G279" s="27">
        <v>1087</v>
      </c>
      <c r="H279" s="27" t="s">
        <v>2014</v>
      </c>
    </row>
    <row r="280" spans="1:8" x14ac:dyDescent="0.25">
      <c r="A280" s="27" t="s">
        <v>854</v>
      </c>
      <c r="B280" s="27" t="str">
        <f t="shared" si="8"/>
        <v>Georgia</v>
      </c>
      <c r="C280" s="27" t="str">
        <f t="shared" si="9"/>
        <v>Taliaferro</v>
      </c>
      <c r="E280" s="27">
        <v>5539</v>
      </c>
      <c r="F280" s="27">
        <v>1902</v>
      </c>
      <c r="G280" s="27">
        <v>1087</v>
      </c>
      <c r="H280" s="27" t="s">
        <v>2014</v>
      </c>
    </row>
    <row r="281" spans="1:8" x14ac:dyDescent="0.25">
      <c r="A281" s="27" t="s">
        <v>855</v>
      </c>
      <c r="B281" s="27" t="str">
        <f t="shared" si="8"/>
        <v>Georgia</v>
      </c>
      <c r="C281" s="27" t="str">
        <f t="shared" si="9"/>
        <v>Tattnall</v>
      </c>
      <c r="E281" s="27">
        <v>12589</v>
      </c>
      <c r="F281" s="27">
        <v>1902</v>
      </c>
      <c r="G281" s="27">
        <v>1087</v>
      </c>
      <c r="H281" s="27" t="s">
        <v>2014</v>
      </c>
    </row>
    <row r="282" spans="1:8" x14ac:dyDescent="0.25">
      <c r="A282" s="27" t="s">
        <v>856</v>
      </c>
      <c r="B282" s="27" t="str">
        <f t="shared" si="8"/>
        <v>Georgia</v>
      </c>
      <c r="C282" s="27" t="str">
        <f t="shared" si="9"/>
        <v>Taylor</v>
      </c>
      <c r="E282" s="27">
        <v>6217</v>
      </c>
      <c r="F282" s="27">
        <v>1902</v>
      </c>
      <c r="G282" s="27">
        <v>1087</v>
      </c>
      <c r="H282" s="27" t="s">
        <v>2014</v>
      </c>
    </row>
    <row r="283" spans="1:8" x14ac:dyDescent="0.25">
      <c r="A283" s="27" t="s">
        <v>857</v>
      </c>
      <c r="B283" s="27" t="str">
        <f t="shared" si="8"/>
        <v>Georgia</v>
      </c>
      <c r="C283" s="27" t="str">
        <f t="shared" si="9"/>
        <v>Telfair</v>
      </c>
      <c r="E283" s="27">
        <v>5741</v>
      </c>
      <c r="F283" s="27">
        <v>1902</v>
      </c>
      <c r="G283" s="27">
        <v>1087</v>
      </c>
      <c r="H283" s="27" t="s">
        <v>2014</v>
      </c>
    </row>
    <row r="284" spans="1:8" x14ac:dyDescent="0.25">
      <c r="A284" s="27" t="s">
        <v>858</v>
      </c>
      <c r="B284" s="27" t="str">
        <f t="shared" si="8"/>
        <v>Georgia</v>
      </c>
      <c r="C284" s="27" t="str">
        <f t="shared" si="9"/>
        <v>Terrell</v>
      </c>
      <c r="E284" s="27">
        <v>11135</v>
      </c>
      <c r="F284" s="27">
        <v>1902</v>
      </c>
      <c r="G284" s="27">
        <v>1087</v>
      </c>
      <c r="H284" s="27" t="s">
        <v>2014</v>
      </c>
    </row>
    <row r="285" spans="1:8" x14ac:dyDescent="0.25">
      <c r="A285" s="27" t="s">
        <v>859</v>
      </c>
      <c r="B285" s="27" t="str">
        <f t="shared" si="8"/>
        <v>Georgia</v>
      </c>
      <c r="C285" s="27" t="str">
        <f t="shared" si="9"/>
        <v>Thomas</v>
      </c>
      <c r="E285" s="27">
        <v>17777</v>
      </c>
      <c r="F285" s="27">
        <v>1902</v>
      </c>
      <c r="G285" s="27">
        <v>1087</v>
      </c>
      <c r="H285" s="27" t="s">
        <v>2014</v>
      </c>
    </row>
    <row r="286" spans="1:8" x14ac:dyDescent="0.25">
      <c r="A286" s="27" t="s">
        <v>860</v>
      </c>
      <c r="B286" s="27" t="str">
        <f t="shared" si="8"/>
        <v>Georgia</v>
      </c>
      <c r="C286" s="27" t="str">
        <f t="shared" si="9"/>
        <v>Tift</v>
      </c>
      <c r="F286" s="27">
        <v>1902</v>
      </c>
      <c r="G286" s="27">
        <v>1087</v>
      </c>
      <c r="H286" s="27" t="s">
        <v>2014</v>
      </c>
    </row>
    <row r="287" spans="1:8" x14ac:dyDescent="0.25">
      <c r="A287" s="27" t="s">
        <v>861</v>
      </c>
      <c r="B287" s="27" t="str">
        <f t="shared" si="8"/>
        <v>Georgia</v>
      </c>
      <c r="C287" s="27" t="str">
        <f t="shared" si="9"/>
        <v>Toombs</v>
      </c>
      <c r="F287" s="27">
        <v>1902</v>
      </c>
      <c r="G287" s="27">
        <v>1087</v>
      </c>
      <c r="H287" s="27" t="s">
        <v>2014</v>
      </c>
    </row>
    <row r="288" spans="1:8" x14ac:dyDescent="0.25">
      <c r="A288" s="27" t="s">
        <v>862</v>
      </c>
      <c r="B288" s="27" t="str">
        <f t="shared" si="8"/>
        <v>Georgia</v>
      </c>
      <c r="C288" s="27" t="str">
        <f t="shared" si="9"/>
        <v>Towns</v>
      </c>
      <c r="D288" s="27">
        <v>2</v>
      </c>
      <c r="E288" s="27">
        <v>3443</v>
      </c>
      <c r="F288" s="27">
        <v>1902</v>
      </c>
      <c r="G288" s="27">
        <v>1087</v>
      </c>
      <c r="H288" s="27" t="s">
        <v>2014</v>
      </c>
    </row>
    <row r="289" spans="1:8" x14ac:dyDescent="0.25">
      <c r="A289" s="27" t="s">
        <v>863</v>
      </c>
      <c r="B289" s="27" t="str">
        <f t="shared" si="8"/>
        <v>Georgia</v>
      </c>
      <c r="C289" s="27" t="str">
        <f t="shared" si="9"/>
        <v>Treutlen</v>
      </c>
      <c r="F289" s="27">
        <v>1902</v>
      </c>
      <c r="G289" s="27">
        <v>1087</v>
      </c>
      <c r="H289" s="27" t="s">
        <v>2014</v>
      </c>
    </row>
    <row r="290" spans="1:8" x14ac:dyDescent="0.25">
      <c r="A290" s="27" t="s">
        <v>864</v>
      </c>
      <c r="B290" s="27" t="str">
        <f t="shared" si="8"/>
        <v>Georgia</v>
      </c>
      <c r="C290" s="27" t="str">
        <f t="shared" si="9"/>
        <v>Troup</v>
      </c>
      <c r="D290" s="27">
        <v>163</v>
      </c>
      <c r="E290" s="27">
        <v>16529</v>
      </c>
      <c r="F290" s="27">
        <v>1902</v>
      </c>
      <c r="G290" s="27">
        <v>1087</v>
      </c>
      <c r="H290" s="27" t="s">
        <v>2014</v>
      </c>
    </row>
    <row r="291" spans="1:8" x14ac:dyDescent="0.25">
      <c r="A291" s="27" t="s">
        <v>865</v>
      </c>
      <c r="B291" s="27" t="str">
        <f t="shared" si="8"/>
        <v>Georgia</v>
      </c>
      <c r="C291" s="27" t="str">
        <f t="shared" si="9"/>
        <v>Turner</v>
      </c>
      <c r="F291" s="27">
        <v>1902</v>
      </c>
      <c r="G291" s="27">
        <v>1087</v>
      </c>
      <c r="H291" s="27" t="s">
        <v>2014</v>
      </c>
    </row>
    <row r="292" spans="1:8" x14ac:dyDescent="0.25">
      <c r="A292" s="27" t="s">
        <v>866</v>
      </c>
      <c r="B292" s="27" t="str">
        <f t="shared" si="8"/>
        <v>Georgia</v>
      </c>
      <c r="C292" s="27" t="str">
        <f t="shared" si="9"/>
        <v>Twiggs</v>
      </c>
      <c r="E292" s="27">
        <v>6939</v>
      </c>
      <c r="F292" s="27">
        <v>1902</v>
      </c>
      <c r="G292" s="27">
        <v>1087</v>
      </c>
      <c r="H292" s="27" t="s">
        <v>2014</v>
      </c>
    </row>
    <row r="293" spans="1:8" x14ac:dyDescent="0.25">
      <c r="A293" s="27" t="s">
        <v>867</v>
      </c>
      <c r="B293" s="27" t="str">
        <f t="shared" si="8"/>
        <v>Georgia</v>
      </c>
      <c r="C293" s="27" t="str">
        <f t="shared" si="9"/>
        <v>Union</v>
      </c>
      <c r="E293" s="27">
        <v>6135</v>
      </c>
      <c r="F293" s="27">
        <v>1902</v>
      </c>
      <c r="G293" s="27">
        <v>1087</v>
      </c>
      <c r="H293" s="27" t="s">
        <v>2014</v>
      </c>
    </row>
    <row r="294" spans="1:8" x14ac:dyDescent="0.25">
      <c r="A294" s="27" t="s">
        <v>868</v>
      </c>
      <c r="B294" s="27" t="str">
        <f t="shared" si="8"/>
        <v>Georgia</v>
      </c>
      <c r="C294" s="27" t="str">
        <f t="shared" si="9"/>
        <v>Upson</v>
      </c>
      <c r="E294" s="27">
        <v>10896</v>
      </c>
      <c r="F294" s="27">
        <v>1902</v>
      </c>
      <c r="G294" s="27">
        <v>1087</v>
      </c>
      <c r="H294" s="27" t="s">
        <v>2014</v>
      </c>
    </row>
    <row r="295" spans="1:8" x14ac:dyDescent="0.25">
      <c r="A295" s="27" t="s">
        <v>869</v>
      </c>
      <c r="B295" s="27" t="str">
        <f t="shared" si="8"/>
        <v>Georgia</v>
      </c>
      <c r="C295" s="27" t="str">
        <f t="shared" si="9"/>
        <v>Walker</v>
      </c>
      <c r="D295" s="27">
        <v>260</v>
      </c>
      <c r="E295" s="27">
        <v>9845</v>
      </c>
      <c r="F295" s="27">
        <v>1902</v>
      </c>
      <c r="G295" s="27">
        <v>1087</v>
      </c>
      <c r="H295" s="27" t="s">
        <v>2014</v>
      </c>
    </row>
    <row r="296" spans="1:8" x14ac:dyDescent="0.25">
      <c r="A296" s="27" t="s">
        <v>870</v>
      </c>
      <c r="B296" s="27" t="str">
        <f t="shared" si="8"/>
        <v>Georgia</v>
      </c>
      <c r="C296" s="27" t="str">
        <f t="shared" si="9"/>
        <v>Walton</v>
      </c>
      <c r="D296" s="27">
        <v>799</v>
      </c>
      <c r="E296" s="27">
        <v>14955</v>
      </c>
      <c r="F296" s="27">
        <v>1902</v>
      </c>
      <c r="G296" s="27">
        <v>1087</v>
      </c>
      <c r="H296" s="27" t="s">
        <v>2014</v>
      </c>
    </row>
    <row r="297" spans="1:8" x14ac:dyDescent="0.25">
      <c r="A297" s="27" t="s">
        <v>871</v>
      </c>
      <c r="B297" s="27" t="str">
        <f t="shared" si="8"/>
        <v>Georgia</v>
      </c>
      <c r="C297" s="27" t="str">
        <f t="shared" si="9"/>
        <v>Ware</v>
      </c>
      <c r="E297" s="27">
        <v>5719</v>
      </c>
      <c r="F297" s="27">
        <v>1902</v>
      </c>
      <c r="G297" s="27">
        <v>1087</v>
      </c>
      <c r="H297" s="27" t="s">
        <v>2014</v>
      </c>
    </row>
    <row r="298" spans="1:8" x14ac:dyDescent="0.25">
      <c r="A298" s="27" t="s">
        <v>872</v>
      </c>
      <c r="B298" s="27" t="str">
        <f t="shared" si="8"/>
        <v>Georgia</v>
      </c>
      <c r="C298" s="27" t="str">
        <f t="shared" si="9"/>
        <v>Warren</v>
      </c>
      <c r="E298" s="27">
        <v>8625</v>
      </c>
      <c r="F298" s="27">
        <v>1902</v>
      </c>
      <c r="G298" s="27">
        <v>1087</v>
      </c>
      <c r="H298" s="27" t="s">
        <v>2014</v>
      </c>
    </row>
    <row r="299" spans="1:8" x14ac:dyDescent="0.25">
      <c r="A299" s="27" t="s">
        <v>873</v>
      </c>
      <c r="B299" s="27" t="str">
        <f t="shared" si="8"/>
        <v>Georgia</v>
      </c>
      <c r="C299" s="27" t="str">
        <f t="shared" si="9"/>
        <v>Washington</v>
      </c>
      <c r="E299" s="27">
        <v>20393</v>
      </c>
      <c r="F299" s="27">
        <v>1902</v>
      </c>
      <c r="G299" s="27">
        <v>1087</v>
      </c>
      <c r="H299" s="27" t="s">
        <v>2014</v>
      </c>
    </row>
    <row r="300" spans="1:8" x14ac:dyDescent="0.25">
      <c r="A300" s="27" t="s">
        <v>874</v>
      </c>
      <c r="B300" s="27" t="str">
        <f t="shared" si="8"/>
        <v>Georgia</v>
      </c>
      <c r="C300" s="27" t="str">
        <f t="shared" si="9"/>
        <v>Wayne</v>
      </c>
      <c r="E300" s="27">
        <v>6636</v>
      </c>
      <c r="F300" s="27">
        <v>1902</v>
      </c>
      <c r="G300" s="27">
        <v>1087</v>
      </c>
      <c r="H300" s="27" t="s">
        <v>2014</v>
      </c>
    </row>
    <row r="301" spans="1:8" x14ac:dyDescent="0.25">
      <c r="A301" s="27" t="s">
        <v>875</v>
      </c>
      <c r="B301" s="27" t="str">
        <f t="shared" si="8"/>
        <v>Georgia</v>
      </c>
      <c r="C301" s="27" t="str">
        <f t="shared" si="9"/>
        <v>Webster</v>
      </c>
      <c r="E301" s="27">
        <v>5215</v>
      </c>
      <c r="F301" s="27">
        <v>1902</v>
      </c>
      <c r="G301" s="27">
        <v>1087</v>
      </c>
      <c r="H301" s="27" t="s">
        <v>2014</v>
      </c>
    </row>
    <row r="302" spans="1:8" x14ac:dyDescent="0.25">
      <c r="A302" s="27" t="s">
        <v>876</v>
      </c>
      <c r="B302" s="27" t="str">
        <f t="shared" si="8"/>
        <v>Georgia</v>
      </c>
      <c r="C302" s="27" t="str">
        <f t="shared" si="9"/>
        <v>Wheeler</v>
      </c>
      <c r="F302" s="27">
        <v>1902</v>
      </c>
      <c r="G302" s="27">
        <v>1087</v>
      </c>
      <c r="H302" s="27" t="s">
        <v>2014</v>
      </c>
    </row>
    <row r="303" spans="1:8" x14ac:dyDescent="0.25">
      <c r="A303" s="27" t="s">
        <v>877</v>
      </c>
      <c r="B303" s="27" t="str">
        <f t="shared" si="8"/>
        <v>Georgia</v>
      </c>
      <c r="C303" s="27" t="str">
        <f t="shared" si="9"/>
        <v>White</v>
      </c>
      <c r="E303" s="27">
        <v>4389</v>
      </c>
      <c r="F303" s="27">
        <v>1902</v>
      </c>
      <c r="G303" s="27">
        <v>1087</v>
      </c>
      <c r="H303" s="27" t="s">
        <v>2014</v>
      </c>
    </row>
    <row r="304" spans="1:8" x14ac:dyDescent="0.25">
      <c r="A304" s="27" t="s">
        <v>878</v>
      </c>
      <c r="B304" s="27" t="str">
        <f t="shared" si="8"/>
        <v>Georgia</v>
      </c>
      <c r="C304" s="27" t="str">
        <f t="shared" si="9"/>
        <v>Whitfield</v>
      </c>
      <c r="D304" s="27">
        <v>35</v>
      </c>
      <c r="E304" s="27">
        <v>9982</v>
      </c>
      <c r="F304" s="27">
        <v>1902</v>
      </c>
      <c r="G304" s="27">
        <v>1087</v>
      </c>
      <c r="H304" s="27" t="s">
        <v>2014</v>
      </c>
    </row>
    <row r="305" spans="1:8" x14ac:dyDescent="0.25">
      <c r="A305" s="27" t="s">
        <v>879</v>
      </c>
      <c r="B305" s="27" t="str">
        <f t="shared" si="8"/>
        <v>Georgia</v>
      </c>
      <c r="C305" s="27" t="str">
        <f t="shared" si="9"/>
        <v>Wilcox</v>
      </c>
      <c r="E305" s="27">
        <v>7429</v>
      </c>
      <c r="F305" s="27">
        <v>1902</v>
      </c>
      <c r="G305" s="27">
        <v>1087</v>
      </c>
      <c r="H305" s="27" t="s">
        <v>2014</v>
      </c>
    </row>
    <row r="306" spans="1:8" x14ac:dyDescent="0.25">
      <c r="A306" s="27" t="s">
        <v>880</v>
      </c>
      <c r="B306" s="27" t="str">
        <f t="shared" si="8"/>
        <v>Georgia</v>
      </c>
      <c r="C306" s="27" t="str">
        <f t="shared" si="9"/>
        <v>Wilkes</v>
      </c>
      <c r="D306" s="27">
        <v>108</v>
      </c>
      <c r="E306" s="27">
        <v>12335</v>
      </c>
      <c r="F306" s="27">
        <v>1902</v>
      </c>
      <c r="G306" s="27">
        <v>1087</v>
      </c>
      <c r="H306" s="27" t="s">
        <v>2014</v>
      </c>
    </row>
    <row r="307" spans="1:8" x14ac:dyDescent="0.25">
      <c r="A307" s="27" t="s">
        <v>881</v>
      </c>
      <c r="B307" s="27" t="str">
        <f t="shared" si="8"/>
        <v>Georgia</v>
      </c>
      <c r="C307" s="27" t="str">
        <f t="shared" si="9"/>
        <v>Wilkinson</v>
      </c>
      <c r="E307" s="27">
        <v>7430</v>
      </c>
      <c r="F307" s="27">
        <v>1902</v>
      </c>
      <c r="G307" s="27">
        <v>1087</v>
      </c>
      <c r="H307" s="27" t="s">
        <v>2014</v>
      </c>
    </row>
    <row r="308" spans="1:8" x14ac:dyDescent="0.25">
      <c r="A308" s="27" t="s">
        <v>882</v>
      </c>
      <c r="B308" s="27" t="str">
        <f t="shared" si="8"/>
        <v>Georgia</v>
      </c>
      <c r="C308" s="27" t="str">
        <f t="shared" si="9"/>
        <v>Worth</v>
      </c>
      <c r="E308" s="27">
        <v>10811</v>
      </c>
      <c r="F308" s="27">
        <v>1902</v>
      </c>
      <c r="G308" s="27">
        <v>1087</v>
      </c>
      <c r="H308" s="27" t="s">
        <v>2014</v>
      </c>
    </row>
    <row r="309" spans="1:8" x14ac:dyDescent="0.25">
      <c r="A309" s="27" t="s">
        <v>650</v>
      </c>
      <c r="B309" s="27" t="str">
        <f t="shared" si="8"/>
        <v/>
      </c>
      <c r="C309" s="27" t="str">
        <f t="shared" si="9"/>
        <v>MY TOTAL</v>
      </c>
      <c r="D309" s="27">
        <f>SUM(D148:D308)</f>
        <v>22545</v>
      </c>
      <c r="E309" s="27">
        <f>SUM(E148:E308)</f>
        <v>1254704</v>
      </c>
      <c r="H309" s="27" t="s">
        <v>2013</v>
      </c>
    </row>
    <row r="310" spans="1:8" x14ac:dyDescent="0.25">
      <c r="A310" s="27" t="s">
        <v>651</v>
      </c>
      <c r="B310" s="27" t="str">
        <f t="shared" si="8"/>
        <v/>
      </c>
      <c r="C310" s="27" t="str">
        <f t="shared" si="9"/>
        <v>REPORTED TOTAL</v>
      </c>
      <c r="D310" s="27">
        <v>22545</v>
      </c>
      <c r="E310" s="27">
        <v>1254704</v>
      </c>
      <c r="H310" s="27" t="s">
        <v>2013</v>
      </c>
    </row>
    <row r="311" spans="1:8" x14ac:dyDescent="0.25">
      <c r="A311" s="27" t="s">
        <v>883</v>
      </c>
      <c r="B311" s="27" t="str">
        <f t="shared" si="8"/>
        <v>Kentucky</v>
      </c>
      <c r="C311" s="27" t="str">
        <f t="shared" si="9"/>
        <v>Adair</v>
      </c>
      <c r="D311" s="27">
        <v>25</v>
      </c>
      <c r="E311" s="27">
        <v>12644</v>
      </c>
      <c r="F311" s="27">
        <v>1902</v>
      </c>
      <c r="G311" s="27">
        <v>1103</v>
      </c>
      <c r="H311" s="27" t="s">
        <v>2015</v>
      </c>
    </row>
    <row r="312" spans="1:8" x14ac:dyDescent="0.25">
      <c r="A312" s="27" t="s">
        <v>884</v>
      </c>
      <c r="B312" s="27" t="str">
        <f t="shared" si="8"/>
        <v>Kentucky</v>
      </c>
      <c r="C312" s="27" t="str">
        <f t="shared" si="9"/>
        <v>Allen</v>
      </c>
      <c r="D312" s="27">
        <v>66</v>
      </c>
      <c r="E312" s="27">
        <v>12050</v>
      </c>
      <c r="F312" s="27">
        <v>1902</v>
      </c>
      <c r="G312" s="27">
        <v>1103</v>
      </c>
      <c r="H312" s="27" t="s">
        <v>2015</v>
      </c>
    </row>
    <row r="313" spans="1:8" x14ac:dyDescent="0.25">
      <c r="A313" s="27" t="s">
        <v>885</v>
      </c>
      <c r="B313" s="27" t="str">
        <f t="shared" si="8"/>
        <v>Kentucky</v>
      </c>
      <c r="C313" s="27" t="str">
        <f t="shared" si="9"/>
        <v>Anderson</v>
      </c>
      <c r="D313" s="27">
        <v>350</v>
      </c>
      <c r="E313" s="27">
        <v>9278</v>
      </c>
      <c r="F313" s="27">
        <v>1902</v>
      </c>
      <c r="G313" s="27">
        <v>1103</v>
      </c>
      <c r="H313" s="27" t="s">
        <v>2015</v>
      </c>
    </row>
    <row r="314" spans="1:8" x14ac:dyDescent="0.25">
      <c r="A314" s="27" t="s">
        <v>886</v>
      </c>
      <c r="B314" s="27" t="str">
        <f t="shared" si="8"/>
        <v>Kentucky</v>
      </c>
      <c r="C314" s="27" t="str">
        <f t="shared" si="9"/>
        <v>Ballard</v>
      </c>
      <c r="D314" s="2">
        <v>1874</v>
      </c>
      <c r="E314" s="27">
        <v>10265</v>
      </c>
      <c r="F314" s="27">
        <v>1902</v>
      </c>
      <c r="G314" s="27">
        <v>1103</v>
      </c>
      <c r="H314" s="27" t="s">
        <v>2015</v>
      </c>
    </row>
    <row r="315" spans="1:8" x14ac:dyDescent="0.25">
      <c r="A315" s="27" t="s">
        <v>887</v>
      </c>
      <c r="B315" s="27" t="str">
        <f t="shared" si="8"/>
        <v>Kentucky</v>
      </c>
      <c r="C315" s="27" t="str">
        <f t="shared" si="9"/>
        <v>Barren</v>
      </c>
      <c r="E315" s="27">
        <v>20095</v>
      </c>
      <c r="F315" s="27">
        <v>1902</v>
      </c>
      <c r="G315" s="27">
        <v>1103</v>
      </c>
      <c r="H315" s="27" t="s">
        <v>2015</v>
      </c>
    </row>
    <row r="316" spans="1:8" x14ac:dyDescent="0.25">
      <c r="A316" s="27" t="s">
        <v>888</v>
      </c>
      <c r="B316" s="27" t="str">
        <f t="shared" si="8"/>
        <v>Kentucky</v>
      </c>
      <c r="C316" s="27" t="str">
        <f t="shared" si="9"/>
        <v>Bath</v>
      </c>
      <c r="D316" s="2">
        <v>1220</v>
      </c>
      <c r="E316" s="27">
        <v>12491</v>
      </c>
      <c r="F316" s="27">
        <v>1902</v>
      </c>
      <c r="G316" s="27">
        <v>1103</v>
      </c>
      <c r="H316" s="27" t="s">
        <v>2015</v>
      </c>
    </row>
    <row r="317" spans="1:8" x14ac:dyDescent="0.25">
      <c r="A317" s="27" t="s">
        <v>889</v>
      </c>
      <c r="B317" s="27" t="str">
        <f t="shared" si="8"/>
        <v>Kentucky</v>
      </c>
      <c r="C317" s="27" t="str">
        <f t="shared" si="9"/>
        <v>Bell</v>
      </c>
      <c r="D317" s="27">
        <v>530</v>
      </c>
      <c r="E317" s="27">
        <v>13047</v>
      </c>
      <c r="F317" s="27">
        <v>1902</v>
      </c>
      <c r="G317" s="27">
        <v>1103</v>
      </c>
      <c r="H317" s="27" t="s">
        <v>2015</v>
      </c>
    </row>
    <row r="318" spans="1:8" x14ac:dyDescent="0.25">
      <c r="A318" s="27" t="s">
        <v>890</v>
      </c>
      <c r="B318" s="27" t="str">
        <f t="shared" si="8"/>
        <v>Kentucky</v>
      </c>
      <c r="C318" s="27" t="str">
        <f t="shared" si="9"/>
        <v>Boone</v>
      </c>
      <c r="D318" s="27">
        <v>330</v>
      </c>
      <c r="E318" s="27">
        <v>7687</v>
      </c>
      <c r="F318" s="27">
        <v>1902</v>
      </c>
      <c r="G318" s="27">
        <v>1103</v>
      </c>
      <c r="H318" s="27" t="s">
        <v>2015</v>
      </c>
    </row>
    <row r="319" spans="1:8" x14ac:dyDescent="0.25">
      <c r="A319" s="27" t="s">
        <v>891</v>
      </c>
      <c r="B319" s="27" t="str">
        <f t="shared" si="8"/>
        <v>Kentucky</v>
      </c>
      <c r="C319" s="27" t="str">
        <f t="shared" si="9"/>
        <v>Bourbon</v>
      </c>
      <c r="D319" s="2">
        <v>1171</v>
      </c>
      <c r="E319" s="27">
        <v>15457</v>
      </c>
      <c r="F319" s="27">
        <v>1902</v>
      </c>
      <c r="G319" s="27">
        <v>1103</v>
      </c>
      <c r="H319" s="27" t="s">
        <v>2015</v>
      </c>
    </row>
    <row r="320" spans="1:8" x14ac:dyDescent="0.25">
      <c r="A320" s="27" t="s">
        <v>892</v>
      </c>
      <c r="B320" s="27" t="str">
        <f t="shared" si="8"/>
        <v>Kentucky</v>
      </c>
      <c r="C320" s="27" t="str">
        <f t="shared" si="9"/>
        <v>Boyd</v>
      </c>
      <c r="E320" s="27">
        <v>16057</v>
      </c>
      <c r="F320" s="27">
        <v>1902</v>
      </c>
      <c r="G320" s="27">
        <v>1103</v>
      </c>
      <c r="H320" s="27" t="s">
        <v>2015</v>
      </c>
    </row>
    <row r="321" spans="1:8" x14ac:dyDescent="0.25">
      <c r="A321" s="27" t="s">
        <v>893</v>
      </c>
      <c r="B321" s="27" t="str">
        <f t="shared" si="8"/>
        <v>Kentucky</v>
      </c>
      <c r="C321" s="27" t="str">
        <f t="shared" si="9"/>
        <v>Boyle</v>
      </c>
      <c r="E321" s="27">
        <v>11028</v>
      </c>
      <c r="F321" s="27">
        <v>1902</v>
      </c>
      <c r="G321" s="27">
        <v>1103</v>
      </c>
      <c r="H321" s="27" t="s">
        <v>2015</v>
      </c>
    </row>
    <row r="322" spans="1:8" x14ac:dyDescent="0.25">
      <c r="A322" s="27" t="s">
        <v>894</v>
      </c>
      <c r="B322" s="27" t="str">
        <f t="shared" si="8"/>
        <v>Kentucky</v>
      </c>
      <c r="C322" s="27" t="str">
        <f t="shared" si="9"/>
        <v>Bracken</v>
      </c>
      <c r="D322" s="27">
        <v>64</v>
      </c>
      <c r="E322" s="27">
        <v>9391</v>
      </c>
      <c r="F322" s="27">
        <v>1902</v>
      </c>
      <c r="G322" s="27">
        <v>1103</v>
      </c>
      <c r="H322" s="27" t="s">
        <v>2015</v>
      </c>
    </row>
    <row r="323" spans="1:8" x14ac:dyDescent="0.25">
      <c r="A323" s="27" t="s">
        <v>895</v>
      </c>
      <c r="B323" s="27" t="str">
        <f t="shared" ref="B323:B386" si="10">LEFT(A323,FIND(";",A323)-1)</f>
        <v>Kentucky</v>
      </c>
      <c r="C323" s="27" t="str">
        <f t="shared" ref="C323:C386" si="11">MID(A323,FIND(";",A323)+1,100)</f>
        <v>Breathitt</v>
      </c>
      <c r="D323" s="27">
        <v>877</v>
      </c>
      <c r="E323" s="27">
        <v>14769</v>
      </c>
      <c r="F323" s="27">
        <v>1902</v>
      </c>
      <c r="G323" s="27">
        <v>1103</v>
      </c>
      <c r="H323" s="27" t="s">
        <v>2015</v>
      </c>
    </row>
    <row r="324" spans="1:8" x14ac:dyDescent="0.25">
      <c r="A324" s="27" t="s">
        <v>896</v>
      </c>
      <c r="B324" s="27" t="str">
        <f t="shared" si="10"/>
        <v>Kentucky</v>
      </c>
      <c r="C324" s="27" t="str">
        <f t="shared" si="11"/>
        <v>Breckinridge</v>
      </c>
      <c r="D324" s="27">
        <v>260</v>
      </c>
      <c r="E324" s="27">
        <v>17634</v>
      </c>
      <c r="F324" s="27">
        <v>1902</v>
      </c>
      <c r="G324" s="27">
        <v>1103</v>
      </c>
      <c r="H324" s="27" t="s">
        <v>2015</v>
      </c>
    </row>
    <row r="325" spans="1:8" x14ac:dyDescent="0.25">
      <c r="A325" s="27" t="s">
        <v>897</v>
      </c>
      <c r="B325" s="27" t="str">
        <f t="shared" si="10"/>
        <v>Kentucky</v>
      </c>
      <c r="C325" s="27" t="str">
        <f t="shared" si="11"/>
        <v>Bullitt</v>
      </c>
      <c r="D325" s="27">
        <v>55</v>
      </c>
      <c r="E325" s="27">
        <v>7323</v>
      </c>
      <c r="F325" s="27">
        <v>1902</v>
      </c>
      <c r="G325" s="27">
        <v>1103</v>
      </c>
      <c r="H325" s="27" t="s">
        <v>2015</v>
      </c>
    </row>
    <row r="326" spans="1:8" x14ac:dyDescent="0.25">
      <c r="A326" s="27" t="s">
        <v>898</v>
      </c>
      <c r="B326" s="27" t="str">
        <f t="shared" si="10"/>
        <v>Kentucky</v>
      </c>
      <c r="C326" s="27" t="str">
        <f t="shared" si="11"/>
        <v>Butler</v>
      </c>
      <c r="D326" s="27">
        <v>205</v>
      </c>
      <c r="E326" s="27">
        <v>14023</v>
      </c>
      <c r="F326" s="27">
        <v>1902</v>
      </c>
      <c r="G326" s="27">
        <v>1103</v>
      </c>
      <c r="H326" s="27" t="s">
        <v>2015</v>
      </c>
    </row>
    <row r="327" spans="1:8" x14ac:dyDescent="0.25">
      <c r="A327" s="27" t="s">
        <v>899</v>
      </c>
      <c r="B327" s="27" t="str">
        <f t="shared" si="10"/>
        <v>Kentucky</v>
      </c>
      <c r="C327" s="27" t="str">
        <f t="shared" si="11"/>
        <v>Caldwell</v>
      </c>
      <c r="D327" s="27">
        <v>60</v>
      </c>
      <c r="E327" s="27">
        <v>12731</v>
      </c>
      <c r="F327" s="27">
        <v>1902</v>
      </c>
      <c r="G327" s="27">
        <v>1103</v>
      </c>
      <c r="H327" s="27" t="s">
        <v>2015</v>
      </c>
    </row>
    <row r="328" spans="1:8" x14ac:dyDescent="0.25">
      <c r="A328" s="27" t="s">
        <v>900</v>
      </c>
      <c r="B328" s="27" t="str">
        <f t="shared" si="10"/>
        <v>Kentucky</v>
      </c>
      <c r="C328" s="27" t="str">
        <f t="shared" si="11"/>
        <v>Calloway</v>
      </c>
      <c r="D328" s="27">
        <v>274</v>
      </c>
      <c r="E328" s="27">
        <v>15913</v>
      </c>
      <c r="F328" s="27">
        <v>1902</v>
      </c>
      <c r="G328" s="27">
        <v>1103</v>
      </c>
      <c r="H328" s="27" t="s">
        <v>2015</v>
      </c>
    </row>
    <row r="329" spans="1:8" x14ac:dyDescent="0.25">
      <c r="A329" s="27" t="s">
        <v>901</v>
      </c>
      <c r="B329" s="27" t="str">
        <f t="shared" si="10"/>
        <v>Kentucky</v>
      </c>
      <c r="C329" s="27" t="str">
        <f t="shared" si="11"/>
        <v>Campbell</v>
      </c>
      <c r="D329" s="2">
        <v>3034</v>
      </c>
      <c r="E329" s="27">
        <v>45521</v>
      </c>
      <c r="F329" s="27">
        <v>1902</v>
      </c>
      <c r="G329" s="27">
        <v>1103</v>
      </c>
      <c r="H329" s="27" t="s">
        <v>2015</v>
      </c>
    </row>
    <row r="330" spans="1:8" x14ac:dyDescent="0.25">
      <c r="A330" s="27" t="s">
        <v>902</v>
      </c>
      <c r="B330" s="27" t="str">
        <f t="shared" si="10"/>
        <v>Kentucky</v>
      </c>
      <c r="C330" s="27" t="str">
        <f t="shared" si="11"/>
        <v>Carlisle</v>
      </c>
      <c r="D330" s="27">
        <v>33</v>
      </c>
      <c r="E330" s="27">
        <v>8102</v>
      </c>
      <c r="F330" s="27">
        <v>1902</v>
      </c>
      <c r="G330" s="27">
        <v>1103</v>
      </c>
      <c r="H330" s="27" t="s">
        <v>2015</v>
      </c>
    </row>
    <row r="331" spans="1:8" x14ac:dyDescent="0.25">
      <c r="A331" s="27" t="s">
        <v>903</v>
      </c>
      <c r="B331" s="27" t="str">
        <f t="shared" si="10"/>
        <v>Kentucky</v>
      </c>
      <c r="C331" s="27" t="str">
        <f t="shared" si="11"/>
        <v>Carroll</v>
      </c>
      <c r="E331" s="27">
        <v>7402</v>
      </c>
      <c r="F331" s="27">
        <v>1902</v>
      </c>
      <c r="G331" s="27">
        <v>1103</v>
      </c>
      <c r="H331" s="27" t="s">
        <v>2015</v>
      </c>
    </row>
    <row r="332" spans="1:8" x14ac:dyDescent="0.25">
      <c r="A332" s="27" t="s">
        <v>904</v>
      </c>
      <c r="B332" s="27" t="str">
        <f t="shared" si="10"/>
        <v>Kentucky</v>
      </c>
      <c r="C332" s="27" t="str">
        <f t="shared" si="11"/>
        <v>Carter</v>
      </c>
      <c r="D332" s="27">
        <v>864</v>
      </c>
      <c r="E332" s="27">
        <v>19115</v>
      </c>
      <c r="F332" s="27">
        <v>1902</v>
      </c>
      <c r="G332" s="27">
        <v>1103</v>
      </c>
      <c r="H332" s="27" t="s">
        <v>2015</v>
      </c>
    </row>
    <row r="333" spans="1:8" x14ac:dyDescent="0.25">
      <c r="A333" s="27" t="s">
        <v>905</v>
      </c>
      <c r="B333" s="27" t="str">
        <f t="shared" si="10"/>
        <v>Kentucky</v>
      </c>
      <c r="C333" s="27" t="str">
        <f t="shared" si="11"/>
        <v>Casey</v>
      </c>
      <c r="E333" s="27">
        <v>13527</v>
      </c>
      <c r="F333" s="27">
        <v>1902</v>
      </c>
      <c r="G333" s="27">
        <v>1103</v>
      </c>
      <c r="H333" s="27" t="s">
        <v>2015</v>
      </c>
    </row>
    <row r="334" spans="1:8" x14ac:dyDescent="0.25">
      <c r="A334" s="27" t="s">
        <v>906</v>
      </c>
      <c r="B334" s="27" t="str">
        <f t="shared" si="10"/>
        <v>Kentucky</v>
      </c>
      <c r="C334" s="27" t="str">
        <f t="shared" si="11"/>
        <v>Christian</v>
      </c>
      <c r="D334" s="27">
        <v>118</v>
      </c>
      <c r="E334" s="27">
        <v>29721</v>
      </c>
      <c r="F334" s="27">
        <v>1902</v>
      </c>
      <c r="G334" s="27">
        <v>1103</v>
      </c>
      <c r="H334" s="27" t="s">
        <v>2015</v>
      </c>
    </row>
    <row r="335" spans="1:8" x14ac:dyDescent="0.25">
      <c r="A335" s="27" t="s">
        <v>907</v>
      </c>
      <c r="B335" s="27" t="str">
        <f t="shared" si="10"/>
        <v>Kentucky</v>
      </c>
      <c r="C335" s="27" t="str">
        <f t="shared" si="11"/>
        <v>Clark</v>
      </c>
      <c r="D335" s="27">
        <v>1390</v>
      </c>
      <c r="E335" s="27">
        <v>13263</v>
      </c>
      <c r="F335" s="27">
        <v>1902</v>
      </c>
      <c r="G335" s="27">
        <v>1103</v>
      </c>
      <c r="H335" s="27" t="s">
        <v>2015</v>
      </c>
    </row>
    <row r="336" spans="1:8" x14ac:dyDescent="0.25">
      <c r="A336" s="27" t="s">
        <v>908</v>
      </c>
      <c r="B336" s="27" t="str">
        <f t="shared" si="10"/>
        <v>Kentucky</v>
      </c>
      <c r="C336" s="27" t="str">
        <f t="shared" si="11"/>
        <v>Clay</v>
      </c>
      <c r="D336" s="27">
        <v>267</v>
      </c>
      <c r="E336" s="27">
        <v>14691</v>
      </c>
      <c r="F336" s="27">
        <v>1902</v>
      </c>
      <c r="G336" s="27">
        <v>1103</v>
      </c>
      <c r="H336" s="27" t="s">
        <v>2015</v>
      </c>
    </row>
    <row r="337" spans="1:8" x14ac:dyDescent="0.25">
      <c r="A337" s="27" t="s">
        <v>909</v>
      </c>
      <c r="B337" s="27" t="str">
        <f t="shared" si="10"/>
        <v>Kentucky</v>
      </c>
      <c r="C337" s="27" t="str">
        <f t="shared" si="11"/>
        <v>Clinton</v>
      </c>
      <c r="D337" s="27">
        <v>16</v>
      </c>
      <c r="E337" s="27">
        <v>6421</v>
      </c>
      <c r="F337" s="27">
        <v>1902</v>
      </c>
      <c r="G337" s="27">
        <v>1103</v>
      </c>
      <c r="H337" s="27" t="s">
        <v>2015</v>
      </c>
    </row>
    <row r="338" spans="1:8" x14ac:dyDescent="0.25">
      <c r="A338" s="27" t="s">
        <v>910</v>
      </c>
      <c r="B338" s="27" t="str">
        <f t="shared" si="10"/>
        <v>Kentucky</v>
      </c>
      <c r="C338" s="27" t="str">
        <f t="shared" si="11"/>
        <v>Crittenden</v>
      </c>
      <c r="D338" s="27">
        <v>43</v>
      </c>
      <c r="E338" s="27">
        <v>13258</v>
      </c>
      <c r="F338" s="27">
        <v>1902</v>
      </c>
      <c r="G338" s="27">
        <v>1103</v>
      </c>
      <c r="H338" s="27" t="s">
        <v>2015</v>
      </c>
    </row>
    <row r="339" spans="1:8" x14ac:dyDescent="0.25">
      <c r="A339" s="27" t="s">
        <v>911</v>
      </c>
      <c r="B339" s="27" t="str">
        <f t="shared" si="10"/>
        <v>Kentucky</v>
      </c>
      <c r="C339" s="27" t="str">
        <f t="shared" si="11"/>
        <v>Cumberland</v>
      </c>
      <c r="D339" s="27">
        <v>175</v>
      </c>
      <c r="E339" s="27">
        <v>8865</v>
      </c>
      <c r="F339" s="27">
        <v>1902</v>
      </c>
      <c r="G339" s="27">
        <v>1103</v>
      </c>
      <c r="H339" s="27" t="s">
        <v>2015</v>
      </c>
    </row>
    <row r="340" spans="1:8" x14ac:dyDescent="0.25">
      <c r="A340" s="27" t="s">
        <v>1748</v>
      </c>
      <c r="B340" s="27" t="str">
        <f t="shared" si="10"/>
        <v>Kentucky</v>
      </c>
      <c r="C340" s="27" t="str">
        <f t="shared" si="11"/>
        <v>Daviess</v>
      </c>
      <c r="D340" s="27">
        <v>840</v>
      </c>
      <c r="E340" s="27">
        <v>32833</v>
      </c>
      <c r="F340" s="27">
        <v>1902</v>
      </c>
      <c r="G340" s="27">
        <v>1103</v>
      </c>
      <c r="H340" s="27" t="s">
        <v>2015</v>
      </c>
    </row>
    <row r="341" spans="1:8" x14ac:dyDescent="0.25">
      <c r="A341" s="27" t="s">
        <v>912</v>
      </c>
      <c r="B341" s="27" t="str">
        <f t="shared" si="10"/>
        <v>Kentucky</v>
      </c>
      <c r="C341" s="27" t="str">
        <f t="shared" si="11"/>
        <v>Edmonson</v>
      </c>
      <c r="E341" s="27">
        <v>9095</v>
      </c>
      <c r="F341" s="27">
        <v>1902</v>
      </c>
      <c r="G341" s="27">
        <v>1103</v>
      </c>
      <c r="H341" s="27" t="s">
        <v>2015</v>
      </c>
    </row>
    <row r="342" spans="1:8" x14ac:dyDescent="0.25">
      <c r="A342" s="27" t="s">
        <v>913</v>
      </c>
      <c r="B342" s="27" t="str">
        <f t="shared" si="10"/>
        <v>Kentucky</v>
      </c>
      <c r="C342" s="27" t="str">
        <f t="shared" si="11"/>
        <v>Elliott</v>
      </c>
      <c r="D342" s="27">
        <v>70</v>
      </c>
      <c r="E342" s="27">
        <v>10169</v>
      </c>
      <c r="F342" s="27">
        <v>1902</v>
      </c>
      <c r="G342" s="27">
        <v>1103</v>
      </c>
      <c r="H342" s="27" t="s">
        <v>2015</v>
      </c>
    </row>
    <row r="343" spans="1:8" x14ac:dyDescent="0.25">
      <c r="A343" s="27" t="s">
        <v>914</v>
      </c>
      <c r="B343" s="27" t="str">
        <f t="shared" si="10"/>
        <v>Kentucky</v>
      </c>
      <c r="C343" s="27" t="str">
        <f t="shared" si="11"/>
        <v>Estill</v>
      </c>
      <c r="D343" s="27">
        <v>274</v>
      </c>
      <c r="E343" s="27">
        <v>10342</v>
      </c>
      <c r="F343" s="27">
        <v>1902</v>
      </c>
      <c r="G343" s="27">
        <v>1103</v>
      </c>
      <c r="H343" s="27" t="s">
        <v>2015</v>
      </c>
    </row>
    <row r="344" spans="1:8" x14ac:dyDescent="0.25">
      <c r="A344" s="27" t="s">
        <v>915</v>
      </c>
      <c r="B344" s="27" t="str">
        <f t="shared" si="10"/>
        <v>Kentucky</v>
      </c>
      <c r="C344" s="27" t="str">
        <f t="shared" si="11"/>
        <v>Fayette</v>
      </c>
      <c r="D344" s="27">
        <v>1890</v>
      </c>
      <c r="E344" s="27">
        <v>38758</v>
      </c>
      <c r="F344" s="27">
        <v>1902</v>
      </c>
      <c r="G344" s="27">
        <v>1103</v>
      </c>
      <c r="H344" s="27" t="s">
        <v>2015</v>
      </c>
    </row>
    <row r="345" spans="1:8" x14ac:dyDescent="0.25">
      <c r="A345" s="27" t="s">
        <v>916</v>
      </c>
      <c r="B345" s="27" t="str">
        <f t="shared" si="10"/>
        <v>Kentucky</v>
      </c>
      <c r="C345" s="27" t="str">
        <f t="shared" si="11"/>
        <v>Fleming</v>
      </c>
      <c r="D345" s="27">
        <v>846</v>
      </c>
      <c r="E345" s="27">
        <v>13682</v>
      </c>
      <c r="F345" s="27">
        <v>1902</v>
      </c>
      <c r="G345" s="27">
        <v>1103</v>
      </c>
      <c r="H345" s="27" t="s">
        <v>2015</v>
      </c>
    </row>
    <row r="346" spans="1:8" x14ac:dyDescent="0.25">
      <c r="A346" s="27" t="s">
        <v>917</v>
      </c>
      <c r="B346" s="27" t="str">
        <f t="shared" si="10"/>
        <v>Kentucky</v>
      </c>
      <c r="C346" s="27" t="str">
        <f t="shared" si="11"/>
        <v>Floyd</v>
      </c>
      <c r="D346" s="27">
        <v>352</v>
      </c>
      <c r="E346" s="27">
        <v>14720</v>
      </c>
      <c r="F346" s="27">
        <v>1902</v>
      </c>
      <c r="G346" s="27">
        <v>1103</v>
      </c>
      <c r="H346" s="27" t="s">
        <v>2015</v>
      </c>
    </row>
    <row r="347" spans="1:8" x14ac:dyDescent="0.25">
      <c r="A347" s="27" t="s">
        <v>918</v>
      </c>
      <c r="B347" s="27" t="str">
        <f t="shared" si="10"/>
        <v>Kentucky</v>
      </c>
      <c r="C347" s="27" t="str">
        <f t="shared" si="11"/>
        <v>Franklin</v>
      </c>
      <c r="D347" s="27">
        <v>2243</v>
      </c>
      <c r="E347" s="27">
        <v>16895</v>
      </c>
      <c r="F347" s="27">
        <v>1902</v>
      </c>
      <c r="G347" s="27">
        <v>1103</v>
      </c>
      <c r="H347" s="27" t="s">
        <v>2015</v>
      </c>
    </row>
    <row r="348" spans="1:8" x14ac:dyDescent="0.25">
      <c r="A348" s="27" t="s">
        <v>919</v>
      </c>
      <c r="B348" s="27" t="str">
        <f t="shared" si="10"/>
        <v>Kentucky</v>
      </c>
      <c r="C348" s="27" t="str">
        <f t="shared" si="11"/>
        <v>Fulton</v>
      </c>
      <c r="D348" s="27">
        <v>725</v>
      </c>
      <c r="E348" s="27">
        <v>10001</v>
      </c>
      <c r="F348" s="27">
        <v>1902</v>
      </c>
      <c r="G348" s="27">
        <v>1103</v>
      </c>
      <c r="H348" s="27" t="s">
        <v>2015</v>
      </c>
    </row>
    <row r="349" spans="1:8" x14ac:dyDescent="0.25">
      <c r="A349" s="27" t="s">
        <v>920</v>
      </c>
      <c r="B349" s="27" t="str">
        <f t="shared" si="10"/>
        <v>Kentucky</v>
      </c>
      <c r="C349" s="27" t="str">
        <f t="shared" si="11"/>
        <v>Gallatin</v>
      </c>
      <c r="D349" s="27">
        <v>52</v>
      </c>
      <c r="E349" s="27">
        <v>4064</v>
      </c>
      <c r="F349" s="27">
        <v>1902</v>
      </c>
      <c r="G349" s="27">
        <v>1103</v>
      </c>
      <c r="H349" s="27" t="s">
        <v>2015</v>
      </c>
    </row>
    <row r="350" spans="1:8" x14ac:dyDescent="0.25">
      <c r="A350" s="27" t="s">
        <v>921</v>
      </c>
      <c r="B350" s="27" t="str">
        <f t="shared" si="10"/>
        <v>Kentucky</v>
      </c>
      <c r="C350" s="27" t="str">
        <f t="shared" si="11"/>
        <v>Garrard</v>
      </c>
      <c r="D350" s="27">
        <v>1037</v>
      </c>
      <c r="E350" s="27">
        <v>10419</v>
      </c>
      <c r="F350" s="27">
        <v>1902</v>
      </c>
      <c r="G350" s="27">
        <v>1103</v>
      </c>
      <c r="H350" s="27" t="s">
        <v>2015</v>
      </c>
    </row>
    <row r="351" spans="1:8" x14ac:dyDescent="0.25">
      <c r="A351" s="27" t="s">
        <v>922</v>
      </c>
      <c r="B351" s="27" t="str">
        <f t="shared" si="10"/>
        <v>Kentucky</v>
      </c>
      <c r="C351" s="27" t="str">
        <f t="shared" si="11"/>
        <v>Grant</v>
      </c>
      <c r="D351" s="27">
        <v>198</v>
      </c>
      <c r="E351" s="27">
        <v>10121</v>
      </c>
      <c r="F351" s="27">
        <v>1902</v>
      </c>
      <c r="G351" s="27">
        <v>1103</v>
      </c>
      <c r="H351" s="27" t="s">
        <v>2015</v>
      </c>
    </row>
    <row r="352" spans="1:8" x14ac:dyDescent="0.25">
      <c r="A352" s="27" t="s">
        <v>923</v>
      </c>
      <c r="B352" s="27" t="str">
        <f t="shared" si="10"/>
        <v>Kentucky</v>
      </c>
      <c r="C352" s="27" t="str">
        <f t="shared" si="11"/>
        <v>Graves</v>
      </c>
      <c r="D352" s="27">
        <v>4143</v>
      </c>
      <c r="E352" s="27">
        <v>26931</v>
      </c>
      <c r="F352" s="27">
        <v>1902</v>
      </c>
      <c r="G352" s="27">
        <v>1103</v>
      </c>
      <c r="H352" s="27" t="s">
        <v>2015</v>
      </c>
    </row>
    <row r="353" spans="1:8" x14ac:dyDescent="0.25">
      <c r="A353" s="27" t="s">
        <v>924</v>
      </c>
      <c r="B353" s="27" t="str">
        <f t="shared" si="10"/>
        <v>Kentucky</v>
      </c>
      <c r="C353" s="27" t="str">
        <f t="shared" si="11"/>
        <v>Grayson</v>
      </c>
      <c r="D353" s="27">
        <v>143</v>
      </c>
      <c r="E353" s="27">
        <v>17076</v>
      </c>
      <c r="F353" s="27">
        <v>1902</v>
      </c>
      <c r="G353" s="27">
        <v>1103</v>
      </c>
      <c r="H353" s="27" t="s">
        <v>2015</v>
      </c>
    </row>
    <row r="354" spans="1:8" x14ac:dyDescent="0.25">
      <c r="A354" s="27" t="s">
        <v>925</v>
      </c>
      <c r="B354" s="27" t="str">
        <f t="shared" si="10"/>
        <v>Kentucky</v>
      </c>
      <c r="C354" s="27" t="str">
        <f t="shared" si="11"/>
        <v>Green</v>
      </c>
      <c r="D354" s="27">
        <v>6</v>
      </c>
      <c r="E354" s="27">
        <v>10340</v>
      </c>
      <c r="F354" s="27">
        <v>1902</v>
      </c>
      <c r="G354" s="27">
        <v>1103</v>
      </c>
      <c r="H354" s="27" t="s">
        <v>2015</v>
      </c>
    </row>
    <row r="355" spans="1:8" x14ac:dyDescent="0.25">
      <c r="A355" s="27" t="s">
        <v>926</v>
      </c>
      <c r="B355" s="27" t="str">
        <f t="shared" si="10"/>
        <v>Kentucky</v>
      </c>
      <c r="C355" s="27" t="str">
        <f t="shared" si="11"/>
        <v>Greenup</v>
      </c>
      <c r="D355" s="27">
        <v>363</v>
      </c>
      <c r="E355" s="27">
        <v>13813</v>
      </c>
      <c r="F355" s="27">
        <v>1902</v>
      </c>
      <c r="G355" s="27">
        <v>1103</v>
      </c>
      <c r="H355" s="27" t="s">
        <v>2015</v>
      </c>
    </row>
    <row r="356" spans="1:8" x14ac:dyDescent="0.25">
      <c r="A356" s="27" t="s">
        <v>927</v>
      </c>
      <c r="B356" s="27" t="str">
        <f t="shared" si="10"/>
        <v>Kentucky</v>
      </c>
      <c r="C356" s="27" t="str">
        <f t="shared" si="11"/>
        <v>Hancock</v>
      </c>
      <c r="D356" s="27">
        <v>209</v>
      </c>
      <c r="E356" s="27">
        <v>7985</v>
      </c>
      <c r="F356" s="27">
        <v>1902</v>
      </c>
      <c r="G356" s="27">
        <v>1103</v>
      </c>
      <c r="H356" s="27" t="s">
        <v>2015</v>
      </c>
    </row>
    <row r="357" spans="1:8" x14ac:dyDescent="0.25">
      <c r="A357" s="27" t="s">
        <v>928</v>
      </c>
      <c r="B357" s="27" t="str">
        <f t="shared" si="10"/>
        <v>Kentucky</v>
      </c>
      <c r="C357" s="27" t="str">
        <f t="shared" si="11"/>
        <v>Hardin</v>
      </c>
      <c r="D357" s="27">
        <v>615</v>
      </c>
      <c r="E357" s="27">
        <v>20011</v>
      </c>
      <c r="F357" s="27">
        <v>1902</v>
      </c>
      <c r="G357" s="27">
        <v>1103</v>
      </c>
      <c r="H357" s="27" t="s">
        <v>2015</v>
      </c>
    </row>
    <row r="358" spans="1:8" x14ac:dyDescent="0.25">
      <c r="A358" s="27" t="s">
        <v>929</v>
      </c>
      <c r="B358" s="27" t="str">
        <f t="shared" si="10"/>
        <v>Kentucky</v>
      </c>
      <c r="C358" s="27" t="str">
        <f t="shared" si="11"/>
        <v>Harlan</v>
      </c>
      <c r="E358" s="27">
        <v>9615</v>
      </c>
      <c r="F358" s="27">
        <v>1902</v>
      </c>
      <c r="G358" s="27">
        <v>1103</v>
      </c>
      <c r="H358" s="27" t="s">
        <v>2015</v>
      </c>
    </row>
    <row r="359" spans="1:8" x14ac:dyDescent="0.25">
      <c r="A359" s="27" t="s">
        <v>930</v>
      </c>
      <c r="B359" s="27" t="str">
        <f t="shared" si="10"/>
        <v>Kentucky</v>
      </c>
      <c r="C359" s="27" t="str">
        <f t="shared" si="11"/>
        <v>Harrison</v>
      </c>
      <c r="D359" s="27">
        <v>752</v>
      </c>
      <c r="E359" s="27">
        <v>13185</v>
      </c>
      <c r="F359" s="27">
        <v>1902</v>
      </c>
      <c r="G359" s="27">
        <v>1103</v>
      </c>
      <c r="H359" s="27" t="s">
        <v>2015</v>
      </c>
    </row>
    <row r="360" spans="1:8" x14ac:dyDescent="0.25">
      <c r="A360" s="27" t="s">
        <v>931</v>
      </c>
      <c r="B360" s="27" t="str">
        <f t="shared" si="10"/>
        <v>Kentucky</v>
      </c>
      <c r="C360" s="27" t="str">
        <f t="shared" si="11"/>
        <v>Hart</v>
      </c>
      <c r="E360" s="27">
        <v>15792</v>
      </c>
      <c r="F360" s="27">
        <v>1902</v>
      </c>
      <c r="G360" s="27">
        <v>1103</v>
      </c>
      <c r="H360" s="27" t="s">
        <v>2015</v>
      </c>
    </row>
    <row r="361" spans="1:8" x14ac:dyDescent="0.25">
      <c r="A361" s="27" t="s">
        <v>932</v>
      </c>
      <c r="B361" s="27" t="str">
        <f t="shared" si="10"/>
        <v>Kentucky</v>
      </c>
      <c r="C361" s="27" t="str">
        <f t="shared" si="11"/>
        <v>Henderson</v>
      </c>
      <c r="D361" s="27">
        <v>1866</v>
      </c>
      <c r="E361" s="27">
        <v>27188</v>
      </c>
      <c r="F361" s="27">
        <v>1902</v>
      </c>
      <c r="G361" s="27">
        <v>1103</v>
      </c>
      <c r="H361" s="27" t="s">
        <v>2015</v>
      </c>
    </row>
    <row r="362" spans="1:8" x14ac:dyDescent="0.25">
      <c r="A362" s="27" t="s">
        <v>933</v>
      </c>
      <c r="B362" s="27" t="str">
        <f t="shared" si="10"/>
        <v>Kentucky</v>
      </c>
      <c r="C362" s="27" t="str">
        <f t="shared" si="11"/>
        <v>Henry</v>
      </c>
      <c r="D362" s="27">
        <v>1749</v>
      </c>
      <c r="E362" s="27">
        <v>12150</v>
      </c>
      <c r="F362" s="27">
        <v>1902</v>
      </c>
      <c r="G362" s="27">
        <v>1103</v>
      </c>
      <c r="H362" s="27" t="s">
        <v>2015</v>
      </c>
    </row>
    <row r="363" spans="1:8" x14ac:dyDescent="0.25">
      <c r="A363" s="27" t="s">
        <v>934</v>
      </c>
      <c r="B363" s="27" t="str">
        <f t="shared" si="10"/>
        <v>Kentucky</v>
      </c>
      <c r="C363" s="27" t="str">
        <f t="shared" si="11"/>
        <v>Hickman</v>
      </c>
      <c r="D363" s="27">
        <v>145</v>
      </c>
      <c r="E363" s="27">
        <v>11351</v>
      </c>
      <c r="F363" s="27">
        <v>1902</v>
      </c>
      <c r="G363" s="27">
        <v>1103</v>
      </c>
      <c r="H363" s="27" t="s">
        <v>2015</v>
      </c>
    </row>
    <row r="364" spans="1:8" x14ac:dyDescent="0.25">
      <c r="A364" s="27" t="s">
        <v>935</v>
      </c>
      <c r="B364" s="27" t="str">
        <f t="shared" si="10"/>
        <v>Kentucky</v>
      </c>
      <c r="C364" s="27" t="str">
        <f t="shared" si="11"/>
        <v>Hopkins</v>
      </c>
      <c r="D364" s="27">
        <v>1967</v>
      </c>
      <c r="E364" s="27">
        <v>25692</v>
      </c>
      <c r="F364" s="27">
        <v>1902</v>
      </c>
      <c r="G364" s="27">
        <v>1103</v>
      </c>
      <c r="H364" s="27" t="s">
        <v>2015</v>
      </c>
    </row>
    <row r="365" spans="1:8" x14ac:dyDescent="0.25">
      <c r="A365" s="27" t="s">
        <v>936</v>
      </c>
      <c r="B365" s="27" t="str">
        <f t="shared" si="10"/>
        <v>Kentucky</v>
      </c>
      <c r="C365" s="27" t="str">
        <f t="shared" si="11"/>
        <v>Jackson</v>
      </c>
      <c r="E365" s="27">
        <v>10069</v>
      </c>
      <c r="F365" s="27">
        <v>1902</v>
      </c>
      <c r="G365" s="27">
        <v>1103</v>
      </c>
      <c r="H365" s="27" t="s">
        <v>2015</v>
      </c>
    </row>
    <row r="366" spans="1:8" x14ac:dyDescent="0.25">
      <c r="A366" s="27" t="s">
        <v>937</v>
      </c>
      <c r="B366" s="27" t="str">
        <f t="shared" si="10"/>
        <v>Kentucky</v>
      </c>
      <c r="C366" s="27" t="str">
        <f t="shared" si="11"/>
        <v>Jefferson</v>
      </c>
      <c r="D366" s="27">
        <v>900</v>
      </c>
      <c r="E366" s="27">
        <v>158482</v>
      </c>
      <c r="F366" s="27">
        <v>1902</v>
      </c>
      <c r="G366" s="27">
        <v>1103</v>
      </c>
      <c r="H366" s="27" t="s">
        <v>2015</v>
      </c>
    </row>
    <row r="367" spans="1:8" x14ac:dyDescent="0.25">
      <c r="A367" s="27" t="s">
        <v>938</v>
      </c>
      <c r="B367" s="27" t="str">
        <f t="shared" si="10"/>
        <v>Kentucky</v>
      </c>
      <c r="C367" s="27" t="str">
        <f t="shared" si="11"/>
        <v>Jessamine</v>
      </c>
      <c r="D367" s="27">
        <v>451</v>
      </c>
      <c r="E367" s="27">
        <v>10170</v>
      </c>
      <c r="F367" s="27">
        <v>1902</v>
      </c>
      <c r="G367" s="27">
        <v>1103</v>
      </c>
      <c r="H367" s="27" t="s">
        <v>2015</v>
      </c>
    </row>
    <row r="368" spans="1:8" x14ac:dyDescent="0.25">
      <c r="A368" s="27" t="s">
        <v>939</v>
      </c>
      <c r="B368" s="27" t="str">
        <f t="shared" si="10"/>
        <v>Kentucky</v>
      </c>
      <c r="C368" s="27" t="str">
        <f t="shared" si="11"/>
        <v>Johnson</v>
      </c>
      <c r="D368" s="27">
        <v>207</v>
      </c>
      <c r="E368" s="27">
        <v>13555</v>
      </c>
      <c r="F368" s="27">
        <v>1902</v>
      </c>
      <c r="G368" s="27">
        <v>1103</v>
      </c>
      <c r="H368" s="27" t="s">
        <v>2015</v>
      </c>
    </row>
    <row r="369" spans="1:8" x14ac:dyDescent="0.25">
      <c r="A369" s="27" t="s">
        <v>940</v>
      </c>
      <c r="B369" s="27" t="str">
        <f t="shared" si="10"/>
        <v>Kentucky</v>
      </c>
      <c r="C369" s="27" t="str">
        <f t="shared" si="11"/>
        <v>Kenton</v>
      </c>
      <c r="D369" s="27">
        <v>4105</v>
      </c>
      <c r="E369" s="27">
        <v>59277</v>
      </c>
      <c r="F369" s="27">
        <v>1902</v>
      </c>
      <c r="G369" s="27">
        <v>1103</v>
      </c>
      <c r="H369" s="27" t="s">
        <v>2015</v>
      </c>
    </row>
    <row r="370" spans="1:8" x14ac:dyDescent="0.25">
      <c r="A370" s="27" t="s">
        <v>941</v>
      </c>
      <c r="B370" s="27" t="str">
        <f t="shared" si="10"/>
        <v>Kentucky</v>
      </c>
      <c r="C370" s="27" t="str">
        <f t="shared" si="11"/>
        <v>Knott</v>
      </c>
      <c r="D370" s="27">
        <v>164</v>
      </c>
      <c r="E370" s="27">
        <v>8616</v>
      </c>
      <c r="F370" s="27">
        <v>1902</v>
      </c>
      <c r="G370" s="27">
        <v>1103</v>
      </c>
      <c r="H370" s="27" t="s">
        <v>2015</v>
      </c>
    </row>
    <row r="371" spans="1:8" x14ac:dyDescent="0.25">
      <c r="A371" s="27" t="s">
        <v>942</v>
      </c>
      <c r="B371" s="27" t="str">
        <f t="shared" si="10"/>
        <v>Kentucky</v>
      </c>
      <c r="C371" s="27" t="str">
        <f t="shared" si="11"/>
        <v>Knox</v>
      </c>
      <c r="D371" s="27">
        <v>270</v>
      </c>
      <c r="E371" s="27">
        <v>17234</v>
      </c>
      <c r="F371" s="27">
        <v>1902</v>
      </c>
      <c r="G371" s="27">
        <v>1103</v>
      </c>
      <c r="H371" s="27" t="s">
        <v>2015</v>
      </c>
    </row>
    <row r="372" spans="1:8" x14ac:dyDescent="0.25">
      <c r="A372" s="27" t="s">
        <v>943</v>
      </c>
      <c r="B372" s="27" t="str">
        <f t="shared" si="10"/>
        <v>Kentucky</v>
      </c>
      <c r="C372" s="27" t="str">
        <f t="shared" si="11"/>
        <v>Larue</v>
      </c>
      <c r="E372" s="27">
        <v>8755</v>
      </c>
      <c r="F372" s="27">
        <v>1902</v>
      </c>
      <c r="G372" s="27">
        <v>1103</v>
      </c>
      <c r="H372" s="27" t="s">
        <v>2015</v>
      </c>
    </row>
    <row r="373" spans="1:8" x14ac:dyDescent="0.25">
      <c r="A373" s="27" t="s">
        <v>944</v>
      </c>
      <c r="B373" s="27" t="str">
        <f t="shared" si="10"/>
        <v>Kentucky</v>
      </c>
      <c r="C373" s="27" t="str">
        <f t="shared" si="11"/>
        <v>Laurel</v>
      </c>
      <c r="D373" s="27">
        <v>869</v>
      </c>
      <c r="E373" s="27">
        <v>16511</v>
      </c>
      <c r="F373" s="27">
        <v>1902</v>
      </c>
      <c r="G373" s="27">
        <v>1103</v>
      </c>
      <c r="H373" s="27" t="s">
        <v>2015</v>
      </c>
    </row>
    <row r="374" spans="1:8" x14ac:dyDescent="0.25">
      <c r="A374" s="27" t="s">
        <v>945</v>
      </c>
      <c r="B374" s="27" t="str">
        <f t="shared" si="10"/>
        <v>Kentucky</v>
      </c>
      <c r="C374" s="27" t="str">
        <f t="shared" si="11"/>
        <v>Lawrence</v>
      </c>
      <c r="D374" s="27">
        <v>925</v>
      </c>
      <c r="E374" s="27">
        <v>18220</v>
      </c>
      <c r="F374" s="27">
        <v>1902</v>
      </c>
      <c r="G374" s="27">
        <v>1103</v>
      </c>
      <c r="H374" s="27" t="s">
        <v>2015</v>
      </c>
    </row>
    <row r="375" spans="1:8" x14ac:dyDescent="0.25">
      <c r="A375" s="27" t="s">
        <v>946</v>
      </c>
      <c r="B375" s="27" t="str">
        <f t="shared" si="10"/>
        <v>Kentucky</v>
      </c>
      <c r="C375" s="27" t="str">
        <f t="shared" si="11"/>
        <v>Lee</v>
      </c>
      <c r="D375" s="27">
        <v>409</v>
      </c>
      <c r="E375" s="27">
        <v>7753</v>
      </c>
      <c r="F375" s="27">
        <v>1902</v>
      </c>
      <c r="G375" s="27">
        <v>1103</v>
      </c>
      <c r="H375" s="27" t="s">
        <v>2015</v>
      </c>
    </row>
    <row r="376" spans="1:8" x14ac:dyDescent="0.25">
      <c r="A376" s="27" t="s">
        <v>947</v>
      </c>
      <c r="B376" s="27" t="str">
        <f t="shared" si="10"/>
        <v>Kentucky</v>
      </c>
      <c r="C376" s="27" t="str">
        <f t="shared" si="11"/>
        <v>Leslie</v>
      </c>
      <c r="E376" s="27">
        <v>7078</v>
      </c>
      <c r="F376" s="27">
        <v>1902</v>
      </c>
      <c r="G376" s="27">
        <v>1103</v>
      </c>
      <c r="H376" s="27" t="s">
        <v>2015</v>
      </c>
    </row>
    <row r="377" spans="1:8" x14ac:dyDescent="0.25">
      <c r="A377" s="27" t="s">
        <v>948</v>
      </c>
      <c r="B377" s="27" t="str">
        <f t="shared" si="10"/>
        <v>Kentucky</v>
      </c>
      <c r="C377" s="27" t="str">
        <f t="shared" si="11"/>
        <v>Letcher</v>
      </c>
      <c r="D377" s="27">
        <v>25</v>
      </c>
      <c r="E377" s="27">
        <v>9295</v>
      </c>
      <c r="F377" s="27">
        <v>1902</v>
      </c>
      <c r="G377" s="27">
        <v>1103</v>
      </c>
      <c r="H377" s="27" t="s">
        <v>2015</v>
      </c>
    </row>
    <row r="378" spans="1:8" x14ac:dyDescent="0.25">
      <c r="A378" s="27" t="s">
        <v>949</v>
      </c>
      <c r="B378" s="27" t="str">
        <f t="shared" si="10"/>
        <v>Kentucky</v>
      </c>
      <c r="C378" s="27" t="str">
        <f t="shared" si="11"/>
        <v>Lewis</v>
      </c>
      <c r="D378" s="27">
        <v>405</v>
      </c>
      <c r="E378" s="27">
        <v>14391</v>
      </c>
      <c r="F378" s="27">
        <v>1902</v>
      </c>
      <c r="G378" s="27">
        <v>1103</v>
      </c>
      <c r="H378" s="27" t="s">
        <v>2015</v>
      </c>
    </row>
    <row r="379" spans="1:8" x14ac:dyDescent="0.25">
      <c r="A379" s="27" t="s">
        <v>950</v>
      </c>
      <c r="B379" s="27" t="str">
        <f t="shared" si="10"/>
        <v>Kentucky</v>
      </c>
      <c r="C379" s="27" t="str">
        <f t="shared" si="11"/>
        <v>Lincoln</v>
      </c>
      <c r="E379" s="27">
        <v>14369</v>
      </c>
      <c r="F379" s="27">
        <v>1902</v>
      </c>
      <c r="G379" s="27">
        <v>1103</v>
      </c>
      <c r="H379" s="27" t="s">
        <v>2015</v>
      </c>
    </row>
    <row r="380" spans="1:8" x14ac:dyDescent="0.25">
      <c r="A380" s="27" t="s">
        <v>951</v>
      </c>
      <c r="B380" s="27" t="str">
        <f t="shared" si="10"/>
        <v>Kentucky</v>
      </c>
      <c r="C380" s="27" t="str">
        <f t="shared" si="11"/>
        <v>Livingston</v>
      </c>
      <c r="D380" s="27">
        <v>194</v>
      </c>
      <c r="E380" s="27">
        <v>9892</v>
      </c>
      <c r="F380" s="27">
        <v>1902</v>
      </c>
      <c r="G380" s="27">
        <v>1103</v>
      </c>
      <c r="H380" s="27" t="s">
        <v>2015</v>
      </c>
    </row>
    <row r="381" spans="1:8" x14ac:dyDescent="0.25">
      <c r="A381" s="27" t="s">
        <v>952</v>
      </c>
      <c r="B381" s="27" t="str">
        <f t="shared" si="10"/>
        <v>Kentucky</v>
      </c>
      <c r="C381" s="27" t="str">
        <f t="shared" si="11"/>
        <v>Logan</v>
      </c>
      <c r="D381" s="27">
        <v>498</v>
      </c>
      <c r="E381" s="27">
        <v>20930</v>
      </c>
      <c r="F381" s="27">
        <v>1902</v>
      </c>
      <c r="G381" s="27">
        <v>1103</v>
      </c>
      <c r="H381" s="27" t="s">
        <v>2015</v>
      </c>
    </row>
    <row r="382" spans="1:8" x14ac:dyDescent="0.25">
      <c r="A382" s="27" t="s">
        <v>953</v>
      </c>
      <c r="B382" s="27" t="str">
        <f t="shared" si="10"/>
        <v>Kentucky</v>
      </c>
      <c r="C382" s="27" t="str">
        <f t="shared" si="11"/>
        <v>Lyon</v>
      </c>
      <c r="D382" s="27">
        <v>224</v>
      </c>
      <c r="E382" s="27">
        <v>7686</v>
      </c>
      <c r="F382" s="27">
        <v>1902</v>
      </c>
      <c r="G382" s="27">
        <v>1103</v>
      </c>
      <c r="H382" s="27" t="s">
        <v>2015</v>
      </c>
    </row>
    <row r="383" spans="1:8" x14ac:dyDescent="0.25">
      <c r="A383" s="27" t="s">
        <v>954</v>
      </c>
      <c r="B383" s="27" t="str">
        <f t="shared" si="10"/>
        <v>Kentucky</v>
      </c>
      <c r="C383" s="27" t="str">
        <f t="shared" si="11"/>
        <v>McCracken</v>
      </c>
      <c r="D383" s="27">
        <v>503</v>
      </c>
      <c r="E383" s="27">
        <v>23752</v>
      </c>
      <c r="F383" s="27">
        <v>1902</v>
      </c>
      <c r="G383" s="27">
        <v>1103</v>
      </c>
      <c r="H383" s="27" t="s">
        <v>2015</v>
      </c>
    </row>
    <row r="384" spans="1:8" x14ac:dyDescent="0.25">
      <c r="A384" s="27" t="s">
        <v>955</v>
      </c>
      <c r="B384" s="27" t="str">
        <f t="shared" si="10"/>
        <v>Kentucky</v>
      </c>
      <c r="C384" s="27" t="str">
        <f t="shared" si="11"/>
        <v>McCreary</v>
      </c>
      <c r="F384" s="27">
        <v>1902</v>
      </c>
      <c r="G384" s="27">
        <v>1103</v>
      </c>
      <c r="H384" s="27" t="s">
        <v>2015</v>
      </c>
    </row>
    <row r="385" spans="1:8" x14ac:dyDescent="0.25">
      <c r="A385" s="27" t="s">
        <v>956</v>
      </c>
      <c r="B385" s="27" t="str">
        <f t="shared" si="10"/>
        <v>Kentucky</v>
      </c>
      <c r="C385" s="27" t="str">
        <f t="shared" si="11"/>
        <v>McLean</v>
      </c>
      <c r="D385" s="27">
        <v>561</v>
      </c>
      <c r="E385" s="27">
        <v>10387</v>
      </c>
      <c r="F385" s="27">
        <v>1902</v>
      </c>
      <c r="G385" s="27">
        <v>1103</v>
      </c>
      <c r="H385" s="27" t="s">
        <v>2015</v>
      </c>
    </row>
    <row r="386" spans="1:8" x14ac:dyDescent="0.25">
      <c r="A386" s="27" t="s">
        <v>957</v>
      </c>
      <c r="B386" s="27" t="str">
        <f t="shared" si="10"/>
        <v>Kentucky</v>
      </c>
      <c r="C386" s="27" t="str">
        <f t="shared" si="11"/>
        <v>Madison</v>
      </c>
      <c r="D386" s="27">
        <v>988</v>
      </c>
      <c r="E386" s="27">
        <v>21735</v>
      </c>
      <c r="F386" s="27">
        <v>1902</v>
      </c>
      <c r="G386" s="27">
        <v>1103</v>
      </c>
      <c r="H386" s="27" t="s">
        <v>2015</v>
      </c>
    </row>
    <row r="387" spans="1:8" x14ac:dyDescent="0.25">
      <c r="A387" s="27" t="s">
        <v>958</v>
      </c>
      <c r="B387" s="27" t="str">
        <f t="shared" ref="B387:B450" si="12">LEFT(A387,FIND(";",A387)-1)</f>
        <v>Kentucky</v>
      </c>
      <c r="C387" s="27" t="str">
        <f t="shared" ref="C387:C450" si="13">MID(A387,FIND(";",A387)+1,100)</f>
        <v>Magoffin</v>
      </c>
      <c r="E387" s="27">
        <v>11253</v>
      </c>
      <c r="F387" s="27">
        <v>1902</v>
      </c>
      <c r="G387" s="27">
        <v>1103</v>
      </c>
      <c r="H387" s="27" t="s">
        <v>2015</v>
      </c>
    </row>
    <row r="388" spans="1:8" x14ac:dyDescent="0.25">
      <c r="A388" s="27" t="s">
        <v>959</v>
      </c>
      <c r="B388" s="27" t="str">
        <f t="shared" si="12"/>
        <v>Kentucky</v>
      </c>
      <c r="C388" s="27" t="str">
        <f t="shared" si="13"/>
        <v>Marion</v>
      </c>
      <c r="D388" s="27">
        <v>150</v>
      </c>
      <c r="E388" s="27">
        <v>15275</v>
      </c>
      <c r="F388" s="27">
        <v>1902</v>
      </c>
      <c r="G388" s="27">
        <v>1103</v>
      </c>
      <c r="H388" s="27" t="s">
        <v>2015</v>
      </c>
    </row>
    <row r="389" spans="1:8" x14ac:dyDescent="0.25">
      <c r="A389" s="27" t="s">
        <v>960</v>
      </c>
      <c r="B389" s="27" t="str">
        <f t="shared" si="12"/>
        <v>Kentucky</v>
      </c>
      <c r="C389" s="27" t="str">
        <f t="shared" si="13"/>
        <v>Marshall</v>
      </c>
      <c r="D389" s="27">
        <v>272</v>
      </c>
      <c r="E389" s="27">
        <v>11684</v>
      </c>
      <c r="F389" s="27">
        <v>1902</v>
      </c>
      <c r="G389" s="27">
        <v>1103</v>
      </c>
      <c r="H389" s="27" t="s">
        <v>2015</v>
      </c>
    </row>
    <row r="390" spans="1:8" x14ac:dyDescent="0.25">
      <c r="A390" s="27" t="s">
        <v>961</v>
      </c>
      <c r="B390" s="27" t="str">
        <f t="shared" si="12"/>
        <v>Kentucky</v>
      </c>
      <c r="C390" s="27" t="str">
        <f t="shared" si="13"/>
        <v>Martin</v>
      </c>
      <c r="E390" s="27">
        <v>5494</v>
      </c>
      <c r="F390" s="27">
        <v>1902</v>
      </c>
      <c r="G390" s="27">
        <v>1103</v>
      </c>
      <c r="H390" s="27" t="s">
        <v>2015</v>
      </c>
    </row>
    <row r="391" spans="1:8" x14ac:dyDescent="0.25">
      <c r="A391" s="27" t="s">
        <v>962</v>
      </c>
      <c r="B391" s="27" t="str">
        <f t="shared" si="12"/>
        <v>Kentucky</v>
      </c>
      <c r="C391" s="27" t="str">
        <f t="shared" si="13"/>
        <v>Mason</v>
      </c>
      <c r="D391" s="27">
        <v>632</v>
      </c>
      <c r="E391" s="27">
        <v>30853</v>
      </c>
      <c r="F391" s="27">
        <v>1902</v>
      </c>
      <c r="G391" s="27">
        <v>1103</v>
      </c>
      <c r="H391" s="27" t="s">
        <v>2015</v>
      </c>
    </row>
    <row r="392" spans="1:8" x14ac:dyDescent="0.25">
      <c r="A392" s="27" t="s">
        <v>963</v>
      </c>
      <c r="B392" s="27" t="str">
        <f t="shared" si="12"/>
        <v>Kentucky</v>
      </c>
      <c r="C392" s="27" t="str">
        <f t="shared" si="13"/>
        <v>Meade</v>
      </c>
      <c r="D392" s="27">
        <v>100</v>
      </c>
      <c r="E392" s="27">
        <v>9121</v>
      </c>
      <c r="F392" s="27">
        <v>1902</v>
      </c>
      <c r="G392" s="27">
        <v>1103</v>
      </c>
      <c r="H392" s="27" t="s">
        <v>2015</v>
      </c>
    </row>
    <row r="393" spans="1:8" x14ac:dyDescent="0.25">
      <c r="A393" s="27" t="s">
        <v>964</v>
      </c>
      <c r="B393" s="27" t="str">
        <f t="shared" si="12"/>
        <v>Kentucky</v>
      </c>
      <c r="C393" s="27" t="str">
        <f t="shared" si="13"/>
        <v>Menifee</v>
      </c>
      <c r="D393" s="27">
        <v>214</v>
      </c>
      <c r="E393" s="27">
        <v>6186</v>
      </c>
      <c r="F393" s="27">
        <v>1902</v>
      </c>
      <c r="G393" s="27">
        <v>1103</v>
      </c>
      <c r="H393" s="27" t="s">
        <v>2015</v>
      </c>
    </row>
    <row r="394" spans="1:8" x14ac:dyDescent="0.25">
      <c r="A394" s="27" t="s">
        <v>965</v>
      </c>
      <c r="B394" s="27" t="str">
        <f t="shared" si="12"/>
        <v>Kentucky</v>
      </c>
      <c r="C394" s="27" t="str">
        <f t="shared" si="13"/>
        <v>Mercer</v>
      </c>
      <c r="D394" s="27">
        <v>454</v>
      </c>
      <c r="E394" s="27">
        <v>11383</v>
      </c>
      <c r="F394" s="27">
        <v>1902</v>
      </c>
      <c r="G394" s="27">
        <v>1103</v>
      </c>
      <c r="H394" s="27" t="s">
        <v>2015</v>
      </c>
    </row>
    <row r="395" spans="1:8" x14ac:dyDescent="0.25">
      <c r="A395" s="27" t="s">
        <v>966</v>
      </c>
      <c r="B395" s="27" t="str">
        <f t="shared" si="12"/>
        <v>Kentucky</v>
      </c>
      <c r="C395" s="27" t="str">
        <f t="shared" si="13"/>
        <v>MetCalfe</v>
      </c>
      <c r="E395" s="27">
        <v>8450</v>
      </c>
      <c r="F395" s="27">
        <v>1902</v>
      </c>
      <c r="G395" s="27">
        <v>1103</v>
      </c>
      <c r="H395" s="27" t="s">
        <v>2015</v>
      </c>
    </row>
    <row r="396" spans="1:8" x14ac:dyDescent="0.25">
      <c r="A396" s="27" t="s">
        <v>967</v>
      </c>
      <c r="B396" s="27" t="str">
        <f t="shared" si="12"/>
        <v>Kentucky</v>
      </c>
      <c r="C396" s="27" t="str">
        <f t="shared" si="13"/>
        <v>Monroe</v>
      </c>
      <c r="D396" s="27">
        <v>788</v>
      </c>
      <c r="E396" s="27">
        <v>11485</v>
      </c>
      <c r="F396" s="27">
        <v>1902</v>
      </c>
      <c r="G396" s="27">
        <v>1103</v>
      </c>
      <c r="H396" s="27" t="s">
        <v>2015</v>
      </c>
    </row>
    <row r="397" spans="1:8" x14ac:dyDescent="0.25">
      <c r="A397" s="27" t="s">
        <v>968</v>
      </c>
      <c r="B397" s="27" t="str">
        <f t="shared" si="12"/>
        <v>Kentucky</v>
      </c>
      <c r="C397" s="27" t="str">
        <f t="shared" si="13"/>
        <v>Montgomery</v>
      </c>
      <c r="D397" s="27">
        <v>584</v>
      </c>
      <c r="E397" s="27">
        <v>10203</v>
      </c>
      <c r="F397" s="27">
        <v>1902</v>
      </c>
      <c r="G397" s="27">
        <v>1103</v>
      </c>
      <c r="H397" s="27" t="s">
        <v>2015</v>
      </c>
    </row>
    <row r="398" spans="1:8" x14ac:dyDescent="0.25">
      <c r="A398" s="27" t="s">
        <v>969</v>
      </c>
      <c r="B398" s="27" t="str">
        <f t="shared" si="12"/>
        <v>Kentucky</v>
      </c>
      <c r="C398" s="27" t="str">
        <f t="shared" si="13"/>
        <v>Morgan</v>
      </c>
      <c r="D398" s="27">
        <v>100</v>
      </c>
      <c r="E398" s="27">
        <v>13018</v>
      </c>
      <c r="F398" s="27">
        <v>1902</v>
      </c>
      <c r="G398" s="27">
        <v>1103</v>
      </c>
      <c r="H398" s="27" t="s">
        <v>2015</v>
      </c>
    </row>
    <row r="399" spans="1:8" x14ac:dyDescent="0.25">
      <c r="A399" s="27" t="s">
        <v>970</v>
      </c>
      <c r="B399" s="27" t="str">
        <f t="shared" si="12"/>
        <v>Kentucky</v>
      </c>
      <c r="C399" s="27" t="str">
        <f t="shared" si="13"/>
        <v>Muhlenberg</v>
      </c>
      <c r="D399" s="27">
        <v>102</v>
      </c>
      <c r="E399" s="27">
        <v>17874</v>
      </c>
      <c r="F399" s="27">
        <v>1902</v>
      </c>
      <c r="G399" s="27">
        <v>1103</v>
      </c>
      <c r="H399" s="27" t="s">
        <v>2015</v>
      </c>
    </row>
    <row r="400" spans="1:8" x14ac:dyDescent="0.25">
      <c r="A400" s="27" t="s">
        <v>971</v>
      </c>
      <c r="B400" s="27" t="str">
        <f t="shared" si="12"/>
        <v>Kentucky</v>
      </c>
      <c r="C400" s="27" t="str">
        <f t="shared" si="13"/>
        <v>Nelson</v>
      </c>
      <c r="E400" s="27">
        <v>14029</v>
      </c>
      <c r="F400" s="27">
        <v>1902</v>
      </c>
      <c r="G400" s="27">
        <v>1103</v>
      </c>
      <c r="H400" s="27" t="s">
        <v>2015</v>
      </c>
    </row>
    <row r="401" spans="1:8" x14ac:dyDescent="0.25">
      <c r="A401" s="27" t="s">
        <v>972</v>
      </c>
      <c r="B401" s="27" t="str">
        <f t="shared" si="12"/>
        <v>Kentucky</v>
      </c>
      <c r="C401" s="27" t="str">
        <f t="shared" si="13"/>
        <v>Nicholas</v>
      </c>
      <c r="D401" s="27">
        <v>64</v>
      </c>
      <c r="E401" s="27">
        <v>9415</v>
      </c>
      <c r="F401" s="27">
        <v>1902</v>
      </c>
      <c r="G401" s="27">
        <v>1103</v>
      </c>
      <c r="H401" s="27" t="s">
        <v>2015</v>
      </c>
    </row>
    <row r="402" spans="1:8" x14ac:dyDescent="0.25">
      <c r="A402" s="27" t="s">
        <v>973</v>
      </c>
      <c r="B402" s="27" t="str">
        <f t="shared" si="12"/>
        <v>Kentucky</v>
      </c>
      <c r="C402" s="27" t="str">
        <f t="shared" si="13"/>
        <v>Ohio</v>
      </c>
      <c r="D402" s="27">
        <v>53</v>
      </c>
      <c r="E402" s="27">
        <v>22106</v>
      </c>
      <c r="F402" s="27">
        <v>1902</v>
      </c>
      <c r="G402" s="27">
        <v>1103</v>
      </c>
      <c r="H402" s="27" t="s">
        <v>2015</v>
      </c>
    </row>
    <row r="403" spans="1:8" x14ac:dyDescent="0.25">
      <c r="A403" s="27" t="s">
        <v>974</v>
      </c>
      <c r="B403" s="27" t="str">
        <f t="shared" si="12"/>
        <v>Kentucky</v>
      </c>
      <c r="C403" s="27" t="str">
        <f t="shared" si="13"/>
        <v>Oldham</v>
      </c>
      <c r="E403" s="27">
        <v>4815</v>
      </c>
      <c r="F403" s="27">
        <v>1902</v>
      </c>
      <c r="G403" s="27">
        <v>1103</v>
      </c>
      <c r="H403" s="27" t="s">
        <v>2015</v>
      </c>
    </row>
    <row r="404" spans="1:8" x14ac:dyDescent="0.25">
      <c r="A404" s="27" t="s">
        <v>975</v>
      </c>
      <c r="B404" s="27" t="str">
        <f t="shared" si="12"/>
        <v>Kentucky</v>
      </c>
      <c r="C404" s="27" t="str">
        <f t="shared" si="13"/>
        <v>Owen</v>
      </c>
      <c r="D404" s="27">
        <v>39</v>
      </c>
      <c r="E404" s="27">
        <v>13802</v>
      </c>
      <c r="F404" s="27">
        <v>1902</v>
      </c>
      <c r="G404" s="27">
        <v>1103</v>
      </c>
      <c r="H404" s="27" t="s">
        <v>2015</v>
      </c>
    </row>
    <row r="405" spans="1:8" x14ac:dyDescent="0.25">
      <c r="A405" s="27" t="s">
        <v>976</v>
      </c>
      <c r="B405" s="27" t="str">
        <f t="shared" si="12"/>
        <v>Kentucky</v>
      </c>
      <c r="C405" s="27" t="str">
        <f t="shared" si="13"/>
        <v>Owsley</v>
      </c>
      <c r="D405" s="27">
        <v>393</v>
      </c>
      <c r="E405" s="27">
        <v>6554</v>
      </c>
      <c r="F405" s="27">
        <v>1902</v>
      </c>
      <c r="G405" s="27">
        <v>1103</v>
      </c>
      <c r="H405" s="27" t="s">
        <v>2015</v>
      </c>
    </row>
    <row r="406" spans="1:8" x14ac:dyDescent="0.25">
      <c r="A406" s="27" t="s">
        <v>977</v>
      </c>
      <c r="B406" s="27" t="str">
        <f t="shared" si="12"/>
        <v>Kentucky</v>
      </c>
      <c r="C406" s="27" t="str">
        <f t="shared" si="13"/>
        <v>Pendleton</v>
      </c>
      <c r="D406" s="27">
        <v>38</v>
      </c>
      <c r="E406" s="27">
        <v>11821</v>
      </c>
      <c r="F406" s="27">
        <v>1902</v>
      </c>
      <c r="G406" s="27">
        <v>1103</v>
      </c>
      <c r="H406" s="27" t="s">
        <v>2015</v>
      </c>
    </row>
    <row r="407" spans="1:8" x14ac:dyDescent="0.25">
      <c r="A407" s="27" t="s">
        <v>978</v>
      </c>
      <c r="B407" s="27" t="str">
        <f t="shared" si="12"/>
        <v>Kentucky</v>
      </c>
      <c r="C407" s="27" t="str">
        <f t="shared" si="13"/>
        <v>Perry</v>
      </c>
      <c r="D407" s="27">
        <v>252</v>
      </c>
      <c r="E407" s="27">
        <v>8398</v>
      </c>
      <c r="F407" s="27">
        <v>1902</v>
      </c>
      <c r="G407" s="27">
        <v>1103</v>
      </c>
      <c r="H407" s="27" t="s">
        <v>2015</v>
      </c>
    </row>
    <row r="408" spans="1:8" x14ac:dyDescent="0.25">
      <c r="A408" s="27" t="s">
        <v>979</v>
      </c>
      <c r="B408" s="27" t="str">
        <f t="shared" si="12"/>
        <v>Kentucky</v>
      </c>
      <c r="C408" s="27" t="str">
        <f t="shared" si="13"/>
        <v>Pike</v>
      </c>
      <c r="D408" s="27">
        <v>1902</v>
      </c>
      <c r="E408" s="27">
        <v>23337</v>
      </c>
      <c r="F408" s="27">
        <v>1902</v>
      </c>
      <c r="G408" s="27">
        <v>1103</v>
      </c>
      <c r="H408" s="27" t="s">
        <v>2015</v>
      </c>
    </row>
    <row r="409" spans="1:8" x14ac:dyDescent="0.25">
      <c r="A409" s="27" t="s">
        <v>980</v>
      </c>
      <c r="B409" s="27" t="str">
        <f t="shared" si="12"/>
        <v>Kentucky</v>
      </c>
      <c r="C409" s="27" t="str">
        <f t="shared" si="13"/>
        <v>Powell</v>
      </c>
      <c r="E409" s="27">
        <v>5865</v>
      </c>
      <c r="F409" s="27">
        <v>1902</v>
      </c>
      <c r="G409" s="27">
        <v>1103</v>
      </c>
      <c r="H409" s="27" t="s">
        <v>2015</v>
      </c>
    </row>
    <row r="410" spans="1:8" x14ac:dyDescent="0.25">
      <c r="A410" s="27" t="s">
        <v>981</v>
      </c>
      <c r="B410" s="27" t="str">
        <f t="shared" si="12"/>
        <v>Kentucky</v>
      </c>
      <c r="C410" s="27" t="str">
        <f t="shared" si="13"/>
        <v>Pulaski</v>
      </c>
      <c r="D410" s="27">
        <v>215</v>
      </c>
      <c r="E410" s="27">
        <v>26362</v>
      </c>
      <c r="F410" s="27">
        <v>1902</v>
      </c>
      <c r="G410" s="27">
        <v>1103</v>
      </c>
      <c r="H410" s="27" t="s">
        <v>2015</v>
      </c>
    </row>
    <row r="411" spans="1:8" x14ac:dyDescent="0.25">
      <c r="A411" s="27" t="s">
        <v>982</v>
      </c>
      <c r="B411" s="27" t="str">
        <f t="shared" si="12"/>
        <v>Kentucky</v>
      </c>
      <c r="C411" s="27" t="str">
        <f t="shared" si="13"/>
        <v>Robertson</v>
      </c>
      <c r="E411" s="27">
        <v>3537</v>
      </c>
      <c r="F411" s="27">
        <v>1902</v>
      </c>
      <c r="G411" s="27">
        <v>1103</v>
      </c>
      <c r="H411" s="27" t="s">
        <v>2015</v>
      </c>
    </row>
    <row r="412" spans="1:8" x14ac:dyDescent="0.25">
      <c r="A412" s="27" t="s">
        <v>983</v>
      </c>
      <c r="B412" s="27" t="str">
        <f t="shared" si="12"/>
        <v>Kentucky</v>
      </c>
      <c r="C412" s="27" t="str">
        <f t="shared" si="13"/>
        <v>Rockcastle</v>
      </c>
      <c r="D412" s="27">
        <v>251</v>
      </c>
      <c r="E412" s="27">
        <v>10618</v>
      </c>
      <c r="F412" s="27">
        <v>1902</v>
      </c>
      <c r="G412" s="27">
        <v>1103</v>
      </c>
      <c r="H412" s="27" t="s">
        <v>2015</v>
      </c>
    </row>
    <row r="413" spans="1:8" x14ac:dyDescent="0.25">
      <c r="A413" s="27" t="s">
        <v>984</v>
      </c>
      <c r="B413" s="27" t="str">
        <f t="shared" si="12"/>
        <v>Kentucky</v>
      </c>
      <c r="C413" s="27" t="str">
        <f t="shared" si="13"/>
        <v>Rowan</v>
      </c>
      <c r="D413" s="27">
        <v>575</v>
      </c>
      <c r="E413" s="27">
        <v>7906</v>
      </c>
      <c r="F413" s="27">
        <v>1902</v>
      </c>
      <c r="G413" s="27">
        <v>1103</v>
      </c>
      <c r="H413" s="27" t="s">
        <v>2015</v>
      </c>
    </row>
    <row r="414" spans="1:8" x14ac:dyDescent="0.25">
      <c r="A414" s="27" t="s">
        <v>985</v>
      </c>
      <c r="B414" s="27" t="str">
        <f t="shared" si="12"/>
        <v>Kentucky</v>
      </c>
      <c r="C414" s="27" t="str">
        <f t="shared" si="13"/>
        <v>Russell</v>
      </c>
      <c r="D414" s="27">
        <v>508</v>
      </c>
      <c r="E414" s="27">
        <v>8495</v>
      </c>
      <c r="F414" s="27">
        <v>1902</v>
      </c>
      <c r="G414" s="27">
        <v>1103</v>
      </c>
      <c r="H414" s="27" t="s">
        <v>2015</v>
      </c>
    </row>
    <row r="415" spans="1:8" x14ac:dyDescent="0.25">
      <c r="A415" s="27" t="s">
        <v>986</v>
      </c>
      <c r="B415" s="27" t="str">
        <f t="shared" si="12"/>
        <v>Kentucky</v>
      </c>
      <c r="C415" s="27" t="str">
        <f t="shared" si="13"/>
        <v>Scott</v>
      </c>
      <c r="D415" s="27">
        <v>1240</v>
      </c>
      <c r="E415" s="27">
        <v>14360</v>
      </c>
      <c r="F415" s="27">
        <v>1902</v>
      </c>
      <c r="G415" s="27">
        <v>1103</v>
      </c>
      <c r="H415" s="27" t="s">
        <v>2015</v>
      </c>
    </row>
    <row r="416" spans="1:8" x14ac:dyDescent="0.25">
      <c r="A416" s="27" t="s">
        <v>987</v>
      </c>
      <c r="B416" s="27" t="str">
        <f t="shared" si="12"/>
        <v>Kentucky</v>
      </c>
      <c r="C416" s="27" t="str">
        <f t="shared" si="13"/>
        <v>Shelby</v>
      </c>
      <c r="D416" s="27">
        <v>31</v>
      </c>
      <c r="E416" s="27">
        <v>12991</v>
      </c>
      <c r="F416" s="27">
        <v>1902</v>
      </c>
      <c r="G416" s="27">
        <v>1103</v>
      </c>
      <c r="H416" s="27" t="s">
        <v>2015</v>
      </c>
    </row>
    <row r="417" spans="1:8" x14ac:dyDescent="0.25">
      <c r="A417" s="27" t="s">
        <v>988</v>
      </c>
      <c r="B417" s="27" t="str">
        <f t="shared" si="12"/>
        <v>Kentucky</v>
      </c>
      <c r="C417" s="27" t="str">
        <f t="shared" si="13"/>
        <v>Simpson</v>
      </c>
      <c r="D417" s="27">
        <v>950</v>
      </c>
      <c r="E417" s="27">
        <v>9158</v>
      </c>
      <c r="F417" s="27">
        <v>1902</v>
      </c>
      <c r="G417" s="27">
        <v>1103</v>
      </c>
      <c r="H417" s="27" t="s">
        <v>2015</v>
      </c>
    </row>
    <row r="418" spans="1:8" x14ac:dyDescent="0.25">
      <c r="A418" s="27" t="s">
        <v>989</v>
      </c>
      <c r="B418" s="27" t="str">
        <f t="shared" si="12"/>
        <v>Kentucky</v>
      </c>
      <c r="C418" s="27" t="str">
        <f t="shared" si="13"/>
        <v>Spencer</v>
      </c>
      <c r="E418" s="27">
        <v>6193</v>
      </c>
      <c r="F418" s="27">
        <v>1902</v>
      </c>
      <c r="G418" s="27">
        <v>1103</v>
      </c>
      <c r="H418" s="27" t="s">
        <v>2015</v>
      </c>
    </row>
    <row r="419" spans="1:8" x14ac:dyDescent="0.25">
      <c r="A419" s="27" t="s">
        <v>990</v>
      </c>
      <c r="B419" s="27" t="str">
        <f t="shared" si="12"/>
        <v>Kentucky</v>
      </c>
      <c r="C419" s="27" t="str">
        <f t="shared" si="13"/>
        <v>Taylor</v>
      </c>
      <c r="E419" s="27">
        <v>9731</v>
      </c>
      <c r="F419" s="27">
        <v>1902</v>
      </c>
      <c r="G419" s="27">
        <v>1103</v>
      </c>
      <c r="H419" s="27" t="s">
        <v>2015</v>
      </c>
    </row>
    <row r="420" spans="1:8" x14ac:dyDescent="0.25">
      <c r="A420" s="27" t="s">
        <v>991</v>
      </c>
      <c r="B420" s="27" t="str">
        <f t="shared" si="12"/>
        <v>Kentucky</v>
      </c>
      <c r="C420" s="27" t="str">
        <f t="shared" si="13"/>
        <v>Todd</v>
      </c>
      <c r="D420" s="27">
        <v>276</v>
      </c>
      <c r="E420" s="27">
        <v>15952</v>
      </c>
      <c r="F420" s="27">
        <v>1902</v>
      </c>
      <c r="G420" s="27">
        <v>1103</v>
      </c>
      <c r="H420" s="27" t="s">
        <v>2015</v>
      </c>
    </row>
    <row r="421" spans="1:8" x14ac:dyDescent="0.25">
      <c r="A421" s="27" t="s">
        <v>1795</v>
      </c>
      <c r="B421" s="27" t="str">
        <f t="shared" si="12"/>
        <v>Kentucky</v>
      </c>
      <c r="C421" s="27" t="str">
        <f t="shared" si="13"/>
        <v>Trigg</v>
      </c>
      <c r="D421" s="27">
        <v>441</v>
      </c>
      <c r="E421" s="27">
        <v>14047</v>
      </c>
      <c r="F421" s="27">
        <v>1902</v>
      </c>
      <c r="G421" s="27">
        <v>1103</v>
      </c>
      <c r="H421" s="27" t="s">
        <v>2015</v>
      </c>
    </row>
    <row r="422" spans="1:8" x14ac:dyDescent="0.25">
      <c r="A422" s="27" t="s">
        <v>992</v>
      </c>
      <c r="B422" s="27" t="str">
        <f t="shared" si="12"/>
        <v>Kentucky</v>
      </c>
      <c r="C422" s="27" t="str">
        <f t="shared" si="13"/>
        <v>Trimble</v>
      </c>
      <c r="D422" s="27">
        <v>1217</v>
      </c>
      <c r="E422" s="27">
        <v>5778</v>
      </c>
      <c r="F422" s="27">
        <v>1902</v>
      </c>
      <c r="G422" s="27">
        <v>1103</v>
      </c>
      <c r="H422" s="27" t="s">
        <v>2015</v>
      </c>
    </row>
    <row r="423" spans="1:8" x14ac:dyDescent="0.25">
      <c r="A423" s="27" t="s">
        <v>993</v>
      </c>
      <c r="B423" s="27" t="str">
        <f t="shared" si="12"/>
        <v>Kentucky</v>
      </c>
      <c r="C423" s="27" t="str">
        <f t="shared" si="13"/>
        <v>Union</v>
      </c>
      <c r="D423" s="27">
        <v>175</v>
      </c>
      <c r="E423" s="27">
        <v>17905</v>
      </c>
      <c r="F423" s="27">
        <v>1902</v>
      </c>
      <c r="G423" s="27">
        <v>1103</v>
      </c>
      <c r="H423" s="27" t="s">
        <v>2015</v>
      </c>
    </row>
    <row r="424" spans="1:8" x14ac:dyDescent="0.25">
      <c r="A424" s="27" t="s">
        <v>994</v>
      </c>
      <c r="B424" s="27" t="str">
        <f t="shared" si="12"/>
        <v>Kentucky</v>
      </c>
      <c r="C424" s="27" t="str">
        <f t="shared" si="13"/>
        <v>Warren</v>
      </c>
      <c r="D424" s="27">
        <v>889</v>
      </c>
      <c r="E424" s="27">
        <v>25243</v>
      </c>
      <c r="F424" s="27">
        <v>1902</v>
      </c>
      <c r="G424" s="27">
        <v>1103</v>
      </c>
      <c r="H424" s="27" t="s">
        <v>2015</v>
      </c>
    </row>
    <row r="425" spans="1:8" x14ac:dyDescent="0.25">
      <c r="A425" s="27" t="s">
        <v>995</v>
      </c>
      <c r="B425" s="27" t="str">
        <f t="shared" si="12"/>
        <v>Kentucky</v>
      </c>
      <c r="C425" s="27" t="str">
        <f t="shared" si="13"/>
        <v>Washington</v>
      </c>
      <c r="D425" s="27">
        <v>198</v>
      </c>
      <c r="E425" s="27">
        <v>11887</v>
      </c>
      <c r="F425" s="27">
        <v>1902</v>
      </c>
      <c r="G425" s="27">
        <v>1103</v>
      </c>
      <c r="H425" s="27" t="s">
        <v>2015</v>
      </c>
    </row>
    <row r="426" spans="1:8" x14ac:dyDescent="0.25">
      <c r="A426" s="27" t="s">
        <v>996</v>
      </c>
      <c r="B426" s="27" t="str">
        <f t="shared" si="12"/>
        <v>Kentucky</v>
      </c>
      <c r="C426" s="27" t="str">
        <f t="shared" si="13"/>
        <v>Wayne</v>
      </c>
      <c r="D426" s="27">
        <v>24</v>
      </c>
      <c r="E426" s="27">
        <v>13920</v>
      </c>
      <c r="F426" s="27">
        <v>1902</v>
      </c>
      <c r="G426" s="27">
        <v>1103</v>
      </c>
      <c r="H426" s="27" t="s">
        <v>2015</v>
      </c>
    </row>
    <row r="427" spans="1:8" x14ac:dyDescent="0.25">
      <c r="A427" s="27" t="s">
        <v>997</v>
      </c>
      <c r="B427" s="27" t="str">
        <f t="shared" si="12"/>
        <v>Kentucky</v>
      </c>
      <c r="C427" s="27" t="str">
        <f t="shared" si="13"/>
        <v>Webster</v>
      </c>
      <c r="D427" s="27">
        <v>226</v>
      </c>
      <c r="E427" s="27">
        <v>17915</v>
      </c>
      <c r="F427" s="27">
        <v>1902</v>
      </c>
      <c r="G427" s="27">
        <v>1103</v>
      </c>
      <c r="H427" s="27" t="s">
        <v>2015</v>
      </c>
    </row>
    <row r="428" spans="1:8" x14ac:dyDescent="0.25">
      <c r="A428" s="27" t="s">
        <v>998</v>
      </c>
      <c r="B428" s="27" t="str">
        <f t="shared" si="12"/>
        <v>Kentucky</v>
      </c>
      <c r="C428" s="27" t="str">
        <f t="shared" si="13"/>
        <v>Whitley</v>
      </c>
      <c r="D428" s="27">
        <v>691</v>
      </c>
      <c r="E428" s="27">
        <v>21839</v>
      </c>
      <c r="F428" s="27">
        <v>1902</v>
      </c>
      <c r="G428" s="27">
        <v>1103</v>
      </c>
      <c r="H428" s="27" t="s">
        <v>2015</v>
      </c>
    </row>
    <row r="429" spans="1:8" x14ac:dyDescent="0.25">
      <c r="A429" s="27" t="s">
        <v>999</v>
      </c>
      <c r="B429" s="27" t="str">
        <f t="shared" si="12"/>
        <v>Kentucky</v>
      </c>
      <c r="C429" s="27" t="str">
        <f t="shared" si="13"/>
        <v>Wolfe</v>
      </c>
      <c r="D429" s="27">
        <v>800</v>
      </c>
      <c r="E429" s="27">
        <v>8845</v>
      </c>
      <c r="F429" s="27">
        <v>1902</v>
      </c>
      <c r="G429" s="27">
        <v>1103</v>
      </c>
      <c r="H429" s="27" t="s">
        <v>2015</v>
      </c>
    </row>
    <row r="430" spans="1:8" x14ac:dyDescent="0.25">
      <c r="A430" s="27" t="s">
        <v>1000</v>
      </c>
      <c r="B430" s="27" t="str">
        <f t="shared" si="12"/>
        <v>Kentucky</v>
      </c>
      <c r="C430" s="27" t="str">
        <f t="shared" si="13"/>
        <v>Woodford</v>
      </c>
      <c r="D430" s="27">
        <v>1381</v>
      </c>
      <c r="E430" s="27">
        <v>10553</v>
      </c>
      <c r="F430" s="27">
        <v>1902</v>
      </c>
      <c r="G430" s="27">
        <v>1103</v>
      </c>
      <c r="H430" s="27" t="s">
        <v>2015</v>
      </c>
    </row>
    <row r="431" spans="1:8" x14ac:dyDescent="0.25">
      <c r="A431" s="27" t="s">
        <v>650</v>
      </c>
      <c r="B431" s="27" t="str">
        <f t="shared" si="12"/>
        <v/>
      </c>
      <c r="C431" s="27" t="str">
        <f t="shared" si="13"/>
        <v>MY TOTAL</v>
      </c>
      <c r="D431" s="27">
        <f>SUM(D311:D430)</f>
        <v>61709</v>
      </c>
      <c r="E431" s="27">
        <f>SUM(E311:E430)</f>
        <v>1827810</v>
      </c>
      <c r="H431" s="27" t="s">
        <v>2013</v>
      </c>
    </row>
    <row r="432" spans="1:8" x14ac:dyDescent="0.25">
      <c r="A432" s="27" t="s">
        <v>651</v>
      </c>
      <c r="B432" s="27" t="str">
        <f t="shared" si="12"/>
        <v/>
      </c>
      <c r="C432" s="27" t="str">
        <f t="shared" si="13"/>
        <v>REPORTED TOTAL</v>
      </c>
      <c r="D432" s="27">
        <v>61709</v>
      </c>
      <c r="E432" s="27">
        <v>1827810</v>
      </c>
      <c r="H432" s="27" t="s">
        <v>2013</v>
      </c>
    </row>
    <row r="433" spans="1:8" x14ac:dyDescent="0.25">
      <c r="A433" s="27" t="s">
        <v>1001</v>
      </c>
      <c r="B433" s="27" t="str">
        <f t="shared" si="12"/>
        <v>Louisiana</v>
      </c>
      <c r="C433" s="27" t="str">
        <f t="shared" si="13"/>
        <v>Acadia</v>
      </c>
      <c r="D433" s="27">
        <v>100</v>
      </c>
      <c r="E433" s="27">
        <v>24758</v>
      </c>
      <c r="F433" s="27">
        <v>1902</v>
      </c>
      <c r="G433" s="27">
        <v>1105</v>
      </c>
      <c r="H433" s="27" t="s">
        <v>2016</v>
      </c>
    </row>
    <row r="434" spans="1:8" x14ac:dyDescent="0.25">
      <c r="A434" s="27" t="s">
        <v>1002</v>
      </c>
      <c r="B434" s="27" t="str">
        <f t="shared" si="12"/>
        <v>Louisiana</v>
      </c>
      <c r="C434" s="27" t="str">
        <f t="shared" si="13"/>
        <v>Allen</v>
      </c>
      <c r="F434" s="27">
        <v>1902</v>
      </c>
      <c r="G434" s="27">
        <v>1105</v>
      </c>
      <c r="H434" s="27" t="s">
        <v>2016</v>
      </c>
    </row>
    <row r="435" spans="1:8" x14ac:dyDescent="0.25">
      <c r="A435" s="27" t="s">
        <v>1003</v>
      </c>
      <c r="B435" s="27" t="str">
        <f t="shared" si="12"/>
        <v>Louisiana</v>
      </c>
      <c r="C435" s="27" t="str">
        <f t="shared" si="13"/>
        <v>Ascension</v>
      </c>
      <c r="D435" s="27">
        <v>423</v>
      </c>
      <c r="E435" s="2">
        <v>14949</v>
      </c>
      <c r="F435" s="27">
        <v>1902</v>
      </c>
      <c r="G435" s="27">
        <v>1105</v>
      </c>
      <c r="H435" s="27" t="s">
        <v>2016</v>
      </c>
    </row>
    <row r="436" spans="1:8" x14ac:dyDescent="0.25">
      <c r="A436" s="27" t="s">
        <v>1004</v>
      </c>
      <c r="B436" s="27" t="str">
        <f t="shared" si="12"/>
        <v>Louisiana</v>
      </c>
      <c r="C436" s="27" t="str">
        <f t="shared" si="13"/>
        <v>Assumption</v>
      </c>
      <c r="D436" s="27">
        <v>409</v>
      </c>
      <c r="E436" s="2">
        <v>15844</v>
      </c>
      <c r="F436" s="27">
        <v>1902</v>
      </c>
      <c r="G436" s="27">
        <v>1105</v>
      </c>
      <c r="H436" s="27" t="s">
        <v>2016</v>
      </c>
    </row>
    <row r="437" spans="1:8" x14ac:dyDescent="0.25">
      <c r="A437" s="27" t="s">
        <v>1005</v>
      </c>
      <c r="B437" s="27" t="str">
        <f t="shared" si="12"/>
        <v>Louisiana</v>
      </c>
      <c r="C437" s="27" t="str">
        <f t="shared" si="13"/>
        <v>Avoyelles</v>
      </c>
      <c r="D437" s="27">
        <v>21</v>
      </c>
      <c r="E437" s="2">
        <v>16268</v>
      </c>
      <c r="F437" s="27">
        <v>1902</v>
      </c>
      <c r="G437" s="27">
        <v>1105</v>
      </c>
      <c r="H437" s="27" t="s">
        <v>2016</v>
      </c>
    </row>
    <row r="438" spans="1:8" x14ac:dyDescent="0.25">
      <c r="A438" s="27" t="s">
        <v>1006</v>
      </c>
      <c r="B438" s="27" t="str">
        <f t="shared" si="12"/>
        <v>Louisiana</v>
      </c>
      <c r="C438" s="27" t="str">
        <f t="shared" si="13"/>
        <v>Beauregard</v>
      </c>
      <c r="E438" s="2"/>
      <c r="F438" s="27">
        <v>1902</v>
      </c>
      <c r="G438" s="27">
        <v>1105</v>
      </c>
      <c r="H438" s="27" t="s">
        <v>2016</v>
      </c>
    </row>
    <row r="439" spans="1:8" x14ac:dyDescent="0.25">
      <c r="A439" s="27" t="s">
        <v>1007</v>
      </c>
      <c r="B439" s="27" t="str">
        <f t="shared" si="12"/>
        <v>Louisiana</v>
      </c>
      <c r="C439" s="27" t="str">
        <f t="shared" si="13"/>
        <v>Bienville</v>
      </c>
      <c r="D439" s="27">
        <v>264</v>
      </c>
      <c r="E439" s="2">
        <v>12706</v>
      </c>
      <c r="F439" s="27">
        <v>1902</v>
      </c>
      <c r="G439" s="27">
        <v>1105</v>
      </c>
      <c r="H439" s="27" t="s">
        <v>2016</v>
      </c>
    </row>
    <row r="440" spans="1:8" x14ac:dyDescent="0.25">
      <c r="A440" s="27" t="s">
        <v>1008</v>
      </c>
      <c r="B440" s="27" t="str">
        <f t="shared" si="12"/>
        <v>Louisiana</v>
      </c>
      <c r="C440" s="27" t="str">
        <f t="shared" si="13"/>
        <v>Bossier</v>
      </c>
      <c r="D440" s="27">
        <v>1000</v>
      </c>
      <c r="E440" s="2">
        <v>17383</v>
      </c>
      <c r="F440" s="27">
        <v>1902</v>
      </c>
      <c r="G440" s="27">
        <v>1105</v>
      </c>
      <c r="H440" s="27" t="s">
        <v>2016</v>
      </c>
    </row>
    <row r="441" spans="1:8" x14ac:dyDescent="0.25">
      <c r="A441" s="27" t="s">
        <v>1009</v>
      </c>
      <c r="B441" s="27" t="str">
        <f t="shared" si="12"/>
        <v>Louisiana</v>
      </c>
      <c r="C441" s="27" t="str">
        <f t="shared" si="13"/>
        <v>Caddo</v>
      </c>
      <c r="D441" s="27">
        <v>690</v>
      </c>
      <c r="E441" s="2">
        <v>25000</v>
      </c>
      <c r="F441" s="27">
        <v>1902</v>
      </c>
      <c r="G441" s="27">
        <v>1105</v>
      </c>
      <c r="H441" s="27" t="s">
        <v>2016</v>
      </c>
    </row>
    <row r="442" spans="1:8" x14ac:dyDescent="0.25">
      <c r="A442" s="27" t="s">
        <v>1010</v>
      </c>
      <c r="B442" s="27" t="str">
        <f t="shared" si="12"/>
        <v>Louisiana</v>
      </c>
      <c r="C442" s="27" t="str">
        <f t="shared" si="13"/>
        <v>Calcasieu</v>
      </c>
      <c r="D442" s="27">
        <v>890</v>
      </c>
      <c r="E442" s="2">
        <v>67898</v>
      </c>
      <c r="F442" s="27">
        <v>1902</v>
      </c>
      <c r="G442" s="27">
        <v>1105</v>
      </c>
      <c r="H442" s="27" t="s">
        <v>2016</v>
      </c>
    </row>
    <row r="443" spans="1:8" x14ac:dyDescent="0.25">
      <c r="A443" s="27" t="s">
        <v>1011</v>
      </c>
      <c r="B443" s="27" t="str">
        <f t="shared" si="12"/>
        <v>Louisiana</v>
      </c>
      <c r="C443" s="27" t="str">
        <f t="shared" si="13"/>
        <v>Caldwell</v>
      </c>
      <c r="E443" s="2">
        <v>4303</v>
      </c>
      <c r="F443" s="27">
        <v>1902</v>
      </c>
      <c r="G443" s="27">
        <v>1105</v>
      </c>
      <c r="H443" s="27" t="s">
        <v>2016</v>
      </c>
    </row>
    <row r="444" spans="1:8" x14ac:dyDescent="0.25">
      <c r="A444" s="27" t="s">
        <v>1012</v>
      </c>
      <c r="B444" s="27" t="str">
        <f t="shared" si="12"/>
        <v>Louisiana</v>
      </c>
      <c r="C444" s="27" t="str">
        <f t="shared" si="13"/>
        <v>Cameron</v>
      </c>
      <c r="D444" s="27">
        <v>45</v>
      </c>
      <c r="E444" s="2">
        <v>7267</v>
      </c>
      <c r="F444" s="27">
        <v>1902</v>
      </c>
      <c r="G444" s="27">
        <v>1105</v>
      </c>
      <c r="H444" s="27" t="s">
        <v>2016</v>
      </c>
    </row>
    <row r="445" spans="1:8" x14ac:dyDescent="0.25">
      <c r="A445" s="27" t="s">
        <v>1013</v>
      </c>
      <c r="B445" s="27" t="str">
        <f t="shared" si="12"/>
        <v>Louisiana</v>
      </c>
      <c r="C445" s="27" t="str">
        <f t="shared" si="13"/>
        <v>Catahoula</v>
      </c>
      <c r="D445" s="27">
        <v>471</v>
      </c>
      <c r="E445" s="2">
        <v>10690</v>
      </c>
      <c r="F445" s="27">
        <v>1902</v>
      </c>
      <c r="G445" s="27">
        <v>1105</v>
      </c>
      <c r="H445" s="27" t="s">
        <v>2016</v>
      </c>
    </row>
    <row r="446" spans="1:8" x14ac:dyDescent="0.25">
      <c r="A446" s="27" t="s">
        <v>1014</v>
      </c>
      <c r="B446" s="27" t="str">
        <f t="shared" si="12"/>
        <v>Louisiana</v>
      </c>
      <c r="C446" s="27" t="str">
        <f t="shared" si="13"/>
        <v>Claiborne</v>
      </c>
      <c r="D446" s="27">
        <v>15</v>
      </c>
      <c r="E446" s="2">
        <v>14810</v>
      </c>
      <c r="F446" s="27">
        <v>1902</v>
      </c>
      <c r="G446" s="27">
        <v>1105</v>
      </c>
      <c r="H446" s="27" t="s">
        <v>2016</v>
      </c>
    </row>
    <row r="447" spans="1:8" x14ac:dyDescent="0.25">
      <c r="A447" s="27" t="s">
        <v>1015</v>
      </c>
      <c r="B447" s="27" t="str">
        <f t="shared" si="12"/>
        <v>Louisiana</v>
      </c>
      <c r="C447" s="27" t="str">
        <f t="shared" si="13"/>
        <v>Concordia</v>
      </c>
      <c r="D447" s="27">
        <v>200</v>
      </c>
      <c r="E447" s="2">
        <v>7291</v>
      </c>
      <c r="F447" s="27">
        <v>1902</v>
      </c>
      <c r="G447" s="27">
        <v>1105</v>
      </c>
      <c r="H447" s="27" t="s">
        <v>2016</v>
      </c>
    </row>
    <row r="448" spans="1:8" x14ac:dyDescent="0.25">
      <c r="A448" s="27" t="s">
        <v>1962</v>
      </c>
      <c r="B448" s="27" t="str">
        <f t="shared" si="12"/>
        <v>Louisiana</v>
      </c>
      <c r="C448" s="27" t="str">
        <f t="shared" si="13"/>
        <v>Desoto</v>
      </c>
      <c r="D448" s="27">
        <v>650</v>
      </c>
      <c r="E448" s="2">
        <v>18781</v>
      </c>
      <c r="F448" s="27">
        <v>1902</v>
      </c>
      <c r="G448" s="27">
        <v>1105</v>
      </c>
      <c r="H448" s="27" t="s">
        <v>2016</v>
      </c>
    </row>
    <row r="449" spans="1:8" x14ac:dyDescent="0.25">
      <c r="A449" s="27" t="s">
        <v>1016</v>
      </c>
      <c r="B449" s="27" t="str">
        <f t="shared" si="12"/>
        <v>Louisiana</v>
      </c>
      <c r="C449" s="27" t="str">
        <f t="shared" si="13"/>
        <v>East Baton Rouge</v>
      </c>
      <c r="D449" s="27">
        <v>98</v>
      </c>
      <c r="E449" s="2">
        <v>11846</v>
      </c>
      <c r="F449" s="27">
        <v>1902</v>
      </c>
      <c r="G449" s="27">
        <v>1105</v>
      </c>
      <c r="H449" s="27" t="s">
        <v>2016</v>
      </c>
    </row>
    <row r="450" spans="1:8" x14ac:dyDescent="0.25">
      <c r="A450" s="27" t="s">
        <v>1780</v>
      </c>
      <c r="B450" s="27" t="str">
        <f t="shared" si="12"/>
        <v>Louisiana</v>
      </c>
      <c r="C450" s="27" t="str">
        <f t="shared" si="13"/>
        <v>East Carroll/Carroll</v>
      </c>
      <c r="D450" s="27">
        <v>195</v>
      </c>
      <c r="E450" s="2">
        <v>7801</v>
      </c>
      <c r="F450" s="27">
        <v>1902</v>
      </c>
      <c r="G450" s="27">
        <v>1105</v>
      </c>
      <c r="H450" s="27" t="s">
        <v>2016</v>
      </c>
    </row>
    <row r="451" spans="1:8" x14ac:dyDescent="0.25">
      <c r="A451" s="27" t="s">
        <v>1017</v>
      </c>
      <c r="B451" s="27" t="str">
        <f t="shared" ref="B451:B514" si="14">LEFT(A451,FIND(";",A451)-1)</f>
        <v>Louisiana</v>
      </c>
      <c r="C451" s="27" t="str">
        <f t="shared" ref="C451:C514" si="15">MID(A451,FIND(";",A451)+1,100)</f>
        <v>East Feliciana</v>
      </c>
      <c r="D451" s="27">
        <v>106</v>
      </c>
      <c r="E451" s="2">
        <v>13312</v>
      </c>
      <c r="F451" s="27">
        <v>1902</v>
      </c>
      <c r="G451" s="27">
        <v>1105</v>
      </c>
      <c r="H451" s="27" t="s">
        <v>2016</v>
      </c>
    </row>
    <row r="452" spans="1:8" x14ac:dyDescent="0.25">
      <c r="A452" s="27" t="s">
        <v>1018</v>
      </c>
      <c r="B452" s="27" t="str">
        <f t="shared" si="14"/>
        <v>Louisiana</v>
      </c>
      <c r="C452" s="27" t="str">
        <f t="shared" si="15"/>
        <v>Evangeline</v>
      </c>
      <c r="E452" s="2"/>
      <c r="F452" s="27">
        <v>1902</v>
      </c>
      <c r="G452" s="27">
        <v>1105</v>
      </c>
      <c r="H452" s="27" t="s">
        <v>2016</v>
      </c>
    </row>
    <row r="453" spans="1:8" x14ac:dyDescent="0.25">
      <c r="A453" s="27" t="s">
        <v>1019</v>
      </c>
      <c r="B453" s="27" t="str">
        <f t="shared" si="14"/>
        <v>Louisiana</v>
      </c>
      <c r="C453" s="27" t="str">
        <f t="shared" si="15"/>
        <v>Franklin</v>
      </c>
      <c r="D453" s="27">
        <v>100</v>
      </c>
      <c r="E453" s="2">
        <v>10416</v>
      </c>
      <c r="F453" s="27">
        <v>1902</v>
      </c>
      <c r="G453" s="27">
        <v>1105</v>
      </c>
      <c r="H453" s="27" t="s">
        <v>2016</v>
      </c>
    </row>
    <row r="454" spans="1:8" x14ac:dyDescent="0.25">
      <c r="A454" s="27" t="s">
        <v>1020</v>
      </c>
      <c r="B454" s="27" t="str">
        <f t="shared" si="14"/>
        <v>Louisiana</v>
      </c>
      <c r="C454" s="27" t="str">
        <f t="shared" si="15"/>
        <v>Grant</v>
      </c>
      <c r="E454" s="2">
        <v>14896</v>
      </c>
      <c r="F454" s="27">
        <v>1902</v>
      </c>
      <c r="G454" s="27">
        <v>1105</v>
      </c>
      <c r="H454" s="27" t="s">
        <v>2016</v>
      </c>
    </row>
    <row r="455" spans="1:8" x14ac:dyDescent="0.25">
      <c r="A455" s="27" t="s">
        <v>1021</v>
      </c>
      <c r="B455" s="27" t="str">
        <f t="shared" si="14"/>
        <v>Louisiana</v>
      </c>
      <c r="C455" s="27" t="str">
        <f t="shared" si="15"/>
        <v>Iberia</v>
      </c>
      <c r="D455" s="27">
        <v>800</v>
      </c>
      <c r="E455" s="2">
        <v>30161</v>
      </c>
      <c r="F455" s="27">
        <v>1902</v>
      </c>
      <c r="G455" s="27">
        <v>1105</v>
      </c>
      <c r="H455" s="27" t="s">
        <v>2016</v>
      </c>
    </row>
    <row r="456" spans="1:8" x14ac:dyDescent="0.25">
      <c r="A456" s="27" t="s">
        <v>1022</v>
      </c>
      <c r="B456" s="27" t="str">
        <f t="shared" si="14"/>
        <v>Louisiana</v>
      </c>
      <c r="C456" s="27" t="str">
        <f t="shared" si="15"/>
        <v>Iberville</v>
      </c>
      <c r="D456" s="27">
        <v>977</v>
      </c>
      <c r="E456" s="2">
        <v>14712</v>
      </c>
      <c r="F456" s="27">
        <v>1902</v>
      </c>
      <c r="G456" s="27">
        <v>1105</v>
      </c>
      <c r="H456" s="27" t="s">
        <v>2016</v>
      </c>
    </row>
    <row r="457" spans="1:8" x14ac:dyDescent="0.25">
      <c r="A457" s="27" t="s">
        <v>1023</v>
      </c>
      <c r="B457" s="27" t="str">
        <f t="shared" si="14"/>
        <v>Louisiana</v>
      </c>
      <c r="C457" s="27" t="str">
        <f t="shared" si="15"/>
        <v>Jackson</v>
      </c>
      <c r="E457" s="2">
        <v>8693</v>
      </c>
      <c r="F457" s="27">
        <v>1902</v>
      </c>
      <c r="G457" s="27">
        <v>1105</v>
      </c>
      <c r="H457" s="27" t="s">
        <v>2016</v>
      </c>
    </row>
    <row r="458" spans="1:8" x14ac:dyDescent="0.25">
      <c r="A458" s="27" t="s">
        <v>1024</v>
      </c>
      <c r="B458" s="27" t="str">
        <f t="shared" si="14"/>
        <v>Louisiana</v>
      </c>
      <c r="C458" s="27" t="str">
        <f t="shared" si="15"/>
        <v>Jefferson</v>
      </c>
      <c r="D458" s="27">
        <v>1500</v>
      </c>
      <c r="E458" s="2">
        <v>14621</v>
      </c>
      <c r="F458" s="27">
        <v>1902</v>
      </c>
      <c r="G458" s="27">
        <v>1105</v>
      </c>
      <c r="H458" s="27" t="s">
        <v>2016</v>
      </c>
    </row>
    <row r="459" spans="1:8" x14ac:dyDescent="0.25">
      <c r="A459" s="27" t="s">
        <v>1025</v>
      </c>
      <c r="B459" s="27" t="str">
        <f t="shared" si="14"/>
        <v>Louisiana</v>
      </c>
      <c r="C459" s="27" t="str">
        <f t="shared" si="15"/>
        <v>Jefferson Davis</v>
      </c>
      <c r="E459" s="2"/>
      <c r="F459" s="27">
        <v>1902</v>
      </c>
      <c r="G459" s="27">
        <v>1105</v>
      </c>
      <c r="H459" s="27" t="s">
        <v>2016</v>
      </c>
    </row>
    <row r="460" spans="1:8" x14ac:dyDescent="0.25">
      <c r="A460" s="27" t="s">
        <v>1026</v>
      </c>
      <c r="B460" s="27" t="str">
        <f t="shared" si="14"/>
        <v>Louisiana</v>
      </c>
      <c r="C460" s="27" t="str">
        <f t="shared" si="15"/>
        <v>Lafayette</v>
      </c>
      <c r="D460" s="27">
        <v>182</v>
      </c>
      <c r="E460" s="2">
        <v>26705</v>
      </c>
      <c r="F460" s="27">
        <v>1902</v>
      </c>
      <c r="G460" s="27">
        <v>1105</v>
      </c>
      <c r="H460" s="27" t="s">
        <v>2016</v>
      </c>
    </row>
    <row r="461" spans="1:8" x14ac:dyDescent="0.25">
      <c r="A461" s="27" t="s">
        <v>1027</v>
      </c>
      <c r="B461" s="27" t="str">
        <f t="shared" si="14"/>
        <v>Louisiana</v>
      </c>
      <c r="C461" s="27" t="str">
        <f t="shared" si="15"/>
        <v>Lafourche</v>
      </c>
      <c r="D461" s="27">
        <v>220</v>
      </c>
      <c r="E461" s="2">
        <v>20932</v>
      </c>
      <c r="F461" s="27">
        <v>1902</v>
      </c>
      <c r="G461" s="27">
        <v>1105</v>
      </c>
      <c r="H461" s="27" t="s">
        <v>2016</v>
      </c>
    </row>
    <row r="462" spans="1:8" x14ac:dyDescent="0.25">
      <c r="A462" s="27" t="s">
        <v>1028</v>
      </c>
      <c r="B462" s="27" t="str">
        <f t="shared" si="14"/>
        <v>Louisiana</v>
      </c>
      <c r="C462" s="27" t="str">
        <f t="shared" si="15"/>
        <v>La Salle</v>
      </c>
      <c r="F462" s="27">
        <v>1902</v>
      </c>
      <c r="G462" s="27">
        <v>1105</v>
      </c>
      <c r="H462" s="27" t="s">
        <v>2016</v>
      </c>
    </row>
    <row r="463" spans="1:8" x14ac:dyDescent="0.25">
      <c r="A463" s="27" t="s">
        <v>1029</v>
      </c>
      <c r="B463" s="27" t="str">
        <f t="shared" si="14"/>
        <v>Louisiana</v>
      </c>
      <c r="C463" s="27" t="str">
        <f t="shared" si="15"/>
        <v>Lincoln</v>
      </c>
      <c r="D463" s="27">
        <v>401</v>
      </c>
      <c r="E463" s="2">
        <v>14509</v>
      </c>
      <c r="F463" s="27">
        <v>1902</v>
      </c>
      <c r="G463" s="27">
        <v>1105</v>
      </c>
      <c r="H463" s="27" t="s">
        <v>2016</v>
      </c>
    </row>
    <row r="464" spans="1:8" x14ac:dyDescent="0.25">
      <c r="A464" s="27" t="s">
        <v>1030</v>
      </c>
      <c r="B464" s="27" t="str">
        <f t="shared" si="14"/>
        <v>Louisiana</v>
      </c>
      <c r="C464" s="27" t="str">
        <f t="shared" si="15"/>
        <v>Livingston</v>
      </c>
      <c r="E464" s="2">
        <v>5887</v>
      </c>
      <c r="F464" s="27">
        <v>1902</v>
      </c>
      <c r="G464" s="27">
        <v>1105</v>
      </c>
      <c r="H464" s="27" t="s">
        <v>2016</v>
      </c>
    </row>
    <row r="465" spans="1:8" x14ac:dyDescent="0.25">
      <c r="A465" s="27" t="s">
        <v>1031</v>
      </c>
      <c r="B465" s="27" t="str">
        <f t="shared" si="14"/>
        <v>Louisiana</v>
      </c>
      <c r="C465" s="27" t="str">
        <f t="shared" si="15"/>
        <v>Madison</v>
      </c>
      <c r="D465" s="27">
        <v>325</v>
      </c>
      <c r="E465" s="2">
        <v>9529</v>
      </c>
      <c r="F465" s="27">
        <v>1902</v>
      </c>
      <c r="G465" s="27">
        <v>1105</v>
      </c>
      <c r="H465" s="27" t="s">
        <v>2016</v>
      </c>
    </row>
    <row r="466" spans="1:8" x14ac:dyDescent="0.25">
      <c r="A466" s="27" t="s">
        <v>1032</v>
      </c>
      <c r="B466" s="27" t="str">
        <f t="shared" si="14"/>
        <v>Louisiana</v>
      </c>
      <c r="C466" s="27" t="str">
        <f t="shared" si="15"/>
        <v>Morehouse</v>
      </c>
      <c r="D466" s="27">
        <v>424</v>
      </c>
      <c r="E466" s="2">
        <v>21200</v>
      </c>
      <c r="F466" s="27">
        <v>1902</v>
      </c>
      <c r="G466" s="27">
        <v>1105</v>
      </c>
      <c r="H466" s="27" t="s">
        <v>2016</v>
      </c>
    </row>
    <row r="467" spans="1:8" x14ac:dyDescent="0.25">
      <c r="A467" s="27" t="s">
        <v>1033</v>
      </c>
      <c r="B467" s="27" t="str">
        <f t="shared" si="14"/>
        <v>Louisiana</v>
      </c>
      <c r="C467" s="27" t="str">
        <f t="shared" si="15"/>
        <v>Natchitoches</v>
      </c>
      <c r="D467" s="27">
        <v>386</v>
      </c>
      <c r="E467" s="2">
        <v>23490</v>
      </c>
      <c r="F467" s="27">
        <v>1902</v>
      </c>
      <c r="G467" s="27">
        <v>1105</v>
      </c>
      <c r="H467" s="27" t="s">
        <v>2016</v>
      </c>
    </row>
    <row r="468" spans="1:8" x14ac:dyDescent="0.25">
      <c r="A468" s="27" t="s">
        <v>1034</v>
      </c>
      <c r="B468" s="27" t="str">
        <f t="shared" si="14"/>
        <v>Louisiana</v>
      </c>
      <c r="C468" s="27" t="str">
        <f t="shared" si="15"/>
        <v>Orleans</v>
      </c>
      <c r="F468" s="27">
        <v>1902</v>
      </c>
      <c r="G468" s="27">
        <v>1105</v>
      </c>
      <c r="H468" s="27" t="s">
        <v>2016</v>
      </c>
    </row>
    <row r="469" spans="1:8" x14ac:dyDescent="0.25">
      <c r="A469" s="27" t="s">
        <v>1035</v>
      </c>
      <c r="B469" s="27" t="str">
        <f t="shared" si="14"/>
        <v>Louisiana</v>
      </c>
      <c r="C469" s="27" t="str">
        <f t="shared" si="15"/>
        <v>Ouachita</v>
      </c>
      <c r="D469" s="27">
        <v>102</v>
      </c>
      <c r="E469" s="2">
        <v>14339</v>
      </c>
      <c r="F469" s="27">
        <v>1902</v>
      </c>
      <c r="G469" s="27">
        <v>1105</v>
      </c>
      <c r="H469" s="27" t="s">
        <v>2016</v>
      </c>
    </row>
    <row r="470" spans="1:8" x14ac:dyDescent="0.25">
      <c r="A470" s="27" t="s">
        <v>1036</v>
      </c>
      <c r="B470" s="27" t="str">
        <f t="shared" si="14"/>
        <v>Louisiana</v>
      </c>
      <c r="C470" s="27" t="str">
        <f t="shared" si="15"/>
        <v>Plaquemines</v>
      </c>
      <c r="D470" s="27">
        <v>500</v>
      </c>
      <c r="E470" s="2">
        <v>4306</v>
      </c>
      <c r="F470" s="27">
        <v>1902</v>
      </c>
      <c r="G470" s="27">
        <v>1105</v>
      </c>
      <c r="H470" s="27" t="s">
        <v>2016</v>
      </c>
    </row>
    <row r="471" spans="1:8" x14ac:dyDescent="0.25">
      <c r="A471" s="27" t="s">
        <v>1750</v>
      </c>
      <c r="B471" s="27" t="str">
        <f t="shared" si="14"/>
        <v>Louisiana</v>
      </c>
      <c r="C471" s="27" t="str">
        <f t="shared" si="15"/>
        <v>Pointe Coupee</v>
      </c>
      <c r="D471" s="27">
        <v>419</v>
      </c>
      <c r="E471" s="2">
        <v>18536</v>
      </c>
      <c r="F471" s="27">
        <v>1902</v>
      </c>
      <c r="G471" s="27">
        <v>1105</v>
      </c>
      <c r="H471" s="27" t="s">
        <v>2016</v>
      </c>
    </row>
    <row r="472" spans="1:8" x14ac:dyDescent="0.25">
      <c r="A472" s="27" t="s">
        <v>1037</v>
      </c>
      <c r="B472" s="27" t="str">
        <f t="shared" si="14"/>
        <v>Louisiana</v>
      </c>
      <c r="C472" s="27" t="str">
        <f t="shared" si="15"/>
        <v>Rapides</v>
      </c>
      <c r="D472" s="1">
        <v>5357</v>
      </c>
      <c r="E472" s="2">
        <v>31250</v>
      </c>
      <c r="F472" s="27">
        <v>1902</v>
      </c>
      <c r="G472" s="27">
        <v>1105</v>
      </c>
      <c r="H472" s="27" t="s">
        <v>2016</v>
      </c>
    </row>
    <row r="473" spans="1:8" x14ac:dyDescent="0.25">
      <c r="A473" s="27" t="s">
        <v>1751</v>
      </c>
      <c r="B473" s="27" t="str">
        <f t="shared" si="14"/>
        <v>Louisiana</v>
      </c>
      <c r="C473" s="27" t="str">
        <f t="shared" si="15"/>
        <v>Red River</v>
      </c>
      <c r="D473" s="27">
        <v>150</v>
      </c>
      <c r="E473" s="2">
        <v>10081</v>
      </c>
      <c r="F473" s="27">
        <v>1902</v>
      </c>
      <c r="G473" s="27">
        <v>1105</v>
      </c>
      <c r="H473" s="27" t="s">
        <v>2016</v>
      </c>
    </row>
    <row r="474" spans="1:8" x14ac:dyDescent="0.25">
      <c r="A474" s="27" t="s">
        <v>1038</v>
      </c>
      <c r="B474" s="27" t="str">
        <f t="shared" si="14"/>
        <v>Louisiana</v>
      </c>
      <c r="C474" s="27" t="str">
        <f t="shared" si="15"/>
        <v>Richland</v>
      </c>
      <c r="E474" s="2">
        <v>7436</v>
      </c>
      <c r="F474" s="27">
        <v>1902</v>
      </c>
      <c r="G474" s="27">
        <v>1105</v>
      </c>
      <c r="H474" s="27" t="s">
        <v>2016</v>
      </c>
    </row>
    <row r="475" spans="1:8" x14ac:dyDescent="0.25">
      <c r="A475" s="27" t="s">
        <v>1039</v>
      </c>
      <c r="B475" s="27" t="str">
        <f t="shared" si="14"/>
        <v>Louisiana</v>
      </c>
      <c r="C475" s="27" t="str">
        <f t="shared" si="15"/>
        <v>Sabine</v>
      </c>
      <c r="D475" s="27">
        <v>150</v>
      </c>
      <c r="E475" s="2">
        <v>12765</v>
      </c>
      <c r="F475" s="27">
        <v>1902</v>
      </c>
      <c r="G475" s="27">
        <v>1105</v>
      </c>
      <c r="H475" s="27" t="s">
        <v>2016</v>
      </c>
    </row>
    <row r="476" spans="1:8" x14ac:dyDescent="0.25">
      <c r="A476" s="27" t="s">
        <v>1781</v>
      </c>
      <c r="B476" s="27" t="str">
        <f t="shared" si="14"/>
        <v>Louisiana</v>
      </c>
      <c r="C476" s="27" t="str">
        <f t="shared" si="15"/>
        <v>St Bernard</v>
      </c>
      <c r="E476" s="2">
        <v>3875</v>
      </c>
      <c r="F476" s="27">
        <v>1902</v>
      </c>
      <c r="G476" s="27">
        <v>1105</v>
      </c>
      <c r="H476" s="27" t="s">
        <v>2016</v>
      </c>
    </row>
    <row r="477" spans="1:8" x14ac:dyDescent="0.25">
      <c r="A477" s="27" t="s">
        <v>1782</v>
      </c>
      <c r="B477" s="27" t="str">
        <f t="shared" si="14"/>
        <v>Louisiana</v>
      </c>
      <c r="C477" s="27" t="str">
        <f t="shared" si="15"/>
        <v>St Charles</v>
      </c>
      <c r="E477" s="2">
        <v>4452</v>
      </c>
      <c r="F477" s="27">
        <v>1902</v>
      </c>
      <c r="G477" s="27">
        <v>1105</v>
      </c>
      <c r="H477" s="27" t="s">
        <v>2016</v>
      </c>
    </row>
    <row r="478" spans="1:8" x14ac:dyDescent="0.25">
      <c r="A478" s="27" t="s">
        <v>1783</v>
      </c>
      <c r="B478" s="27" t="str">
        <f t="shared" si="14"/>
        <v>Louisiana</v>
      </c>
      <c r="C478" s="27" t="str">
        <f t="shared" si="15"/>
        <v>St Helena</v>
      </c>
      <c r="E478" s="2">
        <v>5259</v>
      </c>
      <c r="F478" s="27">
        <v>1902</v>
      </c>
      <c r="G478" s="27">
        <v>1105</v>
      </c>
      <c r="H478" s="27" t="s">
        <v>2016</v>
      </c>
    </row>
    <row r="479" spans="1:8" x14ac:dyDescent="0.25">
      <c r="A479" s="27" t="s">
        <v>1784</v>
      </c>
      <c r="B479" s="27" t="str">
        <f t="shared" si="14"/>
        <v>Louisiana</v>
      </c>
      <c r="C479" s="27" t="str">
        <f t="shared" si="15"/>
        <v>St James</v>
      </c>
      <c r="D479" s="27">
        <v>46</v>
      </c>
      <c r="E479" s="2">
        <v>8816</v>
      </c>
      <c r="F479" s="27">
        <v>1902</v>
      </c>
      <c r="G479" s="27">
        <v>1105</v>
      </c>
      <c r="H479" s="27" t="s">
        <v>2016</v>
      </c>
    </row>
    <row r="480" spans="1:8" x14ac:dyDescent="0.25">
      <c r="A480" s="27" t="s">
        <v>1785</v>
      </c>
      <c r="B480" s="27" t="str">
        <f t="shared" si="14"/>
        <v>Louisiana</v>
      </c>
      <c r="C480" s="27" t="str">
        <f t="shared" si="15"/>
        <v>St John the Baptist</v>
      </c>
      <c r="D480" s="27">
        <v>525</v>
      </c>
      <c r="E480" s="2">
        <v>7720</v>
      </c>
      <c r="F480" s="27">
        <v>1902</v>
      </c>
      <c r="G480" s="27">
        <v>1105</v>
      </c>
      <c r="H480" s="27" t="s">
        <v>2016</v>
      </c>
    </row>
    <row r="481" spans="1:8" x14ac:dyDescent="0.25">
      <c r="A481" s="27" t="s">
        <v>1786</v>
      </c>
      <c r="B481" s="27" t="str">
        <f t="shared" si="14"/>
        <v>Louisiana</v>
      </c>
      <c r="C481" s="27" t="str">
        <f t="shared" si="15"/>
        <v>St Landry</v>
      </c>
      <c r="D481" s="27">
        <v>462</v>
      </c>
      <c r="E481" s="2">
        <v>31774</v>
      </c>
      <c r="F481" s="27">
        <v>1902</v>
      </c>
      <c r="G481" s="27">
        <v>1105</v>
      </c>
      <c r="H481" s="27" t="s">
        <v>2016</v>
      </c>
    </row>
    <row r="482" spans="1:8" x14ac:dyDescent="0.25">
      <c r="A482" s="27" t="s">
        <v>1787</v>
      </c>
      <c r="B482" s="27" t="str">
        <f t="shared" si="14"/>
        <v>Louisiana</v>
      </c>
      <c r="C482" s="27" t="str">
        <f t="shared" si="15"/>
        <v>St Martin</v>
      </c>
      <c r="D482" s="27">
        <v>100</v>
      </c>
      <c r="E482" s="2">
        <v>13452</v>
      </c>
      <c r="F482" s="27">
        <v>1902</v>
      </c>
      <c r="G482" s="27">
        <v>1105</v>
      </c>
      <c r="H482" s="27" t="s">
        <v>2016</v>
      </c>
    </row>
    <row r="483" spans="1:8" x14ac:dyDescent="0.25">
      <c r="A483" s="27" t="s">
        <v>1788</v>
      </c>
      <c r="B483" s="27" t="str">
        <f t="shared" si="14"/>
        <v>Louisiana</v>
      </c>
      <c r="C483" s="27" t="str">
        <f t="shared" si="15"/>
        <v>St Mary</v>
      </c>
      <c r="D483" s="27">
        <v>1298</v>
      </c>
      <c r="E483" s="2">
        <v>26541</v>
      </c>
      <c r="F483" s="27">
        <v>1902</v>
      </c>
      <c r="G483" s="27">
        <v>1105</v>
      </c>
      <c r="H483" s="27" t="s">
        <v>2016</v>
      </c>
    </row>
    <row r="484" spans="1:8" x14ac:dyDescent="0.25">
      <c r="A484" s="27" t="s">
        <v>1789</v>
      </c>
      <c r="B484" s="27" t="str">
        <f t="shared" si="14"/>
        <v>Louisiana</v>
      </c>
      <c r="C484" s="27" t="str">
        <f t="shared" si="15"/>
        <v>St Tammany</v>
      </c>
      <c r="D484" s="27">
        <v>40</v>
      </c>
      <c r="E484" s="2">
        <v>10196</v>
      </c>
      <c r="F484" s="27">
        <v>1902</v>
      </c>
      <c r="G484" s="27">
        <v>1105</v>
      </c>
      <c r="H484" s="27" t="s">
        <v>2016</v>
      </c>
    </row>
    <row r="485" spans="1:8" x14ac:dyDescent="0.25">
      <c r="A485" s="27" t="s">
        <v>1040</v>
      </c>
      <c r="B485" s="27" t="str">
        <f t="shared" si="14"/>
        <v>Louisiana</v>
      </c>
      <c r="C485" s="27" t="str">
        <f t="shared" si="15"/>
        <v>Tangipahoa</v>
      </c>
      <c r="E485" s="2">
        <v>15306</v>
      </c>
      <c r="F485" s="27">
        <v>1902</v>
      </c>
      <c r="G485" s="27">
        <v>1105</v>
      </c>
      <c r="H485" s="27" t="s">
        <v>2016</v>
      </c>
    </row>
    <row r="486" spans="1:8" x14ac:dyDescent="0.25">
      <c r="A486" s="27" t="s">
        <v>1041</v>
      </c>
      <c r="B486" s="27" t="str">
        <f t="shared" si="14"/>
        <v>Louisiana</v>
      </c>
      <c r="C486" s="27" t="str">
        <f t="shared" si="15"/>
        <v>Tensas</v>
      </c>
      <c r="D486" s="27">
        <v>369</v>
      </c>
      <c r="E486" s="2">
        <v>13968</v>
      </c>
      <c r="F486" s="27">
        <v>1902</v>
      </c>
      <c r="G486" s="27">
        <v>1105</v>
      </c>
      <c r="H486" s="27" t="s">
        <v>2016</v>
      </c>
    </row>
    <row r="487" spans="1:8" x14ac:dyDescent="0.25">
      <c r="A487" s="27" t="s">
        <v>1042</v>
      </c>
      <c r="B487" s="27" t="str">
        <f t="shared" si="14"/>
        <v>Louisiana</v>
      </c>
      <c r="C487" s="27" t="str">
        <f t="shared" si="15"/>
        <v>Terrebonne</v>
      </c>
      <c r="D487" s="27">
        <v>242</v>
      </c>
      <c r="E487" s="2">
        <v>14625</v>
      </c>
      <c r="F487" s="27">
        <v>1902</v>
      </c>
      <c r="G487" s="27">
        <v>1105</v>
      </c>
      <c r="H487" s="27" t="s">
        <v>2016</v>
      </c>
    </row>
    <row r="488" spans="1:8" x14ac:dyDescent="0.25">
      <c r="A488" s="27" t="s">
        <v>1043</v>
      </c>
      <c r="B488" s="27" t="str">
        <f t="shared" si="14"/>
        <v>Louisiana</v>
      </c>
      <c r="C488" s="27" t="str">
        <f t="shared" si="15"/>
        <v>Union</v>
      </c>
      <c r="E488" s="2">
        <v>13075</v>
      </c>
      <c r="F488" s="27">
        <v>1902</v>
      </c>
      <c r="G488" s="27">
        <v>1105</v>
      </c>
      <c r="H488" s="27" t="s">
        <v>2016</v>
      </c>
    </row>
    <row r="489" spans="1:8" x14ac:dyDescent="0.25">
      <c r="A489" s="27" t="s">
        <v>1752</v>
      </c>
      <c r="B489" s="27" t="str">
        <f t="shared" si="14"/>
        <v>Louisiana</v>
      </c>
      <c r="C489" s="27" t="str">
        <f t="shared" si="15"/>
        <v>Vermilion</v>
      </c>
      <c r="E489" s="2">
        <v>25543</v>
      </c>
      <c r="F489" s="27">
        <v>1902</v>
      </c>
      <c r="G489" s="27">
        <v>1105</v>
      </c>
      <c r="H489" s="27" t="s">
        <v>2016</v>
      </c>
    </row>
    <row r="490" spans="1:8" x14ac:dyDescent="0.25">
      <c r="A490" s="27" t="s">
        <v>1044</v>
      </c>
      <c r="B490" s="27" t="str">
        <f t="shared" si="14"/>
        <v>Louisiana</v>
      </c>
      <c r="C490" s="27" t="str">
        <f t="shared" si="15"/>
        <v>Vernon</v>
      </c>
      <c r="D490" s="27">
        <v>100</v>
      </c>
      <c r="E490" s="2">
        <v>14155</v>
      </c>
      <c r="F490" s="27">
        <v>1902</v>
      </c>
      <c r="G490" s="27">
        <v>1105</v>
      </c>
      <c r="H490" s="27" t="s">
        <v>2016</v>
      </c>
    </row>
    <row r="491" spans="1:8" x14ac:dyDescent="0.25">
      <c r="A491" s="27" t="s">
        <v>1045</v>
      </c>
      <c r="B491" s="27" t="str">
        <f t="shared" si="14"/>
        <v>Louisiana</v>
      </c>
      <c r="C491" s="27" t="str">
        <f t="shared" si="15"/>
        <v>Washington</v>
      </c>
      <c r="D491" s="27">
        <v>17</v>
      </c>
      <c r="E491" s="2">
        <v>8000</v>
      </c>
      <c r="F491" s="27">
        <v>1902</v>
      </c>
      <c r="G491" s="27">
        <v>1105</v>
      </c>
      <c r="H491" s="27" t="s">
        <v>2016</v>
      </c>
    </row>
    <row r="492" spans="1:8" x14ac:dyDescent="0.25">
      <c r="A492" s="27" t="s">
        <v>1046</v>
      </c>
      <c r="B492" s="27" t="str">
        <f t="shared" si="14"/>
        <v>Louisiana</v>
      </c>
      <c r="C492" s="27" t="str">
        <f t="shared" si="15"/>
        <v>Webster</v>
      </c>
      <c r="D492" s="27">
        <v>158</v>
      </c>
      <c r="E492" s="2">
        <v>18414</v>
      </c>
      <c r="F492" s="27">
        <v>1902</v>
      </c>
      <c r="G492" s="27">
        <v>1105</v>
      </c>
      <c r="H492" s="27" t="s">
        <v>2016</v>
      </c>
    </row>
    <row r="493" spans="1:8" x14ac:dyDescent="0.25">
      <c r="A493" s="27" t="s">
        <v>1047</v>
      </c>
      <c r="B493" s="27" t="str">
        <f t="shared" si="14"/>
        <v>Louisiana</v>
      </c>
      <c r="C493" s="27" t="str">
        <f t="shared" si="15"/>
        <v>West Baton Rouge</v>
      </c>
      <c r="D493" s="27">
        <v>100</v>
      </c>
      <c r="E493" s="2">
        <v>8438</v>
      </c>
      <c r="F493" s="27">
        <v>1902</v>
      </c>
      <c r="G493" s="27">
        <v>1105</v>
      </c>
      <c r="H493" s="27" t="s">
        <v>2016</v>
      </c>
    </row>
    <row r="494" spans="1:8" x14ac:dyDescent="0.25">
      <c r="A494" s="27" t="s">
        <v>1048</v>
      </c>
      <c r="B494" s="27" t="str">
        <f t="shared" si="14"/>
        <v>Louisiana</v>
      </c>
      <c r="C494" s="27" t="str">
        <f t="shared" si="15"/>
        <v>West Carroll</v>
      </c>
      <c r="E494" s="2">
        <v>1486</v>
      </c>
      <c r="F494" s="27">
        <v>1902</v>
      </c>
      <c r="G494" s="27">
        <v>1105</v>
      </c>
      <c r="H494" s="27" t="s">
        <v>2016</v>
      </c>
    </row>
    <row r="495" spans="1:8" x14ac:dyDescent="0.25">
      <c r="A495" s="27" t="s">
        <v>1049</v>
      </c>
      <c r="B495" s="27" t="str">
        <f t="shared" si="14"/>
        <v>Louisiana</v>
      </c>
      <c r="C495" s="27" t="str">
        <f t="shared" si="15"/>
        <v>West Feliciana</v>
      </c>
      <c r="D495" s="27">
        <v>44</v>
      </c>
      <c r="E495" s="2">
        <v>7475</v>
      </c>
      <c r="F495" s="27">
        <v>1902</v>
      </c>
      <c r="G495" s="27">
        <v>1105</v>
      </c>
      <c r="H495" s="27" t="s">
        <v>2016</v>
      </c>
    </row>
    <row r="496" spans="1:8" x14ac:dyDescent="0.25">
      <c r="A496" s="27" t="s">
        <v>1050</v>
      </c>
      <c r="B496" s="27" t="str">
        <f t="shared" si="14"/>
        <v>Louisiana</v>
      </c>
      <c r="C496" s="27" t="str">
        <f t="shared" si="15"/>
        <v>Winn</v>
      </c>
      <c r="D496" s="27">
        <v>24</v>
      </c>
      <c r="E496" s="2">
        <v>10889</v>
      </c>
      <c r="F496" s="27">
        <v>1902</v>
      </c>
      <c r="G496" s="27">
        <v>1105</v>
      </c>
      <c r="H496" s="27" t="s">
        <v>2016</v>
      </c>
    </row>
    <row r="497" spans="1:8" x14ac:dyDescent="0.25">
      <c r="A497" s="27" t="s">
        <v>650</v>
      </c>
      <c r="B497" s="27" t="str">
        <f t="shared" si="14"/>
        <v/>
      </c>
      <c r="C497" s="27" t="str">
        <f t="shared" si="15"/>
        <v>MY TOTAL</v>
      </c>
      <c r="D497" s="27">
        <f>SUM(D433:D496)</f>
        <v>21095</v>
      </c>
      <c r="E497" s="2">
        <f>SUM(E433:E496)</f>
        <v>868830</v>
      </c>
      <c r="H497" s="27" t="s">
        <v>2013</v>
      </c>
    </row>
    <row r="498" spans="1:8" x14ac:dyDescent="0.25">
      <c r="A498" s="27" t="s">
        <v>651</v>
      </c>
      <c r="B498" s="27" t="str">
        <f t="shared" si="14"/>
        <v/>
      </c>
      <c r="C498" s="27" t="str">
        <f t="shared" si="15"/>
        <v>REPORTED TOTAL</v>
      </c>
      <c r="D498" s="27">
        <v>21555</v>
      </c>
      <c r="E498" s="2">
        <v>870830</v>
      </c>
      <c r="H498" s="27" t="s">
        <v>2013</v>
      </c>
    </row>
    <row r="499" spans="1:8" x14ac:dyDescent="0.25">
      <c r="A499" s="27" t="s">
        <v>1051</v>
      </c>
      <c r="B499" s="27" t="str">
        <f t="shared" si="14"/>
        <v>Mississippi</v>
      </c>
      <c r="C499" s="27" t="str">
        <f t="shared" si="15"/>
        <v>Adams</v>
      </c>
      <c r="D499" s="27">
        <v>240</v>
      </c>
      <c r="E499" s="27">
        <v>11555</v>
      </c>
      <c r="F499" s="27">
        <v>1902</v>
      </c>
      <c r="G499" s="27">
        <v>1113</v>
      </c>
      <c r="H499" s="27" t="s">
        <v>2017</v>
      </c>
    </row>
    <row r="500" spans="1:8" x14ac:dyDescent="0.25">
      <c r="A500" s="27" t="s">
        <v>1052</v>
      </c>
      <c r="B500" s="27" t="str">
        <f t="shared" si="14"/>
        <v>Mississippi</v>
      </c>
      <c r="C500" s="27" t="str">
        <f t="shared" si="15"/>
        <v>Alcorn</v>
      </c>
      <c r="D500" s="27">
        <v>204</v>
      </c>
      <c r="E500" s="2">
        <v>10444</v>
      </c>
      <c r="F500" s="27">
        <v>1902</v>
      </c>
      <c r="G500" s="27">
        <v>1113</v>
      </c>
      <c r="H500" s="27" t="s">
        <v>2017</v>
      </c>
    </row>
    <row r="501" spans="1:8" x14ac:dyDescent="0.25">
      <c r="A501" s="27" t="s">
        <v>1053</v>
      </c>
      <c r="B501" s="27" t="str">
        <f t="shared" si="14"/>
        <v>Mississippi</v>
      </c>
      <c r="C501" s="27" t="str">
        <f t="shared" si="15"/>
        <v>Amite</v>
      </c>
      <c r="D501" s="27">
        <v>175</v>
      </c>
      <c r="E501" s="2">
        <v>17286</v>
      </c>
      <c r="F501" s="27">
        <v>1902</v>
      </c>
      <c r="G501" s="27">
        <v>1113</v>
      </c>
      <c r="H501" s="27" t="s">
        <v>2017</v>
      </c>
    </row>
    <row r="502" spans="1:8" x14ac:dyDescent="0.25">
      <c r="A502" s="27" t="s">
        <v>1054</v>
      </c>
      <c r="B502" s="27" t="str">
        <f t="shared" si="14"/>
        <v>Mississippi</v>
      </c>
      <c r="C502" s="27" t="str">
        <f t="shared" si="15"/>
        <v>Attala</v>
      </c>
      <c r="D502" s="27">
        <v>438</v>
      </c>
      <c r="E502" s="2">
        <v>16781</v>
      </c>
      <c r="F502" s="27">
        <v>1902</v>
      </c>
      <c r="G502" s="27">
        <v>1113</v>
      </c>
      <c r="H502" s="27" t="s">
        <v>2017</v>
      </c>
    </row>
    <row r="503" spans="1:8" x14ac:dyDescent="0.25">
      <c r="A503" s="27" t="s">
        <v>1055</v>
      </c>
      <c r="B503" s="27" t="str">
        <f t="shared" si="14"/>
        <v>Mississippi</v>
      </c>
      <c r="C503" s="27" t="str">
        <f t="shared" si="15"/>
        <v>Benton</v>
      </c>
      <c r="D503" s="6">
        <v>108</v>
      </c>
      <c r="E503" s="2">
        <v>11336</v>
      </c>
      <c r="F503" s="27">
        <v>1902</v>
      </c>
      <c r="G503" s="27">
        <v>1113</v>
      </c>
      <c r="H503" s="27" t="s">
        <v>2017</v>
      </c>
    </row>
    <row r="504" spans="1:8" x14ac:dyDescent="0.25">
      <c r="A504" s="27" t="s">
        <v>1056</v>
      </c>
      <c r="B504" s="27" t="str">
        <f t="shared" si="14"/>
        <v>Mississippi</v>
      </c>
      <c r="C504" s="27" t="str">
        <f t="shared" si="15"/>
        <v>Bolivar</v>
      </c>
      <c r="D504" s="27">
        <v>1760</v>
      </c>
      <c r="E504" s="2">
        <v>25656</v>
      </c>
      <c r="F504" s="27">
        <v>1902</v>
      </c>
      <c r="G504" s="27">
        <v>1113</v>
      </c>
      <c r="H504" s="27" t="s">
        <v>2017</v>
      </c>
    </row>
    <row r="505" spans="1:8" x14ac:dyDescent="0.25">
      <c r="A505" s="27" t="s">
        <v>1057</v>
      </c>
      <c r="B505" s="27" t="str">
        <f t="shared" si="14"/>
        <v>Mississippi</v>
      </c>
      <c r="C505" s="27" t="str">
        <f t="shared" si="15"/>
        <v>Calhoun</v>
      </c>
      <c r="D505" s="27">
        <v>10</v>
      </c>
      <c r="E505" s="2">
        <v>14899</v>
      </c>
      <c r="F505" s="27">
        <v>1902</v>
      </c>
      <c r="G505" s="27">
        <v>1113</v>
      </c>
      <c r="H505" s="27" t="s">
        <v>2017</v>
      </c>
    </row>
    <row r="506" spans="1:8" x14ac:dyDescent="0.25">
      <c r="A506" s="27" t="s">
        <v>1058</v>
      </c>
      <c r="B506" s="27" t="str">
        <f t="shared" si="14"/>
        <v>Mississippi</v>
      </c>
      <c r="C506" s="27" t="str">
        <f t="shared" si="15"/>
        <v>Carroll</v>
      </c>
      <c r="D506" s="27">
        <v>217</v>
      </c>
      <c r="E506" s="2">
        <v>17451</v>
      </c>
      <c r="F506" s="27">
        <v>1902</v>
      </c>
      <c r="G506" s="27">
        <v>1113</v>
      </c>
      <c r="H506" s="27" t="s">
        <v>2017</v>
      </c>
    </row>
    <row r="507" spans="1:8" x14ac:dyDescent="0.25">
      <c r="A507" s="27" t="s">
        <v>1059</v>
      </c>
      <c r="B507" s="27" t="str">
        <f t="shared" si="14"/>
        <v>Mississippi</v>
      </c>
      <c r="C507" s="27" t="str">
        <f t="shared" si="15"/>
        <v>Chickasaw</v>
      </c>
      <c r="D507" s="27">
        <v>241</v>
      </c>
      <c r="E507" s="2">
        <v>16873</v>
      </c>
      <c r="F507" s="27">
        <v>1902</v>
      </c>
      <c r="G507" s="27">
        <v>1113</v>
      </c>
      <c r="H507" s="27" t="s">
        <v>2017</v>
      </c>
    </row>
    <row r="508" spans="1:8" x14ac:dyDescent="0.25">
      <c r="A508" s="27" t="s">
        <v>1060</v>
      </c>
      <c r="B508" s="27" t="str">
        <f t="shared" si="14"/>
        <v>Mississippi</v>
      </c>
      <c r="C508" s="27" t="str">
        <f t="shared" si="15"/>
        <v>Choctaw</v>
      </c>
      <c r="D508" s="27">
        <v>138</v>
      </c>
      <c r="E508" s="2">
        <v>9941</v>
      </c>
      <c r="F508" s="27">
        <v>1902</v>
      </c>
      <c r="G508" s="27">
        <v>1113</v>
      </c>
      <c r="H508" s="27" t="s">
        <v>2017</v>
      </c>
    </row>
    <row r="509" spans="1:8" x14ac:dyDescent="0.25">
      <c r="A509" s="27" t="s">
        <v>1061</v>
      </c>
      <c r="B509" s="27" t="str">
        <f t="shared" si="14"/>
        <v>Mississippi</v>
      </c>
      <c r="C509" s="27" t="str">
        <f t="shared" si="15"/>
        <v>Claiborne</v>
      </c>
      <c r="D509" s="27">
        <v>990</v>
      </c>
      <c r="E509" s="2">
        <v>18365</v>
      </c>
      <c r="F509" s="27">
        <v>1902</v>
      </c>
      <c r="G509" s="27">
        <v>1115</v>
      </c>
      <c r="H509" s="27" t="s">
        <v>2018</v>
      </c>
    </row>
    <row r="510" spans="1:8" x14ac:dyDescent="0.25">
      <c r="A510" s="27" t="s">
        <v>1062</v>
      </c>
      <c r="B510" s="27" t="str">
        <f t="shared" si="14"/>
        <v>Mississippi</v>
      </c>
      <c r="C510" s="27" t="str">
        <f t="shared" si="15"/>
        <v>Clarke</v>
      </c>
      <c r="D510" s="27">
        <v>185</v>
      </c>
      <c r="E510" s="2">
        <v>17958</v>
      </c>
      <c r="F510" s="27">
        <v>1902</v>
      </c>
      <c r="G510" s="27">
        <v>1115</v>
      </c>
      <c r="H510" s="27" t="s">
        <v>2018</v>
      </c>
    </row>
    <row r="511" spans="1:8" x14ac:dyDescent="0.25">
      <c r="A511" s="27" t="s">
        <v>1063</v>
      </c>
      <c r="B511" s="27" t="str">
        <f t="shared" si="14"/>
        <v>Mississippi</v>
      </c>
      <c r="C511" s="27" t="str">
        <f t="shared" si="15"/>
        <v>Clay</v>
      </c>
      <c r="D511" s="27">
        <v>93</v>
      </c>
      <c r="E511" s="2">
        <v>16895</v>
      </c>
      <c r="F511" s="27">
        <v>1902</v>
      </c>
      <c r="G511" s="27">
        <v>1115</v>
      </c>
      <c r="H511" s="27" t="s">
        <v>2018</v>
      </c>
    </row>
    <row r="512" spans="1:8" x14ac:dyDescent="0.25">
      <c r="A512" s="27" t="s">
        <v>1064</v>
      </c>
      <c r="B512" s="27" t="str">
        <f t="shared" si="14"/>
        <v>Mississippi</v>
      </c>
      <c r="C512" s="27" t="str">
        <f t="shared" si="15"/>
        <v>Coahoma</v>
      </c>
      <c r="D512" s="27">
        <v>1375</v>
      </c>
      <c r="E512" s="2">
        <v>14607</v>
      </c>
      <c r="F512" s="27">
        <v>1902</v>
      </c>
      <c r="G512" s="27">
        <v>1115</v>
      </c>
      <c r="H512" s="27" t="s">
        <v>2018</v>
      </c>
    </row>
    <row r="513" spans="1:8" x14ac:dyDescent="0.25">
      <c r="A513" s="27" t="s">
        <v>1065</v>
      </c>
      <c r="B513" s="27" t="str">
        <f t="shared" si="14"/>
        <v>Mississippi</v>
      </c>
      <c r="C513" s="27" t="str">
        <f t="shared" si="15"/>
        <v>Copiah</v>
      </c>
      <c r="D513" s="27">
        <v>607</v>
      </c>
      <c r="E513" s="2">
        <v>22654</v>
      </c>
      <c r="F513" s="27">
        <v>1902</v>
      </c>
      <c r="G513" s="27">
        <v>1115</v>
      </c>
      <c r="H513" s="27" t="s">
        <v>2018</v>
      </c>
    </row>
    <row r="514" spans="1:8" x14ac:dyDescent="0.25">
      <c r="A514" s="27" t="s">
        <v>1066</v>
      </c>
      <c r="B514" s="27" t="str">
        <f t="shared" si="14"/>
        <v>Mississippi</v>
      </c>
      <c r="C514" s="27" t="str">
        <f t="shared" si="15"/>
        <v>Covington</v>
      </c>
      <c r="D514" s="27">
        <v>150</v>
      </c>
      <c r="E514" s="2">
        <v>13704</v>
      </c>
      <c r="F514" s="27">
        <v>1902</v>
      </c>
      <c r="G514" s="27">
        <v>1115</v>
      </c>
      <c r="H514" s="27" t="s">
        <v>2018</v>
      </c>
    </row>
    <row r="515" spans="1:8" x14ac:dyDescent="0.25">
      <c r="A515" s="27" t="s">
        <v>1964</v>
      </c>
      <c r="B515" s="27" t="str">
        <f t="shared" ref="B515:B578" si="16">LEFT(A515,FIND(";",A515)-1)</f>
        <v>Mississippi</v>
      </c>
      <c r="C515" s="27" t="str">
        <f t="shared" ref="C515:C578" si="17">MID(A515,FIND(";",A515)+1,100)</f>
        <v>Desoto</v>
      </c>
      <c r="D515" s="27">
        <v>883</v>
      </c>
      <c r="E515" s="2">
        <v>23567</v>
      </c>
      <c r="F515" s="27">
        <v>1902</v>
      </c>
      <c r="G515" s="27">
        <v>1115</v>
      </c>
      <c r="H515" s="27" t="s">
        <v>2018</v>
      </c>
    </row>
    <row r="516" spans="1:8" x14ac:dyDescent="0.25">
      <c r="A516" s="27" t="s">
        <v>1067</v>
      </c>
      <c r="B516" s="27" t="str">
        <f t="shared" si="16"/>
        <v>Mississippi</v>
      </c>
      <c r="C516" s="27" t="str">
        <f t="shared" si="17"/>
        <v>Forrest</v>
      </c>
      <c r="E516" s="2"/>
      <c r="F516" s="27">
        <v>1902</v>
      </c>
      <c r="G516" s="27">
        <v>1115</v>
      </c>
      <c r="H516" s="27" t="s">
        <v>2018</v>
      </c>
    </row>
    <row r="517" spans="1:8" x14ac:dyDescent="0.25">
      <c r="A517" s="27" t="s">
        <v>1068</v>
      </c>
      <c r="B517" s="27" t="str">
        <f t="shared" si="16"/>
        <v>Mississippi</v>
      </c>
      <c r="C517" s="27" t="str">
        <f t="shared" si="17"/>
        <v>Franklin</v>
      </c>
      <c r="D517" s="27">
        <v>200</v>
      </c>
      <c r="E517" s="2">
        <v>13056</v>
      </c>
      <c r="F517" s="27">
        <v>1902</v>
      </c>
      <c r="G517" s="27">
        <v>1115</v>
      </c>
      <c r="H517" s="27" t="s">
        <v>2018</v>
      </c>
    </row>
    <row r="518" spans="1:8" x14ac:dyDescent="0.25">
      <c r="A518" s="27" t="s">
        <v>1069</v>
      </c>
      <c r="B518" s="27" t="str">
        <f t="shared" si="16"/>
        <v>Mississippi</v>
      </c>
      <c r="C518" s="27" t="str">
        <f t="shared" si="17"/>
        <v>George</v>
      </c>
      <c r="E518" s="2"/>
      <c r="F518" s="27">
        <v>1902</v>
      </c>
      <c r="G518" s="27">
        <v>1115</v>
      </c>
      <c r="H518" s="27" t="s">
        <v>2018</v>
      </c>
    </row>
    <row r="519" spans="1:8" x14ac:dyDescent="0.25">
      <c r="A519" s="27" t="s">
        <v>1070</v>
      </c>
      <c r="B519" s="27" t="str">
        <f t="shared" si="16"/>
        <v>Mississippi</v>
      </c>
      <c r="C519" s="27" t="str">
        <f t="shared" si="17"/>
        <v>Greene</v>
      </c>
      <c r="D519" s="27">
        <v>25</v>
      </c>
      <c r="E519" s="2">
        <v>5056</v>
      </c>
      <c r="F519" s="27">
        <v>1902</v>
      </c>
      <c r="G519" s="27">
        <v>1115</v>
      </c>
      <c r="H519" s="27" t="s">
        <v>2018</v>
      </c>
    </row>
    <row r="520" spans="1:8" x14ac:dyDescent="0.25">
      <c r="A520" s="27" t="s">
        <v>1071</v>
      </c>
      <c r="B520" s="27" t="str">
        <f t="shared" si="16"/>
        <v>Mississippi</v>
      </c>
      <c r="C520" s="27" t="str">
        <f t="shared" si="17"/>
        <v>Grenada</v>
      </c>
      <c r="D520" s="27">
        <v>126</v>
      </c>
      <c r="E520" s="2">
        <v>8838</v>
      </c>
      <c r="F520" s="27">
        <v>1902</v>
      </c>
      <c r="G520" s="27">
        <v>1115</v>
      </c>
      <c r="H520" s="27" t="s">
        <v>2018</v>
      </c>
    </row>
    <row r="521" spans="1:8" x14ac:dyDescent="0.25">
      <c r="A521" s="27" t="s">
        <v>1072</v>
      </c>
      <c r="B521" s="27" t="str">
        <f t="shared" si="16"/>
        <v>Mississippi</v>
      </c>
      <c r="C521" s="27" t="str">
        <f t="shared" si="17"/>
        <v>Hancock</v>
      </c>
      <c r="D521" s="27">
        <v>150</v>
      </c>
      <c r="E521" s="27">
        <v>6478</v>
      </c>
      <c r="F521" s="27">
        <v>1902</v>
      </c>
      <c r="G521" s="27">
        <v>1115</v>
      </c>
      <c r="H521" s="27" t="s">
        <v>2018</v>
      </c>
    </row>
    <row r="522" spans="1:8" x14ac:dyDescent="0.25">
      <c r="A522" s="27" t="s">
        <v>1073</v>
      </c>
      <c r="B522" s="27" t="str">
        <f t="shared" si="16"/>
        <v>Mississippi</v>
      </c>
      <c r="C522" s="27" t="str">
        <f t="shared" si="17"/>
        <v>Harrison</v>
      </c>
      <c r="D522" s="27">
        <v>166</v>
      </c>
      <c r="E522" s="2">
        <v>6366</v>
      </c>
      <c r="F522" s="27">
        <v>1902</v>
      </c>
      <c r="G522" s="27">
        <v>1115</v>
      </c>
      <c r="H522" s="27" t="s">
        <v>2018</v>
      </c>
    </row>
    <row r="523" spans="1:8" x14ac:dyDescent="0.25">
      <c r="A523" s="27" t="s">
        <v>1074</v>
      </c>
      <c r="B523" s="27" t="str">
        <f t="shared" si="16"/>
        <v>Mississippi</v>
      </c>
      <c r="C523" s="27" t="str">
        <f t="shared" si="17"/>
        <v>Hinds</v>
      </c>
      <c r="D523" s="2">
        <v>2123</v>
      </c>
      <c r="E523" s="2">
        <v>32446</v>
      </c>
      <c r="F523" s="27">
        <v>1902</v>
      </c>
      <c r="G523" s="27">
        <v>1115</v>
      </c>
      <c r="H523" s="27" t="s">
        <v>2018</v>
      </c>
    </row>
    <row r="524" spans="1:8" x14ac:dyDescent="0.25">
      <c r="A524" s="27" t="s">
        <v>1075</v>
      </c>
      <c r="B524" s="27" t="str">
        <f t="shared" si="16"/>
        <v>Mississippi</v>
      </c>
      <c r="C524" s="27" t="str">
        <f t="shared" si="17"/>
        <v>Holmes</v>
      </c>
      <c r="D524" s="2">
        <v>324</v>
      </c>
      <c r="E524" s="2">
        <v>30423</v>
      </c>
      <c r="F524" s="27">
        <v>1902</v>
      </c>
      <c r="G524" s="27">
        <v>1115</v>
      </c>
      <c r="H524" s="27" t="s">
        <v>2018</v>
      </c>
    </row>
    <row r="525" spans="1:8" x14ac:dyDescent="0.25">
      <c r="A525" s="27" t="s">
        <v>1076</v>
      </c>
      <c r="B525" s="27" t="str">
        <f t="shared" si="16"/>
        <v>Mississippi</v>
      </c>
      <c r="C525" s="27" t="str">
        <f t="shared" si="17"/>
        <v>Humphreys</v>
      </c>
      <c r="D525" s="2"/>
      <c r="E525" s="2"/>
      <c r="F525" s="27">
        <v>1902</v>
      </c>
      <c r="G525" s="27">
        <v>1115</v>
      </c>
      <c r="H525" s="27" t="s">
        <v>2018</v>
      </c>
    </row>
    <row r="526" spans="1:8" x14ac:dyDescent="0.25">
      <c r="A526" s="27" t="s">
        <v>1077</v>
      </c>
      <c r="B526" s="27" t="str">
        <f t="shared" si="16"/>
        <v>Mississippi</v>
      </c>
      <c r="C526" s="27" t="str">
        <f t="shared" si="17"/>
        <v>Issaquena</v>
      </c>
      <c r="D526" s="2">
        <v>1500</v>
      </c>
      <c r="E526" s="2">
        <v>7441</v>
      </c>
      <c r="F526" s="27">
        <v>1902</v>
      </c>
      <c r="G526" s="27">
        <v>1115</v>
      </c>
      <c r="H526" s="27" t="s">
        <v>2018</v>
      </c>
    </row>
    <row r="527" spans="1:8" x14ac:dyDescent="0.25">
      <c r="A527" s="27" t="s">
        <v>1078</v>
      </c>
      <c r="B527" s="27" t="str">
        <f t="shared" si="16"/>
        <v>Mississippi</v>
      </c>
      <c r="C527" s="27" t="str">
        <f t="shared" si="17"/>
        <v>Itawamba</v>
      </c>
      <c r="D527" s="27">
        <v>50</v>
      </c>
      <c r="E527" s="2">
        <v>12712</v>
      </c>
      <c r="F527" s="27">
        <v>1902</v>
      </c>
      <c r="G527" s="27">
        <v>1115</v>
      </c>
      <c r="H527" s="27" t="s">
        <v>2018</v>
      </c>
    </row>
    <row r="528" spans="1:8" x14ac:dyDescent="0.25">
      <c r="A528" s="27" t="s">
        <v>1079</v>
      </c>
      <c r="B528" s="27" t="str">
        <f t="shared" si="16"/>
        <v>Mississippi</v>
      </c>
      <c r="C528" s="27" t="str">
        <f t="shared" si="17"/>
        <v>Jackson</v>
      </c>
      <c r="D528" s="27">
        <v>308</v>
      </c>
      <c r="E528" s="2">
        <v>9758</v>
      </c>
      <c r="F528" s="27">
        <v>1902</v>
      </c>
      <c r="G528" s="27">
        <v>1115</v>
      </c>
      <c r="H528" s="27" t="s">
        <v>2018</v>
      </c>
    </row>
    <row r="529" spans="1:8" x14ac:dyDescent="0.25">
      <c r="A529" s="27" t="s">
        <v>1080</v>
      </c>
      <c r="B529" s="27" t="str">
        <f t="shared" si="16"/>
        <v>Mississippi</v>
      </c>
      <c r="C529" s="27" t="str">
        <f t="shared" si="17"/>
        <v>Jasper</v>
      </c>
      <c r="D529" s="27">
        <v>157</v>
      </c>
      <c r="E529" s="2">
        <v>11213</v>
      </c>
      <c r="F529" s="27">
        <v>1902</v>
      </c>
      <c r="G529" s="27">
        <v>1115</v>
      </c>
      <c r="H529" s="27" t="s">
        <v>2018</v>
      </c>
    </row>
    <row r="530" spans="1:8" x14ac:dyDescent="0.25">
      <c r="A530" s="27" t="s">
        <v>1081</v>
      </c>
      <c r="B530" s="27" t="str">
        <f t="shared" si="16"/>
        <v>Mississippi</v>
      </c>
      <c r="C530" s="27" t="str">
        <f t="shared" si="17"/>
        <v>Jefferson</v>
      </c>
      <c r="D530" s="2">
        <v>1231</v>
      </c>
      <c r="E530" s="2">
        <v>15918</v>
      </c>
      <c r="F530" s="27">
        <v>1902</v>
      </c>
      <c r="G530" s="27">
        <v>1115</v>
      </c>
      <c r="H530" s="27" t="s">
        <v>2018</v>
      </c>
    </row>
    <row r="531" spans="1:8" x14ac:dyDescent="0.25">
      <c r="A531" s="27" t="s">
        <v>1082</v>
      </c>
      <c r="B531" s="27" t="str">
        <f t="shared" si="16"/>
        <v>Mississippi</v>
      </c>
      <c r="C531" s="27" t="str">
        <f t="shared" si="17"/>
        <v>Jefferson Davis</v>
      </c>
      <c r="D531" s="2"/>
      <c r="E531" s="2"/>
      <c r="F531" s="27">
        <v>1902</v>
      </c>
      <c r="G531" s="27">
        <v>1115</v>
      </c>
      <c r="H531" s="27" t="s">
        <v>2018</v>
      </c>
    </row>
    <row r="532" spans="1:8" x14ac:dyDescent="0.25">
      <c r="A532" s="27" t="s">
        <v>1083</v>
      </c>
      <c r="B532" s="27" t="str">
        <f t="shared" si="16"/>
        <v>Mississippi</v>
      </c>
      <c r="C532" s="27" t="str">
        <f t="shared" si="17"/>
        <v>Jones</v>
      </c>
      <c r="D532" s="27">
        <v>259</v>
      </c>
      <c r="E532" s="2">
        <v>14631</v>
      </c>
      <c r="F532" s="27">
        <v>1902</v>
      </c>
      <c r="G532" s="27">
        <v>1115</v>
      </c>
      <c r="H532" s="27" t="s">
        <v>2018</v>
      </c>
    </row>
    <row r="533" spans="1:8" x14ac:dyDescent="0.25">
      <c r="A533" s="27" t="s">
        <v>1084</v>
      </c>
      <c r="B533" s="27" t="str">
        <f t="shared" si="16"/>
        <v>Mississippi</v>
      </c>
      <c r="C533" s="27" t="str">
        <f t="shared" si="17"/>
        <v>Kemper</v>
      </c>
      <c r="D533" s="27">
        <v>100</v>
      </c>
      <c r="E533" s="2">
        <v>18038</v>
      </c>
      <c r="F533" s="27">
        <v>1902</v>
      </c>
      <c r="G533" s="27">
        <v>1115</v>
      </c>
      <c r="H533" s="27" t="s">
        <v>2018</v>
      </c>
    </row>
    <row r="534" spans="1:8" x14ac:dyDescent="0.25">
      <c r="A534" s="27" t="s">
        <v>1085</v>
      </c>
      <c r="B534" s="27" t="str">
        <f t="shared" si="16"/>
        <v>Mississippi</v>
      </c>
      <c r="C534" s="27" t="str">
        <f t="shared" si="17"/>
        <v>Lafayette</v>
      </c>
      <c r="D534" s="27">
        <v>261</v>
      </c>
      <c r="E534" s="2">
        <v>19060</v>
      </c>
      <c r="F534" s="27">
        <v>1902</v>
      </c>
      <c r="G534" s="27">
        <v>1115</v>
      </c>
      <c r="H534" s="27" t="s">
        <v>2018</v>
      </c>
    </row>
    <row r="535" spans="1:8" x14ac:dyDescent="0.25">
      <c r="A535" s="27" t="s">
        <v>1086</v>
      </c>
      <c r="B535" s="27" t="str">
        <f t="shared" si="16"/>
        <v>Mississippi</v>
      </c>
      <c r="C535" s="27" t="str">
        <f t="shared" si="17"/>
        <v>Lamar</v>
      </c>
      <c r="E535" s="2"/>
      <c r="F535" s="27">
        <v>1902</v>
      </c>
      <c r="G535" s="27">
        <v>1115</v>
      </c>
      <c r="H535" s="27" t="s">
        <v>2018</v>
      </c>
    </row>
    <row r="536" spans="1:8" x14ac:dyDescent="0.25">
      <c r="A536" s="27" t="s">
        <v>1087</v>
      </c>
      <c r="B536" s="27" t="str">
        <f t="shared" si="16"/>
        <v>Mississippi</v>
      </c>
      <c r="C536" s="27" t="str">
        <f t="shared" si="17"/>
        <v>Lauderdale</v>
      </c>
      <c r="D536" s="27">
        <v>300</v>
      </c>
      <c r="E536" s="2">
        <v>19770</v>
      </c>
      <c r="F536" s="27">
        <v>1902</v>
      </c>
      <c r="G536" s="27">
        <v>1115</v>
      </c>
      <c r="H536" s="27" t="s">
        <v>2018</v>
      </c>
    </row>
    <row r="537" spans="1:8" x14ac:dyDescent="0.25">
      <c r="A537" s="27" t="s">
        <v>1088</v>
      </c>
      <c r="B537" s="27" t="str">
        <f t="shared" si="16"/>
        <v>Mississippi</v>
      </c>
      <c r="C537" s="27" t="str">
        <f t="shared" si="17"/>
        <v>Lawrence</v>
      </c>
      <c r="D537" s="27">
        <v>25</v>
      </c>
      <c r="E537" s="2">
        <v>12673</v>
      </c>
      <c r="F537" s="27">
        <v>1902</v>
      </c>
      <c r="G537" s="27">
        <v>1115</v>
      </c>
      <c r="H537" s="27" t="s">
        <v>2018</v>
      </c>
    </row>
    <row r="538" spans="1:8" x14ac:dyDescent="0.25">
      <c r="A538" s="27" t="s">
        <v>1089</v>
      </c>
      <c r="B538" s="27" t="str">
        <f t="shared" si="16"/>
        <v>Mississippi</v>
      </c>
      <c r="C538" s="27" t="str">
        <f t="shared" si="17"/>
        <v>Leake</v>
      </c>
      <c r="D538" s="27">
        <v>75</v>
      </c>
      <c r="E538" s="2">
        <v>11680</v>
      </c>
      <c r="F538" s="27">
        <v>1902</v>
      </c>
      <c r="G538" s="27">
        <v>1115</v>
      </c>
      <c r="H538" s="27" t="s">
        <v>2018</v>
      </c>
    </row>
    <row r="539" spans="1:8" x14ac:dyDescent="0.25">
      <c r="A539" s="27" t="s">
        <v>1090</v>
      </c>
      <c r="B539" s="27" t="str">
        <f t="shared" si="16"/>
        <v>Mississippi</v>
      </c>
      <c r="C539" s="27" t="str">
        <f t="shared" si="17"/>
        <v>Lee</v>
      </c>
      <c r="D539" s="27">
        <v>152</v>
      </c>
      <c r="E539" s="2">
        <v>16737</v>
      </c>
      <c r="F539" s="27">
        <v>1902</v>
      </c>
      <c r="G539" s="27">
        <v>1115</v>
      </c>
      <c r="H539" s="27" t="s">
        <v>2018</v>
      </c>
    </row>
    <row r="540" spans="1:8" x14ac:dyDescent="0.25">
      <c r="A540" s="27" t="s">
        <v>1091</v>
      </c>
      <c r="B540" s="27" t="str">
        <f t="shared" si="16"/>
        <v>Mississippi</v>
      </c>
      <c r="C540" s="27" t="str">
        <f t="shared" si="17"/>
        <v>Leflore</v>
      </c>
      <c r="D540" s="27">
        <v>467</v>
      </c>
      <c r="E540" s="27">
        <v>15126</v>
      </c>
      <c r="F540" s="27">
        <v>1902</v>
      </c>
      <c r="G540" s="27">
        <v>1115</v>
      </c>
      <c r="H540" s="27" t="s">
        <v>2018</v>
      </c>
    </row>
    <row r="541" spans="1:8" x14ac:dyDescent="0.25">
      <c r="A541" s="27" t="s">
        <v>1092</v>
      </c>
      <c r="B541" s="27" t="str">
        <f t="shared" si="16"/>
        <v>Mississippi</v>
      </c>
      <c r="C541" s="27" t="str">
        <f t="shared" si="17"/>
        <v>Lincoln</v>
      </c>
      <c r="D541" s="27">
        <v>601</v>
      </c>
      <c r="E541" s="2">
        <v>15100</v>
      </c>
      <c r="F541" s="27">
        <v>1902</v>
      </c>
      <c r="G541" s="27">
        <v>1115</v>
      </c>
      <c r="H541" s="27" t="s">
        <v>2018</v>
      </c>
    </row>
    <row r="542" spans="1:8" x14ac:dyDescent="0.25">
      <c r="A542" s="27" t="s">
        <v>1093</v>
      </c>
      <c r="B542" s="27" t="str">
        <f t="shared" si="16"/>
        <v>Mississippi</v>
      </c>
      <c r="C542" s="27" t="str">
        <f t="shared" si="17"/>
        <v>Lowndes</v>
      </c>
      <c r="D542" s="27">
        <v>250</v>
      </c>
      <c r="E542" s="2">
        <v>18123</v>
      </c>
      <c r="F542" s="27">
        <v>1902</v>
      </c>
      <c r="G542" s="27">
        <v>1115</v>
      </c>
      <c r="H542" s="27" t="s">
        <v>2018</v>
      </c>
    </row>
    <row r="543" spans="1:8" x14ac:dyDescent="0.25">
      <c r="A543" s="27" t="s">
        <v>1094</v>
      </c>
      <c r="B543" s="27" t="str">
        <f t="shared" si="16"/>
        <v>Mississippi</v>
      </c>
      <c r="C543" s="27" t="str">
        <f t="shared" si="17"/>
        <v>Madison</v>
      </c>
      <c r="D543" s="27">
        <v>840</v>
      </c>
      <c r="E543" s="2">
        <v>24249</v>
      </c>
      <c r="F543" s="27">
        <v>1902</v>
      </c>
      <c r="G543" s="27">
        <v>1115</v>
      </c>
      <c r="H543" s="27" t="s">
        <v>2018</v>
      </c>
    </row>
    <row r="544" spans="1:8" x14ac:dyDescent="0.25">
      <c r="A544" s="27" t="s">
        <v>1095</v>
      </c>
      <c r="B544" s="27" t="str">
        <f t="shared" si="16"/>
        <v>Mississippi</v>
      </c>
      <c r="C544" s="27" t="str">
        <f t="shared" si="17"/>
        <v>Marion</v>
      </c>
      <c r="D544" s="27">
        <v>100</v>
      </c>
      <c r="E544" s="2">
        <v>11191</v>
      </c>
      <c r="F544" s="27">
        <v>1902</v>
      </c>
      <c r="G544" s="27">
        <v>1115</v>
      </c>
      <c r="H544" s="27" t="s">
        <v>2018</v>
      </c>
    </row>
    <row r="545" spans="1:8" x14ac:dyDescent="0.25">
      <c r="A545" s="27" t="s">
        <v>1096</v>
      </c>
      <c r="B545" s="27" t="str">
        <f t="shared" si="16"/>
        <v>Mississippi</v>
      </c>
      <c r="C545" s="27" t="str">
        <f t="shared" si="17"/>
        <v>Marshall</v>
      </c>
      <c r="D545" s="27">
        <v>193</v>
      </c>
      <c r="E545" s="2">
        <v>21394</v>
      </c>
      <c r="F545" s="27">
        <v>1902</v>
      </c>
      <c r="G545" s="27">
        <v>1115</v>
      </c>
      <c r="H545" s="27" t="s">
        <v>2018</v>
      </c>
    </row>
    <row r="546" spans="1:8" x14ac:dyDescent="0.25">
      <c r="A546" s="27" t="s">
        <v>1097</v>
      </c>
      <c r="B546" s="27" t="str">
        <f t="shared" si="16"/>
        <v>Mississippi</v>
      </c>
      <c r="C546" s="27" t="str">
        <f t="shared" si="17"/>
        <v>Monroe</v>
      </c>
      <c r="D546" s="27">
        <v>550</v>
      </c>
      <c r="E546" s="2">
        <v>26443</v>
      </c>
      <c r="F546" s="27">
        <v>1902</v>
      </c>
      <c r="G546" s="27">
        <v>1115</v>
      </c>
      <c r="H546" s="27" t="s">
        <v>2018</v>
      </c>
    </row>
    <row r="547" spans="1:8" x14ac:dyDescent="0.25">
      <c r="A547" s="27" t="s">
        <v>1098</v>
      </c>
      <c r="B547" s="27" t="str">
        <f t="shared" si="16"/>
        <v>Mississippi</v>
      </c>
      <c r="C547" s="27" t="str">
        <f t="shared" si="17"/>
        <v>Montgomery</v>
      </c>
      <c r="D547" s="27">
        <v>146</v>
      </c>
      <c r="E547" s="2">
        <v>9176</v>
      </c>
      <c r="F547" s="27">
        <v>1902</v>
      </c>
      <c r="G547" s="27">
        <v>1115</v>
      </c>
      <c r="H547" s="27" t="s">
        <v>2018</v>
      </c>
    </row>
    <row r="548" spans="1:8" x14ac:dyDescent="0.25">
      <c r="A548" s="27" t="s">
        <v>1099</v>
      </c>
      <c r="B548" s="27" t="str">
        <f t="shared" si="16"/>
        <v>Mississippi</v>
      </c>
      <c r="C548" s="27" t="str">
        <f t="shared" si="17"/>
        <v>Neshoba</v>
      </c>
      <c r="D548" s="27">
        <v>25</v>
      </c>
      <c r="E548" s="2">
        <v>10245</v>
      </c>
      <c r="F548" s="27">
        <v>1902</v>
      </c>
      <c r="G548" s="27">
        <v>1115</v>
      </c>
      <c r="H548" s="27" t="s">
        <v>2018</v>
      </c>
    </row>
    <row r="549" spans="1:8" x14ac:dyDescent="0.25">
      <c r="A549" s="27" t="s">
        <v>1100</v>
      </c>
      <c r="B549" s="27" t="str">
        <f t="shared" si="16"/>
        <v>Mississippi</v>
      </c>
      <c r="C549" s="27" t="str">
        <f t="shared" si="17"/>
        <v>Newton</v>
      </c>
      <c r="D549" s="27">
        <v>50</v>
      </c>
      <c r="E549" s="2">
        <v>14026</v>
      </c>
      <c r="F549" s="27">
        <v>1902</v>
      </c>
      <c r="G549" s="27">
        <v>1115</v>
      </c>
      <c r="H549" s="27" t="s">
        <v>2018</v>
      </c>
    </row>
    <row r="550" spans="1:8" x14ac:dyDescent="0.25">
      <c r="A550" s="27" t="s">
        <v>1101</v>
      </c>
      <c r="B550" s="27" t="str">
        <f t="shared" si="16"/>
        <v>Mississippi</v>
      </c>
      <c r="C550" s="27" t="str">
        <f t="shared" si="17"/>
        <v>Noxubee</v>
      </c>
      <c r="D550" s="27">
        <v>200</v>
      </c>
      <c r="E550" s="27">
        <v>15918</v>
      </c>
      <c r="F550" s="27">
        <v>1902</v>
      </c>
      <c r="G550" s="27">
        <v>1115</v>
      </c>
      <c r="H550" s="27" t="s">
        <v>2018</v>
      </c>
    </row>
    <row r="551" spans="1:8" x14ac:dyDescent="0.25">
      <c r="A551" s="27" t="s">
        <v>1102</v>
      </c>
      <c r="B551" s="27" t="str">
        <f t="shared" si="16"/>
        <v>Mississippi</v>
      </c>
      <c r="C551" s="27" t="str">
        <f t="shared" si="17"/>
        <v>Oktibbeha</v>
      </c>
      <c r="D551" s="27">
        <v>345</v>
      </c>
      <c r="E551" s="2">
        <v>13908</v>
      </c>
      <c r="F551" s="27">
        <v>1902</v>
      </c>
      <c r="G551" s="27">
        <v>1115</v>
      </c>
      <c r="H551" s="27" t="s">
        <v>2018</v>
      </c>
    </row>
    <row r="552" spans="1:8" x14ac:dyDescent="0.25">
      <c r="A552" s="27" t="s">
        <v>1103</v>
      </c>
      <c r="B552" s="27" t="str">
        <f t="shared" si="16"/>
        <v>Mississippi</v>
      </c>
      <c r="C552" s="27" t="str">
        <f t="shared" si="17"/>
        <v>Panola</v>
      </c>
      <c r="D552" s="27">
        <v>260</v>
      </c>
      <c r="E552" s="2">
        <v>27302</v>
      </c>
      <c r="F552" s="27">
        <v>1902</v>
      </c>
      <c r="G552" s="27">
        <v>1115</v>
      </c>
      <c r="H552" s="27" t="s">
        <v>2018</v>
      </c>
    </row>
    <row r="553" spans="1:8" x14ac:dyDescent="0.25">
      <c r="A553" s="27" t="s">
        <v>1104</v>
      </c>
      <c r="B553" s="27" t="str">
        <f t="shared" si="16"/>
        <v>Mississippi</v>
      </c>
      <c r="C553" s="27" t="str">
        <f t="shared" si="17"/>
        <v>Pearl River</v>
      </c>
      <c r="D553" s="27">
        <v>180</v>
      </c>
      <c r="E553" s="2">
        <v>7198</v>
      </c>
      <c r="F553" s="27">
        <v>1902</v>
      </c>
      <c r="G553" s="27">
        <v>1115</v>
      </c>
      <c r="H553" s="27" t="s">
        <v>2018</v>
      </c>
    </row>
    <row r="554" spans="1:8" x14ac:dyDescent="0.25">
      <c r="A554" s="27" t="s">
        <v>1105</v>
      </c>
      <c r="B554" s="27" t="str">
        <f t="shared" si="16"/>
        <v>Mississippi</v>
      </c>
      <c r="C554" s="27" t="str">
        <f t="shared" si="17"/>
        <v>Perry</v>
      </c>
      <c r="D554" s="27">
        <v>461</v>
      </c>
      <c r="E554" s="2">
        <v>9819</v>
      </c>
      <c r="F554" s="27">
        <v>1902</v>
      </c>
      <c r="G554" s="27">
        <v>1115</v>
      </c>
      <c r="H554" s="27" t="s">
        <v>2018</v>
      </c>
    </row>
    <row r="555" spans="1:8" x14ac:dyDescent="0.25">
      <c r="A555" s="27" t="s">
        <v>1106</v>
      </c>
      <c r="B555" s="27" t="str">
        <f t="shared" si="16"/>
        <v>Mississippi</v>
      </c>
      <c r="C555" s="27" t="str">
        <f t="shared" si="17"/>
        <v>Pike</v>
      </c>
      <c r="D555" s="27">
        <v>125</v>
      </c>
      <c r="E555" s="2">
        <v>13885</v>
      </c>
      <c r="F555" s="27">
        <v>1902</v>
      </c>
      <c r="G555" s="27">
        <v>1115</v>
      </c>
      <c r="H555" s="27" t="s">
        <v>2018</v>
      </c>
    </row>
    <row r="556" spans="1:8" x14ac:dyDescent="0.25">
      <c r="A556" s="27" t="s">
        <v>1107</v>
      </c>
      <c r="B556" s="27" t="str">
        <f t="shared" si="16"/>
        <v>Mississippi</v>
      </c>
      <c r="C556" s="27" t="str">
        <f t="shared" si="17"/>
        <v>Pontotoc</v>
      </c>
      <c r="D556" s="27">
        <v>335</v>
      </c>
      <c r="E556" s="2">
        <v>18527</v>
      </c>
      <c r="F556" s="27">
        <v>1902</v>
      </c>
      <c r="G556" s="27">
        <v>1115</v>
      </c>
      <c r="H556" s="27" t="s">
        <v>2018</v>
      </c>
    </row>
    <row r="557" spans="1:8" x14ac:dyDescent="0.25">
      <c r="A557" s="27" t="s">
        <v>1108</v>
      </c>
      <c r="B557" s="27" t="str">
        <f t="shared" si="16"/>
        <v>Mississippi</v>
      </c>
      <c r="C557" s="27" t="str">
        <f t="shared" si="17"/>
        <v>Prentiss</v>
      </c>
      <c r="D557" s="27">
        <v>81</v>
      </c>
      <c r="E557" s="27">
        <v>13914</v>
      </c>
      <c r="F557" s="27">
        <v>1902</v>
      </c>
      <c r="G557" s="27">
        <v>1115</v>
      </c>
      <c r="H557" s="27" t="s">
        <v>2018</v>
      </c>
    </row>
    <row r="558" spans="1:8" x14ac:dyDescent="0.25">
      <c r="A558" s="27" t="s">
        <v>1109</v>
      </c>
      <c r="B558" s="27" t="str">
        <f t="shared" si="16"/>
        <v>Mississippi</v>
      </c>
      <c r="C558" s="27" t="str">
        <f t="shared" si="17"/>
        <v>Quitman</v>
      </c>
      <c r="D558" s="27">
        <v>28</v>
      </c>
      <c r="E558" s="2">
        <v>4128</v>
      </c>
      <c r="F558" s="27">
        <v>1902</v>
      </c>
      <c r="G558" s="27">
        <v>1115</v>
      </c>
      <c r="H558" s="27" t="s">
        <v>2018</v>
      </c>
    </row>
    <row r="559" spans="1:8" x14ac:dyDescent="0.25">
      <c r="A559" s="27" t="s">
        <v>1110</v>
      </c>
      <c r="B559" s="27" t="str">
        <f t="shared" si="16"/>
        <v>Mississippi</v>
      </c>
      <c r="C559" s="27" t="str">
        <f t="shared" si="17"/>
        <v>Rankin</v>
      </c>
      <c r="D559" s="27">
        <v>128</v>
      </c>
      <c r="E559" s="2">
        <v>17503</v>
      </c>
      <c r="F559" s="27">
        <v>1902</v>
      </c>
      <c r="G559" s="27">
        <v>1115</v>
      </c>
      <c r="H559" s="27" t="s">
        <v>2018</v>
      </c>
    </row>
    <row r="560" spans="1:8" x14ac:dyDescent="0.25">
      <c r="A560" s="27" t="s">
        <v>1111</v>
      </c>
      <c r="B560" s="27" t="str">
        <f t="shared" si="16"/>
        <v>Mississippi</v>
      </c>
      <c r="C560" s="27" t="str">
        <f t="shared" si="17"/>
        <v>Scott</v>
      </c>
      <c r="D560" s="27">
        <v>149</v>
      </c>
      <c r="E560" s="2">
        <v>11579</v>
      </c>
      <c r="F560" s="27">
        <v>1902</v>
      </c>
      <c r="G560" s="27">
        <v>1115</v>
      </c>
      <c r="H560" s="27" t="s">
        <v>2018</v>
      </c>
    </row>
    <row r="561" spans="1:8" x14ac:dyDescent="0.25">
      <c r="A561" s="27" t="s">
        <v>1112</v>
      </c>
      <c r="B561" s="27" t="str">
        <f t="shared" si="16"/>
        <v>Mississippi</v>
      </c>
      <c r="C561" s="27" t="str">
        <f t="shared" si="17"/>
        <v>Sharkey</v>
      </c>
      <c r="D561" s="27">
        <v>300</v>
      </c>
      <c r="E561" s="2">
        <v>12303</v>
      </c>
      <c r="F561" s="27">
        <v>1902</v>
      </c>
      <c r="G561" s="27">
        <v>1115</v>
      </c>
      <c r="H561" s="27" t="s">
        <v>2018</v>
      </c>
    </row>
    <row r="562" spans="1:8" x14ac:dyDescent="0.25">
      <c r="A562" s="27" t="s">
        <v>1113</v>
      </c>
      <c r="B562" s="27" t="str">
        <f t="shared" si="16"/>
        <v>Mississippi</v>
      </c>
      <c r="C562" s="27" t="str">
        <f t="shared" si="17"/>
        <v>Simpson</v>
      </c>
      <c r="D562" s="27">
        <v>50</v>
      </c>
      <c r="E562" s="2">
        <v>11065</v>
      </c>
      <c r="F562" s="27">
        <v>1902</v>
      </c>
      <c r="G562" s="27">
        <v>1115</v>
      </c>
      <c r="H562" s="27" t="s">
        <v>2018</v>
      </c>
    </row>
    <row r="563" spans="1:8" x14ac:dyDescent="0.25">
      <c r="A563" s="27" t="s">
        <v>1114</v>
      </c>
      <c r="B563" s="27" t="str">
        <f t="shared" si="16"/>
        <v>Mississippi</v>
      </c>
      <c r="C563" s="27" t="str">
        <f t="shared" si="17"/>
        <v>Smith</v>
      </c>
      <c r="D563" s="27">
        <v>63</v>
      </c>
      <c r="E563" s="2">
        <v>10978</v>
      </c>
      <c r="F563" s="27">
        <v>1902</v>
      </c>
      <c r="G563" s="27">
        <v>1115</v>
      </c>
      <c r="H563" s="27" t="s">
        <v>2018</v>
      </c>
    </row>
    <row r="564" spans="1:8" x14ac:dyDescent="0.25">
      <c r="A564" s="27" t="s">
        <v>1115</v>
      </c>
      <c r="B564" s="27" t="str">
        <f t="shared" si="16"/>
        <v>Mississippi</v>
      </c>
      <c r="C564" s="27" t="str">
        <f t="shared" si="17"/>
        <v>Stone</v>
      </c>
      <c r="E564" s="2"/>
      <c r="F564" s="27">
        <v>1902</v>
      </c>
      <c r="G564" s="27">
        <v>1115</v>
      </c>
      <c r="H564" s="27" t="s">
        <v>2018</v>
      </c>
    </row>
    <row r="565" spans="1:8" x14ac:dyDescent="0.25">
      <c r="A565" s="27" t="s">
        <v>1116</v>
      </c>
      <c r="B565" s="27" t="str">
        <f t="shared" si="16"/>
        <v>Mississippi</v>
      </c>
      <c r="C565" s="27" t="str">
        <f t="shared" si="17"/>
        <v>Sunflower</v>
      </c>
      <c r="D565" s="27">
        <v>93</v>
      </c>
      <c r="E565" s="2">
        <v>13952</v>
      </c>
      <c r="F565" s="27">
        <v>1902</v>
      </c>
      <c r="G565" s="27">
        <v>1115</v>
      </c>
      <c r="H565" s="27" t="s">
        <v>2018</v>
      </c>
    </row>
    <row r="566" spans="1:8" x14ac:dyDescent="0.25">
      <c r="A566" s="27" t="s">
        <v>1117</v>
      </c>
      <c r="B566" s="27" t="str">
        <f t="shared" si="16"/>
        <v>Mississippi</v>
      </c>
      <c r="C566" s="27" t="str">
        <f t="shared" si="17"/>
        <v>Tallahatchie</v>
      </c>
      <c r="D566" s="27">
        <v>514</v>
      </c>
      <c r="E566" s="2">
        <v>15125</v>
      </c>
      <c r="F566" s="27">
        <v>1902</v>
      </c>
      <c r="G566" s="27">
        <v>1115</v>
      </c>
      <c r="H566" s="27" t="s">
        <v>2018</v>
      </c>
    </row>
    <row r="567" spans="1:8" x14ac:dyDescent="0.25">
      <c r="A567" s="27" t="s">
        <v>1118</v>
      </c>
      <c r="B567" s="27" t="str">
        <f t="shared" si="16"/>
        <v>Mississippi</v>
      </c>
      <c r="C567" s="27" t="str">
        <f t="shared" si="17"/>
        <v>Tate</v>
      </c>
      <c r="D567" s="27">
        <v>194</v>
      </c>
      <c r="E567" s="2">
        <v>20579</v>
      </c>
      <c r="F567" s="27">
        <v>1902</v>
      </c>
      <c r="G567" s="27">
        <v>1115</v>
      </c>
      <c r="H567" s="27" t="s">
        <v>2018</v>
      </c>
    </row>
    <row r="568" spans="1:8" x14ac:dyDescent="0.25">
      <c r="A568" s="27" t="s">
        <v>1119</v>
      </c>
      <c r="B568" s="27" t="str">
        <f t="shared" si="16"/>
        <v>Mississippi</v>
      </c>
      <c r="C568" s="27" t="str">
        <f t="shared" si="17"/>
        <v>Tippah</v>
      </c>
      <c r="D568" s="27">
        <v>179</v>
      </c>
      <c r="E568" s="2">
        <v>12442</v>
      </c>
      <c r="F568" s="27">
        <v>1902</v>
      </c>
      <c r="G568" s="27">
        <v>1115</v>
      </c>
      <c r="H568" s="27" t="s">
        <v>2018</v>
      </c>
    </row>
    <row r="569" spans="1:8" x14ac:dyDescent="0.25">
      <c r="A569" s="27" t="s">
        <v>1120</v>
      </c>
      <c r="B569" s="27" t="str">
        <f t="shared" si="16"/>
        <v>Mississippi</v>
      </c>
      <c r="C569" s="27" t="str">
        <f t="shared" si="17"/>
        <v>Tishomingo</v>
      </c>
      <c r="D569" s="27">
        <v>144</v>
      </c>
      <c r="E569" s="2">
        <v>8036</v>
      </c>
      <c r="F569" s="27">
        <v>1902</v>
      </c>
      <c r="G569" s="27">
        <v>1115</v>
      </c>
      <c r="H569" s="27" t="s">
        <v>2018</v>
      </c>
    </row>
    <row r="570" spans="1:8" x14ac:dyDescent="0.25">
      <c r="A570" s="27" t="s">
        <v>1121</v>
      </c>
      <c r="B570" s="27" t="str">
        <f t="shared" si="16"/>
        <v>Mississippi</v>
      </c>
      <c r="C570" s="27" t="str">
        <f t="shared" si="17"/>
        <v>Tunica</v>
      </c>
      <c r="D570" s="2">
        <v>1800</v>
      </c>
      <c r="E570" s="2">
        <v>16276</v>
      </c>
      <c r="F570" s="27">
        <v>1902</v>
      </c>
      <c r="G570" s="27">
        <v>1115</v>
      </c>
      <c r="H570" s="27" t="s">
        <v>2018</v>
      </c>
    </row>
    <row r="571" spans="1:8" x14ac:dyDescent="0.25">
      <c r="A571" s="27" t="s">
        <v>1122</v>
      </c>
      <c r="B571" s="27" t="str">
        <f t="shared" si="16"/>
        <v>Mississippi</v>
      </c>
      <c r="C571" s="27" t="str">
        <f t="shared" si="17"/>
        <v>Union</v>
      </c>
      <c r="D571" s="27">
        <v>160</v>
      </c>
      <c r="E571" s="2">
        <v>15463</v>
      </c>
      <c r="F571" s="27">
        <v>1902</v>
      </c>
      <c r="G571" s="27">
        <v>1115</v>
      </c>
      <c r="H571" s="27" t="s">
        <v>2018</v>
      </c>
    </row>
    <row r="572" spans="1:8" x14ac:dyDescent="0.25">
      <c r="A572" s="27" t="s">
        <v>1123</v>
      </c>
      <c r="B572" s="27" t="str">
        <f t="shared" si="16"/>
        <v>Mississippi</v>
      </c>
      <c r="C572" s="27" t="str">
        <f t="shared" si="17"/>
        <v>Walthall</v>
      </c>
      <c r="E572" s="2"/>
      <c r="F572" s="27">
        <v>1902</v>
      </c>
      <c r="G572" s="27">
        <v>1115</v>
      </c>
      <c r="H572" s="27" t="s">
        <v>2018</v>
      </c>
    </row>
    <row r="573" spans="1:8" x14ac:dyDescent="0.25">
      <c r="A573" s="27" t="s">
        <v>1124</v>
      </c>
      <c r="B573" s="27" t="str">
        <f t="shared" si="16"/>
        <v>Mississippi</v>
      </c>
      <c r="C573" s="27" t="str">
        <f t="shared" si="17"/>
        <v>Warren</v>
      </c>
      <c r="D573" s="27">
        <v>1100</v>
      </c>
      <c r="E573" s="2">
        <v>27518</v>
      </c>
      <c r="F573" s="27">
        <v>1902</v>
      </c>
      <c r="G573" s="27">
        <v>1115</v>
      </c>
      <c r="H573" s="27" t="s">
        <v>2018</v>
      </c>
    </row>
    <row r="574" spans="1:8" x14ac:dyDescent="0.25">
      <c r="A574" s="27" t="s">
        <v>1125</v>
      </c>
      <c r="B574" s="27" t="str">
        <f t="shared" si="16"/>
        <v>Mississippi</v>
      </c>
      <c r="C574" s="27" t="str">
        <f t="shared" si="17"/>
        <v>Washington</v>
      </c>
      <c r="D574" s="27">
        <v>300</v>
      </c>
      <c r="E574" s="2">
        <v>28134</v>
      </c>
      <c r="F574" s="27">
        <v>1902</v>
      </c>
      <c r="G574" s="27">
        <v>1115</v>
      </c>
      <c r="H574" s="27" t="s">
        <v>2018</v>
      </c>
    </row>
    <row r="575" spans="1:8" x14ac:dyDescent="0.25">
      <c r="A575" s="27" t="s">
        <v>1126</v>
      </c>
      <c r="B575" s="27" t="str">
        <f t="shared" si="16"/>
        <v>Mississippi</v>
      </c>
      <c r="C575" s="27" t="str">
        <f t="shared" si="17"/>
        <v>Wayne</v>
      </c>
      <c r="D575" s="27">
        <v>38</v>
      </c>
      <c r="E575" s="2">
        <v>9148</v>
      </c>
      <c r="F575" s="27">
        <v>1902</v>
      </c>
      <c r="G575" s="27">
        <v>1115</v>
      </c>
      <c r="H575" s="27" t="s">
        <v>2018</v>
      </c>
    </row>
    <row r="576" spans="1:8" x14ac:dyDescent="0.25">
      <c r="A576" s="27" t="s">
        <v>1127</v>
      </c>
      <c r="B576" s="27" t="str">
        <f t="shared" si="16"/>
        <v>Mississippi</v>
      </c>
      <c r="C576" s="27" t="str">
        <f t="shared" si="17"/>
        <v>Webster</v>
      </c>
      <c r="D576" s="27">
        <v>198</v>
      </c>
      <c r="E576" s="2">
        <v>9643</v>
      </c>
      <c r="F576" s="27">
        <v>1902</v>
      </c>
      <c r="G576" s="27">
        <v>1115</v>
      </c>
      <c r="H576" s="27" t="s">
        <v>2018</v>
      </c>
    </row>
    <row r="577" spans="1:8" x14ac:dyDescent="0.25">
      <c r="A577" s="27" t="s">
        <v>1128</v>
      </c>
      <c r="B577" s="27" t="str">
        <f t="shared" si="16"/>
        <v>Mississippi</v>
      </c>
      <c r="C577" s="27" t="str">
        <f t="shared" si="17"/>
        <v>Wilkinson</v>
      </c>
      <c r="D577" s="27">
        <v>405</v>
      </c>
      <c r="E577" s="2">
        <v>15096</v>
      </c>
      <c r="F577" s="27">
        <v>1902</v>
      </c>
      <c r="G577" s="27">
        <v>1115</v>
      </c>
      <c r="H577" s="27" t="s">
        <v>2018</v>
      </c>
    </row>
    <row r="578" spans="1:8" x14ac:dyDescent="0.25">
      <c r="A578" s="27" t="s">
        <v>1129</v>
      </c>
      <c r="B578" s="27" t="str">
        <f t="shared" si="16"/>
        <v>Mississippi</v>
      </c>
      <c r="C578" s="27" t="str">
        <f t="shared" si="17"/>
        <v>Winston</v>
      </c>
      <c r="D578" s="27">
        <v>200</v>
      </c>
      <c r="E578" s="2">
        <v>12408</v>
      </c>
      <c r="F578" s="27">
        <v>1902</v>
      </c>
      <c r="G578" s="27">
        <v>1115</v>
      </c>
      <c r="H578" s="27" t="s">
        <v>2018</v>
      </c>
    </row>
    <row r="579" spans="1:8" x14ac:dyDescent="0.25">
      <c r="A579" s="27" t="s">
        <v>1130</v>
      </c>
      <c r="B579" s="27" t="str">
        <f t="shared" ref="B579:B642" si="18">LEFT(A579,FIND(";",A579)-1)</f>
        <v>Mississippi</v>
      </c>
      <c r="C579" s="27" t="str">
        <f t="shared" ref="C579:C642" si="19">MID(A579,FIND(";",A579)+1,100)</f>
        <v>Yalobusha</v>
      </c>
      <c r="D579" s="27">
        <v>571</v>
      </c>
      <c r="E579" s="2">
        <v>12766</v>
      </c>
      <c r="F579" s="27">
        <v>1902</v>
      </c>
      <c r="G579" s="27">
        <v>1115</v>
      </c>
      <c r="H579" s="27" t="s">
        <v>2018</v>
      </c>
    </row>
    <row r="580" spans="1:8" x14ac:dyDescent="0.25">
      <c r="A580" s="27" t="s">
        <v>1131</v>
      </c>
      <c r="B580" s="27" t="str">
        <f t="shared" si="18"/>
        <v>Mississippi</v>
      </c>
      <c r="C580" s="27" t="str">
        <f t="shared" si="19"/>
        <v>Yazoo</v>
      </c>
      <c r="D580" s="27">
        <v>237</v>
      </c>
      <c r="E580" s="2">
        <v>31254</v>
      </c>
      <c r="F580" s="27">
        <v>1902</v>
      </c>
      <c r="G580" s="27">
        <v>1115</v>
      </c>
      <c r="H580" s="27" t="s">
        <v>2018</v>
      </c>
    </row>
    <row r="581" spans="1:8" x14ac:dyDescent="0.25">
      <c r="A581" s="27" t="s">
        <v>650</v>
      </c>
      <c r="B581" s="27" t="str">
        <f t="shared" si="18"/>
        <v/>
      </c>
      <c r="C581" s="27" t="str">
        <f t="shared" si="19"/>
        <v>MY TOTAL</v>
      </c>
      <c r="D581" s="27">
        <f>SUM(D499:D580)</f>
        <v>27406</v>
      </c>
      <c r="E581" s="27">
        <f>SUM(E499:E580)</f>
        <v>1153206</v>
      </c>
      <c r="H581" s="27" t="s">
        <v>2013</v>
      </c>
    </row>
    <row r="582" spans="1:8" x14ac:dyDescent="0.25">
      <c r="A582" s="27" t="s">
        <v>651</v>
      </c>
      <c r="B582" s="27" t="str">
        <f t="shared" si="18"/>
        <v/>
      </c>
      <c r="C582" s="27" t="str">
        <f t="shared" si="19"/>
        <v>REPORTED TOTAL</v>
      </c>
      <c r="D582" s="27">
        <v>27404</v>
      </c>
      <c r="E582" s="2">
        <v>1153266</v>
      </c>
      <c r="H582" s="27" t="s">
        <v>2013</v>
      </c>
    </row>
    <row r="583" spans="1:8" x14ac:dyDescent="0.25">
      <c r="A583" s="27" t="s">
        <v>1132</v>
      </c>
      <c r="B583" s="27" t="str">
        <f t="shared" si="18"/>
        <v>North Carolina</v>
      </c>
      <c r="C583" s="27" t="str">
        <f t="shared" si="19"/>
        <v>Alamance</v>
      </c>
      <c r="D583" s="27">
        <v>462</v>
      </c>
      <c r="E583" s="2">
        <v>18747</v>
      </c>
      <c r="F583" s="27">
        <v>1902</v>
      </c>
      <c r="G583" s="27">
        <v>1127</v>
      </c>
      <c r="H583" s="27" t="s">
        <v>2019</v>
      </c>
    </row>
    <row r="584" spans="1:8" x14ac:dyDescent="0.25">
      <c r="A584" s="27" t="s">
        <v>1133</v>
      </c>
      <c r="B584" s="27" t="str">
        <f t="shared" si="18"/>
        <v>North Carolina</v>
      </c>
      <c r="C584" s="27" t="str">
        <f t="shared" si="19"/>
        <v>Alexander</v>
      </c>
      <c r="D584" s="27">
        <v>152</v>
      </c>
      <c r="E584" s="27">
        <v>6031</v>
      </c>
      <c r="F584" s="27">
        <v>1902</v>
      </c>
      <c r="G584" s="27">
        <v>1127</v>
      </c>
      <c r="H584" s="27" t="s">
        <v>2019</v>
      </c>
    </row>
    <row r="585" spans="1:8" x14ac:dyDescent="0.25">
      <c r="A585" s="27" t="s">
        <v>1134</v>
      </c>
      <c r="B585" s="27" t="str">
        <f t="shared" si="18"/>
        <v>North Carolina</v>
      </c>
      <c r="C585" s="27" t="str">
        <f t="shared" si="19"/>
        <v>Alleghany</v>
      </c>
      <c r="D585" s="27">
        <v>14</v>
      </c>
      <c r="E585" s="2">
        <v>4927</v>
      </c>
      <c r="F585" s="27">
        <v>1902</v>
      </c>
      <c r="G585" s="27">
        <v>1127</v>
      </c>
      <c r="H585" s="27" t="s">
        <v>2019</v>
      </c>
    </row>
    <row r="586" spans="1:8" x14ac:dyDescent="0.25">
      <c r="A586" s="27" t="s">
        <v>1135</v>
      </c>
      <c r="B586" s="27" t="str">
        <f t="shared" si="18"/>
        <v>North Carolina</v>
      </c>
      <c r="C586" s="27" t="str">
        <f t="shared" si="19"/>
        <v>Anson</v>
      </c>
      <c r="D586" s="27">
        <v>122</v>
      </c>
      <c r="E586" s="27">
        <v>12171</v>
      </c>
      <c r="F586" s="27">
        <v>1902</v>
      </c>
      <c r="G586" s="27">
        <v>1127</v>
      </c>
      <c r="H586" s="27" t="s">
        <v>2019</v>
      </c>
    </row>
    <row r="587" spans="1:8" x14ac:dyDescent="0.25">
      <c r="A587" s="27" t="s">
        <v>1136</v>
      </c>
      <c r="B587" s="27" t="str">
        <f t="shared" si="18"/>
        <v>North Carolina</v>
      </c>
      <c r="C587" s="27" t="str">
        <f t="shared" si="19"/>
        <v>Ashe</v>
      </c>
      <c r="D587" s="27">
        <v>49</v>
      </c>
      <c r="E587" s="2">
        <v>10026</v>
      </c>
      <c r="F587" s="27">
        <v>1902</v>
      </c>
      <c r="G587" s="27">
        <v>1127</v>
      </c>
      <c r="H587" s="27" t="s">
        <v>2019</v>
      </c>
    </row>
    <row r="588" spans="1:8" x14ac:dyDescent="0.25">
      <c r="A588" s="27" t="s">
        <v>1137</v>
      </c>
      <c r="B588" s="27" t="str">
        <f t="shared" si="18"/>
        <v>North Carolina</v>
      </c>
      <c r="C588" s="27" t="str">
        <f t="shared" si="19"/>
        <v>Avery</v>
      </c>
      <c r="F588" s="27">
        <v>1902</v>
      </c>
      <c r="G588" s="27">
        <v>1127</v>
      </c>
      <c r="H588" s="27" t="s">
        <v>2019</v>
      </c>
    </row>
    <row r="589" spans="1:8" x14ac:dyDescent="0.25">
      <c r="A589" s="27" t="s">
        <v>1138</v>
      </c>
      <c r="B589" s="27" t="str">
        <f t="shared" si="18"/>
        <v>North Carolina</v>
      </c>
      <c r="C589" s="27" t="str">
        <f t="shared" si="19"/>
        <v>Beaufort</v>
      </c>
      <c r="D589" s="27">
        <v>642</v>
      </c>
      <c r="E589" s="2">
        <v>16228</v>
      </c>
      <c r="F589" s="27">
        <v>1902</v>
      </c>
      <c r="G589" s="27">
        <v>1127</v>
      </c>
      <c r="H589" s="27" t="s">
        <v>2019</v>
      </c>
    </row>
    <row r="590" spans="1:8" x14ac:dyDescent="0.25">
      <c r="A590" s="27" t="s">
        <v>1139</v>
      </c>
      <c r="B590" s="27" t="str">
        <f t="shared" si="18"/>
        <v>North Carolina</v>
      </c>
      <c r="C590" s="27" t="str">
        <f t="shared" si="19"/>
        <v>Bertie</v>
      </c>
      <c r="E590" s="27">
        <v>13045</v>
      </c>
      <c r="F590" s="27">
        <v>1902</v>
      </c>
      <c r="G590" s="27">
        <v>1127</v>
      </c>
      <c r="H590" s="27" t="s">
        <v>2019</v>
      </c>
    </row>
    <row r="591" spans="1:8" x14ac:dyDescent="0.25">
      <c r="A591" s="27" t="s">
        <v>1140</v>
      </c>
      <c r="B591" s="27" t="str">
        <f t="shared" si="18"/>
        <v>North Carolina</v>
      </c>
      <c r="C591" s="27" t="str">
        <f t="shared" si="19"/>
        <v>Bladen</v>
      </c>
      <c r="E591" s="2">
        <v>9272</v>
      </c>
      <c r="F591" s="27">
        <v>1902</v>
      </c>
      <c r="G591" s="27">
        <v>1127</v>
      </c>
      <c r="H591" s="27" t="s">
        <v>2019</v>
      </c>
    </row>
    <row r="592" spans="1:8" x14ac:dyDescent="0.25">
      <c r="A592" s="27" t="s">
        <v>1141</v>
      </c>
      <c r="B592" s="27" t="str">
        <f t="shared" si="18"/>
        <v>North Carolina</v>
      </c>
      <c r="C592" s="27" t="str">
        <f t="shared" si="19"/>
        <v>Brunswick</v>
      </c>
      <c r="E592" s="27">
        <v>8437</v>
      </c>
      <c r="F592" s="27">
        <v>1902</v>
      </c>
      <c r="G592" s="27">
        <v>1127</v>
      </c>
      <c r="H592" s="27" t="s">
        <v>2019</v>
      </c>
    </row>
    <row r="593" spans="1:8" x14ac:dyDescent="0.25">
      <c r="A593" s="27" t="s">
        <v>1142</v>
      </c>
      <c r="B593" s="27" t="str">
        <f t="shared" si="18"/>
        <v>North Carolina</v>
      </c>
      <c r="C593" s="27" t="str">
        <f t="shared" si="19"/>
        <v>Buncombe</v>
      </c>
      <c r="D593" s="27">
        <v>2757</v>
      </c>
      <c r="E593" s="2">
        <v>34975</v>
      </c>
      <c r="F593" s="27">
        <v>1902</v>
      </c>
      <c r="G593" s="27">
        <v>1127</v>
      </c>
      <c r="H593" s="27" t="s">
        <v>2019</v>
      </c>
    </row>
    <row r="594" spans="1:8" x14ac:dyDescent="0.25">
      <c r="A594" s="27" t="s">
        <v>1143</v>
      </c>
      <c r="B594" s="27" t="str">
        <f t="shared" si="18"/>
        <v>North Carolina</v>
      </c>
      <c r="C594" s="27" t="str">
        <f t="shared" si="19"/>
        <v>Burke</v>
      </c>
      <c r="D594" s="27">
        <v>599</v>
      </c>
      <c r="E594" s="27">
        <v>7789</v>
      </c>
      <c r="F594" s="27">
        <v>1902</v>
      </c>
      <c r="G594" s="27">
        <v>1127</v>
      </c>
      <c r="H594" s="27" t="s">
        <v>2019</v>
      </c>
    </row>
    <row r="595" spans="1:8" x14ac:dyDescent="0.25">
      <c r="A595" s="27" t="s">
        <v>1144</v>
      </c>
      <c r="B595" s="27" t="str">
        <f t="shared" si="18"/>
        <v>North Carolina</v>
      </c>
      <c r="C595" s="27" t="str">
        <f t="shared" si="19"/>
        <v>Cabarrus</v>
      </c>
      <c r="D595" s="27">
        <v>1559</v>
      </c>
      <c r="E595" s="2">
        <v>14779</v>
      </c>
      <c r="F595" s="27">
        <v>1902</v>
      </c>
      <c r="G595" s="27">
        <v>1127</v>
      </c>
      <c r="H595" s="27" t="s">
        <v>2019</v>
      </c>
    </row>
    <row r="596" spans="1:8" x14ac:dyDescent="0.25">
      <c r="A596" s="27" t="s">
        <v>1145</v>
      </c>
      <c r="B596" s="27" t="str">
        <f t="shared" si="18"/>
        <v>North Carolina</v>
      </c>
      <c r="C596" s="27" t="str">
        <f t="shared" si="19"/>
        <v>Caldwell</v>
      </c>
      <c r="D596" s="27">
        <v>277</v>
      </c>
      <c r="E596" s="27">
        <v>9523</v>
      </c>
      <c r="F596" s="27">
        <v>1902</v>
      </c>
      <c r="G596" s="27">
        <v>1127</v>
      </c>
      <c r="H596" s="27" t="s">
        <v>2019</v>
      </c>
    </row>
    <row r="597" spans="1:8" x14ac:dyDescent="0.25">
      <c r="A597" s="27" t="s">
        <v>1146</v>
      </c>
      <c r="B597" s="27" t="str">
        <f t="shared" si="18"/>
        <v>North Carolina</v>
      </c>
      <c r="C597" s="27" t="str">
        <f t="shared" si="19"/>
        <v>Camden</v>
      </c>
      <c r="D597" s="27">
        <v>256</v>
      </c>
      <c r="E597" s="2">
        <v>4592</v>
      </c>
      <c r="F597" s="27">
        <v>1902</v>
      </c>
      <c r="G597" s="27">
        <v>1127</v>
      </c>
      <c r="H597" s="27" t="s">
        <v>2019</v>
      </c>
    </row>
    <row r="598" spans="1:8" x14ac:dyDescent="0.25">
      <c r="A598" s="27" t="s">
        <v>1147</v>
      </c>
      <c r="B598" s="27" t="str">
        <f t="shared" si="18"/>
        <v>North Carolina</v>
      </c>
      <c r="C598" s="27" t="str">
        <f t="shared" si="19"/>
        <v>Carteret</v>
      </c>
      <c r="D598" s="27">
        <v>215</v>
      </c>
      <c r="E598" s="27">
        <v>5312</v>
      </c>
      <c r="F598" s="27">
        <v>1902</v>
      </c>
      <c r="G598" s="27">
        <v>1127</v>
      </c>
      <c r="H598" s="27" t="s">
        <v>2019</v>
      </c>
    </row>
    <row r="599" spans="1:8" x14ac:dyDescent="0.25">
      <c r="A599" s="27" t="s">
        <v>1148</v>
      </c>
      <c r="B599" s="27" t="str">
        <f t="shared" si="18"/>
        <v>North Carolina</v>
      </c>
      <c r="C599" s="27" t="str">
        <f t="shared" si="19"/>
        <v>Caswell</v>
      </c>
      <c r="D599" s="27">
        <v>170</v>
      </c>
      <c r="E599" s="2">
        <v>9360</v>
      </c>
      <c r="F599" s="27">
        <v>1902</v>
      </c>
      <c r="G599" s="27">
        <v>1127</v>
      </c>
      <c r="H599" s="27" t="s">
        <v>2019</v>
      </c>
    </row>
    <row r="600" spans="1:8" x14ac:dyDescent="0.25">
      <c r="A600" s="27" t="s">
        <v>1149</v>
      </c>
      <c r="B600" s="27" t="str">
        <f t="shared" si="18"/>
        <v>North Carolina</v>
      </c>
      <c r="C600" s="27" t="str">
        <f t="shared" si="19"/>
        <v>Catawba</v>
      </c>
      <c r="D600" s="27">
        <v>210</v>
      </c>
      <c r="E600" s="27">
        <v>12553</v>
      </c>
      <c r="F600" s="27">
        <v>1902</v>
      </c>
      <c r="G600" s="27">
        <v>1127</v>
      </c>
      <c r="H600" s="27" t="s">
        <v>2019</v>
      </c>
    </row>
    <row r="601" spans="1:8" x14ac:dyDescent="0.25">
      <c r="A601" s="27" t="s">
        <v>1150</v>
      </c>
      <c r="B601" s="27" t="str">
        <f t="shared" si="18"/>
        <v>North Carolina</v>
      </c>
      <c r="C601" s="27" t="str">
        <f t="shared" si="19"/>
        <v>Chatham</v>
      </c>
      <c r="D601" s="27">
        <v>175</v>
      </c>
      <c r="E601" s="2">
        <v>13284</v>
      </c>
      <c r="F601" s="27">
        <v>1902</v>
      </c>
      <c r="G601" s="27">
        <v>1127</v>
      </c>
      <c r="H601" s="27" t="s">
        <v>2019</v>
      </c>
    </row>
    <row r="602" spans="1:8" x14ac:dyDescent="0.25">
      <c r="A602" s="27" t="s">
        <v>1151</v>
      </c>
      <c r="B602" s="27" t="str">
        <f t="shared" si="18"/>
        <v>North Carolina</v>
      </c>
      <c r="C602" s="27" t="str">
        <f t="shared" si="19"/>
        <v>Cherokee</v>
      </c>
      <c r="D602" s="27">
        <v>209</v>
      </c>
      <c r="E602" s="27">
        <v>6935</v>
      </c>
      <c r="F602" s="27">
        <v>1902</v>
      </c>
      <c r="G602" s="27">
        <v>1127</v>
      </c>
      <c r="H602" s="27" t="s">
        <v>2019</v>
      </c>
    </row>
    <row r="603" spans="1:8" x14ac:dyDescent="0.25">
      <c r="A603" s="27" t="s">
        <v>1152</v>
      </c>
      <c r="B603" s="27" t="str">
        <f t="shared" si="18"/>
        <v>North Carolina</v>
      </c>
      <c r="C603" s="27" t="str">
        <f t="shared" si="19"/>
        <v>Chowan</v>
      </c>
      <c r="E603" s="2">
        <v>6159</v>
      </c>
      <c r="F603" s="27">
        <v>1902</v>
      </c>
      <c r="G603" s="27">
        <v>1127</v>
      </c>
      <c r="H603" s="27" t="s">
        <v>2019</v>
      </c>
    </row>
    <row r="604" spans="1:8" x14ac:dyDescent="0.25">
      <c r="A604" s="27" t="s">
        <v>1153</v>
      </c>
      <c r="B604" s="27" t="str">
        <f t="shared" si="18"/>
        <v>North Carolina</v>
      </c>
      <c r="C604" s="27" t="str">
        <f t="shared" si="19"/>
        <v>Clay</v>
      </c>
      <c r="D604" s="27">
        <v>50</v>
      </c>
      <c r="E604" s="27">
        <v>2246</v>
      </c>
      <c r="F604" s="27">
        <v>1902</v>
      </c>
      <c r="G604" s="27">
        <v>1127</v>
      </c>
      <c r="H604" s="27" t="s">
        <v>2019</v>
      </c>
    </row>
    <row r="605" spans="1:8" x14ac:dyDescent="0.25">
      <c r="A605" s="27" t="s">
        <v>1154</v>
      </c>
      <c r="B605" s="27" t="str">
        <f t="shared" si="18"/>
        <v>North Carolina</v>
      </c>
      <c r="C605" s="27" t="str">
        <f t="shared" si="19"/>
        <v>Cleveland</v>
      </c>
      <c r="D605" s="27">
        <v>719</v>
      </c>
      <c r="E605" s="2">
        <v>18364</v>
      </c>
      <c r="F605" s="27">
        <v>1902</v>
      </c>
      <c r="G605" s="27">
        <v>1127</v>
      </c>
      <c r="H605" s="27" t="s">
        <v>2019</v>
      </c>
    </row>
    <row r="606" spans="1:8" x14ac:dyDescent="0.25">
      <c r="A606" s="27" t="s">
        <v>1155</v>
      </c>
      <c r="B606" s="27" t="str">
        <f t="shared" si="18"/>
        <v>North Carolina</v>
      </c>
      <c r="C606" s="27" t="str">
        <f t="shared" si="19"/>
        <v>Columbus</v>
      </c>
      <c r="E606" s="27">
        <v>12298</v>
      </c>
      <c r="F606" s="27">
        <v>1902</v>
      </c>
      <c r="G606" s="27">
        <v>1127</v>
      </c>
      <c r="H606" s="27" t="s">
        <v>2019</v>
      </c>
    </row>
    <row r="607" spans="1:8" x14ac:dyDescent="0.25">
      <c r="A607" s="27" t="s">
        <v>1156</v>
      </c>
      <c r="B607" s="27" t="str">
        <f t="shared" si="18"/>
        <v>North Carolina</v>
      </c>
      <c r="C607" s="27" t="str">
        <f t="shared" si="19"/>
        <v>Craven</v>
      </c>
      <c r="D607" s="27">
        <v>3652</v>
      </c>
      <c r="E607" s="2">
        <v>15982</v>
      </c>
      <c r="F607" s="27">
        <v>1902</v>
      </c>
      <c r="G607" s="27">
        <v>1127</v>
      </c>
      <c r="H607" s="27" t="s">
        <v>2019</v>
      </c>
    </row>
    <row r="608" spans="1:8" x14ac:dyDescent="0.25">
      <c r="A608" s="27" t="s">
        <v>1157</v>
      </c>
      <c r="B608" s="27" t="str">
        <f t="shared" si="18"/>
        <v>North Carolina</v>
      </c>
      <c r="C608" s="27" t="str">
        <f t="shared" si="19"/>
        <v>Cumberland</v>
      </c>
      <c r="D608" s="27">
        <v>187</v>
      </c>
      <c r="E608" s="27">
        <v>20395</v>
      </c>
      <c r="F608" s="27">
        <v>1902</v>
      </c>
      <c r="G608" s="27">
        <v>1127</v>
      </c>
      <c r="H608" s="27" t="s">
        <v>2019</v>
      </c>
    </row>
    <row r="609" spans="1:8" x14ac:dyDescent="0.25">
      <c r="A609" s="27" t="s">
        <v>1158</v>
      </c>
      <c r="B609" s="27" t="str">
        <f t="shared" si="18"/>
        <v>North Carolina</v>
      </c>
      <c r="C609" s="27" t="str">
        <f t="shared" si="19"/>
        <v>Currituck</v>
      </c>
      <c r="D609" s="27">
        <v>125</v>
      </c>
      <c r="E609" s="2">
        <v>4076</v>
      </c>
      <c r="F609" s="27">
        <v>1902</v>
      </c>
      <c r="G609" s="27">
        <v>1127</v>
      </c>
      <c r="H609" s="27" t="s">
        <v>2019</v>
      </c>
    </row>
    <row r="610" spans="1:8" x14ac:dyDescent="0.25">
      <c r="A610" s="27" t="s">
        <v>1159</v>
      </c>
      <c r="B610" s="27" t="str">
        <f t="shared" si="18"/>
        <v>North Carolina</v>
      </c>
      <c r="C610" s="27" t="str">
        <f t="shared" si="19"/>
        <v>Dare</v>
      </c>
      <c r="D610" s="27">
        <v>75</v>
      </c>
      <c r="E610" s="27">
        <v>2041</v>
      </c>
      <c r="F610" s="27">
        <v>1902</v>
      </c>
      <c r="G610" s="27">
        <v>1127</v>
      </c>
      <c r="H610" s="27" t="s">
        <v>2019</v>
      </c>
    </row>
    <row r="611" spans="1:8" x14ac:dyDescent="0.25">
      <c r="A611" s="27" t="s">
        <v>1160</v>
      </c>
      <c r="B611" s="27" t="str">
        <f t="shared" si="18"/>
        <v>North Carolina</v>
      </c>
      <c r="C611" s="27" t="str">
        <f t="shared" si="19"/>
        <v>Davidson</v>
      </c>
      <c r="D611" s="27">
        <v>110</v>
      </c>
      <c r="E611" s="2">
        <v>14645</v>
      </c>
      <c r="F611" s="27">
        <v>1902</v>
      </c>
      <c r="G611" s="27">
        <v>1127</v>
      </c>
      <c r="H611" s="27" t="s">
        <v>2019</v>
      </c>
    </row>
    <row r="612" spans="1:8" x14ac:dyDescent="0.25">
      <c r="A612" s="27" t="s">
        <v>1161</v>
      </c>
      <c r="B612" s="27" t="str">
        <f t="shared" si="18"/>
        <v>North Carolina</v>
      </c>
      <c r="C612" s="27" t="str">
        <f t="shared" si="19"/>
        <v>Davie</v>
      </c>
      <c r="D612" s="27">
        <v>271</v>
      </c>
      <c r="E612" s="27">
        <v>5217</v>
      </c>
      <c r="F612" s="27">
        <v>1902</v>
      </c>
      <c r="G612" s="27">
        <v>1127</v>
      </c>
      <c r="H612" s="27" t="s">
        <v>2019</v>
      </c>
    </row>
    <row r="613" spans="1:8" x14ac:dyDescent="0.25">
      <c r="A613" s="27" t="s">
        <v>1162</v>
      </c>
      <c r="B613" s="27" t="str">
        <f t="shared" si="18"/>
        <v>North Carolina</v>
      </c>
      <c r="C613" s="27" t="str">
        <f t="shared" si="19"/>
        <v>Duplin</v>
      </c>
      <c r="D613" s="27">
        <v>881</v>
      </c>
      <c r="E613" s="2">
        <v>14623</v>
      </c>
      <c r="F613" s="27">
        <v>1902</v>
      </c>
      <c r="G613" s="27">
        <v>1127</v>
      </c>
      <c r="H613" s="27" t="s">
        <v>2019</v>
      </c>
    </row>
    <row r="614" spans="1:8" x14ac:dyDescent="0.25">
      <c r="A614" s="27" t="s">
        <v>1163</v>
      </c>
      <c r="B614" s="27" t="str">
        <f t="shared" si="18"/>
        <v>North Carolina</v>
      </c>
      <c r="C614" s="27" t="str">
        <f t="shared" si="19"/>
        <v>Durham</v>
      </c>
      <c r="D614" s="27">
        <v>439</v>
      </c>
      <c r="E614" s="27">
        <v>28881</v>
      </c>
      <c r="F614" s="27">
        <v>1902</v>
      </c>
      <c r="G614" s="27">
        <v>1127</v>
      </c>
      <c r="H614" s="27" t="s">
        <v>2019</v>
      </c>
    </row>
    <row r="615" spans="1:8" x14ac:dyDescent="0.25">
      <c r="A615" s="27" t="s">
        <v>1164</v>
      </c>
      <c r="B615" s="27" t="str">
        <f t="shared" si="18"/>
        <v>North Carolina</v>
      </c>
      <c r="C615" s="27" t="str">
        <f t="shared" si="19"/>
        <v>Edgecombe</v>
      </c>
      <c r="D615" s="27">
        <v>605</v>
      </c>
      <c r="E615" s="2">
        <v>29926</v>
      </c>
      <c r="F615" s="27">
        <v>1902</v>
      </c>
      <c r="G615" s="27">
        <v>1127</v>
      </c>
      <c r="H615" s="27" t="s">
        <v>2019</v>
      </c>
    </row>
    <row r="616" spans="1:8" x14ac:dyDescent="0.25">
      <c r="A616" s="27" t="s">
        <v>1165</v>
      </c>
      <c r="B616" s="27" t="str">
        <f t="shared" si="18"/>
        <v>North Carolina</v>
      </c>
      <c r="C616" s="27" t="str">
        <f t="shared" si="19"/>
        <v>Forsyth</v>
      </c>
      <c r="D616" s="27">
        <v>1828</v>
      </c>
      <c r="E616" s="27">
        <v>28502</v>
      </c>
      <c r="F616" s="27">
        <v>1902</v>
      </c>
      <c r="G616" s="27">
        <v>1127</v>
      </c>
      <c r="H616" s="27" t="s">
        <v>2019</v>
      </c>
    </row>
    <row r="617" spans="1:8" x14ac:dyDescent="0.25">
      <c r="A617" s="27" t="s">
        <v>1166</v>
      </c>
      <c r="B617" s="27" t="str">
        <f t="shared" si="18"/>
        <v>North Carolina</v>
      </c>
      <c r="C617" s="27" t="str">
        <f t="shared" si="19"/>
        <v>Franklin</v>
      </c>
      <c r="E617" s="2">
        <v>13395</v>
      </c>
      <c r="F617" s="27">
        <v>1902</v>
      </c>
      <c r="G617" s="27">
        <v>1127</v>
      </c>
      <c r="H617" s="27" t="s">
        <v>2019</v>
      </c>
    </row>
    <row r="618" spans="1:8" x14ac:dyDescent="0.25">
      <c r="A618" s="27" t="s">
        <v>1167</v>
      </c>
      <c r="B618" s="27" t="str">
        <f t="shared" si="18"/>
        <v>North Carolina</v>
      </c>
      <c r="C618" s="27" t="str">
        <f t="shared" si="19"/>
        <v>Gaston</v>
      </c>
      <c r="D618" s="27">
        <v>4283</v>
      </c>
      <c r="E618" s="27">
        <v>18758</v>
      </c>
      <c r="F618" s="27">
        <v>1902</v>
      </c>
      <c r="G618" s="27">
        <v>1127</v>
      </c>
      <c r="H618" s="27" t="s">
        <v>2019</v>
      </c>
    </row>
    <row r="619" spans="1:8" x14ac:dyDescent="0.25">
      <c r="A619" s="27" t="s">
        <v>1168</v>
      </c>
      <c r="B619" s="27" t="str">
        <f t="shared" si="18"/>
        <v>North Carolina</v>
      </c>
      <c r="C619" s="27" t="str">
        <f t="shared" si="19"/>
        <v>Gates</v>
      </c>
      <c r="E619" s="2">
        <v>6850</v>
      </c>
      <c r="F619" s="27">
        <v>1902</v>
      </c>
      <c r="G619" s="27">
        <v>1127</v>
      </c>
      <c r="H619" s="27" t="s">
        <v>2019</v>
      </c>
    </row>
    <row r="620" spans="1:8" x14ac:dyDescent="0.25">
      <c r="A620" s="27" t="s">
        <v>1169</v>
      </c>
      <c r="B620" s="27" t="str">
        <f t="shared" si="18"/>
        <v>North Carolina</v>
      </c>
      <c r="C620" s="27" t="str">
        <f t="shared" si="19"/>
        <v>Graham</v>
      </c>
      <c r="D620" s="27">
        <v>65</v>
      </c>
      <c r="E620" s="27">
        <v>2776</v>
      </c>
      <c r="F620" s="27">
        <v>1902</v>
      </c>
      <c r="G620" s="27">
        <v>1127</v>
      </c>
      <c r="H620" s="27" t="s">
        <v>2019</v>
      </c>
    </row>
    <row r="621" spans="1:8" x14ac:dyDescent="0.25">
      <c r="A621" s="27" t="s">
        <v>1170</v>
      </c>
      <c r="B621" s="27" t="str">
        <f t="shared" si="18"/>
        <v>North Carolina</v>
      </c>
      <c r="C621" s="27" t="str">
        <f t="shared" si="19"/>
        <v>Granville</v>
      </c>
      <c r="D621" s="27">
        <v>137</v>
      </c>
      <c r="E621" s="2">
        <v>14039</v>
      </c>
      <c r="F621" s="27">
        <v>1902</v>
      </c>
      <c r="G621" s="27">
        <v>1127</v>
      </c>
      <c r="H621" s="27" t="s">
        <v>2019</v>
      </c>
    </row>
    <row r="622" spans="1:8" x14ac:dyDescent="0.25">
      <c r="A622" s="27" t="s">
        <v>1171</v>
      </c>
      <c r="B622" s="27" t="str">
        <f t="shared" si="18"/>
        <v>North Carolina</v>
      </c>
      <c r="C622" s="27" t="str">
        <f t="shared" si="19"/>
        <v>Greene</v>
      </c>
      <c r="D622" s="27">
        <v>254</v>
      </c>
      <c r="E622" s="27">
        <v>7648</v>
      </c>
      <c r="F622" s="27">
        <v>1902</v>
      </c>
      <c r="G622" s="27">
        <v>1127</v>
      </c>
      <c r="H622" s="27" t="s">
        <v>2019</v>
      </c>
    </row>
    <row r="623" spans="1:8" x14ac:dyDescent="0.25">
      <c r="A623" s="27" t="s">
        <v>1172</v>
      </c>
      <c r="B623" s="27" t="str">
        <f t="shared" si="18"/>
        <v>North Carolina</v>
      </c>
      <c r="C623" s="27" t="str">
        <f t="shared" si="19"/>
        <v>Guilford</v>
      </c>
      <c r="D623" s="27">
        <v>283</v>
      </c>
      <c r="E623" s="2">
        <v>28020</v>
      </c>
      <c r="F623" s="27">
        <v>1902</v>
      </c>
      <c r="G623" s="27">
        <v>1127</v>
      </c>
      <c r="H623" s="27" t="s">
        <v>2019</v>
      </c>
    </row>
    <row r="624" spans="1:8" x14ac:dyDescent="0.25">
      <c r="A624" s="27" t="s">
        <v>1173</v>
      </c>
      <c r="B624" s="27" t="str">
        <f t="shared" si="18"/>
        <v>North Carolina</v>
      </c>
      <c r="C624" s="27" t="str">
        <f t="shared" si="19"/>
        <v>Halifax</v>
      </c>
      <c r="D624" s="27">
        <v>881</v>
      </c>
      <c r="E624" s="27">
        <v>19889</v>
      </c>
      <c r="F624" s="27">
        <v>1902</v>
      </c>
      <c r="G624" s="27">
        <v>1127</v>
      </c>
      <c r="H624" s="27" t="s">
        <v>2019</v>
      </c>
    </row>
    <row r="625" spans="1:8" x14ac:dyDescent="0.25">
      <c r="A625" s="27" t="s">
        <v>1174</v>
      </c>
      <c r="B625" s="27" t="str">
        <f t="shared" si="18"/>
        <v>North Carolina</v>
      </c>
      <c r="C625" s="27" t="str">
        <f t="shared" si="19"/>
        <v>Harnett</v>
      </c>
      <c r="E625" s="2">
        <v>10114</v>
      </c>
      <c r="F625" s="27">
        <v>1902</v>
      </c>
      <c r="G625" s="27">
        <v>1127</v>
      </c>
      <c r="H625" s="27" t="s">
        <v>2019</v>
      </c>
    </row>
    <row r="626" spans="1:8" x14ac:dyDescent="0.25">
      <c r="A626" s="27" t="s">
        <v>1175</v>
      </c>
      <c r="B626" s="27" t="str">
        <f t="shared" si="18"/>
        <v>North Carolina</v>
      </c>
      <c r="C626" s="27" t="str">
        <f t="shared" si="19"/>
        <v>Haywood</v>
      </c>
      <c r="D626" s="27">
        <v>746</v>
      </c>
      <c r="E626" s="27">
        <v>11956</v>
      </c>
      <c r="F626" s="27">
        <v>1902</v>
      </c>
      <c r="G626" s="27">
        <v>1127</v>
      </c>
      <c r="H626" s="27" t="s">
        <v>2019</v>
      </c>
    </row>
    <row r="627" spans="1:8" x14ac:dyDescent="0.25">
      <c r="A627" s="27" t="s">
        <v>1176</v>
      </c>
      <c r="B627" s="27" t="str">
        <f t="shared" si="18"/>
        <v>North Carolina</v>
      </c>
      <c r="C627" s="27" t="str">
        <f t="shared" si="19"/>
        <v>Henderson</v>
      </c>
      <c r="D627" s="27">
        <v>407</v>
      </c>
      <c r="E627" s="2">
        <v>7153</v>
      </c>
      <c r="F627" s="27">
        <v>1902</v>
      </c>
      <c r="G627" s="27">
        <v>1127</v>
      </c>
      <c r="H627" s="27" t="s">
        <v>2019</v>
      </c>
    </row>
    <row r="628" spans="1:8" x14ac:dyDescent="0.25">
      <c r="A628" s="27" t="s">
        <v>1177</v>
      </c>
      <c r="B628" s="27" t="str">
        <f t="shared" si="18"/>
        <v>North Carolina</v>
      </c>
      <c r="C628" s="27" t="str">
        <f t="shared" si="19"/>
        <v>Hertford</v>
      </c>
      <c r="D628" s="27">
        <v>10</v>
      </c>
      <c r="E628" s="27">
        <v>9620</v>
      </c>
      <c r="F628" s="27">
        <v>1902</v>
      </c>
      <c r="G628" s="27">
        <v>1127</v>
      </c>
      <c r="H628" s="27" t="s">
        <v>2019</v>
      </c>
    </row>
    <row r="629" spans="1:8" x14ac:dyDescent="0.25">
      <c r="A629" s="27" t="s">
        <v>1178</v>
      </c>
      <c r="B629" s="27" t="str">
        <f t="shared" si="18"/>
        <v>North Carolina</v>
      </c>
      <c r="C629" s="27" t="str">
        <f t="shared" si="19"/>
        <v>Hoke</v>
      </c>
      <c r="F629" s="27">
        <v>1902</v>
      </c>
      <c r="G629" s="27">
        <v>1127</v>
      </c>
      <c r="H629" s="27" t="s">
        <v>2019</v>
      </c>
    </row>
    <row r="630" spans="1:8" x14ac:dyDescent="0.25">
      <c r="A630" s="27" t="s">
        <v>1179</v>
      </c>
      <c r="B630" s="27" t="str">
        <f t="shared" si="18"/>
        <v>North Carolina</v>
      </c>
      <c r="C630" s="27" t="str">
        <f t="shared" si="19"/>
        <v>Hyde</v>
      </c>
      <c r="D630" s="27">
        <v>75</v>
      </c>
      <c r="E630" s="2">
        <v>4182</v>
      </c>
      <c r="F630" s="27">
        <v>1902</v>
      </c>
      <c r="G630" s="27">
        <v>1127</v>
      </c>
      <c r="H630" s="27" t="s">
        <v>2019</v>
      </c>
    </row>
    <row r="631" spans="1:8" x14ac:dyDescent="0.25">
      <c r="A631" s="27" t="s">
        <v>1180</v>
      </c>
      <c r="B631" s="27" t="str">
        <f t="shared" si="18"/>
        <v>North Carolina</v>
      </c>
      <c r="C631" s="27" t="str">
        <f t="shared" si="19"/>
        <v>Iredell</v>
      </c>
      <c r="D631" s="27">
        <v>426</v>
      </c>
      <c r="E631" s="27">
        <v>16039</v>
      </c>
      <c r="F631" s="27">
        <v>1902</v>
      </c>
      <c r="G631" s="27">
        <v>1127</v>
      </c>
      <c r="H631" s="27" t="s">
        <v>2019</v>
      </c>
    </row>
    <row r="632" spans="1:8" x14ac:dyDescent="0.25">
      <c r="A632" s="27" t="s">
        <v>1181</v>
      </c>
      <c r="B632" s="27" t="str">
        <f t="shared" si="18"/>
        <v>North Carolina</v>
      </c>
      <c r="C632" s="27" t="str">
        <f t="shared" si="19"/>
        <v>Jackson</v>
      </c>
      <c r="D632" s="27">
        <v>60</v>
      </c>
      <c r="E632" s="2">
        <v>5335</v>
      </c>
      <c r="F632" s="27">
        <v>1902</v>
      </c>
      <c r="G632" s="27">
        <v>1127</v>
      </c>
      <c r="H632" s="27" t="s">
        <v>2019</v>
      </c>
    </row>
    <row r="633" spans="1:8" x14ac:dyDescent="0.25">
      <c r="A633" s="27" t="s">
        <v>1182</v>
      </c>
      <c r="B633" s="27" t="str">
        <f t="shared" si="18"/>
        <v>North Carolina</v>
      </c>
      <c r="C633" s="27" t="str">
        <f t="shared" si="19"/>
        <v>Johnston</v>
      </c>
      <c r="D633" s="27">
        <v>20</v>
      </c>
      <c r="E633" s="27">
        <v>25066</v>
      </c>
      <c r="F633" s="27">
        <v>1902</v>
      </c>
      <c r="G633" s="27">
        <v>1127</v>
      </c>
      <c r="H633" s="27" t="s">
        <v>2019</v>
      </c>
    </row>
    <row r="634" spans="1:8" x14ac:dyDescent="0.25">
      <c r="A634" s="27" t="s">
        <v>1183</v>
      </c>
      <c r="B634" s="27" t="str">
        <f t="shared" si="18"/>
        <v>North Carolina</v>
      </c>
      <c r="C634" s="27" t="str">
        <f t="shared" si="19"/>
        <v>Jones</v>
      </c>
      <c r="D634" s="27">
        <v>75</v>
      </c>
      <c r="E634" s="2">
        <v>6185</v>
      </c>
      <c r="F634" s="27">
        <v>1902</v>
      </c>
      <c r="G634" s="27">
        <v>1127</v>
      </c>
      <c r="H634" s="27" t="s">
        <v>2019</v>
      </c>
    </row>
    <row r="635" spans="1:8" x14ac:dyDescent="0.25">
      <c r="A635" s="27" t="s">
        <v>1184</v>
      </c>
      <c r="B635" s="27" t="str">
        <f t="shared" si="18"/>
        <v>North Carolina</v>
      </c>
      <c r="C635" s="27" t="str">
        <f t="shared" si="19"/>
        <v>Lee</v>
      </c>
      <c r="E635" s="2"/>
      <c r="F635" s="27">
        <v>1902</v>
      </c>
      <c r="G635" s="27">
        <v>1127</v>
      </c>
      <c r="H635" s="27" t="s">
        <v>2019</v>
      </c>
    </row>
    <row r="636" spans="1:8" x14ac:dyDescent="0.25">
      <c r="A636" s="27" t="s">
        <v>1185</v>
      </c>
      <c r="B636" s="27" t="str">
        <f t="shared" si="18"/>
        <v>North Carolina</v>
      </c>
      <c r="C636" s="27" t="str">
        <f t="shared" si="19"/>
        <v>Lenoir</v>
      </c>
      <c r="D636" s="27">
        <v>1716</v>
      </c>
      <c r="E636" s="27">
        <v>13319</v>
      </c>
      <c r="F636" s="27">
        <v>1902</v>
      </c>
      <c r="G636" s="27">
        <v>1127</v>
      </c>
      <c r="H636" s="27" t="s">
        <v>2019</v>
      </c>
    </row>
    <row r="637" spans="1:8" x14ac:dyDescent="0.25">
      <c r="A637" s="27" t="s">
        <v>1186</v>
      </c>
      <c r="B637" s="27" t="str">
        <f t="shared" si="18"/>
        <v>North Carolina</v>
      </c>
      <c r="C637" s="27" t="str">
        <f t="shared" si="19"/>
        <v>Lincoln</v>
      </c>
      <c r="D637" s="27">
        <v>361</v>
      </c>
      <c r="E637" s="2">
        <v>9606</v>
      </c>
      <c r="F637" s="27">
        <v>1902</v>
      </c>
      <c r="G637" s="27">
        <v>1127</v>
      </c>
      <c r="H637" s="27" t="s">
        <v>2019</v>
      </c>
    </row>
    <row r="638" spans="1:8" x14ac:dyDescent="0.25">
      <c r="A638" s="27" t="s">
        <v>1187</v>
      </c>
      <c r="B638" s="27" t="str">
        <f t="shared" si="18"/>
        <v>North Carolina</v>
      </c>
      <c r="C638" s="27" t="str">
        <f t="shared" si="19"/>
        <v>McDowell</v>
      </c>
      <c r="D638" s="27">
        <v>269</v>
      </c>
      <c r="E638" s="27">
        <v>6453</v>
      </c>
      <c r="F638" s="27">
        <v>1902</v>
      </c>
      <c r="G638" s="27">
        <v>1127</v>
      </c>
      <c r="H638" s="27" t="s">
        <v>2019</v>
      </c>
    </row>
    <row r="639" spans="1:8" x14ac:dyDescent="0.25">
      <c r="A639" s="27" t="s">
        <v>1188</v>
      </c>
      <c r="B639" s="27" t="str">
        <f t="shared" si="18"/>
        <v>North Carolina</v>
      </c>
      <c r="C639" s="27" t="str">
        <f t="shared" si="19"/>
        <v>Macon</v>
      </c>
      <c r="D639" s="27">
        <v>135</v>
      </c>
      <c r="E639" s="2">
        <v>5480</v>
      </c>
      <c r="F639" s="27">
        <v>1902</v>
      </c>
      <c r="G639" s="27">
        <v>1127</v>
      </c>
      <c r="H639" s="27" t="s">
        <v>2019</v>
      </c>
    </row>
    <row r="640" spans="1:8" x14ac:dyDescent="0.25">
      <c r="A640" s="27" t="s">
        <v>1189</v>
      </c>
      <c r="B640" s="27" t="str">
        <f t="shared" si="18"/>
        <v>North Carolina</v>
      </c>
      <c r="C640" s="27" t="str">
        <f t="shared" si="19"/>
        <v>Madison</v>
      </c>
      <c r="D640" s="27">
        <v>215</v>
      </c>
      <c r="E640" s="27">
        <v>9654</v>
      </c>
      <c r="F640" s="27">
        <v>1902</v>
      </c>
      <c r="G640" s="27">
        <v>1127</v>
      </c>
      <c r="H640" s="27" t="s">
        <v>2019</v>
      </c>
    </row>
    <row r="641" spans="1:8" x14ac:dyDescent="0.25">
      <c r="A641" s="27" t="s">
        <v>1190</v>
      </c>
      <c r="B641" s="27" t="str">
        <f t="shared" si="18"/>
        <v>North Carolina</v>
      </c>
      <c r="C641" s="27" t="str">
        <f t="shared" si="19"/>
        <v>Martin</v>
      </c>
      <c r="D641" s="27">
        <v>342</v>
      </c>
      <c r="E641" s="2">
        <v>10678</v>
      </c>
      <c r="F641" s="27">
        <v>1902</v>
      </c>
      <c r="G641" s="27">
        <v>1129</v>
      </c>
      <c r="H641" s="27" t="s">
        <v>2020</v>
      </c>
    </row>
    <row r="642" spans="1:8" x14ac:dyDescent="0.25">
      <c r="A642" s="27" t="s">
        <v>1191</v>
      </c>
      <c r="B642" s="27" t="str">
        <f t="shared" si="18"/>
        <v>North Carolina</v>
      </c>
      <c r="C642" s="27" t="str">
        <f t="shared" si="19"/>
        <v>Mecklenburg</v>
      </c>
      <c r="D642" s="27">
        <v>2999</v>
      </c>
      <c r="E642" s="27">
        <v>40426</v>
      </c>
      <c r="F642" s="27">
        <v>1902</v>
      </c>
      <c r="G642" s="27">
        <v>1129</v>
      </c>
      <c r="H642" s="27" t="s">
        <v>2020</v>
      </c>
    </row>
    <row r="643" spans="1:8" x14ac:dyDescent="0.25">
      <c r="A643" s="27" t="s">
        <v>1192</v>
      </c>
      <c r="B643" s="27" t="str">
        <f t="shared" ref="B643:B706" si="20">LEFT(A643,FIND(";",A643)-1)</f>
        <v>North Carolina</v>
      </c>
      <c r="C643" s="27" t="str">
        <f t="shared" ref="C643:C706" si="21">MID(A643,FIND(";",A643)+1,100)</f>
        <v>Mitchell</v>
      </c>
      <c r="D643" s="27">
        <v>42</v>
      </c>
      <c r="E643" s="2">
        <v>4585</v>
      </c>
      <c r="F643" s="27">
        <v>1902</v>
      </c>
      <c r="G643" s="27">
        <v>1129</v>
      </c>
      <c r="H643" s="27" t="s">
        <v>2020</v>
      </c>
    </row>
    <row r="644" spans="1:8" x14ac:dyDescent="0.25">
      <c r="A644" s="27" t="s">
        <v>1193</v>
      </c>
      <c r="B644" s="27" t="str">
        <f t="shared" si="20"/>
        <v>North Carolina</v>
      </c>
      <c r="C644" s="27" t="str">
        <f t="shared" si="21"/>
        <v>Montgomery</v>
      </c>
      <c r="D644" s="27">
        <v>627</v>
      </c>
      <c r="E644" s="27">
        <v>7674</v>
      </c>
      <c r="F644" s="27">
        <v>1902</v>
      </c>
      <c r="G644" s="27">
        <v>1129</v>
      </c>
      <c r="H644" s="27" t="s">
        <v>2020</v>
      </c>
    </row>
    <row r="645" spans="1:8" x14ac:dyDescent="0.25">
      <c r="A645" s="27" t="s">
        <v>1194</v>
      </c>
      <c r="B645" s="27" t="str">
        <f t="shared" si="20"/>
        <v>North Carolina</v>
      </c>
      <c r="C645" s="27" t="str">
        <f t="shared" si="21"/>
        <v>Moore</v>
      </c>
      <c r="D645" s="27">
        <v>174</v>
      </c>
      <c r="E645" s="2">
        <v>13691</v>
      </c>
      <c r="F645" s="27">
        <v>1902</v>
      </c>
      <c r="G645" s="27">
        <v>1129</v>
      </c>
      <c r="H645" s="27" t="s">
        <v>2020</v>
      </c>
    </row>
    <row r="646" spans="1:8" x14ac:dyDescent="0.25">
      <c r="A646" s="27" t="s">
        <v>1195</v>
      </c>
      <c r="B646" s="27" t="str">
        <f t="shared" si="20"/>
        <v>North Carolina</v>
      </c>
      <c r="C646" s="27" t="str">
        <f t="shared" si="21"/>
        <v>Nash</v>
      </c>
      <c r="D646" s="27">
        <v>556</v>
      </c>
      <c r="E646" s="27">
        <v>17956</v>
      </c>
      <c r="F646" s="27">
        <v>1902</v>
      </c>
      <c r="G646" s="27">
        <v>1129</v>
      </c>
      <c r="H646" s="27" t="s">
        <v>2020</v>
      </c>
    </row>
    <row r="647" spans="1:8" x14ac:dyDescent="0.25">
      <c r="A647" s="27" t="s">
        <v>1196</v>
      </c>
      <c r="B647" s="27" t="str">
        <f t="shared" si="20"/>
        <v>North Carolina</v>
      </c>
      <c r="C647" s="27" t="str">
        <f t="shared" si="21"/>
        <v>New Hanover</v>
      </c>
      <c r="E647" s="2">
        <v>32943</v>
      </c>
      <c r="F647" s="27">
        <v>1902</v>
      </c>
      <c r="G647" s="27">
        <v>1129</v>
      </c>
      <c r="H647" s="27" t="s">
        <v>2020</v>
      </c>
    </row>
    <row r="648" spans="1:8" x14ac:dyDescent="0.25">
      <c r="A648" s="27" t="s">
        <v>1197</v>
      </c>
      <c r="B648" s="27" t="str">
        <f t="shared" si="20"/>
        <v>North Carolina</v>
      </c>
      <c r="C648" s="27" t="str">
        <f t="shared" si="21"/>
        <v>Northampton</v>
      </c>
      <c r="D648" s="27">
        <v>313</v>
      </c>
      <c r="E648" s="27">
        <v>1500</v>
      </c>
      <c r="F648" s="27">
        <v>1902</v>
      </c>
      <c r="G648" s="27">
        <v>1129</v>
      </c>
      <c r="H648" s="27" t="s">
        <v>2020</v>
      </c>
    </row>
    <row r="649" spans="1:8" x14ac:dyDescent="0.25">
      <c r="A649" s="27" t="s">
        <v>1754</v>
      </c>
      <c r="B649" s="27" t="str">
        <f t="shared" si="20"/>
        <v>North Carolina</v>
      </c>
      <c r="C649" s="27" t="str">
        <f t="shared" si="21"/>
        <v>Onslow</v>
      </c>
      <c r="D649" s="27">
        <v>36</v>
      </c>
      <c r="E649" s="2">
        <v>6497</v>
      </c>
      <c r="F649" s="27">
        <v>1902</v>
      </c>
      <c r="G649" s="27">
        <v>1129</v>
      </c>
      <c r="H649" s="27" t="s">
        <v>2020</v>
      </c>
    </row>
    <row r="650" spans="1:8" x14ac:dyDescent="0.25">
      <c r="A650" s="27" t="s">
        <v>1198</v>
      </c>
      <c r="B650" s="27" t="str">
        <f t="shared" si="20"/>
        <v>North Carolina</v>
      </c>
      <c r="C650" s="27" t="str">
        <f t="shared" si="21"/>
        <v>Orange</v>
      </c>
      <c r="E650" s="27">
        <v>11956</v>
      </c>
      <c r="F650" s="27">
        <v>1902</v>
      </c>
      <c r="G650" s="27">
        <v>1129</v>
      </c>
      <c r="H650" s="27" t="s">
        <v>2020</v>
      </c>
    </row>
    <row r="651" spans="1:8" x14ac:dyDescent="0.25">
      <c r="A651" s="27" t="s">
        <v>1199</v>
      </c>
      <c r="B651" s="27" t="str">
        <f t="shared" si="20"/>
        <v>North Carolina</v>
      </c>
      <c r="C651" s="27" t="str">
        <f t="shared" si="21"/>
        <v>Pamlico</v>
      </c>
      <c r="E651" s="2">
        <v>2775</v>
      </c>
      <c r="F651" s="27">
        <v>1902</v>
      </c>
      <c r="G651" s="27">
        <v>1129</v>
      </c>
      <c r="H651" s="27" t="s">
        <v>2020</v>
      </c>
    </row>
    <row r="652" spans="1:8" x14ac:dyDescent="0.25">
      <c r="A652" s="27" t="s">
        <v>1200</v>
      </c>
      <c r="B652" s="27" t="str">
        <f t="shared" si="20"/>
        <v>North Carolina</v>
      </c>
      <c r="C652" s="27" t="str">
        <f t="shared" si="21"/>
        <v>Pasquotank</v>
      </c>
      <c r="D652" s="27">
        <v>286</v>
      </c>
      <c r="E652" s="27">
        <v>11294</v>
      </c>
      <c r="F652" s="27">
        <v>1902</v>
      </c>
      <c r="G652" s="27">
        <v>1129</v>
      </c>
      <c r="H652" s="27" t="s">
        <v>2020</v>
      </c>
    </row>
    <row r="653" spans="1:8" x14ac:dyDescent="0.25">
      <c r="A653" s="27" t="s">
        <v>1201</v>
      </c>
      <c r="B653" s="27" t="str">
        <f t="shared" si="20"/>
        <v>North Carolina</v>
      </c>
      <c r="C653" s="27" t="str">
        <f t="shared" si="21"/>
        <v>Pender</v>
      </c>
      <c r="E653" s="2">
        <v>7334</v>
      </c>
      <c r="F653" s="27">
        <v>1902</v>
      </c>
      <c r="G653" s="27">
        <v>1129</v>
      </c>
      <c r="H653" s="27" t="s">
        <v>2020</v>
      </c>
    </row>
    <row r="654" spans="1:8" x14ac:dyDescent="0.25">
      <c r="A654" s="27" t="s">
        <v>1202</v>
      </c>
      <c r="B654" s="27" t="str">
        <f t="shared" si="20"/>
        <v>North Carolina</v>
      </c>
      <c r="C654" s="27" t="str">
        <f t="shared" si="21"/>
        <v>Perquimans</v>
      </c>
      <c r="D654" s="27">
        <v>10</v>
      </c>
      <c r="E654" s="27">
        <v>6113</v>
      </c>
      <c r="F654" s="27">
        <v>1902</v>
      </c>
      <c r="G654" s="27">
        <v>1129</v>
      </c>
      <c r="H654" s="27" t="s">
        <v>2020</v>
      </c>
    </row>
    <row r="655" spans="1:8" x14ac:dyDescent="0.25">
      <c r="A655" s="27" t="s">
        <v>1203</v>
      </c>
      <c r="B655" s="27" t="str">
        <f t="shared" si="20"/>
        <v>North Carolina</v>
      </c>
      <c r="C655" s="27" t="str">
        <f t="shared" si="21"/>
        <v>Person</v>
      </c>
      <c r="E655" s="2">
        <v>10230</v>
      </c>
      <c r="F655" s="27">
        <v>1902</v>
      </c>
      <c r="G655" s="27">
        <v>1129</v>
      </c>
      <c r="H655" s="27" t="s">
        <v>2020</v>
      </c>
    </row>
    <row r="656" spans="1:8" x14ac:dyDescent="0.25">
      <c r="A656" s="27" t="s">
        <v>1204</v>
      </c>
      <c r="B656" s="27" t="str">
        <f t="shared" si="20"/>
        <v>North Carolina</v>
      </c>
      <c r="C656" s="27" t="str">
        <f t="shared" si="21"/>
        <v>Pitt</v>
      </c>
      <c r="E656" s="27">
        <v>26958</v>
      </c>
      <c r="F656" s="27">
        <v>1902</v>
      </c>
      <c r="G656" s="27">
        <v>1129</v>
      </c>
      <c r="H656" s="27" t="s">
        <v>2020</v>
      </c>
    </row>
    <row r="657" spans="1:8" x14ac:dyDescent="0.25">
      <c r="A657" s="27" t="s">
        <v>1205</v>
      </c>
      <c r="B657" s="27" t="str">
        <f t="shared" si="20"/>
        <v>North Carolina</v>
      </c>
      <c r="C657" s="27" t="str">
        <f t="shared" si="21"/>
        <v>Polk</v>
      </c>
      <c r="D657" s="27">
        <v>190</v>
      </c>
      <c r="E657" s="2">
        <v>3615</v>
      </c>
      <c r="F657" s="27">
        <v>1902</v>
      </c>
      <c r="G657" s="27">
        <v>1129</v>
      </c>
      <c r="H657" s="27" t="s">
        <v>2020</v>
      </c>
    </row>
    <row r="658" spans="1:8" x14ac:dyDescent="0.25">
      <c r="A658" s="27" t="s">
        <v>1206</v>
      </c>
      <c r="B658" s="27" t="str">
        <f t="shared" si="20"/>
        <v>North Carolina</v>
      </c>
      <c r="C658" s="27" t="str">
        <f t="shared" si="21"/>
        <v>Randolph</v>
      </c>
      <c r="D658" s="27">
        <v>335</v>
      </c>
      <c r="E658" s="27">
        <v>17245</v>
      </c>
      <c r="F658" s="27">
        <v>1902</v>
      </c>
      <c r="G658" s="27">
        <v>1129</v>
      </c>
      <c r="H658" s="27" t="s">
        <v>2020</v>
      </c>
    </row>
    <row r="659" spans="1:8" x14ac:dyDescent="0.25">
      <c r="A659" s="27" t="s">
        <v>1207</v>
      </c>
      <c r="B659" s="27" t="str">
        <f t="shared" si="20"/>
        <v>North Carolina</v>
      </c>
      <c r="C659" s="27" t="str">
        <f t="shared" si="21"/>
        <v>Richmond</v>
      </c>
      <c r="D659" s="27">
        <v>1573</v>
      </c>
      <c r="E659" s="2">
        <v>10079</v>
      </c>
      <c r="F659" s="27">
        <v>1902</v>
      </c>
      <c r="G659" s="27">
        <v>1129</v>
      </c>
      <c r="H659" s="27" t="s">
        <v>2020</v>
      </c>
    </row>
    <row r="660" spans="1:8" x14ac:dyDescent="0.25">
      <c r="A660" s="27" t="s">
        <v>1208</v>
      </c>
      <c r="B660" s="27" t="str">
        <f t="shared" si="20"/>
        <v>North Carolina</v>
      </c>
      <c r="C660" s="27" t="str">
        <f t="shared" si="21"/>
        <v>Robeson</v>
      </c>
      <c r="E660" s="27">
        <v>22722</v>
      </c>
      <c r="F660" s="27">
        <v>1902</v>
      </c>
      <c r="G660" s="27">
        <v>1129</v>
      </c>
      <c r="H660" s="27" t="s">
        <v>2020</v>
      </c>
    </row>
    <row r="661" spans="1:8" x14ac:dyDescent="0.25">
      <c r="A661" s="27" t="s">
        <v>1209</v>
      </c>
      <c r="B661" s="27" t="str">
        <f t="shared" si="20"/>
        <v>North Carolina</v>
      </c>
      <c r="C661" s="27" t="str">
        <f t="shared" si="21"/>
        <v>Rockingham</v>
      </c>
      <c r="D661" s="27">
        <v>2300</v>
      </c>
      <c r="E661" s="2">
        <v>19435</v>
      </c>
      <c r="F661" s="27">
        <v>1902</v>
      </c>
      <c r="G661" s="27">
        <v>1129</v>
      </c>
      <c r="H661" s="27" t="s">
        <v>2020</v>
      </c>
    </row>
    <row r="662" spans="1:8" x14ac:dyDescent="0.25">
      <c r="A662" s="27" t="s">
        <v>1210</v>
      </c>
      <c r="B662" s="27" t="str">
        <f t="shared" si="20"/>
        <v>North Carolina</v>
      </c>
      <c r="C662" s="27" t="str">
        <f t="shared" si="21"/>
        <v>Rowan</v>
      </c>
      <c r="D662" s="27">
        <v>1879</v>
      </c>
      <c r="E662" s="27">
        <v>23650</v>
      </c>
      <c r="F662" s="27">
        <v>1902</v>
      </c>
      <c r="G662" s="27">
        <v>1129</v>
      </c>
      <c r="H662" s="27" t="s">
        <v>2020</v>
      </c>
    </row>
    <row r="663" spans="1:8" x14ac:dyDescent="0.25">
      <c r="A663" s="27" t="s">
        <v>1755</v>
      </c>
      <c r="B663" s="27" t="str">
        <f t="shared" si="20"/>
        <v>North Carolina</v>
      </c>
      <c r="C663" s="27" t="str">
        <f t="shared" si="21"/>
        <v>Rutherford</v>
      </c>
      <c r="D663" s="27">
        <v>446</v>
      </c>
      <c r="E663" s="2">
        <v>13302</v>
      </c>
      <c r="F663" s="27">
        <v>1902</v>
      </c>
      <c r="G663" s="27">
        <v>1129</v>
      </c>
      <c r="H663" s="27" t="s">
        <v>2020</v>
      </c>
    </row>
    <row r="664" spans="1:8" x14ac:dyDescent="0.25">
      <c r="A664" s="27" t="s">
        <v>1211</v>
      </c>
      <c r="B664" s="27" t="str">
        <f t="shared" si="20"/>
        <v>North Carolina</v>
      </c>
      <c r="C664" s="27" t="str">
        <f t="shared" si="21"/>
        <v>Sampson</v>
      </c>
      <c r="D664" s="27">
        <v>617</v>
      </c>
      <c r="E664" s="27">
        <v>10487</v>
      </c>
      <c r="F664" s="27">
        <v>1902</v>
      </c>
      <c r="G664" s="27">
        <v>1129</v>
      </c>
      <c r="H664" s="27" t="s">
        <v>2020</v>
      </c>
    </row>
    <row r="665" spans="1:8" x14ac:dyDescent="0.25">
      <c r="A665" s="27" t="s">
        <v>1212</v>
      </c>
      <c r="B665" s="27" t="str">
        <f t="shared" si="20"/>
        <v>North Carolina</v>
      </c>
      <c r="C665" s="27" t="str">
        <f t="shared" si="21"/>
        <v>Scotland</v>
      </c>
      <c r="E665" s="2">
        <v>5720</v>
      </c>
      <c r="F665" s="27">
        <v>1902</v>
      </c>
      <c r="G665" s="27">
        <v>1129</v>
      </c>
      <c r="H665" s="27" t="s">
        <v>2020</v>
      </c>
    </row>
    <row r="666" spans="1:8" x14ac:dyDescent="0.25">
      <c r="A666" s="27" t="s">
        <v>1213</v>
      </c>
      <c r="B666" s="27" t="str">
        <f t="shared" si="20"/>
        <v>North Carolina</v>
      </c>
      <c r="C666" s="27" t="str">
        <f t="shared" si="21"/>
        <v>Stanly</v>
      </c>
      <c r="D666" s="27">
        <v>204</v>
      </c>
      <c r="E666" s="27">
        <v>10127</v>
      </c>
      <c r="F666" s="27">
        <v>1902</v>
      </c>
      <c r="G666" s="27">
        <v>1129</v>
      </c>
      <c r="H666" s="27" t="s">
        <v>2020</v>
      </c>
    </row>
    <row r="667" spans="1:8" x14ac:dyDescent="0.25">
      <c r="A667" s="27" t="s">
        <v>1214</v>
      </c>
      <c r="B667" s="27" t="str">
        <f t="shared" si="20"/>
        <v>North Carolina</v>
      </c>
      <c r="C667" s="27" t="str">
        <f t="shared" si="21"/>
        <v>Stokes</v>
      </c>
      <c r="D667" s="27">
        <v>198</v>
      </c>
      <c r="E667" s="2">
        <v>7656</v>
      </c>
      <c r="F667" s="27">
        <v>1902</v>
      </c>
      <c r="G667" s="27">
        <v>1129</v>
      </c>
      <c r="H667" s="27" t="s">
        <v>2020</v>
      </c>
    </row>
    <row r="668" spans="1:8" x14ac:dyDescent="0.25">
      <c r="A668" s="27" t="s">
        <v>1215</v>
      </c>
      <c r="B668" s="27" t="str">
        <f t="shared" si="20"/>
        <v>North Carolina</v>
      </c>
      <c r="C668" s="27" t="str">
        <f t="shared" si="21"/>
        <v>Surry</v>
      </c>
      <c r="D668" s="27">
        <v>474</v>
      </c>
      <c r="E668" s="27">
        <v>12635</v>
      </c>
      <c r="F668" s="27">
        <v>1902</v>
      </c>
      <c r="G668" s="27">
        <v>1129</v>
      </c>
      <c r="H668" s="27" t="s">
        <v>2020</v>
      </c>
    </row>
    <row r="669" spans="1:8" x14ac:dyDescent="0.25">
      <c r="A669" s="27" t="s">
        <v>1216</v>
      </c>
      <c r="B669" s="27" t="str">
        <f t="shared" si="20"/>
        <v>North Carolina</v>
      </c>
      <c r="C669" s="27" t="str">
        <f t="shared" si="21"/>
        <v>Swain</v>
      </c>
      <c r="D669" s="27">
        <v>598</v>
      </c>
      <c r="E669" s="2">
        <v>4171</v>
      </c>
      <c r="F669" s="27">
        <v>1902</v>
      </c>
      <c r="G669" s="27">
        <v>1129</v>
      </c>
      <c r="H669" s="27" t="s">
        <v>2020</v>
      </c>
    </row>
    <row r="670" spans="1:8" x14ac:dyDescent="0.25">
      <c r="A670" s="27" t="s">
        <v>1217</v>
      </c>
      <c r="B670" s="27" t="str">
        <f t="shared" si="20"/>
        <v>North Carolina</v>
      </c>
      <c r="C670" s="27" t="str">
        <f t="shared" si="21"/>
        <v>Transylvania</v>
      </c>
      <c r="D670" s="27">
        <v>60</v>
      </c>
      <c r="E670" s="27">
        <v>3079</v>
      </c>
      <c r="F670" s="27">
        <v>1902</v>
      </c>
      <c r="G670" s="27">
        <v>1129</v>
      </c>
      <c r="H670" s="27" t="s">
        <v>2020</v>
      </c>
    </row>
    <row r="671" spans="1:8" x14ac:dyDescent="0.25">
      <c r="A671" s="27" t="s">
        <v>1218</v>
      </c>
      <c r="B671" s="27" t="str">
        <f t="shared" si="20"/>
        <v>North Carolina</v>
      </c>
      <c r="C671" s="27" t="str">
        <f t="shared" si="21"/>
        <v>Tyrrell</v>
      </c>
      <c r="E671" s="2">
        <v>3310</v>
      </c>
      <c r="F671" s="27">
        <v>1902</v>
      </c>
      <c r="G671" s="27">
        <v>1129</v>
      </c>
      <c r="H671" s="27" t="s">
        <v>2020</v>
      </c>
    </row>
    <row r="672" spans="1:8" x14ac:dyDescent="0.25">
      <c r="A672" s="27" t="s">
        <v>1219</v>
      </c>
      <c r="B672" s="27" t="str">
        <f t="shared" si="20"/>
        <v>North Carolina</v>
      </c>
      <c r="C672" s="27" t="str">
        <f t="shared" si="21"/>
        <v>Union</v>
      </c>
      <c r="D672" s="27">
        <v>749</v>
      </c>
      <c r="E672" s="27">
        <v>16017</v>
      </c>
      <c r="F672" s="27">
        <v>1902</v>
      </c>
      <c r="G672" s="27">
        <v>1129</v>
      </c>
      <c r="H672" s="27" t="s">
        <v>2020</v>
      </c>
    </row>
    <row r="673" spans="1:8" x14ac:dyDescent="0.25">
      <c r="A673" s="27" t="s">
        <v>1220</v>
      </c>
      <c r="B673" s="27" t="str">
        <f t="shared" si="20"/>
        <v>North Carolina</v>
      </c>
      <c r="C673" s="27" t="str">
        <f t="shared" si="21"/>
        <v>Vance</v>
      </c>
      <c r="E673" s="2">
        <v>12247</v>
      </c>
      <c r="F673" s="27">
        <v>1902</v>
      </c>
      <c r="G673" s="27">
        <v>1129</v>
      </c>
      <c r="H673" s="27" t="s">
        <v>2020</v>
      </c>
    </row>
    <row r="674" spans="1:8" x14ac:dyDescent="0.25">
      <c r="A674" s="27" t="s">
        <v>1221</v>
      </c>
      <c r="B674" s="27" t="str">
        <f t="shared" si="20"/>
        <v>North Carolina</v>
      </c>
      <c r="C674" s="27" t="str">
        <f t="shared" si="21"/>
        <v>Wake</v>
      </c>
      <c r="D674" s="27">
        <v>84</v>
      </c>
      <c r="E674" s="27">
        <v>45249</v>
      </c>
      <c r="F674" s="27">
        <v>1902</v>
      </c>
      <c r="G674" s="27">
        <v>1129</v>
      </c>
      <c r="H674" s="27" t="s">
        <v>2020</v>
      </c>
    </row>
    <row r="675" spans="1:8" x14ac:dyDescent="0.25">
      <c r="A675" s="27" t="s">
        <v>1222</v>
      </c>
      <c r="B675" s="27" t="str">
        <f t="shared" si="20"/>
        <v>North Carolina</v>
      </c>
      <c r="C675" s="27" t="str">
        <f t="shared" si="21"/>
        <v>Warren</v>
      </c>
      <c r="E675" s="2">
        <v>11838</v>
      </c>
      <c r="F675" s="27">
        <v>1902</v>
      </c>
      <c r="G675" s="27">
        <v>1129</v>
      </c>
      <c r="H675" s="27" t="s">
        <v>2020</v>
      </c>
    </row>
    <row r="676" spans="1:8" x14ac:dyDescent="0.25">
      <c r="A676" s="27" t="s">
        <v>1223</v>
      </c>
      <c r="B676" s="27" t="str">
        <f t="shared" si="20"/>
        <v>North Carolina</v>
      </c>
      <c r="C676" s="27" t="str">
        <f t="shared" si="21"/>
        <v>Washington</v>
      </c>
      <c r="D676" s="27">
        <v>25</v>
      </c>
      <c r="E676" s="27">
        <v>6590</v>
      </c>
      <c r="F676" s="27">
        <v>1902</v>
      </c>
      <c r="G676" s="27">
        <v>1129</v>
      </c>
      <c r="H676" s="27" t="s">
        <v>2020</v>
      </c>
    </row>
    <row r="677" spans="1:8" x14ac:dyDescent="0.25">
      <c r="A677" s="27" t="s">
        <v>1756</v>
      </c>
      <c r="B677" s="27" t="str">
        <f t="shared" si="20"/>
        <v>North Carolina</v>
      </c>
      <c r="C677" s="27" t="str">
        <f t="shared" si="21"/>
        <v>Watauga</v>
      </c>
      <c r="D677" s="27">
        <v>50</v>
      </c>
      <c r="E677" s="2">
        <v>5231</v>
      </c>
      <c r="F677" s="27">
        <v>1902</v>
      </c>
      <c r="G677" s="27">
        <v>1129</v>
      </c>
      <c r="H677" s="27" t="s">
        <v>2020</v>
      </c>
    </row>
    <row r="678" spans="1:8" x14ac:dyDescent="0.25">
      <c r="A678" s="27" t="s">
        <v>1224</v>
      </c>
      <c r="B678" s="27" t="str">
        <f t="shared" si="20"/>
        <v>North Carolina</v>
      </c>
      <c r="C678" s="27" t="str">
        <f t="shared" si="21"/>
        <v>Wayne</v>
      </c>
      <c r="D678" s="27">
        <v>1483</v>
      </c>
      <c r="E678" s="27">
        <v>26958</v>
      </c>
      <c r="F678" s="27">
        <v>1902</v>
      </c>
      <c r="G678" s="27">
        <v>1129</v>
      </c>
      <c r="H678" s="27" t="s">
        <v>2020</v>
      </c>
    </row>
    <row r="679" spans="1:8" x14ac:dyDescent="0.25">
      <c r="A679" s="27" t="s">
        <v>1225</v>
      </c>
      <c r="B679" s="27" t="str">
        <f t="shared" si="20"/>
        <v>North Carolina</v>
      </c>
      <c r="C679" s="27" t="str">
        <f t="shared" si="21"/>
        <v>Wilkes</v>
      </c>
      <c r="D679" s="27">
        <v>55</v>
      </c>
      <c r="E679" s="2">
        <v>12182</v>
      </c>
      <c r="F679" s="27">
        <v>1902</v>
      </c>
      <c r="G679" s="27">
        <v>1129</v>
      </c>
      <c r="H679" s="27" t="s">
        <v>2020</v>
      </c>
    </row>
    <row r="680" spans="1:8" x14ac:dyDescent="0.25">
      <c r="A680" s="27" t="s">
        <v>1226</v>
      </c>
      <c r="B680" s="27" t="str">
        <f t="shared" si="20"/>
        <v>North Carolina</v>
      </c>
      <c r="C680" s="27" t="str">
        <f t="shared" si="21"/>
        <v>Wilson</v>
      </c>
      <c r="D680" s="27">
        <v>1309</v>
      </c>
      <c r="E680" s="27">
        <v>16045</v>
      </c>
      <c r="F680" s="27">
        <v>1902</v>
      </c>
      <c r="G680" s="27">
        <v>1129</v>
      </c>
      <c r="H680" s="27" t="s">
        <v>2020</v>
      </c>
    </row>
    <row r="681" spans="1:8" x14ac:dyDescent="0.25">
      <c r="A681" s="27" t="s">
        <v>1227</v>
      </c>
      <c r="B681" s="27" t="str">
        <f t="shared" si="20"/>
        <v>North Carolina</v>
      </c>
      <c r="C681" s="27" t="str">
        <f t="shared" si="21"/>
        <v>Yadkin</v>
      </c>
      <c r="D681" s="27">
        <v>395</v>
      </c>
      <c r="E681" s="2">
        <v>7475</v>
      </c>
      <c r="F681" s="27">
        <v>1902</v>
      </c>
      <c r="G681" s="27">
        <v>1129</v>
      </c>
      <c r="H681" s="27" t="s">
        <v>2020</v>
      </c>
    </row>
    <row r="682" spans="1:8" x14ac:dyDescent="0.25">
      <c r="A682" s="27" t="s">
        <v>1228</v>
      </c>
      <c r="B682" s="27" t="str">
        <f t="shared" si="20"/>
        <v>North Carolina</v>
      </c>
      <c r="C682" s="27" t="str">
        <f t="shared" si="21"/>
        <v>Yancey</v>
      </c>
      <c r="D682" s="27">
        <v>72</v>
      </c>
      <c r="E682" s="27">
        <v>5280</v>
      </c>
      <c r="F682" s="27">
        <v>1902</v>
      </c>
      <c r="G682" s="27">
        <v>1129</v>
      </c>
      <c r="H682" s="27" t="s">
        <v>2020</v>
      </c>
    </row>
    <row r="683" spans="1:8" x14ac:dyDescent="0.25">
      <c r="A683" s="27" t="s">
        <v>650</v>
      </c>
      <c r="B683" s="27" t="str">
        <f t="shared" si="20"/>
        <v/>
      </c>
      <c r="C683" s="27" t="str">
        <f t="shared" si="21"/>
        <v>MY TOTAL</v>
      </c>
      <c r="D683" s="27">
        <f>SUM(D583:D682)</f>
        <v>45709</v>
      </c>
      <c r="E683" s="2">
        <f>SUM(E583:E682)</f>
        <v>1217833</v>
      </c>
      <c r="H683" s="27" t="s">
        <v>2013</v>
      </c>
    </row>
    <row r="684" spans="1:8" x14ac:dyDescent="0.25">
      <c r="A684" s="27" t="s">
        <v>651</v>
      </c>
      <c r="B684" s="27" t="str">
        <f t="shared" si="20"/>
        <v/>
      </c>
      <c r="C684" s="27" t="str">
        <f t="shared" si="21"/>
        <v>REPORTED TOTAL</v>
      </c>
      <c r="D684" s="27">
        <v>45709</v>
      </c>
      <c r="E684" s="27">
        <v>1231403</v>
      </c>
      <c r="H684" s="27" t="s">
        <v>2013</v>
      </c>
    </row>
    <row r="685" spans="1:8" x14ac:dyDescent="0.25">
      <c r="A685" s="27" t="s">
        <v>1229</v>
      </c>
      <c r="B685" s="27" t="str">
        <f t="shared" si="20"/>
        <v>South Carolina</v>
      </c>
      <c r="C685" s="27" t="str">
        <f t="shared" si="21"/>
        <v>Abbeville</v>
      </c>
      <c r="E685" s="27">
        <v>29455</v>
      </c>
      <c r="F685" s="27">
        <v>1902</v>
      </c>
      <c r="G685" s="27">
        <v>1137</v>
      </c>
      <c r="H685" s="27" t="s">
        <v>2021</v>
      </c>
    </row>
    <row r="686" spans="1:8" x14ac:dyDescent="0.25">
      <c r="A686" s="27" t="s">
        <v>1230</v>
      </c>
      <c r="B686" s="27" t="str">
        <f t="shared" si="20"/>
        <v>South Carolina</v>
      </c>
      <c r="C686" s="27" t="str">
        <f t="shared" si="21"/>
        <v>Aiken</v>
      </c>
      <c r="E686" s="27">
        <v>29339</v>
      </c>
      <c r="F686" s="27">
        <v>1902</v>
      </c>
      <c r="G686" s="27">
        <v>1137</v>
      </c>
      <c r="H686" s="27" t="s">
        <v>2021</v>
      </c>
    </row>
    <row r="687" spans="1:8" x14ac:dyDescent="0.25">
      <c r="A687" s="27" t="s">
        <v>1231</v>
      </c>
      <c r="B687" s="27" t="str">
        <f t="shared" si="20"/>
        <v>South Carolina</v>
      </c>
      <c r="C687" s="27" t="str">
        <f t="shared" si="21"/>
        <v>Allendale</v>
      </c>
      <c r="F687" s="27">
        <v>1902</v>
      </c>
      <c r="G687" s="27">
        <v>1137</v>
      </c>
      <c r="H687" s="27" t="s">
        <v>2021</v>
      </c>
    </row>
    <row r="688" spans="1:8" x14ac:dyDescent="0.25">
      <c r="A688" s="27" t="s">
        <v>1232</v>
      </c>
      <c r="B688" s="27" t="str">
        <f t="shared" si="20"/>
        <v>South Carolina</v>
      </c>
      <c r="C688" s="27" t="str">
        <f t="shared" si="21"/>
        <v>Anderson</v>
      </c>
      <c r="E688" s="27">
        <v>31753</v>
      </c>
      <c r="F688" s="27">
        <v>1902</v>
      </c>
      <c r="G688" s="27">
        <v>1137</v>
      </c>
      <c r="H688" s="27" t="s">
        <v>2021</v>
      </c>
    </row>
    <row r="689" spans="1:8" x14ac:dyDescent="0.25">
      <c r="A689" s="27" t="s">
        <v>1233</v>
      </c>
      <c r="B689" s="27" t="str">
        <f t="shared" si="20"/>
        <v>South Carolina</v>
      </c>
      <c r="C689" s="27" t="str">
        <f t="shared" si="21"/>
        <v>Bamberg</v>
      </c>
      <c r="E689" s="27">
        <v>14504</v>
      </c>
      <c r="F689" s="27">
        <v>1902</v>
      </c>
      <c r="G689" s="27">
        <v>1137</v>
      </c>
      <c r="H689" s="27" t="s">
        <v>2021</v>
      </c>
    </row>
    <row r="690" spans="1:8" x14ac:dyDescent="0.25">
      <c r="A690" s="27" t="s">
        <v>1234</v>
      </c>
      <c r="B690" s="27" t="str">
        <f t="shared" si="20"/>
        <v>South Carolina</v>
      </c>
      <c r="C690" s="27" t="str">
        <f t="shared" si="21"/>
        <v>Barnwell</v>
      </c>
      <c r="E690" s="27">
        <v>32972</v>
      </c>
      <c r="F690" s="27">
        <v>1902</v>
      </c>
      <c r="G690" s="27">
        <v>1137</v>
      </c>
      <c r="H690" s="27" t="s">
        <v>2021</v>
      </c>
    </row>
    <row r="691" spans="1:8" x14ac:dyDescent="0.25">
      <c r="A691" s="27" t="s">
        <v>1235</v>
      </c>
      <c r="B691" s="27" t="str">
        <f t="shared" si="20"/>
        <v>South Carolina</v>
      </c>
      <c r="C691" s="27" t="str">
        <f t="shared" si="21"/>
        <v>Beaufort</v>
      </c>
      <c r="E691" s="27">
        <v>11736</v>
      </c>
      <c r="F691" s="27">
        <v>1902</v>
      </c>
      <c r="G691" s="27">
        <v>1137</v>
      </c>
      <c r="H691" s="27" t="s">
        <v>2021</v>
      </c>
    </row>
    <row r="692" spans="1:8" x14ac:dyDescent="0.25">
      <c r="A692" s="27" t="s">
        <v>1236</v>
      </c>
      <c r="B692" s="27" t="str">
        <f t="shared" si="20"/>
        <v>South Carolina</v>
      </c>
      <c r="C692" s="27" t="str">
        <f t="shared" si="21"/>
        <v>Berkeley</v>
      </c>
      <c r="D692" s="27">
        <v>100</v>
      </c>
      <c r="E692" s="27">
        <v>15850</v>
      </c>
      <c r="F692" s="27">
        <v>1902</v>
      </c>
      <c r="G692" s="27">
        <v>1137</v>
      </c>
      <c r="H692" s="27" t="s">
        <v>2021</v>
      </c>
    </row>
    <row r="693" spans="1:8" x14ac:dyDescent="0.25">
      <c r="A693" s="27" t="s">
        <v>1237</v>
      </c>
      <c r="B693" s="27" t="str">
        <f t="shared" si="20"/>
        <v>South Carolina</v>
      </c>
      <c r="C693" s="27" t="str">
        <f t="shared" si="21"/>
        <v>Calhoun</v>
      </c>
      <c r="F693" s="27">
        <v>1902</v>
      </c>
      <c r="G693" s="27">
        <v>1137</v>
      </c>
      <c r="H693" s="27" t="s">
        <v>2021</v>
      </c>
    </row>
    <row r="694" spans="1:8" x14ac:dyDescent="0.25">
      <c r="A694" s="27" t="s">
        <v>1238</v>
      </c>
      <c r="B694" s="27" t="str">
        <f t="shared" si="20"/>
        <v>South Carolina</v>
      </c>
      <c r="C694" s="27" t="str">
        <f t="shared" si="21"/>
        <v>Charleston</v>
      </c>
      <c r="E694" s="27">
        <v>81328</v>
      </c>
      <c r="F694" s="27">
        <v>1902</v>
      </c>
      <c r="G694" s="27">
        <v>1137</v>
      </c>
      <c r="H694" s="27" t="s">
        <v>2021</v>
      </c>
    </row>
    <row r="695" spans="1:8" x14ac:dyDescent="0.25">
      <c r="A695" s="27" t="s">
        <v>1239</v>
      </c>
      <c r="B695" s="27" t="str">
        <f t="shared" si="20"/>
        <v>South Carolina</v>
      </c>
      <c r="C695" s="27" t="str">
        <f t="shared" si="21"/>
        <v>Cherokee</v>
      </c>
      <c r="E695" s="27">
        <v>20038</v>
      </c>
      <c r="F695" s="27">
        <v>1902</v>
      </c>
      <c r="G695" s="27">
        <v>1137</v>
      </c>
      <c r="H695" s="27" t="s">
        <v>2021</v>
      </c>
    </row>
    <row r="696" spans="1:8" x14ac:dyDescent="0.25">
      <c r="A696" s="27" t="s">
        <v>1240</v>
      </c>
      <c r="B696" s="27" t="str">
        <f t="shared" si="20"/>
        <v>South Carolina</v>
      </c>
      <c r="C696" s="27" t="str">
        <f t="shared" si="21"/>
        <v>Chester</v>
      </c>
      <c r="D696" s="27">
        <v>70</v>
      </c>
      <c r="E696" s="27">
        <v>22038</v>
      </c>
      <c r="F696" s="27">
        <v>1902</v>
      </c>
      <c r="G696" s="27">
        <v>1137</v>
      </c>
      <c r="H696" s="27" t="s">
        <v>2021</v>
      </c>
    </row>
    <row r="697" spans="1:8" x14ac:dyDescent="0.25">
      <c r="A697" s="27" t="s">
        <v>1757</v>
      </c>
      <c r="B697" s="27" t="str">
        <f t="shared" si="20"/>
        <v>South Carolina</v>
      </c>
      <c r="C697" s="27" t="str">
        <f t="shared" si="21"/>
        <v>Chesterfield</v>
      </c>
      <c r="E697" s="27">
        <v>15231</v>
      </c>
      <c r="F697" s="27">
        <v>1902</v>
      </c>
      <c r="G697" s="27">
        <v>1137</v>
      </c>
      <c r="H697" s="27" t="s">
        <v>2021</v>
      </c>
    </row>
    <row r="698" spans="1:8" x14ac:dyDescent="0.25">
      <c r="A698" s="27" t="s">
        <v>1241</v>
      </c>
      <c r="B698" s="27" t="str">
        <f t="shared" si="20"/>
        <v>South Carolina</v>
      </c>
      <c r="C698" s="27" t="str">
        <f t="shared" si="21"/>
        <v>Clarendon</v>
      </c>
      <c r="E698" s="27">
        <v>19639</v>
      </c>
      <c r="F698" s="27">
        <v>1902</v>
      </c>
      <c r="G698" s="27">
        <v>1137</v>
      </c>
      <c r="H698" s="27" t="s">
        <v>2021</v>
      </c>
    </row>
    <row r="699" spans="1:8" x14ac:dyDescent="0.25">
      <c r="A699" s="27" t="s">
        <v>1242</v>
      </c>
      <c r="B699" s="27" t="str">
        <f t="shared" si="20"/>
        <v>South Carolina</v>
      </c>
      <c r="C699" s="27" t="str">
        <f t="shared" si="21"/>
        <v>Colleton</v>
      </c>
      <c r="E699" s="27">
        <v>19794</v>
      </c>
      <c r="F699" s="27">
        <v>1902</v>
      </c>
      <c r="G699" s="27">
        <v>1137</v>
      </c>
      <c r="H699" s="27" t="s">
        <v>2021</v>
      </c>
    </row>
    <row r="700" spans="1:8" x14ac:dyDescent="0.25">
      <c r="A700" s="27" t="s">
        <v>1243</v>
      </c>
      <c r="B700" s="27" t="str">
        <f t="shared" si="20"/>
        <v>South Carolina</v>
      </c>
      <c r="C700" s="27" t="str">
        <f t="shared" si="21"/>
        <v>Darlington</v>
      </c>
      <c r="E700" s="27">
        <v>18745</v>
      </c>
      <c r="F700" s="27">
        <v>1902</v>
      </c>
      <c r="G700" s="27">
        <v>1137</v>
      </c>
      <c r="H700" s="27" t="s">
        <v>2021</v>
      </c>
    </row>
    <row r="701" spans="1:8" x14ac:dyDescent="0.25">
      <c r="A701" s="27" t="s">
        <v>1244</v>
      </c>
      <c r="B701" s="27" t="str">
        <f t="shared" si="20"/>
        <v>South Carolina</v>
      </c>
      <c r="C701" s="27" t="str">
        <f t="shared" si="21"/>
        <v>Dillon</v>
      </c>
      <c r="F701" s="27">
        <v>1902</v>
      </c>
      <c r="G701" s="27">
        <v>1137</v>
      </c>
      <c r="H701" s="27" t="s">
        <v>2021</v>
      </c>
    </row>
    <row r="702" spans="1:8" x14ac:dyDescent="0.25">
      <c r="A702" s="27" t="s">
        <v>1245</v>
      </c>
      <c r="B702" s="27" t="str">
        <f t="shared" si="20"/>
        <v>South Carolina</v>
      </c>
      <c r="C702" s="27" t="str">
        <f t="shared" si="21"/>
        <v>Dorchester</v>
      </c>
      <c r="D702" s="27">
        <v>175</v>
      </c>
      <c r="E702" s="27">
        <v>9695</v>
      </c>
      <c r="F702" s="27">
        <v>1902</v>
      </c>
      <c r="G702" s="27">
        <v>1137</v>
      </c>
      <c r="H702" s="27" t="s">
        <v>2021</v>
      </c>
    </row>
    <row r="703" spans="1:8" x14ac:dyDescent="0.25">
      <c r="A703" s="27" t="s">
        <v>1246</v>
      </c>
      <c r="B703" s="27" t="str">
        <f t="shared" si="20"/>
        <v>South Carolina</v>
      </c>
      <c r="C703" s="27" t="str">
        <f t="shared" si="21"/>
        <v>Edgefield</v>
      </c>
      <c r="E703" s="27">
        <v>14622</v>
      </c>
      <c r="F703" s="27">
        <v>1902</v>
      </c>
      <c r="G703" s="27">
        <v>1137</v>
      </c>
      <c r="H703" s="27" t="s">
        <v>2021</v>
      </c>
    </row>
    <row r="704" spans="1:8" x14ac:dyDescent="0.25">
      <c r="A704" s="27" t="s">
        <v>1247</v>
      </c>
      <c r="B704" s="27" t="str">
        <f t="shared" si="20"/>
        <v>South Carolina</v>
      </c>
      <c r="C704" s="27" t="str">
        <f t="shared" si="21"/>
        <v>Fairfield</v>
      </c>
      <c r="E704" s="27">
        <v>18741</v>
      </c>
      <c r="F704" s="27">
        <v>1902</v>
      </c>
      <c r="G704" s="27">
        <v>1137</v>
      </c>
      <c r="H704" s="27" t="s">
        <v>2021</v>
      </c>
    </row>
    <row r="705" spans="1:8" x14ac:dyDescent="0.25">
      <c r="A705" s="27" t="s">
        <v>1248</v>
      </c>
      <c r="B705" s="27" t="str">
        <f t="shared" si="20"/>
        <v>South Carolina</v>
      </c>
      <c r="C705" s="27" t="str">
        <f t="shared" si="21"/>
        <v>Florence</v>
      </c>
      <c r="E705" s="27">
        <v>13652</v>
      </c>
      <c r="F705" s="27">
        <v>1902</v>
      </c>
      <c r="G705" s="27">
        <v>1137</v>
      </c>
      <c r="H705" s="27" t="s">
        <v>2021</v>
      </c>
    </row>
    <row r="706" spans="1:8" x14ac:dyDescent="0.25">
      <c r="A706" s="27" t="s">
        <v>1249</v>
      </c>
      <c r="B706" s="27" t="str">
        <f t="shared" si="20"/>
        <v>South Carolina</v>
      </c>
      <c r="C706" s="27" t="str">
        <f t="shared" si="21"/>
        <v>Georgetown</v>
      </c>
      <c r="D706" s="27">
        <v>60</v>
      </c>
      <c r="E706" s="27">
        <v>15196</v>
      </c>
      <c r="F706" s="27">
        <v>1902</v>
      </c>
      <c r="G706" s="27">
        <v>1137</v>
      </c>
      <c r="H706" s="27" t="s">
        <v>2021</v>
      </c>
    </row>
    <row r="707" spans="1:8" x14ac:dyDescent="0.25">
      <c r="A707" s="27" t="s">
        <v>1250</v>
      </c>
      <c r="B707" s="27" t="str">
        <f t="shared" ref="B707:B770" si="22">LEFT(A707,FIND(";",A707)-1)</f>
        <v>South Carolina</v>
      </c>
      <c r="C707" s="27" t="str">
        <f t="shared" ref="C707:C770" si="23">MID(A707,FIND(";",A707)+1,100)</f>
        <v>Greenville</v>
      </c>
      <c r="E707" s="27">
        <v>53768</v>
      </c>
      <c r="F707" s="27">
        <v>1902</v>
      </c>
      <c r="G707" s="27">
        <v>1137</v>
      </c>
      <c r="H707" s="27" t="s">
        <v>2021</v>
      </c>
    </row>
    <row r="708" spans="1:8" x14ac:dyDescent="0.25">
      <c r="A708" s="27" t="s">
        <v>1758</v>
      </c>
      <c r="B708" s="27" t="str">
        <f t="shared" si="22"/>
        <v>South Carolina</v>
      </c>
      <c r="C708" s="27" t="str">
        <f t="shared" si="23"/>
        <v>Greenwood</v>
      </c>
      <c r="D708" s="27">
        <v>51</v>
      </c>
      <c r="E708" s="27">
        <v>37023</v>
      </c>
      <c r="F708" s="27">
        <v>1902</v>
      </c>
      <c r="G708" s="27">
        <v>1137</v>
      </c>
      <c r="H708" s="27" t="s">
        <v>2021</v>
      </c>
    </row>
    <row r="709" spans="1:8" x14ac:dyDescent="0.25">
      <c r="A709" s="27" t="s">
        <v>1251</v>
      </c>
      <c r="B709" s="27" t="str">
        <f t="shared" si="22"/>
        <v>South Carolina</v>
      </c>
      <c r="C709" s="27" t="str">
        <f t="shared" si="23"/>
        <v>Hampton</v>
      </c>
      <c r="D709" s="27">
        <v>109</v>
      </c>
      <c r="E709" s="27">
        <v>26502</v>
      </c>
      <c r="F709" s="27">
        <v>1902</v>
      </c>
      <c r="G709" s="27">
        <v>1137</v>
      </c>
      <c r="H709" s="27" t="s">
        <v>2021</v>
      </c>
    </row>
    <row r="710" spans="1:8" x14ac:dyDescent="0.25">
      <c r="A710" s="27" t="s">
        <v>1252</v>
      </c>
      <c r="B710" s="27" t="str">
        <f t="shared" si="22"/>
        <v>South Carolina</v>
      </c>
      <c r="C710" s="27" t="str">
        <f t="shared" si="23"/>
        <v>Horry</v>
      </c>
      <c r="E710" s="27">
        <v>14350</v>
      </c>
      <c r="F710" s="27">
        <v>1902</v>
      </c>
      <c r="G710" s="27">
        <v>1137</v>
      </c>
      <c r="H710" s="27" t="s">
        <v>2021</v>
      </c>
    </row>
    <row r="711" spans="1:8" x14ac:dyDescent="0.25">
      <c r="A711" s="27" t="s">
        <v>1253</v>
      </c>
      <c r="B711" s="27" t="str">
        <f t="shared" si="22"/>
        <v>South Carolina</v>
      </c>
      <c r="C711" s="27" t="str">
        <f t="shared" si="23"/>
        <v>Jasper</v>
      </c>
      <c r="F711" s="27">
        <v>1902</v>
      </c>
      <c r="G711" s="27">
        <v>1137</v>
      </c>
      <c r="H711" s="27" t="s">
        <v>2021</v>
      </c>
    </row>
    <row r="712" spans="1:8" x14ac:dyDescent="0.25">
      <c r="A712" s="27" t="s">
        <v>1254</v>
      </c>
      <c r="B712" s="27" t="str">
        <f t="shared" si="22"/>
        <v>South Carolina</v>
      </c>
      <c r="C712" s="27" t="str">
        <f t="shared" si="23"/>
        <v>Kershaw</v>
      </c>
      <c r="E712" s="27">
        <v>20231</v>
      </c>
      <c r="F712" s="27">
        <v>1902</v>
      </c>
      <c r="G712" s="27">
        <v>1137</v>
      </c>
      <c r="H712" s="27" t="s">
        <v>2021</v>
      </c>
    </row>
    <row r="713" spans="1:8" x14ac:dyDescent="0.25">
      <c r="A713" s="27" t="s">
        <v>1255</v>
      </c>
      <c r="B713" s="27" t="str">
        <f t="shared" si="22"/>
        <v>South Carolina</v>
      </c>
      <c r="C713" s="27" t="str">
        <f t="shared" si="23"/>
        <v>Lancaster</v>
      </c>
      <c r="D713" s="27">
        <v>862</v>
      </c>
      <c r="E713" s="27">
        <v>15837</v>
      </c>
      <c r="F713" s="27">
        <v>1902</v>
      </c>
      <c r="G713" s="27">
        <v>1137</v>
      </c>
      <c r="H713" s="27" t="s">
        <v>2021</v>
      </c>
    </row>
    <row r="714" spans="1:8" x14ac:dyDescent="0.25">
      <c r="A714" s="27" t="s">
        <v>1256</v>
      </c>
      <c r="B714" s="27" t="str">
        <f t="shared" si="22"/>
        <v>South Carolina</v>
      </c>
      <c r="C714" s="27" t="str">
        <f t="shared" si="23"/>
        <v>Laurens</v>
      </c>
      <c r="E714" s="27">
        <v>29759</v>
      </c>
      <c r="F714" s="27">
        <v>1902</v>
      </c>
      <c r="G714" s="27">
        <v>1137</v>
      </c>
      <c r="H714" s="27" t="s">
        <v>2021</v>
      </c>
    </row>
    <row r="715" spans="1:8" x14ac:dyDescent="0.25">
      <c r="A715" s="27" t="s">
        <v>1257</v>
      </c>
      <c r="B715" s="27" t="str">
        <f t="shared" si="22"/>
        <v>South Carolina</v>
      </c>
      <c r="C715" s="27" t="str">
        <f t="shared" si="23"/>
        <v>Lee</v>
      </c>
      <c r="E715" s="27">
        <v>11135</v>
      </c>
      <c r="F715" s="27">
        <v>1902</v>
      </c>
      <c r="G715" s="27">
        <v>1137</v>
      </c>
      <c r="H715" s="27" t="s">
        <v>2021</v>
      </c>
    </row>
    <row r="716" spans="1:8" x14ac:dyDescent="0.25">
      <c r="A716" s="27" t="s">
        <v>1258</v>
      </c>
      <c r="B716" s="27" t="str">
        <f t="shared" si="22"/>
        <v>South Carolina</v>
      </c>
      <c r="C716" s="27" t="str">
        <f t="shared" si="23"/>
        <v>Lexington</v>
      </c>
      <c r="E716" s="27">
        <v>19336</v>
      </c>
      <c r="F716" s="27">
        <v>1902</v>
      </c>
      <c r="G716" s="27">
        <v>1137</v>
      </c>
      <c r="H716" s="27" t="s">
        <v>2021</v>
      </c>
    </row>
    <row r="717" spans="1:8" x14ac:dyDescent="0.25">
      <c r="A717" s="27" t="s">
        <v>1259</v>
      </c>
      <c r="B717" s="27" t="str">
        <f t="shared" si="22"/>
        <v>South Carolina</v>
      </c>
      <c r="C717" s="27" t="str">
        <f t="shared" si="23"/>
        <v>McCormick</v>
      </c>
      <c r="F717" s="27">
        <v>1902</v>
      </c>
      <c r="G717" s="27">
        <v>1137</v>
      </c>
      <c r="H717" s="27" t="s">
        <v>2021</v>
      </c>
    </row>
    <row r="718" spans="1:8" x14ac:dyDescent="0.25">
      <c r="A718" s="27" t="s">
        <v>1260</v>
      </c>
      <c r="B718" s="27" t="str">
        <f t="shared" si="22"/>
        <v>South Carolina</v>
      </c>
      <c r="C718" s="27" t="str">
        <f t="shared" si="23"/>
        <v>Marion</v>
      </c>
      <c r="E718" s="27">
        <v>30069</v>
      </c>
      <c r="F718" s="27">
        <v>1902</v>
      </c>
      <c r="G718" s="27">
        <v>1137</v>
      </c>
      <c r="H718" s="27" t="s">
        <v>2021</v>
      </c>
    </row>
    <row r="719" spans="1:8" x14ac:dyDescent="0.25">
      <c r="A719" s="27" t="s">
        <v>1261</v>
      </c>
      <c r="B719" s="27" t="str">
        <f t="shared" si="22"/>
        <v>South Carolina</v>
      </c>
      <c r="C719" s="27" t="str">
        <f t="shared" si="23"/>
        <v>Marlboro</v>
      </c>
      <c r="F719" s="27">
        <v>1902</v>
      </c>
      <c r="G719" s="27">
        <v>1137</v>
      </c>
      <c r="H719" s="27" t="s">
        <v>2021</v>
      </c>
    </row>
    <row r="720" spans="1:8" x14ac:dyDescent="0.25">
      <c r="A720" s="27" t="s">
        <v>1262</v>
      </c>
      <c r="B720" s="27" t="str">
        <f t="shared" si="22"/>
        <v>South Carolina</v>
      </c>
      <c r="C720" s="27" t="str">
        <f t="shared" si="23"/>
        <v>Newberry</v>
      </c>
      <c r="D720" s="27">
        <v>406</v>
      </c>
      <c r="E720" s="27">
        <v>25177</v>
      </c>
      <c r="F720" s="27">
        <v>1902</v>
      </c>
      <c r="G720" s="27">
        <v>1137</v>
      </c>
      <c r="H720" s="27" t="s">
        <v>2021</v>
      </c>
    </row>
    <row r="721" spans="1:8" x14ac:dyDescent="0.25">
      <c r="A721" s="27" t="s">
        <v>1263</v>
      </c>
      <c r="B721" s="27" t="str">
        <f t="shared" si="22"/>
        <v>South Carolina</v>
      </c>
      <c r="C721" s="27" t="str">
        <f t="shared" si="23"/>
        <v>Oconee</v>
      </c>
      <c r="E721" s="27">
        <v>19135</v>
      </c>
      <c r="F721" s="27">
        <v>1902</v>
      </c>
      <c r="G721" s="27">
        <v>1137</v>
      </c>
      <c r="H721" s="27" t="s">
        <v>2021</v>
      </c>
    </row>
    <row r="722" spans="1:8" x14ac:dyDescent="0.25">
      <c r="A722" s="27" t="s">
        <v>1264</v>
      </c>
      <c r="B722" s="27" t="str">
        <f t="shared" si="22"/>
        <v>South Carolina</v>
      </c>
      <c r="C722" s="27" t="str">
        <f t="shared" si="23"/>
        <v>Orangeburg</v>
      </c>
      <c r="E722" s="27">
        <v>43983</v>
      </c>
      <c r="F722" s="27">
        <v>1902</v>
      </c>
      <c r="G722" s="27">
        <v>1137</v>
      </c>
      <c r="H722" s="27" t="s">
        <v>2021</v>
      </c>
    </row>
    <row r="723" spans="1:8" x14ac:dyDescent="0.25">
      <c r="A723" s="27" t="s">
        <v>1265</v>
      </c>
      <c r="B723" s="27" t="str">
        <f t="shared" si="22"/>
        <v>South Carolina</v>
      </c>
      <c r="C723" s="27" t="str">
        <f t="shared" si="23"/>
        <v>Pickens</v>
      </c>
      <c r="D723" s="27">
        <v>24</v>
      </c>
      <c r="E723" s="27">
        <v>12095</v>
      </c>
      <c r="F723" s="27">
        <v>1902</v>
      </c>
      <c r="G723" s="27">
        <v>1139</v>
      </c>
      <c r="H723" s="27" t="s">
        <v>2022</v>
      </c>
    </row>
    <row r="724" spans="1:8" x14ac:dyDescent="0.25">
      <c r="A724" s="27" t="s">
        <v>1266</v>
      </c>
      <c r="B724" s="27" t="str">
        <f t="shared" si="22"/>
        <v>South Carolina</v>
      </c>
      <c r="C724" s="27" t="str">
        <f t="shared" si="23"/>
        <v>Richland</v>
      </c>
      <c r="D724" s="27">
        <v>127</v>
      </c>
      <c r="E724" s="27">
        <v>33113</v>
      </c>
      <c r="F724" s="27">
        <v>1902</v>
      </c>
      <c r="G724" s="27">
        <v>1139</v>
      </c>
      <c r="H724" s="27" t="s">
        <v>2022</v>
      </c>
    </row>
    <row r="725" spans="1:8" x14ac:dyDescent="0.25">
      <c r="A725" s="27" t="s">
        <v>1267</v>
      </c>
      <c r="B725" s="27" t="str">
        <f t="shared" si="22"/>
        <v>South Carolina</v>
      </c>
      <c r="C725" s="27" t="str">
        <f t="shared" si="23"/>
        <v>Saluda</v>
      </c>
      <c r="E725" s="27">
        <v>12209</v>
      </c>
      <c r="F725" s="27">
        <v>1902</v>
      </c>
      <c r="G725" s="27">
        <v>1139</v>
      </c>
      <c r="H725" s="27" t="s">
        <v>2022</v>
      </c>
    </row>
    <row r="726" spans="1:8" x14ac:dyDescent="0.25">
      <c r="A726" s="27" t="s">
        <v>1268</v>
      </c>
      <c r="B726" s="27" t="str">
        <f t="shared" si="22"/>
        <v>South Carolina</v>
      </c>
      <c r="C726" s="27" t="str">
        <f t="shared" si="23"/>
        <v>Spartanburg</v>
      </c>
      <c r="E726" s="27">
        <v>54737</v>
      </c>
      <c r="F726" s="27">
        <v>1902</v>
      </c>
      <c r="G726" s="27">
        <v>1139</v>
      </c>
      <c r="H726" s="27" t="s">
        <v>2022</v>
      </c>
    </row>
    <row r="727" spans="1:8" x14ac:dyDescent="0.25">
      <c r="A727" s="27" t="s">
        <v>1269</v>
      </c>
      <c r="B727" s="27" t="str">
        <f t="shared" si="22"/>
        <v>South Carolina</v>
      </c>
      <c r="C727" s="27" t="str">
        <f t="shared" si="23"/>
        <v>Sumter</v>
      </c>
      <c r="E727" s="35">
        <v>25999</v>
      </c>
      <c r="F727" s="27">
        <v>1902</v>
      </c>
      <c r="G727" s="27">
        <v>1139</v>
      </c>
      <c r="H727" s="27" t="s">
        <v>2022</v>
      </c>
    </row>
    <row r="728" spans="1:8" x14ac:dyDescent="0.25">
      <c r="A728" s="27" t="s">
        <v>1270</v>
      </c>
      <c r="B728" s="27" t="str">
        <f t="shared" si="22"/>
        <v>South Carolina</v>
      </c>
      <c r="C728" s="27" t="str">
        <f t="shared" si="23"/>
        <v>Union</v>
      </c>
      <c r="D728" s="27">
        <v>65</v>
      </c>
      <c r="E728" s="27">
        <v>22084</v>
      </c>
      <c r="F728" s="27">
        <v>1902</v>
      </c>
      <c r="G728" s="27">
        <v>1139</v>
      </c>
      <c r="H728" s="27" t="s">
        <v>2022</v>
      </c>
    </row>
    <row r="729" spans="1:8" x14ac:dyDescent="0.25">
      <c r="A729" s="27" t="s">
        <v>1271</v>
      </c>
      <c r="B729" s="27" t="str">
        <f t="shared" si="22"/>
        <v>South Carolina</v>
      </c>
      <c r="C729" s="27" t="str">
        <f t="shared" si="23"/>
        <v>Williamsburg</v>
      </c>
      <c r="E729" s="27">
        <v>12386</v>
      </c>
      <c r="F729" s="27">
        <v>1902</v>
      </c>
      <c r="G729" s="27">
        <v>1139</v>
      </c>
      <c r="H729" s="27" t="s">
        <v>2022</v>
      </c>
    </row>
    <row r="730" spans="1:8" x14ac:dyDescent="0.25">
      <c r="A730" s="27" t="s">
        <v>1272</v>
      </c>
      <c r="B730" s="27" t="str">
        <f t="shared" si="22"/>
        <v>South Carolina</v>
      </c>
      <c r="C730" s="27" t="str">
        <f t="shared" si="23"/>
        <v>York</v>
      </c>
      <c r="E730" s="27">
        <v>28709</v>
      </c>
      <c r="F730" s="27">
        <v>1902</v>
      </c>
      <c r="G730" s="27">
        <v>1139</v>
      </c>
      <c r="H730" s="27" t="s">
        <v>2022</v>
      </c>
    </row>
    <row r="731" spans="1:8" x14ac:dyDescent="0.25">
      <c r="A731" s="27" t="s">
        <v>1273</v>
      </c>
      <c r="B731" s="27" t="str">
        <f t="shared" si="22"/>
        <v/>
      </c>
      <c r="C731" s="27" t="str">
        <f t="shared" si="23"/>
        <v>My Total</v>
      </c>
      <c r="D731" s="27">
        <f>SUM(D685:D730)</f>
        <v>2049</v>
      </c>
      <c r="E731" s="27">
        <f>SUM(E685:E730)</f>
        <v>981965</v>
      </c>
      <c r="H731" s="27" t="s">
        <v>2013</v>
      </c>
    </row>
    <row r="732" spans="1:8" x14ac:dyDescent="0.25">
      <c r="A732" s="27" t="s">
        <v>1274</v>
      </c>
      <c r="B732" s="27" t="str">
        <f t="shared" si="22"/>
        <v/>
      </c>
      <c r="C732" s="27" t="str">
        <f t="shared" si="23"/>
        <v>Reported Total</v>
      </c>
      <c r="D732" s="27">
        <v>2049</v>
      </c>
      <c r="E732" s="27">
        <v>981965</v>
      </c>
      <c r="H732" s="27" t="s">
        <v>2013</v>
      </c>
    </row>
    <row r="733" spans="1:8" x14ac:dyDescent="0.25">
      <c r="A733" s="27" t="s">
        <v>1275</v>
      </c>
      <c r="B733" s="27" t="str">
        <f t="shared" si="22"/>
        <v>Tennessee</v>
      </c>
      <c r="C733" s="27" t="str">
        <f t="shared" si="23"/>
        <v>Anderson</v>
      </c>
      <c r="D733" s="27">
        <v>314</v>
      </c>
      <c r="E733" s="27">
        <v>13417</v>
      </c>
      <c r="F733" s="27">
        <v>1902</v>
      </c>
      <c r="G733" s="27">
        <v>1139</v>
      </c>
      <c r="H733" s="27" t="s">
        <v>2022</v>
      </c>
    </row>
    <row r="734" spans="1:8" x14ac:dyDescent="0.25">
      <c r="A734" s="27" t="s">
        <v>1276</v>
      </c>
      <c r="B734" s="27" t="str">
        <f t="shared" si="22"/>
        <v>Tennessee</v>
      </c>
      <c r="C734" s="27" t="str">
        <f t="shared" si="23"/>
        <v>Bedford</v>
      </c>
      <c r="D734" s="27">
        <v>505</v>
      </c>
      <c r="E734" s="27">
        <v>36854</v>
      </c>
      <c r="F734" s="27">
        <v>1902</v>
      </c>
      <c r="G734" s="27">
        <v>1139</v>
      </c>
      <c r="H734" s="27" t="s">
        <v>2022</v>
      </c>
    </row>
    <row r="735" spans="1:8" x14ac:dyDescent="0.25">
      <c r="A735" s="27" t="s">
        <v>1277</v>
      </c>
      <c r="B735" s="27" t="str">
        <f t="shared" si="22"/>
        <v>Tennessee</v>
      </c>
      <c r="C735" s="27" t="str">
        <f t="shared" si="23"/>
        <v>Benton</v>
      </c>
      <c r="D735" s="27">
        <v>266</v>
      </c>
      <c r="E735" s="27">
        <v>9330</v>
      </c>
      <c r="F735" s="27">
        <v>1902</v>
      </c>
      <c r="G735" s="27">
        <v>1139</v>
      </c>
      <c r="H735" s="27" t="s">
        <v>2022</v>
      </c>
    </row>
    <row r="736" spans="1:8" x14ac:dyDescent="0.25">
      <c r="A736" s="27" t="s">
        <v>1759</v>
      </c>
      <c r="B736" s="27" t="str">
        <f t="shared" si="22"/>
        <v>Tennessee</v>
      </c>
      <c r="C736" s="27" t="str">
        <f t="shared" si="23"/>
        <v>Bledsoe</v>
      </c>
      <c r="D736" s="27">
        <v>25</v>
      </c>
      <c r="E736" s="27">
        <v>4231</v>
      </c>
      <c r="F736" s="27">
        <v>1902</v>
      </c>
      <c r="G736" s="27">
        <v>1139</v>
      </c>
      <c r="H736" s="27" t="s">
        <v>2022</v>
      </c>
    </row>
    <row r="737" spans="1:8" x14ac:dyDescent="0.25">
      <c r="A737" s="27" t="s">
        <v>1278</v>
      </c>
      <c r="B737" s="27" t="str">
        <f t="shared" si="22"/>
        <v>Tennessee</v>
      </c>
      <c r="C737" s="27" t="str">
        <f t="shared" si="23"/>
        <v>Blount</v>
      </c>
      <c r="D737" s="27">
        <v>2763</v>
      </c>
      <c r="E737" s="27">
        <v>15426</v>
      </c>
      <c r="F737" s="27">
        <v>1902</v>
      </c>
      <c r="G737" s="27">
        <v>1139</v>
      </c>
      <c r="H737" s="27" t="s">
        <v>2022</v>
      </c>
    </row>
    <row r="738" spans="1:8" x14ac:dyDescent="0.25">
      <c r="A738" s="27" t="s">
        <v>1279</v>
      </c>
      <c r="B738" s="27" t="str">
        <f t="shared" si="22"/>
        <v>Tennessee</v>
      </c>
      <c r="C738" s="27" t="str">
        <f t="shared" si="23"/>
        <v>Bradley</v>
      </c>
      <c r="D738" s="27">
        <v>167</v>
      </c>
      <c r="E738" s="27">
        <v>11655</v>
      </c>
      <c r="F738" s="27">
        <v>1902</v>
      </c>
      <c r="G738" s="27">
        <v>1141</v>
      </c>
      <c r="H738" s="27" t="s">
        <v>2023</v>
      </c>
    </row>
    <row r="739" spans="1:8" x14ac:dyDescent="0.25">
      <c r="A739" s="27" t="s">
        <v>1280</v>
      </c>
      <c r="B739" s="27" t="str">
        <f t="shared" si="22"/>
        <v>Tennessee</v>
      </c>
      <c r="C739" s="27" t="str">
        <f t="shared" si="23"/>
        <v>Campbell</v>
      </c>
      <c r="D739" s="27">
        <v>5553</v>
      </c>
      <c r="E739" s="27">
        <v>14991</v>
      </c>
      <c r="F739" s="27">
        <v>1902</v>
      </c>
      <c r="G739" s="27">
        <v>1141</v>
      </c>
      <c r="H739" s="27" t="s">
        <v>2023</v>
      </c>
    </row>
    <row r="740" spans="1:8" x14ac:dyDescent="0.25">
      <c r="A740" s="27" t="s">
        <v>1281</v>
      </c>
      <c r="B740" s="27" t="str">
        <f t="shared" si="22"/>
        <v>Tennessee</v>
      </c>
      <c r="C740" s="27" t="str">
        <f t="shared" si="23"/>
        <v>Cannon</v>
      </c>
      <c r="D740" s="27">
        <v>21</v>
      </c>
      <c r="E740" s="27">
        <v>8490</v>
      </c>
      <c r="F740" s="27">
        <v>1902</v>
      </c>
      <c r="G740" s="27">
        <v>1141</v>
      </c>
      <c r="H740" s="27" t="s">
        <v>2023</v>
      </c>
    </row>
    <row r="741" spans="1:8" x14ac:dyDescent="0.25">
      <c r="A741" s="27" t="s">
        <v>1282</v>
      </c>
      <c r="B741" s="27" t="str">
        <f t="shared" si="22"/>
        <v>Tennessee</v>
      </c>
      <c r="C741" s="27" t="str">
        <f t="shared" si="23"/>
        <v>Carroll</v>
      </c>
      <c r="D741" s="27">
        <v>491</v>
      </c>
      <c r="E741" s="27">
        <v>22172</v>
      </c>
      <c r="F741" s="27">
        <v>1902</v>
      </c>
      <c r="G741" s="27">
        <v>1141</v>
      </c>
      <c r="H741" s="27" t="s">
        <v>2023</v>
      </c>
    </row>
    <row r="742" spans="1:8" x14ac:dyDescent="0.25">
      <c r="A742" s="27" t="s">
        <v>1283</v>
      </c>
      <c r="B742" s="27" t="str">
        <f t="shared" si="22"/>
        <v>Tennessee</v>
      </c>
      <c r="C742" s="27" t="str">
        <f t="shared" si="23"/>
        <v>Carter</v>
      </c>
      <c r="D742" s="27">
        <v>346</v>
      </c>
      <c r="E742" s="27">
        <v>11932</v>
      </c>
      <c r="F742" s="27">
        <v>1902</v>
      </c>
      <c r="G742" s="27">
        <v>1141</v>
      </c>
      <c r="H742" s="27" t="s">
        <v>2023</v>
      </c>
    </row>
    <row r="743" spans="1:8" x14ac:dyDescent="0.25">
      <c r="A743" s="27" t="s">
        <v>1284</v>
      </c>
      <c r="B743" s="27" t="str">
        <f t="shared" si="22"/>
        <v>Tennessee</v>
      </c>
      <c r="C743" s="27" t="str">
        <f t="shared" si="23"/>
        <v>Cheatham</v>
      </c>
      <c r="E743" s="27">
        <v>8290</v>
      </c>
      <c r="F743" s="27">
        <v>1902</v>
      </c>
      <c r="G743" s="27">
        <v>1141</v>
      </c>
      <c r="H743" s="27" t="s">
        <v>2023</v>
      </c>
    </row>
    <row r="744" spans="1:8" x14ac:dyDescent="0.25">
      <c r="A744" s="27" t="s">
        <v>1285</v>
      </c>
      <c r="B744" s="27" t="str">
        <f t="shared" si="22"/>
        <v>Tennessee</v>
      </c>
      <c r="C744" s="27" t="str">
        <f t="shared" si="23"/>
        <v>Chester</v>
      </c>
      <c r="D744" s="27">
        <v>357</v>
      </c>
      <c r="E744" s="27">
        <v>5635</v>
      </c>
      <c r="F744" s="27">
        <v>1902</v>
      </c>
      <c r="G744" s="27">
        <v>1141</v>
      </c>
      <c r="H744" s="27" t="s">
        <v>2023</v>
      </c>
    </row>
    <row r="745" spans="1:8" x14ac:dyDescent="0.25">
      <c r="A745" s="27" t="s">
        <v>1286</v>
      </c>
      <c r="B745" s="27" t="str">
        <f t="shared" si="22"/>
        <v>Tennessee</v>
      </c>
      <c r="C745" s="27" t="str">
        <f t="shared" si="23"/>
        <v>Claiborne</v>
      </c>
      <c r="D745" s="27">
        <v>1777</v>
      </c>
      <c r="E745" s="27">
        <v>11283</v>
      </c>
      <c r="F745" s="27">
        <v>1902</v>
      </c>
      <c r="G745" s="27">
        <v>1141</v>
      </c>
      <c r="H745" s="27" t="s">
        <v>2023</v>
      </c>
    </row>
    <row r="746" spans="1:8" x14ac:dyDescent="0.25">
      <c r="A746" s="27" t="s">
        <v>1287</v>
      </c>
      <c r="B746" s="27" t="str">
        <f t="shared" si="22"/>
        <v>Tennessee</v>
      </c>
      <c r="C746" s="27" t="str">
        <f t="shared" si="23"/>
        <v>Clay</v>
      </c>
      <c r="D746" s="27">
        <v>1083</v>
      </c>
      <c r="E746" s="27">
        <v>6056</v>
      </c>
      <c r="F746" s="27">
        <v>1902</v>
      </c>
      <c r="G746" s="27">
        <v>1141</v>
      </c>
      <c r="H746" s="27" t="s">
        <v>2023</v>
      </c>
    </row>
    <row r="747" spans="1:8" x14ac:dyDescent="0.25">
      <c r="A747" s="27" t="s">
        <v>1288</v>
      </c>
      <c r="B747" s="27" t="str">
        <f t="shared" si="22"/>
        <v>Tennessee</v>
      </c>
      <c r="C747" s="27" t="str">
        <f t="shared" si="23"/>
        <v>Cocke</v>
      </c>
      <c r="D747" s="27">
        <v>1542</v>
      </c>
      <c r="E747" s="27">
        <v>11193</v>
      </c>
      <c r="F747" s="27">
        <v>1902</v>
      </c>
      <c r="G747" s="27">
        <v>1141</v>
      </c>
      <c r="H747" s="27" t="s">
        <v>2023</v>
      </c>
    </row>
    <row r="748" spans="1:8" x14ac:dyDescent="0.25">
      <c r="A748" s="27" t="s">
        <v>1289</v>
      </c>
      <c r="B748" s="27" t="str">
        <f t="shared" si="22"/>
        <v>Tennessee</v>
      </c>
      <c r="C748" s="27" t="str">
        <f t="shared" si="23"/>
        <v>Coffee</v>
      </c>
      <c r="D748" s="27">
        <v>55</v>
      </c>
      <c r="E748" s="27">
        <v>9115</v>
      </c>
      <c r="F748" s="27">
        <v>1902</v>
      </c>
      <c r="G748" s="27">
        <v>1141</v>
      </c>
      <c r="H748" s="27" t="s">
        <v>2023</v>
      </c>
    </row>
    <row r="749" spans="1:8" x14ac:dyDescent="0.25">
      <c r="A749" s="27" t="s">
        <v>1290</v>
      </c>
      <c r="B749" s="27" t="str">
        <f t="shared" si="22"/>
        <v>Tennessee</v>
      </c>
      <c r="C749" s="27" t="str">
        <f t="shared" si="23"/>
        <v>Crockett</v>
      </c>
      <c r="D749" s="27">
        <v>613</v>
      </c>
      <c r="E749" s="27">
        <v>11277</v>
      </c>
      <c r="F749" s="27">
        <v>1902</v>
      </c>
      <c r="G749" s="27">
        <v>1141</v>
      </c>
      <c r="H749" s="27" t="s">
        <v>2023</v>
      </c>
    </row>
    <row r="750" spans="1:8" x14ac:dyDescent="0.25">
      <c r="A750" s="27" t="s">
        <v>1291</v>
      </c>
      <c r="B750" s="27" t="str">
        <f t="shared" si="22"/>
        <v>Tennessee</v>
      </c>
      <c r="C750" s="27" t="str">
        <f t="shared" si="23"/>
        <v>Cumberland</v>
      </c>
      <c r="D750" s="27">
        <v>533</v>
      </c>
      <c r="E750" s="27">
        <v>7868</v>
      </c>
      <c r="F750" s="27">
        <v>1902</v>
      </c>
      <c r="G750" s="27">
        <v>1141</v>
      </c>
      <c r="H750" s="27" t="s">
        <v>2023</v>
      </c>
    </row>
    <row r="751" spans="1:8" x14ac:dyDescent="0.25">
      <c r="A751" s="27" t="s">
        <v>1292</v>
      </c>
      <c r="B751" s="27" t="str">
        <f t="shared" si="22"/>
        <v>Tennessee</v>
      </c>
      <c r="C751" s="27" t="str">
        <f t="shared" si="23"/>
        <v>Davidson</v>
      </c>
      <c r="D751" s="27">
        <v>7489</v>
      </c>
      <c r="E751" s="27">
        <v>196536</v>
      </c>
      <c r="F751" s="27">
        <v>1902</v>
      </c>
      <c r="G751" s="27">
        <v>1141</v>
      </c>
      <c r="H751" s="27" t="s">
        <v>2023</v>
      </c>
    </row>
    <row r="752" spans="1:8" x14ac:dyDescent="0.25">
      <c r="A752" s="27" t="s">
        <v>1293</v>
      </c>
      <c r="B752" s="27" t="str">
        <f t="shared" si="22"/>
        <v>Tennessee</v>
      </c>
      <c r="C752" s="27" t="str">
        <f t="shared" si="23"/>
        <v>Decatur</v>
      </c>
      <c r="D752" s="27">
        <v>134</v>
      </c>
      <c r="E752" s="27">
        <v>5016</v>
      </c>
      <c r="F752" s="27">
        <v>1902</v>
      </c>
      <c r="G752" s="27">
        <v>1141</v>
      </c>
      <c r="H752" s="27" t="s">
        <v>2023</v>
      </c>
    </row>
    <row r="753" spans="1:8" x14ac:dyDescent="0.25">
      <c r="A753" s="27" t="s">
        <v>1760</v>
      </c>
      <c r="B753" s="27" t="str">
        <f t="shared" si="22"/>
        <v>Tennessee</v>
      </c>
      <c r="C753" s="27" t="str">
        <f t="shared" si="23"/>
        <v>DeKalb</v>
      </c>
      <c r="D753" s="27">
        <v>1540</v>
      </c>
      <c r="E753" s="27">
        <v>10210</v>
      </c>
      <c r="F753" s="27">
        <v>1902</v>
      </c>
      <c r="G753" s="27">
        <v>1141</v>
      </c>
      <c r="H753" s="27" t="s">
        <v>2023</v>
      </c>
    </row>
    <row r="754" spans="1:8" x14ac:dyDescent="0.25">
      <c r="A754" s="27" t="s">
        <v>1294</v>
      </c>
      <c r="B754" s="27" t="str">
        <f t="shared" si="22"/>
        <v>Tennessee</v>
      </c>
      <c r="C754" s="27" t="str">
        <f t="shared" si="23"/>
        <v>Dickson</v>
      </c>
      <c r="D754" s="27">
        <v>309</v>
      </c>
      <c r="E754" s="27">
        <v>12274</v>
      </c>
      <c r="F754" s="27">
        <v>1902</v>
      </c>
      <c r="G754" s="27">
        <v>1141</v>
      </c>
      <c r="H754" s="27" t="s">
        <v>2023</v>
      </c>
    </row>
    <row r="755" spans="1:8" x14ac:dyDescent="0.25">
      <c r="A755" s="27" t="s">
        <v>1295</v>
      </c>
      <c r="B755" s="27" t="str">
        <f t="shared" si="22"/>
        <v>Tennessee</v>
      </c>
      <c r="C755" s="27" t="str">
        <f t="shared" si="23"/>
        <v>Dyer</v>
      </c>
      <c r="D755" s="27">
        <v>1175</v>
      </c>
      <c r="E755" s="27">
        <v>25917</v>
      </c>
      <c r="F755" s="27">
        <v>1902</v>
      </c>
      <c r="G755" s="27">
        <v>1141</v>
      </c>
      <c r="H755" s="27" t="s">
        <v>2023</v>
      </c>
    </row>
    <row r="756" spans="1:8" x14ac:dyDescent="0.25">
      <c r="A756" s="27" t="s">
        <v>1296</v>
      </c>
      <c r="B756" s="27" t="str">
        <f t="shared" si="22"/>
        <v>Tennessee</v>
      </c>
      <c r="C756" s="27" t="str">
        <f t="shared" si="23"/>
        <v>Fayette</v>
      </c>
      <c r="D756" s="27">
        <v>629</v>
      </c>
      <c r="E756" s="27">
        <v>18708</v>
      </c>
      <c r="F756" s="27">
        <v>1902</v>
      </c>
      <c r="G756" s="27">
        <v>1141</v>
      </c>
      <c r="H756" s="27" t="s">
        <v>2023</v>
      </c>
    </row>
    <row r="757" spans="1:8" x14ac:dyDescent="0.25">
      <c r="A757" s="27" t="s">
        <v>1297</v>
      </c>
      <c r="B757" s="27" t="str">
        <f t="shared" si="22"/>
        <v>Tennessee</v>
      </c>
      <c r="C757" s="27" t="str">
        <f t="shared" si="23"/>
        <v>Fentress</v>
      </c>
      <c r="D757" s="27">
        <v>570</v>
      </c>
      <c r="E757" s="27">
        <v>3866</v>
      </c>
      <c r="F757" s="27">
        <v>1902</v>
      </c>
      <c r="G757" s="27">
        <v>1141</v>
      </c>
      <c r="H757" s="27" t="s">
        <v>2023</v>
      </c>
    </row>
    <row r="758" spans="1:8" x14ac:dyDescent="0.25">
      <c r="A758" s="27" t="s">
        <v>1298</v>
      </c>
      <c r="B758" s="27" t="str">
        <f t="shared" si="22"/>
        <v>Tennessee</v>
      </c>
      <c r="C758" s="27" t="str">
        <f t="shared" si="23"/>
        <v>Franklin</v>
      </c>
      <c r="D758" s="27">
        <v>162</v>
      </c>
      <c r="E758" s="27">
        <v>18922</v>
      </c>
      <c r="F758" s="27">
        <v>1902</v>
      </c>
      <c r="G758" s="27">
        <v>1141</v>
      </c>
      <c r="H758" s="27" t="s">
        <v>2023</v>
      </c>
    </row>
    <row r="759" spans="1:8" x14ac:dyDescent="0.25">
      <c r="A759" s="27" t="s">
        <v>1299</v>
      </c>
      <c r="B759" s="27" t="str">
        <f t="shared" si="22"/>
        <v>Tennessee</v>
      </c>
      <c r="C759" s="27" t="str">
        <f t="shared" si="23"/>
        <v>Gibson</v>
      </c>
      <c r="D759" s="27">
        <v>818</v>
      </c>
      <c r="E759" s="27">
        <v>39166</v>
      </c>
      <c r="F759" s="27">
        <v>1902</v>
      </c>
      <c r="G759" s="27">
        <v>1141</v>
      </c>
      <c r="H759" s="27" t="s">
        <v>2023</v>
      </c>
    </row>
    <row r="760" spans="1:8" x14ac:dyDescent="0.25">
      <c r="A760" s="27" t="s">
        <v>1300</v>
      </c>
      <c r="B760" s="27" t="str">
        <f t="shared" si="22"/>
        <v>Tennessee</v>
      </c>
      <c r="C760" s="27" t="str">
        <f t="shared" si="23"/>
        <v>Giles</v>
      </c>
      <c r="D760" s="27">
        <v>1000</v>
      </c>
      <c r="E760" s="27">
        <v>19986</v>
      </c>
      <c r="F760" s="27">
        <v>1902</v>
      </c>
      <c r="G760" s="27">
        <v>1141</v>
      </c>
      <c r="H760" s="27" t="s">
        <v>2023</v>
      </c>
    </row>
    <row r="761" spans="1:8" x14ac:dyDescent="0.25">
      <c r="A761" s="27" t="s">
        <v>1761</v>
      </c>
      <c r="B761" s="27" t="str">
        <f t="shared" si="22"/>
        <v>Tennessee</v>
      </c>
      <c r="C761" s="27" t="str">
        <f t="shared" si="23"/>
        <v>Grainger</v>
      </c>
      <c r="D761" s="27">
        <v>1025</v>
      </c>
      <c r="E761" s="27">
        <v>6101</v>
      </c>
      <c r="F761" s="27">
        <v>1902</v>
      </c>
      <c r="G761" s="27">
        <v>1141</v>
      </c>
      <c r="H761" s="27" t="s">
        <v>2023</v>
      </c>
    </row>
    <row r="762" spans="1:8" x14ac:dyDescent="0.25">
      <c r="A762" s="27" t="s">
        <v>1301</v>
      </c>
      <c r="B762" s="27" t="str">
        <f t="shared" si="22"/>
        <v>Tennessee</v>
      </c>
      <c r="C762" s="27" t="str">
        <f t="shared" si="23"/>
        <v>Greene</v>
      </c>
      <c r="D762" s="27">
        <v>458</v>
      </c>
      <c r="E762" s="27">
        <v>27156</v>
      </c>
      <c r="F762" s="27">
        <v>1902</v>
      </c>
      <c r="G762" s="27">
        <v>1141</v>
      </c>
      <c r="H762" s="27" t="s">
        <v>2023</v>
      </c>
    </row>
    <row r="763" spans="1:8" x14ac:dyDescent="0.25">
      <c r="A763" s="27" t="s">
        <v>1302</v>
      </c>
      <c r="B763" s="27" t="str">
        <f t="shared" si="22"/>
        <v>Tennessee</v>
      </c>
      <c r="C763" s="27" t="str">
        <f t="shared" si="23"/>
        <v>Grundy</v>
      </c>
      <c r="D763" s="27">
        <v>3</v>
      </c>
      <c r="E763" s="27">
        <v>5380</v>
      </c>
      <c r="F763" s="27">
        <v>1902</v>
      </c>
      <c r="G763" s="27">
        <v>1141</v>
      </c>
      <c r="H763" s="27" t="s">
        <v>2023</v>
      </c>
    </row>
    <row r="764" spans="1:8" x14ac:dyDescent="0.25">
      <c r="A764" s="27" t="s">
        <v>1303</v>
      </c>
      <c r="B764" s="27" t="str">
        <f t="shared" si="22"/>
        <v>Tennessee</v>
      </c>
      <c r="C764" s="27" t="str">
        <f t="shared" si="23"/>
        <v>Hamblen</v>
      </c>
      <c r="D764" s="27">
        <v>3565</v>
      </c>
      <c r="E764" s="27">
        <v>14411</v>
      </c>
      <c r="F764" s="27">
        <v>1902</v>
      </c>
      <c r="G764" s="27">
        <v>1141</v>
      </c>
      <c r="H764" s="27" t="s">
        <v>2023</v>
      </c>
    </row>
    <row r="765" spans="1:8" x14ac:dyDescent="0.25">
      <c r="A765" s="27" t="s">
        <v>1304</v>
      </c>
      <c r="B765" s="27" t="str">
        <f t="shared" si="22"/>
        <v>Tennessee</v>
      </c>
      <c r="C765" s="27" t="str">
        <f t="shared" si="23"/>
        <v>Hamilton</v>
      </c>
      <c r="D765" s="27">
        <v>1486</v>
      </c>
      <c r="E765" s="27">
        <v>92375</v>
      </c>
      <c r="F765" s="27">
        <v>1902</v>
      </c>
      <c r="G765" s="27">
        <v>1141</v>
      </c>
      <c r="H765" s="27" t="s">
        <v>2023</v>
      </c>
    </row>
    <row r="766" spans="1:8" x14ac:dyDescent="0.25">
      <c r="A766" s="27" t="s">
        <v>1305</v>
      </c>
      <c r="B766" s="27" t="str">
        <f t="shared" si="22"/>
        <v>Tennessee</v>
      </c>
      <c r="C766" s="27" t="str">
        <f t="shared" si="23"/>
        <v>Hancock</v>
      </c>
      <c r="D766" s="27">
        <v>55</v>
      </c>
      <c r="E766" s="27">
        <v>3891</v>
      </c>
      <c r="F766" s="27">
        <v>1902</v>
      </c>
      <c r="G766" s="27">
        <v>1141</v>
      </c>
      <c r="H766" s="27" t="s">
        <v>2023</v>
      </c>
    </row>
    <row r="767" spans="1:8" x14ac:dyDescent="0.25">
      <c r="A767" s="27" t="s">
        <v>1306</v>
      </c>
      <c r="B767" s="27" t="str">
        <f t="shared" si="22"/>
        <v>Tennessee</v>
      </c>
      <c r="C767" s="27" t="str">
        <f t="shared" si="23"/>
        <v>Hardeman</v>
      </c>
      <c r="D767" s="27">
        <v>2273</v>
      </c>
      <c r="E767" s="27">
        <v>20224</v>
      </c>
      <c r="F767" s="27">
        <v>1902</v>
      </c>
      <c r="G767" s="27">
        <v>1141</v>
      </c>
      <c r="H767" s="27" t="s">
        <v>2023</v>
      </c>
    </row>
    <row r="768" spans="1:8" x14ac:dyDescent="0.25">
      <c r="A768" s="27" t="s">
        <v>1307</v>
      </c>
      <c r="B768" s="27" t="str">
        <f t="shared" si="22"/>
        <v>Tennessee</v>
      </c>
      <c r="C768" s="27" t="str">
        <f t="shared" si="23"/>
        <v>Hardin</v>
      </c>
      <c r="D768" s="27">
        <v>529</v>
      </c>
      <c r="E768" s="27">
        <v>13132</v>
      </c>
      <c r="F768" s="27">
        <v>1902</v>
      </c>
      <c r="G768" s="27">
        <v>1141</v>
      </c>
      <c r="H768" s="27" t="s">
        <v>2023</v>
      </c>
    </row>
    <row r="769" spans="1:8" x14ac:dyDescent="0.25">
      <c r="A769" s="27" t="s">
        <v>1308</v>
      </c>
      <c r="B769" s="27" t="str">
        <f t="shared" si="22"/>
        <v>Tennessee</v>
      </c>
      <c r="C769" s="27" t="str">
        <f t="shared" si="23"/>
        <v>Hawkins</v>
      </c>
      <c r="D769" s="27">
        <v>746</v>
      </c>
      <c r="E769" s="27">
        <v>13055</v>
      </c>
      <c r="F769" s="27">
        <v>1902</v>
      </c>
      <c r="G769" s="27">
        <v>1141</v>
      </c>
      <c r="H769" s="27" t="s">
        <v>2023</v>
      </c>
    </row>
    <row r="770" spans="1:8" x14ac:dyDescent="0.25">
      <c r="A770" s="27" t="s">
        <v>1309</v>
      </c>
      <c r="B770" s="27" t="str">
        <f t="shared" si="22"/>
        <v>Tennessee</v>
      </c>
      <c r="C770" s="27" t="str">
        <f t="shared" si="23"/>
        <v>Haywood</v>
      </c>
      <c r="D770" s="27">
        <v>837</v>
      </c>
      <c r="E770" s="27">
        <v>15882</v>
      </c>
      <c r="F770" s="27">
        <v>1902</v>
      </c>
      <c r="G770" s="27">
        <v>1141</v>
      </c>
      <c r="H770" s="27" t="s">
        <v>2023</v>
      </c>
    </row>
    <row r="771" spans="1:8" x14ac:dyDescent="0.25">
      <c r="A771" s="27" t="s">
        <v>1310</v>
      </c>
      <c r="B771" s="27" t="str">
        <f t="shared" ref="B771:B834" si="24">LEFT(A771,FIND(";",A771)-1)</f>
        <v>Tennessee</v>
      </c>
      <c r="C771" s="27" t="str">
        <f t="shared" ref="C771:C834" si="25">MID(A771,FIND(";",A771)+1,100)</f>
        <v>Henderson</v>
      </c>
      <c r="D771" s="27">
        <v>674</v>
      </c>
      <c r="E771" s="27">
        <v>15190</v>
      </c>
      <c r="F771" s="27">
        <v>1902</v>
      </c>
      <c r="G771" s="27">
        <v>1141</v>
      </c>
      <c r="H771" s="27" t="s">
        <v>2023</v>
      </c>
    </row>
    <row r="772" spans="1:8" x14ac:dyDescent="0.25">
      <c r="A772" s="27" t="s">
        <v>1311</v>
      </c>
      <c r="B772" s="27" t="str">
        <f t="shared" si="24"/>
        <v>Tennessee</v>
      </c>
      <c r="C772" s="27" t="str">
        <f t="shared" si="25"/>
        <v>Henry</v>
      </c>
      <c r="D772" s="27">
        <v>1369</v>
      </c>
      <c r="E772" s="27">
        <v>25506</v>
      </c>
      <c r="F772" s="27">
        <v>1902</v>
      </c>
      <c r="G772" s="27">
        <v>1141</v>
      </c>
      <c r="H772" s="27" t="s">
        <v>2023</v>
      </c>
    </row>
    <row r="773" spans="1:8" x14ac:dyDescent="0.25">
      <c r="A773" s="27" t="s">
        <v>1312</v>
      </c>
      <c r="B773" s="27" t="str">
        <f t="shared" si="24"/>
        <v>Tennessee</v>
      </c>
      <c r="C773" s="27" t="str">
        <f t="shared" si="25"/>
        <v>Hickman</v>
      </c>
      <c r="D773" s="27">
        <v>316</v>
      </c>
      <c r="E773" s="27">
        <v>12131</v>
      </c>
      <c r="F773" s="27">
        <v>1902</v>
      </c>
      <c r="G773" s="27">
        <v>1141</v>
      </c>
      <c r="H773" s="27" t="s">
        <v>2023</v>
      </c>
    </row>
    <row r="774" spans="1:8" x14ac:dyDescent="0.25">
      <c r="A774" s="27" t="s">
        <v>1313</v>
      </c>
      <c r="B774" s="27" t="str">
        <f t="shared" si="24"/>
        <v>Tennessee</v>
      </c>
      <c r="C774" s="27" t="str">
        <f t="shared" si="25"/>
        <v>Houston</v>
      </c>
      <c r="E774" s="27">
        <v>7432</v>
      </c>
      <c r="F774" s="27">
        <v>1902</v>
      </c>
      <c r="G774" s="27">
        <v>1141</v>
      </c>
      <c r="H774" s="27" t="s">
        <v>2023</v>
      </c>
    </row>
    <row r="775" spans="1:8" x14ac:dyDescent="0.25">
      <c r="A775" s="27" t="s">
        <v>1314</v>
      </c>
      <c r="B775" s="27" t="str">
        <f t="shared" si="24"/>
        <v>Tennessee</v>
      </c>
      <c r="C775" s="27" t="str">
        <f t="shared" si="25"/>
        <v>Humphreys</v>
      </c>
      <c r="D775" s="27">
        <v>490</v>
      </c>
      <c r="E775" s="27">
        <v>10872</v>
      </c>
      <c r="F775" s="27">
        <v>1902</v>
      </c>
      <c r="G775" s="27">
        <v>1141</v>
      </c>
      <c r="H775" s="27" t="s">
        <v>2023</v>
      </c>
    </row>
    <row r="776" spans="1:8" x14ac:dyDescent="0.25">
      <c r="A776" s="27" t="s">
        <v>1315</v>
      </c>
      <c r="B776" s="27" t="str">
        <f t="shared" si="24"/>
        <v>Tennessee</v>
      </c>
      <c r="C776" s="27" t="str">
        <f t="shared" si="25"/>
        <v>Jackson</v>
      </c>
      <c r="D776" s="27">
        <v>1750</v>
      </c>
      <c r="E776" s="27">
        <v>8762</v>
      </c>
      <c r="F776" s="27">
        <v>1902</v>
      </c>
      <c r="G776" s="27">
        <v>1141</v>
      </c>
      <c r="H776" s="27" t="s">
        <v>2023</v>
      </c>
    </row>
    <row r="777" spans="1:8" x14ac:dyDescent="0.25">
      <c r="A777" s="27" t="s">
        <v>1316</v>
      </c>
      <c r="B777" s="27" t="str">
        <f t="shared" si="24"/>
        <v>Tennessee</v>
      </c>
      <c r="C777" s="27" t="str">
        <f t="shared" si="25"/>
        <v>James</v>
      </c>
      <c r="D777" s="27">
        <v>24</v>
      </c>
      <c r="E777" s="27">
        <v>5128</v>
      </c>
      <c r="F777" s="27">
        <v>1902</v>
      </c>
      <c r="G777" s="27">
        <v>1141</v>
      </c>
      <c r="H777" s="27" t="s">
        <v>2023</v>
      </c>
    </row>
    <row r="778" spans="1:8" x14ac:dyDescent="0.25">
      <c r="A778" s="27" t="s">
        <v>1317</v>
      </c>
      <c r="B778" s="27" t="str">
        <f t="shared" si="24"/>
        <v>Tennessee</v>
      </c>
      <c r="C778" s="27" t="str">
        <f t="shared" si="25"/>
        <v>Jefferson</v>
      </c>
      <c r="D778" s="27">
        <v>617</v>
      </c>
      <c r="E778" s="27">
        <v>14016</v>
      </c>
      <c r="F778" s="27">
        <v>1902</v>
      </c>
      <c r="G778" s="27">
        <v>1141</v>
      </c>
      <c r="H778" s="27" t="s">
        <v>2023</v>
      </c>
    </row>
    <row r="779" spans="1:8" x14ac:dyDescent="0.25">
      <c r="A779" s="27" t="s">
        <v>1318</v>
      </c>
      <c r="B779" s="27" t="str">
        <f t="shared" si="24"/>
        <v>Tennessee</v>
      </c>
      <c r="C779" s="27" t="str">
        <f t="shared" si="25"/>
        <v>Johnson</v>
      </c>
      <c r="D779" s="27">
        <v>152</v>
      </c>
      <c r="E779" s="27">
        <v>7321</v>
      </c>
      <c r="F779" s="27">
        <v>1902</v>
      </c>
      <c r="G779" s="27">
        <v>1141</v>
      </c>
      <c r="H779" s="27" t="s">
        <v>2023</v>
      </c>
    </row>
    <row r="780" spans="1:8" x14ac:dyDescent="0.25">
      <c r="A780" s="27" t="s">
        <v>1319</v>
      </c>
      <c r="B780" s="27" t="str">
        <f t="shared" si="24"/>
        <v>Tennessee</v>
      </c>
      <c r="C780" s="27" t="str">
        <f t="shared" si="25"/>
        <v>Knox</v>
      </c>
      <c r="D780" s="27">
        <v>3003</v>
      </c>
      <c r="E780" s="27">
        <v>119001</v>
      </c>
      <c r="F780" s="27">
        <v>1902</v>
      </c>
      <c r="G780" s="27">
        <v>1141</v>
      </c>
      <c r="H780" s="27" t="s">
        <v>2023</v>
      </c>
    </row>
    <row r="781" spans="1:8" x14ac:dyDescent="0.25">
      <c r="A781" s="27" t="s">
        <v>1320</v>
      </c>
      <c r="B781" s="27" t="str">
        <f t="shared" si="24"/>
        <v>Tennessee</v>
      </c>
      <c r="C781" s="27" t="str">
        <f t="shared" si="25"/>
        <v>Lake</v>
      </c>
      <c r="D781" s="27">
        <v>78</v>
      </c>
      <c r="E781" s="27">
        <v>9994</v>
      </c>
      <c r="F781" s="27">
        <v>1902</v>
      </c>
      <c r="G781" s="27">
        <v>1141</v>
      </c>
      <c r="H781" s="27" t="s">
        <v>2023</v>
      </c>
    </row>
    <row r="782" spans="1:8" x14ac:dyDescent="0.25">
      <c r="A782" s="27" t="s">
        <v>1321</v>
      </c>
      <c r="B782" s="27" t="str">
        <f t="shared" si="24"/>
        <v>Tennessee</v>
      </c>
      <c r="C782" s="27" t="str">
        <f t="shared" si="25"/>
        <v>Lauderdale</v>
      </c>
      <c r="D782" s="27">
        <v>653</v>
      </c>
      <c r="E782" s="27">
        <v>14706</v>
      </c>
      <c r="F782" s="27">
        <v>1902</v>
      </c>
      <c r="G782" s="27">
        <v>1141</v>
      </c>
      <c r="H782" s="27" t="s">
        <v>2023</v>
      </c>
    </row>
    <row r="783" spans="1:8" x14ac:dyDescent="0.25">
      <c r="A783" s="27" t="s">
        <v>1322</v>
      </c>
      <c r="B783" s="27" t="str">
        <f t="shared" si="24"/>
        <v>Tennessee</v>
      </c>
      <c r="C783" s="27" t="str">
        <f t="shared" si="25"/>
        <v>Lawrence</v>
      </c>
      <c r="D783" s="27">
        <v>28</v>
      </c>
      <c r="E783" s="27">
        <v>14829</v>
      </c>
      <c r="F783" s="27">
        <v>1902</v>
      </c>
      <c r="G783" s="27">
        <v>1141</v>
      </c>
      <c r="H783" s="27" t="s">
        <v>2023</v>
      </c>
    </row>
    <row r="784" spans="1:8" x14ac:dyDescent="0.25">
      <c r="A784" s="27" t="s">
        <v>1323</v>
      </c>
      <c r="B784" s="27" t="str">
        <f t="shared" si="24"/>
        <v>Tennessee</v>
      </c>
      <c r="C784" s="27" t="str">
        <f t="shared" si="25"/>
        <v>Lewis</v>
      </c>
      <c r="D784" s="27">
        <v>75</v>
      </c>
      <c r="E784" s="27">
        <v>4586</v>
      </c>
      <c r="F784" s="27">
        <v>1902</v>
      </c>
      <c r="G784" s="27">
        <v>1141</v>
      </c>
      <c r="H784" s="27" t="s">
        <v>2023</v>
      </c>
    </row>
    <row r="785" spans="1:8" x14ac:dyDescent="0.25">
      <c r="A785" s="27" t="s">
        <v>1324</v>
      </c>
      <c r="B785" s="27" t="str">
        <f t="shared" si="24"/>
        <v>Tennessee</v>
      </c>
      <c r="C785" s="27" t="str">
        <f t="shared" si="25"/>
        <v>Lincoln</v>
      </c>
      <c r="D785" s="27">
        <v>352</v>
      </c>
      <c r="E785" s="27">
        <v>20475</v>
      </c>
      <c r="F785" s="27">
        <v>1902</v>
      </c>
      <c r="G785" s="27">
        <v>1141</v>
      </c>
      <c r="H785" s="27" t="s">
        <v>2023</v>
      </c>
    </row>
    <row r="786" spans="1:8" x14ac:dyDescent="0.25">
      <c r="A786" s="27" t="s">
        <v>1325</v>
      </c>
      <c r="B786" s="27" t="str">
        <f t="shared" si="24"/>
        <v>Tennessee</v>
      </c>
      <c r="C786" s="27" t="str">
        <f t="shared" si="25"/>
        <v>Loudon</v>
      </c>
      <c r="D786" s="27">
        <v>862</v>
      </c>
      <c r="E786" s="27">
        <v>13287</v>
      </c>
      <c r="F786" s="27">
        <v>1902</v>
      </c>
      <c r="G786" s="27">
        <v>1141</v>
      </c>
      <c r="H786" s="27" t="s">
        <v>2023</v>
      </c>
    </row>
    <row r="787" spans="1:8" x14ac:dyDescent="0.25">
      <c r="A787" s="27" t="s">
        <v>1326</v>
      </c>
      <c r="B787" s="27" t="str">
        <f t="shared" si="24"/>
        <v>Tennessee</v>
      </c>
      <c r="C787" s="27" t="str">
        <f t="shared" si="25"/>
        <v>McMinn</v>
      </c>
      <c r="D787" s="27">
        <v>1293</v>
      </c>
      <c r="E787" s="27">
        <v>12278</v>
      </c>
      <c r="F787" s="27">
        <v>1902</v>
      </c>
      <c r="G787" s="27">
        <v>1141</v>
      </c>
      <c r="H787" s="27" t="s">
        <v>2023</v>
      </c>
    </row>
    <row r="788" spans="1:8" x14ac:dyDescent="0.25">
      <c r="A788" s="27" t="s">
        <v>1327</v>
      </c>
      <c r="B788" s="27" t="str">
        <f t="shared" si="24"/>
        <v>Tennessee</v>
      </c>
      <c r="C788" s="27" t="str">
        <f t="shared" si="25"/>
        <v>McNairy</v>
      </c>
      <c r="D788" s="27">
        <v>368</v>
      </c>
      <c r="E788" s="27">
        <v>7392</v>
      </c>
      <c r="F788" s="27">
        <v>1902</v>
      </c>
      <c r="G788" s="27">
        <v>1141</v>
      </c>
      <c r="H788" s="27" t="s">
        <v>2023</v>
      </c>
    </row>
    <row r="789" spans="1:8" x14ac:dyDescent="0.25">
      <c r="A789" s="27" t="s">
        <v>1328</v>
      </c>
      <c r="B789" s="27" t="str">
        <f t="shared" si="24"/>
        <v>Tennessee</v>
      </c>
      <c r="C789" s="27" t="str">
        <f t="shared" si="25"/>
        <v>Macon</v>
      </c>
      <c r="D789" s="27">
        <v>832</v>
      </c>
      <c r="E789" s="27">
        <v>8084</v>
      </c>
      <c r="F789" s="27">
        <v>1902</v>
      </c>
      <c r="G789" s="27">
        <v>1141</v>
      </c>
      <c r="H789" s="27" t="s">
        <v>2023</v>
      </c>
    </row>
    <row r="790" spans="1:8" x14ac:dyDescent="0.25">
      <c r="A790" s="27" t="s">
        <v>1329</v>
      </c>
      <c r="B790" s="27" t="str">
        <f t="shared" si="24"/>
        <v>Tennessee</v>
      </c>
      <c r="C790" s="27" t="str">
        <f t="shared" si="25"/>
        <v>Madison</v>
      </c>
      <c r="D790" s="27">
        <v>1970</v>
      </c>
      <c r="E790" s="27">
        <v>34018</v>
      </c>
      <c r="F790" s="27">
        <v>1902</v>
      </c>
      <c r="G790" s="27">
        <v>1141</v>
      </c>
      <c r="H790" s="27" t="s">
        <v>2023</v>
      </c>
    </row>
    <row r="791" spans="1:8" x14ac:dyDescent="0.25">
      <c r="A791" s="27" t="s">
        <v>1330</v>
      </c>
      <c r="B791" s="27" t="str">
        <f t="shared" si="24"/>
        <v>Tennessee</v>
      </c>
      <c r="C791" s="27" t="str">
        <f t="shared" si="25"/>
        <v>Marion</v>
      </c>
      <c r="D791" s="27">
        <v>590</v>
      </c>
      <c r="E791" s="27">
        <v>18778</v>
      </c>
      <c r="F791" s="27">
        <v>1902</v>
      </c>
      <c r="G791" s="27">
        <v>1141</v>
      </c>
      <c r="H791" s="27" t="s">
        <v>2023</v>
      </c>
    </row>
    <row r="792" spans="1:8" x14ac:dyDescent="0.25">
      <c r="A792" s="27" t="s">
        <v>1331</v>
      </c>
      <c r="B792" s="27" t="str">
        <f t="shared" si="24"/>
        <v>Tennessee</v>
      </c>
      <c r="C792" s="27" t="str">
        <f t="shared" si="25"/>
        <v>Marshall</v>
      </c>
      <c r="E792" s="27">
        <v>16540</v>
      </c>
      <c r="F792" s="27">
        <v>1902</v>
      </c>
      <c r="G792" s="27">
        <v>1141</v>
      </c>
      <c r="H792" s="27" t="s">
        <v>2023</v>
      </c>
    </row>
    <row r="793" spans="1:8" x14ac:dyDescent="0.25">
      <c r="A793" s="27" t="s">
        <v>1332</v>
      </c>
      <c r="B793" s="27" t="str">
        <f t="shared" si="24"/>
        <v>Tennessee</v>
      </c>
      <c r="C793" s="27" t="str">
        <f t="shared" si="25"/>
        <v>Maury</v>
      </c>
      <c r="E793" s="27">
        <v>39957</v>
      </c>
      <c r="F793" s="27">
        <v>1902</v>
      </c>
      <c r="G793" s="27">
        <v>1141</v>
      </c>
      <c r="H793" s="27" t="s">
        <v>2023</v>
      </c>
    </row>
    <row r="794" spans="1:8" x14ac:dyDescent="0.25">
      <c r="A794" s="27" t="s">
        <v>1333</v>
      </c>
      <c r="B794" s="27" t="str">
        <f t="shared" si="24"/>
        <v>Tennessee</v>
      </c>
      <c r="C794" s="27" t="str">
        <f t="shared" si="25"/>
        <v>Meigs</v>
      </c>
      <c r="E794" s="27">
        <v>4204</v>
      </c>
      <c r="F794" s="27">
        <v>1902</v>
      </c>
      <c r="G794" s="27">
        <v>1141</v>
      </c>
      <c r="H794" s="27" t="s">
        <v>2023</v>
      </c>
    </row>
    <row r="795" spans="1:8" x14ac:dyDescent="0.25">
      <c r="A795" s="27" t="s">
        <v>1334</v>
      </c>
      <c r="B795" s="27" t="str">
        <f t="shared" si="24"/>
        <v>Tennessee</v>
      </c>
      <c r="C795" s="27" t="str">
        <f t="shared" si="25"/>
        <v>Monroe</v>
      </c>
      <c r="D795" s="27">
        <v>1920</v>
      </c>
      <c r="E795" s="27">
        <v>14025</v>
      </c>
      <c r="F795" s="27">
        <v>1902</v>
      </c>
      <c r="G795" s="27">
        <v>1141</v>
      </c>
      <c r="H795" s="27" t="s">
        <v>2023</v>
      </c>
    </row>
    <row r="796" spans="1:8" x14ac:dyDescent="0.25">
      <c r="A796" s="27" t="s">
        <v>1335</v>
      </c>
      <c r="B796" s="27" t="str">
        <f t="shared" si="24"/>
        <v>Tennessee</v>
      </c>
      <c r="C796" s="27" t="str">
        <f t="shared" si="25"/>
        <v>Montgomery</v>
      </c>
      <c r="D796" s="27">
        <v>396</v>
      </c>
      <c r="E796" s="27">
        <v>34249</v>
      </c>
      <c r="F796" s="27">
        <v>1902</v>
      </c>
      <c r="G796" s="27">
        <v>1141</v>
      </c>
      <c r="H796" s="27" t="s">
        <v>2023</v>
      </c>
    </row>
    <row r="797" spans="1:8" x14ac:dyDescent="0.25">
      <c r="A797" s="27" t="s">
        <v>1336</v>
      </c>
      <c r="B797" s="27" t="str">
        <f t="shared" si="24"/>
        <v>Tennessee</v>
      </c>
      <c r="C797" s="27" t="str">
        <f t="shared" si="25"/>
        <v>Moore</v>
      </c>
      <c r="E797" s="27">
        <v>3932</v>
      </c>
      <c r="F797" s="27">
        <v>1902</v>
      </c>
      <c r="G797" s="27">
        <v>1141</v>
      </c>
      <c r="H797" s="27" t="s">
        <v>2023</v>
      </c>
    </row>
    <row r="798" spans="1:8" x14ac:dyDescent="0.25">
      <c r="A798" s="27" t="s">
        <v>1337</v>
      </c>
      <c r="B798" s="27" t="str">
        <f t="shared" si="24"/>
        <v>Tennessee</v>
      </c>
      <c r="C798" s="27" t="str">
        <f t="shared" si="25"/>
        <v>Morgan</v>
      </c>
      <c r="E798" s="27">
        <v>10190</v>
      </c>
      <c r="F798" s="27">
        <v>1902</v>
      </c>
      <c r="G798" s="27">
        <v>1141</v>
      </c>
      <c r="H798" s="27" t="s">
        <v>2023</v>
      </c>
    </row>
    <row r="799" spans="1:8" x14ac:dyDescent="0.25">
      <c r="A799" s="27" t="s">
        <v>1338</v>
      </c>
      <c r="B799" s="27" t="str">
        <f t="shared" si="24"/>
        <v>Tennessee</v>
      </c>
      <c r="C799" s="27" t="str">
        <f t="shared" si="25"/>
        <v>Obion</v>
      </c>
      <c r="D799" s="27">
        <v>1318</v>
      </c>
      <c r="E799" s="27">
        <v>43926</v>
      </c>
      <c r="F799" s="27">
        <v>1902</v>
      </c>
      <c r="G799" s="27">
        <v>1141</v>
      </c>
      <c r="H799" s="27" t="s">
        <v>2023</v>
      </c>
    </row>
    <row r="800" spans="1:8" x14ac:dyDescent="0.25">
      <c r="A800" s="27" t="s">
        <v>1339</v>
      </c>
      <c r="B800" s="27" t="str">
        <f t="shared" si="24"/>
        <v>Tennessee</v>
      </c>
      <c r="C800" s="27" t="str">
        <f t="shared" si="25"/>
        <v>Overton</v>
      </c>
      <c r="D800" s="27">
        <v>970</v>
      </c>
      <c r="E800" s="27">
        <v>6873</v>
      </c>
      <c r="F800" s="27">
        <v>1902</v>
      </c>
      <c r="G800" s="27">
        <v>1141</v>
      </c>
      <c r="H800" s="27" t="s">
        <v>2023</v>
      </c>
    </row>
    <row r="801" spans="1:8" x14ac:dyDescent="0.25">
      <c r="A801" s="27" t="s">
        <v>1340</v>
      </c>
      <c r="B801" s="27" t="str">
        <f t="shared" si="24"/>
        <v>Tennessee</v>
      </c>
      <c r="C801" s="27" t="str">
        <f t="shared" si="25"/>
        <v>Perry</v>
      </c>
      <c r="D801" s="27">
        <v>249</v>
      </c>
      <c r="E801" s="27">
        <v>4330</v>
      </c>
      <c r="F801" s="27">
        <v>1902</v>
      </c>
      <c r="G801" s="27">
        <v>1141</v>
      </c>
      <c r="H801" s="27" t="s">
        <v>2023</v>
      </c>
    </row>
    <row r="802" spans="1:8" x14ac:dyDescent="0.25">
      <c r="A802" s="27" t="s">
        <v>1341</v>
      </c>
      <c r="B802" s="27" t="str">
        <f t="shared" si="24"/>
        <v>Tennessee</v>
      </c>
      <c r="C802" s="27" t="str">
        <f t="shared" si="25"/>
        <v>Pickett</v>
      </c>
      <c r="D802" s="27">
        <v>528</v>
      </c>
      <c r="E802" s="27">
        <v>3962</v>
      </c>
      <c r="F802" s="27">
        <v>1902</v>
      </c>
      <c r="G802" s="27">
        <v>1141</v>
      </c>
      <c r="H802" s="27" t="s">
        <v>2023</v>
      </c>
    </row>
    <row r="803" spans="1:8" x14ac:dyDescent="0.25">
      <c r="A803" s="27" t="s">
        <v>1342</v>
      </c>
      <c r="B803" s="27" t="str">
        <f t="shared" si="24"/>
        <v>Tennessee</v>
      </c>
      <c r="C803" s="27" t="str">
        <f t="shared" si="25"/>
        <v>Polk</v>
      </c>
      <c r="D803" s="27">
        <v>2080</v>
      </c>
      <c r="E803" s="27">
        <v>8721</v>
      </c>
      <c r="F803" s="27">
        <v>1902</v>
      </c>
      <c r="G803" s="27">
        <v>1141</v>
      </c>
      <c r="H803" s="27" t="s">
        <v>2023</v>
      </c>
    </row>
    <row r="804" spans="1:8" x14ac:dyDescent="0.25">
      <c r="A804" s="27" t="s">
        <v>1343</v>
      </c>
      <c r="B804" s="27" t="str">
        <f t="shared" si="24"/>
        <v>Tennessee</v>
      </c>
      <c r="C804" s="27" t="str">
        <f t="shared" si="25"/>
        <v>Putnam</v>
      </c>
      <c r="D804" s="27">
        <v>1154</v>
      </c>
      <c r="E804" s="27">
        <v>15284</v>
      </c>
      <c r="F804" s="27">
        <v>1902</v>
      </c>
      <c r="G804" s="27">
        <v>1141</v>
      </c>
      <c r="H804" s="27" t="s">
        <v>2023</v>
      </c>
    </row>
    <row r="805" spans="1:8" x14ac:dyDescent="0.25">
      <c r="A805" s="27" t="s">
        <v>1344</v>
      </c>
      <c r="B805" s="27" t="str">
        <f t="shared" si="24"/>
        <v>Tennessee</v>
      </c>
      <c r="C805" s="27" t="str">
        <f t="shared" si="25"/>
        <v>Rhea</v>
      </c>
      <c r="D805" s="27">
        <v>190</v>
      </c>
      <c r="E805" s="27">
        <v>11987</v>
      </c>
      <c r="F805" s="27">
        <v>1902</v>
      </c>
      <c r="G805" s="27">
        <v>1141</v>
      </c>
      <c r="H805" s="27" t="s">
        <v>2023</v>
      </c>
    </row>
    <row r="806" spans="1:8" x14ac:dyDescent="0.25">
      <c r="A806" s="27" t="s">
        <v>1345</v>
      </c>
      <c r="B806" s="27" t="str">
        <f t="shared" si="24"/>
        <v>Tennessee</v>
      </c>
      <c r="C806" s="27" t="str">
        <f t="shared" si="25"/>
        <v>Roane</v>
      </c>
      <c r="D806" s="27">
        <v>1956</v>
      </c>
      <c r="E806" s="27">
        <v>6751</v>
      </c>
      <c r="F806" s="27">
        <v>1902</v>
      </c>
      <c r="G806" s="27">
        <v>1141</v>
      </c>
      <c r="H806" s="27" t="s">
        <v>2023</v>
      </c>
    </row>
    <row r="807" spans="1:8" x14ac:dyDescent="0.25">
      <c r="A807" s="27" t="s">
        <v>1346</v>
      </c>
      <c r="B807" s="27" t="str">
        <f t="shared" si="24"/>
        <v>Tennessee</v>
      </c>
      <c r="C807" s="27" t="str">
        <f t="shared" si="25"/>
        <v>Robertson</v>
      </c>
      <c r="D807" s="27">
        <v>3533</v>
      </c>
      <c r="E807" s="27">
        <v>30000</v>
      </c>
      <c r="F807" s="27">
        <v>1902</v>
      </c>
      <c r="G807" s="27">
        <v>1141</v>
      </c>
      <c r="H807" s="27" t="s">
        <v>2023</v>
      </c>
    </row>
    <row r="808" spans="1:8" x14ac:dyDescent="0.25">
      <c r="A808" s="27" t="s">
        <v>1347</v>
      </c>
      <c r="B808" s="27" t="str">
        <f t="shared" si="24"/>
        <v>Tennessee</v>
      </c>
      <c r="C808" s="27" t="str">
        <f t="shared" si="25"/>
        <v>Rutherford</v>
      </c>
      <c r="D808" s="27">
        <v>820</v>
      </c>
      <c r="E808" s="27">
        <v>34993</v>
      </c>
      <c r="F808" s="27">
        <v>1902</v>
      </c>
      <c r="G808" s="27">
        <v>1141</v>
      </c>
      <c r="H808" s="27" t="s">
        <v>2023</v>
      </c>
    </row>
    <row r="809" spans="1:8" x14ac:dyDescent="0.25">
      <c r="A809" s="27" t="s">
        <v>1348</v>
      </c>
      <c r="B809" s="27" t="str">
        <f t="shared" si="24"/>
        <v>Tennessee</v>
      </c>
      <c r="C809" s="27" t="str">
        <f t="shared" si="25"/>
        <v>Scott</v>
      </c>
      <c r="D809" s="27">
        <v>29</v>
      </c>
      <c r="E809" s="27">
        <v>9141</v>
      </c>
      <c r="F809" s="27">
        <v>1902</v>
      </c>
      <c r="G809" s="27">
        <v>1141</v>
      </c>
      <c r="H809" s="27" t="s">
        <v>2023</v>
      </c>
    </row>
    <row r="810" spans="1:8" x14ac:dyDescent="0.25">
      <c r="A810" s="27" t="s">
        <v>1762</v>
      </c>
      <c r="B810" s="27" t="str">
        <f t="shared" si="24"/>
        <v>Tennessee</v>
      </c>
      <c r="C810" s="27" t="str">
        <f t="shared" si="25"/>
        <v>Sequatchie</v>
      </c>
      <c r="E810" s="27">
        <v>2849</v>
      </c>
      <c r="F810" s="27">
        <v>1902</v>
      </c>
      <c r="G810" s="27">
        <v>1141</v>
      </c>
      <c r="H810" s="27" t="s">
        <v>2023</v>
      </c>
    </row>
    <row r="811" spans="1:8" x14ac:dyDescent="0.25">
      <c r="A811" s="27" t="s">
        <v>1349</v>
      </c>
      <c r="B811" s="27" t="str">
        <f t="shared" si="24"/>
        <v>Tennessee</v>
      </c>
      <c r="C811" s="27" t="str">
        <f t="shared" si="25"/>
        <v>Sevier</v>
      </c>
      <c r="D811" s="27">
        <v>473</v>
      </c>
      <c r="E811" s="27">
        <v>11329</v>
      </c>
      <c r="F811" s="27">
        <v>1902</v>
      </c>
      <c r="G811" s="27">
        <v>1141</v>
      </c>
      <c r="H811" s="27" t="s">
        <v>2023</v>
      </c>
    </row>
    <row r="812" spans="1:8" x14ac:dyDescent="0.25">
      <c r="A812" s="27" t="s">
        <v>1350</v>
      </c>
      <c r="B812" s="27" t="str">
        <f t="shared" si="24"/>
        <v>Tennessee</v>
      </c>
      <c r="C812" s="27" t="str">
        <f t="shared" si="25"/>
        <v>Shelby</v>
      </c>
      <c r="D812" s="27">
        <v>11962</v>
      </c>
      <c r="E812" s="27">
        <v>141119</v>
      </c>
      <c r="F812" s="27">
        <v>1902</v>
      </c>
      <c r="G812" s="27">
        <v>1141</v>
      </c>
      <c r="H812" s="27" t="s">
        <v>2023</v>
      </c>
    </row>
    <row r="813" spans="1:8" x14ac:dyDescent="0.25">
      <c r="A813" s="27" t="s">
        <v>1351</v>
      </c>
      <c r="B813" s="27" t="str">
        <f t="shared" si="24"/>
        <v>Tennessee</v>
      </c>
      <c r="C813" s="27" t="str">
        <f t="shared" si="25"/>
        <v>Smith</v>
      </c>
      <c r="D813" s="27">
        <v>810</v>
      </c>
      <c r="E813" s="27">
        <v>12131</v>
      </c>
      <c r="F813" s="27">
        <v>1902</v>
      </c>
      <c r="G813" s="27">
        <v>1143</v>
      </c>
      <c r="H813" s="27" t="s">
        <v>2024</v>
      </c>
    </row>
    <row r="814" spans="1:8" x14ac:dyDescent="0.25">
      <c r="A814" s="27" t="s">
        <v>1352</v>
      </c>
      <c r="B814" s="27" t="str">
        <f t="shared" si="24"/>
        <v>Tennessee</v>
      </c>
      <c r="C814" s="27" t="str">
        <f t="shared" si="25"/>
        <v>Stewart</v>
      </c>
      <c r="E814" s="27">
        <v>10087</v>
      </c>
      <c r="F814" s="27">
        <v>1902</v>
      </c>
      <c r="G814" s="27">
        <v>1143</v>
      </c>
      <c r="H814" s="27" t="s">
        <v>2024</v>
      </c>
    </row>
    <row r="815" spans="1:8" x14ac:dyDescent="0.25">
      <c r="A815" s="27" t="s">
        <v>1353</v>
      </c>
      <c r="B815" s="27" t="str">
        <f t="shared" si="24"/>
        <v>Tennessee</v>
      </c>
      <c r="C815" s="27" t="str">
        <f t="shared" si="25"/>
        <v>Sullivan</v>
      </c>
      <c r="D815" s="27">
        <v>513</v>
      </c>
      <c r="E815" s="27">
        <v>21028</v>
      </c>
      <c r="F815" s="27">
        <v>1902</v>
      </c>
      <c r="G815" s="27">
        <v>1143</v>
      </c>
      <c r="H815" s="27" t="s">
        <v>2024</v>
      </c>
    </row>
    <row r="816" spans="1:8" x14ac:dyDescent="0.25">
      <c r="A816" s="27" t="s">
        <v>1354</v>
      </c>
      <c r="B816" s="27" t="str">
        <f t="shared" si="24"/>
        <v>Tennessee</v>
      </c>
      <c r="C816" s="27" t="str">
        <f t="shared" si="25"/>
        <v>Sumner</v>
      </c>
      <c r="D816" s="27">
        <v>578</v>
      </c>
      <c r="E816" s="27">
        <v>20189</v>
      </c>
      <c r="F816" s="27">
        <v>1902</v>
      </c>
      <c r="G816" s="27">
        <v>1143</v>
      </c>
      <c r="H816" s="27" t="s">
        <v>2024</v>
      </c>
    </row>
    <row r="817" spans="1:8" x14ac:dyDescent="0.25">
      <c r="A817" s="27" t="s">
        <v>1355</v>
      </c>
      <c r="B817" s="27" t="str">
        <f t="shared" si="24"/>
        <v>Tennessee</v>
      </c>
      <c r="C817" s="27" t="str">
        <f t="shared" si="25"/>
        <v>Tipton</v>
      </c>
      <c r="D817" s="27">
        <v>2138</v>
      </c>
      <c r="E817" s="27">
        <v>22315</v>
      </c>
      <c r="F817" s="27">
        <v>1902</v>
      </c>
      <c r="G817" s="27">
        <v>1143</v>
      </c>
      <c r="H817" s="27" t="s">
        <v>2024</v>
      </c>
    </row>
    <row r="818" spans="1:8" x14ac:dyDescent="0.25">
      <c r="A818" s="27" t="s">
        <v>1356</v>
      </c>
      <c r="B818" s="27" t="str">
        <f t="shared" si="24"/>
        <v>Tennessee</v>
      </c>
      <c r="C818" s="27" t="str">
        <f t="shared" si="25"/>
        <v>Trousdale</v>
      </c>
      <c r="D818" s="27">
        <v>674</v>
      </c>
      <c r="E818" s="27">
        <v>5823</v>
      </c>
      <c r="F818" s="27">
        <v>1902</v>
      </c>
      <c r="G818" s="27">
        <v>1143</v>
      </c>
      <c r="H818" s="27" t="s">
        <v>2024</v>
      </c>
    </row>
    <row r="819" spans="1:8" x14ac:dyDescent="0.25">
      <c r="A819" s="27" t="s">
        <v>1357</v>
      </c>
      <c r="B819" s="27" t="str">
        <f t="shared" si="24"/>
        <v>Tennessee</v>
      </c>
      <c r="C819" s="27" t="str">
        <f t="shared" si="25"/>
        <v>Unicoi</v>
      </c>
      <c r="D819" s="27">
        <v>50</v>
      </c>
      <c r="E819" s="27">
        <v>2842</v>
      </c>
      <c r="F819" s="27">
        <v>1902</v>
      </c>
      <c r="G819" s="27">
        <v>1143</v>
      </c>
      <c r="H819" s="27" t="s">
        <v>2024</v>
      </c>
    </row>
    <row r="820" spans="1:8" x14ac:dyDescent="0.25">
      <c r="A820" s="27" t="s">
        <v>1358</v>
      </c>
      <c r="B820" s="27" t="str">
        <f t="shared" si="24"/>
        <v>Tennessee</v>
      </c>
      <c r="C820" s="27" t="str">
        <f t="shared" si="25"/>
        <v>Union</v>
      </c>
      <c r="D820" s="27">
        <v>1312</v>
      </c>
      <c r="E820" s="27">
        <v>7782</v>
      </c>
      <c r="F820" s="27">
        <v>1902</v>
      </c>
      <c r="G820" s="27">
        <v>1143</v>
      </c>
      <c r="H820" s="27" t="s">
        <v>2024</v>
      </c>
    </row>
    <row r="821" spans="1:8" x14ac:dyDescent="0.25">
      <c r="A821" s="27" t="s">
        <v>1359</v>
      </c>
      <c r="B821" s="27" t="str">
        <f t="shared" si="24"/>
        <v>Tennessee</v>
      </c>
      <c r="C821" s="27" t="str">
        <f t="shared" si="25"/>
        <v>Van Buren</v>
      </c>
      <c r="D821" s="27">
        <v>27</v>
      </c>
      <c r="E821" s="27">
        <v>1657</v>
      </c>
      <c r="F821" s="27">
        <v>1902</v>
      </c>
      <c r="G821" s="27">
        <v>1143</v>
      </c>
      <c r="H821" s="27" t="s">
        <v>2024</v>
      </c>
    </row>
    <row r="822" spans="1:8" x14ac:dyDescent="0.25">
      <c r="A822" s="27" t="s">
        <v>1360</v>
      </c>
      <c r="B822" s="27" t="str">
        <f t="shared" si="24"/>
        <v>Tennessee</v>
      </c>
      <c r="C822" s="27" t="str">
        <f t="shared" si="25"/>
        <v>Warren</v>
      </c>
      <c r="D822" s="27">
        <v>530</v>
      </c>
      <c r="E822" s="27">
        <v>10994</v>
      </c>
      <c r="F822" s="27">
        <v>1902</v>
      </c>
      <c r="G822" s="27">
        <v>1143</v>
      </c>
      <c r="H822" s="27" t="s">
        <v>2024</v>
      </c>
    </row>
    <row r="823" spans="1:8" x14ac:dyDescent="0.25">
      <c r="A823" s="27" t="s">
        <v>1361</v>
      </c>
      <c r="B823" s="27" t="str">
        <f t="shared" si="24"/>
        <v>Tennessee</v>
      </c>
      <c r="C823" s="27" t="str">
        <f t="shared" si="25"/>
        <v>Washington</v>
      </c>
      <c r="D823" s="27">
        <v>752</v>
      </c>
      <c r="E823" s="27">
        <v>20786</v>
      </c>
      <c r="F823" s="27">
        <v>1902</v>
      </c>
      <c r="G823" s="27">
        <v>1143</v>
      </c>
      <c r="H823" s="27" t="s">
        <v>2024</v>
      </c>
    </row>
    <row r="824" spans="1:8" x14ac:dyDescent="0.25">
      <c r="A824" s="27" t="s">
        <v>1362</v>
      </c>
      <c r="B824" s="27" t="str">
        <f t="shared" si="24"/>
        <v>Tennessee</v>
      </c>
      <c r="C824" s="27" t="str">
        <f t="shared" si="25"/>
        <v>Wayne</v>
      </c>
      <c r="D824" s="27">
        <v>267</v>
      </c>
      <c r="E824" s="27">
        <v>8342</v>
      </c>
      <c r="F824" s="27">
        <v>1902</v>
      </c>
      <c r="G824" s="27">
        <v>1143</v>
      </c>
      <c r="H824" s="27" t="s">
        <v>2024</v>
      </c>
    </row>
    <row r="825" spans="1:8" x14ac:dyDescent="0.25">
      <c r="A825" s="27" t="s">
        <v>1363</v>
      </c>
      <c r="B825" s="27" t="str">
        <f t="shared" si="24"/>
        <v>Tennessee</v>
      </c>
      <c r="C825" s="27" t="str">
        <f t="shared" si="25"/>
        <v>Weakley</v>
      </c>
      <c r="D825" s="27">
        <v>2939</v>
      </c>
      <c r="E825" s="27">
        <v>27442</v>
      </c>
      <c r="F825" s="27">
        <v>1902</v>
      </c>
      <c r="G825" s="27">
        <v>1143</v>
      </c>
      <c r="H825" s="27" t="s">
        <v>2024</v>
      </c>
    </row>
    <row r="826" spans="1:8" x14ac:dyDescent="0.25">
      <c r="A826" s="27" t="s">
        <v>1364</v>
      </c>
      <c r="B826" s="27" t="str">
        <f t="shared" si="24"/>
        <v>Tennessee</v>
      </c>
      <c r="C826" s="27" t="str">
        <f t="shared" si="25"/>
        <v>White</v>
      </c>
      <c r="D826" s="27">
        <v>10</v>
      </c>
      <c r="E826" s="27">
        <v>11212</v>
      </c>
      <c r="F826" s="27">
        <v>1902</v>
      </c>
      <c r="G826" s="27">
        <v>1143</v>
      </c>
      <c r="H826" s="27" t="s">
        <v>2024</v>
      </c>
    </row>
    <row r="827" spans="1:8" x14ac:dyDescent="0.25">
      <c r="A827" s="27" t="s">
        <v>1365</v>
      </c>
      <c r="B827" s="27" t="str">
        <f t="shared" si="24"/>
        <v>Tennessee</v>
      </c>
      <c r="C827" s="27" t="str">
        <f t="shared" si="25"/>
        <v>Williamson</v>
      </c>
      <c r="D827" s="27">
        <v>930</v>
      </c>
      <c r="E827" s="27">
        <v>23241</v>
      </c>
      <c r="F827" s="27">
        <v>1902</v>
      </c>
      <c r="G827" s="27">
        <v>1143</v>
      </c>
      <c r="H827" s="27" t="s">
        <v>2024</v>
      </c>
    </row>
    <row r="828" spans="1:8" x14ac:dyDescent="0.25">
      <c r="A828" s="27" t="s">
        <v>1366</v>
      </c>
      <c r="B828" s="27" t="str">
        <f t="shared" si="24"/>
        <v>Tennessee</v>
      </c>
      <c r="C828" s="27" t="str">
        <f t="shared" si="25"/>
        <v>Wilson</v>
      </c>
      <c r="D828" s="27">
        <v>820</v>
      </c>
      <c r="E828" s="27">
        <v>21723</v>
      </c>
      <c r="F828" s="27">
        <v>1902</v>
      </c>
      <c r="G828" s="27">
        <v>1143</v>
      </c>
      <c r="H828" s="27" t="s">
        <v>2024</v>
      </c>
    </row>
    <row r="829" spans="1:8" x14ac:dyDescent="0.25">
      <c r="A829" s="27" t="s">
        <v>1273</v>
      </c>
      <c r="B829" s="27" t="str">
        <f t="shared" si="24"/>
        <v/>
      </c>
      <c r="C829" s="27" t="str">
        <f t="shared" si="25"/>
        <v>My Total</v>
      </c>
      <c r="D829" s="27">
        <f>SUM(D733:D828)</f>
        <v>96638</v>
      </c>
      <c r="E829" s="27">
        <f>SUM(E733:E828)</f>
        <v>1847165</v>
      </c>
      <c r="H829" s="27" t="s">
        <v>2013</v>
      </c>
    </row>
    <row r="830" spans="1:8" x14ac:dyDescent="0.25">
      <c r="A830" s="27" t="s">
        <v>1274</v>
      </c>
      <c r="B830" s="27" t="str">
        <f t="shared" si="24"/>
        <v/>
      </c>
      <c r="C830" s="27" t="str">
        <f t="shared" si="25"/>
        <v>Reported Total</v>
      </c>
      <c r="D830" s="27">
        <v>96638</v>
      </c>
      <c r="E830" s="27">
        <v>1847165</v>
      </c>
      <c r="H830" s="27" t="s">
        <v>2013</v>
      </c>
    </row>
    <row r="831" spans="1:8" x14ac:dyDescent="0.25">
      <c r="A831" s="27" t="s">
        <v>1367</v>
      </c>
      <c r="B831" s="27" t="str">
        <f t="shared" si="24"/>
        <v/>
      </c>
      <c r="C831" s="27" t="str">
        <f t="shared" si="25"/>
        <v/>
      </c>
      <c r="H831" s="27" t="s">
        <v>2013</v>
      </c>
    </row>
    <row r="832" spans="1:8" x14ac:dyDescent="0.25">
      <c r="A832" s="27" t="s">
        <v>1368</v>
      </c>
      <c r="B832" s="27" t="str">
        <f t="shared" si="24"/>
        <v>Texas</v>
      </c>
      <c r="C832" s="27" t="str">
        <f t="shared" si="25"/>
        <v>Anderson</v>
      </c>
      <c r="D832" s="27">
        <v>604</v>
      </c>
      <c r="E832" s="27">
        <v>22952</v>
      </c>
      <c r="F832" s="27">
        <v>1902</v>
      </c>
      <c r="G832" s="27">
        <v>1143</v>
      </c>
      <c r="H832" s="27" t="s">
        <v>2024</v>
      </c>
    </row>
    <row r="833" spans="1:8" x14ac:dyDescent="0.25">
      <c r="A833" s="27" t="s">
        <v>1369</v>
      </c>
      <c r="B833" s="27" t="str">
        <f t="shared" si="24"/>
        <v>Texas</v>
      </c>
      <c r="C833" s="27" t="str">
        <f t="shared" si="25"/>
        <v>Andrews</v>
      </c>
      <c r="F833" s="27">
        <v>1902</v>
      </c>
      <c r="G833" s="27">
        <v>1143</v>
      </c>
      <c r="H833" s="27" t="s">
        <v>2024</v>
      </c>
    </row>
    <row r="834" spans="1:8" x14ac:dyDescent="0.25">
      <c r="A834" s="27" t="s">
        <v>1370</v>
      </c>
      <c r="B834" s="27" t="str">
        <f t="shared" si="24"/>
        <v>Texas</v>
      </c>
      <c r="C834" s="27" t="str">
        <f t="shared" si="25"/>
        <v>Angelina</v>
      </c>
      <c r="D834" s="27">
        <v>534</v>
      </c>
      <c r="E834" s="27">
        <v>21582</v>
      </c>
      <c r="F834" s="27">
        <v>1902</v>
      </c>
      <c r="G834" s="27">
        <v>1143</v>
      </c>
      <c r="H834" s="27" t="s">
        <v>2024</v>
      </c>
    </row>
    <row r="835" spans="1:8" x14ac:dyDescent="0.25">
      <c r="A835" s="27" t="s">
        <v>1371</v>
      </c>
      <c r="B835" s="27" t="str">
        <f t="shared" ref="B835:B898" si="26">LEFT(A835,FIND(";",A835)-1)</f>
        <v>Texas</v>
      </c>
      <c r="C835" s="27" t="str">
        <f t="shared" ref="C835:C898" si="27">MID(A835,FIND(";",A835)+1,100)</f>
        <v>Aransas</v>
      </c>
      <c r="D835" s="27">
        <v>17</v>
      </c>
      <c r="E835" s="27">
        <v>1237</v>
      </c>
      <c r="F835" s="27">
        <v>1902</v>
      </c>
      <c r="G835" s="27">
        <v>1143</v>
      </c>
      <c r="H835" s="27" t="s">
        <v>2024</v>
      </c>
    </row>
    <row r="836" spans="1:8" x14ac:dyDescent="0.25">
      <c r="A836" s="27" t="s">
        <v>1372</v>
      </c>
      <c r="B836" s="27" t="str">
        <f t="shared" si="26"/>
        <v>Texas</v>
      </c>
      <c r="C836" s="27" t="str">
        <f t="shared" si="27"/>
        <v>Archer</v>
      </c>
      <c r="E836" s="27">
        <v>8277</v>
      </c>
      <c r="F836" s="27">
        <v>1902</v>
      </c>
      <c r="G836" s="27">
        <v>1143</v>
      </c>
      <c r="H836" s="27" t="s">
        <v>2024</v>
      </c>
    </row>
    <row r="837" spans="1:8" x14ac:dyDescent="0.25">
      <c r="A837" s="27" t="s">
        <v>1373</v>
      </c>
      <c r="B837" s="27" t="str">
        <f t="shared" si="26"/>
        <v>Texas</v>
      </c>
      <c r="C837" s="27" t="str">
        <f t="shared" si="27"/>
        <v>Armstrong</v>
      </c>
      <c r="D837" s="27">
        <v>75</v>
      </c>
      <c r="E837" s="27">
        <v>4946</v>
      </c>
      <c r="F837" s="27">
        <v>1902</v>
      </c>
      <c r="G837" s="27">
        <v>1143</v>
      </c>
      <c r="H837" s="27" t="s">
        <v>2024</v>
      </c>
    </row>
    <row r="838" spans="1:8" x14ac:dyDescent="0.25">
      <c r="A838" s="27" t="s">
        <v>1374</v>
      </c>
      <c r="B838" s="27" t="str">
        <f t="shared" si="26"/>
        <v>Texas</v>
      </c>
      <c r="C838" s="27" t="str">
        <f t="shared" si="27"/>
        <v>Atascosa</v>
      </c>
      <c r="D838" s="27">
        <v>17</v>
      </c>
      <c r="E838" s="27">
        <v>12263</v>
      </c>
      <c r="F838" s="27">
        <v>1902</v>
      </c>
      <c r="G838" s="27">
        <v>1143</v>
      </c>
      <c r="H838" s="27" t="s">
        <v>2024</v>
      </c>
    </row>
    <row r="839" spans="1:8" x14ac:dyDescent="0.25">
      <c r="A839" s="27" t="s">
        <v>1375</v>
      </c>
      <c r="B839" s="27" t="str">
        <f t="shared" si="26"/>
        <v>Texas</v>
      </c>
      <c r="C839" s="27" t="str">
        <f t="shared" si="27"/>
        <v>Austin</v>
      </c>
      <c r="D839" s="27">
        <v>247</v>
      </c>
      <c r="E839" s="27">
        <v>20177</v>
      </c>
      <c r="F839" s="27">
        <v>1902</v>
      </c>
      <c r="G839" s="27">
        <v>1143</v>
      </c>
      <c r="H839" s="27" t="s">
        <v>2024</v>
      </c>
    </row>
    <row r="840" spans="1:8" x14ac:dyDescent="0.25">
      <c r="A840" s="27" t="s">
        <v>1376</v>
      </c>
      <c r="B840" s="27" t="str">
        <f t="shared" si="26"/>
        <v>Texas</v>
      </c>
      <c r="C840" s="27" t="str">
        <f t="shared" si="27"/>
        <v>Bailey</v>
      </c>
      <c r="F840" s="27">
        <v>1902</v>
      </c>
      <c r="G840" s="27">
        <v>1143</v>
      </c>
      <c r="H840" s="27" t="s">
        <v>2024</v>
      </c>
    </row>
    <row r="841" spans="1:8" x14ac:dyDescent="0.25">
      <c r="A841" s="27" t="s">
        <v>1377</v>
      </c>
      <c r="B841" s="27" t="str">
        <f t="shared" si="26"/>
        <v>Texas</v>
      </c>
      <c r="C841" s="27" t="str">
        <f t="shared" si="27"/>
        <v>Bandera</v>
      </c>
      <c r="E841" s="27">
        <v>7941</v>
      </c>
      <c r="F841" s="27">
        <v>1902</v>
      </c>
      <c r="G841" s="27">
        <v>1143</v>
      </c>
      <c r="H841" s="27" t="s">
        <v>2024</v>
      </c>
    </row>
    <row r="842" spans="1:8" x14ac:dyDescent="0.25">
      <c r="A842" s="27" t="s">
        <v>1378</v>
      </c>
      <c r="B842" s="27" t="str">
        <f t="shared" si="26"/>
        <v>Texas</v>
      </c>
      <c r="C842" s="27" t="str">
        <f t="shared" si="27"/>
        <v>Bastrop</v>
      </c>
      <c r="D842" s="27">
        <v>695</v>
      </c>
      <c r="E842" s="27">
        <v>24240</v>
      </c>
      <c r="F842" s="27">
        <v>1902</v>
      </c>
      <c r="G842" s="27">
        <v>1143</v>
      </c>
      <c r="H842" s="27" t="s">
        <v>2024</v>
      </c>
    </row>
    <row r="843" spans="1:8" x14ac:dyDescent="0.25">
      <c r="A843" s="27" t="s">
        <v>1379</v>
      </c>
      <c r="B843" s="27" t="str">
        <f t="shared" si="26"/>
        <v>Texas</v>
      </c>
      <c r="C843" s="27" t="str">
        <f t="shared" si="27"/>
        <v>Baylor</v>
      </c>
      <c r="D843" s="27">
        <v>51</v>
      </c>
      <c r="E843" s="27">
        <v>5033</v>
      </c>
      <c r="F843" s="27">
        <v>1902</v>
      </c>
      <c r="G843" s="27">
        <v>1143</v>
      </c>
      <c r="H843" s="27" t="s">
        <v>2024</v>
      </c>
    </row>
    <row r="844" spans="1:8" x14ac:dyDescent="0.25">
      <c r="A844" s="27" t="s">
        <v>1380</v>
      </c>
      <c r="B844" s="27" t="str">
        <f t="shared" si="26"/>
        <v>Texas</v>
      </c>
      <c r="C844" s="27" t="str">
        <f t="shared" si="27"/>
        <v>Bee</v>
      </c>
      <c r="D844" s="27">
        <v>186</v>
      </c>
      <c r="E844" s="27">
        <v>7963</v>
      </c>
      <c r="F844" s="27">
        <v>1902</v>
      </c>
      <c r="G844" s="27">
        <v>1143</v>
      </c>
      <c r="H844" s="27" t="s">
        <v>2024</v>
      </c>
    </row>
    <row r="845" spans="1:8" x14ac:dyDescent="0.25">
      <c r="A845" s="27" t="s">
        <v>1381</v>
      </c>
      <c r="B845" s="27" t="str">
        <f t="shared" si="26"/>
        <v>Texas</v>
      </c>
      <c r="C845" s="27" t="str">
        <f t="shared" si="27"/>
        <v>Bell</v>
      </c>
      <c r="D845" s="27">
        <v>418</v>
      </c>
      <c r="E845" s="27">
        <v>46190</v>
      </c>
      <c r="F845" s="27">
        <v>1902</v>
      </c>
      <c r="G845" s="27">
        <v>1143</v>
      </c>
      <c r="H845" s="27" t="s">
        <v>2024</v>
      </c>
    </row>
    <row r="846" spans="1:8" x14ac:dyDescent="0.25">
      <c r="A846" s="27" t="s">
        <v>1382</v>
      </c>
      <c r="B846" s="27" t="str">
        <f t="shared" si="26"/>
        <v>Texas</v>
      </c>
      <c r="C846" s="27" t="str">
        <f t="shared" si="27"/>
        <v>Bexar</v>
      </c>
      <c r="D846" s="27">
        <v>2461</v>
      </c>
      <c r="E846" s="27">
        <v>22728</v>
      </c>
      <c r="F846" s="27">
        <v>1902</v>
      </c>
      <c r="G846" s="27">
        <v>1143</v>
      </c>
      <c r="H846" s="27" t="s">
        <v>2024</v>
      </c>
    </row>
    <row r="847" spans="1:8" x14ac:dyDescent="0.25">
      <c r="A847" s="27" t="s">
        <v>1383</v>
      </c>
      <c r="B847" s="27" t="str">
        <f t="shared" si="26"/>
        <v>Texas</v>
      </c>
      <c r="C847" s="27" t="str">
        <f t="shared" si="27"/>
        <v>Blanco</v>
      </c>
      <c r="E847" s="27">
        <v>7038</v>
      </c>
      <c r="F847" s="27">
        <v>1902</v>
      </c>
      <c r="G847" s="27">
        <v>1143</v>
      </c>
      <c r="H847" s="27" t="s">
        <v>2024</v>
      </c>
    </row>
    <row r="848" spans="1:8" x14ac:dyDescent="0.25">
      <c r="A848" s="27" t="s">
        <v>1384</v>
      </c>
      <c r="B848" s="27" t="str">
        <f t="shared" si="26"/>
        <v>Texas</v>
      </c>
      <c r="C848" s="27" t="str">
        <f t="shared" si="27"/>
        <v>Borden</v>
      </c>
      <c r="E848" s="27">
        <v>3182</v>
      </c>
      <c r="F848" s="27">
        <v>1902</v>
      </c>
      <c r="G848" s="27">
        <v>1143</v>
      </c>
      <c r="H848" s="27" t="s">
        <v>2024</v>
      </c>
    </row>
    <row r="849" spans="1:8" x14ac:dyDescent="0.25">
      <c r="A849" s="27" t="s">
        <v>1385</v>
      </c>
      <c r="B849" s="27" t="str">
        <f t="shared" si="26"/>
        <v>Texas</v>
      </c>
      <c r="C849" s="27" t="str">
        <f t="shared" si="27"/>
        <v>Bosque</v>
      </c>
      <c r="D849" s="27">
        <v>979</v>
      </c>
      <c r="E849" s="27">
        <v>17466</v>
      </c>
      <c r="F849" s="27">
        <v>1902</v>
      </c>
      <c r="G849" s="27">
        <v>1143</v>
      </c>
      <c r="H849" s="27" t="s">
        <v>2024</v>
      </c>
    </row>
    <row r="850" spans="1:8" x14ac:dyDescent="0.25">
      <c r="A850" s="27" t="s">
        <v>1386</v>
      </c>
      <c r="B850" s="27" t="str">
        <f t="shared" si="26"/>
        <v>Texas</v>
      </c>
      <c r="C850" s="27" t="str">
        <f t="shared" si="27"/>
        <v>Bowie</v>
      </c>
      <c r="D850" s="27">
        <v>313</v>
      </c>
      <c r="E850" s="27">
        <v>36073</v>
      </c>
      <c r="F850" s="27">
        <v>1902</v>
      </c>
      <c r="G850" s="27">
        <v>1143</v>
      </c>
      <c r="H850" s="27" t="s">
        <v>2024</v>
      </c>
    </row>
    <row r="851" spans="1:8" x14ac:dyDescent="0.25">
      <c r="A851" s="27" t="s">
        <v>1387</v>
      </c>
      <c r="B851" s="27" t="str">
        <f t="shared" si="26"/>
        <v>Texas</v>
      </c>
      <c r="C851" s="27" t="str">
        <f t="shared" si="27"/>
        <v>Brazoria</v>
      </c>
      <c r="D851" s="27">
        <v>109</v>
      </c>
      <c r="E851" s="27">
        <v>22941</v>
      </c>
      <c r="F851" s="27">
        <v>1902</v>
      </c>
      <c r="G851" s="27">
        <v>1143</v>
      </c>
      <c r="H851" s="27" t="s">
        <v>2024</v>
      </c>
    </row>
    <row r="852" spans="1:8" x14ac:dyDescent="0.25">
      <c r="A852" s="27" t="s">
        <v>1388</v>
      </c>
      <c r="B852" s="27" t="str">
        <f t="shared" si="26"/>
        <v>Texas</v>
      </c>
      <c r="C852" s="27" t="str">
        <f t="shared" si="27"/>
        <v>Brazos</v>
      </c>
      <c r="D852" s="27">
        <v>268</v>
      </c>
      <c r="E852" s="27">
        <v>19975</v>
      </c>
      <c r="F852" s="27">
        <v>1902</v>
      </c>
      <c r="G852" s="27">
        <v>1143</v>
      </c>
      <c r="H852" s="27" t="s">
        <v>2024</v>
      </c>
    </row>
    <row r="853" spans="1:8" x14ac:dyDescent="0.25">
      <c r="A853" s="27" t="s">
        <v>1389</v>
      </c>
      <c r="B853" s="27" t="str">
        <f t="shared" si="26"/>
        <v>Texas</v>
      </c>
      <c r="C853" s="27" t="str">
        <f t="shared" si="27"/>
        <v>Brewster</v>
      </c>
      <c r="D853" s="27">
        <v>270</v>
      </c>
      <c r="E853" s="27">
        <v>5413</v>
      </c>
      <c r="F853" s="27">
        <v>1902</v>
      </c>
      <c r="G853" s="27">
        <v>1143</v>
      </c>
      <c r="H853" s="27" t="s">
        <v>2024</v>
      </c>
    </row>
    <row r="854" spans="1:8" x14ac:dyDescent="0.25">
      <c r="A854" s="27" t="s">
        <v>1390</v>
      </c>
      <c r="B854" s="27" t="str">
        <f t="shared" si="26"/>
        <v>Texas</v>
      </c>
      <c r="C854" s="27" t="str">
        <f t="shared" si="27"/>
        <v>Briscoe</v>
      </c>
      <c r="D854" s="27">
        <v>4</v>
      </c>
      <c r="E854" s="27">
        <v>3525</v>
      </c>
      <c r="F854" s="27">
        <v>1902</v>
      </c>
      <c r="G854" s="27">
        <v>1143</v>
      </c>
      <c r="H854" s="27" t="s">
        <v>2024</v>
      </c>
    </row>
    <row r="855" spans="1:8" x14ac:dyDescent="0.25">
      <c r="A855" s="27" t="s">
        <v>1391</v>
      </c>
      <c r="B855" s="27" t="str">
        <f t="shared" si="26"/>
        <v>Texas</v>
      </c>
      <c r="C855" s="27" t="str">
        <f t="shared" si="27"/>
        <v>Brooks</v>
      </c>
      <c r="F855" s="27">
        <v>1902</v>
      </c>
      <c r="G855" s="27">
        <v>1143</v>
      </c>
      <c r="H855" s="27" t="s">
        <v>2024</v>
      </c>
    </row>
    <row r="856" spans="1:8" x14ac:dyDescent="0.25">
      <c r="A856" s="27" t="s">
        <v>1392</v>
      </c>
      <c r="B856" s="27" t="str">
        <f t="shared" si="26"/>
        <v>Texas</v>
      </c>
      <c r="C856" s="27" t="str">
        <f t="shared" si="27"/>
        <v>Brown</v>
      </c>
      <c r="D856" s="27">
        <v>882</v>
      </c>
      <c r="E856" s="27">
        <v>17828</v>
      </c>
      <c r="F856" s="27">
        <v>1902</v>
      </c>
      <c r="G856" s="27">
        <v>1143</v>
      </c>
      <c r="H856" s="27" t="s">
        <v>2024</v>
      </c>
    </row>
    <row r="857" spans="1:8" x14ac:dyDescent="0.25">
      <c r="A857" s="27" t="s">
        <v>1393</v>
      </c>
      <c r="B857" s="27" t="str">
        <f t="shared" si="26"/>
        <v>Texas</v>
      </c>
      <c r="C857" s="27" t="str">
        <f t="shared" si="27"/>
        <v>Burleson</v>
      </c>
      <c r="D857" s="27">
        <v>66</v>
      </c>
      <c r="E857" s="27">
        <v>20362</v>
      </c>
      <c r="F857" s="27">
        <v>1902</v>
      </c>
      <c r="G857" s="27">
        <v>1143</v>
      </c>
      <c r="H857" s="27" t="s">
        <v>2024</v>
      </c>
    </row>
    <row r="858" spans="1:8" x14ac:dyDescent="0.25">
      <c r="A858" s="27" t="s">
        <v>1394</v>
      </c>
      <c r="B858" s="27" t="str">
        <f t="shared" si="26"/>
        <v>Texas</v>
      </c>
      <c r="C858" s="27" t="str">
        <f t="shared" si="27"/>
        <v>Burnet</v>
      </c>
      <c r="D858" s="27">
        <v>58</v>
      </c>
      <c r="E858" s="27">
        <v>9704</v>
      </c>
      <c r="F858" s="27">
        <v>1902</v>
      </c>
      <c r="G858" s="27">
        <v>1143</v>
      </c>
      <c r="H858" s="27" t="s">
        <v>2024</v>
      </c>
    </row>
    <row r="859" spans="1:8" x14ac:dyDescent="0.25">
      <c r="A859" s="27" t="s">
        <v>1395</v>
      </c>
      <c r="B859" s="27" t="str">
        <f t="shared" si="26"/>
        <v>Texas</v>
      </c>
      <c r="C859" s="27" t="str">
        <f t="shared" si="27"/>
        <v>Caldwell</v>
      </c>
      <c r="D859" s="27">
        <v>643</v>
      </c>
      <c r="E859" s="27">
        <v>23611</v>
      </c>
      <c r="F859" s="27">
        <v>1902</v>
      </c>
      <c r="G859" s="27">
        <v>1143</v>
      </c>
      <c r="H859" s="27" t="s">
        <v>2024</v>
      </c>
    </row>
    <row r="860" spans="1:8" x14ac:dyDescent="0.25">
      <c r="A860" s="27" t="s">
        <v>1396</v>
      </c>
      <c r="B860" s="27" t="str">
        <f t="shared" si="26"/>
        <v>Texas</v>
      </c>
      <c r="C860" s="27" t="str">
        <f t="shared" si="27"/>
        <v>Calhoun</v>
      </c>
      <c r="E860" s="27">
        <v>2761</v>
      </c>
      <c r="F860" s="27">
        <v>1902</v>
      </c>
      <c r="G860" s="27">
        <v>1143</v>
      </c>
      <c r="H860" s="27" t="s">
        <v>2024</v>
      </c>
    </row>
    <row r="861" spans="1:8" x14ac:dyDescent="0.25">
      <c r="A861" s="27" t="s">
        <v>1397</v>
      </c>
      <c r="B861" s="27" t="str">
        <f t="shared" si="26"/>
        <v>Texas</v>
      </c>
      <c r="C861" s="27" t="str">
        <f t="shared" si="27"/>
        <v>Callahan</v>
      </c>
      <c r="D861" s="27">
        <v>71</v>
      </c>
      <c r="E861" s="27">
        <v>13117</v>
      </c>
      <c r="F861" s="27">
        <v>1902</v>
      </c>
      <c r="G861" s="27">
        <v>1143</v>
      </c>
      <c r="H861" s="27" t="s">
        <v>2024</v>
      </c>
    </row>
    <row r="862" spans="1:8" x14ac:dyDescent="0.25">
      <c r="A862" s="27" t="s">
        <v>1398</v>
      </c>
      <c r="B862" s="27" t="str">
        <f t="shared" si="26"/>
        <v>Texas</v>
      </c>
      <c r="C862" s="27" t="str">
        <f t="shared" si="27"/>
        <v>Cameron</v>
      </c>
      <c r="D862" s="27">
        <v>1558</v>
      </c>
      <c r="E862" s="27">
        <v>21251</v>
      </c>
      <c r="F862" s="27">
        <v>1902</v>
      </c>
      <c r="G862" s="27">
        <v>1143</v>
      </c>
      <c r="H862" s="27" t="s">
        <v>2024</v>
      </c>
    </row>
    <row r="863" spans="1:8" x14ac:dyDescent="0.25">
      <c r="A863" s="27" t="s">
        <v>1399</v>
      </c>
      <c r="B863" s="27" t="str">
        <f t="shared" si="26"/>
        <v>Texas</v>
      </c>
      <c r="C863" s="27" t="str">
        <f t="shared" si="27"/>
        <v>Camp</v>
      </c>
      <c r="E863" s="27">
        <v>10844</v>
      </c>
      <c r="F863" s="27">
        <v>1902</v>
      </c>
      <c r="G863" s="27">
        <v>1143</v>
      </c>
      <c r="H863" s="27" t="s">
        <v>2024</v>
      </c>
    </row>
    <row r="864" spans="1:8" x14ac:dyDescent="0.25">
      <c r="A864" s="27" t="s">
        <v>1400</v>
      </c>
      <c r="B864" s="27" t="str">
        <f t="shared" si="26"/>
        <v>Texas</v>
      </c>
      <c r="C864" s="27" t="str">
        <f t="shared" si="27"/>
        <v>Carson</v>
      </c>
      <c r="D864" s="27">
        <v>9</v>
      </c>
      <c r="E864" s="27">
        <v>3767</v>
      </c>
      <c r="F864" s="27">
        <v>1902</v>
      </c>
      <c r="G864" s="27">
        <v>1143</v>
      </c>
      <c r="H864" s="27" t="s">
        <v>2024</v>
      </c>
    </row>
    <row r="865" spans="1:8" x14ac:dyDescent="0.25">
      <c r="A865" s="27" t="s">
        <v>1790</v>
      </c>
      <c r="B865" s="27" t="str">
        <f t="shared" si="26"/>
        <v>Texas</v>
      </c>
      <c r="C865" s="27" t="str">
        <f t="shared" si="27"/>
        <v>Cass/Davis</v>
      </c>
      <c r="E865" s="27">
        <v>26859</v>
      </c>
      <c r="F865" s="27">
        <v>1902</v>
      </c>
      <c r="G865" s="27">
        <v>1143</v>
      </c>
      <c r="H865" s="27" t="s">
        <v>2024</v>
      </c>
    </row>
    <row r="866" spans="1:8" x14ac:dyDescent="0.25">
      <c r="A866" s="27" t="s">
        <v>1401</v>
      </c>
      <c r="B866" s="27" t="str">
        <f t="shared" si="26"/>
        <v>Texas</v>
      </c>
      <c r="C866" s="27" t="str">
        <f t="shared" si="27"/>
        <v>Castro</v>
      </c>
      <c r="E866" s="27">
        <v>900</v>
      </c>
      <c r="F866" s="27">
        <v>1902</v>
      </c>
      <c r="G866" s="27">
        <v>1143</v>
      </c>
      <c r="H866" s="27" t="s">
        <v>2024</v>
      </c>
    </row>
    <row r="867" spans="1:8" x14ac:dyDescent="0.25">
      <c r="A867" s="27" t="s">
        <v>1402</v>
      </c>
      <c r="B867" s="27" t="str">
        <f t="shared" si="26"/>
        <v>Texas</v>
      </c>
      <c r="C867" s="27" t="str">
        <f t="shared" si="27"/>
        <v>Chambers</v>
      </c>
      <c r="E867" s="27">
        <v>4065</v>
      </c>
      <c r="F867" s="27">
        <v>1902</v>
      </c>
      <c r="G867" s="27">
        <v>1143</v>
      </c>
      <c r="H867" s="27" t="s">
        <v>2024</v>
      </c>
    </row>
    <row r="868" spans="1:8" x14ac:dyDescent="0.25">
      <c r="A868" s="27" t="s">
        <v>1403</v>
      </c>
      <c r="B868" s="27" t="str">
        <f t="shared" si="26"/>
        <v>Texas</v>
      </c>
      <c r="C868" s="27" t="str">
        <f t="shared" si="27"/>
        <v>Cherokee</v>
      </c>
      <c r="D868" s="27">
        <v>391</v>
      </c>
      <c r="E868" s="27">
        <v>32733</v>
      </c>
      <c r="F868" s="27">
        <v>1902</v>
      </c>
      <c r="G868" s="27">
        <v>1143</v>
      </c>
      <c r="H868" s="27" t="s">
        <v>2024</v>
      </c>
    </row>
    <row r="869" spans="1:8" x14ac:dyDescent="0.25">
      <c r="A869" s="27" t="s">
        <v>1404</v>
      </c>
      <c r="B869" s="27" t="str">
        <f t="shared" si="26"/>
        <v>Texas</v>
      </c>
      <c r="C869" s="27" t="str">
        <f t="shared" si="27"/>
        <v>Childress</v>
      </c>
      <c r="D869" s="27">
        <v>67</v>
      </c>
      <c r="E869" s="27">
        <v>4276</v>
      </c>
      <c r="F869" s="27">
        <v>1902</v>
      </c>
      <c r="G869" s="27">
        <v>1143</v>
      </c>
      <c r="H869" s="27" t="s">
        <v>2024</v>
      </c>
    </row>
    <row r="870" spans="1:8" x14ac:dyDescent="0.25">
      <c r="A870" s="27" t="s">
        <v>1405</v>
      </c>
      <c r="B870" s="27" t="str">
        <f t="shared" si="26"/>
        <v>Texas</v>
      </c>
      <c r="C870" s="27" t="str">
        <f t="shared" si="27"/>
        <v>Clay</v>
      </c>
      <c r="D870" s="27">
        <v>598</v>
      </c>
      <c r="E870" s="27">
        <v>16097</v>
      </c>
      <c r="F870" s="27">
        <v>1902</v>
      </c>
      <c r="G870" s="27">
        <v>1143</v>
      </c>
      <c r="H870" s="27" t="s">
        <v>2024</v>
      </c>
    </row>
    <row r="871" spans="1:8" x14ac:dyDescent="0.25">
      <c r="A871" s="27" t="s">
        <v>1791</v>
      </c>
      <c r="B871" s="27" t="str">
        <f t="shared" si="26"/>
        <v>Texas</v>
      </c>
      <c r="C871" s="27" t="str">
        <f t="shared" si="27"/>
        <v>Cochran</v>
      </c>
      <c r="F871" s="27">
        <v>1902</v>
      </c>
      <c r="G871" s="27">
        <v>1143</v>
      </c>
      <c r="H871" s="27" t="s">
        <v>2024</v>
      </c>
    </row>
    <row r="872" spans="1:8" x14ac:dyDescent="0.25">
      <c r="A872" s="27" t="s">
        <v>1406</v>
      </c>
      <c r="B872" s="27" t="str">
        <f t="shared" si="26"/>
        <v>Texas</v>
      </c>
      <c r="C872" s="27" t="str">
        <f t="shared" si="27"/>
        <v>Coke</v>
      </c>
      <c r="E872" s="27">
        <v>5971</v>
      </c>
      <c r="F872" s="27">
        <v>1902</v>
      </c>
      <c r="G872" s="27">
        <v>1143</v>
      </c>
      <c r="H872" s="27" t="s">
        <v>2024</v>
      </c>
    </row>
    <row r="873" spans="1:8" x14ac:dyDescent="0.25">
      <c r="A873" s="27" t="s">
        <v>1407</v>
      </c>
      <c r="B873" s="27" t="str">
        <f t="shared" si="26"/>
        <v>Texas</v>
      </c>
      <c r="C873" s="27" t="str">
        <f t="shared" si="27"/>
        <v>Coleman</v>
      </c>
      <c r="D873" s="27">
        <v>995</v>
      </c>
      <c r="E873" s="27">
        <v>23740</v>
      </c>
      <c r="F873" s="27">
        <v>1902</v>
      </c>
      <c r="G873" s="27">
        <v>1143</v>
      </c>
      <c r="H873" s="27" t="s">
        <v>2024</v>
      </c>
    </row>
    <row r="874" spans="1:8" x14ac:dyDescent="0.25">
      <c r="A874" s="27" t="s">
        <v>1408</v>
      </c>
      <c r="B874" s="27" t="str">
        <f t="shared" si="26"/>
        <v>Texas</v>
      </c>
      <c r="C874" s="27" t="str">
        <f t="shared" si="27"/>
        <v>Collin</v>
      </c>
      <c r="D874" s="27">
        <v>1357</v>
      </c>
      <c r="E874" s="27">
        <v>53816</v>
      </c>
      <c r="F874" s="27">
        <v>1902</v>
      </c>
      <c r="G874" s="27">
        <v>1143</v>
      </c>
      <c r="H874" s="27" t="s">
        <v>2024</v>
      </c>
    </row>
    <row r="875" spans="1:8" x14ac:dyDescent="0.25">
      <c r="A875" s="27" t="s">
        <v>1409</v>
      </c>
      <c r="B875" s="27" t="str">
        <f t="shared" si="26"/>
        <v>Texas</v>
      </c>
      <c r="C875" s="27" t="str">
        <f t="shared" si="27"/>
        <v>Collingsworth</v>
      </c>
      <c r="D875" s="27">
        <v>389</v>
      </c>
      <c r="E875" s="27">
        <v>3873</v>
      </c>
      <c r="F875" s="27">
        <v>1902</v>
      </c>
      <c r="G875" s="27">
        <v>1143</v>
      </c>
      <c r="H875" s="27" t="s">
        <v>2024</v>
      </c>
    </row>
    <row r="876" spans="1:8" x14ac:dyDescent="0.25">
      <c r="A876" s="27" t="s">
        <v>1410</v>
      </c>
      <c r="B876" s="27" t="str">
        <f t="shared" si="26"/>
        <v>Texas</v>
      </c>
      <c r="C876" s="27" t="str">
        <f t="shared" si="27"/>
        <v>Colorado</v>
      </c>
      <c r="D876" s="27">
        <v>334</v>
      </c>
      <c r="E876" s="27">
        <v>21652</v>
      </c>
      <c r="F876" s="27">
        <v>1902</v>
      </c>
      <c r="G876" s="27">
        <v>1143</v>
      </c>
      <c r="H876" s="27" t="s">
        <v>2024</v>
      </c>
    </row>
    <row r="877" spans="1:8" x14ac:dyDescent="0.25">
      <c r="A877" s="27" t="s">
        <v>1411</v>
      </c>
      <c r="B877" s="27" t="str">
        <f t="shared" si="26"/>
        <v>Texas</v>
      </c>
      <c r="C877" s="27" t="str">
        <f t="shared" si="27"/>
        <v>Comal</v>
      </c>
      <c r="E877" s="27">
        <v>12095</v>
      </c>
      <c r="F877" s="27">
        <v>1902</v>
      </c>
      <c r="G877" s="27">
        <v>1143</v>
      </c>
      <c r="H877" s="27" t="s">
        <v>2024</v>
      </c>
    </row>
    <row r="878" spans="1:8" x14ac:dyDescent="0.25">
      <c r="A878" s="27" t="s">
        <v>1412</v>
      </c>
      <c r="B878" s="27" t="str">
        <f t="shared" si="26"/>
        <v>Texas</v>
      </c>
      <c r="C878" s="27" t="str">
        <f t="shared" si="27"/>
        <v>Comanche</v>
      </c>
      <c r="D878" s="27">
        <v>1048</v>
      </c>
      <c r="E878" s="27">
        <v>26770</v>
      </c>
      <c r="F878" s="27">
        <v>1902</v>
      </c>
      <c r="G878" s="27">
        <v>1143</v>
      </c>
      <c r="H878" s="27" t="s">
        <v>2024</v>
      </c>
    </row>
    <row r="879" spans="1:8" x14ac:dyDescent="0.25">
      <c r="A879" s="27" t="s">
        <v>1413</v>
      </c>
      <c r="B879" s="27" t="str">
        <f t="shared" si="26"/>
        <v>Texas</v>
      </c>
      <c r="C879" s="27" t="str">
        <f t="shared" si="27"/>
        <v>Concho</v>
      </c>
      <c r="D879" s="27">
        <v>180</v>
      </c>
      <c r="E879" s="27">
        <v>3909</v>
      </c>
      <c r="F879" s="27">
        <v>1902</v>
      </c>
      <c r="G879" s="27">
        <v>1143</v>
      </c>
      <c r="H879" s="27" t="s">
        <v>2024</v>
      </c>
    </row>
    <row r="880" spans="1:8" x14ac:dyDescent="0.25">
      <c r="A880" s="27" t="s">
        <v>1414</v>
      </c>
      <c r="B880" s="27" t="str">
        <f t="shared" si="26"/>
        <v>Texas</v>
      </c>
      <c r="C880" s="27" t="str">
        <f t="shared" si="27"/>
        <v>Cooke</v>
      </c>
      <c r="D880" s="27">
        <v>1099</v>
      </c>
      <c r="E880" s="27">
        <v>30644</v>
      </c>
      <c r="F880" s="27">
        <v>1902</v>
      </c>
      <c r="G880" s="27">
        <v>1143</v>
      </c>
      <c r="H880" s="27" t="s">
        <v>2024</v>
      </c>
    </row>
    <row r="881" spans="1:8" x14ac:dyDescent="0.25">
      <c r="A881" s="27" t="s">
        <v>1415</v>
      </c>
      <c r="B881" s="27" t="str">
        <f t="shared" si="26"/>
        <v>Texas</v>
      </c>
      <c r="C881" s="27" t="str">
        <f t="shared" si="27"/>
        <v>Coryell</v>
      </c>
      <c r="D881" s="27">
        <v>262</v>
      </c>
      <c r="E881" s="27">
        <v>22993</v>
      </c>
      <c r="F881" s="27">
        <v>1902</v>
      </c>
      <c r="G881" s="27">
        <v>1143</v>
      </c>
      <c r="H881" s="27" t="s">
        <v>2024</v>
      </c>
    </row>
    <row r="882" spans="1:8" x14ac:dyDescent="0.25">
      <c r="A882" s="27" t="s">
        <v>1416</v>
      </c>
      <c r="B882" s="27" t="str">
        <f t="shared" si="26"/>
        <v>Texas</v>
      </c>
      <c r="C882" s="27" t="str">
        <f t="shared" si="27"/>
        <v>Cottle</v>
      </c>
      <c r="D882" s="27">
        <v>12</v>
      </c>
      <c r="E882" s="27">
        <v>3914</v>
      </c>
      <c r="F882" s="27">
        <v>1902</v>
      </c>
      <c r="G882" s="27">
        <v>1143</v>
      </c>
      <c r="H882" s="27" t="s">
        <v>2024</v>
      </c>
    </row>
    <row r="883" spans="1:8" x14ac:dyDescent="0.25">
      <c r="A883" s="27" t="s">
        <v>1417</v>
      </c>
      <c r="B883" s="27" t="str">
        <f t="shared" si="26"/>
        <v>Texas</v>
      </c>
      <c r="C883" s="27" t="str">
        <f t="shared" si="27"/>
        <v>Crane</v>
      </c>
      <c r="F883" s="27">
        <v>1902</v>
      </c>
      <c r="G883" s="27">
        <v>1143</v>
      </c>
      <c r="H883" s="27" t="s">
        <v>2024</v>
      </c>
    </row>
    <row r="884" spans="1:8" x14ac:dyDescent="0.25">
      <c r="A884" s="27" t="s">
        <v>1418</v>
      </c>
      <c r="B884" s="27" t="str">
        <f t="shared" si="26"/>
        <v>Texas</v>
      </c>
      <c r="C884" s="27" t="str">
        <f t="shared" si="27"/>
        <v>Crockett</v>
      </c>
      <c r="D884" s="27">
        <v>106</v>
      </c>
      <c r="E884" s="27">
        <v>2169</v>
      </c>
      <c r="F884" s="27">
        <v>1902</v>
      </c>
      <c r="G884" s="27">
        <v>1143</v>
      </c>
      <c r="H884" s="27" t="s">
        <v>2024</v>
      </c>
    </row>
    <row r="885" spans="1:8" x14ac:dyDescent="0.25">
      <c r="A885" s="27" t="s">
        <v>1419</v>
      </c>
      <c r="B885" s="27" t="str">
        <f t="shared" si="26"/>
        <v>Texas</v>
      </c>
      <c r="C885" s="27" t="str">
        <f t="shared" si="27"/>
        <v>Crosby</v>
      </c>
      <c r="E885" s="27">
        <v>3746</v>
      </c>
      <c r="F885" s="27">
        <v>1902</v>
      </c>
      <c r="G885" s="27">
        <v>1143</v>
      </c>
      <c r="H885" s="27" t="s">
        <v>2024</v>
      </c>
    </row>
    <row r="886" spans="1:8" x14ac:dyDescent="0.25">
      <c r="A886" s="27" t="s">
        <v>1420</v>
      </c>
      <c r="B886" s="27" t="str">
        <f t="shared" si="26"/>
        <v>Texas</v>
      </c>
      <c r="C886" s="27" t="str">
        <f t="shared" si="27"/>
        <v>Culberson</v>
      </c>
      <c r="F886" s="27">
        <v>1902</v>
      </c>
      <c r="G886" s="27">
        <v>1143</v>
      </c>
      <c r="H886" s="27" t="s">
        <v>2024</v>
      </c>
    </row>
    <row r="887" spans="1:8" x14ac:dyDescent="0.25">
      <c r="A887" s="27" t="s">
        <v>1421</v>
      </c>
      <c r="B887" s="27" t="str">
        <f t="shared" si="26"/>
        <v>Texas</v>
      </c>
      <c r="C887" s="27" t="str">
        <f t="shared" si="27"/>
        <v>Dallam</v>
      </c>
      <c r="D887" s="27">
        <v>15</v>
      </c>
      <c r="E887" s="27">
        <v>996</v>
      </c>
      <c r="F887" s="27">
        <v>1902</v>
      </c>
      <c r="G887" s="27">
        <v>1143</v>
      </c>
      <c r="H887" s="27" t="s">
        <v>2024</v>
      </c>
    </row>
    <row r="888" spans="1:8" x14ac:dyDescent="0.25">
      <c r="A888" s="27" t="s">
        <v>1422</v>
      </c>
      <c r="B888" s="27" t="str">
        <f t="shared" si="26"/>
        <v>Texas</v>
      </c>
      <c r="C888" s="27" t="str">
        <f t="shared" si="27"/>
        <v>Dallas</v>
      </c>
      <c r="D888" s="27">
        <v>2280</v>
      </c>
      <c r="E888" s="27">
        <v>44105</v>
      </c>
      <c r="F888" s="27">
        <v>1902</v>
      </c>
      <c r="G888" s="27">
        <v>1143</v>
      </c>
      <c r="H888" s="27" t="s">
        <v>2024</v>
      </c>
    </row>
    <row r="889" spans="1:8" x14ac:dyDescent="0.25">
      <c r="A889" s="27" t="s">
        <v>1423</v>
      </c>
      <c r="B889" s="27" t="str">
        <f t="shared" si="26"/>
        <v>Texas</v>
      </c>
      <c r="C889" s="27" t="str">
        <f t="shared" si="27"/>
        <v>Dawson</v>
      </c>
      <c r="F889" s="27">
        <v>1902</v>
      </c>
      <c r="G889" s="27">
        <v>1143</v>
      </c>
      <c r="H889" s="27" t="s">
        <v>2024</v>
      </c>
    </row>
    <row r="890" spans="1:8" x14ac:dyDescent="0.25">
      <c r="A890" s="27" t="s">
        <v>1424</v>
      </c>
      <c r="B890" s="27" t="str">
        <f t="shared" si="26"/>
        <v>Texas</v>
      </c>
      <c r="C890" s="27" t="str">
        <f t="shared" si="27"/>
        <v>Deaf Smith</v>
      </c>
      <c r="E890" s="27">
        <v>3650</v>
      </c>
      <c r="F890" s="27">
        <v>1902</v>
      </c>
      <c r="G890" s="27">
        <v>1143</v>
      </c>
      <c r="H890" s="27" t="s">
        <v>2024</v>
      </c>
    </row>
    <row r="891" spans="1:8" x14ac:dyDescent="0.25">
      <c r="A891" s="27" t="s">
        <v>1425</v>
      </c>
      <c r="B891" s="27" t="str">
        <f t="shared" si="26"/>
        <v>Texas</v>
      </c>
      <c r="C891" s="27" t="str">
        <f t="shared" si="27"/>
        <v>Delta</v>
      </c>
      <c r="D891" s="27">
        <v>750</v>
      </c>
      <c r="E891" s="27">
        <v>17276</v>
      </c>
      <c r="F891" s="27">
        <v>1902</v>
      </c>
      <c r="G891" s="27">
        <v>1143</v>
      </c>
      <c r="H891" s="27" t="s">
        <v>2024</v>
      </c>
    </row>
    <row r="892" spans="1:8" x14ac:dyDescent="0.25">
      <c r="A892" s="27" t="s">
        <v>1426</v>
      </c>
      <c r="B892" s="27" t="str">
        <f t="shared" si="26"/>
        <v>Texas</v>
      </c>
      <c r="C892" s="27" t="str">
        <f t="shared" si="27"/>
        <v>Denton</v>
      </c>
      <c r="D892" s="27">
        <v>2193</v>
      </c>
      <c r="E892" s="27">
        <v>31481</v>
      </c>
      <c r="F892" s="27">
        <v>1902</v>
      </c>
      <c r="G892" s="27">
        <v>1143</v>
      </c>
      <c r="H892" s="27" t="s">
        <v>2024</v>
      </c>
    </row>
    <row r="893" spans="1:8" x14ac:dyDescent="0.25">
      <c r="A893" s="27" t="s">
        <v>1427</v>
      </c>
      <c r="B893" s="27" t="str">
        <f t="shared" si="26"/>
        <v>Texas</v>
      </c>
      <c r="C893" s="27" t="str">
        <f t="shared" si="27"/>
        <v>DeWitt</v>
      </c>
      <c r="D893" s="27">
        <v>933</v>
      </c>
      <c r="E893" s="27">
        <v>23085</v>
      </c>
      <c r="F893" s="27">
        <v>1902</v>
      </c>
      <c r="G893" s="27">
        <v>1143</v>
      </c>
      <c r="H893" s="27" t="s">
        <v>2024</v>
      </c>
    </row>
    <row r="894" spans="1:8" x14ac:dyDescent="0.25">
      <c r="A894" s="27" t="s">
        <v>1428</v>
      </c>
      <c r="B894" s="27" t="str">
        <f t="shared" si="26"/>
        <v>Texas</v>
      </c>
      <c r="C894" s="27" t="str">
        <f t="shared" si="27"/>
        <v>Dickens</v>
      </c>
      <c r="E894" s="27">
        <v>4598</v>
      </c>
      <c r="F894" s="27">
        <v>1902</v>
      </c>
      <c r="G894" s="27">
        <v>1145</v>
      </c>
      <c r="H894" s="27" t="s">
        <v>2025</v>
      </c>
    </row>
    <row r="895" spans="1:8" x14ac:dyDescent="0.25">
      <c r="A895" s="27" t="s">
        <v>1429</v>
      </c>
      <c r="B895" s="27" t="str">
        <f t="shared" si="26"/>
        <v>Texas</v>
      </c>
      <c r="C895" s="27" t="str">
        <f t="shared" si="27"/>
        <v>Dimmit</v>
      </c>
      <c r="D895" s="27">
        <v>145</v>
      </c>
      <c r="E895" s="27">
        <v>3799</v>
      </c>
      <c r="F895" s="27">
        <v>1902</v>
      </c>
      <c r="G895" s="27">
        <v>1145</v>
      </c>
      <c r="H895" s="27" t="s">
        <v>2025</v>
      </c>
    </row>
    <row r="896" spans="1:8" x14ac:dyDescent="0.25">
      <c r="A896" s="27" t="s">
        <v>1430</v>
      </c>
      <c r="B896" s="27" t="str">
        <f t="shared" si="26"/>
        <v>Texas</v>
      </c>
      <c r="C896" s="27" t="str">
        <f t="shared" si="27"/>
        <v>Donley</v>
      </c>
      <c r="D896" s="27">
        <v>202</v>
      </c>
      <c r="E896" s="27">
        <v>4162</v>
      </c>
      <c r="F896" s="27">
        <v>1902</v>
      </c>
      <c r="G896" s="27">
        <v>1145</v>
      </c>
      <c r="H896" s="27" t="s">
        <v>2025</v>
      </c>
    </row>
    <row r="897" spans="1:8" x14ac:dyDescent="0.25">
      <c r="A897" s="27" t="s">
        <v>1431</v>
      </c>
      <c r="B897" s="27" t="str">
        <f t="shared" si="26"/>
        <v>Texas</v>
      </c>
      <c r="C897" s="27" t="str">
        <f t="shared" si="27"/>
        <v>Duval</v>
      </c>
      <c r="D897" s="27">
        <v>322</v>
      </c>
      <c r="E897" s="27">
        <v>9769</v>
      </c>
      <c r="F897" s="27">
        <v>1902</v>
      </c>
      <c r="G897" s="27">
        <v>1145</v>
      </c>
      <c r="H897" s="27" t="s">
        <v>2025</v>
      </c>
    </row>
    <row r="898" spans="1:8" x14ac:dyDescent="0.25">
      <c r="A898" s="27" t="s">
        <v>1432</v>
      </c>
      <c r="B898" s="27" t="str">
        <f t="shared" si="26"/>
        <v>Texas</v>
      </c>
      <c r="C898" s="27" t="str">
        <f t="shared" si="27"/>
        <v>Eastland</v>
      </c>
      <c r="D898" s="27">
        <v>497</v>
      </c>
      <c r="E898" s="27">
        <v>23010</v>
      </c>
      <c r="F898" s="27">
        <v>1902</v>
      </c>
      <c r="G898" s="27">
        <v>1145</v>
      </c>
      <c r="H898" s="27" t="s">
        <v>2025</v>
      </c>
    </row>
    <row r="899" spans="1:8" x14ac:dyDescent="0.25">
      <c r="A899" s="27" t="s">
        <v>1433</v>
      </c>
      <c r="B899" s="27" t="str">
        <f t="shared" ref="B899:B962" si="28">LEFT(A899,FIND(";",A899)-1)</f>
        <v>Texas</v>
      </c>
      <c r="C899" s="27" t="str">
        <f t="shared" ref="C899:C962" si="29">MID(A899,FIND(";",A899)+1,100)</f>
        <v>Ector</v>
      </c>
      <c r="E899" s="27">
        <v>1560</v>
      </c>
      <c r="F899" s="27">
        <v>1902</v>
      </c>
      <c r="G899" s="27">
        <v>1145</v>
      </c>
      <c r="H899" s="27" t="s">
        <v>2025</v>
      </c>
    </row>
    <row r="900" spans="1:8" x14ac:dyDescent="0.25">
      <c r="A900" s="27" t="s">
        <v>1434</v>
      </c>
      <c r="B900" s="27" t="str">
        <f t="shared" si="28"/>
        <v>Texas</v>
      </c>
      <c r="C900" s="27" t="str">
        <f t="shared" si="29"/>
        <v>Edwards</v>
      </c>
      <c r="D900" s="27">
        <v>700</v>
      </c>
      <c r="E900" s="27">
        <v>7811</v>
      </c>
      <c r="F900" s="27">
        <v>1902</v>
      </c>
      <c r="G900" s="27">
        <v>1145</v>
      </c>
      <c r="H900" s="27" t="s">
        <v>2025</v>
      </c>
    </row>
    <row r="901" spans="1:8" x14ac:dyDescent="0.25">
      <c r="A901" s="27" t="s">
        <v>1435</v>
      </c>
      <c r="B901" s="27" t="str">
        <f t="shared" si="28"/>
        <v>Texas</v>
      </c>
      <c r="C901" s="27" t="str">
        <f t="shared" si="29"/>
        <v>El Paso</v>
      </c>
      <c r="D901" s="27">
        <v>4771</v>
      </c>
      <c r="E901" s="27">
        <v>12528</v>
      </c>
      <c r="F901" s="27">
        <v>1902</v>
      </c>
      <c r="G901" s="27">
        <v>1145</v>
      </c>
      <c r="H901" s="27" t="s">
        <v>2025</v>
      </c>
    </row>
    <row r="902" spans="1:8" x14ac:dyDescent="0.25">
      <c r="A902" s="27" t="s">
        <v>1436</v>
      </c>
      <c r="B902" s="27" t="str">
        <f t="shared" si="28"/>
        <v>Texas</v>
      </c>
      <c r="C902" s="27" t="str">
        <f t="shared" si="29"/>
        <v>Ellis</v>
      </c>
      <c r="D902" s="27">
        <v>1038</v>
      </c>
      <c r="E902" s="27">
        <v>76232</v>
      </c>
      <c r="F902" s="27">
        <v>1902</v>
      </c>
      <c r="G902" s="27">
        <v>1145</v>
      </c>
      <c r="H902" s="27" t="s">
        <v>2025</v>
      </c>
    </row>
    <row r="903" spans="1:8" x14ac:dyDescent="0.25">
      <c r="A903" s="27" t="s">
        <v>1437</v>
      </c>
      <c r="B903" s="27" t="str">
        <f t="shared" si="28"/>
        <v>Texas</v>
      </c>
      <c r="C903" s="27" t="str">
        <f t="shared" si="29"/>
        <v>Erath</v>
      </c>
      <c r="D903" s="27">
        <v>4070</v>
      </c>
      <c r="E903" s="27">
        <v>33696</v>
      </c>
      <c r="F903" s="27">
        <v>1902</v>
      </c>
      <c r="G903" s="27">
        <v>1145</v>
      </c>
      <c r="H903" s="27" t="s">
        <v>2025</v>
      </c>
    </row>
    <row r="904" spans="1:8" x14ac:dyDescent="0.25">
      <c r="A904" s="27" t="s">
        <v>1438</v>
      </c>
      <c r="B904" s="27" t="str">
        <f t="shared" si="28"/>
        <v>Texas</v>
      </c>
      <c r="C904" s="27" t="str">
        <f t="shared" si="29"/>
        <v>Falls</v>
      </c>
      <c r="D904" s="27">
        <v>76</v>
      </c>
      <c r="E904" s="27">
        <v>44138</v>
      </c>
      <c r="F904" s="27">
        <v>1902</v>
      </c>
      <c r="G904" s="27">
        <v>1145</v>
      </c>
      <c r="H904" s="27" t="s">
        <v>2025</v>
      </c>
    </row>
    <row r="905" spans="1:8" x14ac:dyDescent="0.25">
      <c r="A905" s="27" t="s">
        <v>1439</v>
      </c>
      <c r="B905" s="27" t="str">
        <f t="shared" si="28"/>
        <v>Texas</v>
      </c>
      <c r="C905" s="27" t="str">
        <f t="shared" si="29"/>
        <v>Fannin</v>
      </c>
      <c r="D905" s="27">
        <v>2222</v>
      </c>
      <c r="E905" s="27">
        <v>54464</v>
      </c>
      <c r="F905" s="27">
        <v>1902</v>
      </c>
      <c r="G905" s="27">
        <v>1145</v>
      </c>
      <c r="H905" s="27" t="s">
        <v>2025</v>
      </c>
    </row>
    <row r="906" spans="1:8" x14ac:dyDescent="0.25">
      <c r="A906" s="27" t="s">
        <v>1440</v>
      </c>
      <c r="B906" s="27" t="str">
        <f t="shared" si="28"/>
        <v>Texas</v>
      </c>
      <c r="C906" s="27" t="str">
        <f t="shared" si="29"/>
        <v>Fayette</v>
      </c>
      <c r="D906" s="27">
        <v>279</v>
      </c>
      <c r="E906" s="27">
        <v>39060</v>
      </c>
      <c r="F906" s="27">
        <v>1902</v>
      </c>
      <c r="G906" s="27">
        <v>1145</v>
      </c>
      <c r="H906" s="27" t="s">
        <v>2025</v>
      </c>
    </row>
    <row r="907" spans="1:8" x14ac:dyDescent="0.25">
      <c r="A907" s="27" t="s">
        <v>1441</v>
      </c>
      <c r="B907" s="27" t="str">
        <f t="shared" si="28"/>
        <v>Texas</v>
      </c>
      <c r="C907" s="27" t="str">
        <f t="shared" si="29"/>
        <v>Fisher</v>
      </c>
      <c r="D907" s="27">
        <v>205</v>
      </c>
      <c r="E907" s="27">
        <v>10835</v>
      </c>
      <c r="F907" s="27">
        <v>1902</v>
      </c>
      <c r="G907" s="27">
        <v>1145</v>
      </c>
      <c r="H907" s="27" t="s">
        <v>2025</v>
      </c>
    </row>
    <row r="908" spans="1:8" x14ac:dyDescent="0.25">
      <c r="A908" s="27" t="s">
        <v>1442</v>
      </c>
      <c r="B908" s="27" t="str">
        <f t="shared" si="28"/>
        <v>Texas</v>
      </c>
      <c r="C908" s="27" t="str">
        <f t="shared" si="29"/>
        <v>Floyd</v>
      </c>
      <c r="E908" s="27">
        <v>5738</v>
      </c>
      <c r="F908" s="27">
        <v>1902</v>
      </c>
      <c r="G908" s="27">
        <v>1145</v>
      </c>
      <c r="H908" s="27" t="s">
        <v>2025</v>
      </c>
    </row>
    <row r="909" spans="1:8" x14ac:dyDescent="0.25">
      <c r="A909" s="27" t="s">
        <v>1443</v>
      </c>
      <c r="B909" s="27" t="str">
        <f t="shared" si="28"/>
        <v>Texas</v>
      </c>
      <c r="C909" s="27" t="str">
        <f t="shared" si="29"/>
        <v>Foard</v>
      </c>
      <c r="D909" s="27">
        <v>27</v>
      </c>
      <c r="E909" s="27">
        <v>5928</v>
      </c>
      <c r="F909" s="27">
        <v>1902</v>
      </c>
      <c r="G909" s="27">
        <v>1145</v>
      </c>
      <c r="H909" s="27" t="s">
        <v>2025</v>
      </c>
    </row>
    <row r="910" spans="1:8" x14ac:dyDescent="0.25">
      <c r="A910" s="27" t="s">
        <v>1444</v>
      </c>
      <c r="B910" s="27" t="str">
        <f t="shared" si="28"/>
        <v>Texas</v>
      </c>
      <c r="C910" s="27" t="str">
        <f t="shared" si="29"/>
        <v>Fort Bend</v>
      </c>
      <c r="D910" s="27">
        <v>173</v>
      </c>
      <c r="E910" s="27">
        <v>19437</v>
      </c>
      <c r="F910" s="27">
        <v>1902</v>
      </c>
      <c r="G910" s="27">
        <v>1145</v>
      </c>
      <c r="H910" s="27" t="s">
        <v>2025</v>
      </c>
    </row>
    <row r="911" spans="1:8" x14ac:dyDescent="0.25">
      <c r="A911" s="27" t="s">
        <v>1445</v>
      </c>
      <c r="B911" s="27" t="str">
        <f t="shared" si="28"/>
        <v>Texas</v>
      </c>
      <c r="C911" s="27" t="str">
        <f t="shared" si="29"/>
        <v>Franklin</v>
      </c>
      <c r="D911" s="27">
        <v>177</v>
      </c>
      <c r="E911" s="27">
        <v>10965</v>
      </c>
      <c r="F911" s="27">
        <v>1902</v>
      </c>
      <c r="G911" s="27">
        <v>1145</v>
      </c>
      <c r="H911" s="27" t="s">
        <v>2025</v>
      </c>
    </row>
    <row r="912" spans="1:8" x14ac:dyDescent="0.25">
      <c r="A912" s="27" t="s">
        <v>1763</v>
      </c>
      <c r="B912" s="27" t="str">
        <f t="shared" si="28"/>
        <v>Texas</v>
      </c>
      <c r="C912" s="27" t="str">
        <f t="shared" si="29"/>
        <v>Freestone</v>
      </c>
      <c r="D912" s="27">
        <v>245</v>
      </c>
      <c r="E912" s="27">
        <v>24333</v>
      </c>
      <c r="F912" s="27">
        <v>1902</v>
      </c>
      <c r="G912" s="27">
        <v>1145</v>
      </c>
      <c r="H912" s="27" t="s">
        <v>2025</v>
      </c>
    </row>
    <row r="913" spans="1:8" x14ac:dyDescent="0.25">
      <c r="A913" s="27" t="s">
        <v>1446</v>
      </c>
      <c r="B913" s="27" t="str">
        <f t="shared" si="28"/>
        <v>Texas</v>
      </c>
      <c r="C913" s="27" t="str">
        <f t="shared" si="29"/>
        <v>Frio</v>
      </c>
      <c r="D913" s="27">
        <v>90</v>
      </c>
      <c r="E913" s="27">
        <v>5792</v>
      </c>
      <c r="F913" s="27">
        <v>1902</v>
      </c>
      <c r="G913" s="27">
        <v>1145</v>
      </c>
      <c r="H913" s="27" t="s">
        <v>2025</v>
      </c>
    </row>
    <row r="914" spans="1:8" x14ac:dyDescent="0.25">
      <c r="A914" s="27" t="s">
        <v>1447</v>
      </c>
      <c r="B914" s="27" t="str">
        <f t="shared" si="28"/>
        <v>Texas</v>
      </c>
      <c r="C914" s="27" t="str">
        <f t="shared" si="29"/>
        <v>Gaines</v>
      </c>
      <c r="F914" s="27">
        <v>1902</v>
      </c>
      <c r="G914" s="27">
        <v>1145</v>
      </c>
      <c r="H914" s="27" t="s">
        <v>2025</v>
      </c>
    </row>
    <row r="915" spans="1:8" x14ac:dyDescent="0.25">
      <c r="A915" s="27" t="s">
        <v>1448</v>
      </c>
      <c r="B915" s="27" t="str">
        <f t="shared" si="28"/>
        <v>Texas</v>
      </c>
      <c r="C915" s="27" t="str">
        <f t="shared" si="29"/>
        <v>Galveston</v>
      </c>
      <c r="D915" s="27">
        <v>1452</v>
      </c>
      <c r="E915" s="27">
        <v>14478</v>
      </c>
      <c r="F915" s="27">
        <v>1902</v>
      </c>
      <c r="G915" s="27">
        <v>1145</v>
      </c>
      <c r="H915" s="27" t="s">
        <v>2025</v>
      </c>
    </row>
    <row r="916" spans="1:8" x14ac:dyDescent="0.25">
      <c r="A916" s="27" t="s">
        <v>1449</v>
      </c>
      <c r="B916" s="27" t="str">
        <f t="shared" si="28"/>
        <v>Texas</v>
      </c>
      <c r="C916" s="27" t="str">
        <f t="shared" si="29"/>
        <v>Garza</v>
      </c>
      <c r="F916" s="27">
        <v>1902</v>
      </c>
      <c r="G916" s="27">
        <v>1145</v>
      </c>
      <c r="H916" s="27" t="s">
        <v>2025</v>
      </c>
    </row>
    <row r="917" spans="1:8" x14ac:dyDescent="0.25">
      <c r="A917" s="27" t="s">
        <v>1450</v>
      </c>
      <c r="B917" s="27" t="str">
        <f t="shared" si="28"/>
        <v>Texas</v>
      </c>
      <c r="C917" s="27" t="str">
        <f t="shared" si="29"/>
        <v>Gillespie</v>
      </c>
      <c r="D917" s="27">
        <v>200</v>
      </c>
      <c r="E917" s="27">
        <v>9396</v>
      </c>
      <c r="F917" s="27">
        <v>1902</v>
      </c>
      <c r="G917" s="27">
        <v>1145</v>
      </c>
      <c r="H917" s="27" t="s">
        <v>2025</v>
      </c>
    </row>
    <row r="918" spans="1:8" x14ac:dyDescent="0.25">
      <c r="A918" s="27" t="s">
        <v>1451</v>
      </c>
      <c r="B918" s="27" t="str">
        <f t="shared" si="28"/>
        <v>Texas</v>
      </c>
      <c r="C918" s="27" t="str">
        <f t="shared" si="29"/>
        <v>Glasscock</v>
      </c>
      <c r="D918" s="27">
        <v>35</v>
      </c>
      <c r="E918" s="27">
        <v>909</v>
      </c>
      <c r="F918" s="27">
        <v>1902</v>
      </c>
      <c r="G918" s="27">
        <v>1145</v>
      </c>
      <c r="H918" s="27" t="s">
        <v>2025</v>
      </c>
    </row>
    <row r="919" spans="1:8" x14ac:dyDescent="0.25">
      <c r="A919" s="27" t="s">
        <v>1452</v>
      </c>
      <c r="B919" s="27" t="str">
        <f t="shared" si="28"/>
        <v>Texas</v>
      </c>
      <c r="C919" s="27" t="str">
        <f t="shared" si="29"/>
        <v>Goliad</v>
      </c>
      <c r="E919" s="27">
        <v>12199</v>
      </c>
      <c r="F919" s="27">
        <v>1902</v>
      </c>
      <c r="G919" s="27">
        <v>1145</v>
      </c>
      <c r="H919" s="27" t="s">
        <v>2025</v>
      </c>
    </row>
    <row r="920" spans="1:8" x14ac:dyDescent="0.25">
      <c r="A920" s="27" t="s">
        <v>1453</v>
      </c>
      <c r="B920" s="27" t="str">
        <f t="shared" si="28"/>
        <v>Texas</v>
      </c>
      <c r="C920" s="27" t="str">
        <f t="shared" si="29"/>
        <v>Gonzales</v>
      </c>
      <c r="D920" s="27">
        <v>633</v>
      </c>
      <c r="E920" s="27">
        <v>30929</v>
      </c>
      <c r="F920" s="27">
        <v>1902</v>
      </c>
      <c r="G920" s="27">
        <v>1145</v>
      </c>
      <c r="H920" s="27" t="s">
        <v>2025</v>
      </c>
    </row>
    <row r="921" spans="1:8" x14ac:dyDescent="0.25">
      <c r="A921" s="27" t="s">
        <v>1454</v>
      </c>
      <c r="B921" s="27" t="str">
        <f t="shared" si="28"/>
        <v>Texas</v>
      </c>
      <c r="C921" s="27" t="str">
        <f t="shared" si="29"/>
        <v>Gray</v>
      </c>
      <c r="F921" s="27">
        <v>1902</v>
      </c>
      <c r="G921" s="27">
        <v>1145</v>
      </c>
      <c r="H921" s="27" t="s">
        <v>2025</v>
      </c>
    </row>
    <row r="922" spans="1:8" x14ac:dyDescent="0.25">
      <c r="A922" s="27" t="s">
        <v>1455</v>
      </c>
      <c r="B922" s="27" t="str">
        <f t="shared" si="28"/>
        <v>Texas</v>
      </c>
      <c r="C922" s="27" t="str">
        <f t="shared" si="29"/>
        <v>Grayson</v>
      </c>
      <c r="D922" s="27">
        <v>1272</v>
      </c>
      <c r="E922" s="27">
        <v>50610</v>
      </c>
      <c r="F922" s="27">
        <v>1902</v>
      </c>
      <c r="G922" s="27">
        <v>1145</v>
      </c>
      <c r="H922" s="27" t="s">
        <v>2025</v>
      </c>
    </row>
    <row r="923" spans="1:8" x14ac:dyDescent="0.25">
      <c r="A923" s="27" t="s">
        <v>1456</v>
      </c>
      <c r="B923" s="27" t="str">
        <f t="shared" si="28"/>
        <v>Texas</v>
      </c>
      <c r="C923" s="27" t="str">
        <f t="shared" si="29"/>
        <v>Gregg</v>
      </c>
      <c r="D923" s="27">
        <v>199</v>
      </c>
      <c r="E923" s="27">
        <v>11784</v>
      </c>
      <c r="F923" s="27">
        <v>1902</v>
      </c>
      <c r="G923" s="27">
        <v>1145</v>
      </c>
      <c r="H923" s="27" t="s">
        <v>2025</v>
      </c>
    </row>
    <row r="924" spans="1:8" x14ac:dyDescent="0.25">
      <c r="A924" s="27" t="s">
        <v>1457</v>
      </c>
      <c r="B924" s="27" t="str">
        <f t="shared" si="28"/>
        <v>Texas</v>
      </c>
      <c r="C924" s="27" t="str">
        <f t="shared" si="29"/>
        <v>Grimes</v>
      </c>
      <c r="D924" s="27">
        <v>225</v>
      </c>
      <c r="E924" s="27">
        <v>27268</v>
      </c>
      <c r="F924" s="27">
        <v>1902</v>
      </c>
      <c r="G924" s="27">
        <v>1145</v>
      </c>
      <c r="H924" s="27" t="s">
        <v>2025</v>
      </c>
    </row>
    <row r="925" spans="1:8" x14ac:dyDescent="0.25">
      <c r="A925" s="27" t="s">
        <v>1764</v>
      </c>
      <c r="B925" s="27" t="str">
        <f t="shared" si="28"/>
        <v>Texas</v>
      </c>
      <c r="C925" s="27" t="str">
        <f t="shared" si="29"/>
        <v>Guadalupe</v>
      </c>
      <c r="D925" s="27">
        <v>765</v>
      </c>
      <c r="E925" s="27">
        <v>21384</v>
      </c>
      <c r="F925" s="27">
        <v>1902</v>
      </c>
      <c r="G925" s="27">
        <v>1145</v>
      </c>
      <c r="H925" s="27" t="s">
        <v>2025</v>
      </c>
    </row>
    <row r="926" spans="1:8" x14ac:dyDescent="0.25">
      <c r="A926" s="27" t="s">
        <v>1458</v>
      </c>
      <c r="B926" s="27" t="str">
        <f t="shared" si="28"/>
        <v>Texas</v>
      </c>
      <c r="C926" s="27" t="str">
        <f t="shared" si="29"/>
        <v>Hale</v>
      </c>
      <c r="E926" s="27">
        <v>6197</v>
      </c>
      <c r="F926" s="27">
        <v>1902</v>
      </c>
      <c r="G926" s="27">
        <v>1145</v>
      </c>
      <c r="H926" s="27" t="s">
        <v>2025</v>
      </c>
    </row>
    <row r="927" spans="1:8" x14ac:dyDescent="0.25">
      <c r="A927" s="27" t="s">
        <v>1459</v>
      </c>
      <c r="B927" s="27" t="str">
        <f t="shared" si="28"/>
        <v>Texas</v>
      </c>
      <c r="C927" s="27" t="str">
        <f t="shared" si="29"/>
        <v>Hall</v>
      </c>
      <c r="D927" s="27">
        <v>4</v>
      </c>
      <c r="E927" s="27">
        <v>4055</v>
      </c>
      <c r="F927" s="27">
        <v>1902</v>
      </c>
      <c r="G927" s="27">
        <v>1145</v>
      </c>
      <c r="H927" s="27" t="s">
        <v>2025</v>
      </c>
    </row>
    <row r="928" spans="1:8" x14ac:dyDescent="0.25">
      <c r="A928" s="27" t="s">
        <v>1460</v>
      </c>
      <c r="B928" s="27" t="str">
        <f t="shared" si="28"/>
        <v>Texas</v>
      </c>
      <c r="C928" s="27" t="str">
        <f t="shared" si="29"/>
        <v>Hamilton</v>
      </c>
      <c r="D928" s="27">
        <v>551</v>
      </c>
      <c r="E928" s="27">
        <v>15048</v>
      </c>
      <c r="F928" s="27">
        <v>1902</v>
      </c>
      <c r="G928" s="27">
        <v>1145</v>
      </c>
      <c r="H928" s="27" t="s">
        <v>2025</v>
      </c>
    </row>
    <row r="929" spans="1:8" x14ac:dyDescent="0.25">
      <c r="A929" s="27" t="s">
        <v>1461</v>
      </c>
      <c r="B929" s="27" t="str">
        <f t="shared" si="28"/>
        <v>Texas</v>
      </c>
      <c r="C929" s="27" t="str">
        <f t="shared" si="29"/>
        <v>Hansford</v>
      </c>
      <c r="D929" s="27">
        <v>110</v>
      </c>
      <c r="E929" s="27">
        <v>1655</v>
      </c>
      <c r="F929" s="27">
        <v>1902</v>
      </c>
      <c r="G929" s="27">
        <v>1145</v>
      </c>
      <c r="H929" s="27" t="s">
        <v>2025</v>
      </c>
    </row>
    <row r="930" spans="1:8" x14ac:dyDescent="0.25">
      <c r="A930" s="27" t="s">
        <v>1462</v>
      </c>
      <c r="B930" s="27" t="str">
        <f t="shared" si="28"/>
        <v>Texas</v>
      </c>
      <c r="C930" s="27" t="str">
        <f t="shared" si="29"/>
        <v>Hardeman</v>
      </c>
      <c r="D930" s="27">
        <v>84</v>
      </c>
      <c r="E930" s="27">
        <v>5074</v>
      </c>
      <c r="F930" s="27">
        <v>1902</v>
      </c>
      <c r="G930" s="27">
        <v>1145</v>
      </c>
      <c r="H930" s="27" t="s">
        <v>2025</v>
      </c>
    </row>
    <row r="931" spans="1:8" x14ac:dyDescent="0.25">
      <c r="A931" s="27" t="s">
        <v>1463</v>
      </c>
      <c r="B931" s="27" t="str">
        <f t="shared" si="28"/>
        <v>Texas</v>
      </c>
      <c r="C931" s="27" t="str">
        <f t="shared" si="29"/>
        <v>Hardin</v>
      </c>
      <c r="D931" s="27">
        <v>326</v>
      </c>
      <c r="E931" s="27">
        <v>6504</v>
      </c>
      <c r="F931" s="27">
        <v>1902</v>
      </c>
      <c r="G931" s="27">
        <v>1145</v>
      </c>
      <c r="H931" s="27" t="s">
        <v>2025</v>
      </c>
    </row>
    <row r="932" spans="1:8" x14ac:dyDescent="0.25">
      <c r="A932" s="27" t="s">
        <v>1464</v>
      </c>
      <c r="B932" s="27" t="str">
        <f t="shared" si="28"/>
        <v>Texas</v>
      </c>
      <c r="C932" s="27" t="str">
        <f t="shared" si="29"/>
        <v>Harris</v>
      </c>
      <c r="D932" s="27">
        <v>2671</v>
      </c>
      <c r="E932" s="27">
        <v>32853</v>
      </c>
      <c r="F932" s="27">
        <v>1902</v>
      </c>
      <c r="G932" s="27">
        <v>1145</v>
      </c>
      <c r="H932" s="27" t="s">
        <v>2025</v>
      </c>
    </row>
    <row r="933" spans="1:8" x14ac:dyDescent="0.25">
      <c r="A933" s="27" t="s">
        <v>1465</v>
      </c>
      <c r="B933" s="27" t="str">
        <f t="shared" si="28"/>
        <v>Texas</v>
      </c>
      <c r="C933" s="27" t="str">
        <f t="shared" si="29"/>
        <v>Harrison</v>
      </c>
      <c r="D933" s="27">
        <v>784</v>
      </c>
      <c r="E933" s="27">
        <v>39272</v>
      </c>
      <c r="F933" s="27">
        <v>1902</v>
      </c>
      <c r="G933" s="27">
        <v>1145</v>
      </c>
      <c r="H933" s="27" t="s">
        <v>2025</v>
      </c>
    </row>
    <row r="934" spans="1:8" x14ac:dyDescent="0.25">
      <c r="A934" s="27" t="s">
        <v>1466</v>
      </c>
      <c r="B934" s="27" t="str">
        <f t="shared" si="28"/>
        <v>Texas</v>
      </c>
      <c r="C934" s="27" t="str">
        <f t="shared" si="29"/>
        <v>Hartley</v>
      </c>
      <c r="E934" s="27">
        <v>2998</v>
      </c>
      <c r="F934" s="27">
        <v>1902</v>
      </c>
      <c r="G934" s="27">
        <v>1145</v>
      </c>
      <c r="H934" s="27" t="s">
        <v>2025</v>
      </c>
    </row>
    <row r="935" spans="1:8" x14ac:dyDescent="0.25">
      <c r="A935" s="27" t="s">
        <v>1467</v>
      </c>
      <c r="B935" s="27" t="str">
        <f t="shared" si="28"/>
        <v>Texas</v>
      </c>
      <c r="C935" s="27" t="str">
        <f t="shared" si="29"/>
        <v>Haskell</v>
      </c>
      <c r="D935" s="27">
        <v>395</v>
      </c>
      <c r="E935" s="27">
        <v>9112</v>
      </c>
      <c r="F935" s="27">
        <v>1902</v>
      </c>
      <c r="G935" s="27">
        <v>1145</v>
      </c>
      <c r="H935" s="27" t="s">
        <v>2025</v>
      </c>
    </row>
    <row r="936" spans="1:8" x14ac:dyDescent="0.25">
      <c r="A936" s="27" t="s">
        <v>1468</v>
      </c>
      <c r="B936" s="27" t="str">
        <f t="shared" si="28"/>
        <v>Texas</v>
      </c>
      <c r="C936" s="27" t="str">
        <f t="shared" si="29"/>
        <v>Hays</v>
      </c>
      <c r="E936" s="27">
        <v>17628</v>
      </c>
      <c r="F936" s="27">
        <v>1902</v>
      </c>
      <c r="G936" s="27">
        <v>1145</v>
      </c>
      <c r="H936" s="27" t="s">
        <v>2025</v>
      </c>
    </row>
    <row r="937" spans="1:8" x14ac:dyDescent="0.25">
      <c r="A937" s="27" t="s">
        <v>1469</v>
      </c>
      <c r="B937" s="27" t="str">
        <f t="shared" si="28"/>
        <v>Texas</v>
      </c>
      <c r="C937" s="27" t="str">
        <f t="shared" si="29"/>
        <v>Hemphill</v>
      </c>
      <c r="D937" s="27">
        <v>72</v>
      </c>
      <c r="E937" s="27">
        <v>3706</v>
      </c>
      <c r="F937" s="27">
        <v>1902</v>
      </c>
      <c r="G937" s="27">
        <v>1145</v>
      </c>
      <c r="H937" s="27" t="s">
        <v>2025</v>
      </c>
    </row>
    <row r="938" spans="1:8" x14ac:dyDescent="0.25">
      <c r="A938" s="27" t="s">
        <v>1470</v>
      </c>
      <c r="B938" s="27" t="str">
        <f t="shared" si="28"/>
        <v>Texas</v>
      </c>
      <c r="C938" s="27" t="str">
        <f t="shared" si="29"/>
        <v>Henderson</v>
      </c>
      <c r="D938" s="27">
        <v>264</v>
      </c>
      <c r="E938" s="27">
        <v>23763</v>
      </c>
      <c r="F938" s="27">
        <v>1902</v>
      </c>
      <c r="G938" s="27">
        <v>1145</v>
      </c>
      <c r="H938" s="27" t="s">
        <v>2025</v>
      </c>
    </row>
    <row r="939" spans="1:8" x14ac:dyDescent="0.25">
      <c r="A939" s="27" t="s">
        <v>1471</v>
      </c>
      <c r="B939" s="27" t="str">
        <f t="shared" si="28"/>
        <v>Texas</v>
      </c>
      <c r="C939" s="27" t="str">
        <f t="shared" si="29"/>
        <v>Hidalgo</v>
      </c>
      <c r="D939" s="27">
        <v>165</v>
      </c>
      <c r="E939" s="27">
        <v>13579</v>
      </c>
      <c r="F939" s="27">
        <v>1902</v>
      </c>
      <c r="G939" s="27">
        <v>1145</v>
      </c>
      <c r="H939" s="27" t="s">
        <v>2025</v>
      </c>
    </row>
    <row r="940" spans="1:8" x14ac:dyDescent="0.25">
      <c r="A940" s="27" t="s">
        <v>1472</v>
      </c>
      <c r="B940" s="27" t="str">
        <f t="shared" si="28"/>
        <v>Texas</v>
      </c>
      <c r="C940" s="27" t="str">
        <f t="shared" si="29"/>
        <v>Hill</v>
      </c>
      <c r="D940" s="27">
        <v>800</v>
      </c>
      <c r="E940" s="27">
        <v>47593</v>
      </c>
      <c r="F940" s="27">
        <v>1902</v>
      </c>
      <c r="G940" s="27">
        <v>1145</v>
      </c>
      <c r="H940" s="27" t="s">
        <v>2025</v>
      </c>
    </row>
    <row r="941" spans="1:8" x14ac:dyDescent="0.25">
      <c r="A941" s="27" t="s">
        <v>1473</v>
      </c>
      <c r="B941" s="27" t="str">
        <f t="shared" si="28"/>
        <v>Texas</v>
      </c>
      <c r="C941" s="27" t="str">
        <f t="shared" si="29"/>
        <v>Hockley</v>
      </c>
      <c r="F941" s="27">
        <v>1902</v>
      </c>
      <c r="G941" s="27">
        <v>1145</v>
      </c>
      <c r="H941" s="27" t="s">
        <v>2025</v>
      </c>
    </row>
    <row r="942" spans="1:8" x14ac:dyDescent="0.25">
      <c r="A942" s="27" t="s">
        <v>1474</v>
      </c>
      <c r="B942" s="27" t="str">
        <f t="shared" si="28"/>
        <v>Texas</v>
      </c>
      <c r="C942" s="27" t="str">
        <f t="shared" si="29"/>
        <v>Hood</v>
      </c>
      <c r="D942" s="27">
        <v>951</v>
      </c>
      <c r="E942" s="27">
        <v>11927</v>
      </c>
      <c r="F942" s="27">
        <v>1902</v>
      </c>
      <c r="G942" s="27">
        <v>1145</v>
      </c>
      <c r="H942" s="27" t="s">
        <v>2025</v>
      </c>
    </row>
    <row r="943" spans="1:8" x14ac:dyDescent="0.25">
      <c r="A943" s="27" t="s">
        <v>1475</v>
      </c>
      <c r="B943" s="27" t="str">
        <f t="shared" si="28"/>
        <v>Texas</v>
      </c>
      <c r="C943" s="27" t="str">
        <f t="shared" si="29"/>
        <v>Hopkins</v>
      </c>
      <c r="D943" s="27">
        <v>285</v>
      </c>
      <c r="E943" s="27">
        <v>31894</v>
      </c>
      <c r="F943" s="27">
        <v>1902</v>
      </c>
      <c r="G943" s="27">
        <v>1145</v>
      </c>
      <c r="H943" s="27" t="s">
        <v>2025</v>
      </c>
    </row>
    <row r="944" spans="1:8" x14ac:dyDescent="0.25">
      <c r="A944" s="27" t="s">
        <v>1476</v>
      </c>
      <c r="B944" s="27" t="str">
        <f t="shared" si="28"/>
        <v>Texas</v>
      </c>
      <c r="C944" s="27" t="str">
        <f t="shared" si="29"/>
        <v>Houston</v>
      </c>
      <c r="D944" s="27">
        <v>321</v>
      </c>
      <c r="E944" s="27">
        <v>33478</v>
      </c>
      <c r="F944" s="27">
        <v>1902</v>
      </c>
      <c r="G944" s="27">
        <v>1145</v>
      </c>
      <c r="H944" s="27" t="s">
        <v>2025</v>
      </c>
    </row>
    <row r="945" spans="1:8" x14ac:dyDescent="0.25">
      <c r="A945" s="27" t="s">
        <v>1477</v>
      </c>
      <c r="B945" s="27" t="str">
        <f t="shared" si="28"/>
        <v>Texas</v>
      </c>
      <c r="C945" s="27" t="str">
        <f t="shared" si="29"/>
        <v>Howard</v>
      </c>
      <c r="D945" s="27">
        <v>630</v>
      </c>
      <c r="E945" s="27">
        <v>3674</v>
      </c>
      <c r="F945" s="27">
        <v>1902</v>
      </c>
      <c r="G945" s="27">
        <v>1145</v>
      </c>
      <c r="H945" s="27" t="s">
        <v>2025</v>
      </c>
    </row>
    <row r="946" spans="1:8" x14ac:dyDescent="0.25">
      <c r="A946" s="27" t="s">
        <v>1478</v>
      </c>
      <c r="B946" s="27" t="str">
        <f t="shared" si="28"/>
        <v>Texas</v>
      </c>
      <c r="C946" s="27" t="str">
        <f t="shared" si="29"/>
        <v>Hudspeth</v>
      </c>
      <c r="F946" s="27">
        <v>1902</v>
      </c>
      <c r="G946" s="27">
        <v>1145</v>
      </c>
      <c r="H946" s="27" t="s">
        <v>2025</v>
      </c>
    </row>
    <row r="947" spans="1:8" x14ac:dyDescent="0.25">
      <c r="A947" s="27" t="s">
        <v>1479</v>
      </c>
      <c r="B947" s="27" t="str">
        <f t="shared" si="28"/>
        <v>Texas</v>
      </c>
      <c r="C947" s="27" t="str">
        <f t="shared" si="29"/>
        <v>Hunt</v>
      </c>
      <c r="D947" s="27">
        <v>1833</v>
      </c>
      <c r="E947" s="27">
        <v>47343</v>
      </c>
      <c r="F947" s="27">
        <v>1902</v>
      </c>
      <c r="G947" s="27">
        <v>1145</v>
      </c>
      <c r="H947" s="27" t="s">
        <v>2025</v>
      </c>
    </row>
    <row r="948" spans="1:8" x14ac:dyDescent="0.25">
      <c r="A948" s="27" t="s">
        <v>1480</v>
      </c>
      <c r="B948" s="27" t="str">
        <f t="shared" si="28"/>
        <v>Texas</v>
      </c>
      <c r="C948" s="27" t="str">
        <f t="shared" si="29"/>
        <v>Hutchinson</v>
      </c>
      <c r="D948" s="27">
        <v>150</v>
      </c>
      <c r="E948" s="27">
        <v>335</v>
      </c>
      <c r="F948" s="27">
        <v>1902</v>
      </c>
      <c r="G948" s="27">
        <v>1145</v>
      </c>
      <c r="H948" s="27" t="s">
        <v>2025</v>
      </c>
    </row>
    <row r="949" spans="1:8" x14ac:dyDescent="0.25">
      <c r="A949" s="27" t="s">
        <v>1481</v>
      </c>
      <c r="B949" s="27" t="str">
        <f t="shared" si="28"/>
        <v>Texas</v>
      </c>
      <c r="C949" s="27" t="str">
        <f t="shared" si="29"/>
        <v>Irion</v>
      </c>
      <c r="E949" s="27">
        <v>2224</v>
      </c>
      <c r="F949" s="27">
        <v>1902</v>
      </c>
      <c r="G949" s="27">
        <v>1145</v>
      </c>
      <c r="H949" s="27" t="s">
        <v>2025</v>
      </c>
    </row>
    <row r="950" spans="1:8" x14ac:dyDescent="0.25">
      <c r="A950" s="27" t="s">
        <v>1482</v>
      </c>
      <c r="B950" s="27" t="str">
        <f t="shared" si="28"/>
        <v>Texas</v>
      </c>
      <c r="C950" s="27" t="str">
        <f t="shared" si="29"/>
        <v>Jack</v>
      </c>
      <c r="D950" s="27">
        <v>245</v>
      </c>
      <c r="E950" s="27">
        <v>12167</v>
      </c>
      <c r="F950" s="27">
        <v>1902</v>
      </c>
      <c r="G950" s="27">
        <v>1145</v>
      </c>
      <c r="H950" s="27" t="s">
        <v>2025</v>
      </c>
    </row>
    <row r="951" spans="1:8" x14ac:dyDescent="0.25">
      <c r="A951" s="27" t="s">
        <v>1483</v>
      </c>
      <c r="B951" s="27" t="str">
        <f t="shared" si="28"/>
        <v>Texas</v>
      </c>
      <c r="C951" s="27" t="str">
        <f t="shared" si="29"/>
        <v>Jackson</v>
      </c>
      <c r="E951" s="27">
        <v>8007</v>
      </c>
      <c r="F951" s="27">
        <v>1902</v>
      </c>
      <c r="G951" s="27">
        <v>1145</v>
      </c>
      <c r="H951" s="27" t="s">
        <v>2025</v>
      </c>
    </row>
    <row r="952" spans="1:8" x14ac:dyDescent="0.25">
      <c r="A952" s="27" t="s">
        <v>1484</v>
      </c>
      <c r="B952" s="27" t="str">
        <f t="shared" si="28"/>
        <v>Texas</v>
      </c>
      <c r="C952" s="27" t="str">
        <f t="shared" si="29"/>
        <v>Jasper</v>
      </c>
      <c r="E952" s="27">
        <v>11220</v>
      </c>
      <c r="F952" s="27">
        <v>1902</v>
      </c>
      <c r="G952" s="27">
        <v>1145</v>
      </c>
      <c r="H952" s="27" t="s">
        <v>2025</v>
      </c>
    </row>
    <row r="953" spans="1:8" x14ac:dyDescent="0.25">
      <c r="A953" s="27" t="s">
        <v>1485</v>
      </c>
      <c r="B953" s="27" t="str">
        <f t="shared" si="28"/>
        <v>Texas</v>
      </c>
      <c r="C953" s="27" t="str">
        <f t="shared" si="29"/>
        <v>Jeff Davis</v>
      </c>
      <c r="F953" s="27">
        <v>1902</v>
      </c>
      <c r="G953" s="27">
        <v>1145</v>
      </c>
      <c r="H953" s="27" t="s">
        <v>2025</v>
      </c>
    </row>
    <row r="954" spans="1:8" x14ac:dyDescent="0.25">
      <c r="A954" s="27" t="s">
        <v>1486</v>
      </c>
      <c r="B954" s="27" t="str">
        <f t="shared" si="28"/>
        <v>Texas</v>
      </c>
      <c r="C954" s="27" t="str">
        <f t="shared" si="29"/>
        <v>Jefferson</v>
      </c>
      <c r="D954" s="27">
        <v>1203</v>
      </c>
      <c r="E954" s="27">
        <v>14536</v>
      </c>
      <c r="F954" s="27">
        <v>1902</v>
      </c>
      <c r="G954" s="27">
        <v>1145</v>
      </c>
      <c r="H954" s="27" t="s">
        <v>2025</v>
      </c>
    </row>
    <row r="955" spans="1:8" x14ac:dyDescent="0.25">
      <c r="A955" s="27" t="s">
        <v>1487</v>
      </c>
      <c r="B955" s="27" t="str">
        <f t="shared" si="28"/>
        <v>Texas</v>
      </c>
      <c r="C955" s="27" t="str">
        <f t="shared" si="29"/>
        <v>Jim Hogg</v>
      </c>
      <c r="F955" s="27">
        <v>1902</v>
      </c>
      <c r="G955" s="27">
        <v>1145</v>
      </c>
      <c r="H955" s="27" t="s">
        <v>2025</v>
      </c>
    </row>
    <row r="956" spans="1:8" x14ac:dyDescent="0.25">
      <c r="A956" s="27" t="s">
        <v>1488</v>
      </c>
      <c r="B956" s="27" t="str">
        <f t="shared" si="28"/>
        <v>Texas</v>
      </c>
      <c r="C956" s="27" t="str">
        <f t="shared" si="29"/>
        <v>Jim Wells</v>
      </c>
      <c r="F956" s="27">
        <v>1902</v>
      </c>
      <c r="G956" s="27">
        <v>1145</v>
      </c>
      <c r="H956" s="27" t="s">
        <v>2025</v>
      </c>
    </row>
    <row r="957" spans="1:8" x14ac:dyDescent="0.25">
      <c r="A957" s="27" t="s">
        <v>1489</v>
      </c>
      <c r="B957" s="27" t="str">
        <f t="shared" si="28"/>
        <v>Texas</v>
      </c>
      <c r="C957" s="27" t="str">
        <f t="shared" si="29"/>
        <v>Johnson</v>
      </c>
      <c r="D957" s="27">
        <v>724</v>
      </c>
      <c r="E957" s="27">
        <v>35155</v>
      </c>
      <c r="F957" s="27">
        <v>1902</v>
      </c>
      <c r="G957" s="27">
        <v>1145</v>
      </c>
      <c r="H957" s="27" t="s">
        <v>2025</v>
      </c>
    </row>
    <row r="958" spans="1:8" x14ac:dyDescent="0.25">
      <c r="A958" s="27" t="s">
        <v>1490</v>
      </c>
      <c r="B958" s="27" t="str">
        <f t="shared" si="28"/>
        <v>Texas</v>
      </c>
      <c r="C958" s="27" t="str">
        <f t="shared" si="29"/>
        <v>Jones</v>
      </c>
      <c r="D958" s="27">
        <v>164</v>
      </c>
      <c r="E958" s="27">
        <v>12114</v>
      </c>
      <c r="F958" s="27">
        <v>1902</v>
      </c>
      <c r="G958" s="27">
        <v>1145</v>
      </c>
      <c r="H958" s="27" t="s">
        <v>2025</v>
      </c>
    </row>
    <row r="959" spans="1:8" x14ac:dyDescent="0.25">
      <c r="A959" s="27" t="s">
        <v>1491</v>
      </c>
      <c r="B959" s="27" t="str">
        <f t="shared" si="28"/>
        <v>Texas</v>
      </c>
      <c r="C959" s="27" t="str">
        <f t="shared" si="29"/>
        <v>Karnes</v>
      </c>
      <c r="D959" s="27">
        <v>415</v>
      </c>
      <c r="E959" s="27">
        <v>9505</v>
      </c>
      <c r="F959" s="27">
        <v>1902</v>
      </c>
      <c r="G959" s="27">
        <v>1145</v>
      </c>
      <c r="H959" s="27" t="s">
        <v>2025</v>
      </c>
    </row>
    <row r="960" spans="1:8" x14ac:dyDescent="0.25">
      <c r="A960" s="27" t="s">
        <v>1492</v>
      </c>
      <c r="B960" s="27" t="str">
        <f t="shared" si="28"/>
        <v>Texas</v>
      </c>
      <c r="C960" s="27" t="str">
        <f t="shared" si="29"/>
        <v>Kaufman</v>
      </c>
      <c r="D960" s="27">
        <v>2710</v>
      </c>
      <c r="E960" s="27">
        <v>26194</v>
      </c>
      <c r="F960" s="27">
        <v>1902</v>
      </c>
      <c r="G960" s="27">
        <v>1145</v>
      </c>
      <c r="H960" s="27" t="s">
        <v>2025</v>
      </c>
    </row>
    <row r="961" spans="1:8" x14ac:dyDescent="0.25">
      <c r="A961" s="27" t="s">
        <v>1493</v>
      </c>
      <c r="B961" s="27" t="str">
        <f t="shared" si="28"/>
        <v>Texas</v>
      </c>
      <c r="C961" s="27" t="str">
        <f t="shared" si="29"/>
        <v>Kendall</v>
      </c>
      <c r="E961" s="27">
        <v>7733</v>
      </c>
      <c r="F961" s="27">
        <v>1902</v>
      </c>
      <c r="G961" s="27">
        <v>1145</v>
      </c>
      <c r="H961" s="27" t="s">
        <v>2025</v>
      </c>
    </row>
    <row r="962" spans="1:8" x14ac:dyDescent="0.25">
      <c r="A962" s="27" t="s">
        <v>1494</v>
      </c>
      <c r="B962" s="27" t="str">
        <f t="shared" si="28"/>
        <v>Texas</v>
      </c>
      <c r="C962" s="27" t="str">
        <f t="shared" si="29"/>
        <v>Kenedy</v>
      </c>
      <c r="F962" s="27">
        <v>1902</v>
      </c>
      <c r="G962" s="27">
        <v>1145</v>
      </c>
      <c r="H962" s="27" t="s">
        <v>2025</v>
      </c>
    </row>
    <row r="963" spans="1:8" x14ac:dyDescent="0.25">
      <c r="A963" s="27" t="s">
        <v>1495</v>
      </c>
      <c r="B963" s="27" t="str">
        <f t="shared" ref="B963:B1026" si="30">LEFT(A963,FIND(";",A963)-1)</f>
        <v>Texas</v>
      </c>
      <c r="C963" s="27" t="str">
        <f t="shared" ref="C963:C1026" si="31">MID(A963,FIND(";",A963)+1,100)</f>
        <v>Kent</v>
      </c>
      <c r="E963" s="27">
        <v>3720</v>
      </c>
      <c r="F963" s="27">
        <v>1902</v>
      </c>
      <c r="G963" s="27">
        <v>1145</v>
      </c>
      <c r="H963" s="27" t="s">
        <v>2025</v>
      </c>
    </row>
    <row r="964" spans="1:8" x14ac:dyDescent="0.25">
      <c r="A964" s="27" t="s">
        <v>1496</v>
      </c>
      <c r="B964" s="27" t="str">
        <f t="shared" si="30"/>
        <v>Texas</v>
      </c>
      <c r="C964" s="27" t="str">
        <f t="shared" si="31"/>
        <v>Kerr</v>
      </c>
      <c r="E964" s="27">
        <v>6834</v>
      </c>
      <c r="F964" s="27">
        <v>1902</v>
      </c>
      <c r="G964" s="27">
        <v>1145</v>
      </c>
      <c r="H964" s="27" t="s">
        <v>2025</v>
      </c>
    </row>
    <row r="965" spans="1:8" x14ac:dyDescent="0.25">
      <c r="A965" s="27" t="s">
        <v>1497</v>
      </c>
      <c r="B965" s="27" t="str">
        <f t="shared" si="30"/>
        <v>Texas</v>
      </c>
      <c r="C965" s="27" t="str">
        <f t="shared" si="31"/>
        <v>Kimble</v>
      </c>
      <c r="D965" s="27">
        <v>112</v>
      </c>
      <c r="E965" s="27">
        <v>6623</v>
      </c>
      <c r="F965" s="27">
        <v>1902</v>
      </c>
      <c r="G965" s="27">
        <v>1145</v>
      </c>
      <c r="H965" s="27" t="s">
        <v>2025</v>
      </c>
    </row>
    <row r="966" spans="1:8" x14ac:dyDescent="0.25">
      <c r="A966" s="27" t="s">
        <v>1498</v>
      </c>
      <c r="B966" s="27" t="str">
        <f t="shared" si="30"/>
        <v>Texas</v>
      </c>
      <c r="C966" s="27" t="str">
        <f t="shared" si="31"/>
        <v>King</v>
      </c>
      <c r="D966" s="27">
        <v>20</v>
      </c>
      <c r="E966" s="27">
        <v>1449</v>
      </c>
      <c r="F966" s="27">
        <v>1902</v>
      </c>
      <c r="G966" s="27">
        <v>1145</v>
      </c>
      <c r="H966" s="27" t="s">
        <v>2025</v>
      </c>
    </row>
    <row r="967" spans="1:8" x14ac:dyDescent="0.25">
      <c r="A967" s="27" t="s">
        <v>1499</v>
      </c>
      <c r="B967" s="27" t="str">
        <f t="shared" si="30"/>
        <v>Texas</v>
      </c>
      <c r="C967" s="27" t="str">
        <f t="shared" si="31"/>
        <v>Kinney</v>
      </c>
      <c r="D967" s="27">
        <v>254</v>
      </c>
      <c r="E967" s="27">
        <v>5390</v>
      </c>
      <c r="F967" s="27">
        <v>1902</v>
      </c>
      <c r="G967" s="27">
        <v>1145</v>
      </c>
      <c r="H967" s="27" t="s">
        <v>2025</v>
      </c>
    </row>
    <row r="968" spans="1:8" x14ac:dyDescent="0.25">
      <c r="A968" s="27" t="s">
        <v>1500</v>
      </c>
      <c r="B968" s="27" t="str">
        <f t="shared" si="30"/>
        <v>Texas</v>
      </c>
      <c r="C968" s="27" t="str">
        <f t="shared" si="31"/>
        <v>Kleberg</v>
      </c>
      <c r="F968" s="27">
        <v>1902</v>
      </c>
      <c r="G968" s="27">
        <v>1145</v>
      </c>
      <c r="H968" s="27" t="s">
        <v>2025</v>
      </c>
    </row>
    <row r="969" spans="1:8" x14ac:dyDescent="0.25">
      <c r="A969" s="27" t="s">
        <v>1501</v>
      </c>
      <c r="B969" s="27" t="str">
        <f t="shared" si="30"/>
        <v>Texas</v>
      </c>
      <c r="C969" s="27" t="str">
        <f t="shared" si="31"/>
        <v>Knox</v>
      </c>
      <c r="E969" s="27">
        <v>7883</v>
      </c>
      <c r="F969" s="27">
        <v>1902</v>
      </c>
      <c r="G969" s="27">
        <v>1145</v>
      </c>
      <c r="H969" s="27" t="s">
        <v>2025</v>
      </c>
    </row>
    <row r="970" spans="1:8" x14ac:dyDescent="0.25">
      <c r="A970" s="27" t="s">
        <v>1502</v>
      </c>
      <c r="B970" s="27" t="str">
        <f t="shared" si="30"/>
        <v>Texas</v>
      </c>
      <c r="C970" s="27" t="str">
        <f t="shared" si="31"/>
        <v>Lamar</v>
      </c>
      <c r="D970" s="27">
        <v>1990</v>
      </c>
      <c r="E970" s="27">
        <v>48482</v>
      </c>
      <c r="F970" s="27">
        <v>1902</v>
      </c>
      <c r="G970" s="27">
        <v>1145</v>
      </c>
      <c r="H970" s="27" t="s">
        <v>2025</v>
      </c>
    </row>
    <row r="971" spans="1:8" x14ac:dyDescent="0.25">
      <c r="A971" s="27" t="s">
        <v>1503</v>
      </c>
      <c r="B971" s="27" t="str">
        <f t="shared" si="30"/>
        <v>Texas</v>
      </c>
      <c r="C971" s="27" t="str">
        <f t="shared" si="31"/>
        <v>Lamb</v>
      </c>
      <c r="F971" s="27">
        <v>1902</v>
      </c>
      <c r="G971" s="27">
        <v>1145</v>
      </c>
      <c r="H971" s="27" t="s">
        <v>2025</v>
      </c>
    </row>
    <row r="972" spans="1:8" x14ac:dyDescent="0.25">
      <c r="A972" s="27" t="s">
        <v>1504</v>
      </c>
      <c r="B972" s="27" t="str">
        <f t="shared" si="30"/>
        <v>Texas</v>
      </c>
      <c r="C972" s="27" t="str">
        <f t="shared" si="31"/>
        <v>Lampasas</v>
      </c>
      <c r="E972" s="27">
        <v>10655</v>
      </c>
      <c r="F972" s="27">
        <v>1902</v>
      </c>
      <c r="G972" s="27">
        <v>1145</v>
      </c>
      <c r="H972" s="27" t="s">
        <v>2025</v>
      </c>
    </row>
    <row r="973" spans="1:8" x14ac:dyDescent="0.25">
      <c r="A973" s="27" t="s">
        <v>1505</v>
      </c>
      <c r="B973" s="27" t="str">
        <f t="shared" si="30"/>
        <v>Texas</v>
      </c>
      <c r="C973" s="27" t="str">
        <f t="shared" si="31"/>
        <v>La Salle</v>
      </c>
      <c r="E973" s="27">
        <v>3982</v>
      </c>
      <c r="F973" s="27">
        <v>1902</v>
      </c>
      <c r="G973" s="27">
        <v>1145</v>
      </c>
      <c r="H973" s="27" t="s">
        <v>2025</v>
      </c>
    </row>
    <row r="974" spans="1:8" x14ac:dyDescent="0.25">
      <c r="A974" s="27" t="s">
        <v>1506</v>
      </c>
      <c r="B974" s="27" t="str">
        <f t="shared" si="30"/>
        <v>Texas</v>
      </c>
      <c r="C974" s="27" t="str">
        <f t="shared" si="31"/>
        <v>Lavaca</v>
      </c>
      <c r="D974" s="27">
        <v>380</v>
      </c>
      <c r="E974" s="27">
        <v>35273</v>
      </c>
      <c r="F974" s="27">
        <v>1902</v>
      </c>
      <c r="G974" s="27">
        <v>1145</v>
      </c>
      <c r="H974" s="27" t="s">
        <v>2025</v>
      </c>
    </row>
    <row r="975" spans="1:8" x14ac:dyDescent="0.25">
      <c r="A975" s="27" t="s">
        <v>1507</v>
      </c>
      <c r="B975" s="27" t="str">
        <f t="shared" si="30"/>
        <v>Texas</v>
      </c>
      <c r="C975" s="27" t="str">
        <f t="shared" si="31"/>
        <v>Lee</v>
      </c>
      <c r="D975" s="27">
        <v>30</v>
      </c>
      <c r="E975" s="27">
        <v>14836</v>
      </c>
      <c r="F975" s="27">
        <v>1902</v>
      </c>
      <c r="G975" s="27">
        <v>1145</v>
      </c>
      <c r="H975" s="27" t="s">
        <v>2025</v>
      </c>
    </row>
    <row r="976" spans="1:8" x14ac:dyDescent="0.25">
      <c r="A976" s="27" t="s">
        <v>1508</v>
      </c>
      <c r="B976" s="27" t="str">
        <f t="shared" si="30"/>
        <v>Texas</v>
      </c>
      <c r="C976" s="27" t="str">
        <f t="shared" si="31"/>
        <v>Leon</v>
      </c>
      <c r="D976" s="27">
        <v>710</v>
      </c>
      <c r="E976" s="27">
        <v>23283</v>
      </c>
      <c r="F976" s="27">
        <v>1902</v>
      </c>
      <c r="G976" s="27">
        <v>1145</v>
      </c>
      <c r="H976" s="27" t="s">
        <v>2025</v>
      </c>
    </row>
    <row r="977" spans="1:8" x14ac:dyDescent="0.25">
      <c r="A977" s="27" t="s">
        <v>1509</v>
      </c>
      <c r="B977" s="27" t="str">
        <f t="shared" si="30"/>
        <v>Texas</v>
      </c>
      <c r="C977" s="27" t="str">
        <f t="shared" si="31"/>
        <v>Liberty</v>
      </c>
      <c r="D977" s="27">
        <v>2232</v>
      </c>
      <c r="E977" s="27">
        <v>9364</v>
      </c>
      <c r="F977" s="27">
        <v>1902</v>
      </c>
      <c r="G977" s="27">
        <v>1147</v>
      </c>
      <c r="H977" s="27" t="s">
        <v>2026</v>
      </c>
    </row>
    <row r="978" spans="1:8" x14ac:dyDescent="0.25">
      <c r="A978" s="27" t="s">
        <v>1510</v>
      </c>
      <c r="B978" s="27" t="str">
        <f t="shared" si="30"/>
        <v>Texas</v>
      </c>
      <c r="C978" s="27" t="str">
        <f t="shared" si="31"/>
        <v>Limestone</v>
      </c>
      <c r="D978" s="27">
        <v>519</v>
      </c>
      <c r="E978" s="27">
        <v>44628</v>
      </c>
      <c r="F978" s="27">
        <v>1902</v>
      </c>
      <c r="G978" s="27">
        <v>1147</v>
      </c>
      <c r="H978" s="27" t="s">
        <v>2026</v>
      </c>
    </row>
    <row r="979" spans="1:8" x14ac:dyDescent="0.25">
      <c r="A979" s="27" t="s">
        <v>1511</v>
      </c>
      <c r="B979" s="27" t="str">
        <f t="shared" si="30"/>
        <v>Texas</v>
      </c>
      <c r="C979" s="27" t="str">
        <f t="shared" si="31"/>
        <v>Lipscomb</v>
      </c>
      <c r="D979" s="27">
        <v>206</v>
      </c>
      <c r="E979" s="27">
        <v>3499</v>
      </c>
      <c r="F979" s="27">
        <v>1902</v>
      </c>
      <c r="G979" s="27">
        <v>1147</v>
      </c>
      <c r="H979" s="27" t="s">
        <v>2026</v>
      </c>
    </row>
    <row r="980" spans="1:8" x14ac:dyDescent="0.25">
      <c r="A980" s="27" t="s">
        <v>1512</v>
      </c>
      <c r="B980" s="27" t="str">
        <f t="shared" si="30"/>
        <v>Texas</v>
      </c>
      <c r="C980" s="27" t="str">
        <f t="shared" si="31"/>
        <v>Live Oak</v>
      </c>
      <c r="D980" s="27">
        <v>183</v>
      </c>
      <c r="E980" s="27">
        <v>4487</v>
      </c>
      <c r="F980" s="27">
        <v>1902</v>
      </c>
      <c r="G980" s="27">
        <v>1147</v>
      </c>
      <c r="H980" s="27" t="s">
        <v>2026</v>
      </c>
    </row>
    <row r="981" spans="1:8" x14ac:dyDescent="0.25">
      <c r="A981" s="27" t="s">
        <v>1513</v>
      </c>
      <c r="B981" s="27" t="str">
        <f t="shared" si="30"/>
        <v>Texas</v>
      </c>
      <c r="C981" s="27" t="str">
        <f t="shared" si="31"/>
        <v>Llano</v>
      </c>
      <c r="D981" s="27">
        <v>192</v>
      </c>
      <c r="E981" s="27">
        <v>8931</v>
      </c>
      <c r="F981" s="27">
        <v>1902</v>
      </c>
      <c r="G981" s="27">
        <v>1147</v>
      </c>
      <c r="H981" s="27" t="s">
        <v>2026</v>
      </c>
    </row>
    <row r="982" spans="1:8" x14ac:dyDescent="0.25">
      <c r="A982" s="27" t="s">
        <v>1514</v>
      </c>
      <c r="B982" s="27" t="str">
        <f t="shared" si="30"/>
        <v>Texas</v>
      </c>
      <c r="C982" s="27" t="str">
        <f t="shared" si="31"/>
        <v>Loving</v>
      </c>
      <c r="F982" s="27">
        <v>1902</v>
      </c>
      <c r="G982" s="27">
        <v>1147</v>
      </c>
      <c r="H982" s="27" t="s">
        <v>2026</v>
      </c>
    </row>
    <row r="983" spans="1:8" x14ac:dyDescent="0.25">
      <c r="A983" s="27" t="s">
        <v>1515</v>
      </c>
      <c r="B983" s="27" t="str">
        <f t="shared" si="30"/>
        <v>Texas</v>
      </c>
      <c r="C983" s="27" t="str">
        <f t="shared" si="31"/>
        <v>Lubbock</v>
      </c>
      <c r="D983" s="27">
        <v>23</v>
      </c>
      <c r="E983" s="27">
        <v>3691</v>
      </c>
      <c r="F983" s="27">
        <v>1902</v>
      </c>
      <c r="G983" s="27">
        <v>1147</v>
      </c>
      <c r="H983" s="27" t="s">
        <v>2026</v>
      </c>
    </row>
    <row r="984" spans="1:8" x14ac:dyDescent="0.25">
      <c r="A984" s="27" t="s">
        <v>1516</v>
      </c>
      <c r="B984" s="27" t="str">
        <f t="shared" si="30"/>
        <v>Texas</v>
      </c>
      <c r="C984" s="27" t="str">
        <f t="shared" si="31"/>
        <v>Lynn</v>
      </c>
      <c r="F984" s="27">
        <v>1902</v>
      </c>
      <c r="G984" s="27">
        <v>1147</v>
      </c>
      <c r="H984" s="27" t="s">
        <v>2026</v>
      </c>
    </row>
    <row r="985" spans="1:8" x14ac:dyDescent="0.25">
      <c r="A985" s="27" t="s">
        <v>1517</v>
      </c>
      <c r="B985" s="27" t="str">
        <f t="shared" si="30"/>
        <v>Texas</v>
      </c>
      <c r="C985" s="27" t="str">
        <f t="shared" si="31"/>
        <v>McCulloch</v>
      </c>
      <c r="D985" s="27">
        <v>94</v>
      </c>
      <c r="E985" s="27">
        <v>9876</v>
      </c>
      <c r="F985" s="27">
        <v>1902</v>
      </c>
      <c r="G985" s="27">
        <v>1147</v>
      </c>
      <c r="H985" s="27" t="s">
        <v>2026</v>
      </c>
    </row>
    <row r="986" spans="1:8" x14ac:dyDescent="0.25">
      <c r="A986" s="27" t="s">
        <v>1518</v>
      </c>
      <c r="B986" s="27" t="str">
        <f t="shared" si="30"/>
        <v>Texas</v>
      </c>
      <c r="C986" s="27" t="str">
        <f t="shared" si="31"/>
        <v>McLennan</v>
      </c>
      <c r="D986" s="27">
        <v>2017</v>
      </c>
      <c r="E986" s="27">
        <v>44676</v>
      </c>
      <c r="F986" s="27">
        <v>1902</v>
      </c>
      <c r="G986" s="27">
        <v>1147</v>
      </c>
      <c r="H986" s="27" t="s">
        <v>2026</v>
      </c>
    </row>
    <row r="987" spans="1:8" x14ac:dyDescent="0.25">
      <c r="A987" s="27" t="s">
        <v>1519</v>
      </c>
      <c r="B987" s="27" t="str">
        <f t="shared" si="30"/>
        <v>Texas</v>
      </c>
      <c r="C987" s="27" t="str">
        <f t="shared" si="31"/>
        <v>McMullen</v>
      </c>
      <c r="E987" s="27">
        <v>1711</v>
      </c>
      <c r="F987" s="27">
        <v>1902</v>
      </c>
      <c r="G987" s="27">
        <v>1147</v>
      </c>
      <c r="H987" s="27" t="s">
        <v>2026</v>
      </c>
    </row>
    <row r="988" spans="1:8" x14ac:dyDescent="0.25">
      <c r="A988" s="27" t="s">
        <v>1520</v>
      </c>
      <c r="B988" s="27" t="str">
        <f t="shared" si="30"/>
        <v>Texas</v>
      </c>
      <c r="C988" s="27" t="str">
        <f t="shared" si="31"/>
        <v>Madison</v>
      </c>
      <c r="E988" s="27">
        <v>11823</v>
      </c>
      <c r="F988" s="27">
        <v>1902</v>
      </c>
      <c r="G988" s="27">
        <v>1147</v>
      </c>
      <c r="H988" s="27" t="s">
        <v>2026</v>
      </c>
    </row>
    <row r="989" spans="1:8" x14ac:dyDescent="0.25">
      <c r="A989" s="27" t="s">
        <v>1521</v>
      </c>
      <c r="B989" s="27" t="str">
        <f t="shared" si="30"/>
        <v>Texas</v>
      </c>
      <c r="C989" s="27" t="str">
        <f t="shared" si="31"/>
        <v>Marion</v>
      </c>
      <c r="D989" s="27">
        <v>100</v>
      </c>
      <c r="E989" s="27">
        <v>16100</v>
      </c>
      <c r="F989" s="27">
        <v>1902</v>
      </c>
      <c r="G989" s="27">
        <v>1147</v>
      </c>
      <c r="H989" s="27" t="s">
        <v>2026</v>
      </c>
    </row>
    <row r="990" spans="1:8" x14ac:dyDescent="0.25">
      <c r="A990" s="27" t="s">
        <v>1522</v>
      </c>
      <c r="B990" s="27" t="str">
        <f t="shared" si="30"/>
        <v>Texas</v>
      </c>
      <c r="C990" s="27" t="str">
        <f t="shared" si="31"/>
        <v>Martin</v>
      </c>
      <c r="D990" s="27">
        <v>60</v>
      </c>
      <c r="E990" s="27">
        <v>1116</v>
      </c>
      <c r="F990" s="27">
        <v>1902</v>
      </c>
      <c r="G990" s="27">
        <v>1147</v>
      </c>
      <c r="H990" s="27" t="s">
        <v>2026</v>
      </c>
    </row>
    <row r="991" spans="1:8" x14ac:dyDescent="0.25">
      <c r="A991" s="27" t="s">
        <v>1523</v>
      </c>
      <c r="B991" s="27" t="str">
        <f t="shared" si="30"/>
        <v>Texas</v>
      </c>
      <c r="C991" s="27" t="str">
        <f t="shared" si="31"/>
        <v>Mason</v>
      </c>
      <c r="D991" s="27">
        <v>999</v>
      </c>
      <c r="E991" s="27">
        <v>7373</v>
      </c>
      <c r="F991" s="27">
        <v>1902</v>
      </c>
      <c r="G991" s="27">
        <v>1147</v>
      </c>
      <c r="H991" s="27" t="s">
        <v>2026</v>
      </c>
    </row>
    <row r="992" spans="1:8" x14ac:dyDescent="0.25">
      <c r="A992" s="27" t="s">
        <v>1524</v>
      </c>
      <c r="B992" s="27" t="str">
        <f t="shared" si="30"/>
        <v>Texas</v>
      </c>
      <c r="C992" s="27" t="str">
        <f t="shared" si="31"/>
        <v>Matagorda</v>
      </c>
      <c r="D992" s="27">
        <v>826</v>
      </c>
      <c r="E992" s="27">
        <v>6877</v>
      </c>
      <c r="F992" s="27">
        <v>1902</v>
      </c>
      <c r="G992" s="27">
        <v>1147</v>
      </c>
      <c r="H992" s="27" t="s">
        <v>2026</v>
      </c>
    </row>
    <row r="993" spans="1:8" x14ac:dyDescent="0.25">
      <c r="A993" s="27" t="s">
        <v>1525</v>
      </c>
      <c r="B993" s="27" t="str">
        <f t="shared" si="30"/>
        <v>Texas</v>
      </c>
      <c r="C993" s="27" t="str">
        <f t="shared" si="31"/>
        <v>Maverick</v>
      </c>
      <c r="D993" s="27">
        <v>60</v>
      </c>
      <c r="E993" s="27">
        <v>1910</v>
      </c>
      <c r="F993" s="27">
        <v>1902</v>
      </c>
      <c r="G993" s="27">
        <v>1147</v>
      </c>
      <c r="H993" s="27" t="s">
        <v>2026</v>
      </c>
    </row>
    <row r="994" spans="1:8" x14ac:dyDescent="0.25">
      <c r="A994" s="27" t="s">
        <v>1526</v>
      </c>
      <c r="B994" s="27" t="str">
        <f t="shared" si="30"/>
        <v>Texas</v>
      </c>
      <c r="C994" s="27" t="str">
        <f t="shared" si="31"/>
        <v>Medina</v>
      </c>
      <c r="D994" s="27">
        <v>41</v>
      </c>
      <c r="E994" s="27">
        <v>12378</v>
      </c>
      <c r="F994" s="27">
        <v>1902</v>
      </c>
      <c r="G994" s="27">
        <v>1147</v>
      </c>
      <c r="H994" s="27" t="s">
        <v>2026</v>
      </c>
    </row>
    <row r="995" spans="1:8" x14ac:dyDescent="0.25">
      <c r="A995" s="27" t="s">
        <v>1527</v>
      </c>
      <c r="B995" s="27" t="str">
        <f t="shared" si="30"/>
        <v>Texas</v>
      </c>
      <c r="C995" s="27" t="str">
        <f t="shared" si="31"/>
        <v>Menard</v>
      </c>
      <c r="D995" s="27">
        <v>11</v>
      </c>
      <c r="E995" s="27">
        <v>2617</v>
      </c>
      <c r="F995" s="27">
        <v>1902</v>
      </c>
      <c r="G995" s="27">
        <v>1147</v>
      </c>
      <c r="H995" s="27" t="s">
        <v>2026</v>
      </c>
    </row>
    <row r="996" spans="1:8" x14ac:dyDescent="0.25">
      <c r="A996" s="27" t="s">
        <v>1528</v>
      </c>
      <c r="B996" s="27" t="str">
        <f t="shared" si="30"/>
        <v>Texas</v>
      </c>
      <c r="C996" s="27" t="str">
        <f t="shared" si="31"/>
        <v>Midland</v>
      </c>
      <c r="D996" s="27">
        <v>208</v>
      </c>
      <c r="E996" s="27">
        <v>4415</v>
      </c>
      <c r="F996" s="27">
        <v>1902</v>
      </c>
      <c r="G996" s="27">
        <v>1147</v>
      </c>
      <c r="H996" s="27" t="s">
        <v>2026</v>
      </c>
    </row>
    <row r="997" spans="1:8" x14ac:dyDescent="0.25">
      <c r="A997" s="27" t="s">
        <v>1529</v>
      </c>
      <c r="B997" s="27" t="str">
        <f t="shared" si="30"/>
        <v>Texas</v>
      </c>
      <c r="C997" s="27" t="str">
        <f t="shared" si="31"/>
        <v>Milam</v>
      </c>
      <c r="D997" s="27">
        <v>1095</v>
      </c>
      <c r="E997" s="27">
        <v>46553</v>
      </c>
      <c r="F997" s="27">
        <v>1902</v>
      </c>
      <c r="G997" s="27">
        <v>1147</v>
      </c>
      <c r="H997" s="27" t="s">
        <v>2026</v>
      </c>
    </row>
    <row r="998" spans="1:8" x14ac:dyDescent="0.25">
      <c r="A998" s="27" t="s">
        <v>1530</v>
      </c>
      <c r="B998" s="27" t="str">
        <f t="shared" si="30"/>
        <v>Texas</v>
      </c>
      <c r="C998" s="27" t="str">
        <f t="shared" si="31"/>
        <v>Mills</v>
      </c>
      <c r="E998" s="27">
        <v>9310</v>
      </c>
      <c r="F998" s="27">
        <v>1902</v>
      </c>
      <c r="G998" s="27">
        <v>1147</v>
      </c>
      <c r="H998" s="27" t="s">
        <v>2026</v>
      </c>
    </row>
    <row r="999" spans="1:8" x14ac:dyDescent="0.25">
      <c r="A999" s="27" t="s">
        <v>1531</v>
      </c>
      <c r="B999" s="27" t="str">
        <f t="shared" si="30"/>
        <v>Texas</v>
      </c>
      <c r="C999" s="27" t="str">
        <f t="shared" si="31"/>
        <v>Mitchell</v>
      </c>
      <c r="D999" s="27">
        <v>245</v>
      </c>
      <c r="E999" s="27">
        <v>8268</v>
      </c>
      <c r="F999" s="27">
        <v>1902</v>
      </c>
      <c r="G999" s="27">
        <v>1147</v>
      </c>
      <c r="H999" s="27" t="s">
        <v>2026</v>
      </c>
    </row>
    <row r="1000" spans="1:8" x14ac:dyDescent="0.25">
      <c r="A1000" s="27" t="s">
        <v>1532</v>
      </c>
      <c r="B1000" s="27" t="str">
        <f t="shared" si="30"/>
        <v>Texas</v>
      </c>
      <c r="C1000" s="27" t="str">
        <f t="shared" si="31"/>
        <v>Montague</v>
      </c>
      <c r="D1000" s="27">
        <v>773</v>
      </c>
      <c r="E1000" s="27">
        <v>26845</v>
      </c>
      <c r="F1000" s="27">
        <v>1902</v>
      </c>
      <c r="G1000" s="27">
        <v>1147</v>
      </c>
      <c r="H1000" s="27" t="s">
        <v>2026</v>
      </c>
    </row>
    <row r="1001" spans="1:8" x14ac:dyDescent="0.25">
      <c r="A1001" s="27" t="s">
        <v>1533</v>
      </c>
      <c r="B1001" s="27" t="str">
        <f t="shared" si="30"/>
        <v>Texas</v>
      </c>
      <c r="C1001" s="27" t="str">
        <f t="shared" si="31"/>
        <v>Montgomery</v>
      </c>
      <c r="D1001" s="27">
        <v>1107</v>
      </c>
      <c r="E1001" s="27">
        <v>16162</v>
      </c>
      <c r="F1001" s="27">
        <v>1902</v>
      </c>
      <c r="G1001" s="27">
        <v>1147</v>
      </c>
      <c r="H1001" s="27" t="s">
        <v>2026</v>
      </c>
    </row>
    <row r="1002" spans="1:8" x14ac:dyDescent="0.25">
      <c r="A1002" s="27" t="s">
        <v>1534</v>
      </c>
      <c r="B1002" s="27" t="str">
        <f t="shared" si="30"/>
        <v>Texas</v>
      </c>
      <c r="C1002" s="27" t="str">
        <f t="shared" si="31"/>
        <v>Moore</v>
      </c>
      <c r="E1002" s="27">
        <v>1819</v>
      </c>
      <c r="F1002" s="27">
        <v>1902</v>
      </c>
      <c r="G1002" s="27">
        <v>1147</v>
      </c>
      <c r="H1002" s="27" t="s">
        <v>2026</v>
      </c>
    </row>
    <row r="1003" spans="1:8" x14ac:dyDescent="0.25">
      <c r="A1003" s="27" t="s">
        <v>1535</v>
      </c>
      <c r="B1003" s="27" t="str">
        <f t="shared" si="30"/>
        <v>Texas</v>
      </c>
      <c r="C1003" s="27" t="str">
        <f t="shared" si="31"/>
        <v>Morris</v>
      </c>
      <c r="D1003" s="27">
        <v>300</v>
      </c>
      <c r="E1003" s="27">
        <v>16017</v>
      </c>
      <c r="F1003" s="27">
        <v>1902</v>
      </c>
      <c r="G1003" s="27">
        <v>1147</v>
      </c>
      <c r="H1003" s="27" t="s">
        <v>2026</v>
      </c>
    </row>
    <row r="1004" spans="1:8" x14ac:dyDescent="0.25">
      <c r="A1004" s="27" t="s">
        <v>1536</v>
      </c>
      <c r="B1004" s="27" t="str">
        <f t="shared" si="30"/>
        <v>Texas</v>
      </c>
      <c r="C1004" s="27" t="str">
        <f t="shared" si="31"/>
        <v>Motley</v>
      </c>
      <c r="D1004" s="27">
        <v>40</v>
      </c>
      <c r="E1004" s="27">
        <v>5353</v>
      </c>
      <c r="F1004" s="27">
        <v>1902</v>
      </c>
      <c r="G1004" s="27">
        <v>1147</v>
      </c>
      <c r="H1004" s="27" t="s">
        <v>2026</v>
      </c>
    </row>
    <row r="1005" spans="1:8" x14ac:dyDescent="0.25">
      <c r="A1005" s="27" t="s">
        <v>1537</v>
      </c>
      <c r="B1005" s="27" t="str">
        <f t="shared" si="30"/>
        <v>Texas</v>
      </c>
      <c r="C1005" s="27" t="str">
        <f t="shared" si="31"/>
        <v>Nacogdoches</v>
      </c>
      <c r="D1005" s="27">
        <v>139</v>
      </c>
      <c r="E1005" s="27">
        <v>29262</v>
      </c>
      <c r="F1005" s="27">
        <v>1902</v>
      </c>
      <c r="G1005" s="27">
        <v>1147</v>
      </c>
      <c r="H1005" s="27" t="s">
        <v>2026</v>
      </c>
    </row>
    <row r="1006" spans="1:8" x14ac:dyDescent="0.25">
      <c r="A1006" s="27" t="s">
        <v>1538</v>
      </c>
      <c r="B1006" s="27" t="str">
        <f t="shared" si="30"/>
        <v>Texas</v>
      </c>
      <c r="C1006" s="27" t="str">
        <f t="shared" si="31"/>
        <v>Navarro</v>
      </c>
      <c r="D1006" s="27">
        <v>633</v>
      </c>
      <c r="E1006" s="27">
        <v>64694</v>
      </c>
      <c r="F1006" s="27">
        <v>1902</v>
      </c>
      <c r="G1006" s="27">
        <v>1147</v>
      </c>
      <c r="H1006" s="27" t="s">
        <v>2026</v>
      </c>
    </row>
    <row r="1007" spans="1:8" x14ac:dyDescent="0.25">
      <c r="A1007" s="27" t="s">
        <v>1539</v>
      </c>
      <c r="B1007" s="27" t="str">
        <f t="shared" si="30"/>
        <v>Texas</v>
      </c>
      <c r="C1007" s="27" t="str">
        <f t="shared" si="31"/>
        <v>Newton</v>
      </c>
      <c r="E1007" s="27">
        <v>9386</v>
      </c>
      <c r="F1007" s="27">
        <v>1902</v>
      </c>
      <c r="G1007" s="27">
        <v>1147</v>
      </c>
      <c r="H1007" s="27" t="s">
        <v>2026</v>
      </c>
    </row>
    <row r="1008" spans="1:8" x14ac:dyDescent="0.25">
      <c r="A1008" s="27" t="s">
        <v>1540</v>
      </c>
      <c r="B1008" s="27" t="str">
        <f t="shared" si="30"/>
        <v>Texas</v>
      </c>
      <c r="C1008" s="27" t="str">
        <f t="shared" si="31"/>
        <v>Nolan</v>
      </c>
      <c r="D1008" s="27">
        <v>75</v>
      </c>
      <c r="E1008" s="27">
        <v>5727</v>
      </c>
      <c r="F1008" s="27">
        <v>1902</v>
      </c>
      <c r="G1008" s="27">
        <v>1147</v>
      </c>
      <c r="H1008" s="27" t="s">
        <v>2026</v>
      </c>
    </row>
    <row r="1009" spans="1:8" x14ac:dyDescent="0.25">
      <c r="A1009" s="27" t="s">
        <v>1541</v>
      </c>
      <c r="B1009" s="27" t="str">
        <f t="shared" si="30"/>
        <v>Texas</v>
      </c>
      <c r="C1009" s="27" t="str">
        <f t="shared" si="31"/>
        <v>Nueces</v>
      </c>
      <c r="D1009" s="27">
        <v>153</v>
      </c>
      <c r="E1009" s="27">
        <v>7902</v>
      </c>
      <c r="F1009" s="27">
        <v>1902</v>
      </c>
      <c r="G1009" s="27">
        <v>1147</v>
      </c>
      <c r="H1009" s="27" t="s">
        <v>2026</v>
      </c>
    </row>
    <row r="1010" spans="1:8" x14ac:dyDescent="0.25">
      <c r="A1010" s="27" t="s">
        <v>1542</v>
      </c>
      <c r="B1010" s="27" t="str">
        <f t="shared" si="30"/>
        <v>Texas</v>
      </c>
      <c r="C1010" s="27" t="str">
        <f t="shared" si="31"/>
        <v>Ochiltree</v>
      </c>
      <c r="E1010" s="27">
        <v>2059</v>
      </c>
      <c r="F1010" s="27">
        <v>1902</v>
      </c>
      <c r="G1010" s="27">
        <v>1147</v>
      </c>
      <c r="H1010" s="27" t="s">
        <v>2026</v>
      </c>
    </row>
    <row r="1011" spans="1:8" x14ac:dyDescent="0.25">
      <c r="A1011" s="27" t="s">
        <v>1543</v>
      </c>
      <c r="B1011" s="27" t="str">
        <f t="shared" si="30"/>
        <v>Texas</v>
      </c>
      <c r="C1011" s="27" t="str">
        <f t="shared" si="31"/>
        <v>Oldham</v>
      </c>
      <c r="D1011" s="27">
        <v>26</v>
      </c>
      <c r="E1011" s="27">
        <v>998</v>
      </c>
      <c r="F1011" s="27">
        <v>1902</v>
      </c>
      <c r="G1011" s="27">
        <v>1147</v>
      </c>
      <c r="H1011" s="27" t="s">
        <v>2026</v>
      </c>
    </row>
    <row r="1012" spans="1:8" x14ac:dyDescent="0.25">
      <c r="A1012" s="27" t="s">
        <v>1544</v>
      </c>
      <c r="B1012" s="27" t="str">
        <f t="shared" si="30"/>
        <v>Texas</v>
      </c>
      <c r="C1012" s="27" t="str">
        <f t="shared" si="31"/>
        <v>Orange</v>
      </c>
      <c r="E1012" s="27">
        <v>5873</v>
      </c>
      <c r="F1012" s="27">
        <v>1902</v>
      </c>
      <c r="G1012" s="27">
        <v>1147</v>
      </c>
      <c r="H1012" s="27" t="s">
        <v>2026</v>
      </c>
    </row>
    <row r="1013" spans="1:8" x14ac:dyDescent="0.25">
      <c r="A1013" s="27" t="s">
        <v>1545</v>
      </c>
      <c r="B1013" s="27" t="str">
        <f t="shared" si="30"/>
        <v>Texas</v>
      </c>
      <c r="C1013" s="27" t="str">
        <f t="shared" si="31"/>
        <v>Palo Pinto</v>
      </c>
      <c r="D1013" s="27">
        <v>61</v>
      </c>
      <c r="E1013" s="27">
        <v>12932</v>
      </c>
      <c r="F1013" s="27">
        <v>1902</v>
      </c>
      <c r="G1013" s="27">
        <v>1147</v>
      </c>
      <c r="H1013" s="27" t="s">
        <v>2026</v>
      </c>
    </row>
    <row r="1014" spans="1:8" x14ac:dyDescent="0.25">
      <c r="A1014" s="27" t="s">
        <v>1546</v>
      </c>
      <c r="B1014" s="27" t="str">
        <f t="shared" si="30"/>
        <v>Texas</v>
      </c>
      <c r="C1014" s="27" t="str">
        <f t="shared" si="31"/>
        <v>Panola</v>
      </c>
      <c r="D1014" s="27">
        <v>348</v>
      </c>
      <c r="E1014" s="27">
        <v>25401</v>
      </c>
      <c r="F1014" s="27">
        <v>1902</v>
      </c>
      <c r="G1014" s="27">
        <v>1147</v>
      </c>
      <c r="H1014" s="27" t="s">
        <v>2026</v>
      </c>
    </row>
    <row r="1015" spans="1:8" x14ac:dyDescent="0.25">
      <c r="A1015" s="27" t="s">
        <v>1547</v>
      </c>
      <c r="B1015" s="27" t="str">
        <f t="shared" si="30"/>
        <v>Texas</v>
      </c>
      <c r="C1015" s="27" t="str">
        <f t="shared" si="31"/>
        <v>Parker</v>
      </c>
      <c r="D1015" s="27">
        <v>866</v>
      </c>
      <c r="E1015" s="27">
        <v>23830</v>
      </c>
      <c r="F1015" s="27">
        <v>1902</v>
      </c>
      <c r="G1015" s="27">
        <v>1147</v>
      </c>
      <c r="H1015" s="27" t="s">
        <v>2026</v>
      </c>
    </row>
    <row r="1016" spans="1:8" x14ac:dyDescent="0.25">
      <c r="A1016" s="27" t="s">
        <v>1548</v>
      </c>
      <c r="B1016" s="27" t="str">
        <f t="shared" si="30"/>
        <v>Texas</v>
      </c>
      <c r="C1016" s="27" t="str">
        <f t="shared" si="31"/>
        <v>Parmer</v>
      </c>
      <c r="F1016" s="27">
        <v>1902</v>
      </c>
      <c r="G1016" s="27">
        <v>1147</v>
      </c>
      <c r="H1016" s="27" t="s">
        <v>2026</v>
      </c>
    </row>
    <row r="1017" spans="1:8" x14ac:dyDescent="0.25">
      <c r="A1017" s="27" t="s">
        <v>1549</v>
      </c>
      <c r="B1017" s="27" t="str">
        <f t="shared" si="30"/>
        <v>Texas</v>
      </c>
      <c r="C1017" s="27" t="str">
        <f t="shared" si="31"/>
        <v>Pecos</v>
      </c>
      <c r="D1017" s="27">
        <v>128</v>
      </c>
      <c r="E1017" s="27">
        <v>4624</v>
      </c>
      <c r="F1017" s="27">
        <v>1902</v>
      </c>
      <c r="G1017" s="27">
        <v>1147</v>
      </c>
      <c r="H1017" s="27" t="s">
        <v>2026</v>
      </c>
    </row>
    <row r="1018" spans="1:8" x14ac:dyDescent="0.25">
      <c r="A1018" s="27" t="s">
        <v>1550</v>
      </c>
      <c r="B1018" s="27" t="str">
        <f t="shared" si="30"/>
        <v>Texas</v>
      </c>
      <c r="C1018" s="27" t="str">
        <f t="shared" si="31"/>
        <v>Polk</v>
      </c>
      <c r="E1018" s="27">
        <v>15337</v>
      </c>
      <c r="F1018" s="27">
        <v>1902</v>
      </c>
      <c r="G1018" s="27">
        <v>1147</v>
      </c>
      <c r="H1018" s="27" t="s">
        <v>2026</v>
      </c>
    </row>
    <row r="1019" spans="1:8" x14ac:dyDescent="0.25">
      <c r="A1019" s="27" t="s">
        <v>1551</v>
      </c>
      <c r="B1019" s="27" t="str">
        <f t="shared" si="30"/>
        <v>Texas</v>
      </c>
      <c r="C1019" s="27" t="str">
        <f t="shared" si="31"/>
        <v>Potter</v>
      </c>
      <c r="D1019" s="27">
        <v>251</v>
      </c>
      <c r="E1019" s="27">
        <v>6324</v>
      </c>
      <c r="F1019" s="27">
        <v>1902</v>
      </c>
      <c r="G1019" s="27">
        <v>1147</v>
      </c>
      <c r="H1019" s="27" t="s">
        <v>2026</v>
      </c>
    </row>
    <row r="1020" spans="1:8" x14ac:dyDescent="0.25">
      <c r="A1020" s="27" t="s">
        <v>1552</v>
      </c>
      <c r="B1020" s="27" t="str">
        <f t="shared" si="30"/>
        <v>Texas</v>
      </c>
      <c r="C1020" s="27" t="str">
        <f t="shared" si="31"/>
        <v>Presidio</v>
      </c>
      <c r="D1020" s="27">
        <v>400</v>
      </c>
      <c r="E1020" s="27">
        <v>10570</v>
      </c>
      <c r="F1020" s="27">
        <v>1902</v>
      </c>
      <c r="G1020" s="27">
        <v>1147</v>
      </c>
      <c r="H1020" s="27" t="s">
        <v>2026</v>
      </c>
    </row>
    <row r="1021" spans="1:8" x14ac:dyDescent="0.25">
      <c r="A1021" s="27" t="s">
        <v>1553</v>
      </c>
      <c r="B1021" s="27" t="str">
        <f t="shared" si="30"/>
        <v>Texas</v>
      </c>
      <c r="C1021" s="27" t="str">
        <f t="shared" si="31"/>
        <v>Rains</v>
      </c>
      <c r="D1021" s="27">
        <v>104</v>
      </c>
      <c r="E1021" s="27">
        <v>10244</v>
      </c>
      <c r="F1021" s="27">
        <v>1902</v>
      </c>
      <c r="G1021" s="27">
        <v>1147</v>
      </c>
      <c r="H1021" s="27" t="s">
        <v>2026</v>
      </c>
    </row>
    <row r="1022" spans="1:8" x14ac:dyDescent="0.25">
      <c r="A1022" s="27" t="s">
        <v>1554</v>
      </c>
      <c r="B1022" s="27" t="str">
        <f t="shared" si="30"/>
        <v>Texas</v>
      </c>
      <c r="C1022" s="27" t="str">
        <f t="shared" si="31"/>
        <v>Randall</v>
      </c>
      <c r="E1022" s="27">
        <v>4045</v>
      </c>
      <c r="F1022" s="27">
        <v>1902</v>
      </c>
      <c r="G1022" s="27">
        <v>1147</v>
      </c>
      <c r="H1022" s="27" t="s">
        <v>2026</v>
      </c>
    </row>
    <row r="1023" spans="1:8" x14ac:dyDescent="0.25">
      <c r="A1023" s="27" t="s">
        <v>1555</v>
      </c>
      <c r="B1023" s="27" t="str">
        <f t="shared" si="30"/>
        <v>Texas</v>
      </c>
      <c r="C1023" s="27" t="str">
        <f t="shared" si="31"/>
        <v>Reagan</v>
      </c>
      <c r="F1023" s="27">
        <v>1902</v>
      </c>
      <c r="G1023" s="27">
        <v>1147</v>
      </c>
      <c r="H1023" s="27" t="s">
        <v>2026</v>
      </c>
    </row>
    <row r="1024" spans="1:8" x14ac:dyDescent="0.25">
      <c r="A1024" s="27" t="s">
        <v>1556</v>
      </c>
      <c r="B1024" s="27" t="str">
        <f t="shared" si="30"/>
        <v>Texas</v>
      </c>
      <c r="C1024" s="27" t="str">
        <f t="shared" si="31"/>
        <v>Real</v>
      </c>
      <c r="F1024" s="27">
        <v>1902</v>
      </c>
      <c r="G1024" s="27">
        <v>1147</v>
      </c>
      <c r="H1024" s="27" t="s">
        <v>2026</v>
      </c>
    </row>
    <row r="1025" spans="1:8" x14ac:dyDescent="0.25">
      <c r="A1025" s="27" t="s">
        <v>1557</v>
      </c>
      <c r="B1025" s="27" t="str">
        <f t="shared" si="30"/>
        <v>Texas</v>
      </c>
      <c r="C1025" s="27" t="str">
        <f t="shared" si="31"/>
        <v>Red River</v>
      </c>
      <c r="D1025" s="27">
        <v>1508</v>
      </c>
      <c r="E1025" s="27">
        <v>39693</v>
      </c>
      <c r="F1025" s="27">
        <v>1902</v>
      </c>
      <c r="G1025" s="27">
        <v>1147</v>
      </c>
      <c r="H1025" s="27" t="s">
        <v>2026</v>
      </c>
    </row>
    <row r="1026" spans="1:8" x14ac:dyDescent="0.25">
      <c r="A1026" s="27" t="s">
        <v>1558</v>
      </c>
      <c r="B1026" s="27" t="str">
        <f t="shared" si="30"/>
        <v>Texas</v>
      </c>
      <c r="C1026" s="27" t="str">
        <f t="shared" si="31"/>
        <v>Reeves</v>
      </c>
      <c r="D1026" s="27">
        <v>304</v>
      </c>
      <c r="E1026" s="27">
        <v>5473</v>
      </c>
      <c r="F1026" s="27">
        <v>1902</v>
      </c>
      <c r="G1026" s="27">
        <v>1147</v>
      </c>
      <c r="H1026" s="27" t="s">
        <v>2026</v>
      </c>
    </row>
    <row r="1027" spans="1:8" x14ac:dyDescent="0.25">
      <c r="A1027" s="27" t="s">
        <v>1559</v>
      </c>
      <c r="B1027" s="27" t="str">
        <f t="shared" ref="B1027:B1090" si="32">LEFT(A1027,FIND(";",A1027)-1)</f>
        <v>Texas</v>
      </c>
      <c r="C1027" s="27" t="str">
        <f t="shared" ref="C1027:C1090" si="33">MID(A1027,FIND(";",A1027)+1,100)</f>
        <v>Refugio</v>
      </c>
      <c r="E1027" s="27">
        <v>3369</v>
      </c>
      <c r="F1027" s="27">
        <v>1902</v>
      </c>
      <c r="G1027" s="27">
        <v>1147</v>
      </c>
      <c r="H1027" s="27" t="s">
        <v>2026</v>
      </c>
    </row>
    <row r="1028" spans="1:8" x14ac:dyDescent="0.25">
      <c r="A1028" s="27" t="s">
        <v>1560</v>
      </c>
      <c r="B1028" s="27" t="str">
        <f t="shared" si="32"/>
        <v>Texas</v>
      </c>
      <c r="C1028" s="27" t="str">
        <f t="shared" si="33"/>
        <v>Roberts</v>
      </c>
      <c r="E1028" s="27">
        <v>3473</v>
      </c>
      <c r="F1028" s="27">
        <v>1902</v>
      </c>
      <c r="G1028" s="27">
        <v>1147</v>
      </c>
      <c r="H1028" s="27" t="s">
        <v>2026</v>
      </c>
    </row>
    <row r="1029" spans="1:8" x14ac:dyDescent="0.25">
      <c r="A1029" s="27" t="s">
        <v>1561</v>
      </c>
      <c r="B1029" s="27" t="str">
        <f t="shared" si="32"/>
        <v>Texas</v>
      </c>
      <c r="C1029" s="27" t="str">
        <f t="shared" si="33"/>
        <v>Robertson</v>
      </c>
      <c r="D1029" s="27">
        <v>220</v>
      </c>
      <c r="E1029" s="27">
        <v>31745</v>
      </c>
      <c r="F1029" s="27">
        <v>1902</v>
      </c>
      <c r="G1029" s="27">
        <v>1147</v>
      </c>
      <c r="H1029" s="27" t="s">
        <v>2026</v>
      </c>
    </row>
    <row r="1030" spans="1:8" x14ac:dyDescent="0.25">
      <c r="A1030" s="27" t="s">
        <v>1562</v>
      </c>
      <c r="B1030" s="27" t="str">
        <f t="shared" si="32"/>
        <v>Texas</v>
      </c>
      <c r="C1030" s="27" t="str">
        <f t="shared" si="33"/>
        <v>Rockwall</v>
      </c>
      <c r="D1030" s="27">
        <v>300</v>
      </c>
      <c r="E1030" s="27">
        <v>13062</v>
      </c>
      <c r="F1030" s="27">
        <v>1902</v>
      </c>
      <c r="G1030" s="27">
        <v>1147</v>
      </c>
      <c r="H1030" s="27" t="s">
        <v>2026</v>
      </c>
    </row>
    <row r="1031" spans="1:8" x14ac:dyDescent="0.25">
      <c r="A1031" s="27" t="s">
        <v>1563</v>
      </c>
      <c r="B1031" s="27" t="str">
        <f t="shared" si="32"/>
        <v>Texas</v>
      </c>
      <c r="C1031" s="27" t="str">
        <f t="shared" si="33"/>
        <v>Runnels</v>
      </c>
      <c r="D1031" s="27">
        <v>176</v>
      </c>
      <c r="E1031" s="27">
        <v>16533</v>
      </c>
      <c r="F1031" s="27">
        <v>1902</v>
      </c>
      <c r="G1031" s="27">
        <v>1147</v>
      </c>
      <c r="H1031" s="27" t="s">
        <v>2026</v>
      </c>
    </row>
    <row r="1032" spans="1:8" x14ac:dyDescent="0.25">
      <c r="A1032" s="27" t="s">
        <v>1564</v>
      </c>
      <c r="B1032" s="27" t="str">
        <f t="shared" si="32"/>
        <v>Texas</v>
      </c>
      <c r="C1032" s="27" t="str">
        <f t="shared" si="33"/>
        <v>Rusk</v>
      </c>
      <c r="D1032" s="27">
        <v>156</v>
      </c>
      <c r="E1032" s="27">
        <v>30655</v>
      </c>
      <c r="F1032" s="27">
        <v>1902</v>
      </c>
      <c r="G1032" s="27">
        <v>1147</v>
      </c>
      <c r="H1032" s="27" t="s">
        <v>2026</v>
      </c>
    </row>
    <row r="1033" spans="1:8" x14ac:dyDescent="0.25">
      <c r="A1033" s="27" t="s">
        <v>1565</v>
      </c>
      <c r="B1033" s="27" t="str">
        <f t="shared" si="32"/>
        <v>Texas</v>
      </c>
      <c r="C1033" s="27" t="str">
        <f t="shared" si="33"/>
        <v>Sabine</v>
      </c>
      <c r="E1033" s="27">
        <v>7811</v>
      </c>
      <c r="F1033" s="27">
        <v>1902</v>
      </c>
      <c r="G1033" s="27">
        <v>1147</v>
      </c>
      <c r="H1033" s="27" t="s">
        <v>2026</v>
      </c>
    </row>
    <row r="1034" spans="1:8" x14ac:dyDescent="0.25">
      <c r="A1034" s="27" t="s">
        <v>1566</v>
      </c>
      <c r="B1034" s="27" t="str">
        <f t="shared" si="32"/>
        <v>Texas</v>
      </c>
      <c r="C1034" s="27" t="str">
        <f t="shared" si="33"/>
        <v>San Augustine</v>
      </c>
      <c r="D1034" s="27">
        <v>643</v>
      </c>
      <c r="E1034" s="27">
        <v>11244</v>
      </c>
      <c r="F1034" s="27">
        <v>1902</v>
      </c>
      <c r="G1034" s="27">
        <v>1147</v>
      </c>
      <c r="H1034" s="27" t="s">
        <v>2026</v>
      </c>
    </row>
    <row r="1035" spans="1:8" x14ac:dyDescent="0.25">
      <c r="A1035" s="27" t="s">
        <v>1567</v>
      </c>
      <c r="B1035" s="27" t="str">
        <f t="shared" si="32"/>
        <v>Texas</v>
      </c>
      <c r="C1035" s="27" t="str">
        <f t="shared" si="33"/>
        <v>San Jacinto</v>
      </c>
      <c r="D1035" s="27">
        <v>1866</v>
      </c>
      <c r="E1035" s="27">
        <v>14064</v>
      </c>
      <c r="F1035" s="27">
        <v>1902</v>
      </c>
      <c r="G1035" s="27">
        <v>1147</v>
      </c>
      <c r="H1035" s="27" t="s">
        <v>2026</v>
      </c>
    </row>
    <row r="1036" spans="1:8" x14ac:dyDescent="0.25">
      <c r="A1036" s="27" t="s">
        <v>1568</v>
      </c>
      <c r="B1036" s="27" t="str">
        <f t="shared" si="32"/>
        <v>Texas</v>
      </c>
      <c r="C1036" s="27" t="str">
        <f t="shared" si="33"/>
        <v>San Patricio</v>
      </c>
      <c r="E1036" s="27">
        <v>3917</v>
      </c>
      <c r="F1036" s="27">
        <v>1902</v>
      </c>
      <c r="G1036" s="27">
        <v>1147</v>
      </c>
      <c r="H1036" s="27" t="s">
        <v>2026</v>
      </c>
    </row>
    <row r="1037" spans="1:8" x14ac:dyDescent="0.25">
      <c r="A1037" s="27" t="s">
        <v>1569</v>
      </c>
      <c r="B1037" s="27" t="str">
        <f t="shared" si="32"/>
        <v>Texas</v>
      </c>
      <c r="C1037" s="27" t="str">
        <f t="shared" si="33"/>
        <v>San Saba</v>
      </c>
      <c r="E1037" s="27">
        <v>11118</v>
      </c>
      <c r="F1037" s="27">
        <v>1902</v>
      </c>
      <c r="G1037" s="27">
        <v>1147</v>
      </c>
      <c r="H1037" s="27" t="s">
        <v>2026</v>
      </c>
    </row>
    <row r="1038" spans="1:8" x14ac:dyDescent="0.25">
      <c r="A1038" s="27" t="s">
        <v>1570</v>
      </c>
      <c r="B1038" s="27" t="str">
        <f t="shared" si="32"/>
        <v>Texas</v>
      </c>
      <c r="C1038" s="27" t="str">
        <f t="shared" si="33"/>
        <v>Schleicher</v>
      </c>
      <c r="F1038" s="27">
        <v>1902</v>
      </c>
      <c r="G1038" s="27">
        <v>1147</v>
      </c>
      <c r="H1038" s="27" t="s">
        <v>2026</v>
      </c>
    </row>
    <row r="1039" spans="1:8" x14ac:dyDescent="0.25">
      <c r="A1039" s="27" t="s">
        <v>1571</v>
      </c>
      <c r="B1039" s="27" t="str">
        <f t="shared" si="32"/>
        <v>Texas</v>
      </c>
      <c r="C1039" s="27" t="str">
        <f t="shared" si="33"/>
        <v>Scurry</v>
      </c>
      <c r="D1039" s="27">
        <v>146</v>
      </c>
      <c r="E1039" s="27">
        <v>6410</v>
      </c>
      <c r="F1039" s="27">
        <v>1902</v>
      </c>
      <c r="G1039" s="27">
        <v>1147</v>
      </c>
      <c r="H1039" s="27" t="s">
        <v>2026</v>
      </c>
    </row>
    <row r="1040" spans="1:8" x14ac:dyDescent="0.25">
      <c r="A1040" s="27" t="s">
        <v>1572</v>
      </c>
      <c r="B1040" s="27" t="str">
        <f t="shared" si="32"/>
        <v>Texas</v>
      </c>
      <c r="C1040" s="27" t="str">
        <f t="shared" si="33"/>
        <v>Shackelford</v>
      </c>
      <c r="D1040" s="27">
        <v>733</v>
      </c>
      <c r="E1040" s="27">
        <v>2411</v>
      </c>
      <c r="F1040" s="27">
        <v>1902</v>
      </c>
      <c r="G1040" s="27">
        <v>1147</v>
      </c>
      <c r="H1040" s="27" t="s">
        <v>2026</v>
      </c>
    </row>
    <row r="1041" spans="1:8" x14ac:dyDescent="0.25">
      <c r="A1041" s="27" t="s">
        <v>1573</v>
      </c>
      <c r="B1041" s="27" t="str">
        <f t="shared" si="32"/>
        <v>Texas</v>
      </c>
      <c r="C1041" s="27" t="str">
        <f t="shared" si="33"/>
        <v>Shelby</v>
      </c>
      <c r="D1041" s="27">
        <v>1192</v>
      </c>
      <c r="E1041" s="27">
        <v>28276</v>
      </c>
      <c r="F1041" s="27">
        <v>1902</v>
      </c>
      <c r="G1041" s="27">
        <v>1147</v>
      </c>
      <c r="H1041" s="27" t="s">
        <v>2026</v>
      </c>
    </row>
    <row r="1042" spans="1:8" x14ac:dyDescent="0.25">
      <c r="A1042" s="27" t="s">
        <v>1574</v>
      </c>
      <c r="B1042" s="27" t="str">
        <f t="shared" si="32"/>
        <v>Texas</v>
      </c>
      <c r="C1042" s="27" t="str">
        <f t="shared" si="33"/>
        <v>Sherman</v>
      </c>
      <c r="E1042" s="27">
        <v>1463</v>
      </c>
      <c r="F1042" s="27">
        <v>1902</v>
      </c>
      <c r="G1042" s="27">
        <v>1147</v>
      </c>
      <c r="H1042" s="27" t="s">
        <v>2026</v>
      </c>
    </row>
    <row r="1043" spans="1:8" x14ac:dyDescent="0.25">
      <c r="A1043" s="27" t="s">
        <v>1575</v>
      </c>
      <c r="B1043" s="27" t="str">
        <f t="shared" si="32"/>
        <v>Texas</v>
      </c>
      <c r="C1043" s="27" t="str">
        <f t="shared" si="33"/>
        <v>Smith</v>
      </c>
      <c r="D1043" s="27">
        <v>1236</v>
      </c>
      <c r="E1043" s="27">
        <v>39167</v>
      </c>
      <c r="F1043" s="27">
        <v>1902</v>
      </c>
      <c r="G1043" s="27">
        <v>1147</v>
      </c>
      <c r="H1043" s="27" t="s">
        <v>2026</v>
      </c>
    </row>
    <row r="1044" spans="1:8" x14ac:dyDescent="0.25">
      <c r="A1044" s="27" t="s">
        <v>1576</v>
      </c>
      <c r="B1044" s="27" t="str">
        <f t="shared" si="32"/>
        <v>Texas</v>
      </c>
      <c r="C1044" s="27" t="str">
        <f t="shared" si="33"/>
        <v>Somervell</v>
      </c>
      <c r="D1044" s="27">
        <v>120</v>
      </c>
      <c r="E1044" s="27">
        <v>5122</v>
      </c>
      <c r="F1044" s="27">
        <v>1902</v>
      </c>
      <c r="G1044" s="27">
        <v>1147</v>
      </c>
      <c r="H1044" s="27" t="s">
        <v>2026</v>
      </c>
    </row>
    <row r="1045" spans="1:8" x14ac:dyDescent="0.25">
      <c r="A1045" s="27" t="s">
        <v>1577</v>
      </c>
      <c r="B1045" s="27" t="str">
        <f t="shared" si="32"/>
        <v>Texas</v>
      </c>
      <c r="C1045" s="27" t="str">
        <f t="shared" si="33"/>
        <v>Starr</v>
      </c>
      <c r="D1045" s="27">
        <v>4</v>
      </c>
      <c r="E1045" s="27">
        <v>14706</v>
      </c>
      <c r="F1045" s="27">
        <v>1902</v>
      </c>
      <c r="G1045" s="27">
        <v>1147</v>
      </c>
      <c r="H1045" s="27" t="s">
        <v>2026</v>
      </c>
    </row>
    <row r="1046" spans="1:8" x14ac:dyDescent="0.25">
      <c r="A1046" s="27" t="s">
        <v>1792</v>
      </c>
      <c r="B1046" s="27" t="str">
        <f t="shared" si="32"/>
        <v>Texas</v>
      </c>
      <c r="C1046" s="27" t="str">
        <f t="shared" si="33"/>
        <v>Stephens/Buchanan</v>
      </c>
      <c r="D1046" s="27">
        <v>280</v>
      </c>
      <c r="E1046" s="27">
        <v>11151</v>
      </c>
      <c r="F1046" s="27">
        <v>1902</v>
      </c>
      <c r="G1046" s="27">
        <v>1147</v>
      </c>
      <c r="H1046" s="27" t="s">
        <v>2026</v>
      </c>
    </row>
    <row r="1047" spans="1:8" x14ac:dyDescent="0.25">
      <c r="A1047" s="27" t="s">
        <v>1578</v>
      </c>
      <c r="B1047" s="27" t="str">
        <f t="shared" si="32"/>
        <v>Texas</v>
      </c>
      <c r="C1047" s="27" t="str">
        <f t="shared" si="33"/>
        <v>Sterling</v>
      </c>
      <c r="E1047" s="27">
        <v>3732</v>
      </c>
      <c r="F1047" s="27">
        <v>1902</v>
      </c>
      <c r="G1047" s="27">
        <v>1147</v>
      </c>
      <c r="H1047" s="27" t="s">
        <v>2026</v>
      </c>
    </row>
    <row r="1048" spans="1:8" x14ac:dyDescent="0.25">
      <c r="A1048" s="27" t="s">
        <v>1579</v>
      </c>
      <c r="B1048" s="27" t="str">
        <f t="shared" si="32"/>
        <v>Texas</v>
      </c>
      <c r="C1048" s="27" t="str">
        <f t="shared" si="33"/>
        <v>Stonewall</v>
      </c>
      <c r="E1048" s="27">
        <v>5973</v>
      </c>
      <c r="F1048" s="27">
        <v>1902</v>
      </c>
      <c r="G1048" s="27">
        <v>1147</v>
      </c>
      <c r="H1048" s="27" t="s">
        <v>2026</v>
      </c>
    </row>
    <row r="1049" spans="1:8" x14ac:dyDescent="0.25">
      <c r="A1049" s="27" t="s">
        <v>1580</v>
      </c>
      <c r="B1049" s="27" t="str">
        <f t="shared" si="32"/>
        <v>Texas</v>
      </c>
      <c r="C1049" s="27" t="str">
        <f t="shared" si="33"/>
        <v>Sutton</v>
      </c>
      <c r="D1049" s="27">
        <v>80</v>
      </c>
      <c r="E1049" s="27">
        <v>3006</v>
      </c>
      <c r="F1049" s="27">
        <v>1902</v>
      </c>
      <c r="G1049" s="27">
        <v>1147</v>
      </c>
      <c r="H1049" s="27" t="s">
        <v>2026</v>
      </c>
    </row>
    <row r="1050" spans="1:8" x14ac:dyDescent="0.25">
      <c r="A1050" s="27" t="s">
        <v>1581</v>
      </c>
      <c r="B1050" s="27" t="str">
        <f t="shared" si="32"/>
        <v>Texas</v>
      </c>
      <c r="C1050" s="27" t="str">
        <f t="shared" si="33"/>
        <v>Swisher</v>
      </c>
      <c r="E1050" s="27">
        <v>3109</v>
      </c>
      <c r="F1050" s="27">
        <v>1902</v>
      </c>
      <c r="G1050" s="27">
        <v>1147</v>
      </c>
      <c r="H1050" s="27" t="s">
        <v>2026</v>
      </c>
    </row>
    <row r="1051" spans="1:8" x14ac:dyDescent="0.25">
      <c r="A1051" s="27" t="s">
        <v>1582</v>
      </c>
      <c r="B1051" s="27" t="str">
        <f t="shared" si="32"/>
        <v>Texas</v>
      </c>
      <c r="C1051" s="27" t="str">
        <f t="shared" si="33"/>
        <v>Tarrant</v>
      </c>
      <c r="D1051" s="27">
        <v>1583</v>
      </c>
      <c r="E1051" s="27">
        <v>43000</v>
      </c>
      <c r="F1051" s="27">
        <v>1902</v>
      </c>
      <c r="G1051" s="27">
        <v>1147</v>
      </c>
      <c r="H1051" s="27" t="s">
        <v>2026</v>
      </c>
    </row>
    <row r="1052" spans="1:8" x14ac:dyDescent="0.25">
      <c r="A1052" s="27" t="s">
        <v>1583</v>
      </c>
      <c r="B1052" s="27" t="str">
        <f t="shared" si="32"/>
        <v>Texas</v>
      </c>
      <c r="C1052" s="27" t="str">
        <f t="shared" si="33"/>
        <v>Taylor</v>
      </c>
      <c r="D1052" s="27">
        <v>619</v>
      </c>
      <c r="E1052" s="27">
        <v>14907</v>
      </c>
      <c r="F1052" s="27">
        <v>1902</v>
      </c>
      <c r="G1052" s="27">
        <v>1147</v>
      </c>
      <c r="H1052" s="27" t="s">
        <v>2026</v>
      </c>
    </row>
    <row r="1053" spans="1:8" x14ac:dyDescent="0.25">
      <c r="A1053" s="27" t="s">
        <v>1584</v>
      </c>
      <c r="B1053" s="27" t="str">
        <f t="shared" si="32"/>
        <v>Texas</v>
      </c>
      <c r="C1053" s="27" t="str">
        <f t="shared" si="33"/>
        <v>Terrell</v>
      </c>
      <c r="F1053" s="27">
        <v>1902</v>
      </c>
      <c r="G1053" s="27">
        <v>1147</v>
      </c>
      <c r="H1053" s="27" t="s">
        <v>2026</v>
      </c>
    </row>
    <row r="1054" spans="1:8" x14ac:dyDescent="0.25">
      <c r="A1054" s="27" t="s">
        <v>1585</v>
      </c>
      <c r="B1054" s="27" t="str">
        <f t="shared" si="32"/>
        <v>Texas</v>
      </c>
      <c r="C1054" s="27" t="str">
        <f t="shared" si="33"/>
        <v>Terry</v>
      </c>
      <c r="F1054" s="27">
        <v>1902</v>
      </c>
      <c r="G1054" s="27">
        <v>1147</v>
      </c>
      <c r="H1054" s="27" t="s">
        <v>2026</v>
      </c>
    </row>
    <row r="1055" spans="1:8" x14ac:dyDescent="0.25">
      <c r="A1055" s="27" t="s">
        <v>1586</v>
      </c>
      <c r="B1055" s="27" t="str">
        <f t="shared" si="32"/>
        <v>Texas</v>
      </c>
      <c r="C1055" s="27" t="str">
        <f t="shared" si="33"/>
        <v>Throckmorton</v>
      </c>
      <c r="D1055" s="27">
        <v>15</v>
      </c>
      <c r="E1055" s="27">
        <v>6695</v>
      </c>
      <c r="F1055" s="27">
        <v>1902</v>
      </c>
      <c r="G1055" s="27">
        <v>1147</v>
      </c>
      <c r="H1055" s="27" t="s">
        <v>2026</v>
      </c>
    </row>
    <row r="1056" spans="1:8" x14ac:dyDescent="0.25">
      <c r="A1056" s="27" t="s">
        <v>1587</v>
      </c>
      <c r="B1056" s="27" t="str">
        <f t="shared" si="32"/>
        <v>Texas</v>
      </c>
      <c r="C1056" s="27" t="str">
        <f t="shared" si="33"/>
        <v>Titus</v>
      </c>
      <c r="D1056" s="27">
        <v>156</v>
      </c>
      <c r="E1056" s="27">
        <v>13817</v>
      </c>
      <c r="F1056" s="27">
        <v>1902</v>
      </c>
      <c r="G1056" s="27">
        <v>1147</v>
      </c>
      <c r="H1056" s="27" t="s">
        <v>2026</v>
      </c>
    </row>
    <row r="1057" spans="1:8" x14ac:dyDescent="0.25">
      <c r="A1057" s="27" t="s">
        <v>1588</v>
      </c>
      <c r="B1057" s="27" t="str">
        <f t="shared" si="32"/>
        <v>Texas</v>
      </c>
      <c r="C1057" s="27" t="str">
        <f t="shared" si="33"/>
        <v>Tom Green</v>
      </c>
      <c r="D1057" s="27">
        <v>628</v>
      </c>
      <c r="E1057" s="27">
        <v>15113</v>
      </c>
      <c r="F1057" s="27">
        <v>1902</v>
      </c>
      <c r="G1057" s="27">
        <v>1147</v>
      </c>
      <c r="H1057" s="27" t="s">
        <v>2026</v>
      </c>
    </row>
    <row r="1058" spans="1:8" x14ac:dyDescent="0.25">
      <c r="A1058" s="27" t="s">
        <v>1589</v>
      </c>
      <c r="B1058" s="27" t="str">
        <f t="shared" si="32"/>
        <v>Texas</v>
      </c>
      <c r="C1058" s="27" t="str">
        <f t="shared" si="33"/>
        <v>Travis</v>
      </c>
      <c r="D1058" s="27">
        <v>1643</v>
      </c>
      <c r="E1058" s="27">
        <v>31128</v>
      </c>
      <c r="F1058" s="27">
        <v>1902</v>
      </c>
      <c r="G1058" s="27">
        <v>1147</v>
      </c>
      <c r="H1058" s="27" t="s">
        <v>2026</v>
      </c>
    </row>
    <row r="1059" spans="1:8" x14ac:dyDescent="0.25">
      <c r="A1059" s="27" t="s">
        <v>1590</v>
      </c>
      <c r="B1059" s="27" t="str">
        <f t="shared" si="32"/>
        <v>Texas</v>
      </c>
      <c r="C1059" s="27" t="str">
        <f t="shared" si="33"/>
        <v>Trinity</v>
      </c>
      <c r="D1059" s="27">
        <v>150</v>
      </c>
      <c r="E1059" s="27">
        <v>9926</v>
      </c>
      <c r="F1059" s="27">
        <v>1902</v>
      </c>
      <c r="G1059" s="27">
        <v>1149</v>
      </c>
      <c r="H1059" s="27" t="s">
        <v>2027</v>
      </c>
    </row>
    <row r="1060" spans="1:8" x14ac:dyDescent="0.25">
      <c r="A1060" s="27" t="s">
        <v>1591</v>
      </c>
      <c r="B1060" s="27" t="str">
        <f t="shared" si="32"/>
        <v>Texas</v>
      </c>
      <c r="C1060" s="27" t="str">
        <f t="shared" si="33"/>
        <v>Tyler</v>
      </c>
      <c r="E1060" s="27">
        <v>13913</v>
      </c>
      <c r="F1060" s="27">
        <v>1902</v>
      </c>
      <c r="G1060" s="27">
        <v>1149</v>
      </c>
      <c r="H1060" s="27" t="s">
        <v>2027</v>
      </c>
    </row>
    <row r="1061" spans="1:8" x14ac:dyDescent="0.25">
      <c r="A1061" s="27" t="s">
        <v>1592</v>
      </c>
      <c r="B1061" s="27" t="str">
        <f t="shared" si="32"/>
        <v>Texas</v>
      </c>
      <c r="C1061" s="27" t="str">
        <f t="shared" si="33"/>
        <v>Upshur</v>
      </c>
      <c r="D1061" s="27">
        <v>100</v>
      </c>
      <c r="E1061" s="27">
        <v>22220</v>
      </c>
      <c r="F1061" s="27">
        <v>1902</v>
      </c>
      <c r="G1061" s="27">
        <v>1149</v>
      </c>
      <c r="H1061" s="27" t="s">
        <v>2027</v>
      </c>
    </row>
    <row r="1062" spans="1:8" x14ac:dyDescent="0.25">
      <c r="A1062" s="27" t="s">
        <v>1593</v>
      </c>
      <c r="B1062" s="27" t="str">
        <f t="shared" si="32"/>
        <v>Texas</v>
      </c>
      <c r="C1062" s="27" t="str">
        <f t="shared" si="33"/>
        <v>Upton</v>
      </c>
      <c r="F1062" s="27">
        <v>1902</v>
      </c>
      <c r="G1062" s="27">
        <v>1149</v>
      </c>
      <c r="H1062" s="27" t="s">
        <v>2027</v>
      </c>
    </row>
    <row r="1063" spans="1:8" x14ac:dyDescent="0.25">
      <c r="A1063" s="27" t="s">
        <v>1594</v>
      </c>
      <c r="B1063" s="27" t="str">
        <f t="shared" si="32"/>
        <v>Texas</v>
      </c>
      <c r="C1063" s="27" t="str">
        <f t="shared" si="33"/>
        <v>Uvalde</v>
      </c>
      <c r="D1063" s="27">
        <v>307</v>
      </c>
      <c r="E1063" s="27">
        <v>10244</v>
      </c>
      <c r="F1063" s="27">
        <v>1902</v>
      </c>
      <c r="G1063" s="27">
        <v>1149</v>
      </c>
      <c r="H1063" s="27" t="s">
        <v>2027</v>
      </c>
    </row>
    <row r="1064" spans="1:8" x14ac:dyDescent="0.25">
      <c r="A1064" s="27" t="s">
        <v>1765</v>
      </c>
      <c r="B1064" s="27" t="str">
        <f t="shared" si="32"/>
        <v>Texas</v>
      </c>
      <c r="C1064" s="27" t="str">
        <f t="shared" si="33"/>
        <v>Val Verde</v>
      </c>
      <c r="D1064" s="27">
        <v>643</v>
      </c>
      <c r="E1064" s="27">
        <v>3816</v>
      </c>
      <c r="F1064" s="27">
        <v>1902</v>
      </c>
      <c r="G1064" s="27">
        <v>1149</v>
      </c>
      <c r="H1064" s="27" t="s">
        <v>2027</v>
      </c>
    </row>
    <row r="1065" spans="1:8" x14ac:dyDescent="0.25">
      <c r="A1065" s="27" t="s">
        <v>1595</v>
      </c>
      <c r="B1065" s="27" t="str">
        <f t="shared" si="32"/>
        <v>Texas</v>
      </c>
      <c r="C1065" s="27" t="str">
        <f t="shared" si="33"/>
        <v>Van Zandt</v>
      </c>
      <c r="D1065" s="27">
        <v>338</v>
      </c>
      <c r="E1065" s="27">
        <v>33536</v>
      </c>
      <c r="F1065" s="27">
        <v>1902</v>
      </c>
      <c r="G1065" s="27">
        <v>1149</v>
      </c>
      <c r="H1065" s="27" t="s">
        <v>2027</v>
      </c>
    </row>
    <row r="1066" spans="1:8" x14ac:dyDescent="0.25">
      <c r="A1066" s="27" t="s">
        <v>1596</v>
      </c>
      <c r="B1066" s="27" t="str">
        <f t="shared" si="32"/>
        <v>Texas</v>
      </c>
      <c r="C1066" s="27" t="str">
        <f t="shared" si="33"/>
        <v>Victoria</v>
      </c>
      <c r="D1066" s="27">
        <v>823</v>
      </c>
      <c r="E1066" s="27">
        <v>10066</v>
      </c>
      <c r="F1066" s="27">
        <v>1902</v>
      </c>
      <c r="G1066" s="27">
        <v>1149</v>
      </c>
      <c r="H1066" s="27" t="s">
        <v>2027</v>
      </c>
    </row>
    <row r="1067" spans="1:8" x14ac:dyDescent="0.25">
      <c r="A1067" s="27" t="s">
        <v>1597</v>
      </c>
      <c r="B1067" s="27" t="str">
        <f t="shared" si="32"/>
        <v>Texas</v>
      </c>
      <c r="C1067" s="27" t="str">
        <f t="shared" si="33"/>
        <v>Walker</v>
      </c>
      <c r="D1067" s="27">
        <v>333</v>
      </c>
      <c r="E1067" s="27">
        <v>14988</v>
      </c>
      <c r="F1067" s="27">
        <v>1902</v>
      </c>
      <c r="G1067" s="27">
        <v>1149</v>
      </c>
      <c r="H1067" s="27" t="s">
        <v>2027</v>
      </c>
    </row>
    <row r="1068" spans="1:8" x14ac:dyDescent="0.25">
      <c r="A1068" s="27" t="s">
        <v>1598</v>
      </c>
      <c r="B1068" s="27" t="str">
        <f t="shared" si="32"/>
        <v>Texas</v>
      </c>
      <c r="C1068" s="27" t="str">
        <f t="shared" si="33"/>
        <v>Waller</v>
      </c>
      <c r="E1068" s="27">
        <v>14085</v>
      </c>
      <c r="F1068" s="27">
        <v>1902</v>
      </c>
      <c r="G1068" s="27">
        <v>1149</v>
      </c>
      <c r="H1068" s="27" t="s">
        <v>2027</v>
      </c>
    </row>
    <row r="1069" spans="1:8" x14ac:dyDescent="0.25">
      <c r="A1069" s="27" t="s">
        <v>1599</v>
      </c>
      <c r="B1069" s="27" t="str">
        <f t="shared" si="32"/>
        <v>Texas</v>
      </c>
      <c r="C1069" s="27" t="str">
        <f t="shared" si="33"/>
        <v>Ward</v>
      </c>
      <c r="D1069" s="27">
        <v>140</v>
      </c>
      <c r="E1069" s="27">
        <v>4269</v>
      </c>
      <c r="F1069" s="27">
        <v>1902</v>
      </c>
      <c r="G1069" s="27">
        <v>1149</v>
      </c>
      <c r="H1069" s="27" t="s">
        <v>2027</v>
      </c>
    </row>
    <row r="1070" spans="1:8" x14ac:dyDescent="0.25">
      <c r="A1070" s="27" t="s">
        <v>1600</v>
      </c>
      <c r="B1070" s="27" t="str">
        <f t="shared" si="32"/>
        <v>Texas</v>
      </c>
      <c r="C1070" s="27" t="str">
        <f t="shared" si="33"/>
        <v>Washington</v>
      </c>
      <c r="D1070" s="27">
        <v>287</v>
      </c>
      <c r="E1070" s="27">
        <v>40937</v>
      </c>
      <c r="F1070" s="27">
        <v>1902</v>
      </c>
      <c r="G1070" s="27">
        <v>1149</v>
      </c>
      <c r="H1070" s="27" t="s">
        <v>2027</v>
      </c>
    </row>
    <row r="1071" spans="1:8" x14ac:dyDescent="0.25">
      <c r="A1071" s="27" t="s">
        <v>1601</v>
      </c>
      <c r="B1071" s="27" t="str">
        <f t="shared" si="32"/>
        <v>Texas</v>
      </c>
      <c r="C1071" s="27" t="str">
        <f t="shared" si="33"/>
        <v>Webb</v>
      </c>
      <c r="D1071" s="27">
        <v>81</v>
      </c>
      <c r="E1071" s="27">
        <v>12101</v>
      </c>
      <c r="F1071" s="27">
        <v>1902</v>
      </c>
      <c r="G1071" s="27">
        <v>1149</v>
      </c>
      <c r="H1071" s="27" t="s">
        <v>2027</v>
      </c>
    </row>
    <row r="1072" spans="1:8" x14ac:dyDescent="0.25">
      <c r="A1072" s="27" t="s">
        <v>1602</v>
      </c>
      <c r="B1072" s="27" t="str">
        <f t="shared" si="32"/>
        <v>Texas</v>
      </c>
      <c r="C1072" s="27" t="str">
        <f t="shared" si="33"/>
        <v>Wharton</v>
      </c>
      <c r="E1072" s="27">
        <v>17440</v>
      </c>
      <c r="F1072" s="27">
        <v>1902</v>
      </c>
      <c r="G1072" s="27">
        <v>1149</v>
      </c>
      <c r="H1072" s="27" t="s">
        <v>2027</v>
      </c>
    </row>
    <row r="1073" spans="1:8" x14ac:dyDescent="0.25">
      <c r="A1073" s="27" t="s">
        <v>1603</v>
      </c>
      <c r="B1073" s="27" t="str">
        <f t="shared" si="32"/>
        <v>Texas</v>
      </c>
      <c r="C1073" s="27" t="str">
        <f t="shared" si="33"/>
        <v>Wheeler</v>
      </c>
      <c r="D1073" s="27">
        <v>177</v>
      </c>
      <c r="E1073" s="27">
        <v>3460</v>
      </c>
      <c r="F1073" s="27">
        <v>1902</v>
      </c>
      <c r="G1073" s="27">
        <v>1149</v>
      </c>
      <c r="H1073" s="27" t="s">
        <v>2027</v>
      </c>
    </row>
    <row r="1074" spans="1:8" x14ac:dyDescent="0.25">
      <c r="A1074" s="27" t="s">
        <v>1604</v>
      </c>
      <c r="B1074" s="27" t="str">
        <f t="shared" si="32"/>
        <v>Texas</v>
      </c>
      <c r="C1074" s="27" t="str">
        <f t="shared" si="33"/>
        <v>Wichita</v>
      </c>
      <c r="D1074" s="27">
        <v>202</v>
      </c>
      <c r="E1074" s="27">
        <v>7199</v>
      </c>
      <c r="F1074" s="27">
        <v>1902</v>
      </c>
      <c r="G1074" s="27">
        <v>1149</v>
      </c>
      <c r="H1074" s="27" t="s">
        <v>2027</v>
      </c>
    </row>
    <row r="1075" spans="1:8" x14ac:dyDescent="0.25">
      <c r="A1075" s="27" t="s">
        <v>1605</v>
      </c>
      <c r="B1075" s="27" t="str">
        <f t="shared" si="32"/>
        <v>Texas</v>
      </c>
      <c r="C1075" s="27" t="str">
        <f t="shared" si="33"/>
        <v>Wilbarger</v>
      </c>
      <c r="D1075" s="27">
        <v>1869</v>
      </c>
      <c r="E1075" s="27">
        <v>11036</v>
      </c>
      <c r="F1075" s="27">
        <v>1902</v>
      </c>
      <c r="G1075" s="27">
        <v>1149</v>
      </c>
      <c r="H1075" s="27" t="s">
        <v>2027</v>
      </c>
    </row>
    <row r="1076" spans="1:8" x14ac:dyDescent="0.25">
      <c r="A1076" s="27" t="s">
        <v>1606</v>
      </c>
      <c r="B1076" s="27" t="str">
        <f t="shared" si="32"/>
        <v>Texas</v>
      </c>
      <c r="C1076" s="27" t="str">
        <f t="shared" si="33"/>
        <v>Willacy</v>
      </c>
      <c r="F1076" s="27">
        <v>1902</v>
      </c>
      <c r="G1076" s="27">
        <v>1149</v>
      </c>
      <c r="H1076" s="27" t="s">
        <v>2027</v>
      </c>
    </row>
    <row r="1077" spans="1:8" x14ac:dyDescent="0.25">
      <c r="A1077" s="27" t="s">
        <v>1607</v>
      </c>
      <c r="B1077" s="27" t="str">
        <f t="shared" si="32"/>
        <v>Texas</v>
      </c>
      <c r="C1077" s="27" t="str">
        <f t="shared" si="33"/>
        <v>Williamson</v>
      </c>
      <c r="D1077" s="27">
        <v>828</v>
      </c>
      <c r="E1077" s="27">
        <v>36247</v>
      </c>
      <c r="F1077" s="27">
        <v>1902</v>
      </c>
      <c r="G1077" s="27">
        <v>1149</v>
      </c>
      <c r="H1077" s="27" t="s">
        <v>2027</v>
      </c>
    </row>
    <row r="1078" spans="1:8" x14ac:dyDescent="0.25">
      <c r="A1078" s="27" t="s">
        <v>1608</v>
      </c>
      <c r="B1078" s="27" t="str">
        <f t="shared" si="32"/>
        <v>Texas</v>
      </c>
      <c r="C1078" s="27" t="str">
        <f t="shared" si="33"/>
        <v>Wilson</v>
      </c>
      <c r="D1078" s="27">
        <v>160</v>
      </c>
      <c r="E1078" s="27">
        <v>19892</v>
      </c>
      <c r="F1078" s="27">
        <v>1902</v>
      </c>
      <c r="G1078" s="27">
        <v>1149</v>
      </c>
      <c r="H1078" s="27" t="s">
        <v>2027</v>
      </c>
    </row>
    <row r="1079" spans="1:8" x14ac:dyDescent="0.25">
      <c r="A1079" s="27" t="s">
        <v>1609</v>
      </c>
      <c r="B1079" s="27" t="str">
        <f t="shared" si="32"/>
        <v>Texas</v>
      </c>
      <c r="C1079" s="27" t="str">
        <f t="shared" si="33"/>
        <v>Winkler</v>
      </c>
      <c r="F1079" s="27">
        <v>1902</v>
      </c>
      <c r="G1079" s="27">
        <v>1149</v>
      </c>
      <c r="H1079" s="27" t="s">
        <v>2027</v>
      </c>
    </row>
    <row r="1080" spans="1:8" x14ac:dyDescent="0.25">
      <c r="A1080" s="27" t="s">
        <v>1610</v>
      </c>
      <c r="B1080" s="27" t="str">
        <f t="shared" si="32"/>
        <v>Texas</v>
      </c>
      <c r="C1080" s="27" t="str">
        <f t="shared" si="33"/>
        <v>Wise</v>
      </c>
      <c r="D1080" s="27">
        <v>122</v>
      </c>
      <c r="E1080" s="27">
        <v>29342</v>
      </c>
      <c r="F1080" s="27">
        <v>1902</v>
      </c>
      <c r="G1080" s="27">
        <v>1149</v>
      </c>
      <c r="H1080" s="27" t="s">
        <v>2027</v>
      </c>
    </row>
    <row r="1081" spans="1:8" x14ac:dyDescent="0.25">
      <c r="A1081" s="27" t="s">
        <v>1611</v>
      </c>
      <c r="B1081" s="27" t="str">
        <f t="shared" si="32"/>
        <v>Texas</v>
      </c>
      <c r="C1081" s="27" t="str">
        <f t="shared" si="33"/>
        <v>Wood</v>
      </c>
      <c r="D1081" s="27">
        <v>434</v>
      </c>
      <c r="E1081" s="27">
        <v>26695</v>
      </c>
      <c r="F1081" s="27">
        <v>1902</v>
      </c>
      <c r="G1081" s="27">
        <v>1149</v>
      </c>
      <c r="H1081" s="27" t="s">
        <v>2027</v>
      </c>
    </row>
    <row r="1082" spans="1:8" x14ac:dyDescent="0.25">
      <c r="A1082" s="27" t="s">
        <v>1612</v>
      </c>
      <c r="B1082" s="27" t="str">
        <f t="shared" si="32"/>
        <v>Texas</v>
      </c>
      <c r="C1082" s="27" t="str">
        <f t="shared" si="33"/>
        <v>Yoakum</v>
      </c>
      <c r="F1082" s="27">
        <v>1902</v>
      </c>
      <c r="G1082" s="27">
        <v>1149</v>
      </c>
      <c r="H1082" s="27" t="s">
        <v>2027</v>
      </c>
    </row>
    <row r="1083" spans="1:8" x14ac:dyDescent="0.25">
      <c r="A1083" s="27" t="s">
        <v>1613</v>
      </c>
      <c r="B1083" s="27" t="str">
        <f t="shared" si="32"/>
        <v>Texas</v>
      </c>
      <c r="C1083" s="27" t="str">
        <f t="shared" si="33"/>
        <v>Young</v>
      </c>
      <c r="D1083" s="27">
        <v>308</v>
      </c>
      <c r="E1083" s="27">
        <v>13592</v>
      </c>
      <c r="F1083" s="27">
        <v>1902</v>
      </c>
      <c r="G1083" s="27">
        <v>1149</v>
      </c>
      <c r="H1083" s="27" t="s">
        <v>2027</v>
      </c>
    </row>
    <row r="1084" spans="1:8" x14ac:dyDescent="0.25">
      <c r="A1084" s="27" t="s">
        <v>1614</v>
      </c>
      <c r="B1084" s="27" t="str">
        <f t="shared" si="32"/>
        <v>Texas</v>
      </c>
      <c r="C1084" s="27" t="str">
        <f t="shared" si="33"/>
        <v>Zapata</v>
      </c>
      <c r="D1084" s="27">
        <v>119</v>
      </c>
      <c r="E1084" s="27">
        <v>9177</v>
      </c>
      <c r="F1084" s="27">
        <v>1902</v>
      </c>
      <c r="G1084" s="27">
        <v>1149</v>
      </c>
      <c r="H1084" s="27" t="s">
        <v>2027</v>
      </c>
    </row>
    <row r="1085" spans="1:8" x14ac:dyDescent="0.25">
      <c r="A1085" s="27" t="s">
        <v>1615</v>
      </c>
      <c r="B1085" s="27" t="str">
        <f t="shared" si="32"/>
        <v>Texas</v>
      </c>
      <c r="C1085" s="27" t="str">
        <f t="shared" si="33"/>
        <v>Zavalla</v>
      </c>
      <c r="E1085" s="27">
        <v>2342</v>
      </c>
      <c r="F1085" s="27">
        <v>1902</v>
      </c>
      <c r="G1085" s="27">
        <v>1149</v>
      </c>
      <c r="H1085" s="27" t="s">
        <v>2027</v>
      </c>
    </row>
    <row r="1086" spans="1:8" x14ac:dyDescent="0.25">
      <c r="A1086" s="27" t="s">
        <v>1273</v>
      </c>
      <c r="B1086" s="27" t="str">
        <f t="shared" si="32"/>
        <v/>
      </c>
      <c r="C1086" s="27" t="str">
        <f t="shared" si="33"/>
        <v>My Total</v>
      </c>
      <c r="H1086" s="27" t="s">
        <v>2013</v>
      </c>
    </row>
    <row r="1087" spans="1:8" x14ac:dyDescent="0.25">
      <c r="A1087" s="27" t="s">
        <v>1274</v>
      </c>
      <c r="B1087" s="27" t="str">
        <f t="shared" si="32"/>
        <v/>
      </c>
      <c r="C1087" s="27" t="str">
        <f t="shared" si="33"/>
        <v>Reported Total</v>
      </c>
      <c r="H1087" s="27" t="s">
        <v>2013</v>
      </c>
    </row>
    <row r="1088" spans="1:8" x14ac:dyDescent="0.25">
      <c r="A1088" s="27" t="s">
        <v>1367</v>
      </c>
      <c r="B1088" s="27" t="str">
        <f t="shared" si="32"/>
        <v/>
      </c>
      <c r="C1088" s="27" t="str">
        <f t="shared" si="33"/>
        <v/>
      </c>
      <c r="H1088" s="27" t="s">
        <v>2013</v>
      </c>
    </row>
    <row r="1089" spans="1:8" x14ac:dyDescent="0.25">
      <c r="A1089" s="27" t="s">
        <v>1766</v>
      </c>
      <c r="B1089" s="27" t="str">
        <f t="shared" si="32"/>
        <v>Virginia</v>
      </c>
      <c r="C1089" s="27" t="str">
        <f t="shared" si="33"/>
        <v>Accomack</v>
      </c>
      <c r="D1089" s="27">
        <v>948</v>
      </c>
      <c r="E1089" s="27">
        <v>22354</v>
      </c>
      <c r="F1089" s="27">
        <v>1902</v>
      </c>
      <c r="G1089" s="27">
        <v>1151</v>
      </c>
      <c r="H1089" s="27" t="s">
        <v>2028</v>
      </c>
    </row>
    <row r="1090" spans="1:8" x14ac:dyDescent="0.25">
      <c r="A1090" s="27" t="s">
        <v>1616</v>
      </c>
      <c r="B1090" s="27" t="str">
        <f t="shared" si="32"/>
        <v>Virginia</v>
      </c>
      <c r="C1090" s="27" t="str">
        <f t="shared" si="33"/>
        <v>Albemarle</v>
      </c>
      <c r="E1090" s="27">
        <v>30015</v>
      </c>
      <c r="F1090" s="27">
        <v>1902</v>
      </c>
      <c r="G1090" s="27">
        <v>1151</v>
      </c>
      <c r="H1090" s="27" t="s">
        <v>2028</v>
      </c>
    </row>
    <row r="1091" spans="1:8" x14ac:dyDescent="0.25">
      <c r="A1091" s="27" t="s">
        <v>1767</v>
      </c>
      <c r="B1091" s="27" t="str">
        <f t="shared" ref="B1091:B1154" si="34">LEFT(A1091,FIND(";",A1091)-1)</f>
        <v>Virginia</v>
      </c>
      <c r="C1091" s="27" t="str">
        <f t="shared" ref="C1091:C1154" si="35">MID(A1091,FIND(";",A1091)+1,100)</f>
        <v>Alexandria City</v>
      </c>
      <c r="D1091" s="27">
        <v>32</v>
      </c>
      <c r="E1091" s="27">
        <v>7247</v>
      </c>
      <c r="F1091" s="27">
        <v>1902</v>
      </c>
      <c r="G1091" s="27">
        <v>1151</v>
      </c>
      <c r="H1091" s="27" t="s">
        <v>2028</v>
      </c>
    </row>
    <row r="1092" spans="1:8" x14ac:dyDescent="0.25">
      <c r="A1092" s="27" t="s">
        <v>1617</v>
      </c>
      <c r="B1092" s="27" t="str">
        <f t="shared" si="34"/>
        <v>Virginia</v>
      </c>
      <c r="C1092" s="27" t="str">
        <f t="shared" si="35"/>
        <v>Alleghany</v>
      </c>
      <c r="D1092" s="27">
        <v>388</v>
      </c>
      <c r="E1092" s="27">
        <v>13483</v>
      </c>
      <c r="F1092" s="27">
        <v>1902</v>
      </c>
      <c r="G1092" s="27">
        <v>1151</v>
      </c>
      <c r="H1092" s="27" t="s">
        <v>2028</v>
      </c>
    </row>
    <row r="1093" spans="1:8" x14ac:dyDescent="0.25">
      <c r="A1093" s="27" t="s">
        <v>1618</v>
      </c>
      <c r="B1093" s="27" t="str">
        <f t="shared" si="34"/>
        <v>Virginia</v>
      </c>
      <c r="C1093" s="27" t="str">
        <f t="shared" si="35"/>
        <v>Amelia</v>
      </c>
      <c r="D1093" s="27">
        <v>16</v>
      </c>
      <c r="E1093" s="27">
        <v>9745</v>
      </c>
      <c r="F1093" s="27">
        <v>1902</v>
      </c>
      <c r="G1093" s="27">
        <v>1151</v>
      </c>
      <c r="H1093" s="27" t="s">
        <v>2028</v>
      </c>
    </row>
    <row r="1094" spans="1:8" x14ac:dyDescent="0.25">
      <c r="A1094" s="27" t="s">
        <v>1619</v>
      </c>
      <c r="B1094" s="27" t="str">
        <f t="shared" si="34"/>
        <v>Virginia</v>
      </c>
      <c r="C1094" s="27" t="str">
        <f t="shared" si="35"/>
        <v>Amherst</v>
      </c>
      <c r="E1094" s="27">
        <v>15963</v>
      </c>
      <c r="F1094" s="27">
        <v>1902</v>
      </c>
      <c r="G1094" s="27">
        <v>1151</v>
      </c>
      <c r="H1094" s="27" t="s">
        <v>2028</v>
      </c>
    </row>
    <row r="1095" spans="1:8" x14ac:dyDescent="0.25">
      <c r="A1095" s="27" t="s">
        <v>1620</v>
      </c>
      <c r="B1095" s="27" t="str">
        <f t="shared" si="34"/>
        <v>Virginia</v>
      </c>
      <c r="C1095" s="27" t="str">
        <f t="shared" si="35"/>
        <v>Appomattox</v>
      </c>
      <c r="E1095" s="27">
        <v>7659</v>
      </c>
      <c r="F1095" s="27">
        <v>1902</v>
      </c>
      <c r="G1095" s="27">
        <v>1151</v>
      </c>
      <c r="H1095" s="27" t="s">
        <v>2028</v>
      </c>
    </row>
    <row r="1096" spans="1:8" x14ac:dyDescent="0.25">
      <c r="A1096" s="27" t="s">
        <v>1793</v>
      </c>
      <c r="B1096" s="27" t="str">
        <f t="shared" si="34"/>
        <v>Virginia</v>
      </c>
      <c r="C1096" s="27" t="str">
        <f t="shared" si="35"/>
        <v>Arlington/Alexandria</v>
      </c>
      <c r="F1096" s="27">
        <v>1902</v>
      </c>
      <c r="G1096" s="27">
        <v>1151</v>
      </c>
      <c r="H1096" s="27" t="s">
        <v>2028</v>
      </c>
    </row>
    <row r="1097" spans="1:8" x14ac:dyDescent="0.25">
      <c r="A1097" s="27" t="s">
        <v>1621</v>
      </c>
      <c r="B1097" s="27" t="str">
        <f t="shared" si="34"/>
        <v>Virginia</v>
      </c>
      <c r="C1097" s="27" t="str">
        <f t="shared" si="35"/>
        <v>Augusta</v>
      </c>
      <c r="E1097" s="27">
        <v>42146</v>
      </c>
      <c r="F1097" s="27">
        <v>1902</v>
      </c>
      <c r="G1097" s="27">
        <v>1151</v>
      </c>
      <c r="H1097" s="27" t="s">
        <v>2028</v>
      </c>
    </row>
    <row r="1098" spans="1:8" x14ac:dyDescent="0.25">
      <c r="A1098" s="27" t="s">
        <v>1622</v>
      </c>
      <c r="B1098" s="27" t="str">
        <f t="shared" si="34"/>
        <v>Virginia</v>
      </c>
      <c r="C1098" s="27" t="str">
        <f t="shared" si="35"/>
        <v>Bath</v>
      </c>
      <c r="E1098" s="27">
        <v>9741</v>
      </c>
      <c r="F1098" s="27">
        <v>1902</v>
      </c>
      <c r="G1098" s="27">
        <v>1151</v>
      </c>
      <c r="H1098" s="27" t="s">
        <v>2028</v>
      </c>
    </row>
    <row r="1099" spans="1:8" x14ac:dyDescent="0.25">
      <c r="A1099" s="27" t="s">
        <v>1623</v>
      </c>
      <c r="B1099" s="27" t="str">
        <f t="shared" si="34"/>
        <v>Virginia</v>
      </c>
      <c r="C1099" s="27" t="str">
        <f t="shared" si="35"/>
        <v>Bedford</v>
      </c>
      <c r="D1099" s="27">
        <v>105</v>
      </c>
      <c r="E1099" s="27">
        <v>25697</v>
      </c>
      <c r="F1099" s="27">
        <v>1902</v>
      </c>
      <c r="G1099" s="27">
        <v>1151</v>
      </c>
      <c r="H1099" s="27" t="s">
        <v>2028</v>
      </c>
    </row>
    <row r="1100" spans="1:8" x14ac:dyDescent="0.25">
      <c r="A1100" s="27" t="s">
        <v>1624</v>
      </c>
      <c r="B1100" s="27" t="str">
        <f t="shared" si="34"/>
        <v>Virginia</v>
      </c>
      <c r="C1100" s="27" t="str">
        <f t="shared" si="35"/>
        <v>Bland</v>
      </c>
      <c r="E1100" s="27">
        <v>4134</v>
      </c>
      <c r="F1100" s="27">
        <v>1902</v>
      </c>
      <c r="G1100" s="27">
        <v>1151</v>
      </c>
      <c r="H1100" s="27" t="s">
        <v>2028</v>
      </c>
    </row>
    <row r="1101" spans="1:8" x14ac:dyDescent="0.25">
      <c r="A1101" s="27" t="s">
        <v>1625</v>
      </c>
      <c r="B1101" s="27" t="str">
        <f t="shared" si="34"/>
        <v>Virginia</v>
      </c>
      <c r="C1101" s="27" t="str">
        <f t="shared" si="35"/>
        <v>Botetourt</v>
      </c>
      <c r="E1101" s="27">
        <v>17209</v>
      </c>
      <c r="F1101" s="27">
        <v>1902</v>
      </c>
      <c r="G1101" s="27">
        <v>1151</v>
      </c>
      <c r="H1101" s="27" t="s">
        <v>2028</v>
      </c>
    </row>
    <row r="1102" spans="1:8" x14ac:dyDescent="0.25">
      <c r="A1102" s="27" t="s">
        <v>1626</v>
      </c>
      <c r="B1102" s="27" t="str">
        <f t="shared" si="34"/>
        <v>Virginia</v>
      </c>
      <c r="C1102" s="27" t="str">
        <f t="shared" si="35"/>
        <v>Brunswick</v>
      </c>
      <c r="D1102" s="27">
        <v>271</v>
      </c>
      <c r="E1102" s="27">
        <v>14342</v>
      </c>
      <c r="F1102" s="27">
        <v>1902</v>
      </c>
      <c r="G1102" s="27">
        <v>1151</v>
      </c>
      <c r="H1102" s="27" t="s">
        <v>2028</v>
      </c>
    </row>
    <row r="1103" spans="1:8" x14ac:dyDescent="0.25">
      <c r="A1103" s="27" t="s">
        <v>1627</v>
      </c>
      <c r="B1103" s="27" t="str">
        <f t="shared" si="34"/>
        <v>Virginia</v>
      </c>
      <c r="C1103" s="27" t="str">
        <f t="shared" si="35"/>
        <v>Buchanan</v>
      </c>
      <c r="E1103" s="27">
        <v>12760</v>
      </c>
      <c r="F1103" s="27">
        <v>1902</v>
      </c>
      <c r="G1103" s="27">
        <v>1151</v>
      </c>
      <c r="H1103" s="27" t="s">
        <v>2028</v>
      </c>
    </row>
    <row r="1104" spans="1:8" x14ac:dyDescent="0.25">
      <c r="A1104" s="27" t="s">
        <v>1628</v>
      </c>
      <c r="B1104" s="27" t="str">
        <f t="shared" si="34"/>
        <v>Virginia</v>
      </c>
      <c r="C1104" s="27" t="str">
        <f t="shared" si="35"/>
        <v>Buckingham</v>
      </c>
      <c r="E1104" s="27">
        <v>12883</v>
      </c>
      <c r="F1104" s="27">
        <v>1902</v>
      </c>
      <c r="G1104" s="27">
        <v>1151</v>
      </c>
      <c r="H1104" s="27" t="s">
        <v>2028</v>
      </c>
    </row>
    <row r="1105" spans="1:8" x14ac:dyDescent="0.25">
      <c r="A1105" s="27" t="s">
        <v>1629</v>
      </c>
      <c r="B1105" s="27" t="str">
        <f t="shared" si="34"/>
        <v>Virginia</v>
      </c>
      <c r="C1105" s="27" t="str">
        <f t="shared" si="35"/>
        <v>Campbell</v>
      </c>
      <c r="D1105" s="27">
        <v>187</v>
      </c>
      <c r="E1105" s="27">
        <v>23076</v>
      </c>
      <c r="F1105" s="27">
        <v>1902</v>
      </c>
      <c r="G1105" s="27">
        <v>1151</v>
      </c>
      <c r="H1105" s="27" t="s">
        <v>2028</v>
      </c>
    </row>
    <row r="1106" spans="1:8" x14ac:dyDescent="0.25">
      <c r="A1106" s="27" t="s">
        <v>1630</v>
      </c>
      <c r="B1106" s="27" t="str">
        <f t="shared" si="34"/>
        <v>Virginia</v>
      </c>
      <c r="C1106" s="27" t="str">
        <f t="shared" si="35"/>
        <v>Caroline</v>
      </c>
      <c r="E1106" s="27">
        <v>13020</v>
      </c>
      <c r="F1106" s="27">
        <v>1902</v>
      </c>
      <c r="G1106" s="27">
        <v>1151</v>
      </c>
      <c r="H1106" s="27" t="s">
        <v>2028</v>
      </c>
    </row>
    <row r="1107" spans="1:8" x14ac:dyDescent="0.25">
      <c r="A1107" s="27" t="s">
        <v>1631</v>
      </c>
      <c r="B1107" s="27" t="str">
        <f t="shared" si="34"/>
        <v>Virginia</v>
      </c>
      <c r="C1107" s="27" t="str">
        <f t="shared" si="35"/>
        <v>Carroll</v>
      </c>
      <c r="D1107" s="27">
        <v>154</v>
      </c>
      <c r="E1107" s="27">
        <v>12546</v>
      </c>
      <c r="F1107" s="27">
        <v>1902</v>
      </c>
      <c r="G1107" s="27">
        <v>1151</v>
      </c>
      <c r="H1107" s="27" t="s">
        <v>2028</v>
      </c>
    </row>
    <row r="1108" spans="1:8" x14ac:dyDescent="0.25">
      <c r="A1108" s="27" t="s">
        <v>1632</v>
      </c>
      <c r="B1108" s="27" t="str">
        <f t="shared" si="34"/>
        <v>Virginia</v>
      </c>
      <c r="C1108" s="27" t="str">
        <f t="shared" si="35"/>
        <v>Charles City</v>
      </c>
      <c r="D1108" s="27">
        <v>119</v>
      </c>
      <c r="E1108" s="27">
        <v>3211</v>
      </c>
      <c r="F1108" s="27">
        <v>1902</v>
      </c>
      <c r="G1108" s="27">
        <v>1151</v>
      </c>
      <c r="H1108" s="27" t="s">
        <v>2028</v>
      </c>
    </row>
    <row r="1109" spans="1:8" x14ac:dyDescent="0.25">
      <c r="A1109" s="27" t="s">
        <v>1633</v>
      </c>
      <c r="B1109" s="27" t="str">
        <f t="shared" si="34"/>
        <v>Virginia</v>
      </c>
      <c r="C1109" s="27" t="str">
        <f t="shared" si="35"/>
        <v>Charlotte</v>
      </c>
      <c r="D1109" s="27">
        <v>331</v>
      </c>
      <c r="E1109" s="27">
        <v>14880</v>
      </c>
      <c r="F1109" s="27">
        <v>1902</v>
      </c>
      <c r="G1109" s="27">
        <v>1151</v>
      </c>
      <c r="H1109" s="27" t="s">
        <v>2028</v>
      </c>
    </row>
    <row r="1110" spans="1:8" x14ac:dyDescent="0.25">
      <c r="A1110" s="27" t="s">
        <v>1634</v>
      </c>
      <c r="B1110" s="27" t="str">
        <f t="shared" si="34"/>
        <v>Virginia</v>
      </c>
      <c r="C1110" s="27" t="str">
        <f t="shared" si="35"/>
        <v>Chesterfield</v>
      </c>
      <c r="D1110" s="27">
        <v>687</v>
      </c>
      <c r="E1110" s="27">
        <v>14181</v>
      </c>
      <c r="F1110" s="27">
        <v>1902</v>
      </c>
      <c r="G1110" s="27">
        <v>1151</v>
      </c>
      <c r="H1110" s="27" t="s">
        <v>2028</v>
      </c>
    </row>
    <row r="1111" spans="1:8" x14ac:dyDescent="0.25">
      <c r="A1111" s="27" t="s">
        <v>1635</v>
      </c>
      <c r="B1111" s="27" t="str">
        <f t="shared" si="34"/>
        <v>Virginia</v>
      </c>
      <c r="C1111" s="27" t="str">
        <f t="shared" si="35"/>
        <v>Clarke</v>
      </c>
      <c r="E1111" s="27">
        <v>9425</v>
      </c>
      <c r="F1111" s="27">
        <v>1902</v>
      </c>
      <c r="G1111" s="27">
        <v>1151</v>
      </c>
      <c r="H1111" s="27" t="s">
        <v>2028</v>
      </c>
    </row>
    <row r="1112" spans="1:8" x14ac:dyDescent="0.25">
      <c r="A1112" s="27" t="s">
        <v>1636</v>
      </c>
      <c r="B1112" s="27" t="str">
        <f t="shared" si="34"/>
        <v>Virginia</v>
      </c>
      <c r="C1112" s="27" t="str">
        <f t="shared" si="35"/>
        <v>Craig</v>
      </c>
      <c r="E1112" s="27">
        <v>4402</v>
      </c>
      <c r="F1112" s="27">
        <v>1902</v>
      </c>
      <c r="G1112" s="27">
        <v>1151</v>
      </c>
      <c r="H1112" s="27" t="s">
        <v>2028</v>
      </c>
    </row>
    <row r="1113" spans="1:8" x14ac:dyDescent="0.25">
      <c r="A1113" s="27" t="s">
        <v>1637</v>
      </c>
      <c r="B1113" s="27" t="str">
        <f t="shared" si="34"/>
        <v>Virginia</v>
      </c>
      <c r="C1113" s="27" t="str">
        <f t="shared" si="35"/>
        <v>Culpeper</v>
      </c>
      <c r="E1113" s="27">
        <v>15285</v>
      </c>
      <c r="F1113" s="27">
        <v>1902</v>
      </c>
      <c r="G1113" s="27">
        <v>1151</v>
      </c>
      <c r="H1113" s="27" t="s">
        <v>2028</v>
      </c>
    </row>
    <row r="1114" spans="1:8" x14ac:dyDescent="0.25">
      <c r="A1114" s="27" t="s">
        <v>1638</v>
      </c>
      <c r="B1114" s="27" t="str">
        <f t="shared" si="34"/>
        <v>Virginia</v>
      </c>
      <c r="C1114" s="27" t="str">
        <f t="shared" si="35"/>
        <v>Cumberland</v>
      </c>
      <c r="E1114" s="27">
        <v>6494</v>
      </c>
      <c r="F1114" s="27">
        <v>1902</v>
      </c>
      <c r="G1114" s="27">
        <v>1151</v>
      </c>
      <c r="H1114" s="27" t="s">
        <v>2028</v>
      </c>
    </row>
    <row r="1115" spans="1:8" x14ac:dyDescent="0.25">
      <c r="A1115" s="27" t="s">
        <v>1639</v>
      </c>
      <c r="B1115" s="27" t="str">
        <f t="shared" si="34"/>
        <v>Virginia</v>
      </c>
      <c r="C1115" s="27" t="str">
        <f t="shared" si="35"/>
        <v>Dickenson</v>
      </c>
      <c r="E1115" s="27">
        <v>7117</v>
      </c>
      <c r="F1115" s="27">
        <v>1902</v>
      </c>
      <c r="G1115" s="27">
        <v>1151</v>
      </c>
      <c r="H1115" s="27" t="s">
        <v>2028</v>
      </c>
    </row>
    <row r="1116" spans="1:8" x14ac:dyDescent="0.25">
      <c r="A1116" s="27" t="s">
        <v>1640</v>
      </c>
      <c r="B1116" s="27" t="str">
        <f t="shared" si="34"/>
        <v>Virginia</v>
      </c>
      <c r="C1116" s="27" t="str">
        <f t="shared" si="35"/>
        <v>Dinwiddie</v>
      </c>
      <c r="D1116" s="27">
        <v>395</v>
      </c>
      <c r="E1116" s="27">
        <v>9898</v>
      </c>
      <c r="F1116" s="27">
        <v>1902</v>
      </c>
      <c r="G1116" s="27">
        <v>1151</v>
      </c>
      <c r="H1116" s="27" t="s">
        <v>2028</v>
      </c>
    </row>
    <row r="1117" spans="1:8" x14ac:dyDescent="0.25">
      <c r="A1117" s="27" t="s">
        <v>1641</v>
      </c>
      <c r="B1117" s="27" t="str">
        <f t="shared" si="34"/>
        <v>Virginia</v>
      </c>
      <c r="C1117" s="27" t="str">
        <f t="shared" si="35"/>
        <v>Elizabeth City</v>
      </c>
      <c r="D1117" s="27">
        <v>997</v>
      </c>
      <c r="E1117" s="27">
        <v>15452</v>
      </c>
      <c r="F1117" s="27">
        <v>1902</v>
      </c>
      <c r="G1117" s="27">
        <v>1151</v>
      </c>
      <c r="H1117" s="27" t="s">
        <v>2028</v>
      </c>
    </row>
    <row r="1118" spans="1:8" x14ac:dyDescent="0.25">
      <c r="A1118" s="27" t="s">
        <v>1642</v>
      </c>
      <c r="B1118" s="27" t="str">
        <f t="shared" si="34"/>
        <v>Virginia</v>
      </c>
      <c r="C1118" s="27" t="str">
        <f t="shared" si="35"/>
        <v>Essex</v>
      </c>
      <c r="D1118" s="27">
        <v>59</v>
      </c>
      <c r="E1118" s="27">
        <v>7789</v>
      </c>
      <c r="F1118" s="27">
        <v>1902</v>
      </c>
      <c r="G1118" s="27">
        <v>1151</v>
      </c>
      <c r="H1118" s="27" t="s">
        <v>2028</v>
      </c>
    </row>
    <row r="1119" spans="1:8" x14ac:dyDescent="0.25">
      <c r="A1119" s="27" t="s">
        <v>1643</v>
      </c>
      <c r="B1119" s="27" t="str">
        <f t="shared" si="34"/>
        <v>Virginia</v>
      </c>
      <c r="C1119" s="27" t="str">
        <f t="shared" si="35"/>
        <v>Fairfax</v>
      </c>
      <c r="D1119" s="27">
        <v>700</v>
      </c>
      <c r="E1119" s="27">
        <v>20222</v>
      </c>
      <c r="F1119" s="27">
        <v>1902</v>
      </c>
      <c r="G1119" s="27">
        <v>1151</v>
      </c>
      <c r="H1119" s="27" t="s">
        <v>2028</v>
      </c>
    </row>
    <row r="1120" spans="1:8" x14ac:dyDescent="0.25">
      <c r="A1120" s="27" t="s">
        <v>1644</v>
      </c>
      <c r="B1120" s="27" t="str">
        <f t="shared" si="34"/>
        <v>Virginia</v>
      </c>
      <c r="C1120" s="27" t="str">
        <f t="shared" si="35"/>
        <v>Fauquier</v>
      </c>
      <c r="D1120" s="27">
        <v>1657</v>
      </c>
      <c r="E1120" s="27">
        <v>27071</v>
      </c>
      <c r="F1120" s="27">
        <v>1902</v>
      </c>
      <c r="G1120" s="27">
        <v>1151</v>
      </c>
      <c r="H1120" s="27" t="s">
        <v>2028</v>
      </c>
    </row>
    <row r="1121" spans="1:8" x14ac:dyDescent="0.25">
      <c r="A1121" s="27" t="s">
        <v>1645</v>
      </c>
      <c r="B1121" s="27" t="str">
        <f t="shared" si="34"/>
        <v>Virginia</v>
      </c>
      <c r="C1121" s="27" t="str">
        <f t="shared" si="35"/>
        <v>Floyd</v>
      </c>
      <c r="D1121" s="27">
        <v>255</v>
      </c>
      <c r="E1121" s="27">
        <v>14200</v>
      </c>
      <c r="F1121" s="27">
        <v>1902</v>
      </c>
      <c r="G1121" s="27">
        <v>1151</v>
      </c>
      <c r="H1121" s="27" t="s">
        <v>2028</v>
      </c>
    </row>
    <row r="1122" spans="1:8" x14ac:dyDescent="0.25">
      <c r="A1122" s="27" t="s">
        <v>1646</v>
      </c>
      <c r="B1122" s="27" t="str">
        <f t="shared" si="34"/>
        <v>Virginia</v>
      </c>
      <c r="C1122" s="27" t="str">
        <f t="shared" si="35"/>
        <v>Fluvanna</v>
      </c>
      <c r="D1122" s="27">
        <v>700</v>
      </c>
      <c r="E1122" s="27">
        <v>6840</v>
      </c>
      <c r="F1122" s="27">
        <v>1902</v>
      </c>
      <c r="G1122" s="27">
        <v>1151</v>
      </c>
      <c r="H1122" s="27" t="s">
        <v>2028</v>
      </c>
    </row>
    <row r="1123" spans="1:8" x14ac:dyDescent="0.25">
      <c r="A1123" s="27" t="s">
        <v>1647</v>
      </c>
      <c r="B1123" s="27" t="str">
        <f t="shared" si="34"/>
        <v>Virginia</v>
      </c>
      <c r="C1123" s="27" t="str">
        <f t="shared" si="35"/>
        <v>Franklin</v>
      </c>
      <c r="D1123" s="27">
        <v>100</v>
      </c>
      <c r="E1123" s="27">
        <v>19839</v>
      </c>
      <c r="F1123" s="27">
        <v>1902</v>
      </c>
      <c r="G1123" s="27">
        <v>1151</v>
      </c>
      <c r="H1123" s="27" t="s">
        <v>2028</v>
      </c>
    </row>
    <row r="1124" spans="1:8" x14ac:dyDescent="0.25">
      <c r="A1124" s="27" t="s">
        <v>1648</v>
      </c>
      <c r="B1124" s="27" t="str">
        <f t="shared" si="34"/>
        <v>Virginia</v>
      </c>
      <c r="C1124" s="27" t="str">
        <f t="shared" si="35"/>
        <v>Frederick</v>
      </c>
      <c r="D1124" s="27">
        <v>294</v>
      </c>
      <c r="E1124" s="27">
        <v>15446</v>
      </c>
      <c r="F1124" s="27">
        <v>1902</v>
      </c>
      <c r="G1124" s="27">
        <v>1151</v>
      </c>
      <c r="H1124" s="27" t="s">
        <v>2028</v>
      </c>
    </row>
    <row r="1125" spans="1:8" x14ac:dyDescent="0.25">
      <c r="A1125" s="27" t="s">
        <v>1649</v>
      </c>
      <c r="B1125" s="27" t="str">
        <f t="shared" si="34"/>
        <v>Virginia</v>
      </c>
      <c r="C1125" s="27" t="str">
        <f t="shared" si="35"/>
        <v>Giles</v>
      </c>
      <c r="D1125" s="27">
        <v>96</v>
      </c>
      <c r="E1125" s="27">
        <v>11536</v>
      </c>
      <c r="F1125" s="27">
        <v>1902</v>
      </c>
      <c r="G1125" s="27">
        <v>1151</v>
      </c>
      <c r="H1125" s="27" t="s">
        <v>2028</v>
      </c>
    </row>
    <row r="1126" spans="1:8" x14ac:dyDescent="0.25">
      <c r="A1126" s="27" t="s">
        <v>1650</v>
      </c>
      <c r="B1126" s="27" t="str">
        <f t="shared" si="34"/>
        <v>Virginia</v>
      </c>
      <c r="C1126" s="27" t="str">
        <f t="shared" si="35"/>
        <v>Gloucester</v>
      </c>
      <c r="D1126" s="27">
        <v>442</v>
      </c>
      <c r="E1126" s="27">
        <v>7173</v>
      </c>
      <c r="F1126" s="27">
        <v>1902</v>
      </c>
      <c r="G1126" s="27">
        <v>1151</v>
      </c>
      <c r="H1126" s="27" t="s">
        <v>2028</v>
      </c>
    </row>
    <row r="1127" spans="1:8" x14ac:dyDescent="0.25">
      <c r="A1127" s="27" t="s">
        <v>1651</v>
      </c>
      <c r="B1127" s="27" t="str">
        <f t="shared" si="34"/>
        <v>Virginia</v>
      </c>
      <c r="C1127" s="27" t="str">
        <f t="shared" si="35"/>
        <v>Goochland</v>
      </c>
      <c r="E1127" s="27">
        <v>10399</v>
      </c>
      <c r="F1127" s="27">
        <v>1902</v>
      </c>
      <c r="G1127" s="27">
        <v>1151</v>
      </c>
      <c r="H1127" s="27" t="s">
        <v>2028</v>
      </c>
    </row>
    <row r="1128" spans="1:8" x14ac:dyDescent="0.25">
      <c r="A1128" s="27" t="s">
        <v>1652</v>
      </c>
      <c r="B1128" s="27" t="str">
        <f t="shared" si="34"/>
        <v>Virginia</v>
      </c>
      <c r="C1128" s="27" t="str">
        <f t="shared" si="35"/>
        <v>Grayson</v>
      </c>
      <c r="D1128" s="27">
        <v>58</v>
      </c>
      <c r="E1128" s="27">
        <v>11154</v>
      </c>
      <c r="F1128" s="27">
        <v>1902</v>
      </c>
      <c r="G1128" s="27">
        <v>1151</v>
      </c>
      <c r="H1128" s="27" t="s">
        <v>2028</v>
      </c>
    </row>
    <row r="1129" spans="1:8" x14ac:dyDescent="0.25">
      <c r="A1129" s="27" t="s">
        <v>1653</v>
      </c>
      <c r="B1129" s="27" t="str">
        <f t="shared" si="34"/>
        <v>Virginia</v>
      </c>
      <c r="C1129" s="27" t="str">
        <f t="shared" si="35"/>
        <v>Greene</v>
      </c>
      <c r="E1129" s="27">
        <v>4612</v>
      </c>
      <c r="F1129" s="27">
        <v>1902</v>
      </c>
      <c r="G1129" s="27">
        <v>1151</v>
      </c>
      <c r="H1129" s="27" t="s">
        <v>2028</v>
      </c>
    </row>
    <row r="1130" spans="1:8" x14ac:dyDescent="0.25">
      <c r="A1130" s="27" t="s">
        <v>1654</v>
      </c>
      <c r="B1130" s="27" t="str">
        <f t="shared" si="34"/>
        <v>Virginia</v>
      </c>
      <c r="C1130" s="27" t="str">
        <f t="shared" si="35"/>
        <v>Greensville</v>
      </c>
      <c r="D1130" s="27">
        <v>580</v>
      </c>
      <c r="E1130" s="27">
        <v>7037</v>
      </c>
      <c r="F1130" s="27">
        <v>1902</v>
      </c>
      <c r="G1130" s="27">
        <v>1151</v>
      </c>
      <c r="H1130" s="27" t="s">
        <v>2028</v>
      </c>
    </row>
    <row r="1131" spans="1:8" x14ac:dyDescent="0.25">
      <c r="A1131" s="27" t="s">
        <v>1655</v>
      </c>
      <c r="B1131" s="27" t="str">
        <f t="shared" si="34"/>
        <v>Virginia</v>
      </c>
      <c r="C1131" s="27" t="str">
        <f t="shared" si="35"/>
        <v>Halifax</v>
      </c>
      <c r="D1131" s="27">
        <v>151</v>
      </c>
      <c r="E1131" s="27">
        <v>29169</v>
      </c>
      <c r="F1131" s="27">
        <v>1902</v>
      </c>
      <c r="G1131" s="27">
        <v>1151</v>
      </c>
      <c r="H1131" s="27" t="s">
        <v>2028</v>
      </c>
    </row>
    <row r="1132" spans="1:8" x14ac:dyDescent="0.25">
      <c r="A1132" s="27" t="s">
        <v>1656</v>
      </c>
      <c r="B1132" s="27" t="str">
        <f t="shared" si="34"/>
        <v>Virginia</v>
      </c>
      <c r="C1132" s="27" t="str">
        <f t="shared" si="35"/>
        <v>Hanover</v>
      </c>
      <c r="D1132" s="27">
        <v>150</v>
      </c>
      <c r="E1132" s="27">
        <v>10137</v>
      </c>
      <c r="F1132" s="27">
        <v>1902</v>
      </c>
      <c r="G1132" s="27">
        <v>1151</v>
      </c>
      <c r="H1132" s="27" t="s">
        <v>2028</v>
      </c>
    </row>
    <row r="1133" spans="1:8" x14ac:dyDescent="0.25">
      <c r="A1133" s="27" t="s">
        <v>1657</v>
      </c>
      <c r="B1133" s="27" t="str">
        <f t="shared" si="34"/>
        <v>Virginia</v>
      </c>
      <c r="C1133" s="27" t="str">
        <f t="shared" si="35"/>
        <v>Henrico</v>
      </c>
      <c r="D1133" s="27">
        <v>500</v>
      </c>
      <c r="E1133" s="27">
        <v>42170</v>
      </c>
      <c r="F1133" s="27">
        <v>1902</v>
      </c>
      <c r="G1133" s="27">
        <v>1151</v>
      </c>
      <c r="H1133" s="27" t="s">
        <v>2028</v>
      </c>
    </row>
    <row r="1134" spans="1:8" x14ac:dyDescent="0.25">
      <c r="A1134" s="27" t="s">
        <v>1658</v>
      </c>
      <c r="B1134" s="27" t="str">
        <f t="shared" si="34"/>
        <v>Virginia</v>
      </c>
      <c r="C1134" s="27" t="str">
        <f t="shared" si="35"/>
        <v>Henry</v>
      </c>
      <c r="D1134" s="27">
        <v>100</v>
      </c>
      <c r="E1134" s="27">
        <v>14744</v>
      </c>
      <c r="F1134" s="27">
        <v>1902</v>
      </c>
      <c r="G1134" s="27">
        <v>1151</v>
      </c>
      <c r="H1134" s="27" t="s">
        <v>2028</v>
      </c>
    </row>
    <row r="1135" spans="1:8" x14ac:dyDescent="0.25">
      <c r="A1135" s="27" t="s">
        <v>1659</v>
      </c>
      <c r="B1135" s="27" t="str">
        <f t="shared" si="34"/>
        <v>Virginia</v>
      </c>
      <c r="C1135" s="27" t="str">
        <f t="shared" si="35"/>
        <v>Highland</v>
      </c>
      <c r="E1135" s="27">
        <v>6202</v>
      </c>
      <c r="F1135" s="27">
        <v>1902</v>
      </c>
      <c r="G1135" s="27">
        <v>1151</v>
      </c>
      <c r="H1135" s="27" t="s">
        <v>2028</v>
      </c>
    </row>
    <row r="1136" spans="1:8" x14ac:dyDescent="0.25">
      <c r="A1136" s="27" t="s">
        <v>1660</v>
      </c>
      <c r="B1136" s="27" t="str">
        <f t="shared" si="34"/>
        <v>Virginia</v>
      </c>
      <c r="C1136" s="27" t="str">
        <f t="shared" si="35"/>
        <v>Isle of Wight</v>
      </c>
      <c r="D1136" s="27">
        <v>986</v>
      </c>
      <c r="E1136" s="27">
        <v>7841</v>
      </c>
      <c r="F1136" s="27">
        <v>1902</v>
      </c>
      <c r="G1136" s="27">
        <v>1151</v>
      </c>
      <c r="H1136" s="27" t="s">
        <v>2028</v>
      </c>
    </row>
    <row r="1137" spans="1:8" x14ac:dyDescent="0.25">
      <c r="A1137" s="27" t="s">
        <v>1661</v>
      </c>
      <c r="B1137" s="27" t="str">
        <f t="shared" si="34"/>
        <v>Virginia</v>
      </c>
      <c r="C1137" s="27" t="str">
        <f t="shared" si="35"/>
        <v>James City</v>
      </c>
      <c r="D1137" s="27">
        <v>122</v>
      </c>
      <c r="E1137" s="27">
        <v>2869</v>
      </c>
      <c r="F1137" s="27">
        <v>1902</v>
      </c>
      <c r="G1137" s="27">
        <v>1151</v>
      </c>
      <c r="H1137" s="27" t="s">
        <v>2028</v>
      </c>
    </row>
    <row r="1138" spans="1:8" x14ac:dyDescent="0.25">
      <c r="A1138" s="27" t="s">
        <v>1662</v>
      </c>
      <c r="B1138" s="27" t="str">
        <f t="shared" si="34"/>
        <v>Virginia</v>
      </c>
      <c r="C1138" s="27" t="str">
        <f t="shared" si="35"/>
        <v>King and Queen</v>
      </c>
      <c r="E1138" s="27">
        <v>6255</v>
      </c>
      <c r="F1138" s="27">
        <v>1902</v>
      </c>
      <c r="G1138" s="27">
        <v>1151</v>
      </c>
      <c r="H1138" s="27" t="s">
        <v>2028</v>
      </c>
    </row>
    <row r="1139" spans="1:8" x14ac:dyDescent="0.25">
      <c r="A1139" s="27" t="s">
        <v>1663</v>
      </c>
      <c r="B1139" s="27" t="str">
        <f t="shared" si="34"/>
        <v>Virginia</v>
      </c>
      <c r="C1139" s="27" t="str">
        <f t="shared" si="35"/>
        <v>King George</v>
      </c>
      <c r="E1139" s="27">
        <v>5825</v>
      </c>
      <c r="F1139" s="27">
        <v>1902</v>
      </c>
      <c r="G1139" s="27">
        <v>1151</v>
      </c>
      <c r="H1139" s="27" t="s">
        <v>2028</v>
      </c>
    </row>
    <row r="1140" spans="1:8" x14ac:dyDescent="0.25">
      <c r="A1140" s="27" t="s">
        <v>1664</v>
      </c>
      <c r="B1140" s="27" t="str">
        <f t="shared" si="34"/>
        <v>Virginia</v>
      </c>
      <c r="C1140" s="27" t="str">
        <f t="shared" si="35"/>
        <v>King William</v>
      </c>
      <c r="E1140" s="27">
        <v>7004</v>
      </c>
      <c r="F1140" s="27">
        <v>1902</v>
      </c>
      <c r="G1140" s="27">
        <v>1151</v>
      </c>
      <c r="H1140" s="27" t="s">
        <v>2028</v>
      </c>
    </row>
    <row r="1141" spans="1:8" x14ac:dyDescent="0.25">
      <c r="A1141" s="27" t="s">
        <v>1665</v>
      </c>
      <c r="B1141" s="27" t="str">
        <f t="shared" si="34"/>
        <v>Virginia</v>
      </c>
      <c r="C1141" s="27" t="str">
        <f t="shared" si="35"/>
        <v>Lancaster</v>
      </c>
      <c r="D1141" s="27">
        <v>563</v>
      </c>
      <c r="E1141" s="27">
        <v>5881</v>
      </c>
      <c r="F1141" s="27">
        <v>1902</v>
      </c>
      <c r="G1141" s="27">
        <v>1151</v>
      </c>
      <c r="H1141" s="27" t="s">
        <v>2028</v>
      </c>
    </row>
    <row r="1142" spans="1:8" x14ac:dyDescent="0.25">
      <c r="A1142" s="27" t="s">
        <v>1666</v>
      </c>
      <c r="B1142" s="27" t="str">
        <f t="shared" si="34"/>
        <v>Virginia</v>
      </c>
      <c r="C1142" s="27" t="str">
        <f t="shared" si="35"/>
        <v>Lee</v>
      </c>
      <c r="D1142" s="27">
        <v>85</v>
      </c>
      <c r="E1142" s="27">
        <v>15188</v>
      </c>
      <c r="F1142" s="27">
        <v>1902</v>
      </c>
      <c r="G1142" s="27">
        <v>1151</v>
      </c>
      <c r="H1142" s="27" t="s">
        <v>2028</v>
      </c>
    </row>
    <row r="1143" spans="1:8" x14ac:dyDescent="0.25">
      <c r="A1143" s="27" t="s">
        <v>1667</v>
      </c>
      <c r="B1143" s="27" t="str">
        <f t="shared" si="34"/>
        <v>Virginia</v>
      </c>
      <c r="C1143" s="27" t="str">
        <f t="shared" si="35"/>
        <v>Loudoun</v>
      </c>
      <c r="D1143" s="27">
        <v>125</v>
      </c>
      <c r="E1143" s="27">
        <v>33110</v>
      </c>
      <c r="F1143" s="27">
        <v>1902</v>
      </c>
      <c r="G1143" s="27">
        <v>1151</v>
      </c>
      <c r="H1143" s="27" t="s">
        <v>2028</v>
      </c>
    </row>
    <row r="1144" spans="1:8" x14ac:dyDescent="0.25">
      <c r="A1144" s="27" t="s">
        <v>1668</v>
      </c>
      <c r="B1144" s="27" t="str">
        <f t="shared" si="34"/>
        <v>Virginia</v>
      </c>
      <c r="C1144" s="27" t="str">
        <f t="shared" si="35"/>
        <v>Louisa</v>
      </c>
      <c r="E1144" s="27">
        <v>12858</v>
      </c>
      <c r="F1144" s="27">
        <v>1902</v>
      </c>
      <c r="G1144" s="27">
        <v>1151</v>
      </c>
      <c r="H1144" s="27" t="s">
        <v>2028</v>
      </c>
    </row>
    <row r="1145" spans="1:8" x14ac:dyDescent="0.25">
      <c r="A1145" s="27" t="s">
        <v>1669</v>
      </c>
      <c r="B1145" s="27" t="str">
        <f t="shared" si="34"/>
        <v>Virginia</v>
      </c>
      <c r="C1145" s="27" t="str">
        <f t="shared" si="35"/>
        <v>Lunenburg</v>
      </c>
      <c r="E1145" s="27">
        <v>9051</v>
      </c>
      <c r="F1145" s="27">
        <v>1902</v>
      </c>
      <c r="G1145" s="27">
        <v>1151</v>
      </c>
      <c r="H1145" s="27" t="s">
        <v>2028</v>
      </c>
    </row>
    <row r="1146" spans="1:8" x14ac:dyDescent="0.25">
      <c r="A1146" s="27" t="s">
        <v>1670</v>
      </c>
      <c r="B1146" s="27" t="str">
        <f t="shared" si="34"/>
        <v>Virginia</v>
      </c>
      <c r="C1146" s="27" t="str">
        <f t="shared" si="35"/>
        <v>Madison</v>
      </c>
      <c r="E1146" s="27">
        <v>7966</v>
      </c>
      <c r="F1146" s="27">
        <v>1902</v>
      </c>
      <c r="G1146" s="27">
        <v>1151</v>
      </c>
      <c r="H1146" s="27" t="s">
        <v>2028</v>
      </c>
    </row>
    <row r="1147" spans="1:8" x14ac:dyDescent="0.25">
      <c r="A1147" s="27" t="s">
        <v>1671</v>
      </c>
      <c r="B1147" s="27" t="str">
        <f t="shared" si="34"/>
        <v>Virginia</v>
      </c>
      <c r="C1147" s="27" t="str">
        <f t="shared" si="35"/>
        <v>Mathews</v>
      </c>
      <c r="D1147" s="27">
        <v>297</v>
      </c>
      <c r="E1147" s="27">
        <v>5832</v>
      </c>
      <c r="F1147" s="27">
        <v>1902</v>
      </c>
      <c r="G1147" s="27">
        <v>1151</v>
      </c>
      <c r="H1147" s="27" t="s">
        <v>2028</v>
      </c>
    </row>
    <row r="1148" spans="1:8" x14ac:dyDescent="0.25">
      <c r="A1148" s="27" t="s">
        <v>1771</v>
      </c>
      <c r="B1148" s="27" t="str">
        <f t="shared" si="34"/>
        <v>Virginia</v>
      </c>
      <c r="C1148" s="27" t="str">
        <f t="shared" si="35"/>
        <v>Mecklenburg</v>
      </c>
      <c r="D1148" s="27">
        <v>588</v>
      </c>
      <c r="E1148" s="27">
        <v>22996</v>
      </c>
      <c r="F1148" s="27">
        <v>1902</v>
      </c>
      <c r="G1148" s="27">
        <v>1151</v>
      </c>
      <c r="H1148" s="27" t="s">
        <v>2028</v>
      </c>
    </row>
    <row r="1149" spans="1:8" x14ac:dyDescent="0.25">
      <c r="A1149" s="27" t="s">
        <v>1672</v>
      </c>
      <c r="B1149" s="27" t="str">
        <f t="shared" si="34"/>
        <v>Virginia</v>
      </c>
      <c r="C1149" s="27" t="str">
        <f t="shared" si="35"/>
        <v>Middlesex</v>
      </c>
      <c r="D1149" s="27">
        <v>286</v>
      </c>
      <c r="E1149" s="27">
        <v>4861</v>
      </c>
      <c r="F1149" s="27">
        <v>1902</v>
      </c>
      <c r="G1149" s="27">
        <v>1151</v>
      </c>
      <c r="H1149" s="27" t="s">
        <v>2028</v>
      </c>
    </row>
    <row r="1150" spans="1:8" x14ac:dyDescent="0.25">
      <c r="A1150" s="27" t="s">
        <v>1673</v>
      </c>
      <c r="B1150" s="27" t="str">
        <f t="shared" si="34"/>
        <v>Virginia</v>
      </c>
      <c r="C1150" s="27" t="str">
        <f t="shared" si="35"/>
        <v>Montgomery</v>
      </c>
      <c r="D1150" s="27">
        <v>316</v>
      </c>
      <c r="E1150" s="27">
        <v>14963</v>
      </c>
      <c r="F1150" s="27">
        <v>1902</v>
      </c>
      <c r="G1150" s="27">
        <v>1151</v>
      </c>
      <c r="H1150" s="27" t="s">
        <v>2028</v>
      </c>
    </row>
    <row r="1151" spans="1:8" x14ac:dyDescent="0.25">
      <c r="A1151" s="27" t="s">
        <v>1674</v>
      </c>
      <c r="B1151" s="27" t="str">
        <f t="shared" si="34"/>
        <v>Virginia</v>
      </c>
      <c r="C1151" s="27" t="str">
        <f t="shared" si="35"/>
        <v>Nansemond</v>
      </c>
      <c r="D1151" s="27">
        <v>1112</v>
      </c>
      <c r="E1151" s="27">
        <v>16558</v>
      </c>
      <c r="F1151" s="27">
        <v>1902</v>
      </c>
      <c r="G1151" s="27">
        <v>1151</v>
      </c>
      <c r="H1151" s="27" t="s">
        <v>2028</v>
      </c>
    </row>
    <row r="1152" spans="1:8" x14ac:dyDescent="0.25">
      <c r="A1152" s="27" t="s">
        <v>1675</v>
      </c>
      <c r="B1152" s="27" t="str">
        <f t="shared" si="34"/>
        <v>Virginia</v>
      </c>
      <c r="C1152" s="27" t="str">
        <f t="shared" si="35"/>
        <v>Nelson</v>
      </c>
      <c r="E1152" s="27">
        <v>13542</v>
      </c>
      <c r="F1152" s="27">
        <v>1902</v>
      </c>
      <c r="G1152" s="27">
        <v>1151</v>
      </c>
      <c r="H1152" s="27" t="s">
        <v>2028</v>
      </c>
    </row>
    <row r="1153" spans="1:8" x14ac:dyDescent="0.25">
      <c r="A1153" s="27" t="s">
        <v>1676</v>
      </c>
      <c r="B1153" s="27" t="str">
        <f t="shared" si="34"/>
        <v>Virginia</v>
      </c>
      <c r="C1153" s="27" t="str">
        <f t="shared" si="35"/>
        <v>New Kent</v>
      </c>
      <c r="D1153" s="27">
        <v>152</v>
      </c>
      <c r="E1153" s="27">
        <v>3480</v>
      </c>
      <c r="F1153" s="27">
        <v>1902</v>
      </c>
      <c r="G1153" s="27">
        <v>1151</v>
      </c>
      <c r="H1153" s="27" t="s">
        <v>2028</v>
      </c>
    </row>
    <row r="1154" spans="1:8" x14ac:dyDescent="0.25">
      <c r="A1154" s="27" t="s">
        <v>1677</v>
      </c>
      <c r="B1154" s="27" t="str">
        <f t="shared" si="34"/>
        <v>Virginia</v>
      </c>
      <c r="C1154" s="27" t="str">
        <f t="shared" si="35"/>
        <v>Norfolk</v>
      </c>
      <c r="D1154" s="27">
        <v>7710</v>
      </c>
      <c r="E1154" s="27">
        <v>34994</v>
      </c>
      <c r="F1154" s="27">
        <v>1902</v>
      </c>
      <c r="G1154" s="27">
        <v>1151</v>
      </c>
      <c r="H1154" s="27" t="s">
        <v>2028</v>
      </c>
    </row>
    <row r="1155" spans="1:8" x14ac:dyDescent="0.25">
      <c r="A1155" s="27" t="s">
        <v>1678</v>
      </c>
      <c r="B1155" s="27" t="str">
        <f t="shared" ref="B1155:B1218" si="36">LEFT(A1155,FIND(";",A1155)-1)</f>
        <v>Virginia</v>
      </c>
      <c r="C1155" s="27" t="str">
        <f t="shared" ref="C1155:C1218" si="37">MID(A1155,FIND(";",A1155)+1,100)</f>
        <v>Northampton</v>
      </c>
      <c r="D1155" s="27">
        <v>585</v>
      </c>
      <c r="E1155" s="27">
        <v>9047</v>
      </c>
      <c r="F1155" s="27">
        <v>1902</v>
      </c>
      <c r="G1155" s="27">
        <v>1151</v>
      </c>
      <c r="H1155" s="27" t="s">
        <v>2028</v>
      </c>
    </row>
    <row r="1156" spans="1:8" x14ac:dyDescent="0.25">
      <c r="A1156" s="27" t="s">
        <v>1679</v>
      </c>
      <c r="B1156" s="27" t="str">
        <f t="shared" si="36"/>
        <v>Virginia</v>
      </c>
      <c r="C1156" s="27" t="str">
        <f t="shared" si="37"/>
        <v>Northumberland</v>
      </c>
      <c r="D1156" s="27">
        <v>362</v>
      </c>
      <c r="E1156" s="27">
        <v>6033</v>
      </c>
      <c r="F1156" s="27">
        <v>1902</v>
      </c>
      <c r="G1156" s="27">
        <v>1151</v>
      </c>
      <c r="H1156" s="27" t="s">
        <v>2028</v>
      </c>
    </row>
    <row r="1157" spans="1:8" x14ac:dyDescent="0.25">
      <c r="A1157" s="27" t="s">
        <v>1680</v>
      </c>
      <c r="B1157" s="27" t="str">
        <f t="shared" si="36"/>
        <v>Virginia</v>
      </c>
      <c r="C1157" s="27" t="str">
        <f t="shared" si="37"/>
        <v>Nottoway</v>
      </c>
      <c r="E1157" s="27">
        <v>11954</v>
      </c>
      <c r="F1157" s="27">
        <v>1902</v>
      </c>
      <c r="G1157" s="27">
        <v>1151</v>
      </c>
      <c r="H1157" s="27" t="s">
        <v>2028</v>
      </c>
    </row>
    <row r="1158" spans="1:8" x14ac:dyDescent="0.25">
      <c r="A1158" s="27" t="s">
        <v>1681</v>
      </c>
      <c r="B1158" s="27" t="str">
        <f t="shared" si="36"/>
        <v>Virginia</v>
      </c>
      <c r="C1158" s="27" t="str">
        <f t="shared" si="37"/>
        <v>Orange</v>
      </c>
      <c r="E1158" s="27">
        <v>11979</v>
      </c>
      <c r="F1158" s="27">
        <v>1902</v>
      </c>
      <c r="G1158" s="27">
        <v>1151</v>
      </c>
      <c r="H1158" s="27" t="s">
        <v>2028</v>
      </c>
    </row>
    <row r="1159" spans="1:8" x14ac:dyDescent="0.25">
      <c r="A1159" s="27" t="s">
        <v>1682</v>
      </c>
      <c r="B1159" s="27" t="str">
        <f t="shared" si="36"/>
        <v>Virginia</v>
      </c>
      <c r="C1159" s="27" t="str">
        <f t="shared" si="37"/>
        <v>Page</v>
      </c>
      <c r="D1159" s="27">
        <v>1066</v>
      </c>
      <c r="E1159" s="27">
        <v>14430</v>
      </c>
      <c r="F1159" s="27">
        <v>1902</v>
      </c>
      <c r="G1159" s="27">
        <v>1151</v>
      </c>
      <c r="H1159" s="27" t="s">
        <v>2028</v>
      </c>
    </row>
    <row r="1160" spans="1:8" x14ac:dyDescent="0.25">
      <c r="A1160" s="27" t="s">
        <v>1683</v>
      </c>
      <c r="B1160" s="27" t="str">
        <f t="shared" si="36"/>
        <v>Virginia</v>
      </c>
      <c r="C1160" s="27" t="str">
        <f t="shared" si="37"/>
        <v>Patrick</v>
      </c>
      <c r="D1160" s="27">
        <v>443</v>
      </c>
      <c r="E1160" s="27">
        <v>11464</v>
      </c>
      <c r="F1160" s="27">
        <v>1902</v>
      </c>
      <c r="G1160" s="27">
        <v>1151</v>
      </c>
      <c r="H1160" s="27" t="s">
        <v>2028</v>
      </c>
    </row>
    <row r="1161" spans="1:8" x14ac:dyDescent="0.25">
      <c r="A1161" s="27" t="s">
        <v>1684</v>
      </c>
      <c r="B1161" s="27" t="str">
        <f t="shared" si="36"/>
        <v>Virginia</v>
      </c>
      <c r="C1161" s="27" t="str">
        <f t="shared" si="37"/>
        <v>Pittsylvania</v>
      </c>
      <c r="D1161" s="27">
        <v>580</v>
      </c>
      <c r="E1161" s="27">
        <v>36834</v>
      </c>
      <c r="F1161" s="27">
        <v>1902</v>
      </c>
      <c r="G1161" s="27">
        <v>1151</v>
      </c>
      <c r="H1161" s="27" t="s">
        <v>2028</v>
      </c>
    </row>
    <row r="1162" spans="1:8" x14ac:dyDescent="0.25">
      <c r="A1162" s="27" t="s">
        <v>1685</v>
      </c>
      <c r="B1162" s="27" t="str">
        <f t="shared" si="36"/>
        <v>Virginia</v>
      </c>
      <c r="C1162" s="27" t="str">
        <f t="shared" si="37"/>
        <v>Powhatan</v>
      </c>
      <c r="E1162" s="27">
        <v>6093</v>
      </c>
      <c r="F1162" s="27">
        <v>1902</v>
      </c>
      <c r="G1162" s="27">
        <v>1151</v>
      </c>
      <c r="H1162" s="27" t="s">
        <v>2028</v>
      </c>
    </row>
    <row r="1163" spans="1:8" x14ac:dyDescent="0.25">
      <c r="A1163" s="27" t="s">
        <v>1686</v>
      </c>
      <c r="B1163" s="27" t="str">
        <f t="shared" si="36"/>
        <v>Virginia</v>
      </c>
      <c r="C1163" s="27" t="str">
        <f t="shared" si="37"/>
        <v>Prince Edward</v>
      </c>
      <c r="D1163" s="27">
        <v>100</v>
      </c>
      <c r="E1163" s="27">
        <v>15136</v>
      </c>
      <c r="F1163" s="27">
        <v>1902</v>
      </c>
      <c r="G1163" s="27">
        <v>1151</v>
      </c>
      <c r="H1163" s="27" t="s">
        <v>2028</v>
      </c>
    </row>
    <row r="1164" spans="1:8" x14ac:dyDescent="0.25">
      <c r="A1164" s="27" t="s">
        <v>1687</v>
      </c>
      <c r="B1164" s="27" t="str">
        <f t="shared" si="36"/>
        <v>Virginia</v>
      </c>
      <c r="C1164" s="27" t="str">
        <f t="shared" si="37"/>
        <v>Prince George</v>
      </c>
      <c r="D1164" s="27">
        <v>115</v>
      </c>
      <c r="E1164" s="27">
        <v>6381</v>
      </c>
      <c r="F1164" s="27">
        <v>1902</v>
      </c>
      <c r="G1164" s="27">
        <v>1151</v>
      </c>
      <c r="H1164" s="27" t="s">
        <v>2028</v>
      </c>
    </row>
    <row r="1165" spans="1:8" x14ac:dyDescent="0.25">
      <c r="A1165" s="27" t="s">
        <v>1688</v>
      </c>
      <c r="B1165" s="27" t="str">
        <f t="shared" si="36"/>
        <v>Virginia</v>
      </c>
      <c r="C1165" s="27" t="str">
        <f t="shared" si="37"/>
        <v>Princess Anne</v>
      </c>
      <c r="E1165" s="27">
        <v>12172</v>
      </c>
      <c r="F1165" s="27">
        <v>1902</v>
      </c>
      <c r="G1165" s="27">
        <v>1151</v>
      </c>
      <c r="H1165" s="27" t="s">
        <v>2028</v>
      </c>
    </row>
    <row r="1166" spans="1:8" x14ac:dyDescent="0.25">
      <c r="A1166" s="27" t="s">
        <v>1689</v>
      </c>
      <c r="B1166" s="27" t="str">
        <f t="shared" si="36"/>
        <v>Virginia</v>
      </c>
      <c r="C1166" s="27" t="str">
        <f t="shared" si="37"/>
        <v>Prince William</v>
      </c>
      <c r="D1166" s="27">
        <v>596</v>
      </c>
      <c r="E1166" s="27">
        <v>8930</v>
      </c>
      <c r="F1166" s="27">
        <v>1902</v>
      </c>
      <c r="G1166" s="27">
        <v>1153</v>
      </c>
      <c r="H1166" s="27" t="s">
        <v>2029</v>
      </c>
    </row>
    <row r="1167" spans="1:8" x14ac:dyDescent="0.25">
      <c r="A1167" s="27" t="s">
        <v>1690</v>
      </c>
      <c r="B1167" s="27" t="str">
        <f t="shared" si="36"/>
        <v>Virginia</v>
      </c>
      <c r="C1167" s="27" t="str">
        <f t="shared" si="37"/>
        <v>Pulaski</v>
      </c>
      <c r="D1167" s="27">
        <v>894</v>
      </c>
      <c r="E1167" s="27">
        <v>15843</v>
      </c>
      <c r="F1167" s="27">
        <v>1902</v>
      </c>
      <c r="G1167" s="27">
        <v>1153</v>
      </c>
      <c r="H1167" s="27" t="s">
        <v>2029</v>
      </c>
    </row>
    <row r="1168" spans="1:8" x14ac:dyDescent="0.25">
      <c r="A1168" s="27" t="s">
        <v>1691</v>
      </c>
      <c r="B1168" s="27" t="str">
        <f t="shared" si="36"/>
        <v>Virginia</v>
      </c>
      <c r="C1168" s="27" t="str">
        <f t="shared" si="37"/>
        <v>Rappahannock</v>
      </c>
      <c r="E1168" s="27">
        <v>9120</v>
      </c>
      <c r="F1168" s="27">
        <v>1902</v>
      </c>
      <c r="G1168" s="27">
        <v>1153</v>
      </c>
      <c r="H1168" s="27" t="s">
        <v>2029</v>
      </c>
    </row>
    <row r="1169" spans="1:8" x14ac:dyDescent="0.25">
      <c r="A1169" s="27" t="s">
        <v>1692</v>
      </c>
      <c r="B1169" s="27" t="str">
        <f t="shared" si="36"/>
        <v>Virginia</v>
      </c>
      <c r="C1169" s="27" t="str">
        <f t="shared" si="37"/>
        <v>Richmond</v>
      </c>
      <c r="D1169" s="27">
        <v>133</v>
      </c>
      <c r="E1169" s="27">
        <v>4685</v>
      </c>
      <c r="F1169" s="27">
        <v>1902</v>
      </c>
      <c r="G1169" s="27">
        <v>1153</v>
      </c>
      <c r="H1169" s="27" t="s">
        <v>2029</v>
      </c>
    </row>
    <row r="1170" spans="1:8" x14ac:dyDescent="0.25">
      <c r="A1170" s="27" t="s">
        <v>1693</v>
      </c>
      <c r="B1170" s="27" t="str">
        <f t="shared" si="36"/>
        <v>Virginia</v>
      </c>
      <c r="C1170" s="27" t="str">
        <f t="shared" si="37"/>
        <v>Roanoke</v>
      </c>
      <c r="D1170" s="27">
        <v>200</v>
      </c>
      <c r="E1170" s="27">
        <v>23175</v>
      </c>
      <c r="F1170" s="27">
        <v>1902</v>
      </c>
      <c r="G1170" s="27">
        <v>1153</v>
      </c>
      <c r="H1170" s="27" t="s">
        <v>2029</v>
      </c>
    </row>
    <row r="1171" spans="1:8" x14ac:dyDescent="0.25">
      <c r="A1171" s="27" t="s">
        <v>1694</v>
      </c>
      <c r="B1171" s="27" t="str">
        <f t="shared" si="36"/>
        <v>Virginia</v>
      </c>
      <c r="C1171" s="27" t="str">
        <f t="shared" si="37"/>
        <v>Rockbridge</v>
      </c>
      <c r="D1171" s="27">
        <v>493</v>
      </c>
      <c r="E1171" s="27">
        <v>21309</v>
      </c>
      <c r="F1171" s="27">
        <v>1902</v>
      </c>
      <c r="G1171" s="27">
        <v>1153</v>
      </c>
      <c r="H1171" s="27" t="s">
        <v>2029</v>
      </c>
    </row>
    <row r="1172" spans="1:8" x14ac:dyDescent="0.25">
      <c r="A1172" s="27" t="s">
        <v>1695</v>
      </c>
      <c r="B1172" s="27" t="str">
        <f t="shared" si="36"/>
        <v>Virginia</v>
      </c>
      <c r="C1172" s="27" t="str">
        <f t="shared" si="37"/>
        <v>Rockingham</v>
      </c>
      <c r="D1172" s="27">
        <v>1063</v>
      </c>
      <c r="E1172" s="27">
        <v>39788</v>
      </c>
      <c r="F1172" s="27">
        <v>1902</v>
      </c>
      <c r="G1172" s="27">
        <v>1153</v>
      </c>
      <c r="H1172" s="27" t="s">
        <v>2029</v>
      </c>
    </row>
    <row r="1173" spans="1:8" x14ac:dyDescent="0.25">
      <c r="A1173" s="27" t="s">
        <v>1696</v>
      </c>
      <c r="B1173" s="27" t="str">
        <f t="shared" si="36"/>
        <v>Virginia</v>
      </c>
      <c r="C1173" s="27" t="str">
        <f t="shared" si="37"/>
        <v>Russell</v>
      </c>
      <c r="E1173" s="27">
        <v>14582</v>
      </c>
      <c r="F1173" s="27">
        <v>1902</v>
      </c>
      <c r="G1173" s="27">
        <v>1153</v>
      </c>
      <c r="H1173" s="27" t="s">
        <v>2029</v>
      </c>
    </row>
    <row r="1174" spans="1:8" x14ac:dyDescent="0.25">
      <c r="A1174" s="27" t="s">
        <v>1697</v>
      </c>
      <c r="B1174" s="27" t="str">
        <f t="shared" si="36"/>
        <v>Virginia</v>
      </c>
      <c r="C1174" s="27" t="str">
        <f t="shared" si="37"/>
        <v>Scott</v>
      </c>
      <c r="E1174" s="27">
        <v>16905</v>
      </c>
      <c r="F1174" s="27">
        <v>1902</v>
      </c>
      <c r="G1174" s="27">
        <v>1153</v>
      </c>
      <c r="H1174" s="27" t="s">
        <v>2029</v>
      </c>
    </row>
    <row r="1175" spans="1:8" x14ac:dyDescent="0.25">
      <c r="A1175" s="27" t="s">
        <v>1698</v>
      </c>
      <c r="B1175" s="27" t="str">
        <f t="shared" si="36"/>
        <v>Virginia</v>
      </c>
      <c r="C1175" s="27" t="str">
        <f t="shared" si="37"/>
        <v>Shenandoah</v>
      </c>
      <c r="D1175" s="27">
        <v>930</v>
      </c>
      <c r="E1175" s="27">
        <v>20095</v>
      </c>
      <c r="F1175" s="27">
        <v>1902</v>
      </c>
      <c r="G1175" s="27">
        <v>1153</v>
      </c>
      <c r="H1175" s="27" t="s">
        <v>2029</v>
      </c>
    </row>
    <row r="1176" spans="1:8" x14ac:dyDescent="0.25">
      <c r="A1176" s="27" t="s">
        <v>1699</v>
      </c>
      <c r="B1176" s="27" t="str">
        <f t="shared" si="36"/>
        <v>Virginia</v>
      </c>
      <c r="C1176" s="27" t="str">
        <f t="shared" si="37"/>
        <v>Smyth</v>
      </c>
      <c r="E1176" s="27">
        <v>13051</v>
      </c>
      <c r="F1176" s="27">
        <v>1902</v>
      </c>
      <c r="G1176" s="27">
        <v>1153</v>
      </c>
      <c r="H1176" s="27" t="s">
        <v>2029</v>
      </c>
    </row>
    <row r="1177" spans="1:8" x14ac:dyDescent="0.25">
      <c r="A1177" s="27" t="s">
        <v>1700</v>
      </c>
      <c r="B1177" s="27" t="str">
        <f t="shared" si="36"/>
        <v>Virginia</v>
      </c>
      <c r="C1177" s="27" t="str">
        <f t="shared" si="37"/>
        <v>Southampton</v>
      </c>
      <c r="D1177" s="27">
        <v>843</v>
      </c>
      <c r="E1177" s="27">
        <v>19723</v>
      </c>
      <c r="F1177" s="27">
        <v>1902</v>
      </c>
      <c r="G1177" s="27">
        <v>1153</v>
      </c>
      <c r="H1177" s="27" t="s">
        <v>2029</v>
      </c>
    </row>
    <row r="1178" spans="1:8" x14ac:dyDescent="0.25">
      <c r="A1178" s="27" t="s">
        <v>1701</v>
      </c>
      <c r="B1178" s="27" t="str">
        <f t="shared" si="36"/>
        <v>Virginia</v>
      </c>
      <c r="C1178" s="27" t="str">
        <f t="shared" si="37"/>
        <v>Spotsylvania</v>
      </c>
      <c r="E1178" s="27">
        <v>7331</v>
      </c>
      <c r="F1178" s="27">
        <v>1902</v>
      </c>
      <c r="G1178" s="27">
        <v>1153</v>
      </c>
      <c r="H1178" s="27" t="s">
        <v>2029</v>
      </c>
    </row>
    <row r="1179" spans="1:8" x14ac:dyDescent="0.25">
      <c r="A1179" s="27" t="s">
        <v>1702</v>
      </c>
      <c r="B1179" s="27" t="str">
        <f t="shared" si="36"/>
        <v>Virginia</v>
      </c>
      <c r="C1179" s="27" t="str">
        <f t="shared" si="37"/>
        <v>Stafford</v>
      </c>
      <c r="E1179" s="27">
        <v>6230</v>
      </c>
      <c r="F1179" s="27">
        <v>1902</v>
      </c>
      <c r="G1179" s="27">
        <v>1153</v>
      </c>
      <c r="H1179" s="27" t="s">
        <v>2029</v>
      </c>
    </row>
    <row r="1180" spans="1:8" x14ac:dyDescent="0.25">
      <c r="A1180" s="27" t="s">
        <v>1703</v>
      </c>
      <c r="B1180" s="27" t="str">
        <f t="shared" si="36"/>
        <v>Virginia</v>
      </c>
      <c r="C1180" s="27" t="str">
        <f t="shared" si="37"/>
        <v>Surry</v>
      </c>
      <c r="D1180" s="27">
        <v>452</v>
      </c>
      <c r="E1180" s="27">
        <v>5822</v>
      </c>
      <c r="F1180" s="27">
        <v>1902</v>
      </c>
      <c r="G1180" s="27">
        <v>1153</v>
      </c>
      <c r="H1180" s="27" t="s">
        <v>2029</v>
      </c>
    </row>
    <row r="1181" spans="1:8" x14ac:dyDescent="0.25">
      <c r="A1181" s="27" t="s">
        <v>1704</v>
      </c>
      <c r="B1181" s="27" t="str">
        <f t="shared" si="36"/>
        <v>Virginia</v>
      </c>
      <c r="C1181" s="27" t="str">
        <f t="shared" si="37"/>
        <v>Sussex</v>
      </c>
      <c r="D1181" s="27">
        <v>211</v>
      </c>
      <c r="E1181" s="27">
        <v>8453</v>
      </c>
      <c r="F1181" s="27">
        <v>1902</v>
      </c>
      <c r="G1181" s="27">
        <v>1153</v>
      </c>
      <c r="H1181" s="27" t="s">
        <v>2029</v>
      </c>
    </row>
    <row r="1182" spans="1:8" x14ac:dyDescent="0.25">
      <c r="A1182" s="27" t="s">
        <v>1705</v>
      </c>
      <c r="B1182" s="27" t="str">
        <f t="shared" si="36"/>
        <v>Virginia</v>
      </c>
      <c r="C1182" s="27" t="str">
        <f t="shared" si="37"/>
        <v>Tazewell</v>
      </c>
      <c r="D1182" s="27">
        <v>1190</v>
      </c>
      <c r="E1182" s="27">
        <v>20901</v>
      </c>
      <c r="F1182" s="27">
        <v>1902</v>
      </c>
      <c r="G1182" s="27">
        <v>1153</v>
      </c>
      <c r="H1182" s="27" t="s">
        <v>2029</v>
      </c>
    </row>
    <row r="1183" spans="1:8" x14ac:dyDescent="0.25">
      <c r="A1183" s="27" t="s">
        <v>1706</v>
      </c>
      <c r="B1183" s="27" t="str">
        <f t="shared" si="36"/>
        <v>Virginia</v>
      </c>
      <c r="C1183" s="27" t="str">
        <f t="shared" si="37"/>
        <v>Warren</v>
      </c>
      <c r="D1183" s="27">
        <v>534</v>
      </c>
      <c r="E1183" s="27">
        <v>12238</v>
      </c>
      <c r="F1183" s="27">
        <v>1902</v>
      </c>
      <c r="G1183" s="27">
        <v>1153</v>
      </c>
      <c r="H1183" s="27" t="s">
        <v>2029</v>
      </c>
    </row>
    <row r="1184" spans="1:8" x14ac:dyDescent="0.25">
      <c r="A1184" s="27" t="s">
        <v>1707</v>
      </c>
      <c r="B1184" s="27" t="str">
        <f t="shared" si="36"/>
        <v>Virginia</v>
      </c>
      <c r="C1184" s="27" t="str">
        <f t="shared" si="37"/>
        <v>Warwick</v>
      </c>
      <c r="D1184" s="27">
        <v>295</v>
      </c>
      <c r="E1184" s="27">
        <v>4987</v>
      </c>
      <c r="F1184" s="27">
        <v>1902</v>
      </c>
      <c r="G1184" s="27">
        <v>1153</v>
      </c>
      <c r="H1184" s="27" t="s">
        <v>2029</v>
      </c>
    </row>
    <row r="1185" spans="1:8" x14ac:dyDescent="0.25">
      <c r="A1185" s="27" t="s">
        <v>1708</v>
      </c>
      <c r="B1185" s="27" t="str">
        <f t="shared" si="36"/>
        <v>Virginia</v>
      </c>
      <c r="C1185" s="27" t="str">
        <f t="shared" si="37"/>
        <v>Washington</v>
      </c>
      <c r="D1185" s="27">
        <v>800</v>
      </c>
      <c r="E1185" s="27">
        <v>28705</v>
      </c>
      <c r="F1185" s="27">
        <v>1902</v>
      </c>
      <c r="G1185" s="27">
        <v>1153</v>
      </c>
      <c r="H1185" s="27" t="s">
        <v>2029</v>
      </c>
    </row>
    <row r="1186" spans="1:8" x14ac:dyDescent="0.25">
      <c r="A1186" s="27" t="s">
        <v>1709</v>
      </c>
      <c r="B1186" s="27" t="str">
        <f t="shared" si="36"/>
        <v>Virginia</v>
      </c>
      <c r="C1186" s="27" t="str">
        <f t="shared" si="37"/>
        <v>Westmoreland</v>
      </c>
      <c r="D1186" s="27">
        <v>386</v>
      </c>
      <c r="E1186" s="27">
        <v>5724</v>
      </c>
      <c r="F1186" s="27">
        <v>1902</v>
      </c>
      <c r="G1186" s="27">
        <v>1153</v>
      </c>
      <c r="H1186" s="27" t="s">
        <v>2029</v>
      </c>
    </row>
    <row r="1187" spans="1:8" x14ac:dyDescent="0.25">
      <c r="A1187" s="27" t="s">
        <v>1710</v>
      </c>
      <c r="B1187" s="27" t="str">
        <f t="shared" si="36"/>
        <v>Virginia</v>
      </c>
      <c r="C1187" s="27" t="str">
        <f t="shared" si="37"/>
        <v>Wise</v>
      </c>
      <c r="D1187" s="27">
        <v>1000</v>
      </c>
      <c r="E1187" s="27">
        <v>26387</v>
      </c>
      <c r="F1187" s="27">
        <v>1902</v>
      </c>
      <c r="G1187" s="27">
        <v>1153</v>
      </c>
      <c r="H1187" s="27" t="s">
        <v>2029</v>
      </c>
    </row>
    <row r="1188" spans="1:8" x14ac:dyDescent="0.25">
      <c r="A1188" s="27" t="s">
        <v>1711</v>
      </c>
      <c r="B1188" s="27" t="str">
        <f t="shared" si="36"/>
        <v>Virginia</v>
      </c>
      <c r="C1188" s="27" t="str">
        <f t="shared" si="37"/>
        <v>Wythe</v>
      </c>
      <c r="D1188" s="27">
        <v>26</v>
      </c>
      <c r="E1188" s="27">
        <v>18149</v>
      </c>
      <c r="F1188" s="27">
        <v>1902</v>
      </c>
      <c r="G1188" s="27">
        <v>1153</v>
      </c>
      <c r="H1188" s="27" t="s">
        <v>2029</v>
      </c>
    </row>
    <row r="1189" spans="1:8" x14ac:dyDescent="0.25">
      <c r="A1189" s="27" t="s">
        <v>1712</v>
      </c>
      <c r="B1189" s="27" t="str">
        <f t="shared" si="36"/>
        <v>Virginia</v>
      </c>
      <c r="C1189" s="27" t="str">
        <f t="shared" si="37"/>
        <v>York</v>
      </c>
      <c r="D1189" s="27">
        <v>763</v>
      </c>
      <c r="E1189" s="27">
        <v>4037</v>
      </c>
      <c r="F1189" s="27">
        <v>1902</v>
      </c>
      <c r="G1189" s="27">
        <v>1153</v>
      </c>
      <c r="H1189" s="27" t="s">
        <v>2029</v>
      </c>
    </row>
    <row r="1190" spans="1:8" x14ac:dyDescent="0.25">
      <c r="A1190" s="27" t="s">
        <v>1367</v>
      </c>
      <c r="B1190" s="27" t="str">
        <f t="shared" si="36"/>
        <v/>
      </c>
      <c r="C1190" s="27" t="str">
        <f t="shared" si="37"/>
        <v/>
      </c>
    </row>
    <row r="1191" spans="1:8" x14ac:dyDescent="0.25">
      <c r="A1191" s="27" t="s">
        <v>1367</v>
      </c>
      <c r="B1191" s="27" t="str">
        <f t="shared" si="36"/>
        <v/>
      </c>
      <c r="C1191" s="27" t="str">
        <f t="shared" si="37"/>
        <v/>
      </c>
    </row>
    <row r="1192" spans="1:8" x14ac:dyDescent="0.25">
      <c r="A1192" s="27" t="s">
        <v>1367</v>
      </c>
      <c r="B1192" s="27" t="str">
        <f t="shared" si="36"/>
        <v/>
      </c>
      <c r="C1192" s="27" t="str">
        <f t="shared" si="37"/>
        <v/>
      </c>
    </row>
    <row r="1193" spans="1:8" x14ac:dyDescent="0.25">
      <c r="A1193" s="27" t="s">
        <v>1367</v>
      </c>
      <c r="B1193" s="27" t="str">
        <f t="shared" si="36"/>
        <v/>
      </c>
      <c r="C1193" s="27" t="str">
        <f t="shared" si="37"/>
        <v/>
      </c>
    </row>
    <row r="1194" spans="1:8" x14ac:dyDescent="0.25">
      <c r="A1194" s="27" t="s">
        <v>1367</v>
      </c>
      <c r="B1194" s="27" t="str">
        <f t="shared" si="36"/>
        <v/>
      </c>
      <c r="C1194" s="27" t="str">
        <f t="shared" si="37"/>
        <v/>
      </c>
    </row>
    <row r="1195" spans="1:8" x14ac:dyDescent="0.25">
      <c r="A1195" s="27" t="s">
        <v>1367</v>
      </c>
      <c r="B1195" s="27" t="str">
        <f t="shared" si="36"/>
        <v/>
      </c>
      <c r="C1195" s="27" t="str">
        <f t="shared" si="37"/>
        <v/>
      </c>
    </row>
    <row r="1196" spans="1:8" x14ac:dyDescent="0.25">
      <c r="A1196" s="27" t="s">
        <v>1367</v>
      </c>
      <c r="B1196" s="27" t="str">
        <f t="shared" si="36"/>
        <v/>
      </c>
      <c r="C1196" s="27" t="str">
        <f t="shared" si="37"/>
        <v/>
      </c>
    </row>
    <row r="1197" spans="1:8" x14ac:dyDescent="0.25">
      <c r="A1197" s="27" t="s">
        <v>1367</v>
      </c>
      <c r="B1197" s="27" t="str">
        <f t="shared" si="36"/>
        <v/>
      </c>
      <c r="C1197" s="27" t="str">
        <f t="shared" si="37"/>
        <v/>
      </c>
    </row>
    <row r="1198" spans="1:8" x14ac:dyDescent="0.25">
      <c r="A1198" s="27" t="s">
        <v>1367</v>
      </c>
      <c r="B1198" s="27" t="str">
        <f t="shared" si="36"/>
        <v/>
      </c>
      <c r="C1198" s="27" t="str">
        <f t="shared" si="37"/>
        <v/>
      </c>
    </row>
    <row r="1199" spans="1:8" x14ac:dyDescent="0.25">
      <c r="A1199" s="27" t="s">
        <v>1367</v>
      </c>
      <c r="B1199" s="27" t="str">
        <f t="shared" si="36"/>
        <v/>
      </c>
      <c r="C1199" s="27" t="str">
        <f t="shared" si="37"/>
        <v/>
      </c>
    </row>
    <row r="1200" spans="1:8" x14ac:dyDescent="0.25">
      <c r="A1200" s="27" t="s">
        <v>1367</v>
      </c>
      <c r="B1200" s="27" t="str">
        <f t="shared" si="36"/>
        <v/>
      </c>
      <c r="C1200" s="27" t="str">
        <f t="shared" si="37"/>
        <v/>
      </c>
    </row>
    <row r="1201" spans="1:3" x14ac:dyDescent="0.25">
      <c r="A1201" s="27" t="s">
        <v>1367</v>
      </c>
      <c r="B1201" s="27" t="str">
        <f t="shared" si="36"/>
        <v/>
      </c>
      <c r="C1201" s="27" t="str">
        <f t="shared" si="37"/>
        <v/>
      </c>
    </row>
    <row r="1202" spans="1:3" x14ac:dyDescent="0.25">
      <c r="A1202" s="27" t="s">
        <v>1367</v>
      </c>
      <c r="B1202" s="27" t="str">
        <f t="shared" si="36"/>
        <v/>
      </c>
      <c r="C1202" s="27" t="str">
        <f t="shared" si="37"/>
        <v/>
      </c>
    </row>
    <row r="1203" spans="1:3" x14ac:dyDescent="0.25">
      <c r="A1203" s="27" t="s">
        <v>1367</v>
      </c>
      <c r="B1203" s="27" t="str">
        <f t="shared" si="36"/>
        <v/>
      </c>
      <c r="C1203" s="27" t="str">
        <f t="shared" si="37"/>
        <v/>
      </c>
    </row>
    <row r="1204" spans="1:3" x14ac:dyDescent="0.25">
      <c r="A1204" s="27" t="s">
        <v>1367</v>
      </c>
      <c r="B1204" s="27" t="str">
        <f t="shared" si="36"/>
        <v/>
      </c>
      <c r="C1204" s="27" t="str">
        <f t="shared" si="37"/>
        <v/>
      </c>
    </row>
    <row r="1205" spans="1:3" x14ac:dyDescent="0.25">
      <c r="A1205" s="27" t="s">
        <v>1367</v>
      </c>
      <c r="B1205" s="27" t="str">
        <f t="shared" si="36"/>
        <v/>
      </c>
      <c r="C1205" s="27" t="str">
        <f t="shared" si="37"/>
        <v/>
      </c>
    </row>
    <row r="1206" spans="1:3" x14ac:dyDescent="0.25">
      <c r="A1206" s="27" t="s">
        <v>1367</v>
      </c>
      <c r="B1206" s="27" t="str">
        <f t="shared" si="36"/>
        <v/>
      </c>
      <c r="C1206" s="27" t="str">
        <f t="shared" si="37"/>
        <v/>
      </c>
    </row>
    <row r="1207" spans="1:3" x14ac:dyDescent="0.25">
      <c r="A1207" s="27" t="s">
        <v>1367</v>
      </c>
      <c r="B1207" s="27" t="str">
        <f t="shared" si="36"/>
        <v/>
      </c>
      <c r="C1207" s="27" t="str">
        <f t="shared" si="37"/>
        <v/>
      </c>
    </row>
    <row r="1208" spans="1:3" x14ac:dyDescent="0.25">
      <c r="A1208" s="27" t="s">
        <v>1367</v>
      </c>
      <c r="B1208" s="27" t="str">
        <f t="shared" si="36"/>
        <v/>
      </c>
      <c r="C1208" s="27" t="str">
        <f t="shared" si="37"/>
        <v/>
      </c>
    </row>
    <row r="1209" spans="1:3" x14ac:dyDescent="0.25">
      <c r="A1209" s="27" t="s">
        <v>1367</v>
      </c>
      <c r="B1209" s="27" t="str">
        <f t="shared" si="36"/>
        <v/>
      </c>
      <c r="C1209" s="27" t="str">
        <f t="shared" si="37"/>
        <v/>
      </c>
    </row>
    <row r="1210" spans="1:3" x14ac:dyDescent="0.25">
      <c r="A1210" s="27" t="s">
        <v>1367</v>
      </c>
      <c r="B1210" s="27" t="str">
        <f t="shared" si="36"/>
        <v/>
      </c>
      <c r="C1210" s="27" t="str">
        <f t="shared" si="37"/>
        <v/>
      </c>
    </row>
    <row r="1211" spans="1:3" x14ac:dyDescent="0.25">
      <c r="A1211" s="27" t="s">
        <v>1367</v>
      </c>
      <c r="B1211" s="27" t="str">
        <f t="shared" si="36"/>
        <v/>
      </c>
      <c r="C1211" s="27" t="str">
        <f t="shared" si="37"/>
        <v/>
      </c>
    </row>
    <row r="1212" spans="1:3" x14ac:dyDescent="0.25">
      <c r="A1212" s="27" t="s">
        <v>1367</v>
      </c>
      <c r="B1212" s="27" t="str">
        <f t="shared" si="36"/>
        <v/>
      </c>
      <c r="C1212" s="27" t="str">
        <f t="shared" si="37"/>
        <v/>
      </c>
    </row>
    <row r="1213" spans="1:3" x14ac:dyDescent="0.25">
      <c r="A1213" s="27" t="s">
        <v>1367</v>
      </c>
      <c r="B1213" s="27" t="str">
        <f t="shared" si="36"/>
        <v/>
      </c>
      <c r="C1213" s="27" t="str">
        <f t="shared" si="37"/>
        <v/>
      </c>
    </row>
    <row r="1214" spans="1:3" x14ac:dyDescent="0.25">
      <c r="A1214" s="27" t="s">
        <v>1367</v>
      </c>
      <c r="B1214" s="27" t="str">
        <f t="shared" si="36"/>
        <v/>
      </c>
      <c r="C1214" s="27" t="str">
        <f t="shared" si="37"/>
        <v/>
      </c>
    </row>
    <row r="1215" spans="1:3" x14ac:dyDescent="0.25">
      <c r="A1215" s="27" t="s">
        <v>1367</v>
      </c>
      <c r="B1215" s="27" t="str">
        <f t="shared" si="36"/>
        <v/>
      </c>
      <c r="C1215" s="27" t="str">
        <f t="shared" si="37"/>
        <v/>
      </c>
    </row>
    <row r="1216" spans="1:3" x14ac:dyDescent="0.25">
      <c r="A1216" s="27" t="s">
        <v>1367</v>
      </c>
      <c r="B1216" s="27" t="str">
        <f t="shared" si="36"/>
        <v/>
      </c>
      <c r="C1216" s="27" t="str">
        <f t="shared" si="37"/>
        <v/>
      </c>
    </row>
    <row r="1217" spans="1:3" x14ac:dyDescent="0.25">
      <c r="A1217" s="27" t="s">
        <v>1367</v>
      </c>
      <c r="B1217" s="27" t="str">
        <f t="shared" si="36"/>
        <v/>
      </c>
      <c r="C1217" s="27" t="str">
        <f t="shared" si="37"/>
        <v/>
      </c>
    </row>
    <row r="1218" spans="1:3" x14ac:dyDescent="0.25">
      <c r="A1218" s="27" t="s">
        <v>1367</v>
      </c>
      <c r="B1218" s="27" t="str">
        <f t="shared" si="36"/>
        <v/>
      </c>
      <c r="C1218" s="27" t="str">
        <f t="shared" si="37"/>
        <v/>
      </c>
    </row>
    <row r="1219" spans="1:3" x14ac:dyDescent="0.25">
      <c r="A1219" s="27" t="s">
        <v>1367</v>
      </c>
      <c r="B1219" s="27" t="str">
        <f t="shared" ref="B1219:B1282" si="38">LEFT(A1219,FIND(";",A1219)-1)</f>
        <v/>
      </c>
      <c r="C1219" s="27" t="str">
        <f t="shared" ref="C1219:C1282" si="39">MID(A1219,FIND(";",A1219)+1,100)</f>
        <v/>
      </c>
    </row>
    <row r="1220" spans="1:3" x14ac:dyDescent="0.25">
      <c r="A1220" s="27" t="s">
        <v>1367</v>
      </c>
      <c r="B1220" s="27" t="str">
        <f t="shared" si="38"/>
        <v/>
      </c>
      <c r="C1220" s="27" t="str">
        <f t="shared" si="39"/>
        <v/>
      </c>
    </row>
    <row r="1221" spans="1:3" x14ac:dyDescent="0.25">
      <c r="A1221" s="27" t="s">
        <v>1367</v>
      </c>
      <c r="B1221" s="27" t="str">
        <f t="shared" si="38"/>
        <v/>
      </c>
      <c r="C1221" s="27" t="str">
        <f t="shared" si="39"/>
        <v/>
      </c>
    </row>
    <row r="1222" spans="1:3" x14ac:dyDescent="0.25">
      <c r="A1222" s="27" t="s">
        <v>1367</v>
      </c>
      <c r="B1222" s="27" t="str">
        <f t="shared" si="38"/>
        <v/>
      </c>
      <c r="C1222" s="27" t="str">
        <f t="shared" si="39"/>
        <v/>
      </c>
    </row>
    <row r="1223" spans="1:3" x14ac:dyDescent="0.25">
      <c r="A1223" s="27" t="s">
        <v>1367</v>
      </c>
      <c r="B1223" s="27" t="str">
        <f t="shared" si="38"/>
        <v/>
      </c>
      <c r="C1223" s="27" t="str">
        <f t="shared" si="39"/>
        <v/>
      </c>
    </row>
    <row r="1224" spans="1:3" x14ac:dyDescent="0.25">
      <c r="A1224" s="27" t="s">
        <v>1367</v>
      </c>
      <c r="B1224" s="27" t="str">
        <f t="shared" si="38"/>
        <v/>
      </c>
      <c r="C1224" s="27" t="str">
        <f t="shared" si="39"/>
        <v/>
      </c>
    </row>
    <row r="1225" spans="1:3" x14ac:dyDescent="0.25">
      <c r="A1225" s="27" t="s">
        <v>1367</v>
      </c>
      <c r="B1225" s="27" t="str">
        <f t="shared" si="38"/>
        <v/>
      </c>
      <c r="C1225" s="27" t="str">
        <f t="shared" si="39"/>
        <v/>
      </c>
    </row>
    <row r="1226" spans="1:3" x14ac:dyDescent="0.25">
      <c r="A1226" s="27" t="s">
        <v>1367</v>
      </c>
      <c r="B1226" s="27" t="str">
        <f t="shared" si="38"/>
        <v/>
      </c>
      <c r="C1226" s="27" t="str">
        <f t="shared" si="39"/>
        <v/>
      </c>
    </row>
    <row r="1227" spans="1:3" x14ac:dyDescent="0.25">
      <c r="A1227" s="27" t="s">
        <v>1367</v>
      </c>
      <c r="B1227" s="27" t="str">
        <f t="shared" si="38"/>
        <v/>
      </c>
      <c r="C1227" s="27" t="str">
        <f t="shared" si="39"/>
        <v/>
      </c>
    </row>
    <row r="1228" spans="1:3" x14ac:dyDescent="0.25">
      <c r="A1228" s="27" t="s">
        <v>1367</v>
      </c>
      <c r="B1228" s="27" t="str">
        <f t="shared" si="38"/>
        <v/>
      </c>
      <c r="C1228" s="27" t="str">
        <f t="shared" si="39"/>
        <v/>
      </c>
    </row>
    <row r="1229" spans="1:3" x14ac:dyDescent="0.25">
      <c r="A1229" s="27" t="s">
        <v>1367</v>
      </c>
      <c r="B1229" s="27" t="str">
        <f t="shared" si="38"/>
        <v/>
      </c>
      <c r="C1229" s="27" t="str">
        <f t="shared" si="39"/>
        <v/>
      </c>
    </row>
    <row r="1230" spans="1:3" x14ac:dyDescent="0.25">
      <c r="A1230" s="27" t="s">
        <v>1367</v>
      </c>
      <c r="B1230" s="27" t="str">
        <f t="shared" si="38"/>
        <v/>
      </c>
      <c r="C1230" s="27" t="str">
        <f t="shared" si="39"/>
        <v/>
      </c>
    </row>
    <row r="1231" spans="1:3" x14ac:dyDescent="0.25">
      <c r="A1231" s="27" t="s">
        <v>1367</v>
      </c>
      <c r="B1231" s="27" t="str">
        <f t="shared" si="38"/>
        <v/>
      </c>
      <c r="C1231" s="27" t="str">
        <f t="shared" si="39"/>
        <v/>
      </c>
    </row>
    <row r="1232" spans="1:3" x14ac:dyDescent="0.25">
      <c r="A1232" s="27" t="s">
        <v>1367</v>
      </c>
      <c r="B1232" s="27" t="str">
        <f t="shared" si="38"/>
        <v/>
      </c>
      <c r="C1232" s="27" t="str">
        <f t="shared" si="39"/>
        <v/>
      </c>
    </row>
    <row r="1233" spans="1:3" x14ac:dyDescent="0.25">
      <c r="A1233" s="27" t="s">
        <v>1367</v>
      </c>
      <c r="B1233" s="27" t="str">
        <f t="shared" si="38"/>
        <v/>
      </c>
      <c r="C1233" s="27" t="str">
        <f t="shared" si="39"/>
        <v/>
      </c>
    </row>
    <row r="1234" spans="1:3" x14ac:dyDescent="0.25">
      <c r="A1234" s="27" t="s">
        <v>1367</v>
      </c>
      <c r="B1234" s="27" t="str">
        <f t="shared" si="38"/>
        <v/>
      </c>
      <c r="C1234" s="27" t="str">
        <f t="shared" si="39"/>
        <v/>
      </c>
    </row>
    <row r="1235" spans="1:3" x14ac:dyDescent="0.25">
      <c r="A1235" s="27" t="s">
        <v>1367</v>
      </c>
      <c r="B1235" s="27" t="str">
        <f t="shared" si="38"/>
        <v/>
      </c>
      <c r="C1235" s="27" t="str">
        <f t="shared" si="39"/>
        <v/>
      </c>
    </row>
    <row r="1236" spans="1:3" x14ac:dyDescent="0.25">
      <c r="A1236" s="27" t="s">
        <v>1367</v>
      </c>
      <c r="B1236" s="27" t="str">
        <f t="shared" si="38"/>
        <v/>
      </c>
      <c r="C1236" s="27" t="str">
        <f t="shared" si="39"/>
        <v/>
      </c>
    </row>
    <row r="1237" spans="1:3" x14ac:dyDescent="0.25">
      <c r="A1237" s="27" t="s">
        <v>1367</v>
      </c>
      <c r="B1237" s="27" t="str">
        <f t="shared" si="38"/>
        <v/>
      </c>
      <c r="C1237" s="27" t="str">
        <f t="shared" si="39"/>
        <v/>
      </c>
    </row>
    <row r="1238" spans="1:3" x14ac:dyDescent="0.25">
      <c r="A1238" s="27" t="s">
        <v>1367</v>
      </c>
      <c r="B1238" s="27" t="str">
        <f t="shared" si="38"/>
        <v/>
      </c>
      <c r="C1238" s="27" t="str">
        <f t="shared" si="39"/>
        <v/>
      </c>
    </row>
    <row r="1239" spans="1:3" x14ac:dyDescent="0.25">
      <c r="A1239" s="27" t="s">
        <v>1367</v>
      </c>
      <c r="B1239" s="27" t="str">
        <f t="shared" si="38"/>
        <v/>
      </c>
      <c r="C1239" s="27" t="str">
        <f t="shared" si="39"/>
        <v/>
      </c>
    </row>
    <row r="1240" spans="1:3" x14ac:dyDescent="0.25">
      <c r="A1240" s="27" t="s">
        <v>1367</v>
      </c>
      <c r="B1240" s="27" t="str">
        <f t="shared" si="38"/>
        <v/>
      </c>
      <c r="C1240" s="27" t="str">
        <f t="shared" si="39"/>
        <v/>
      </c>
    </row>
    <row r="1241" spans="1:3" x14ac:dyDescent="0.25">
      <c r="A1241" s="27" t="s">
        <v>1367</v>
      </c>
      <c r="B1241" s="27" t="str">
        <f t="shared" si="38"/>
        <v/>
      </c>
      <c r="C1241" s="27" t="str">
        <f t="shared" si="39"/>
        <v/>
      </c>
    </row>
    <row r="1242" spans="1:3" x14ac:dyDescent="0.25">
      <c r="A1242" s="27" t="s">
        <v>1367</v>
      </c>
      <c r="B1242" s="27" t="str">
        <f t="shared" si="38"/>
        <v/>
      </c>
      <c r="C1242" s="27" t="str">
        <f t="shared" si="39"/>
        <v/>
      </c>
    </row>
    <row r="1243" spans="1:3" x14ac:dyDescent="0.25">
      <c r="A1243" s="27" t="s">
        <v>1367</v>
      </c>
      <c r="B1243" s="27" t="str">
        <f t="shared" si="38"/>
        <v/>
      </c>
      <c r="C1243" s="27" t="str">
        <f t="shared" si="39"/>
        <v/>
      </c>
    </row>
    <row r="1244" spans="1:3" x14ac:dyDescent="0.25">
      <c r="A1244" s="27" t="s">
        <v>1367</v>
      </c>
      <c r="B1244" s="27" t="str">
        <f t="shared" si="38"/>
        <v/>
      </c>
      <c r="C1244" s="27" t="str">
        <f t="shared" si="39"/>
        <v/>
      </c>
    </row>
    <row r="1245" spans="1:3" x14ac:dyDescent="0.25">
      <c r="A1245" s="27" t="s">
        <v>1367</v>
      </c>
      <c r="B1245" s="27" t="str">
        <f t="shared" si="38"/>
        <v/>
      </c>
      <c r="C1245" s="27" t="str">
        <f t="shared" si="39"/>
        <v/>
      </c>
    </row>
    <row r="1246" spans="1:3" x14ac:dyDescent="0.25">
      <c r="A1246" s="27" t="s">
        <v>1367</v>
      </c>
      <c r="B1246" s="27" t="str">
        <f t="shared" si="38"/>
        <v/>
      </c>
      <c r="C1246" s="27" t="str">
        <f t="shared" si="39"/>
        <v/>
      </c>
    </row>
    <row r="1247" spans="1:3" x14ac:dyDescent="0.25">
      <c r="A1247" s="27" t="s">
        <v>1367</v>
      </c>
      <c r="B1247" s="27" t="str">
        <f t="shared" si="38"/>
        <v/>
      </c>
      <c r="C1247" s="27" t="str">
        <f t="shared" si="39"/>
        <v/>
      </c>
    </row>
    <row r="1248" spans="1:3" x14ac:dyDescent="0.25">
      <c r="A1248" s="27" t="s">
        <v>1367</v>
      </c>
      <c r="B1248" s="27" t="str">
        <f t="shared" si="38"/>
        <v/>
      </c>
      <c r="C1248" s="27" t="str">
        <f t="shared" si="39"/>
        <v/>
      </c>
    </row>
    <row r="1249" spans="1:3" x14ac:dyDescent="0.25">
      <c r="A1249" s="27" t="s">
        <v>1367</v>
      </c>
      <c r="B1249" s="27" t="str">
        <f t="shared" si="38"/>
        <v/>
      </c>
      <c r="C1249" s="27" t="str">
        <f t="shared" si="39"/>
        <v/>
      </c>
    </row>
    <row r="1250" spans="1:3" x14ac:dyDescent="0.25">
      <c r="A1250" s="27" t="s">
        <v>1367</v>
      </c>
      <c r="B1250" s="27" t="str">
        <f t="shared" si="38"/>
        <v/>
      </c>
      <c r="C1250" s="27" t="str">
        <f t="shared" si="39"/>
        <v/>
      </c>
    </row>
    <row r="1251" spans="1:3" x14ac:dyDescent="0.25">
      <c r="A1251" s="27" t="s">
        <v>1367</v>
      </c>
      <c r="B1251" s="27" t="str">
        <f t="shared" si="38"/>
        <v/>
      </c>
      <c r="C1251" s="27" t="str">
        <f t="shared" si="39"/>
        <v/>
      </c>
    </row>
    <row r="1252" spans="1:3" x14ac:dyDescent="0.25">
      <c r="A1252" s="27" t="s">
        <v>1367</v>
      </c>
      <c r="B1252" s="27" t="str">
        <f t="shared" si="38"/>
        <v/>
      </c>
      <c r="C1252" s="27" t="str">
        <f t="shared" si="39"/>
        <v/>
      </c>
    </row>
    <row r="1253" spans="1:3" x14ac:dyDescent="0.25">
      <c r="A1253" s="27" t="s">
        <v>1367</v>
      </c>
      <c r="B1253" s="27" t="str">
        <f t="shared" si="38"/>
        <v/>
      </c>
      <c r="C1253" s="27" t="str">
        <f t="shared" si="39"/>
        <v/>
      </c>
    </row>
    <row r="1254" spans="1:3" x14ac:dyDescent="0.25">
      <c r="A1254" s="27" t="s">
        <v>1367</v>
      </c>
      <c r="B1254" s="27" t="str">
        <f t="shared" si="38"/>
        <v/>
      </c>
      <c r="C1254" s="27" t="str">
        <f t="shared" si="39"/>
        <v/>
      </c>
    </row>
    <row r="1255" spans="1:3" x14ac:dyDescent="0.25">
      <c r="A1255" s="27" t="s">
        <v>1367</v>
      </c>
      <c r="B1255" s="27" t="str">
        <f t="shared" si="38"/>
        <v/>
      </c>
      <c r="C1255" s="27" t="str">
        <f t="shared" si="39"/>
        <v/>
      </c>
    </row>
    <row r="1256" spans="1:3" x14ac:dyDescent="0.25">
      <c r="A1256" s="27" t="s">
        <v>1367</v>
      </c>
      <c r="B1256" s="27" t="str">
        <f t="shared" si="38"/>
        <v/>
      </c>
      <c r="C1256" s="27" t="str">
        <f t="shared" si="39"/>
        <v/>
      </c>
    </row>
    <row r="1257" spans="1:3" x14ac:dyDescent="0.25">
      <c r="A1257" s="27" t="s">
        <v>1367</v>
      </c>
      <c r="B1257" s="27" t="str">
        <f t="shared" si="38"/>
        <v/>
      </c>
      <c r="C1257" s="27" t="str">
        <f t="shared" si="39"/>
        <v/>
      </c>
    </row>
    <row r="1258" spans="1:3" x14ac:dyDescent="0.25">
      <c r="A1258" s="27" t="s">
        <v>1367</v>
      </c>
      <c r="B1258" s="27" t="str">
        <f t="shared" si="38"/>
        <v/>
      </c>
      <c r="C1258" s="27" t="str">
        <f t="shared" si="39"/>
        <v/>
      </c>
    </row>
    <row r="1259" spans="1:3" x14ac:dyDescent="0.25">
      <c r="A1259" s="27" t="s">
        <v>1367</v>
      </c>
      <c r="B1259" s="27" t="str">
        <f t="shared" si="38"/>
        <v/>
      </c>
      <c r="C1259" s="27" t="str">
        <f t="shared" si="39"/>
        <v/>
      </c>
    </row>
    <row r="1260" spans="1:3" x14ac:dyDescent="0.25">
      <c r="A1260" s="27" t="s">
        <v>1367</v>
      </c>
      <c r="B1260" s="27" t="str">
        <f t="shared" si="38"/>
        <v/>
      </c>
      <c r="C1260" s="27" t="str">
        <f t="shared" si="39"/>
        <v/>
      </c>
    </row>
    <row r="1261" spans="1:3" x14ac:dyDescent="0.25">
      <c r="A1261" s="27" t="s">
        <v>1367</v>
      </c>
      <c r="B1261" s="27" t="str">
        <f t="shared" si="38"/>
        <v/>
      </c>
      <c r="C1261" s="27" t="str">
        <f t="shared" si="39"/>
        <v/>
      </c>
    </row>
    <row r="1262" spans="1:3" x14ac:dyDescent="0.25">
      <c r="A1262" s="27" t="s">
        <v>1367</v>
      </c>
      <c r="B1262" s="27" t="str">
        <f t="shared" si="38"/>
        <v/>
      </c>
      <c r="C1262" s="27" t="str">
        <f t="shared" si="39"/>
        <v/>
      </c>
    </row>
    <row r="1263" spans="1:3" x14ac:dyDescent="0.25">
      <c r="A1263" s="27" t="s">
        <v>1367</v>
      </c>
      <c r="B1263" s="27" t="str">
        <f t="shared" si="38"/>
        <v/>
      </c>
      <c r="C1263" s="27" t="str">
        <f t="shared" si="39"/>
        <v/>
      </c>
    </row>
    <row r="1264" spans="1:3" x14ac:dyDescent="0.25">
      <c r="A1264" s="27" t="s">
        <v>1367</v>
      </c>
      <c r="B1264" s="27" t="str">
        <f t="shared" si="38"/>
        <v/>
      </c>
      <c r="C1264" s="27" t="str">
        <f t="shared" si="39"/>
        <v/>
      </c>
    </row>
    <row r="1265" spans="1:3" x14ac:dyDescent="0.25">
      <c r="A1265" s="27" t="s">
        <v>1367</v>
      </c>
      <c r="B1265" s="27" t="str">
        <f t="shared" si="38"/>
        <v/>
      </c>
      <c r="C1265" s="27" t="str">
        <f t="shared" si="39"/>
        <v/>
      </c>
    </row>
    <row r="1266" spans="1:3" x14ac:dyDescent="0.25">
      <c r="A1266" s="27" t="s">
        <v>1367</v>
      </c>
      <c r="B1266" s="27" t="str">
        <f t="shared" si="38"/>
        <v/>
      </c>
      <c r="C1266" s="27" t="str">
        <f t="shared" si="39"/>
        <v/>
      </c>
    </row>
    <row r="1267" spans="1:3" x14ac:dyDescent="0.25">
      <c r="A1267" s="27" t="s">
        <v>1367</v>
      </c>
      <c r="B1267" s="27" t="str">
        <f t="shared" si="38"/>
        <v/>
      </c>
      <c r="C1267" s="27" t="str">
        <f t="shared" si="39"/>
        <v/>
      </c>
    </row>
    <row r="1268" spans="1:3" x14ac:dyDescent="0.25">
      <c r="A1268" s="27" t="s">
        <v>1367</v>
      </c>
      <c r="B1268" s="27" t="str">
        <f t="shared" si="38"/>
        <v/>
      </c>
      <c r="C1268" s="27" t="str">
        <f t="shared" si="39"/>
        <v/>
      </c>
    </row>
    <row r="1269" spans="1:3" x14ac:dyDescent="0.25">
      <c r="A1269" s="27" t="s">
        <v>1367</v>
      </c>
      <c r="B1269" s="27" t="str">
        <f t="shared" si="38"/>
        <v/>
      </c>
      <c r="C1269" s="27" t="str">
        <f t="shared" si="39"/>
        <v/>
      </c>
    </row>
    <row r="1270" spans="1:3" x14ac:dyDescent="0.25">
      <c r="A1270" s="27" t="s">
        <v>1367</v>
      </c>
      <c r="B1270" s="27" t="str">
        <f t="shared" si="38"/>
        <v/>
      </c>
      <c r="C1270" s="27" t="str">
        <f t="shared" si="39"/>
        <v/>
      </c>
    </row>
    <row r="1271" spans="1:3" x14ac:dyDescent="0.25">
      <c r="A1271" s="27" t="s">
        <v>1367</v>
      </c>
      <c r="B1271" s="27" t="str">
        <f t="shared" si="38"/>
        <v/>
      </c>
      <c r="C1271" s="27" t="str">
        <f t="shared" si="39"/>
        <v/>
      </c>
    </row>
    <row r="1272" spans="1:3" x14ac:dyDescent="0.25">
      <c r="A1272" s="27" t="s">
        <v>1367</v>
      </c>
      <c r="B1272" s="27" t="str">
        <f t="shared" si="38"/>
        <v/>
      </c>
      <c r="C1272" s="27" t="str">
        <f t="shared" si="39"/>
        <v/>
      </c>
    </row>
    <row r="1273" spans="1:3" x14ac:dyDescent="0.25">
      <c r="A1273" s="27" t="s">
        <v>1367</v>
      </c>
      <c r="B1273" s="27" t="str">
        <f t="shared" si="38"/>
        <v/>
      </c>
      <c r="C1273" s="27" t="str">
        <f t="shared" si="39"/>
        <v/>
      </c>
    </row>
    <row r="1274" spans="1:3" x14ac:dyDescent="0.25">
      <c r="A1274" s="27" t="s">
        <v>1367</v>
      </c>
      <c r="B1274" s="27" t="str">
        <f t="shared" si="38"/>
        <v/>
      </c>
      <c r="C1274" s="27" t="str">
        <f t="shared" si="39"/>
        <v/>
      </c>
    </row>
    <row r="1275" spans="1:3" x14ac:dyDescent="0.25">
      <c r="A1275" s="27" t="s">
        <v>1367</v>
      </c>
      <c r="B1275" s="27" t="str">
        <f t="shared" si="38"/>
        <v/>
      </c>
      <c r="C1275" s="27" t="str">
        <f t="shared" si="39"/>
        <v/>
      </c>
    </row>
    <row r="1276" spans="1:3" x14ac:dyDescent="0.25">
      <c r="A1276" s="27" t="s">
        <v>1367</v>
      </c>
      <c r="B1276" s="27" t="str">
        <f t="shared" si="38"/>
        <v/>
      </c>
      <c r="C1276" s="27" t="str">
        <f t="shared" si="39"/>
        <v/>
      </c>
    </row>
    <row r="1277" spans="1:3" x14ac:dyDescent="0.25">
      <c r="A1277" s="27" t="s">
        <v>1367</v>
      </c>
      <c r="B1277" s="27" t="str">
        <f t="shared" si="38"/>
        <v/>
      </c>
      <c r="C1277" s="27" t="str">
        <f t="shared" si="39"/>
        <v/>
      </c>
    </row>
    <row r="1278" spans="1:3" x14ac:dyDescent="0.25">
      <c r="A1278" s="27" t="s">
        <v>1367</v>
      </c>
      <c r="B1278" s="27" t="str">
        <f t="shared" si="38"/>
        <v/>
      </c>
      <c r="C1278" s="27" t="str">
        <f t="shared" si="39"/>
        <v/>
      </c>
    </row>
    <row r="1279" spans="1:3" x14ac:dyDescent="0.25">
      <c r="A1279" s="27" t="s">
        <v>1367</v>
      </c>
      <c r="B1279" s="27" t="str">
        <f t="shared" si="38"/>
        <v/>
      </c>
      <c r="C1279" s="27" t="str">
        <f t="shared" si="39"/>
        <v/>
      </c>
    </row>
    <row r="1280" spans="1:3" x14ac:dyDescent="0.25">
      <c r="A1280" s="27" t="s">
        <v>1367</v>
      </c>
      <c r="B1280" s="27" t="str">
        <f t="shared" si="38"/>
        <v/>
      </c>
      <c r="C1280" s="27" t="str">
        <f t="shared" si="39"/>
        <v/>
      </c>
    </row>
    <row r="1281" spans="1:3" x14ac:dyDescent="0.25">
      <c r="A1281" s="27" t="s">
        <v>1367</v>
      </c>
      <c r="B1281" s="27" t="str">
        <f t="shared" si="38"/>
        <v/>
      </c>
      <c r="C1281" s="27" t="str">
        <f t="shared" si="39"/>
        <v/>
      </c>
    </row>
    <row r="1282" spans="1:3" x14ac:dyDescent="0.25">
      <c r="A1282" s="27" t="s">
        <v>1367</v>
      </c>
      <c r="B1282" s="27" t="str">
        <f t="shared" si="38"/>
        <v/>
      </c>
      <c r="C1282" s="27" t="str">
        <f t="shared" si="39"/>
        <v/>
      </c>
    </row>
    <row r="1283" spans="1:3" x14ac:dyDescent="0.25">
      <c r="A1283" s="27" t="s">
        <v>1367</v>
      </c>
      <c r="B1283" s="27" t="str">
        <f t="shared" ref="B1283:B1346" si="40">LEFT(A1283,FIND(";",A1283)-1)</f>
        <v/>
      </c>
      <c r="C1283" s="27" t="str">
        <f t="shared" ref="C1283:C1346" si="41">MID(A1283,FIND(";",A1283)+1,100)</f>
        <v/>
      </c>
    </row>
    <row r="1284" spans="1:3" x14ac:dyDescent="0.25">
      <c r="A1284" s="27" t="s">
        <v>1367</v>
      </c>
      <c r="B1284" s="27" t="str">
        <f t="shared" si="40"/>
        <v/>
      </c>
      <c r="C1284" s="27" t="str">
        <f t="shared" si="41"/>
        <v/>
      </c>
    </row>
    <row r="1285" spans="1:3" x14ac:dyDescent="0.25">
      <c r="A1285" s="27" t="s">
        <v>1367</v>
      </c>
      <c r="B1285" s="27" t="str">
        <f t="shared" si="40"/>
        <v/>
      </c>
      <c r="C1285" s="27" t="str">
        <f t="shared" si="41"/>
        <v/>
      </c>
    </row>
    <row r="1286" spans="1:3" x14ac:dyDescent="0.25">
      <c r="A1286" s="27" t="s">
        <v>1367</v>
      </c>
      <c r="B1286" s="27" t="str">
        <f t="shared" si="40"/>
        <v/>
      </c>
      <c r="C1286" s="27" t="str">
        <f t="shared" si="41"/>
        <v/>
      </c>
    </row>
    <row r="1287" spans="1:3" x14ac:dyDescent="0.25">
      <c r="A1287" s="27" t="s">
        <v>1367</v>
      </c>
      <c r="B1287" s="27" t="str">
        <f t="shared" si="40"/>
        <v/>
      </c>
      <c r="C1287" s="27" t="str">
        <f t="shared" si="41"/>
        <v/>
      </c>
    </row>
    <row r="1288" spans="1:3" x14ac:dyDescent="0.25">
      <c r="A1288" s="27" t="s">
        <v>1367</v>
      </c>
      <c r="B1288" s="27" t="str">
        <f t="shared" si="40"/>
        <v/>
      </c>
      <c r="C1288" s="27" t="str">
        <f t="shared" si="41"/>
        <v/>
      </c>
    </row>
    <row r="1289" spans="1:3" x14ac:dyDescent="0.25">
      <c r="A1289" s="27" t="s">
        <v>1367</v>
      </c>
      <c r="B1289" s="27" t="str">
        <f t="shared" si="40"/>
        <v/>
      </c>
      <c r="C1289" s="27" t="str">
        <f t="shared" si="41"/>
        <v/>
      </c>
    </row>
    <row r="1290" spans="1:3" x14ac:dyDescent="0.25">
      <c r="A1290" s="27" t="s">
        <v>1367</v>
      </c>
      <c r="B1290" s="27" t="str">
        <f t="shared" si="40"/>
        <v/>
      </c>
      <c r="C1290" s="27" t="str">
        <f t="shared" si="41"/>
        <v/>
      </c>
    </row>
    <row r="1291" spans="1:3" x14ac:dyDescent="0.25">
      <c r="A1291" s="27" t="s">
        <v>1367</v>
      </c>
      <c r="B1291" s="27" t="str">
        <f t="shared" si="40"/>
        <v/>
      </c>
      <c r="C1291" s="27" t="str">
        <f t="shared" si="41"/>
        <v/>
      </c>
    </row>
    <row r="1292" spans="1:3" x14ac:dyDescent="0.25">
      <c r="A1292" s="27" t="s">
        <v>1367</v>
      </c>
      <c r="B1292" s="27" t="str">
        <f t="shared" si="40"/>
        <v/>
      </c>
      <c r="C1292" s="27" t="str">
        <f t="shared" si="41"/>
        <v/>
      </c>
    </row>
    <row r="1293" spans="1:3" x14ac:dyDescent="0.25">
      <c r="A1293" s="27" t="s">
        <v>1367</v>
      </c>
      <c r="B1293" s="27" t="str">
        <f t="shared" si="40"/>
        <v/>
      </c>
      <c r="C1293" s="27" t="str">
        <f t="shared" si="41"/>
        <v/>
      </c>
    </row>
    <row r="1294" spans="1:3" x14ac:dyDescent="0.25">
      <c r="A1294" s="27" t="s">
        <v>1367</v>
      </c>
      <c r="B1294" s="27" t="str">
        <f t="shared" si="40"/>
        <v/>
      </c>
      <c r="C1294" s="27" t="str">
        <f t="shared" si="41"/>
        <v/>
      </c>
    </row>
    <row r="1295" spans="1:3" x14ac:dyDescent="0.25">
      <c r="A1295" s="27" t="s">
        <v>1367</v>
      </c>
      <c r="B1295" s="27" t="str">
        <f t="shared" si="40"/>
        <v/>
      </c>
      <c r="C1295" s="27" t="str">
        <f t="shared" si="41"/>
        <v/>
      </c>
    </row>
    <row r="1296" spans="1:3" x14ac:dyDescent="0.25">
      <c r="A1296" s="27" t="s">
        <v>1367</v>
      </c>
      <c r="B1296" s="27" t="str">
        <f t="shared" si="40"/>
        <v/>
      </c>
      <c r="C1296" s="27" t="str">
        <f t="shared" si="41"/>
        <v/>
      </c>
    </row>
    <row r="1297" spans="1:3" x14ac:dyDescent="0.25">
      <c r="A1297" s="27" t="s">
        <v>1367</v>
      </c>
      <c r="B1297" s="27" t="str">
        <f t="shared" si="40"/>
        <v/>
      </c>
      <c r="C1297" s="27" t="str">
        <f t="shared" si="41"/>
        <v/>
      </c>
    </row>
    <row r="1298" spans="1:3" x14ac:dyDescent="0.25">
      <c r="A1298" s="27" t="s">
        <v>1367</v>
      </c>
      <c r="B1298" s="27" t="str">
        <f t="shared" si="40"/>
        <v/>
      </c>
      <c r="C1298" s="27" t="str">
        <f t="shared" si="41"/>
        <v/>
      </c>
    </row>
    <row r="1299" spans="1:3" x14ac:dyDescent="0.25">
      <c r="A1299" s="27" t="s">
        <v>1367</v>
      </c>
      <c r="B1299" s="27" t="str">
        <f t="shared" si="40"/>
        <v/>
      </c>
      <c r="C1299" s="27" t="str">
        <f t="shared" si="41"/>
        <v/>
      </c>
    </row>
    <row r="1300" spans="1:3" x14ac:dyDescent="0.25">
      <c r="A1300" s="27" t="s">
        <v>1367</v>
      </c>
      <c r="B1300" s="27" t="str">
        <f t="shared" si="40"/>
        <v/>
      </c>
      <c r="C1300" s="27" t="str">
        <f t="shared" si="41"/>
        <v/>
      </c>
    </row>
    <row r="1301" spans="1:3" x14ac:dyDescent="0.25">
      <c r="A1301" s="27" t="s">
        <v>1367</v>
      </c>
      <c r="B1301" s="27" t="str">
        <f t="shared" si="40"/>
        <v/>
      </c>
      <c r="C1301" s="27" t="str">
        <f t="shared" si="41"/>
        <v/>
      </c>
    </row>
    <row r="1302" spans="1:3" x14ac:dyDescent="0.25">
      <c r="A1302" s="27" t="s">
        <v>1367</v>
      </c>
      <c r="B1302" s="27" t="str">
        <f t="shared" si="40"/>
        <v/>
      </c>
      <c r="C1302" s="27" t="str">
        <f t="shared" si="41"/>
        <v/>
      </c>
    </row>
    <row r="1303" spans="1:3" x14ac:dyDescent="0.25">
      <c r="A1303" s="27" t="s">
        <v>1367</v>
      </c>
      <c r="B1303" s="27" t="str">
        <f t="shared" si="40"/>
        <v/>
      </c>
      <c r="C1303" s="27" t="str">
        <f t="shared" si="41"/>
        <v/>
      </c>
    </row>
    <row r="1304" spans="1:3" x14ac:dyDescent="0.25">
      <c r="A1304" s="27" t="s">
        <v>1367</v>
      </c>
      <c r="B1304" s="27" t="str">
        <f t="shared" si="40"/>
        <v/>
      </c>
      <c r="C1304" s="27" t="str">
        <f t="shared" si="41"/>
        <v/>
      </c>
    </row>
    <row r="1305" spans="1:3" x14ac:dyDescent="0.25">
      <c r="A1305" s="27" t="s">
        <v>1367</v>
      </c>
      <c r="B1305" s="27" t="str">
        <f t="shared" si="40"/>
        <v/>
      </c>
      <c r="C1305" s="27" t="str">
        <f t="shared" si="41"/>
        <v/>
      </c>
    </row>
    <row r="1306" spans="1:3" x14ac:dyDescent="0.25">
      <c r="A1306" s="27" t="s">
        <v>1367</v>
      </c>
      <c r="B1306" s="27" t="str">
        <f t="shared" si="40"/>
        <v/>
      </c>
      <c r="C1306" s="27" t="str">
        <f t="shared" si="41"/>
        <v/>
      </c>
    </row>
    <row r="1307" spans="1:3" x14ac:dyDescent="0.25">
      <c r="A1307" s="27" t="s">
        <v>1367</v>
      </c>
      <c r="B1307" s="27" t="str">
        <f t="shared" si="40"/>
        <v/>
      </c>
      <c r="C1307" s="27" t="str">
        <f t="shared" si="41"/>
        <v/>
      </c>
    </row>
    <row r="1308" spans="1:3" x14ac:dyDescent="0.25">
      <c r="A1308" s="27" t="s">
        <v>1367</v>
      </c>
      <c r="B1308" s="27" t="str">
        <f t="shared" si="40"/>
        <v/>
      </c>
      <c r="C1308" s="27" t="str">
        <f t="shared" si="41"/>
        <v/>
      </c>
    </row>
    <row r="1309" spans="1:3" x14ac:dyDescent="0.25">
      <c r="A1309" s="27" t="s">
        <v>1367</v>
      </c>
      <c r="B1309" s="27" t="str">
        <f t="shared" si="40"/>
        <v/>
      </c>
      <c r="C1309" s="27" t="str">
        <f t="shared" si="41"/>
        <v/>
      </c>
    </row>
    <row r="1310" spans="1:3" x14ac:dyDescent="0.25">
      <c r="A1310" s="27" t="s">
        <v>1367</v>
      </c>
      <c r="B1310" s="27" t="str">
        <f t="shared" si="40"/>
        <v/>
      </c>
      <c r="C1310" s="27" t="str">
        <f t="shared" si="41"/>
        <v/>
      </c>
    </row>
    <row r="1311" spans="1:3" x14ac:dyDescent="0.25">
      <c r="A1311" s="27" t="s">
        <v>1367</v>
      </c>
      <c r="B1311" s="27" t="str">
        <f t="shared" si="40"/>
        <v/>
      </c>
      <c r="C1311" s="27" t="str">
        <f t="shared" si="41"/>
        <v/>
      </c>
    </row>
    <row r="1312" spans="1:3" x14ac:dyDescent="0.25">
      <c r="A1312" s="27" t="s">
        <v>1367</v>
      </c>
      <c r="B1312" s="27" t="str">
        <f t="shared" si="40"/>
        <v/>
      </c>
      <c r="C1312" s="27" t="str">
        <f t="shared" si="41"/>
        <v/>
      </c>
    </row>
    <row r="1313" spans="1:3" x14ac:dyDescent="0.25">
      <c r="A1313" s="27" t="s">
        <v>1367</v>
      </c>
      <c r="B1313" s="27" t="str">
        <f t="shared" si="40"/>
        <v/>
      </c>
      <c r="C1313" s="27" t="str">
        <f t="shared" si="41"/>
        <v/>
      </c>
    </row>
    <row r="1314" spans="1:3" x14ac:dyDescent="0.25">
      <c r="A1314" s="27" t="s">
        <v>1367</v>
      </c>
      <c r="B1314" s="27" t="str">
        <f t="shared" si="40"/>
        <v/>
      </c>
      <c r="C1314" s="27" t="str">
        <f t="shared" si="41"/>
        <v/>
      </c>
    </row>
    <row r="1315" spans="1:3" x14ac:dyDescent="0.25">
      <c r="A1315" s="27" t="s">
        <v>1367</v>
      </c>
      <c r="B1315" s="27" t="str">
        <f t="shared" si="40"/>
        <v/>
      </c>
      <c r="C1315" s="27" t="str">
        <f t="shared" si="41"/>
        <v/>
      </c>
    </row>
    <row r="1316" spans="1:3" x14ac:dyDescent="0.25">
      <c r="A1316" s="27" t="s">
        <v>1367</v>
      </c>
      <c r="B1316" s="27" t="str">
        <f t="shared" si="40"/>
        <v/>
      </c>
      <c r="C1316" s="27" t="str">
        <f t="shared" si="41"/>
        <v/>
      </c>
    </row>
    <row r="1317" spans="1:3" x14ac:dyDescent="0.25">
      <c r="A1317" s="27" t="s">
        <v>1367</v>
      </c>
      <c r="B1317" s="27" t="str">
        <f t="shared" si="40"/>
        <v/>
      </c>
      <c r="C1317" s="27" t="str">
        <f t="shared" si="41"/>
        <v/>
      </c>
    </row>
    <row r="1318" spans="1:3" x14ac:dyDescent="0.25">
      <c r="A1318" s="27" t="s">
        <v>1367</v>
      </c>
      <c r="B1318" s="27" t="str">
        <f t="shared" si="40"/>
        <v/>
      </c>
      <c r="C1318" s="27" t="str">
        <f t="shared" si="41"/>
        <v/>
      </c>
    </row>
    <row r="1319" spans="1:3" x14ac:dyDescent="0.25">
      <c r="A1319" s="27" t="s">
        <v>1367</v>
      </c>
      <c r="B1319" s="27" t="str">
        <f t="shared" si="40"/>
        <v/>
      </c>
      <c r="C1319" s="27" t="str">
        <f t="shared" si="41"/>
        <v/>
      </c>
    </row>
    <row r="1320" spans="1:3" x14ac:dyDescent="0.25">
      <c r="A1320" s="27" t="s">
        <v>1367</v>
      </c>
      <c r="B1320" s="27" t="str">
        <f t="shared" si="40"/>
        <v/>
      </c>
      <c r="C1320" s="27" t="str">
        <f t="shared" si="41"/>
        <v/>
      </c>
    </row>
    <row r="1321" spans="1:3" x14ac:dyDescent="0.25">
      <c r="A1321" s="27" t="s">
        <v>1367</v>
      </c>
      <c r="B1321" s="27" t="str">
        <f t="shared" si="40"/>
        <v/>
      </c>
      <c r="C1321" s="27" t="str">
        <f t="shared" si="41"/>
        <v/>
      </c>
    </row>
    <row r="1322" spans="1:3" x14ac:dyDescent="0.25">
      <c r="A1322" s="27" t="s">
        <v>1367</v>
      </c>
      <c r="B1322" s="27" t="str">
        <f t="shared" si="40"/>
        <v/>
      </c>
      <c r="C1322" s="27" t="str">
        <f t="shared" si="41"/>
        <v/>
      </c>
    </row>
    <row r="1323" spans="1:3" x14ac:dyDescent="0.25">
      <c r="A1323" s="27" t="s">
        <v>1367</v>
      </c>
      <c r="B1323" s="27" t="str">
        <f t="shared" si="40"/>
        <v/>
      </c>
      <c r="C1323" s="27" t="str">
        <f t="shared" si="41"/>
        <v/>
      </c>
    </row>
    <row r="1324" spans="1:3" x14ac:dyDescent="0.25">
      <c r="A1324" s="27" t="s">
        <v>1367</v>
      </c>
      <c r="B1324" s="27" t="str">
        <f t="shared" si="40"/>
        <v/>
      </c>
      <c r="C1324" s="27" t="str">
        <f t="shared" si="41"/>
        <v/>
      </c>
    </row>
    <row r="1325" spans="1:3" x14ac:dyDescent="0.25">
      <c r="A1325" s="27" t="s">
        <v>1367</v>
      </c>
      <c r="B1325" s="27" t="str">
        <f t="shared" si="40"/>
        <v/>
      </c>
      <c r="C1325" s="27" t="str">
        <f t="shared" si="41"/>
        <v/>
      </c>
    </row>
    <row r="1326" spans="1:3" x14ac:dyDescent="0.25">
      <c r="A1326" s="27" t="s">
        <v>1367</v>
      </c>
      <c r="B1326" s="27" t="str">
        <f t="shared" si="40"/>
        <v/>
      </c>
      <c r="C1326" s="27" t="str">
        <f t="shared" si="41"/>
        <v/>
      </c>
    </row>
    <row r="1327" spans="1:3" x14ac:dyDescent="0.25">
      <c r="A1327" s="27" t="s">
        <v>1367</v>
      </c>
      <c r="B1327" s="27" t="str">
        <f t="shared" si="40"/>
        <v/>
      </c>
      <c r="C1327" s="27" t="str">
        <f t="shared" si="41"/>
        <v/>
      </c>
    </row>
    <row r="1328" spans="1:3" x14ac:dyDescent="0.25">
      <c r="A1328" s="27" t="s">
        <v>1367</v>
      </c>
      <c r="B1328" s="27" t="str">
        <f t="shared" si="40"/>
        <v/>
      </c>
      <c r="C1328" s="27" t="str">
        <f t="shared" si="41"/>
        <v/>
      </c>
    </row>
    <row r="1329" spans="1:3" x14ac:dyDescent="0.25">
      <c r="A1329" s="27" t="s">
        <v>1367</v>
      </c>
      <c r="B1329" s="27" t="str">
        <f t="shared" si="40"/>
        <v/>
      </c>
      <c r="C1329" s="27" t="str">
        <f t="shared" si="41"/>
        <v/>
      </c>
    </row>
    <row r="1330" spans="1:3" x14ac:dyDescent="0.25">
      <c r="A1330" s="27" t="s">
        <v>1367</v>
      </c>
      <c r="B1330" s="27" t="str">
        <f t="shared" si="40"/>
        <v/>
      </c>
      <c r="C1330" s="27" t="str">
        <f t="shared" si="41"/>
        <v/>
      </c>
    </row>
    <row r="1331" spans="1:3" x14ac:dyDescent="0.25">
      <c r="A1331" s="27" t="s">
        <v>1367</v>
      </c>
      <c r="B1331" s="27" t="str">
        <f t="shared" si="40"/>
        <v/>
      </c>
      <c r="C1331" s="27" t="str">
        <f t="shared" si="41"/>
        <v/>
      </c>
    </row>
    <row r="1332" spans="1:3" x14ac:dyDescent="0.25">
      <c r="A1332" s="27" t="s">
        <v>1367</v>
      </c>
      <c r="B1332" s="27" t="str">
        <f t="shared" si="40"/>
        <v/>
      </c>
      <c r="C1332" s="27" t="str">
        <f t="shared" si="41"/>
        <v/>
      </c>
    </row>
    <row r="1333" spans="1:3" x14ac:dyDescent="0.25">
      <c r="A1333" s="27" t="s">
        <v>1367</v>
      </c>
      <c r="B1333" s="27" t="str">
        <f t="shared" si="40"/>
        <v/>
      </c>
      <c r="C1333" s="27" t="str">
        <f t="shared" si="41"/>
        <v/>
      </c>
    </row>
    <row r="1334" spans="1:3" x14ac:dyDescent="0.25">
      <c r="A1334" s="27" t="s">
        <v>1367</v>
      </c>
      <c r="B1334" s="27" t="str">
        <f t="shared" si="40"/>
        <v/>
      </c>
      <c r="C1334" s="27" t="str">
        <f t="shared" si="41"/>
        <v/>
      </c>
    </row>
    <row r="1335" spans="1:3" x14ac:dyDescent="0.25">
      <c r="A1335" s="27" t="s">
        <v>1367</v>
      </c>
      <c r="B1335" s="27" t="str">
        <f t="shared" si="40"/>
        <v/>
      </c>
      <c r="C1335" s="27" t="str">
        <f t="shared" si="41"/>
        <v/>
      </c>
    </row>
    <row r="1336" spans="1:3" x14ac:dyDescent="0.25">
      <c r="A1336" s="27" t="s">
        <v>1367</v>
      </c>
      <c r="B1336" s="27" t="str">
        <f t="shared" si="40"/>
        <v/>
      </c>
      <c r="C1336" s="27" t="str">
        <f t="shared" si="41"/>
        <v/>
      </c>
    </row>
    <row r="1337" spans="1:3" x14ac:dyDescent="0.25">
      <c r="A1337" s="27" t="s">
        <v>1367</v>
      </c>
      <c r="B1337" s="27" t="str">
        <f t="shared" si="40"/>
        <v/>
      </c>
      <c r="C1337" s="27" t="str">
        <f t="shared" si="41"/>
        <v/>
      </c>
    </row>
    <row r="1338" spans="1:3" x14ac:dyDescent="0.25">
      <c r="A1338" s="27" t="s">
        <v>1367</v>
      </c>
      <c r="B1338" s="27" t="str">
        <f t="shared" si="40"/>
        <v/>
      </c>
      <c r="C1338" s="27" t="str">
        <f t="shared" si="41"/>
        <v/>
      </c>
    </row>
    <row r="1339" spans="1:3" x14ac:dyDescent="0.25">
      <c r="A1339" s="27" t="s">
        <v>1367</v>
      </c>
      <c r="B1339" s="27" t="str">
        <f t="shared" si="40"/>
        <v/>
      </c>
      <c r="C1339" s="27" t="str">
        <f t="shared" si="41"/>
        <v/>
      </c>
    </row>
    <row r="1340" spans="1:3" x14ac:dyDescent="0.25">
      <c r="A1340" s="27" t="s">
        <v>1367</v>
      </c>
      <c r="B1340" s="27" t="str">
        <f t="shared" si="40"/>
        <v/>
      </c>
      <c r="C1340" s="27" t="str">
        <f t="shared" si="41"/>
        <v/>
      </c>
    </row>
    <row r="1341" spans="1:3" x14ac:dyDescent="0.25">
      <c r="A1341" s="27" t="s">
        <v>1367</v>
      </c>
      <c r="B1341" s="27" t="str">
        <f t="shared" si="40"/>
        <v/>
      </c>
      <c r="C1341" s="27" t="str">
        <f t="shared" si="41"/>
        <v/>
      </c>
    </row>
    <row r="1342" spans="1:3" x14ac:dyDescent="0.25">
      <c r="A1342" s="27" t="s">
        <v>1367</v>
      </c>
      <c r="B1342" s="27" t="str">
        <f t="shared" si="40"/>
        <v/>
      </c>
      <c r="C1342" s="27" t="str">
        <f t="shared" si="41"/>
        <v/>
      </c>
    </row>
    <row r="1343" spans="1:3" x14ac:dyDescent="0.25">
      <c r="A1343" s="27" t="s">
        <v>1367</v>
      </c>
      <c r="B1343" s="27" t="str">
        <f t="shared" si="40"/>
        <v/>
      </c>
      <c r="C1343" s="27" t="str">
        <f t="shared" si="41"/>
        <v/>
      </c>
    </row>
    <row r="1344" spans="1:3" x14ac:dyDescent="0.25">
      <c r="A1344" s="27" t="s">
        <v>1367</v>
      </c>
      <c r="B1344" s="27" t="str">
        <f t="shared" si="40"/>
        <v/>
      </c>
      <c r="C1344" s="27" t="str">
        <f t="shared" si="41"/>
        <v/>
      </c>
    </row>
    <row r="1345" spans="1:3" x14ac:dyDescent="0.25">
      <c r="A1345" s="27" t="s">
        <v>1367</v>
      </c>
      <c r="B1345" s="27" t="str">
        <f t="shared" si="40"/>
        <v/>
      </c>
      <c r="C1345" s="27" t="str">
        <f t="shared" si="41"/>
        <v/>
      </c>
    </row>
    <row r="1346" spans="1:3" x14ac:dyDescent="0.25">
      <c r="A1346" s="27" t="s">
        <v>1367</v>
      </c>
      <c r="B1346" s="27" t="str">
        <f t="shared" si="40"/>
        <v/>
      </c>
      <c r="C1346" s="27" t="str">
        <f t="shared" si="41"/>
        <v/>
      </c>
    </row>
    <row r="1347" spans="1:3" x14ac:dyDescent="0.25">
      <c r="A1347" s="27" t="s">
        <v>1367</v>
      </c>
      <c r="B1347" s="27" t="str">
        <f t="shared" ref="B1347:B1410" si="42">LEFT(A1347,FIND(";",A1347)-1)</f>
        <v/>
      </c>
      <c r="C1347" s="27" t="str">
        <f t="shared" ref="C1347:C1410" si="43">MID(A1347,FIND(";",A1347)+1,100)</f>
        <v/>
      </c>
    </row>
    <row r="1348" spans="1:3" x14ac:dyDescent="0.25">
      <c r="A1348" s="27" t="s">
        <v>1367</v>
      </c>
      <c r="B1348" s="27" t="str">
        <f t="shared" si="42"/>
        <v/>
      </c>
      <c r="C1348" s="27" t="str">
        <f t="shared" si="43"/>
        <v/>
      </c>
    </row>
    <row r="1349" spans="1:3" x14ac:dyDescent="0.25">
      <c r="A1349" s="27" t="s">
        <v>1367</v>
      </c>
      <c r="B1349" s="27" t="str">
        <f t="shared" si="42"/>
        <v/>
      </c>
      <c r="C1349" s="27" t="str">
        <f t="shared" si="43"/>
        <v/>
      </c>
    </row>
    <row r="1350" spans="1:3" x14ac:dyDescent="0.25">
      <c r="A1350" s="27" t="s">
        <v>1367</v>
      </c>
      <c r="B1350" s="27" t="str">
        <f t="shared" si="42"/>
        <v/>
      </c>
      <c r="C1350" s="27" t="str">
        <f t="shared" si="43"/>
        <v/>
      </c>
    </row>
    <row r="1351" spans="1:3" x14ac:dyDescent="0.25">
      <c r="A1351" s="27" t="s">
        <v>1367</v>
      </c>
      <c r="B1351" s="27" t="str">
        <f t="shared" si="42"/>
        <v/>
      </c>
      <c r="C1351" s="27" t="str">
        <f t="shared" si="43"/>
        <v/>
      </c>
    </row>
    <row r="1352" spans="1:3" x14ac:dyDescent="0.25">
      <c r="A1352" s="27" t="s">
        <v>1367</v>
      </c>
      <c r="B1352" s="27" t="str">
        <f t="shared" si="42"/>
        <v/>
      </c>
      <c r="C1352" s="27" t="str">
        <f t="shared" si="43"/>
        <v/>
      </c>
    </row>
    <row r="1353" spans="1:3" x14ac:dyDescent="0.25">
      <c r="A1353" s="27" t="s">
        <v>1367</v>
      </c>
      <c r="B1353" s="27" t="str">
        <f t="shared" si="42"/>
        <v/>
      </c>
      <c r="C1353" s="27" t="str">
        <f t="shared" si="43"/>
        <v/>
      </c>
    </row>
    <row r="1354" spans="1:3" x14ac:dyDescent="0.25">
      <c r="A1354" s="27" t="s">
        <v>1367</v>
      </c>
      <c r="B1354" s="27" t="str">
        <f t="shared" si="42"/>
        <v/>
      </c>
      <c r="C1354" s="27" t="str">
        <f t="shared" si="43"/>
        <v/>
      </c>
    </row>
    <row r="1355" spans="1:3" x14ac:dyDescent="0.25">
      <c r="A1355" s="27" t="s">
        <v>1367</v>
      </c>
      <c r="B1355" s="27" t="str">
        <f t="shared" si="42"/>
        <v/>
      </c>
      <c r="C1355" s="27" t="str">
        <f t="shared" si="43"/>
        <v/>
      </c>
    </row>
    <row r="1356" spans="1:3" x14ac:dyDescent="0.25">
      <c r="A1356" s="27" t="s">
        <v>1367</v>
      </c>
      <c r="B1356" s="27" t="str">
        <f t="shared" si="42"/>
        <v/>
      </c>
      <c r="C1356" s="27" t="str">
        <f t="shared" si="43"/>
        <v/>
      </c>
    </row>
    <row r="1357" spans="1:3" x14ac:dyDescent="0.25">
      <c r="A1357" s="27" t="s">
        <v>1367</v>
      </c>
      <c r="B1357" s="27" t="str">
        <f t="shared" si="42"/>
        <v/>
      </c>
      <c r="C1357" s="27" t="str">
        <f t="shared" si="43"/>
        <v/>
      </c>
    </row>
    <row r="1358" spans="1:3" x14ac:dyDescent="0.25">
      <c r="A1358" s="27" t="s">
        <v>1367</v>
      </c>
      <c r="B1358" s="27" t="str">
        <f t="shared" si="42"/>
        <v/>
      </c>
      <c r="C1358" s="27" t="str">
        <f t="shared" si="43"/>
        <v/>
      </c>
    </row>
    <row r="1359" spans="1:3" x14ac:dyDescent="0.25">
      <c r="A1359" s="27" t="s">
        <v>1367</v>
      </c>
      <c r="B1359" s="27" t="str">
        <f t="shared" si="42"/>
        <v/>
      </c>
      <c r="C1359" s="27" t="str">
        <f t="shared" si="43"/>
        <v/>
      </c>
    </row>
    <row r="1360" spans="1:3" x14ac:dyDescent="0.25">
      <c r="A1360" s="27" t="s">
        <v>1367</v>
      </c>
      <c r="B1360" s="27" t="str">
        <f t="shared" si="42"/>
        <v/>
      </c>
      <c r="C1360" s="27" t="str">
        <f t="shared" si="43"/>
        <v/>
      </c>
    </row>
    <row r="1361" spans="1:3" x14ac:dyDescent="0.25">
      <c r="A1361" s="27" t="s">
        <v>1367</v>
      </c>
      <c r="B1361" s="27" t="str">
        <f t="shared" si="42"/>
        <v/>
      </c>
      <c r="C1361" s="27" t="str">
        <f t="shared" si="43"/>
        <v/>
      </c>
    </row>
    <row r="1362" spans="1:3" x14ac:dyDescent="0.25">
      <c r="A1362" s="27" t="s">
        <v>1367</v>
      </c>
      <c r="B1362" s="27" t="str">
        <f t="shared" si="42"/>
        <v/>
      </c>
      <c r="C1362" s="27" t="str">
        <f t="shared" si="43"/>
        <v/>
      </c>
    </row>
    <row r="1363" spans="1:3" x14ac:dyDescent="0.25">
      <c r="A1363" s="27" t="s">
        <v>1367</v>
      </c>
      <c r="B1363" s="27" t="str">
        <f t="shared" si="42"/>
        <v/>
      </c>
      <c r="C1363" s="27" t="str">
        <f t="shared" si="43"/>
        <v/>
      </c>
    </row>
    <row r="1364" spans="1:3" x14ac:dyDescent="0.25">
      <c r="A1364" s="27" t="s">
        <v>1367</v>
      </c>
      <c r="B1364" s="27" t="str">
        <f t="shared" si="42"/>
        <v/>
      </c>
      <c r="C1364" s="27" t="str">
        <f t="shared" si="43"/>
        <v/>
      </c>
    </row>
    <row r="1365" spans="1:3" x14ac:dyDescent="0.25">
      <c r="A1365" s="27" t="s">
        <v>1367</v>
      </c>
      <c r="B1365" s="27" t="str">
        <f t="shared" si="42"/>
        <v/>
      </c>
      <c r="C1365" s="27" t="str">
        <f t="shared" si="43"/>
        <v/>
      </c>
    </row>
    <row r="1366" spans="1:3" x14ac:dyDescent="0.25">
      <c r="A1366" s="27" t="s">
        <v>1367</v>
      </c>
      <c r="B1366" s="27" t="str">
        <f t="shared" si="42"/>
        <v/>
      </c>
      <c r="C1366" s="27" t="str">
        <f t="shared" si="43"/>
        <v/>
      </c>
    </row>
    <row r="1367" spans="1:3" x14ac:dyDescent="0.25">
      <c r="A1367" s="27" t="s">
        <v>1367</v>
      </c>
      <c r="B1367" s="27" t="str">
        <f t="shared" si="42"/>
        <v/>
      </c>
      <c r="C1367" s="27" t="str">
        <f t="shared" si="43"/>
        <v/>
      </c>
    </row>
    <row r="1368" spans="1:3" x14ac:dyDescent="0.25">
      <c r="A1368" s="27" t="s">
        <v>1367</v>
      </c>
      <c r="B1368" s="27" t="str">
        <f t="shared" si="42"/>
        <v/>
      </c>
      <c r="C1368" s="27" t="str">
        <f t="shared" si="43"/>
        <v/>
      </c>
    </row>
    <row r="1369" spans="1:3" x14ac:dyDescent="0.25">
      <c r="A1369" s="27" t="s">
        <v>1367</v>
      </c>
      <c r="B1369" s="27" t="str">
        <f t="shared" si="42"/>
        <v/>
      </c>
      <c r="C1369" s="27" t="str">
        <f t="shared" si="43"/>
        <v/>
      </c>
    </row>
    <row r="1370" spans="1:3" x14ac:dyDescent="0.25">
      <c r="A1370" s="27" t="s">
        <v>1367</v>
      </c>
      <c r="B1370" s="27" t="str">
        <f t="shared" si="42"/>
        <v/>
      </c>
      <c r="C1370" s="27" t="str">
        <f t="shared" si="43"/>
        <v/>
      </c>
    </row>
    <row r="1371" spans="1:3" x14ac:dyDescent="0.25">
      <c r="A1371" s="27" t="s">
        <v>1367</v>
      </c>
      <c r="B1371" s="27" t="str">
        <f t="shared" si="42"/>
        <v/>
      </c>
      <c r="C1371" s="27" t="str">
        <f t="shared" si="43"/>
        <v/>
      </c>
    </row>
    <row r="1372" spans="1:3" x14ac:dyDescent="0.25">
      <c r="A1372" s="27" t="s">
        <v>1367</v>
      </c>
      <c r="B1372" s="27" t="str">
        <f t="shared" si="42"/>
        <v/>
      </c>
      <c r="C1372" s="27" t="str">
        <f t="shared" si="43"/>
        <v/>
      </c>
    </row>
    <row r="1373" spans="1:3" x14ac:dyDescent="0.25">
      <c r="A1373" s="27" t="s">
        <v>1367</v>
      </c>
      <c r="B1373" s="27" t="str">
        <f t="shared" si="42"/>
        <v/>
      </c>
      <c r="C1373" s="27" t="str">
        <f t="shared" si="43"/>
        <v/>
      </c>
    </row>
    <row r="1374" spans="1:3" x14ac:dyDescent="0.25">
      <c r="A1374" s="27" t="s">
        <v>1367</v>
      </c>
      <c r="B1374" s="27" t="str">
        <f t="shared" si="42"/>
        <v/>
      </c>
      <c r="C1374" s="27" t="str">
        <f t="shared" si="43"/>
        <v/>
      </c>
    </row>
    <row r="1375" spans="1:3" x14ac:dyDescent="0.25">
      <c r="A1375" s="27" t="s">
        <v>1367</v>
      </c>
      <c r="B1375" s="27" t="str">
        <f t="shared" si="42"/>
        <v/>
      </c>
      <c r="C1375" s="27" t="str">
        <f t="shared" si="43"/>
        <v/>
      </c>
    </row>
    <row r="1376" spans="1:3" x14ac:dyDescent="0.25">
      <c r="A1376" s="27" t="s">
        <v>1367</v>
      </c>
      <c r="B1376" s="27" t="str">
        <f t="shared" si="42"/>
        <v/>
      </c>
      <c r="C1376" s="27" t="str">
        <f t="shared" si="43"/>
        <v/>
      </c>
    </row>
    <row r="1377" spans="1:3" x14ac:dyDescent="0.25">
      <c r="A1377" s="27" t="s">
        <v>1367</v>
      </c>
      <c r="B1377" s="27" t="str">
        <f t="shared" si="42"/>
        <v/>
      </c>
      <c r="C1377" s="27" t="str">
        <f t="shared" si="43"/>
        <v/>
      </c>
    </row>
    <row r="1378" spans="1:3" x14ac:dyDescent="0.25">
      <c r="A1378" s="27" t="s">
        <v>1367</v>
      </c>
      <c r="B1378" s="27" t="str">
        <f t="shared" si="42"/>
        <v/>
      </c>
      <c r="C1378" s="27" t="str">
        <f t="shared" si="43"/>
        <v/>
      </c>
    </row>
    <row r="1379" spans="1:3" x14ac:dyDescent="0.25">
      <c r="A1379" s="27" t="s">
        <v>1367</v>
      </c>
      <c r="B1379" s="27" t="str">
        <f t="shared" si="42"/>
        <v/>
      </c>
      <c r="C1379" s="27" t="str">
        <f t="shared" si="43"/>
        <v/>
      </c>
    </row>
    <row r="1380" spans="1:3" x14ac:dyDescent="0.25">
      <c r="A1380" s="27" t="s">
        <v>1367</v>
      </c>
      <c r="B1380" s="27" t="str">
        <f t="shared" si="42"/>
        <v/>
      </c>
      <c r="C1380" s="27" t="str">
        <f t="shared" si="43"/>
        <v/>
      </c>
    </row>
    <row r="1381" spans="1:3" x14ac:dyDescent="0.25">
      <c r="A1381" s="27" t="s">
        <v>1367</v>
      </c>
      <c r="B1381" s="27" t="str">
        <f t="shared" si="42"/>
        <v/>
      </c>
      <c r="C1381" s="27" t="str">
        <f t="shared" si="43"/>
        <v/>
      </c>
    </row>
    <row r="1382" spans="1:3" x14ac:dyDescent="0.25">
      <c r="A1382" s="27" t="s">
        <v>1367</v>
      </c>
      <c r="B1382" s="27" t="str">
        <f t="shared" si="42"/>
        <v/>
      </c>
      <c r="C1382" s="27" t="str">
        <f t="shared" si="43"/>
        <v/>
      </c>
    </row>
    <row r="1383" spans="1:3" x14ac:dyDescent="0.25">
      <c r="A1383" s="27" t="s">
        <v>1367</v>
      </c>
      <c r="B1383" s="27" t="str">
        <f t="shared" si="42"/>
        <v/>
      </c>
      <c r="C1383" s="27" t="str">
        <f t="shared" si="43"/>
        <v/>
      </c>
    </row>
    <row r="1384" spans="1:3" x14ac:dyDescent="0.25">
      <c r="A1384" s="27" t="s">
        <v>1367</v>
      </c>
      <c r="B1384" s="27" t="str">
        <f t="shared" si="42"/>
        <v/>
      </c>
      <c r="C1384" s="27" t="str">
        <f t="shared" si="43"/>
        <v/>
      </c>
    </row>
    <row r="1385" spans="1:3" x14ac:dyDescent="0.25">
      <c r="A1385" s="27" t="s">
        <v>1367</v>
      </c>
      <c r="B1385" s="27" t="str">
        <f t="shared" si="42"/>
        <v/>
      </c>
      <c r="C1385" s="27" t="str">
        <f t="shared" si="43"/>
        <v/>
      </c>
    </row>
    <row r="1386" spans="1:3" x14ac:dyDescent="0.25">
      <c r="A1386" s="27" t="s">
        <v>1367</v>
      </c>
      <c r="B1386" s="27" t="str">
        <f t="shared" si="42"/>
        <v/>
      </c>
      <c r="C1386" s="27" t="str">
        <f t="shared" si="43"/>
        <v/>
      </c>
    </row>
    <row r="1387" spans="1:3" x14ac:dyDescent="0.25">
      <c r="A1387" s="27" t="s">
        <v>1367</v>
      </c>
      <c r="B1387" s="27" t="str">
        <f t="shared" si="42"/>
        <v/>
      </c>
      <c r="C1387" s="27" t="str">
        <f t="shared" si="43"/>
        <v/>
      </c>
    </row>
    <row r="1388" spans="1:3" x14ac:dyDescent="0.25">
      <c r="A1388" s="27" t="s">
        <v>1367</v>
      </c>
      <c r="B1388" s="27" t="str">
        <f t="shared" si="42"/>
        <v/>
      </c>
      <c r="C1388" s="27" t="str">
        <f t="shared" si="43"/>
        <v/>
      </c>
    </row>
    <row r="1389" spans="1:3" x14ac:dyDescent="0.25">
      <c r="A1389" s="27" t="s">
        <v>1367</v>
      </c>
      <c r="B1389" s="27" t="str">
        <f t="shared" si="42"/>
        <v/>
      </c>
      <c r="C1389" s="27" t="str">
        <f t="shared" si="43"/>
        <v/>
      </c>
    </row>
    <row r="1390" spans="1:3" x14ac:dyDescent="0.25">
      <c r="A1390" s="27" t="s">
        <v>1367</v>
      </c>
      <c r="B1390" s="27" t="str">
        <f t="shared" si="42"/>
        <v/>
      </c>
      <c r="C1390" s="27" t="str">
        <f t="shared" si="43"/>
        <v/>
      </c>
    </row>
    <row r="1391" spans="1:3" x14ac:dyDescent="0.25">
      <c r="A1391" s="27" t="s">
        <v>1367</v>
      </c>
      <c r="B1391" s="27" t="str">
        <f t="shared" si="42"/>
        <v/>
      </c>
      <c r="C1391" s="27" t="str">
        <f t="shared" si="43"/>
        <v/>
      </c>
    </row>
    <row r="1392" spans="1:3" x14ac:dyDescent="0.25">
      <c r="A1392" s="27" t="s">
        <v>1367</v>
      </c>
      <c r="B1392" s="27" t="str">
        <f t="shared" si="42"/>
        <v/>
      </c>
      <c r="C1392" s="27" t="str">
        <f t="shared" si="43"/>
        <v/>
      </c>
    </row>
    <row r="1393" spans="1:3" x14ac:dyDescent="0.25">
      <c r="A1393" s="27" t="s">
        <v>1367</v>
      </c>
      <c r="B1393" s="27" t="str">
        <f t="shared" si="42"/>
        <v/>
      </c>
      <c r="C1393" s="27" t="str">
        <f t="shared" si="43"/>
        <v/>
      </c>
    </row>
    <row r="1394" spans="1:3" x14ac:dyDescent="0.25">
      <c r="A1394" s="27" t="s">
        <v>1367</v>
      </c>
      <c r="B1394" s="27" t="str">
        <f t="shared" si="42"/>
        <v/>
      </c>
      <c r="C1394" s="27" t="str">
        <f t="shared" si="43"/>
        <v/>
      </c>
    </row>
    <row r="1395" spans="1:3" x14ac:dyDescent="0.25">
      <c r="A1395" s="27" t="s">
        <v>1367</v>
      </c>
      <c r="B1395" s="27" t="str">
        <f t="shared" si="42"/>
        <v/>
      </c>
      <c r="C1395" s="27" t="str">
        <f t="shared" si="43"/>
        <v/>
      </c>
    </row>
    <row r="1396" spans="1:3" x14ac:dyDescent="0.25">
      <c r="A1396" s="27" t="s">
        <v>1367</v>
      </c>
      <c r="B1396" s="27" t="str">
        <f t="shared" si="42"/>
        <v/>
      </c>
      <c r="C1396" s="27" t="str">
        <f t="shared" si="43"/>
        <v/>
      </c>
    </row>
    <row r="1397" spans="1:3" x14ac:dyDescent="0.25">
      <c r="A1397" s="27" t="s">
        <v>1367</v>
      </c>
      <c r="B1397" s="27" t="str">
        <f t="shared" si="42"/>
        <v/>
      </c>
      <c r="C1397" s="27" t="str">
        <f t="shared" si="43"/>
        <v/>
      </c>
    </row>
    <row r="1398" spans="1:3" x14ac:dyDescent="0.25">
      <c r="A1398" s="27" t="s">
        <v>1367</v>
      </c>
      <c r="B1398" s="27" t="str">
        <f t="shared" si="42"/>
        <v/>
      </c>
      <c r="C1398" s="27" t="str">
        <f t="shared" si="43"/>
        <v/>
      </c>
    </row>
    <row r="1399" spans="1:3" x14ac:dyDescent="0.25">
      <c r="A1399" s="27" t="s">
        <v>1367</v>
      </c>
      <c r="B1399" s="27" t="str">
        <f t="shared" si="42"/>
        <v/>
      </c>
      <c r="C1399" s="27" t="str">
        <f t="shared" si="43"/>
        <v/>
      </c>
    </row>
    <row r="1400" spans="1:3" x14ac:dyDescent="0.25">
      <c r="A1400" s="27" t="s">
        <v>1367</v>
      </c>
      <c r="B1400" s="27" t="str">
        <f t="shared" si="42"/>
        <v/>
      </c>
      <c r="C1400" s="27" t="str">
        <f t="shared" si="43"/>
        <v/>
      </c>
    </row>
    <row r="1401" spans="1:3" x14ac:dyDescent="0.25">
      <c r="A1401" s="27" t="s">
        <v>1367</v>
      </c>
      <c r="B1401" s="27" t="str">
        <f t="shared" si="42"/>
        <v/>
      </c>
      <c r="C1401" s="27" t="str">
        <f t="shared" si="43"/>
        <v/>
      </c>
    </row>
    <row r="1402" spans="1:3" x14ac:dyDescent="0.25">
      <c r="A1402" s="27" t="s">
        <v>1367</v>
      </c>
      <c r="B1402" s="27" t="str">
        <f t="shared" si="42"/>
        <v/>
      </c>
      <c r="C1402" s="27" t="str">
        <f t="shared" si="43"/>
        <v/>
      </c>
    </row>
    <row r="1403" spans="1:3" x14ac:dyDescent="0.25">
      <c r="A1403" s="27" t="s">
        <v>1367</v>
      </c>
      <c r="B1403" s="27" t="str">
        <f t="shared" si="42"/>
        <v/>
      </c>
      <c r="C1403" s="27" t="str">
        <f t="shared" si="43"/>
        <v/>
      </c>
    </row>
    <row r="1404" spans="1:3" x14ac:dyDescent="0.25">
      <c r="A1404" s="27" t="s">
        <v>1367</v>
      </c>
      <c r="B1404" s="27" t="str">
        <f t="shared" si="42"/>
        <v/>
      </c>
      <c r="C1404" s="27" t="str">
        <f t="shared" si="43"/>
        <v/>
      </c>
    </row>
    <row r="1405" spans="1:3" x14ac:dyDescent="0.25">
      <c r="A1405" s="27" t="s">
        <v>1367</v>
      </c>
      <c r="B1405" s="27" t="str">
        <f t="shared" si="42"/>
        <v/>
      </c>
      <c r="C1405" s="27" t="str">
        <f t="shared" si="43"/>
        <v/>
      </c>
    </row>
    <row r="1406" spans="1:3" x14ac:dyDescent="0.25">
      <c r="A1406" s="27" t="s">
        <v>1367</v>
      </c>
      <c r="B1406" s="27" t="str">
        <f t="shared" si="42"/>
        <v/>
      </c>
      <c r="C1406" s="27" t="str">
        <f t="shared" si="43"/>
        <v/>
      </c>
    </row>
    <row r="1407" spans="1:3" x14ac:dyDescent="0.25">
      <c r="A1407" s="27" t="s">
        <v>1367</v>
      </c>
      <c r="B1407" s="27" t="str">
        <f t="shared" si="42"/>
        <v/>
      </c>
      <c r="C1407" s="27" t="str">
        <f t="shared" si="43"/>
        <v/>
      </c>
    </row>
    <row r="1408" spans="1:3" x14ac:dyDescent="0.25">
      <c r="A1408" s="27" t="s">
        <v>1367</v>
      </c>
      <c r="B1408" s="27" t="str">
        <f t="shared" si="42"/>
        <v/>
      </c>
      <c r="C1408" s="27" t="str">
        <f t="shared" si="43"/>
        <v/>
      </c>
    </row>
    <row r="1409" spans="1:3" x14ac:dyDescent="0.25">
      <c r="A1409" s="27" t="s">
        <v>1367</v>
      </c>
      <c r="B1409" s="27" t="str">
        <f t="shared" si="42"/>
        <v/>
      </c>
      <c r="C1409" s="27" t="str">
        <f t="shared" si="43"/>
        <v/>
      </c>
    </row>
    <row r="1410" spans="1:3" x14ac:dyDescent="0.25">
      <c r="A1410" s="27" t="s">
        <v>1367</v>
      </c>
      <c r="B1410" s="27" t="str">
        <f t="shared" si="42"/>
        <v/>
      </c>
      <c r="C1410" s="27" t="str">
        <f t="shared" si="43"/>
        <v/>
      </c>
    </row>
    <row r="1411" spans="1:3" x14ac:dyDescent="0.25">
      <c r="A1411" s="27" t="s">
        <v>1367</v>
      </c>
      <c r="B1411" s="27" t="str">
        <f t="shared" ref="B1411:B1474" si="44">LEFT(A1411,FIND(";",A1411)-1)</f>
        <v/>
      </c>
      <c r="C1411" s="27" t="str">
        <f t="shared" ref="C1411:C1474" si="45">MID(A1411,FIND(";",A1411)+1,100)</f>
        <v/>
      </c>
    </row>
    <row r="1412" spans="1:3" x14ac:dyDescent="0.25">
      <c r="A1412" s="27" t="s">
        <v>1367</v>
      </c>
      <c r="B1412" s="27" t="str">
        <f t="shared" si="44"/>
        <v/>
      </c>
      <c r="C1412" s="27" t="str">
        <f t="shared" si="45"/>
        <v/>
      </c>
    </row>
    <row r="1413" spans="1:3" x14ac:dyDescent="0.25">
      <c r="A1413" s="27" t="s">
        <v>1367</v>
      </c>
      <c r="B1413" s="27" t="str">
        <f t="shared" si="44"/>
        <v/>
      </c>
      <c r="C1413" s="27" t="str">
        <f t="shared" si="45"/>
        <v/>
      </c>
    </row>
    <row r="1414" spans="1:3" x14ac:dyDescent="0.25">
      <c r="A1414" s="27" t="s">
        <v>1367</v>
      </c>
      <c r="B1414" s="27" t="str">
        <f t="shared" si="44"/>
        <v/>
      </c>
      <c r="C1414" s="27" t="str">
        <f t="shared" si="45"/>
        <v/>
      </c>
    </row>
    <row r="1415" spans="1:3" x14ac:dyDescent="0.25">
      <c r="A1415" s="27" t="s">
        <v>1367</v>
      </c>
      <c r="B1415" s="27" t="str">
        <f t="shared" si="44"/>
        <v/>
      </c>
      <c r="C1415" s="27" t="str">
        <f t="shared" si="45"/>
        <v/>
      </c>
    </row>
    <row r="1416" spans="1:3" x14ac:dyDescent="0.25">
      <c r="A1416" s="27" t="s">
        <v>1367</v>
      </c>
      <c r="B1416" s="27" t="str">
        <f t="shared" si="44"/>
        <v/>
      </c>
      <c r="C1416" s="27" t="str">
        <f t="shared" si="45"/>
        <v/>
      </c>
    </row>
    <row r="1417" spans="1:3" x14ac:dyDescent="0.25">
      <c r="A1417" s="27" t="s">
        <v>1367</v>
      </c>
      <c r="B1417" s="27" t="str">
        <f t="shared" si="44"/>
        <v/>
      </c>
      <c r="C1417" s="27" t="str">
        <f t="shared" si="45"/>
        <v/>
      </c>
    </row>
    <row r="1418" spans="1:3" x14ac:dyDescent="0.25">
      <c r="A1418" s="27" t="s">
        <v>1367</v>
      </c>
      <c r="B1418" s="27" t="str">
        <f t="shared" si="44"/>
        <v/>
      </c>
      <c r="C1418" s="27" t="str">
        <f t="shared" si="45"/>
        <v/>
      </c>
    </row>
    <row r="1419" spans="1:3" x14ac:dyDescent="0.25">
      <c r="A1419" s="27" t="s">
        <v>1367</v>
      </c>
      <c r="B1419" s="27" t="str">
        <f t="shared" si="44"/>
        <v/>
      </c>
      <c r="C1419" s="27" t="str">
        <f t="shared" si="45"/>
        <v/>
      </c>
    </row>
    <row r="1420" spans="1:3" x14ac:dyDescent="0.25">
      <c r="A1420" s="27" t="s">
        <v>1367</v>
      </c>
      <c r="B1420" s="27" t="str">
        <f t="shared" si="44"/>
        <v/>
      </c>
      <c r="C1420" s="27" t="str">
        <f t="shared" si="45"/>
        <v/>
      </c>
    </row>
    <row r="1421" spans="1:3" x14ac:dyDescent="0.25">
      <c r="A1421" s="27" t="s">
        <v>1367</v>
      </c>
      <c r="B1421" s="27" t="str">
        <f t="shared" si="44"/>
        <v/>
      </c>
      <c r="C1421" s="27" t="str">
        <f t="shared" si="45"/>
        <v/>
      </c>
    </row>
    <row r="1422" spans="1:3" x14ac:dyDescent="0.25">
      <c r="A1422" s="27" t="s">
        <v>1367</v>
      </c>
      <c r="B1422" s="27" t="str">
        <f t="shared" si="44"/>
        <v/>
      </c>
      <c r="C1422" s="27" t="str">
        <f t="shared" si="45"/>
        <v/>
      </c>
    </row>
    <row r="1423" spans="1:3" x14ac:dyDescent="0.25">
      <c r="A1423" s="27" t="s">
        <v>1367</v>
      </c>
      <c r="B1423" s="27" t="str">
        <f t="shared" si="44"/>
        <v/>
      </c>
      <c r="C1423" s="27" t="str">
        <f t="shared" si="45"/>
        <v/>
      </c>
    </row>
    <row r="1424" spans="1:3" x14ac:dyDescent="0.25">
      <c r="A1424" s="27" t="s">
        <v>1367</v>
      </c>
      <c r="B1424" s="27" t="str">
        <f t="shared" si="44"/>
        <v/>
      </c>
      <c r="C1424" s="27" t="str">
        <f t="shared" si="45"/>
        <v/>
      </c>
    </row>
    <row r="1425" spans="1:3" x14ac:dyDescent="0.25">
      <c r="A1425" s="27" t="s">
        <v>1367</v>
      </c>
      <c r="B1425" s="27" t="str">
        <f t="shared" si="44"/>
        <v/>
      </c>
      <c r="C1425" s="27" t="str">
        <f t="shared" si="45"/>
        <v/>
      </c>
    </row>
    <row r="1426" spans="1:3" x14ac:dyDescent="0.25">
      <c r="A1426" s="27" t="s">
        <v>1367</v>
      </c>
      <c r="B1426" s="27" t="str">
        <f t="shared" si="44"/>
        <v/>
      </c>
      <c r="C1426" s="27" t="str">
        <f t="shared" si="45"/>
        <v/>
      </c>
    </row>
    <row r="1427" spans="1:3" x14ac:dyDescent="0.25">
      <c r="A1427" s="27" t="s">
        <v>1367</v>
      </c>
      <c r="B1427" s="27" t="str">
        <f t="shared" si="44"/>
        <v/>
      </c>
      <c r="C1427" s="27" t="str">
        <f t="shared" si="45"/>
        <v/>
      </c>
    </row>
    <row r="1428" spans="1:3" x14ac:dyDescent="0.25">
      <c r="A1428" s="27" t="s">
        <v>1367</v>
      </c>
      <c r="B1428" s="27" t="str">
        <f t="shared" si="44"/>
        <v/>
      </c>
      <c r="C1428" s="27" t="str">
        <f t="shared" si="45"/>
        <v/>
      </c>
    </row>
    <row r="1429" spans="1:3" x14ac:dyDescent="0.25">
      <c r="A1429" s="27" t="s">
        <v>1367</v>
      </c>
      <c r="B1429" s="27" t="str">
        <f t="shared" si="44"/>
        <v/>
      </c>
      <c r="C1429" s="27" t="str">
        <f t="shared" si="45"/>
        <v/>
      </c>
    </row>
    <row r="1430" spans="1:3" x14ac:dyDescent="0.25">
      <c r="A1430" s="27" t="s">
        <v>1367</v>
      </c>
      <c r="B1430" s="27" t="str">
        <f t="shared" si="44"/>
        <v/>
      </c>
      <c r="C1430" s="27" t="str">
        <f t="shared" si="45"/>
        <v/>
      </c>
    </row>
    <row r="1431" spans="1:3" x14ac:dyDescent="0.25">
      <c r="A1431" s="27" t="s">
        <v>1367</v>
      </c>
      <c r="B1431" s="27" t="str">
        <f t="shared" si="44"/>
        <v/>
      </c>
      <c r="C1431" s="27" t="str">
        <f t="shared" si="45"/>
        <v/>
      </c>
    </row>
    <row r="1432" spans="1:3" x14ac:dyDescent="0.25">
      <c r="A1432" s="27" t="s">
        <v>1367</v>
      </c>
      <c r="B1432" s="27" t="str">
        <f t="shared" si="44"/>
        <v/>
      </c>
      <c r="C1432" s="27" t="str">
        <f t="shared" si="45"/>
        <v/>
      </c>
    </row>
    <row r="1433" spans="1:3" x14ac:dyDescent="0.25">
      <c r="A1433" s="27" t="s">
        <v>1367</v>
      </c>
      <c r="B1433" s="27" t="str">
        <f t="shared" si="44"/>
        <v/>
      </c>
      <c r="C1433" s="27" t="str">
        <f t="shared" si="45"/>
        <v/>
      </c>
    </row>
    <row r="1434" spans="1:3" x14ac:dyDescent="0.25">
      <c r="A1434" s="27" t="s">
        <v>1367</v>
      </c>
      <c r="B1434" s="27" t="str">
        <f t="shared" si="44"/>
        <v/>
      </c>
      <c r="C1434" s="27" t="str">
        <f t="shared" si="45"/>
        <v/>
      </c>
    </row>
    <row r="1435" spans="1:3" x14ac:dyDescent="0.25">
      <c r="A1435" s="27" t="s">
        <v>1367</v>
      </c>
      <c r="B1435" s="27" t="str">
        <f t="shared" si="44"/>
        <v/>
      </c>
      <c r="C1435" s="27" t="str">
        <f t="shared" si="45"/>
        <v/>
      </c>
    </row>
    <row r="1436" spans="1:3" x14ac:dyDescent="0.25">
      <c r="A1436" s="27" t="s">
        <v>1367</v>
      </c>
      <c r="B1436" s="27" t="str">
        <f t="shared" si="44"/>
        <v/>
      </c>
      <c r="C1436" s="27" t="str">
        <f t="shared" si="45"/>
        <v/>
      </c>
    </row>
    <row r="1437" spans="1:3" x14ac:dyDescent="0.25">
      <c r="A1437" s="27" t="s">
        <v>1367</v>
      </c>
      <c r="B1437" s="27" t="str">
        <f t="shared" si="44"/>
        <v/>
      </c>
      <c r="C1437" s="27" t="str">
        <f t="shared" si="45"/>
        <v/>
      </c>
    </row>
    <row r="1438" spans="1:3" x14ac:dyDescent="0.25">
      <c r="A1438" s="27" t="s">
        <v>1367</v>
      </c>
      <c r="B1438" s="27" t="str">
        <f t="shared" si="44"/>
        <v/>
      </c>
      <c r="C1438" s="27" t="str">
        <f t="shared" si="45"/>
        <v/>
      </c>
    </row>
    <row r="1439" spans="1:3" x14ac:dyDescent="0.25">
      <c r="A1439" s="27" t="s">
        <v>1367</v>
      </c>
      <c r="B1439" s="27" t="str">
        <f t="shared" si="44"/>
        <v/>
      </c>
      <c r="C1439" s="27" t="str">
        <f t="shared" si="45"/>
        <v/>
      </c>
    </row>
    <row r="1440" spans="1:3" x14ac:dyDescent="0.25">
      <c r="A1440" s="27" t="s">
        <v>1367</v>
      </c>
      <c r="B1440" s="27" t="str">
        <f t="shared" si="44"/>
        <v/>
      </c>
      <c r="C1440" s="27" t="str">
        <f t="shared" si="45"/>
        <v/>
      </c>
    </row>
    <row r="1441" spans="1:3" x14ac:dyDescent="0.25">
      <c r="A1441" s="27" t="s">
        <v>1367</v>
      </c>
      <c r="B1441" s="27" t="str">
        <f t="shared" si="44"/>
        <v/>
      </c>
      <c r="C1441" s="27" t="str">
        <f t="shared" si="45"/>
        <v/>
      </c>
    </row>
    <row r="1442" spans="1:3" x14ac:dyDescent="0.25">
      <c r="A1442" s="27" t="s">
        <v>1367</v>
      </c>
      <c r="B1442" s="27" t="str">
        <f t="shared" si="44"/>
        <v/>
      </c>
      <c r="C1442" s="27" t="str">
        <f t="shared" si="45"/>
        <v/>
      </c>
    </row>
    <row r="1443" spans="1:3" x14ac:dyDescent="0.25">
      <c r="A1443" s="27" t="s">
        <v>1367</v>
      </c>
      <c r="B1443" s="27" t="str">
        <f t="shared" si="44"/>
        <v/>
      </c>
      <c r="C1443" s="27" t="str">
        <f t="shared" si="45"/>
        <v/>
      </c>
    </row>
    <row r="1444" spans="1:3" x14ac:dyDescent="0.25">
      <c r="A1444" s="27" t="s">
        <v>1367</v>
      </c>
      <c r="B1444" s="27" t="str">
        <f t="shared" si="44"/>
        <v/>
      </c>
      <c r="C1444" s="27" t="str">
        <f t="shared" si="45"/>
        <v/>
      </c>
    </row>
    <row r="1445" spans="1:3" x14ac:dyDescent="0.25">
      <c r="A1445" s="27" t="s">
        <v>1367</v>
      </c>
      <c r="B1445" s="27" t="str">
        <f t="shared" si="44"/>
        <v/>
      </c>
      <c r="C1445" s="27" t="str">
        <f t="shared" si="45"/>
        <v/>
      </c>
    </row>
    <row r="1446" spans="1:3" x14ac:dyDescent="0.25">
      <c r="A1446" s="27" t="s">
        <v>1367</v>
      </c>
      <c r="B1446" s="27" t="str">
        <f t="shared" si="44"/>
        <v/>
      </c>
      <c r="C1446" s="27" t="str">
        <f t="shared" si="45"/>
        <v/>
      </c>
    </row>
    <row r="1447" spans="1:3" x14ac:dyDescent="0.25">
      <c r="A1447" s="27" t="s">
        <v>1367</v>
      </c>
      <c r="B1447" s="27" t="str">
        <f t="shared" si="44"/>
        <v/>
      </c>
      <c r="C1447" s="27" t="str">
        <f t="shared" si="45"/>
        <v/>
      </c>
    </row>
    <row r="1448" spans="1:3" x14ac:dyDescent="0.25">
      <c r="A1448" s="27" t="s">
        <v>1367</v>
      </c>
      <c r="B1448" s="27" t="str">
        <f t="shared" si="44"/>
        <v/>
      </c>
      <c r="C1448" s="27" t="str">
        <f t="shared" si="45"/>
        <v/>
      </c>
    </row>
    <row r="1449" spans="1:3" x14ac:dyDescent="0.25">
      <c r="A1449" s="27" t="s">
        <v>1367</v>
      </c>
      <c r="B1449" s="27" t="str">
        <f t="shared" si="44"/>
        <v/>
      </c>
      <c r="C1449" s="27" t="str">
        <f t="shared" si="45"/>
        <v/>
      </c>
    </row>
    <row r="1450" spans="1:3" x14ac:dyDescent="0.25">
      <c r="A1450" s="27" t="s">
        <v>1367</v>
      </c>
      <c r="B1450" s="27" t="str">
        <f t="shared" si="44"/>
        <v/>
      </c>
      <c r="C1450" s="27" t="str">
        <f t="shared" si="45"/>
        <v/>
      </c>
    </row>
    <row r="1451" spans="1:3" x14ac:dyDescent="0.25">
      <c r="A1451" s="27" t="s">
        <v>1367</v>
      </c>
      <c r="B1451" s="27" t="str">
        <f t="shared" si="44"/>
        <v/>
      </c>
      <c r="C1451" s="27" t="str">
        <f t="shared" si="45"/>
        <v/>
      </c>
    </row>
    <row r="1452" spans="1:3" x14ac:dyDescent="0.25">
      <c r="A1452" s="27" t="s">
        <v>1367</v>
      </c>
      <c r="B1452" s="27" t="str">
        <f t="shared" si="44"/>
        <v/>
      </c>
      <c r="C1452" s="27" t="str">
        <f t="shared" si="45"/>
        <v/>
      </c>
    </row>
    <row r="1453" spans="1:3" x14ac:dyDescent="0.25">
      <c r="A1453" s="27" t="s">
        <v>1367</v>
      </c>
      <c r="B1453" s="27" t="str">
        <f t="shared" si="44"/>
        <v/>
      </c>
      <c r="C1453" s="27" t="str">
        <f t="shared" si="45"/>
        <v/>
      </c>
    </row>
    <row r="1454" spans="1:3" x14ac:dyDescent="0.25">
      <c r="A1454" s="27" t="s">
        <v>1367</v>
      </c>
      <c r="B1454" s="27" t="str">
        <f t="shared" si="44"/>
        <v/>
      </c>
      <c r="C1454" s="27" t="str">
        <f t="shared" si="45"/>
        <v/>
      </c>
    </row>
    <row r="1455" spans="1:3" x14ac:dyDescent="0.25">
      <c r="A1455" s="27" t="s">
        <v>1367</v>
      </c>
      <c r="B1455" s="27" t="str">
        <f t="shared" si="44"/>
        <v/>
      </c>
      <c r="C1455" s="27" t="str">
        <f t="shared" si="45"/>
        <v/>
      </c>
    </row>
    <row r="1456" spans="1:3" x14ac:dyDescent="0.25">
      <c r="A1456" s="27" t="s">
        <v>1367</v>
      </c>
      <c r="B1456" s="27" t="str">
        <f t="shared" si="44"/>
        <v/>
      </c>
      <c r="C1456" s="27" t="str">
        <f t="shared" si="45"/>
        <v/>
      </c>
    </row>
    <row r="1457" spans="1:3" x14ac:dyDescent="0.25">
      <c r="A1457" s="27" t="s">
        <v>1367</v>
      </c>
      <c r="B1457" s="27" t="str">
        <f t="shared" si="44"/>
        <v/>
      </c>
      <c r="C1457" s="27" t="str">
        <f t="shared" si="45"/>
        <v/>
      </c>
    </row>
    <row r="1458" spans="1:3" x14ac:dyDescent="0.25">
      <c r="A1458" s="27" t="s">
        <v>1367</v>
      </c>
      <c r="B1458" s="27" t="str">
        <f t="shared" si="44"/>
        <v/>
      </c>
      <c r="C1458" s="27" t="str">
        <f t="shared" si="45"/>
        <v/>
      </c>
    </row>
    <row r="1459" spans="1:3" x14ac:dyDescent="0.25">
      <c r="A1459" s="27" t="s">
        <v>1367</v>
      </c>
      <c r="B1459" s="27" t="str">
        <f t="shared" si="44"/>
        <v/>
      </c>
      <c r="C1459" s="27" t="str">
        <f t="shared" si="45"/>
        <v/>
      </c>
    </row>
    <row r="1460" spans="1:3" x14ac:dyDescent="0.25">
      <c r="A1460" s="27" t="s">
        <v>1367</v>
      </c>
      <c r="B1460" s="27" t="str">
        <f t="shared" si="44"/>
        <v/>
      </c>
      <c r="C1460" s="27" t="str">
        <f t="shared" si="45"/>
        <v/>
      </c>
    </row>
    <row r="1461" spans="1:3" x14ac:dyDescent="0.25">
      <c r="A1461" s="27" t="s">
        <v>1367</v>
      </c>
      <c r="B1461" s="27" t="str">
        <f t="shared" si="44"/>
        <v/>
      </c>
      <c r="C1461" s="27" t="str">
        <f t="shared" si="45"/>
        <v/>
      </c>
    </row>
    <row r="1462" spans="1:3" x14ac:dyDescent="0.25">
      <c r="A1462" s="27" t="s">
        <v>1367</v>
      </c>
      <c r="B1462" s="27" t="str">
        <f t="shared" si="44"/>
        <v/>
      </c>
      <c r="C1462" s="27" t="str">
        <f t="shared" si="45"/>
        <v/>
      </c>
    </row>
    <row r="1463" spans="1:3" x14ac:dyDescent="0.25">
      <c r="A1463" s="27" t="s">
        <v>1367</v>
      </c>
      <c r="B1463" s="27" t="str">
        <f t="shared" si="44"/>
        <v/>
      </c>
      <c r="C1463" s="27" t="str">
        <f t="shared" si="45"/>
        <v/>
      </c>
    </row>
    <row r="1464" spans="1:3" x14ac:dyDescent="0.25">
      <c r="A1464" s="27" t="s">
        <v>1367</v>
      </c>
      <c r="B1464" s="27" t="str">
        <f t="shared" si="44"/>
        <v/>
      </c>
      <c r="C1464" s="27" t="str">
        <f t="shared" si="45"/>
        <v/>
      </c>
    </row>
    <row r="1465" spans="1:3" x14ac:dyDescent="0.25">
      <c r="A1465" s="27" t="s">
        <v>1367</v>
      </c>
      <c r="B1465" s="27" t="str">
        <f t="shared" si="44"/>
        <v/>
      </c>
      <c r="C1465" s="27" t="str">
        <f t="shared" si="45"/>
        <v/>
      </c>
    </row>
    <row r="1466" spans="1:3" x14ac:dyDescent="0.25">
      <c r="A1466" s="27" t="s">
        <v>1367</v>
      </c>
      <c r="B1466" s="27" t="str">
        <f t="shared" si="44"/>
        <v/>
      </c>
      <c r="C1466" s="27" t="str">
        <f t="shared" si="45"/>
        <v/>
      </c>
    </row>
    <row r="1467" spans="1:3" x14ac:dyDescent="0.25">
      <c r="A1467" s="27" t="s">
        <v>1367</v>
      </c>
      <c r="B1467" s="27" t="str">
        <f t="shared" si="44"/>
        <v/>
      </c>
      <c r="C1467" s="27" t="str">
        <f t="shared" si="45"/>
        <v/>
      </c>
    </row>
    <row r="1468" spans="1:3" x14ac:dyDescent="0.25">
      <c r="A1468" s="27" t="s">
        <v>1367</v>
      </c>
      <c r="B1468" s="27" t="str">
        <f t="shared" si="44"/>
        <v/>
      </c>
      <c r="C1468" s="27" t="str">
        <f t="shared" si="45"/>
        <v/>
      </c>
    </row>
    <row r="1469" spans="1:3" x14ac:dyDescent="0.25">
      <c r="A1469" s="27" t="s">
        <v>1367</v>
      </c>
      <c r="B1469" s="27" t="str">
        <f t="shared" si="44"/>
        <v/>
      </c>
      <c r="C1469" s="27" t="str">
        <f t="shared" si="45"/>
        <v/>
      </c>
    </row>
    <row r="1470" spans="1:3" x14ac:dyDescent="0.25">
      <c r="A1470" s="27" t="s">
        <v>1367</v>
      </c>
      <c r="B1470" s="27" t="str">
        <f t="shared" si="44"/>
        <v/>
      </c>
      <c r="C1470" s="27" t="str">
        <f t="shared" si="45"/>
        <v/>
      </c>
    </row>
    <row r="1471" spans="1:3" x14ac:dyDescent="0.25">
      <c r="A1471" s="27" t="s">
        <v>1367</v>
      </c>
      <c r="B1471" s="27" t="str">
        <f t="shared" si="44"/>
        <v/>
      </c>
      <c r="C1471" s="27" t="str">
        <f t="shared" si="45"/>
        <v/>
      </c>
    </row>
    <row r="1472" spans="1:3" x14ac:dyDescent="0.25">
      <c r="A1472" s="27" t="s">
        <v>1367</v>
      </c>
      <c r="B1472" s="27" t="str">
        <f t="shared" si="44"/>
        <v/>
      </c>
      <c r="C1472" s="27" t="str">
        <f t="shared" si="45"/>
        <v/>
      </c>
    </row>
    <row r="1473" spans="1:3" x14ac:dyDescent="0.25">
      <c r="A1473" s="27" t="s">
        <v>1367</v>
      </c>
      <c r="B1473" s="27" t="str">
        <f t="shared" si="44"/>
        <v/>
      </c>
      <c r="C1473" s="27" t="str">
        <f t="shared" si="45"/>
        <v/>
      </c>
    </row>
    <row r="1474" spans="1:3" x14ac:dyDescent="0.25">
      <c r="A1474" s="27" t="s">
        <v>1367</v>
      </c>
      <c r="B1474" s="27" t="str">
        <f t="shared" si="44"/>
        <v/>
      </c>
      <c r="C1474" s="27" t="str">
        <f t="shared" si="45"/>
        <v/>
      </c>
    </row>
    <row r="1475" spans="1:3" x14ac:dyDescent="0.25">
      <c r="A1475" s="27" t="s">
        <v>1367</v>
      </c>
      <c r="B1475" s="27" t="str">
        <f t="shared" ref="B1475:B1538" si="46">LEFT(A1475,FIND(";",A1475)-1)</f>
        <v/>
      </c>
      <c r="C1475" s="27" t="str">
        <f t="shared" ref="C1475:C1538" si="47">MID(A1475,FIND(";",A1475)+1,100)</f>
        <v/>
      </c>
    </row>
    <row r="1476" spans="1:3" x14ac:dyDescent="0.25">
      <c r="A1476" s="27" t="s">
        <v>1367</v>
      </c>
      <c r="B1476" s="27" t="str">
        <f t="shared" si="46"/>
        <v/>
      </c>
      <c r="C1476" s="27" t="str">
        <f t="shared" si="47"/>
        <v/>
      </c>
    </row>
    <row r="1477" spans="1:3" x14ac:dyDescent="0.25">
      <c r="A1477" s="27" t="s">
        <v>1367</v>
      </c>
      <c r="B1477" s="27" t="str">
        <f t="shared" si="46"/>
        <v/>
      </c>
      <c r="C1477" s="27" t="str">
        <f t="shared" si="47"/>
        <v/>
      </c>
    </row>
    <row r="1478" spans="1:3" x14ac:dyDescent="0.25">
      <c r="A1478" s="27" t="s">
        <v>1367</v>
      </c>
      <c r="B1478" s="27" t="str">
        <f t="shared" si="46"/>
        <v/>
      </c>
      <c r="C1478" s="27" t="str">
        <f t="shared" si="47"/>
        <v/>
      </c>
    </row>
    <row r="1479" spans="1:3" x14ac:dyDescent="0.25">
      <c r="A1479" s="27" t="s">
        <v>1367</v>
      </c>
      <c r="B1479" s="27" t="str">
        <f t="shared" si="46"/>
        <v/>
      </c>
      <c r="C1479" s="27" t="str">
        <f t="shared" si="47"/>
        <v/>
      </c>
    </row>
    <row r="1480" spans="1:3" x14ac:dyDescent="0.25">
      <c r="A1480" s="27" t="s">
        <v>1367</v>
      </c>
      <c r="B1480" s="27" t="str">
        <f t="shared" si="46"/>
        <v/>
      </c>
      <c r="C1480" s="27" t="str">
        <f t="shared" si="47"/>
        <v/>
      </c>
    </row>
    <row r="1481" spans="1:3" x14ac:dyDescent="0.25">
      <c r="A1481" s="27" t="s">
        <v>1367</v>
      </c>
      <c r="B1481" s="27" t="str">
        <f t="shared" si="46"/>
        <v/>
      </c>
      <c r="C1481" s="27" t="str">
        <f t="shared" si="47"/>
        <v/>
      </c>
    </row>
    <row r="1482" spans="1:3" x14ac:dyDescent="0.25">
      <c r="A1482" s="27" t="s">
        <v>1367</v>
      </c>
      <c r="B1482" s="27" t="str">
        <f t="shared" si="46"/>
        <v/>
      </c>
      <c r="C1482" s="27" t="str">
        <f t="shared" si="47"/>
        <v/>
      </c>
    </row>
    <row r="1483" spans="1:3" x14ac:dyDescent="0.25">
      <c r="A1483" s="27" t="s">
        <v>1367</v>
      </c>
      <c r="B1483" s="27" t="str">
        <f t="shared" si="46"/>
        <v/>
      </c>
      <c r="C1483" s="27" t="str">
        <f t="shared" si="47"/>
        <v/>
      </c>
    </row>
    <row r="1484" spans="1:3" x14ac:dyDescent="0.25">
      <c r="A1484" s="27" t="s">
        <v>1367</v>
      </c>
      <c r="B1484" s="27" t="str">
        <f t="shared" si="46"/>
        <v/>
      </c>
      <c r="C1484" s="27" t="str">
        <f t="shared" si="47"/>
        <v/>
      </c>
    </row>
    <row r="1485" spans="1:3" x14ac:dyDescent="0.25">
      <c r="A1485" s="27" t="s">
        <v>1367</v>
      </c>
      <c r="B1485" s="27" t="str">
        <f t="shared" si="46"/>
        <v/>
      </c>
      <c r="C1485" s="27" t="str">
        <f t="shared" si="47"/>
        <v/>
      </c>
    </row>
    <row r="1486" spans="1:3" x14ac:dyDescent="0.25">
      <c r="A1486" s="27" t="s">
        <v>1367</v>
      </c>
      <c r="B1486" s="27" t="str">
        <f t="shared" si="46"/>
        <v/>
      </c>
      <c r="C1486" s="27" t="str">
        <f t="shared" si="47"/>
        <v/>
      </c>
    </row>
    <row r="1487" spans="1:3" x14ac:dyDescent="0.25">
      <c r="A1487" s="27" t="s">
        <v>1367</v>
      </c>
      <c r="B1487" s="27" t="str">
        <f t="shared" si="46"/>
        <v/>
      </c>
      <c r="C1487" s="27" t="str">
        <f t="shared" si="47"/>
        <v/>
      </c>
    </row>
    <row r="1488" spans="1:3" x14ac:dyDescent="0.25">
      <c r="A1488" s="27" t="s">
        <v>1367</v>
      </c>
      <c r="B1488" s="27" t="str">
        <f t="shared" si="46"/>
        <v/>
      </c>
      <c r="C1488" s="27" t="str">
        <f t="shared" si="47"/>
        <v/>
      </c>
    </row>
    <row r="1489" spans="1:3" x14ac:dyDescent="0.25">
      <c r="A1489" s="27" t="s">
        <v>1367</v>
      </c>
      <c r="B1489" s="27" t="str">
        <f t="shared" si="46"/>
        <v/>
      </c>
      <c r="C1489" s="27" t="str">
        <f t="shared" si="47"/>
        <v/>
      </c>
    </row>
    <row r="1490" spans="1:3" x14ac:dyDescent="0.25">
      <c r="A1490" s="27" t="s">
        <v>1367</v>
      </c>
      <c r="B1490" s="27" t="str">
        <f t="shared" si="46"/>
        <v/>
      </c>
      <c r="C1490" s="27" t="str">
        <f t="shared" si="47"/>
        <v/>
      </c>
    </row>
    <row r="1491" spans="1:3" x14ac:dyDescent="0.25">
      <c r="A1491" s="27" t="s">
        <v>1367</v>
      </c>
      <c r="B1491" s="27" t="str">
        <f t="shared" si="46"/>
        <v/>
      </c>
      <c r="C1491" s="27" t="str">
        <f t="shared" si="47"/>
        <v/>
      </c>
    </row>
    <row r="1492" spans="1:3" x14ac:dyDescent="0.25">
      <c r="A1492" s="27" t="s">
        <v>1367</v>
      </c>
      <c r="B1492" s="27" t="str">
        <f t="shared" si="46"/>
        <v/>
      </c>
      <c r="C1492" s="27" t="str">
        <f t="shared" si="47"/>
        <v/>
      </c>
    </row>
    <row r="1493" spans="1:3" x14ac:dyDescent="0.25">
      <c r="A1493" s="27" t="s">
        <v>1367</v>
      </c>
      <c r="B1493" s="27" t="str">
        <f t="shared" si="46"/>
        <v/>
      </c>
      <c r="C1493" s="27" t="str">
        <f t="shared" si="47"/>
        <v/>
      </c>
    </row>
    <row r="1494" spans="1:3" x14ac:dyDescent="0.25">
      <c r="A1494" s="27" t="s">
        <v>1367</v>
      </c>
      <c r="B1494" s="27" t="str">
        <f t="shared" si="46"/>
        <v/>
      </c>
      <c r="C1494" s="27" t="str">
        <f t="shared" si="47"/>
        <v/>
      </c>
    </row>
    <row r="1495" spans="1:3" x14ac:dyDescent="0.25">
      <c r="A1495" s="27" t="s">
        <v>1367</v>
      </c>
      <c r="B1495" s="27" t="str">
        <f t="shared" si="46"/>
        <v/>
      </c>
      <c r="C1495" s="27" t="str">
        <f t="shared" si="47"/>
        <v/>
      </c>
    </row>
    <row r="1496" spans="1:3" x14ac:dyDescent="0.25">
      <c r="A1496" s="27" t="s">
        <v>1367</v>
      </c>
      <c r="B1496" s="27" t="str">
        <f t="shared" si="46"/>
        <v/>
      </c>
      <c r="C1496" s="27" t="str">
        <f t="shared" si="47"/>
        <v/>
      </c>
    </row>
    <row r="1497" spans="1:3" x14ac:dyDescent="0.25">
      <c r="A1497" s="27" t="s">
        <v>1367</v>
      </c>
      <c r="B1497" s="27" t="str">
        <f t="shared" si="46"/>
        <v/>
      </c>
      <c r="C1497" s="27" t="str">
        <f t="shared" si="47"/>
        <v/>
      </c>
    </row>
    <row r="1498" spans="1:3" x14ac:dyDescent="0.25">
      <c r="A1498" s="27" t="s">
        <v>1367</v>
      </c>
      <c r="B1498" s="27" t="str">
        <f t="shared" si="46"/>
        <v/>
      </c>
      <c r="C1498" s="27" t="str">
        <f t="shared" si="47"/>
        <v/>
      </c>
    </row>
    <row r="1499" spans="1:3" x14ac:dyDescent="0.25">
      <c r="A1499" s="27" t="s">
        <v>1367</v>
      </c>
      <c r="B1499" s="27" t="str">
        <f t="shared" si="46"/>
        <v/>
      </c>
      <c r="C1499" s="27" t="str">
        <f t="shared" si="47"/>
        <v/>
      </c>
    </row>
    <row r="1500" spans="1:3" x14ac:dyDescent="0.25">
      <c r="A1500" s="27" t="s">
        <v>1367</v>
      </c>
      <c r="B1500" s="27" t="str">
        <f t="shared" si="46"/>
        <v/>
      </c>
      <c r="C1500" s="27" t="str">
        <f t="shared" si="47"/>
        <v/>
      </c>
    </row>
    <row r="1501" spans="1:3" x14ac:dyDescent="0.25">
      <c r="A1501" s="27" t="s">
        <v>1367</v>
      </c>
      <c r="B1501" s="27" t="str">
        <f t="shared" si="46"/>
        <v/>
      </c>
      <c r="C1501" s="27" t="str">
        <f t="shared" si="47"/>
        <v/>
      </c>
    </row>
    <row r="1502" spans="1:3" x14ac:dyDescent="0.25">
      <c r="A1502" s="27" t="s">
        <v>1367</v>
      </c>
      <c r="B1502" s="27" t="str">
        <f t="shared" si="46"/>
        <v/>
      </c>
      <c r="C1502" s="27" t="str">
        <f t="shared" si="47"/>
        <v/>
      </c>
    </row>
    <row r="1503" spans="1:3" x14ac:dyDescent="0.25">
      <c r="A1503" s="27" t="s">
        <v>1367</v>
      </c>
      <c r="B1503" s="27" t="str">
        <f t="shared" si="46"/>
        <v/>
      </c>
      <c r="C1503" s="27" t="str">
        <f t="shared" si="47"/>
        <v/>
      </c>
    </row>
    <row r="1504" spans="1:3" x14ac:dyDescent="0.25">
      <c r="A1504" s="27" t="s">
        <v>1367</v>
      </c>
      <c r="B1504" s="27" t="str">
        <f t="shared" si="46"/>
        <v/>
      </c>
      <c r="C1504" s="27" t="str">
        <f t="shared" si="47"/>
        <v/>
      </c>
    </row>
    <row r="1505" spans="1:3" x14ac:dyDescent="0.25">
      <c r="A1505" s="27" t="s">
        <v>1367</v>
      </c>
      <c r="B1505" s="27" t="str">
        <f t="shared" si="46"/>
        <v/>
      </c>
      <c r="C1505" s="27" t="str">
        <f t="shared" si="47"/>
        <v/>
      </c>
    </row>
    <row r="1506" spans="1:3" x14ac:dyDescent="0.25">
      <c r="A1506" s="27" t="s">
        <v>1367</v>
      </c>
      <c r="B1506" s="27" t="str">
        <f t="shared" si="46"/>
        <v/>
      </c>
      <c r="C1506" s="27" t="str">
        <f t="shared" si="47"/>
        <v/>
      </c>
    </row>
    <row r="1507" spans="1:3" x14ac:dyDescent="0.25">
      <c r="A1507" s="27" t="s">
        <v>1367</v>
      </c>
      <c r="B1507" s="27" t="str">
        <f t="shared" si="46"/>
        <v/>
      </c>
      <c r="C1507" s="27" t="str">
        <f t="shared" si="47"/>
        <v/>
      </c>
    </row>
    <row r="1508" spans="1:3" x14ac:dyDescent="0.25">
      <c r="A1508" s="27" t="s">
        <v>1367</v>
      </c>
      <c r="B1508" s="27" t="str">
        <f t="shared" si="46"/>
        <v/>
      </c>
      <c r="C1508" s="27" t="str">
        <f t="shared" si="47"/>
        <v/>
      </c>
    </row>
    <row r="1509" spans="1:3" x14ac:dyDescent="0.25">
      <c r="A1509" s="27" t="s">
        <v>1367</v>
      </c>
      <c r="B1509" s="27" t="str">
        <f t="shared" si="46"/>
        <v/>
      </c>
      <c r="C1509" s="27" t="str">
        <f t="shared" si="47"/>
        <v/>
      </c>
    </row>
    <row r="1510" spans="1:3" x14ac:dyDescent="0.25">
      <c r="A1510" s="27" t="s">
        <v>1367</v>
      </c>
      <c r="B1510" s="27" t="str">
        <f t="shared" si="46"/>
        <v/>
      </c>
      <c r="C1510" s="27" t="str">
        <f t="shared" si="47"/>
        <v/>
      </c>
    </row>
    <row r="1511" spans="1:3" x14ac:dyDescent="0.25">
      <c r="A1511" s="27" t="s">
        <v>1367</v>
      </c>
      <c r="B1511" s="27" t="str">
        <f t="shared" si="46"/>
        <v/>
      </c>
      <c r="C1511" s="27" t="str">
        <f t="shared" si="47"/>
        <v/>
      </c>
    </row>
    <row r="1512" spans="1:3" x14ac:dyDescent="0.25">
      <c r="A1512" s="27" t="s">
        <v>1367</v>
      </c>
      <c r="B1512" s="27" t="str">
        <f t="shared" si="46"/>
        <v/>
      </c>
      <c r="C1512" s="27" t="str">
        <f t="shared" si="47"/>
        <v/>
      </c>
    </row>
    <row r="1513" spans="1:3" x14ac:dyDescent="0.25">
      <c r="A1513" s="27" t="s">
        <v>1367</v>
      </c>
      <c r="B1513" s="27" t="str">
        <f t="shared" si="46"/>
        <v/>
      </c>
      <c r="C1513" s="27" t="str">
        <f t="shared" si="47"/>
        <v/>
      </c>
    </row>
    <row r="1514" spans="1:3" x14ac:dyDescent="0.25">
      <c r="A1514" s="27" t="s">
        <v>1367</v>
      </c>
      <c r="B1514" s="27" t="str">
        <f t="shared" si="46"/>
        <v/>
      </c>
      <c r="C1514" s="27" t="str">
        <f t="shared" si="47"/>
        <v/>
      </c>
    </row>
    <row r="1515" spans="1:3" x14ac:dyDescent="0.25">
      <c r="A1515" s="27" t="s">
        <v>1367</v>
      </c>
      <c r="B1515" s="27" t="str">
        <f t="shared" si="46"/>
        <v/>
      </c>
      <c r="C1515" s="27" t="str">
        <f t="shared" si="47"/>
        <v/>
      </c>
    </row>
    <row r="1516" spans="1:3" x14ac:dyDescent="0.25">
      <c r="A1516" s="27" t="s">
        <v>1367</v>
      </c>
      <c r="B1516" s="27" t="str">
        <f t="shared" si="46"/>
        <v/>
      </c>
      <c r="C1516" s="27" t="str">
        <f t="shared" si="47"/>
        <v/>
      </c>
    </row>
    <row r="1517" spans="1:3" x14ac:dyDescent="0.25">
      <c r="A1517" s="27" t="s">
        <v>1367</v>
      </c>
      <c r="B1517" s="27" t="str">
        <f t="shared" si="46"/>
        <v/>
      </c>
      <c r="C1517" s="27" t="str">
        <f t="shared" si="47"/>
        <v/>
      </c>
    </row>
    <row r="1518" spans="1:3" x14ac:dyDescent="0.25">
      <c r="A1518" s="27" t="s">
        <v>1367</v>
      </c>
      <c r="B1518" s="27" t="str">
        <f t="shared" si="46"/>
        <v/>
      </c>
      <c r="C1518" s="27" t="str">
        <f t="shared" si="47"/>
        <v/>
      </c>
    </row>
    <row r="1519" spans="1:3" x14ac:dyDescent="0.25">
      <c r="A1519" s="27" t="s">
        <v>1367</v>
      </c>
      <c r="B1519" s="27" t="str">
        <f t="shared" si="46"/>
        <v/>
      </c>
      <c r="C1519" s="27" t="str">
        <f t="shared" si="47"/>
        <v/>
      </c>
    </row>
    <row r="1520" spans="1:3" x14ac:dyDescent="0.25">
      <c r="A1520" s="27" t="s">
        <v>1367</v>
      </c>
      <c r="B1520" s="27" t="str">
        <f t="shared" si="46"/>
        <v/>
      </c>
      <c r="C1520" s="27" t="str">
        <f t="shared" si="47"/>
        <v/>
      </c>
    </row>
    <row r="1521" spans="1:3" x14ac:dyDescent="0.25">
      <c r="A1521" s="27" t="s">
        <v>1367</v>
      </c>
      <c r="B1521" s="27" t="str">
        <f t="shared" si="46"/>
        <v/>
      </c>
      <c r="C1521" s="27" t="str">
        <f t="shared" si="47"/>
        <v/>
      </c>
    </row>
    <row r="1522" spans="1:3" x14ac:dyDescent="0.25">
      <c r="A1522" s="27" t="s">
        <v>1367</v>
      </c>
      <c r="B1522" s="27" t="str">
        <f t="shared" si="46"/>
        <v/>
      </c>
      <c r="C1522" s="27" t="str">
        <f t="shared" si="47"/>
        <v/>
      </c>
    </row>
    <row r="1523" spans="1:3" x14ac:dyDescent="0.25">
      <c r="A1523" s="27" t="s">
        <v>1367</v>
      </c>
      <c r="B1523" s="27" t="str">
        <f t="shared" si="46"/>
        <v/>
      </c>
      <c r="C1523" s="27" t="str">
        <f t="shared" si="47"/>
        <v/>
      </c>
    </row>
    <row r="1524" spans="1:3" x14ac:dyDescent="0.25">
      <c r="A1524" s="27" t="s">
        <v>1367</v>
      </c>
      <c r="B1524" s="27" t="str">
        <f t="shared" si="46"/>
        <v/>
      </c>
      <c r="C1524" s="27" t="str">
        <f t="shared" si="47"/>
        <v/>
      </c>
    </row>
    <row r="1525" spans="1:3" x14ac:dyDescent="0.25">
      <c r="A1525" s="27" t="s">
        <v>1367</v>
      </c>
      <c r="B1525" s="27" t="str">
        <f t="shared" si="46"/>
        <v/>
      </c>
      <c r="C1525" s="27" t="str">
        <f t="shared" si="47"/>
        <v/>
      </c>
    </row>
    <row r="1526" spans="1:3" x14ac:dyDescent="0.25">
      <c r="A1526" s="27" t="s">
        <v>1367</v>
      </c>
      <c r="B1526" s="27" t="str">
        <f t="shared" si="46"/>
        <v/>
      </c>
      <c r="C1526" s="27" t="str">
        <f t="shared" si="47"/>
        <v/>
      </c>
    </row>
    <row r="1527" spans="1:3" x14ac:dyDescent="0.25">
      <c r="A1527" s="27" t="s">
        <v>1367</v>
      </c>
      <c r="B1527" s="27" t="str">
        <f t="shared" si="46"/>
        <v/>
      </c>
      <c r="C1527" s="27" t="str">
        <f t="shared" si="47"/>
        <v/>
      </c>
    </row>
    <row r="1528" spans="1:3" x14ac:dyDescent="0.25">
      <c r="A1528" s="27" t="s">
        <v>1367</v>
      </c>
      <c r="B1528" s="27" t="str">
        <f t="shared" si="46"/>
        <v/>
      </c>
      <c r="C1528" s="27" t="str">
        <f t="shared" si="47"/>
        <v/>
      </c>
    </row>
    <row r="1529" spans="1:3" x14ac:dyDescent="0.25">
      <c r="A1529" s="27" t="s">
        <v>1367</v>
      </c>
      <c r="B1529" s="27" t="str">
        <f t="shared" si="46"/>
        <v/>
      </c>
      <c r="C1529" s="27" t="str">
        <f t="shared" si="47"/>
        <v/>
      </c>
    </row>
    <row r="1530" spans="1:3" x14ac:dyDescent="0.25">
      <c r="A1530" s="27" t="s">
        <v>1367</v>
      </c>
      <c r="B1530" s="27" t="str">
        <f t="shared" si="46"/>
        <v/>
      </c>
      <c r="C1530" s="27" t="str">
        <f t="shared" si="47"/>
        <v/>
      </c>
    </row>
    <row r="1531" spans="1:3" x14ac:dyDescent="0.25">
      <c r="A1531" s="27" t="s">
        <v>1367</v>
      </c>
      <c r="B1531" s="27" t="str">
        <f t="shared" si="46"/>
        <v/>
      </c>
      <c r="C1531" s="27" t="str">
        <f t="shared" si="47"/>
        <v/>
      </c>
    </row>
    <row r="1532" spans="1:3" x14ac:dyDescent="0.25">
      <c r="A1532" s="27" t="s">
        <v>1367</v>
      </c>
      <c r="B1532" s="27" t="str">
        <f t="shared" si="46"/>
        <v/>
      </c>
      <c r="C1532" s="27" t="str">
        <f t="shared" si="47"/>
        <v/>
      </c>
    </row>
    <row r="1533" spans="1:3" x14ac:dyDescent="0.25">
      <c r="A1533" s="27" t="s">
        <v>1367</v>
      </c>
      <c r="B1533" s="27" t="str">
        <f t="shared" si="46"/>
        <v/>
      </c>
      <c r="C1533" s="27" t="str">
        <f t="shared" si="47"/>
        <v/>
      </c>
    </row>
    <row r="1534" spans="1:3" x14ac:dyDescent="0.25">
      <c r="A1534" s="27" t="s">
        <v>1367</v>
      </c>
      <c r="B1534" s="27" t="str">
        <f t="shared" si="46"/>
        <v/>
      </c>
      <c r="C1534" s="27" t="str">
        <f t="shared" si="47"/>
        <v/>
      </c>
    </row>
    <row r="1535" spans="1:3" x14ac:dyDescent="0.25">
      <c r="A1535" s="27" t="s">
        <v>1367</v>
      </c>
      <c r="B1535" s="27" t="str">
        <f t="shared" si="46"/>
        <v/>
      </c>
      <c r="C1535" s="27" t="str">
        <f t="shared" si="47"/>
        <v/>
      </c>
    </row>
    <row r="1536" spans="1:3" x14ac:dyDescent="0.25">
      <c r="A1536" s="27" t="s">
        <v>1367</v>
      </c>
      <c r="B1536" s="27" t="str">
        <f t="shared" si="46"/>
        <v/>
      </c>
      <c r="C1536" s="27" t="str">
        <f t="shared" si="47"/>
        <v/>
      </c>
    </row>
    <row r="1537" spans="1:3" x14ac:dyDescent="0.25">
      <c r="A1537" s="27" t="s">
        <v>1367</v>
      </c>
      <c r="B1537" s="27" t="str">
        <f t="shared" si="46"/>
        <v/>
      </c>
      <c r="C1537" s="27" t="str">
        <f t="shared" si="47"/>
        <v/>
      </c>
    </row>
    <row r="1538" spans="1:3" x14ac:dyDescent="0.25">
      <c r="A1538" s="27" t="s">
        <v>1367</v>
      </c>
      <c r="B1538" s="27" t="str">
        <f t="shared" si="46"/>
        <v/>
      </c>
      <c r="C1538" s="27" t="str">
        <f t="shared" si="47"/>
        <v/>
      </c>
    </row>
    <row r="1539" spans="1:3" x14ac:dyDescent="0.25">
      <c r="A1539" s="27" t="s">
        <v>1367</v>
      </c>
      <c r="B1539" s="27" t="str">
        <f t="shared" ref="B1539:B1602" si="48">LEFT(A1539,FIND(";",A1539)-1)</f>
        <v/>
      </c>
      <c r="C1539" s="27" t="str">
        <f t="shared" ref="C1539:C1602" si="49">MID(A1539,FIND(";",A1539)+1,100)</f>
        <v/>
      </c>
    </row>
    <row r="1540" spans="1:3" x14ac:dyDescent="0.25">
      <c r="A1540" s="27" t="s">
        <v>1367</v>
      </c>
      <c r="B1540" s="27" t="str">
        <f t="shared" si="48"/>
        <v/>
      </c>
      <c r="C1540" s="27" t="str">
        <f t="shared" si="49"/>
        <v/>
      </c>
    </row>
    <row r="1541" spans="1:3" x14ac:dyDescent="0.25">
      <c r="A1541" s="27" t="s">
        <v>1367</v>
      </c>
      <c r="B1541" s="27" t="str">
        <f t="shared" si="48"/>
        <v/>
      </c>
      <c r="C1541" s="27" t="str">
        <f t="shared" si="49"/>
        <v/>
      </c>
    </row>
    <row r="1542" spans="1:3" x14ac:dyDescent="0.25">
      <c r="A1542" s="27" t="s">
        <v>1367</v>
      </c>
      <c r="B1542" s="27" t="str">
        <f t="shared" si="48"/>
        <v/>
      </c>
      <c r="C1542" s="27" t="str">
        <f t="shared" si="49"/>
        <v/>
      </c>
    </row>
    <row r="1543" spans="1:3" x14ac:dyDescent="0.25">
      <c r="A1543" s="27" t="s">
        <v>1367</v>
      </c>
      <c r="B1543" s="27" t="str">
        <f t="shared" si="48"/>
        <v/>
      </c>
      <c r="C1543" s="27" t="str">
        <f t="shared" si="49"/>
        <v/>
      </c>
    </row>
    <row r="1544" spans="1:3" x14ac:dyDescent="0.25">
      <c r="A1544" s="27" t="s">
        <v>1367</v>
      </c>
      <c r="B1544" s="27" t="str">
        <f t="shared" si="48"/>
        <v/>
      </c>
      <c r="C1544" s="27" t="str">
        <f t="shared" si="49"/>
        <v/>
      </c>
    </row>
    <row r="1545" spans="1:3" x14ac:dyDescent="0.25">
      <c r="A1545" s="27" t="s">
        <v>1367</v>
      </c>
      <c r="B1545" s="27" t="str">
        <f t="shared" si="48"/>
        <v/>
      </c>
      <c r="C1545" s="27" t="str">
        <f t="shared" si="49"/>
        <v/>
      </c>
    </row>
    <row r="1546" spans="1:3" x14ac:dyDescent="0.25">
      <c r="A1546" s="27" t="s">
        <v>1367</v>
      </c>
      <c r="B1546" s="27" t="str">
        <f t="shared" si="48"/>
        <v/>
      </c>
      <c r="C1546" s="27" t="str">
        <f t="shared" si="49"/>
        <v/>
      </c>
    </row>
    <row r="1547" spans="1:3" x14ac:dyDescent="0.25">
      <c r="A1547" s="27" t="s">
        <v>1367</v>
      </c>
      <c r="B1547" s="27" t="str">
        <f t="shared" si="48"/>
        <v/>
      </c>
      <c r="C1547" s="27" t="str">
        <f t="shared" si="49"/>
        <v/>
      </c>
    </row>
    <row r="1548" spans="1:3" x14ac:dyDescent="0.25">
      <c r="A1548" s="27" t="s">
        <v>1367</v>
      </c>
      <c r="B1548" s="27" t="str">
        <f t="shared" si="48"/>
        <v/>
      </c>
      <c r="C1548" s="27" t="str">
        <f t="shared" si="49"/>
        <v/>
      </c>
    </row>
    <row r="1549" spans="1:3" x14ac:dyDescent="0.25">
      <c r="A1549" s="27" t="s">
        <v>1367</v>
      </c>
      <c r="B1549" s="27" t="str">
        <f t="shared" si="48"/>
        <v/>
      </c>
      <c r="C1549" s="27" t="str">
        <f t="shared" si="49"/>
        <v/>
      </c>
    </row>
    <row r="1550" spans="1:3" x14ac:dyDescent="0.25">
      <c r="A1550" s="27" t="s">
        <v>1367</v>
      </c>
      <c r="B1550" s="27" t="str">
        <f t="shared" si="48"/>
        <v/>
      </c>
      <c r="C1550" s="27" t="str">
        <f t="shared" si="49"/>
        <v/>
      </c>
    </row>
    <row r="1551" spans="1:3" x14ac:dyDescent="0.25">
      <c r="A1551" s="27" t="s">
        <v>1367</v>
      </c>
      <c r="B1551" s="27" t="str">
        <f t="shared" si="48"/>
        <v/>
      </c>
      <c r="C1551" s="27" t="str">
        <f t="shared" si="49"/>
        <v/>
      </c>
    </row>
    <row r="1552" spans="1:3" x14ac:dyDescent="0.25">
      <c r="A1552" s="27" t="s">
        <v>1367</v>
      </c>
      <c r="B1552" s="27" t="str">
        <f t="shared" si="48"/>
        <v/>
      </c>
      <c r="C1552" s="27" t="str">
        <f t="shared" si="49"/>
        <v/>
      </c>
    </row>
    <row r="1553" spans="1:3" x14ac:dyDescent="0.25">
      <c r="A1553" s="27" t="s">
        <v>1367</v>
      </c>
      <c r="B1553" s="27" t="str">
        <f t="shared" si="48"/>
        <v/>
      </c>
      <c r="C1553" s="27" t="str">
        <f t="shared" si="49"/>
        <v/>
      </c>
    </row>
    <row r="1554" spans="1:3" x14ac:dyDescent="0.25">
      <c r="A1554" s="27" t="s">
        <v>1367</v>
      </c>
      <c r="B1554" s="27" t="str">
        <f t="shared" si="48"/>
        <v/>
      </c>
      <c r="C1554" s="27" t="str">
        <f t="shared" si="49"/>
        <v/>
      </c>
    </row>
    <row r="1555" spans="1:3" x14ac:dyDescent="0.25">
      <c r="A1555" s="27" t="s">
        <v>1367</v>
      </c>
      <c r="B1555" s="27" t="str">
        <f t="shared" si="48"/>
        <v/>
      </c>
      <c r="C1555" s="27" t="str">
        <f t="shared" si="49"/>
        <v/>
      </c>
    </row>
    <row r="1556" spans="1:3" x14ac:dyDescent="0.25">
      <c r="A1556" s="27" t="s">
        <v>1367</v>
      </c>
      <c r="B1556" s="27" t="str">
        <f t="shared" si="48"/>
        <v/>
      </c>
      <c r="C1556" s="27" t="str">
        <f t="shared" si="49"/>
        <v/>
      </c>
    </row>
    <row r="1557" spans="1:3" x14ac:dyDescent="0.25">
      <c r="A1557" s="27" t="s">
        <v>1367</v>
      </c>
      <c r="B1557" s="27" t="str">
        <f t="shared" si="48"/>
        <v/>
      </c>
      <c r="C1557" s="27" t="str">
        <f t="shared" si="49"/>
        <v/>
      </c>
    </row>
    <row r="1558" spans="1:3" x14ac:dyDescent="0.25">
      <c r="A1558" s="27" t="s">
        <v>1367</v>
      </c>
      <c r="B1558" s="27" t="str">
        <f t="shared" si="48"/>
        <v/>
      </c>
      <c r="C1558" s="27" t="str">
        <f t="shared" si="49"/>
        <v/>
      </c>
    </row>
    <row r="1559" spans="1:3" x14ac:dyDescent="0.25">
      <c r="A1559" s="27" t="s">
        <v>1367</v>
      </c>
      <c r="B1559" s="27" t="str">
        <f t="shared" si="48"/>
        <v/>
      </c>
      <c r="C1559" s="27" t="str">
        <f t="shared" si="49"/>
        <v/>
      </c>
    </row>
    <row r="1560" spans="1:3" x14ac:dyDescent="0.25">
      <c r="A1560" s="27" t="s">
        <v>1367</v>
      </c>
      <c r="B1560" s="27" t="str">
        <f t="shared" si="48"/>
        <v/>
      </c>
      <c r="C1560" s="27" t="str">
        <f t="shared" si="49"/>
        <v/>
      </c>
    </row>
    <row r="1561" spans="1:3" x14ac:dyDescent="0.25">
      <c r="A1561" s="27" t="s">
        <v>1367</v>
      </c>
      <c r="B1561" s="27" t="str">
        <f t="shared" si="48"/>
        <v/>
      </c>
      <c r="C1561" s="27" t="str">
        <f t="shared" si="49"/>
        <v/>
      </c>
    </row>
    <row r="1562" spans="1:3" x14ac:dyDescent="0.25">
      <c r="A1562" s="27" t="s">
        <v>1367</v>
      </c>
      <c r="B1562" s="27" t="str">
        <f t="shared" si="48"/>
        <v/>
      </c>
      <c r="C1562" s="27" t="str">
        <f t="shared" si="49"/>
        <v/>
      </c>
    </row>
    <row r="1563" spans="1:3" x14ac:dyDescent="0.25">
      <c r="A1563" s="27" t="s">
        <v>1367</v>
      </c>
      <c r="B1563" s="27" t="str">
        <f t="shared" si="48"/>
        <v/>
      </c>
      <c r="C1563" s="27" t="str">
        <f t="shared" si="49"/>
        <v/>
      </c>
    </row>
    <row r="1564" spans="1:3" x14ac:dyDescent="0.25">
      <c r="A1564" s="27" t="s">
        <v>1367</v>
      </c>
      <c r="B1564" s="27" t="str">
        <f t="shared" si="48"/>
        <v/>
      </c>
      <c r="C1564" s="27" t="str">
        <f t="shared" si="49"/>
        <v/>
      </c>
    </row>
    <row r="1565" spans="1:3" x14ac:dyDescent="0.25">
      <c r="A1565" s="27" t="s">
        <v>1367</v>
      </c>
      <c r="B1565" s="27" t="str">
        <f t="shared" si="48"/>
        <v/>
      </c>
      <c r="C1565" s="27" t="str">
        <f t="shared" si="49"/>
        <v/>
      </c>
    </row>
    <row r="1566" spans="1:3" x14ac:dyDescent="0.25">
      <c r="A1566" s="27" t="s">
        <v>1367</v>
      </c>
      <c r="B1566" s="27" t="str">
        <f t="shared" si="48"/>
        <v/>
      </c>
      <c r="C1566" s="27" t="str">
        <f t="shared" si="49"/>
        <v/>
      </c>
    </row>
    <row r="1567" spans="1:3" x14ac:dyDescent="0.25">
      <c r="A1567" s="27" t="s">
        <v>1367</v>
      </c>
      <c r="B1567" s="27" t="str">
        <f t="shared" si="48"/>
        <v/>
      </c>
      <c r="C1567" s="27" t="str">
        <f t="shared" si="49"/>
        <v/>
      </c>
    </row>
    <row r="1568" spans="1:3" x14ac:dyDescent="0.25">
      <c r="A1568" s="27" t="s">
        <v>1367</v>
      </c>
      <c r="B1568" s="27" t="str">
        <f t="shared" si="48"/>
        <v/>
      </c>
      <c r="C1568" s="27" t="str">
        <f t="shared" si="49"/>
        <v/>
      </c>
    </row>
    <row r="1569" spans="1:3" x14ac:dyDescent="0.25">
      <c r="A1569" s="27" t="s">
        <v>1367</v>
      </c>
      <c r="B1569" s="27" t="str">
        <f t="shared" si="48"/>
        <v/>
      </c>
      <c r="C1569" s="27" t="str">
        <f t="shared" si="49"/>
        <v/>
      </c>
    </row>
    <row r="1570" spans="1:3" x14ac:dyDescent="0.25">
      <c r="A1570" s="27" t="s">
        <v>1367</v>
      </c>
      <c r="B1570" s="27" t="str">
        <f t="shared" si="48"/>
        <v/>
      </c>
      <c r="C1570" s="27" t="str">
        <f t="shared" si="49"/>
        <v/>
      </c>
    </row>
    <row r="1571" spans="1:3" x14ac:dyDescent="0.25">
      <c r="A1571" s="27" t="s">
        <v>1367</v>
      </c>
      <c r="B1571" s="27" t="str">
        <f t="shared" si="48"/>
        <v/>
      </c>
      <c r="C1571" s="27" t="str">
        <f t="shared" si="49"/>
        <v/>
      </c>
    </row>
    <row r="1572" spans="1:3" x14ac:dyDescent="0.25">
      <c r="A1572" s="27" t="s">
        <v>1367</v>
      </c>
      <c r="B1572" s="27" t="str">
        <f t="shared" si="48"/>
        <v/>
      </c>
      <c r="C1572" s="27" t="str">
        <f t="shared" si="49"/>
        <v/>
      </c>
    </row>
    <row r="1573" spans="1:3" x14ac:dyDescent="0.25">
      <c r="A1573" s="27" t="s">
        <v>1367</v>
      </c>
      <c r="B1573" s="27" t="str">
        <f t="shared" si="48"/>
        <v/>
      </c>
      <c r="C1573" s="27" t="str">
        <f t="shared" si="49"/>
        <v/>
      </c>
    </row>
    <row r="1574" spans="1:3" x14ac:dyDescent="0.25">
      <c r="A1574" s="27" t="s">
        <v>1367</v>
      </c>
      <c r="B1574" s="27" t="str">
        <f t="shared" si="48"/>
        <v/>
      </c>
      <c r="C1574" s="27" t="str">
        <f t="shared" si="49"/>
        <v/>
      </c>
    </row>
    <row r="1575" spans="1:3" x14ac:dyDescent="0.25">
      <c r="A1575" s="27" t="s">
        <v>1367</v>
      </c>
      <c r="B1575" s="27" t="str">
        <f t="shared" si="48"/>
        <v/>
      </c>
      <c r="C1575" s="27" t="str">
        <f t="shared" si="49"/>
        <v/>
      </c>
    </row>
    <row r="1576" spans="1:3" x14ac:dyDescent="0.25">
      <c r="A1576" s="27" t="s">
        <v>1367</v>
      </c>
      <c r="B1576" s="27" t="str">
        <f t="shared" si="48"/>
        <v/>
      </c>
      <c r="C1576" s="27" t="str">
        <f t="shared" si="49"/>
        <v/>
      </c>
    </row>
    <row r="1577" spans="1:3" x14ac:dyDescent="0.25">
      <c r="A1577" s="27" t="s">
        <v>1367</v>
      </c>
      <c r="B1577" s="27" t="str">
        <f t="shared" si="48"/>
        <v/>
      </c>
      <c r="C1577" s="27" t="str">
        <f t="shared" si="49"/>
        <v/>
      </c>
    </row>
    <row r="1578" spans="1:3" x14ac:dyDescent="0.25">
      <c r="A1578" s="27" t="s">
        <v>1367</v>
      </c>
      <c r="B1578" s="27" t="str">
        <f t="shared" si="48"/>
        <v/>
      </c>
      <c r="C1578" s="27" t="str">
        <f t="shared" si="49"/>
        <v/>
      </c>
    </row>
    <row r="1579" spans="1:3" x14ac:dyDescent="0.25">
      <c r="A1579" s="27" t="s">
        <v>1367</v>
      </c>
      <c r="B1579" s="27" t="str">
        <f t="shared" si="48"/>
        <v/>
      </c>
      <c r="C1579" s="27" t="str">
        <f t="shared" si="49"/>
        <v/>
      </c>
    </row>
    <row r="1580" spans="1:3" x14ac:dyDescent="0.25">
      <c r="A1580" s="27" t="s">
        <v>1367</v>
      </c>
      <c r="B1580" s="27" t="str">
        <f t="shared" si="48"/>
        <v/>
      </c>
      <c r="C1580" s="27" t="str">
        <f t="shared" si="49"/>
        <v/>
      </c>
    </row>
    <row r="1581" spans="1:3" x14ac:dyDescent="0.25">
      <c r="A1581" s="27" t="s">
        <v>1367</v>
      </c>
      <c r="B1581" s="27" t="str">
        <f t="shared" si="48"/>
        <v/>
      </c>
      <c r="C1581" s="27" t="str">
        <f t="shared" si="49"/>
        <v/>
      </c>
    </row>
    <row r="1582" spans="1:3" x14ac:dyDescent="0.25">
      <c r="A1582" s="27" t="s">
        <v>1367</v>
      </c>
      <c r="B1582" s="27" t="str">
        <f t="shared" si="48"/>
        <v/>
      </c>
      <c r="C1582" s="27" t="str">
        <f t="shared" si="49"/>
        <v/>
      </c>
    </row>
    <row r="1583" spans="1:3" x14ac:dyDescent="0.25">
      <c r="A1583" s="27" t="s">
        <v>1367</v>
      </c>
      <c r="B1583" s="27" t="str">
        <f t="shared" si="48"/>
        <v/>
      </c>
      <c r="C1583" s="27" t="str">
        <f t="shared" si="49"/>
        <v/>
      </c>
    </row>
    <row r="1584" spans="1:3" x14ac:dyDescent="0.25">
      <c r="A1584" s="27" t="s">
        <v>1367</v>
      </c>
      <c r="B1584" s="27" t="str">
        <f t="shared" si="48"/>
        <v/>
      </c>
      <c r="C1584" s="27" t="str">
        <f t="shared" si="49"/>
        <v/>
      </c>
    </row>
    <row r="1585" spans="1:3" x14ac:dyDescent="0.25">
      <c r="A1585" s="27" t="s">
        <v>1367</v>
      </c>
      <c r="B1585" s="27" t="str">
        <f t="shared" si="48"/>
        <v/>
      </c>
      <c r="C1585" s="27" t="str">
        <f t="shared" si="49"/>
        <v/>
      </c>
    </row>
    <row r="1586" spans="1:3" x14ac:dyDescent="0.25">
      <c r="A1586" s="27" t="s">
        <v>1367</v>
      </c>
      <c r="B1586" s="27" t="str">
        <f t="shared" si="48"/>
        <v/>
      </c>
      <c r="C1586" s="27" t="str">
        <f t="shared" si="49"/>
        <v/>
      </c>
    </row>
    <row r="1587" spans="1:3" x14ac:dyDescent="0.25">
      <c r="A1587" s="27" t="s">
        <v>1367</v>
      </c>
      <c r="B1587" s="27" t="str">
        <f t="shared" si="48"/>
        <v/>
      </c>
      <c r="C1587" s="27" t="str">
        <f t="shared" si="49"/>
        <v/>
      </c>
    </row>
    <row r="1588" spans="1:3" x14ac:dyDescent="0.25">
      <c r="A1588" s="27" t="s">
        <v>1367</v>
      </c>
      <c r="B1588" s="27" t="str">
        <f t="shared" si="48"/>
        <v/>
      </c>
      <c r="C1588" s="27" t="str">
        <f t="shared" si="49"/>
        <v/>
      </c>
    </row>
    <row r="1589" spans="1:3" x14ac:dyDescent="0.25">
      <c r="A1589" s="27" t="s">
        <v>1367</v>
      </c>
      <c r="B1589" s="27" t="str">
        <f t="shared" si="48"/>
        <v/>
      </c>
      <c r="C1589" s="27" t="str">
        <f t="shared" si="49"/>
        <v/>
      </c>
    </row>
    <row r="1590" spans="1:3" x14ac:dyDescent="0.25">
      <c r="A1590" s="27" t="s">
        <v>1367</v>
      </c>
      <c r="B1590" s="27" t="str">
        <f t="shared" si="48"/>
        <v/>
      </c>
      <c r="C1590" s="27" t="str">
        <f t="shared" si="49"/>
        <v/>
      </c>
    </row>
    <row r="1591" spans="1:3" x14ac:dyDescent="0.25">
      <c r="A1591" s="27" t="s">
        <v>1367</v>
      </c>
      <c r="B1591" s="27" t="str">
        <f t="shared" si="48"/>
        <v/>
      </c>
      <c r="C1591" s="27" t="str">
        <f t="shared" si="49"/>
        <v/>
      </c>
    </row>
    <row r="1592" spans="1:3" x14ac:dyDescent="0.25">
      <c r="A1592" s="27" t="s">
        <v>1367</v>
      </c>
      <c r="B1592" s="27" t="str">
        <f t="shared" si="48"/>
        <v/>
      </c>
      <c r="C1592" s="27" t="str">
        <f t="shared" si="49"/>
        <v/>
      </c>
    </row>
    <row r="1593" spans="1:3" x14ac:dyDescent="0.25">
      <c r="A1593" s="27" t="s">
        <v>1367</v>
      </c>
      <c r="B1593" s="27" t="str">
        <f t="shared" si="48"/>
        <v/>
      </c>
      <c r="C1593" s="27" t="str">
        <f t="shared" si="49"/>
        <v/>
      </c>
    </row>
    <row r="1594" spans="1:3" x14ac:dyDescent="0.25">
      <c r="A1594" s="27" t="s">
        <v>1367</v>
      </c>
      <c r="B1594" s="27" t="str">
        <f t="shared" si="48"/>
        <v/>
      </c>
      <c r="C1594" s="27" t="str">
        <f t="shared" si="49"/>
        <v/>
      </c>
    </row>
    <row r="1595" spans="1:3" x14ac:dyDescent="0.25">
      <c r="A1595" s="27" t="s">
        <v>1367</v>
      </c>
      <c r="B1595" s="27" t="str">
        <f t="shared" si="48"/>
        <v/>
      </c>
      <c r="C1595" s="27" t="str">
        <f t="shared" si="49"/>
        <v/>
      </c>
    </row>
    <row r="1596" spans="1:3" x14ac:dyDescent="0.25">
      <c r="A1596" s="27" t="s">
        <v>1367</v>
      </c>
      <c r="B1596" s="27" t="str">
        <f t="shared" si="48"/>
        <v/>
      </c>
      <c r="C1596" s="27" t="str">
        <f t="shared" si="49"/>
        <v/>
      </c>
    </row>
    <row r="1597" spans="1:3" x14ac:dyDescent="0.25">
      <c r="A1597" s="27" t="s">
        <v>1367</v>
      </c>
      <c r="B1597" s="27" t="str">
        <f t="shared" si="48"/>
        <v/>
      </c>
      <c r="C1597" s="27" t="str">
        <f t="shared" si="49"/>
        <v/>
      </c>
    </row>
    <row r="1598" spans="1:3" x14ac:dyDescent="0.25">
      <c r="A1598" s="27" t="s">
        <v>1367</v>
      </c>
      <c r="B1598" s="27" t="str">
        <f t="shared" si="48"/>
        <v/>
      </c>
      <c r="C1598" s="27" t="str">
        <f t="shared" si="49"/>
        <v/>
      </c>
    </row>
    <row r="1599" spans="1:3" x14ac:dyDescent="0.25">
      <c r="A1599" s="27" t="s">
        <v>1367</v>
      </c>
      <c r="B1599" s="27" t="str">
        <f t="shared" si="48"/>
        <v/>
      </c>
      <c r="C1599" s="27" t="str">
        <f t="shared" si="49"/>
        <v/>
      </c>
    </row>
    <row r="1600" spans="1:3" x14ac:dyDescent="0.25">
      <c r="A1600" s="27" t="s">
        <v>1367</v>
      </c>
      <c r="B1600" s="27" t="str">
        <f t="shared" si="48"/>
        <v/>
      </c>
      <c r="C1600" s="27" t="str">
        <f t="shared" si="49"/>
        <v/>
      </c>
    </row>
    <row r="1601" spans="1:3" x14ac:dyDescent="0.25">
      <c r="A1601" s="27" t="s">
        <v>1367</v>
      </c>
      <c r="B1601" s="27" t="str">
        <f t="shared" si="48"/>
        <v/>
      </c>
      <c r="C1601" s="27" t="str">
        <f t="shared" si="49"/>
        <v/>
      </c>
    </row>
    <row r="1602" spans="1:3" x14ac:dyDescent="0.25">
      <c r="A1602" s="27" t="s">
        <v>1367</v>
      </c>
      <c r="B1602" s="27" t="str">
        <f t="shared" si="48"/>
        <v/>
      </c>
      <c r="C1602" s="27" t="str">
        <f t="shared" si="49"/>
        <v/>
      </c>
    </row>
    <row r="1603" spans="1:3" x14ac:dyDescent="0.25">
      <c r="A1603" s="27" t="s">
        <v>1367</v>
      </c>
      <c r="B1603" s="27" t="str">
        <f t="shared" ref="B1603:B1609" si="50">LEFT(A1603,FIND(";",A1603)-1)</f>
        <v/>
      </c>
      <c r="C1603" s="27" t="str">
        <f t="shared" ref="C1603:C1609" si="51">MID(A1603,FIND(";",A1603)+1,100)</f>
        <v/>
      </c>
    </row>
    <row r="1604" spans="1:3" x14ac:dyDescent="0.25">
      <c r="A1604" s="27" t="s">
        <v>1367</v>
      </c>
      <c r="B1604" s="27" t="str">
        <f t="shared" si="50"/>
        <v/>
      </c>
      <c r="C1604" s="27" t="str">
        <f t="shared" si="51"/>
        <v/>
      </c>
    </row>
    <row r="1605" spans="1:3" x14ac:dyDescent="0.25">
      <c r="A1605" s="27" t="s">
        <v>1367</v>
      </c>
      <c r="B1605" s="27" t="str">
        <f t="shared" si="50"/>
        <v/>
      </c>
      <c r="C1605" s="27" t="str">
        <f t="shared" si="51"/>
        <v/>
      </c>
    </row>
    <row r="1606" spans="1:3" x14ac:dyDescent="0.25">
      <c r="A1606" s="27" t="s">
        <v>1367</v>
      </c>
      <c r="B1606" s="27" t="str">
        <f t="shared" si="50"/>
        <v/>
      </c>
      <c r="C1606" s="27" t="str">
        <f t="shared" si="51"/>
        <v/>
      </c>
    </row>
    <row r="1607" spans="1:3" x14ac:dyDescent="0.25">
      <c r="A1607" s="27" t="s">
        <v>1367</v>
      </c>
      <c r="B1607" s="27" t="str">
        <f t="shared" si="50"/>
        <v/>
      </c>
      <c r="C1607" s="27" t="str">
        <f t="shared" si="51"/>
        <v/>
      </c>
    </row>
    <row r="1608" spans="1:3" x14ac:dyDescent="0.25">
      <c r="A1608" s="27" t="s">
        <v>1367</v>
      </c>
      <c r="B1608" s="27" t="str">
        <f t="shared" si="50"/>
        <v/>
      </c>
      <c r="C1608" s="27" t="str">
        <f t="shared" si="51"/>
        <v/>
      </c>
    </row>
    <row r="1609" spans="1:3" x14ac:dyDescent="0.25">
      <c r="A1609" s="27" t="s">
        <v>1367</v>
      </c>
      <c r="B1609" s="27" t="str">
        <f t="shared" si="50"/>
        <v/>
      </c>
      <c r="C1609" s="27" t="str">
        <f t="shared" si="51"/>
        <v/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"/>
  <sheetViews>
    <sheetView workbookViewId="0"/>
  </sheetViews>
  <sheetFormatPr defaultColWidth="8.85546875" defaultRowHeight="15" x14ac:dyDescent="0.25"/>
  <cols>
    <col min="1" max="1" width="17.28515625" bestFit="1" customWidth="1"/>
  </cols>
  <sheetData>
    <row r="1" spans="1:3" x14ac:dyDescent="0.25">
      <c r="A1" t="s">
        <v>2</v>
      </c>
      <c r="B1" t="s">
        <v>217</v>
      </c>
      <c r="C1" t="s">
        <v>214</v>
      </c>
    </row>
    <row r="2" spans="1:3" x14ac:dyDescent="0.25">
      <c r="A2" t="s">
        <v>219</v>
      </c>
      <c r="B2">
        <v>18.2</v>
      </c>
      <c r="C2" s="4" t="s">
        <v>218</v>
      </c>
    </row>
    <row r="3" spans="1:3" x14ac:dyDescent="0.25">
      <c r="A3" t="s">
        <v>183</v>
      </c>
      <c r="B3">
        <v>18</v>
      </c>
      <c r="C3" s="4" t="s">
        <v>218</v>
      </c>
    </row>
    <row r="4" spans="1:3" x14ac:dyDescent="0.25">
      <c r="A4" t="s">
        <v>191</v>
      </c>
      <c r="B4">
        <v>18.48</v>
      </c>
      <c r="C4" s="4" t="s">
        <v>218</v>
      </c>
    </row>
    <row r="5" spans="1:3" x14ac:dyDescent="0.25">
      <c r="A5" t="s">
        <v>206</v>
      </c>
      <c r="B5">
        <v>18.739999999999998</v>
      </c>
      <c r="C5" s="4" t="s">
        <v>218</v>
      </c>
    </row>
    <row r="6" spans="1:3" x14ac:dyDescent="0.25">
      <c r="A6" t="s">
        <v>185</v>
      </c>
      <c r="B6">
        <v>18.32</v>
      </c>
      <c r="C6" s="4" t="s">
        <v>218</v>
      </c>
    </row>
    <row r="7" spans="1:3" x14ac:dyDescent="0.25">
      <c r="A7" t="s">
        <v>200</v>
      </c>
      <c r="B7">
        <v>18.350000000000001</v>
      </c>
      <c r="C7" s="4" t="s">
        <v>218</v>
      </c>
    </row>
    <row r="8" spans="1:3" x14ac:dyDescent="0.25">
      <c r="A8" t="s">
        <v>215</v>
      </c>
      <c r="B8">
        <v>17.52</v>
      </c>
      <c r="C8" s="4" t="s">
        <v>218</v>
      </c>
    </row>
    <row r="9" spans="1:3" x14ac:dyDescent="0.25">
      <c r="A9" t="s">
        <v>194</v>
      </c>
      <c r="B9">
        <v>17.52</v>
      </c>
      <c r="C9" s="4" t="s">
        <v>218</v>
      </c>
    </row>
    <row r="10" spans="1:3" x14ac:dyDescent="0.25">
      <c r="A10" t="s">
        <v>192</v>
      </c>
      <c r="B10">
        <v>15.19</v>
      </c>
      <c r="C10" s="4" t="s">
        <v>218</v>
      </c>
    </row>
    <row r="11" spans="1:3" x14ac:dyDescent="0.25">
      <c r="A11" t="s">
        <v>199</v>
      </c>
      <c r="B11">
        <v>14.32</v>
      </c>
      <c r="C11" s="4" t="s">
        <v>218</v>
      </c>
    </row>
    <row r="12" spans="1:3" x14ac:dyDescent="0.25">
      <c r="A12" t="s">
        <v>144</v>
      </c>
      <c r="B12">
        <v>15.27</v>
      </c>
      <c r="C12" s="4" t="s">
        <v>218</v>
      </c>
    </row>
    <row r="13" spans="1:3" x14ac:dyDescent="0.25">
      <c r="A13" t="s">
        <v>179</v>
      </c>
      <c r="B13">
        <v>15.45</v>
      </c>
      <c r="C13" s="4" t="s">
        <v>218</v>
      </c>
    </row>
    <row r="14" spans="1:3" x14ac:dyDescent="0.25">
      <c r="A14" t="s">
        <v>178</v>
      </c>
      <c r="B14">
        <v>17.760000000000002</v>
      </c>
      <c r="C14" s="4" t="s">
        <v>218</v>
      </c>
    </row>
    <row r="15" spans="1:3" x14ac:dyDescent="0.25">
      <c r="A15" t="s">
        <v>186</v>
      </c>
      <c r="B15">
        <v>16.95</v>
      </c>
      <c r="C15" s="4" t="s">
        <v>218</v>
      </c>
    </row>
    <row r="16" spans="1:3" x14ac:dyDescent="0.25">
      <c r="A16" t="s">
        <v>209</v>
      </c>
      <c r="B16">
        <v>19.2</v>
      </c>
      <c r="C16" s="4" t="s">
        <v>218</v>
      </c>
    </row>
    <row r="17" spans="1:3" x14ac:dyDescent="0.25">
      <c r="A17" t="s">
        <v>187</v>
      </c>
      <c r="B17">
        <v>19.98</v>
      </c>
      <c r="C17" s="4" t="s">
        <v>218</v>
      </c>
    </row>
    <row r="18" spans="1:3" x14ac:dyDescent="0.25">
      <c r="A18" t="s">
        <v>181</v>
      </c>
      <c r="B18">
        <v>19.32</v>
      </c>
      <c r="C18" s="4" t="s">
        <v>218</v>
      </c>
    </row>
    <row r="19" spans="1:3" x14ac:dyDescent="0.25">
      <c r="A19" t="s">
        <v>188</v>
      </c>
      <c r="B19">
        <v>14.57</v>
      </c>
      <c r="C19" s="4" t="s">
        <v>218</v>
      </c>
    </row>
    <row r="20" spans="1:3" x14ac:dyDescent="0.25">
      <c r="A20" t="s">
        <v>196</v>
      </c>
      <c r="B20">
        <v>21.82</v>
      </c>
      <c r="C20" s="4" t="s">
        <v>218</v>
      </c>
    </row>
    <row r="21" spans="1:3" x14ac:dyDescent="0.25">
      <c r="A21" t="s">
        <v>202</v>
      </c>
      <c r="B21">
        <v>20.41</v>
      </c>
      <c r="C21" s="4" t="s">
        <v>218</v>
      </c>
    </row>
    <row r="22" spans="1:3" x14ac:dyDescent="0.25">
      <c r="A22" t="s">
        <v>190</v>
      </c>
      <c r="B22">
        <v>18.87</v>
      </c>
      <c r="C22" s="4" t="s">
        <v>218</v>
      </c>
    </row>
    <row r="23" spans="1:3" x14ac:dyDescent="0.25">
      <c r="A23" t="s">
        <v>182</v>
      </c>
      <c r="B23">
        <v>17.46</v>
      </c>
      <c r="C23" s="4" t="s">
        <v>218</v>
      </c>
    </row>
    <row r="24" spans="1:3" x14ac:dyDescent="0.25">
      <c r="A24" t="s">
        <v>174</v>
      </c>
      <c r="B24">
        <v>11.98</v>
      </c>
      <c r="C24" s="4" t="s">
        <v>218</v>
      </c>
    </row>
    <row r="25" spans="1:3" x14ac:dyDescent="0.25">
      <c r="A25" t="s">
        <v>184</v>
      </c>
      <c r="B25">
        <v>11.53</v>
      </c>
      <c r="C25" s="4" t="s">
        <v>218</v>
      </c>
    </row>
    <row r="26" spans="1:3" x14ac:dyDescent="0.25">
      <c r="A26" t="s">
        <v>207</v>
      </c>
      <c r="B26">
        <v>10.43</v>
      </c>
      <c r="C26" s="4" t="s">
        <v>218</v>
      </c>
    </row>
    <row r="27" spans="1:3" x14ac:dyDescent="0.25">
      <c r="A27" t="s">
        <v>208</v>
      </c>
      <c r="B27">
        <v>13.55</v>
      </c>
      <c r="C27" s="4" t="s">
        <v>218</v>
      </c>
    </row>
    <row r="28" spans="1:3" x14ac:dyDescent="0.25">
      <c r="A28" t="s">
        <v>195</v>
      </c>
      <c r="B28">
        <v>8.56</v>
      </c>
      <c r="C28" s="4" t="s">
        <v>218</v>
      </c>
    </row>
    <row r="29" spans="1:3" x14ac:dyDescent="0.25">
      <c r="A29" t="s">
        <v>201</v>
      </c>
      <c r="B29">
        <v>7.34</v>
      </c>
      <c r="C29" s="4" t="s">
        <v>218</v>
      </c>
    </row>
    <row r="30" spans="1:3" x14ac:dyDescent="0.25">
      <c r="A30" t="s">
        <v>89</v>
      </c>
      <c r="B30">
        <v>8.0500000000000007</v>
      </c>
      <c r="C30" s="4" t="s">
        <v>218</v>
      </c>
    </row>
    <row r="31" spans="1:3" x14ac:dyDescent="0.25">
      <c r="A31" t="s">
        <v>176</v>
      </c>
      <c r="B31">
        <v>11.32</v>
      </c>
      <c r="C31" s="4" t="s">
        <v>218</v>
      </c>
    </row>
    <row r="32" spans="1:3" x14ac:dyDescent="0.25">
      <c r="A32" t="s">
        <v>220</v>
      </c>
      <c r="B32">
        <v>10.72</v>
      </c>
      <c r="C32" s="4" t="s">
        <v>218</v>
      </c>
    </row>
    <row r="33" spans="1:3" x14ac:dyDescent="0.25">
      <c r="A33" t="s">
        <v>120</v>
      </c>
      <c r="B33">
        <v>12.24</v>
      </c>
      <c r="C33" s="4" t="s">
        <v>218</v>
      </c>
    </row>
    <row r="34" spans="1:3" x14ac:dyDescent="0.25">
      <c r="A34" t="s">
        <v>203</v>
      </c>
      <c r="B34">
        <v>10.33</v>
      </c>
      <c r="C34" s="4" t="s">
        <v>218</v>
      </c>
    </row>
    <row r="35" spans="1:3" x14ac:dyDescent="0.25">
      <c r="A35" t="s">
        <v>5</v>
      </c>
      <c r="B35">
        <v>8.6300000000000008</v>
      </c>
      <c r="C35" s="4" t="s">
        <v>218</v>
      </c>
    </row>
    <row r="36" spans="1:3" x14ac:dyDescent="0.25">
      <c r="A36" t="s">
        <v>73</v>
      </c>
      <c r="B36">
        <v>9.27</v>
      </c>
      <c r="C36" s="4" t="s">
        <v>218</v>
      </c>
    </row>
    <row r="37" spans="1:3" x14ac:dyDescent="0.25">
      <c r="A37" t="s">
        <v>61</v>
      </c>
      <c r="B37">
        <v>10.54</v>
      </c>
      <c r="C37" s="4" t="s">
        <v>218</v>
      </c>
    </row>
    <row r="38" spans="1:3" x14ac:dyDescent="0.25">
      <c r="A38" t="s">
        <v>152</v>
      </c>
      <c r="B38">
        <v>10.3</v>
      </c>
      <c r="C38" s="4" t="s">
        <v>218</v>
      </c>
    </row>
    <row r="39" spans="1:3" x14ac:dyDescent="0.25">
      <c r="A39" t="s">
        <v>197</v>
      </c>
      <c r="B39">
        <v>14.52</v>
      </c>
      <c r="C39" s="4" t="s">
        <v>218</v>
      </c>
    </row>
    <row r="40" spans="1:3" x14ac:dyDescent="0.25">
      <c r="A40" t="s">
        <v>204</v>
      </c>
      <c r="B40">
        <v>12.94</v>
      </c>
      <c r="C40" s="4" t="s">
        <v>218</v>
      </c>
    </row>
    <row r="41" spans="1:3" x14ac:dyDescent="0.25">
      <c r="A41" t="s">
        <v>189</v>
      </c>
      <c r="B41">
        <v>32.119999999999997</v>
      </c>
      <c r="C41" s="4" t="s">
        <v>218</v>
      </c>
    </row>
    <row r="42" spans="1:3" x14ac:dyDescent="0.25">
      <c r="A42" t="s">
        <v>177</v>
      </c>
      <c r="B42">
        <v>28.13</v>
      </c>
      <c r="C42" s="4" t="s">
        <v>218</v>
      </c>
    </row>
    <row r="43" spans="1:3" x14ac:dyDescent="0.25">
      <c r="A43" t="s">
        <v>210</v>
      </c>
      <c r="B43">
        <v>29.64</v>
      </c>
      <c r="C43" s="4" t="s">
        <v>218</v>
      </c>
    </row>
    <row r="44" spans="1:3" x14ac:dyDescent="0.25">
      <c r="A44" t="s">
        <v>173</v>
      </c>
      <c r="B44">
        <v>23.23</v>
      </c>
      <c r="C44" s="4" t="s">
        <v>218</v>
      </c>
    </row>
    <row r="45" spans="1:3" x14ac:dyDescent="0.25">
      <c r="A45" t="s">
        <v>193</v>
      </c>
      <c r="B45">
        <v>18.45</v>
      </c>
      <c r="C45" s="4" t="s">
        <v>218</v>
      </c>
    </row>
    <row r="46" spans="1:3" x14ac:dyDescent="0.25">
      <c r="A46" t="s">
        <v>171</v>
      </c>
      <c r="B46">
        <v>28.23</v>
      </c>
      <c r="C46" s="4" t="s">
        <v>218</v>
      </c>
    </row>
    <row r="47" spans="1:3" x14ac:dyDescent="0.25">
      <c r="A47" t="s">
        <v>205</v>
      </c>
      <c r="B47">
        <v>25.72</v>
      </c>
      <c r="C47" s="4" t="s">
        <v>218</v>
      </c>
    </row>
    <row r="48" spans="1:3" x14ac:dyDescent="0.25">
      <c r="A48" t="s">
        <v>74</v>
      </c>
      <c r="B48">
        <v>31.76</v>
      </c>
      <c r="C48" s="4" t="s">
        <v>218</v>
      </c>
    </row>
    <row r="49" spans="1:3" x14ac:dyDescent="0.25">
      <c r="A49" t="s">
        <v>56</v>
      </c>
      <c r="B49">
        <v>25.06</v>
      </c>
      <c r="C49" s="4" t="s">
        <v>218</v>
      </c>
    </row>
    <row r="50" spans="1:3" x14ac:dyDescent="0.25">
      <c r="A50" t="s">
        <v>198</v>
      </c>
      <c r="B50">
        <v>22.89</v>
      </c>
      <c r="C50" s="4" t="s">
        <v>218</v>
      </c>
    </row>
    <row r="51" spans="1:3" x14ac:dyDescent="0.25">
      <c r="A51" t="s">
        <v>172</v>
      </c>
      <c r="B51">
        <v>25.64</v>
      </c>
      <c r="C51" s="4" t="s">
        <v>218</v>
      </c>
    </row>
  </sheetData>
  <autoFilter ref="A1:C1"/>
  <hyperlinks>
    <hyperlink ref="C3:C51" r:id="rId1" display="https://ia601507.us.archive.org/29/items/ManpowerInEconomicGrowthTableA-24/Table%20A-24%20Average%20Monthly%20Earnings%20with%20board,%201899-1948.jpg"/>
    <hyperlink ref="C2" r:id="rId2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/>
  </sheetViews>
  <sheetFormatPr defaultColWidth="15.140625" defaultRowHeight="15" customHeight="1" x14ac:dyDescent="0.25"/>
  <cols>
    <col min="1" max="1" width="12.42578125" style="42" customWidth="1"/>
    <col min="2" max="2" width="35.42578125" style="42" customWidth="1"/>
    <col min="3" max="22" width="7.42578125" style="42" customWidth="1"/>
    <col min="23" max="16384" width="15.140625" style="42"/>
  </cols>
  <sheetData>
    <row r="1" spans="1:22" ht="15" customHeight="1" x14ac:dyDescent="0.25">
      <c r="A1" s="45" t="s">
        <v>2</v>
      </c>
      <c r="B1" s="45" t="s">
        <v>1813</v>
      </c>
      <c r="C1" s="45" t="s">
        <v>214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</row>
    <row r="2" spans="1:22" ht="15" customHeight="1" x14ac:dyDescent="0.25">
      <c r="A2" s="45" t="s">
        <v>172</v>
      </c>
      <c r="B2" s="45">
        <v>420</v>
      </c>
      <c r="C2" s="43" t="s">
        <v>1812</v>
      </c>
    </row>
    <row r="3" spans="1:22" ht="15" customHeight="1" x14ac:dyDescent="0.25">
      <c r="A3" s="45" t="s">
        <v>181</v>
      </c>
      <c r="B3" s="45">
        <v>422</v>
      </c>
      <c r="C3" s="71" t="s">
        <v>1812</v>
      </c>
    </row>
    <row r="4" spans="1:22" ht="15" customHeight="1" x14ac:dyDescent="0.25">
      <c r="A4" s="45" t="s">
        <v>179</v>
      </c>
      <c r="B4" s="45">
        <v>466</v>
      </c>
      <c r="C4" s="71" t="s">
        <v>1812</v>
      </c>
    </row>
    <row r="5" spans="1:22" ht="15" customHeight="1" x14ac:dyDescent="0.25">
      <c r="A5" s="45" t="s">
        <v>206</v>
      </c>
      <c r="B5" s="45">
        <v>480</v>
      </c>
      <c r="C5" s="71" t="s">
        <v>1812</v>
      </c>
    </row>
    <row r="6" spans="1:22" ht="15" customHeight="1" x14ac:dyDescent="0.25">
      <c r="A6" s="45" t="s">
        <v>144</v>
      </c>
      <c r="B6" s="45">
        <v>492</v>
      </c>
      <c r="C6" s="71" t="s">
        <v>1812</v>
      </c>
    </row>
    <row r="7" spans="1:22" ht="15" customHeight="1" x14ac:dyDescent="0.25">
      <c r="A7" s="45" t="s">
        <v>178</v>
      </c>
      <c r="B7" s="45">
        <v>517</v>
      </c>
      <c r="C7" s="71" t="s">
        <v>1812</v>
      </c>
    </row>
    <row r="8" spans="1:22" ht="15" customHeight="1" x14ac:dyDescent="0.25">
      <c r="A8" s="45" t="s">
        <v>171</v>
      </c>
      <c r="B8" s="45">
        <v>524</v>
      </c>
      <c r="C8" s="71" t="s">
        <v>1812</v>
      </c>
    </row>
    <row r="9" spans="1:22" ht="15" customHeight="1" x14ac:dyDescent="0.25">
      <c r="A9" s="45" t="s">
        <v>188</v>
      </c>
      <c r="B9" s="45">
        <v>527</v>
      </c>
      <c r="C9" s="71" t="s">
        <v>1812</v>
      </c>
    </row>
    <row r="10" spans="1:22" ht="15" customHeight="1" x14ac:dyDescent="0.25">
      <c r="A10" s="45" t="s">
        <v>173</v>
      </c>
      <c r="B10" s="45">
        <v>535</v>
      </c>
      <c r="C10" s="71" t="s">
        <v>1812</v>
      </c>
    </row>
    <row r="11" spans="1:22" ht="15" customHeight="1" x14ac:dyDescent="0.25">
      <c r="A11" s="45" t="s">
        <v>203</v>
      </c>
      <c r="B11" s="45">
        <v>538</v>
      </c>
      <c r="C11" s="71" t="s">
        <v>1812</v>
      </c>
    </row>
    <row r="12" spans="1:22" ht="15" customHeight="1" x14ac:dyDescent="0.25">
      <c r="A12" s="45" t="s">
        <v>185</v>
      </c>
      <c r="B12" s="45">
        <v>539</v>
      </c>
      <c r="C12" s="71" t="s">
        <v>1812</v>
      </c>
    </row>
    <row r="13" spans="1:22" ht="15" customHeight="1" x14ac:dyDescent="0.25">
      <c r="A13" s="45" t="s">
        <v>191</v>
      </c>
      <c r="B13" s="45">
        <v>553</v>
      </c>
      <c r="C13" s="71" t="s">
        <v>1812</v>
      </c>
    </row>
    <row r="14" spans="1:22" ht="15" customHeight="1" x14ac:dyDescent="0.25">
      <c r="A14" s="45" t="s">
        <v>184</v>
      </c>
      <c r="B14" s="45">
        <v>559</v>
      </c>
      <c r="C14" s="71" t="s">
        <v>1812</v>
      </c>
    </row>
    <row r="15" spans="1:22" ht="15" customHeight="1" x14ac:dyDescent="0.25">
      <c r="A15" s="45" t="s">
        <v>194</v>
      </c>
      <c r="B15" s="45">
        <v>565</v>
      </c>
      <c r="C15" s="71" t="s">
        <v>1812</v>
      </c>
    </row>
    <row r="16" spans="1:22" ht="15" customHeight="1" x14ac:dyDescent="0.25">
      <c r="A16" s="45" t="s">
        <v>204</v>
      </c>
      <c r="B16" s="45">
        <v>570</v>
      </c>
      <c r="C16" s="71" t="s">
        <v>1812</v>
      </c>
    </row>
    <row r="17" spans="1:3" ht="15" customHeight="1" x14ac:dyDescent="0.25">
      <c r="A17" s="45" t="s">
        <v>61</v>
      </c>
      <c r="B17" s="45">
        <v>580</v>
      </c>
      <c r="C17" s="71" t="s">
        <v>1812</v>
      </c>
    </row>
    <row r="18" spans="1:3" ht="15" customHeight="1" x14ac:dyDescent="0.25">
      <c r="A18" s="45" t="s">
        <v>183</v>
      </c>
      <c r="B18" s="45">
        <v>594</v>
      </c>
      <c r="C18" s="71" t="s">
        <v>1812</v>
      </c>
    </row>
    <row r="19" spans="1:3" ht="15" customHeight="1" x14ac:dyDescent="0.25">
      <c r="A19" s="45" t="s">
        <v>120</v>
      </c>
      <c r="B19" s="45">
        <v>607</v>
      </c>
      <c r="C19" s="71" t="s">
        <v>1812</v>
      </c>
    </row>
    <row r="20" spans="1:3" ht="15" customHeight="1" x14ac:dyDescent="0.25">
      <c r="A20" s="45" t="s">
        <v>74</v>
      </c>
      <c r="B20" s="45">
        <v>614</v>
      </c>
      <c r="C20" s="71" t="s">
        <v>1812</v>
      </c>
    </row>
    <row r="21" spans="1:3" ht="15" customHeight="1" x14ac:dyDescent="0.25">
      <c r="A21" s="45" t="s">
        <v>186</v>
      </c>
      <c r="B21" s="45">
        <v>625</v>
      </c>
      <c r="C21" s="71" t="s">
        <v>1812</v>
      </c>
    </row>
    <row r="22" spans="1:3" ht="15" customHeight="1" x14ac:dyDescent="0.25">
      <c r="A22" s="45" t="s">
        <v>215</v>
      </c>
      <c r="B22" s="45">
        <v>659</v>
      </c>
      <c r="C22" s="71" t="s">
        <v>1812</v>
      </c>
    </row>
    <row r="23" spans="1:3" ht="15" customHeight="1" x14ac:dyDescent="0.25">
      <c r="A23" s="45" t="s">
        <v>200</v>
      </c>
      <c r="B23" s="45">
        <v>659</v>
      </c>
      <c r="C23" s="71" t="s">
        <v>1812</v>
      </c>
    </row>
    <row r="24" spans="1:3" ht="15" customHeight="1" x14ac:dyDescent="0.25">
      <c r="A24" s="45" t="s">
        <v>198</v>
      </c>
      <c r="B24" s="45">
        <v>669</v>
      </c>
      <c r="C24" s="71" t="s">
        <v>1812</v>
      </c>
    </row>
    <row r="25" spans="1:3" ht="15" customHeight="1" x14ac:dyDescent="0.25">
      <c r="A25" s="45" t="s">
        <v>208</v>
      </c>
      <c r="B25" s="45">
        <v>670</v>
      </c>
      <c r="C25" s="71" t="s">
        <v>1812</v>
      </c>
    </row>
    <row r="26" spans="1:3" ht="15" customHeight="1" x14ac:dyDescent="0.25">
      <c r="A26" s="45" t="s">
        <v>199</v>
      </c>
      <c r="B26" s="45">
        <v>670</v>
      </c>
      <c r="C26" s="71" t="s">
        <v>1812</v>
      </c>
    </row>
    <row r="27" spans="1:3" ht="15" customHeight="1" x14ac:dyDescent="0.25">
      <c r="A27" s="45" t="s">
        <v>197</v>
      </c>
      <c r="B27" s="45">
        <v>692</v>
      </c>
      <c r="C27" s="71" t="s">
        <v>1812</v>
      </c>
    </row>
    <row r="28" spans="1:3" ht="15" customHeight="1" x14ac:dyDescent="0.25">
      <c r="A28" s="45" t="s">
        <v>176</v>
      </c>
      <c r="B28" s="45">
        <v>696</v>
      </c>
      <c r="C28" s="71" t="s">
        <v>1812</v>
      </c>
    </row>
    <row r="29" spans="1:3" ht="15" customHeight="1" x14ac:dyDescent="0.25">
      <c r="A29" s="45" t="s">
        <v>174</v>
      </c>
      <c r="B29" s="45">
        <v>705</v>
      </c>
      <c r="C29" s="71" t="s">
        <v>1812</v>
      </c>
    </row>
    <row r="30" spans="1:3" ht="15" customHeight="1" x14ac:dyDescent="0.25">
      <c r="A30" s="45" t="s">
        <v>189</v>
      </c>
      <c r="B30" s="45">
        <v>717</v>
      </c>
      <c r="C30" s="71" t="s">
        <v>1812</v>
      </c>
    </row>
    <row r="31" spans="1:3" ht="15" customHeight="1" x14ac:dyDescent="0.25">
      <c r="A31" s="45" t="s">
        <v>177</v>
      </c>
      <c r="B31" s="45">
        <v>727</v>
      </c>
      <c r="C31" s="71" t="s">
        <v>1812</v>
      </c>
    </row>
    <row r="32" spans="1:3" ht="15" customHeight="1" x14ac:dyDescent="0.25">
      <c r="A32" s="45" t="s">
        <v>182</v>
      </c>
      <c r="B32" s="45">
        <v>737</v>
      </c>
      <c r="C32" s="71" t="s">
        <v>1812</v>
      </c>
    </row>
    <row r="33" spans="1:3" ht="15" customHeight="1" x14ac:dyDescent="0.25">
      <c r="A33" s="45" t="s">
        <v>207</v>
      </c>
      <c r="B33" s="45">
        <v>810</v>
      </c>
      <c r="C33" s="71" t="s">
        <v>1812</v>
      </c>
    </row>
    <row r="34" spans="1:3" ht="15" customHeight="1" x14ac:dyDescent="0.25">
      <c r="A34" s="45" t="s">
        <v>89</v>
      </c>
      <c r="B34" s="45">
        <v>811</v>
      </c>
      <c r="C34" s="71" t="s">
        <v>1812</v>
      </c>
    </row>
    <row r="35" spans="1:3" ht="15" customHeight="1" x14ac:dyDescent="0.25">
      <c r="A35" s="45" t="s">
        <v>192</v>
      </c>
      <c r="B35" s="45">
        <v>827</v>
      </c>
      <c r="C35" s="71" t="s">
        <v>1812</v>
      </c>
    </row>
    <row r="36" spans="1:3" ht="15" customHeight="1" x14ac:dyDescent="0.25">
      <c r="A36" s="45" t="s">
        <v>5</v>
      </c>
      <c r="B36" s="45">
        <v>843</v>
      </c>
      <c r="C36" s="71" t="s">
        <v>1812</v>
      </c>
    </row>
    <row r="37" spans="1:3" ht="15" customHeight="1" x14ac:dyDescent="0.25">
      <c r="A37" s="45" t="s">
        <v>56</v>
      </c>
      <c r="B37" s="45">
        <v>887</v>
      </c>
      <c r="C37" s="71" t="s">
        <v>1812</v>
      </c>
    </row>
    <row r="38" spans="1:3" ht="15" customHeight="1" x14ac:dyDescent="0.25">
      <c r="A38" s="45" t="s">
        <v>209</v>
      </c>
      <c r="B38" s="45">
        <v>888</v>
      </c>
      <c r="C38" s="71" t="s">
        <v>1812</v>
      </c>
    </row>
    <row r="39" spans="1:3" ht="15" customHeight="1" x14ac:dyDescent="0.25">
      <c r="A39" s="45" t="s">
        <v>152</v>
      </c>
      <c r="B39" s="45">
        <v>908</v>
      </c>
      <c r="C39" s="71" t="s">
        <v>1812</v>
      </c>
    </row>
    <row r="40" spans="1:3" ht="15" customHeight="1" x14ac:dyDescent="0.25">
      <c r="A40" s="45" t="s">
        <v>73</v>
      </c>
      <c r="B40" s="45">
        <v>914</v>
      </c>
      <c r="C40" s="71" t="s">
        <v>1812</v>
      </c>
    </row>
    <row r="41" spans="1:3" ht="15" customHeight="1" x14ac:dyDescent="0.25">
      <c r="A41" s="45" t="s">
        <v>205</v>
      </c>
      <c r="B41" s="45">
        <v>978</v>
      </c>
      <c r="C41" s="71" t="s">
        <v>1812</v>
      </c>
    </row>
    <row r="42" spans="1:3" ht="15" customHeight="1" x14ac:dyDescent="0.25">
      <c r="A42" s="45" t="s">
        <v>187</v>
      </c>
      <c r="B42" s="45">
        <v>1043</v>
      </c>
      <c r="C42" s="71" t="s">
        <v>1812</v>
      </c>
    </row>
    <row r="43" spans="1:3" ht="15" customHeight="1" x14ac:dyDescent="0.25">
      <c r="A43" s="45" t="s">
        <v>210</v>
      </c>
      <c r="B43" s="45">
        <v>1065</v>
      </c>
      <c r="C43" s="71" t="s">
        <v>1812</v>
      </c>
    </row>
    <row r="44" spans="1:3" ht="15" customHeight="1" x14ac:dyDescent="0.25">
      <c r="A44" s="45" t="s">
        <v>190</v>
      </c>
      <c r="B44" s="45">
        <v>1085</v>
      </c>
      <c r="C44" s="71" t="s">
        <v>1812</v>
      </c>
    </row>
    <row r="45" spans="1:3" ht="15" customHeight="1" x14ac:dyDescent="0.25">
      <c r="A45" s="45" t="s">
        <v>201</v>
      </c>
      <c r="B45" s="45">
        <v>1148</v>
      </c>
      <c r="C45" s="71" t="s">
        <v>1812</v>
      </c>
    </row>
    <row r="46" spans="1:3" ht="15" customHeight="1" x14ac:dyDescent="0.25">
      <c r="A46" s="45" t="s">
        <v>195</v>
      </c>
      <c r="B46" s="45">
        <v>1173</v>
      </c>
      <c r="C46" s="71" t="s">
        <v>1812</v>
      </c>
    </row>
    <row r="47" spans="1:3" ht="15" customHeight="1" x14ac:dyDescent="0.25">
      <c r="A47" s="45" t="s">
        <v>196</v>
      </c>
      <c r="B47" s="45">
        <v>1285</v>
      </c>
      <c r="C47" s="71" t="s">
        <v>1812</v>
      </c>
    </row>
    <row r="48" spans="1:3" ht="15" customHeight="1" x14ac:dyDescent="0.25">
      <c r="A48" s="45" t="s">
        <v>202</v>
      </c>
      <c r="B48" s="45">
        <v>1296</v>
      </c>
      <c r="C48" s="71" t="s">
        <v>1812</v>
      </c>
    </row>
    <row r="49" spans="1:3" ht="15" customHeight="1" x14ac:dyDescent="0.25">
      <c r="A49" s="45" t="s">
        <v>193</v>
      </c>
      <c r="B49" s="45">
        <v>1391</v>
      </c>
      <c r="C49" s="71" t="s">
        <v>1812</v>
      </c>
    </row>
  </sheetData>
  <hyperlinks>
    <hyperlink ref="C2" r:id="rId1" location="page=90"/>
    <hyperlink ref="C3" r:id="rId2" location="page=90"/>
    <hyperlink ref="C4" r:id="rId3" location="page=90"/>
    <hyperlink ref="C5" r:id="rId4" location="page=90"/>
    <hyperlink ref="C6" r:id="rId5" location="page=90"/>
    <hyperlink ref="C7" r:id="rId6" location="page=90"/>
    <hyperlink ref="C8" r:id="rId7" location="page=90"/>
    <hyperlink ref="C9" r:id="rId8" location="page=90"/>
    <hyperlink ref="C10" r:id="rId9" location="page=90"/>
    <hyperlink ref="C11" r:id="rId10" location="page=90"/>
    <hyperlink ref="C12" r:id="rId11" location="page=90"/>
    <hyperlink ref="C13" r:id="rId12" location="page=90"/>
    <hyperlink ref="C14" r:id="rId13" location="page=90"/>
    <hyperlink ref="C15" r:id="rId14" location="page=90"/>
    <hyperlink ref="C16" r:id="rId15" location="page=90"/>
    <hyperlink ref="C17" r:id="rId16" location="page=90"/>
    <hyperlink ref="C18" r:id="rId17" location="page=90"/>
    <hyperlink ref="C19" r:id="rId18" location="page=90"/>
    <hyperlink ref="C20" r:id="rId19" location="page=90"/>
    <hyperlink ref="C21" r:id="rId20" location="page=90"/>
    <hyperlink ref="C22" r:id="rId21" location="page=90"/>
    <hyperlink ref="C23" r:id="rId22" location="page=90"/>
    <hyperlink ref="C24" r:id="rId23" location="page=90"/>
    <hyperlink ref="C25" r:id="rId24" location="page=90"/>
    <hyperlink ref="C26" r:id="rId25" location="page=90"/>
    <hyperlink ref="C27" r:id="rId26" location="page=90"/>
    <hyperlink ref="C28" r:id="rId27" location="page=90"/>
    <hyperlink ref="C29" r:id="rId28" location="page=90"/>
    <hyperlink ref="C30" r:id="rId29" location="page=90"/>
    <hyperlink ref="C31" r:id="rId30" location="page=90"/>
    <hyperlink ref="C32" r:id="rId31" location="page=90"/>
    <hyperlink ref="C33" r:id="rId32" location="page=90"/>
    <hyperlink ref="C34" r:id="rId33" location="page=90"/>
    <hyperlink ref="C35" r:id="rId34" location="page=90"/>
    <hyperlink ref="C36" r:id="rId35" location="page=90"/>
    <hyperlink ref="C37" r:id="rId36" location="page=90"/>
    <hyperlink ref="C38" r:id="rId37" location="page=90"/>
    <hyperlink ref="C39" r:id="rId38" location="page=90"/>
    <hyperlink ref="C40" r:id="rId39" location="page=90"/>
    <hyperlink ref="C41" r:id="rId40" location="page=90"/>
    <hyperlink ref="C42" r:id="rId41" location="page=90"/>
    <hyperlink ref="C43" r:id="rId42" location="page=90"/>
    <hyperlink ref="C44" r:id="rId43" location="page=90"/>
    <hyperlink ref="C45" r:id="rId44" location="page=90"/>
    <hyperlink ref="C46" r:id="rId45" location="page=90"/>
    <hyperlink ref="C47" r:id="rId46" location="page=90"/>
    <hyperlink ref="C48" r:id="rId47" location="page=90"/>
    <hyperlink ref="C49" r:id="rId48" location="page=90"/>
  </hyperlink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workbookViewId="0"/>
  </sheetViews>
  <sheetFormatPr defaultColWidth="15.140625" defaultRowHeight="15" customHeight="1" x14ac:dyDescent="0.25"/>
  <cols>
    <col min="1" max="1" width="22.140625" style="42" customWidth="1"/>
    <col min="2" max="2" width="26" style="42" customWidth="1"/>
    <col min="3" max="23" width="7.42578125" style="42" customWidth="1"/>
    <col min="24" max="16384" width="15.140625" style="42"/>
  </cols>
  <sheetData>
    <row r="1" spans="1:23" ht="15" customHeight="1" x14ac:dyDescent="0.25">
      <c r="A1" s="73" t="s">
        <v>1811</v>
      </c>
      <c r="B1" s="73" t="s">
        <v>1810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ht="15" customHeight="1" x14ac:dyDescent="0.25">
      <c r="A2" s="45" t="s">
        <v>176</v>
      </c>
      <c r="B2" s="45">
        <v>8.6599999999999996E-2</v>
      </c>
      <c r="C2" s="71" t="s">
        <v>1809</v>
      </c>
    </row>
    <row r="3" spans="1:23" ht="15" customHeight="1" x14ac:dyDescent="0.25">
      <c r="A3" s="45" t="s">
        <v>206</v>
      </c>
      <c r="B3" s="45">
        <v>3.0099999999999998E-2</v>
      </c>
      <c r="C3" s="43" t="s">
        <v>1809</v>
      </c>
    </row>
    <row r="4" spans="1:23" ht="15" customHeight="1" x14ac:dyDescent="0.25">
      <c r="A4" s="45" t="s">
        <v>185</v>
      </c>
      <c r="B4" s="45">
        <v>2.3599999999999999E-2</v>
      </c>
      <c r="C4" s="43" t="s">
        <v>1809</v>
      </c>
    </row>
    <row r="5" spans="1:23" ht="15" customHeight="1" x14ac:dyDescent="0.25">
      <c r="A5" s="45" t="s">
        <v>200</v>
      </c>
      <c r="B5" s="45">
        <v>1.67E-2</v>
      </c>
      <c r="C5" s="43" t="s">
        <v>1809</v>
      </c>
    </row>
    <row r="6" spans="1:23" ht="15" customHeight="1" x14ac:dyDescent="0.25">
      <c r="A6" s="45" t="s">
        <v>204</v>
      </c>
      <c r="B6" s="45">
        <v>1.44E-2</v>
      </c>
      <c r="C6" s="43" t="s">
        <v>1809</v>
      </c>
    </row>
    <row r="7" spans="1:23" ht="15" customHeight="1" x14ac:dyDescent="0.25">
      <c r="A7" s="45" t="s">
        <v>73</v>
      </c>
      <c r="B7" s="45">
        <v>1.41E-2</v>
      </c>
      <c r="C7" s="43" t="s">
        <v>1809</v>
      </c>
    </row>
    <row r="8" spans="1:23" ht="15" customHeight="1" x14ac:dyDescent="0.25">
      <c r="A8" s="45" t="s">
        <v>183</v>
      </c>
      <c r="B8" s="45">
        <v>1.12E-2</v>
      </c>
      <c r="C8" s="43" t="s">
        <v>1809</v>
      </c>
    </row>
    <row r="9" spans="1:23" ht="15" customHeight="1" x14ac:dyDescent="0.25">
      <c r="A9" s="45" t="s">
        <v>191</v>
      </c>
      <c r="B9" s="45">
        <v>1.06E-2</v>
      </c>
      <c r="C9" s="43" t="s">
        <v>1809</v>
      </c>
    </row>
    <row r="10" spans="1:23" ht="15" customHeight="1" x14ac:dyDescent="0.25">
      <c r="A10" s="45" t="s">
        <v>187</v>
      </c>
      <c r="B10" s="45">
        <v>1.0500000000000001E-2</v>
      </c>
      <c r="C10" s="43" t="s">
        <v>1809</v>
      </c>
    </row>
    <row r="11" spans="1:23" ht="15" customHeight="1" x14ac:dyDescent="0.25">
      <c r="A11" s="45" t="s">
        <v>205</v>
      </c>
      <c r="B11" s="45">
        <v>9.7999999999999997E-3</v>
      </c>
      <c r="C11" s="43" t="s">
        <v>1809</v>
      </c>
    </row>
    <row r="12" spans="1:23" ht="15" customHeight="1" x14ac:dyDescent="0.25">
      <c r="A12" s="70" t="s">
        <v>215</v>
      </c>
      <c r="B12" s="44">
        <v>9.1999999999999998E-3</v>
      </c>
      <c r="C12" s="43" t="s">
        <v>1809</v>
      </c>
    </row>
    <row r="13" spans="1:23" ht="15" customHeight="1" x14ac:dyDescent="0.25">
      <c r="A13" s="45" t="s">
        <v>192</v>
      </c>
      <c r="B13" s="44">
        <v>8.8999999999999999E-3</v>
      </c>
      <c r="C13" s="43" t="s">
        <v>1809</v>
      </c>
    </row>
    <row r="14" spans="1:23" ht="15" customHeight="1" x14ac:dyDescent="0.25">
      <c r="A14" s="45" t="s">
        <v>174</v>
      </c>
      <c r="B14" s="44">
        <v>7.0000000000000001E-3</v>
      </c>
      <c r="C14" s="43" t="s">
        <v>1809</v>
      </c>
    </row>
    <row r="15" spans="1:23" ht="15" customHeight="1" x14ac:dyDescent="0.25">
      <c r="A15" s="45" t="s">
        <v>193</v>
      </c>
      <c r="B15" s="44">
        <v>5.4999999999999997E-3</v>
      </c>
      <c r="C15" s="43" t="s">
        <v>1809</v>
      </c>
    </row>
    <row r="16" spans="1:23" ht="15" customHeight="1" x14ac:dyDescent="0.25">
      <c r="A16" s="45" t="s">
        <v>194</v>
      </c>
      <c r="B16" s="44">
        <v>5.1999999999999998E-3</v>
      </c>
      <c r="C16" s="43" t="s">
        <v>1809</v>
      </c>
    </row>
    <row r="17" spans="1:3" ht="15" customHeight="1" x14ac:dyDescent="0.25">
      <c r="A17" s="45" t="s">
        <v>184</v>
      </c>
      <c r="B17" s="44">
        <v>4.8999999999999998E-3</v>
      </c>
      <c r="C17" s="43" t="s">
        <v>1809</v>
      </c>
    </row>
    <row r="18" spans="1:3" ht="15" customHeight="1" x14ac:dyDescent="0.25">
      <c r="A18" s="45" t="s">
        <v>173</v>
      </c>
      <c r="B18" s="44">
        <v>4.1999999999999997E-3</v>
      </c>
      <c r="C18" s="43" t="s">
        <v>1809</v>
      </c>
    </row>
    <row r="19" spans="1:3" ht="15" customHeight="1" x14ac:dyDescent="0.25">
      <c r="A19" s="45" t="s">
        <v>196</v>
      </c>
      <c r="B19" s="44">
        <v>4.0000000000000001E-3</v>
      </c>
      <c r="C19" s="43" t="s">
        <v>1809</v>
      </c>
    </row>
    <row r="20" spans="1:3" ht="15" customHeight="1" x14ac:dyDescent="0.25">
      <c r="A20" s="45" t="s">
        <v>144</v>
      </c>
      <c r="B20" s="44">
        <v>4.0000000000000001E-3</v>
      </c>
      <c r="C20" s="43" t="s">
        <v>1809</v>
      </c>
    </row>
    <row r="21" spans="1:3" ht="15" customHeight="1" x14ac:dyDescent="0.25">
      <c r="A21" s="45" t="s">
        <v>152</v>
      </c>
      <c r="B21" s="44">
        <v>4.0000000000000001E-3</v>
      </c>
      <c r="C21" s="43" t="s">
        <v>1809</v>
      </c>
    </row>
    <row r="22" spans="1:3" ht="15" customHeight="1" x14ac:dyDescent="0.25">
      <c r="A22" s="45" t="s">
        <v>61</v>
      </c>
      <c r="B22" s="44">
        <v>3.5999999999999999E-3</v>
      </c>
      <c r="C22" s="43" t="s">
        <v>1809</v>
      </c>
    </row>
    <row r="23" spans="1:3" ht="15" customHeight="1" x14ac:dyDescent="0.25">
      <c r="A23" s="45" t="s">
        <v>186</v>
      </c>
      <c r="B23" s="44">
        <v>3.5000000000000001E-3</v>
      </c>
      <c r="C23" s="43" t="s">
        <v>1809</v>
      </c>
    </row>
    <row r="24" spans="1:3" ht="15" customHeight="1" x14ac:dyDescent="0.25">
      <c r="A24" s="45" t="s">
        <v>197</v>
      </c>
      <c r="B24" s="44">
        <v>3.2000000000000002E-3</v>
      </c>
      <c r="C24" s="43" t="s">
        <v>1809</v>
      </c>
    </row>
    <row r="25" spans="1:3" ht="15" customHeight="1" x14ac:dyDescent="0.25">
      <c r="A25" s="45" t="s">
        <v>203</v>
      </c>
      <c r="B25" s="44">
        <v>2.8999999999999998E-3</v>
      </c>
      <c r="C25" s="43" t="s">
        <v>1809</v>
      </c>
    </row>
    <row r="26" spans="1:3" ht="15" customHeight="1" x14ac:dyDescent="0.25">
      <c r="A26" s="45" t="s">
        <v>209</v>
      </c>
      <c r="B26" s="44">
        <v>2.8E-3</v>
      </c>
      <c r="C26" s="43" t="s">
        <v>1809</v>
      </c>
    </row>
    <row r="27" spans="1:3" ht="15" customHeight="1" x14ac:dyDescent="0.25">
      <c r="A27" s="45" t="s">
        <v>172</v>
      </c>
      <c r="B27" s="44">
        <v>2.7000000000000001E-3</v>
      </c>
      <c r="C27" s="43" t="s">
        <v>1809</v>
      </c>
    </row>
    <row r="28" spans="1:3" ht="15" customHeight="1" x14ac:dyDescent="0.25">
      <c r="A28" s="45" t="s">
        <v>181</v>
      </c>
      <c r="B28" s="44">
        <v>2.3E-3</v>
      </c>
      <c r="C28" s="43" t="s">
        <v>1809</v>
      </c>
    </row>
    <row r="29" spans="1:3" ht="15" customHeight="1" x14ac:dyDescent="0.25">
      <c r="A29" s="45" t="s">
        <v>179</v>
      </c>
      <c r="B29" s="44">
        <v>2.0999999999999999E-3</v>
      </c>
      <c r="C29" s="43" t="s">
        <v>1809</v>
      </c>
    </row>
    <row r="30" spans="1:3" ht="15" customHeight="1" x14ac:dyDescent="0.25">
      <c r="A30" s="45" t="s">
        <v>178</v>
      </c>
      <c r="B30" s="44">
        <v>2.0999999999999999E-3</v>
      </c>
      <c r="C30" s="43" t="s">
        <v>1809</v>
      </c>
    </row>
    <row r="31" spans="1:3" ht="15" customHeight="1" x14ac:dyDescent="0.25">
      <c r="A31" s="45" t="s">
        <v>5</v>
      </c>
      <c r="B31" s="44">
        <v>2E-3</v>
      </c>
      <c r="C31" s="43" t="s">
        <v>1809</v>
      </c>
    </row>
    <row r="32" spans="1:3" ht="15" customHeight="1" x14ac:dyDescent="0.25">
      <c r="A32" s="45" t="s">
        <v>208</v>
      </c>
      <c r="B32" s="44">
        <v>1.6999999999999999E-3</v>
      </c>
      <c r="C32" s="43" t="s">
        <v>1809</v>
      </c>
    </row>
    <row r="33" spans="1:3" ht="15" customHeight="1" x14ac:dyDescent="0.25">
      <c r="A33" s="45" t="s">
        <v>188</v>
      </c>
      <c r="B33" s="44">
        <v>1.6000000000000001E-3</v>
      </c>
      <c r="C33" s="43" t="s">
        <v>1809</v>
      </c>
    </row>
    <row r="34" spans="1:3" ht="15" customHeight="1" x14ac:dyDescent="0.25">
      <c r="A34" s="45" t="s">
        <v>182</v>
      </c>
      <c r="B34" s="44">
        <v>1.5E-3</v>
      </c>
      <c r="C34" s="43" t="s">
        <v>1809</v>
      </c>
    </row>
    <row r="35" spans="1:3" ht="15" customHeight="1" x14ac:dyDescent="0.25">
      <c r="A35" s="45" t="s">
        <v>74</v>
      </c>
      <c r="B35" s="44">
        <v>1.5E-3</v>
      </c>
      <c r="C35" s="43" t="s">
        <v>1809</v>
      </c>
    </row>
    <row r="36" spans="1:3" ht="15" customHeight="1" x14ac:dyDescent="0.25">
      <c r="A36" s="45" t="s">
        <v>120</v>
      </c>
      <c r="B36" s="44">
        <v>1.1999999999999999E-3</v>
      </c>
      <c r="C36" s="43" t="s">
        <v>1809</v>
      </c>
    </row>
    <row r="37" spans="1:3" ht="15" customHeight="1" x14ac:dyDescent="0.25">
      <c r="A37" s="45" t="s">
        <v>201</v>
      </c>
      <c r="B37" s="44">
        <v>1.1999999999999999E-3</v>
      </c>
      <c r="C37" s="43" t="s">
        <v>1809</v>
      </c>
    </row>
    <row r="38" spans="1:3" ht="15" customHeight="1" x14ac:dyDescent="0.25">
      <c r="A38" s="45" t="s">
        <v>195</v>
      </c>
      <c r="B38" s="44">
        <v>1.1000000000000001E-3</v>
      </c>
      <c r="C38" s="43" t="s">
        <v>1809</v>
      </c>
    </row>
    <row r="39" spans="1:3" ht="15" customHeight="1" x14ac:dyDescent="0.25">
      <c r="A39" s="45" t="s">
        <v>207</v>
      </c>
      <c r="B39" s="44">
        <v>1.1000000000000001E-3</v>
      </c>
      <c r="C39" s="43" t="s">
        <v>1809</v>
      </c>
    </row>
    <row r="40" spans="1:3" ht="15" customHeight="1" x14ac:dyDescent="0.25">
      <c r="A40" s="45" t="s">
        <v>199</v>
      </c>
      <c r="B40" s="44">
        <v>1E-3</v>
      </c>
      <c r="C40" s="43" t="s">
        <v>1809</v>
      </c>
    </row>
    <row r="41" spans="1:3" ht="15" customHeight="1" x14ac:dyDescent="0.25">
      <c r="A41" s="45" t="s">
        <v>202</v>
      </c>
      <c r="B41" s="44">
        <v>1E-3</v>
      </c>
      <c r="C41" s="43" t="s">
        <v>1809</v>
      </c>
    </row>
    <row r="42" spans="1:3" ht="15" customHeight="1" x14ac:dyDescent="0.25">
      <c r="A42" s="45" t="s">
        <v>56</v>
      </c>
      <c r="B42" s="44">
        <v>6.9999999999999999E-4</v>
      </c>
      <c r="C42" s="43" t="s">
        <v>1809</v>
      </c>
    </row>
    <row r="43" spans="1:3" ht="15" customHeight="1" x14ac:dyDescent="0.25">
      <c r="A43" s="45" t="s">
        <v>190</v>
      </c>
      <c r="B43" s="44">
        <v>1E-4</v>
      </c>
      <c r="C43" s="43" t="s">
        <v>1809</v>
      </c>
    </row>
    <row r="44" spans="1:3" ht="15" customHeight="1" x14ac:dyDescent="0.25">
      <c r="A44" s="45" t="s">
        <v>171</v>
      </c>
      <c r="B44" s="44">
        <v>0</v>
      </c>
      <c r="C44" s="43" t="s">
        <v>1809</v>
      </c>
    </row>
    <row r="45" spans="1:3" ht="15" customHeight="1" x14ac:dyDescent="0.25">
      <c r="A45" s="45" t="s">
        <v>89</v>
      </c>
      <c r="B45" s="44">
        <v>0</v>
      </c>
      <c r="C45" s="43" t="s">
        <v>1809</v>
      </c>
    </row>
    <row r="46" spans="1:3" ht="15" customHeight="1" x14ac:dyDescent="0.25">
      <c r="A46" s="45" t="s">
        <v>177</v>
      </c>
      <c r="B46" s="44">
        <v>0</v>
      </c>
      <c r="C46" s="43" t="s">
        <v>1809</v>
      </c>
    </row>
    <row r="47" spans="1:3" ht="15" customHeight="1" x14ac:dyDescent="0.25">
      <c r="A47" s="45" t="s">
        <v>189</v>
      </c>
      <c r="B47" s="44">
        <v>0</v>
      </c>
      <c r="C47" s="43" t="s">
        <v>1809</v>
      </c>
    </row>
    <row r="48" spans="1:3" ht="15" customHeight="1" x14ac:dyDescent="0.25">
      <c r="A48" s="45" t="s">
        <v>198</v>
      </c>
      <c r="B48" s="44">
        <v>0</v>
      </c>
      <c r="C48" s="43" t="s">
        <v>1809</v>
      </c>
    </row>
    <row r="49" spans="1:3" ht="15" customHeight="1" x14ac:dyDescent="0.25">
      <c r="A49" s="45" t="s">
        <v>210</v>
      </c>
      <c r="B49" s="45">
        <v>0</v>
      </c>
      <c r="C49" s="43" t="s">
        <v>1809</v>
      </c>
    </row>
  </sheetData>
  <hyperlinks>
    <hyperlink ref="C2" r:id="rId1" location="page=14"/>
    <hyperlink ref="C3" r:id="rId2" location="page=14"/>
    <hyperlink ref="C4" r:id="rId3" location="page=14"/>
    <hyperlink ref="C5" r:id="rId4" location="page=14"/>
    <hyperlink ref="C6" r:id="rId5" location="page=14"/>
    <hyperlink ref="C7" r:id="rId6" location="page=14"/>
    <hyperlink ref="C8" r:id="rId7" location="page=14"/>
    <hyperlink ref="C9" r:id="rId8" location="page=14"/>
    <hyperlink ref="C10" r:id="rId9" location="page=14"/>
    <hyperlink ref="C11" r:id="rId10" location="page=14"/>
    <hyperlink ref="C12" r:id="rId11" location="page=14"/>
    <hyperlink ref="C13" r:id="rId12" location="page=14"/>
    <hyperlink ref="C14" r:id="rId13" location="page=14"/>
    <hyperlink ref="C15" r:id="rId14" location="page=14"/>
    <hyperlink ref="C16" r:id="rId15" location="page=14"/>
    <hyperlink ref="C17" r:id="rId16" location="page=14"/>
    <hyperlink ref="C18" r:id="rId17" location="page=14"/>
    <hyperlink ref="C19" r:id="rId18" location="page=14"/>
    <hyperlink ref="C20" r:id="rId19" location="page=14"/>
    <hyperlink ref="C21" r:id="rId20" location="page=14"/>
    <hyperlink ref="C22" r:id="rId21" location="page=14"/>
    <hyperlink ref="C23" r:id="rId22" location="page=14"/>
    <hyperlink ref="C24" r:id="rId23" location="page=14"/>
    <hyperlink ref="C25" r:id="rId24" location="page=14"/>
    <hyperlink ref="C26" r:id="rId25" location="page=14"/>
    <hyperlink ref="C27" r:id="rId26" location="page=14"/>
    <hyperlink ref="C28" r:id="rId27" location="page=14"/>
    <hyperlink ref="C29" r:id="rId28" location="page=14"/>
    <hyperlink ref="C30" r:id="rId29" location="page=14"/>
    <hyperlink ref="C31" r:id="rId30" location="page=14"/>
    <hyperlink ref="C32" r:id="rId31" location="page=14"/>
    <hyperlink ref="C33" r:id="rId32" location="page=14"/>
    <hyperlink ref="C34" r:id="rId33" location="page=14"/>
    <hyperlink ref="C35" r:id="rId34" location="page=14"/>
    <hyperlink ref="C36" r:id="rId35" location="page=14"/>
    <hyperlink ref="C37" r:id="rId36" location="page=14"/>
    <hyperlink ref="C38" r:id="rId37" location="page=14"/>
    <hyperlink ref="C39" r:id="rId38" location="page=14"/>
    <hyperlink ref="C40" r:id="rId39" location="page=14"/>
    <hyperlink ref="C41" r:id="rId40" location="page=14"/>
    <hyperlink ref="C42" r:id="rId41" location="page=14"/>
    <hyperlink ref="C43" r:id="rId42" location="page=14"/>
    <hyperlink ref="C44" r:id="rId43" location="page=14"/>
    <hyperlink ref="C45" r:id="rId44" location="page=14"/>
    <hyperlink ref="C46" r:id="rId45" location="page=14"/>
    <hyperlink ref="C47" r:id="rId46" location="page=14"/>
    <hyperlink ref="C48" r:id="rId47" location="page=14"/>
    <hyperlink ref="C49" r:id="rId48" location="page=14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workbookViewId="0"/>
  </sheetViews>
  <sheetFormatPr defaultColWidth="8.85546875" defaultRowHeight="15" x14ac:dyDescent="0.25"/>
  <cols>
    <col min="2" max="4" width="8.85546875" style="41"/>
    <col min="5" max="5" width="11.42578125" style="41" customWidth="1"/>
  </cols>
  <sheetData>
    <row r="1" spans="1:8" s="20" customFormat="1" ht="75" x14ac:dyDescent="0.25">
      <c r="A1" s="20" t="s">
        <v>2</v>
      </c>
      <c r="B1" s="81" t="s">
        <v>212</v>
      </c>
      <c r="C1" s="81" t="s">
        <v>213</v>
      </c>
      <c r="D1" s="81" t="s">
        <v>1991</v>
      </c>
      <c r="E1" s="81" t="s">
        <v>1992</v>
      </c>
      <c r="F1" s="20" t="s">
        <v>1993</v>
      </c>
      <c r="G1" s="20" t="s">
        <v>1994</v>
      </c>
      <c r="H1" s="20" t="s">
        <v>1995</v>
      </c>
    </row>
    <row r="2" spans="1:8" x14ac:dyDescent="0.25">
      <c r="A2" t="s">
        <v>5</v>
      </c>
      <c r="B2" s="41">
        <v>2552</v>
      </c>
      <c r="C2" s="41">
        <v>2027</v>
      </c>
      <c r="D2" s="27">
        <v>60.85</v>
      </c>
      <c r="E2" s="27">
        <v>755561</v>
      </c>
      <c r="F2" s="2" t="s">
        <v>249</v>
      </c>
      <c r="G2" s="27" t="s">
        <v>216</v>
      </c>
      <c r="H2" s="4" t="s">
        <v>221</v>
      </c>
    </row>
    <row r="3" spans="1:8" x14ac:dyDescent="0.25">
      <c r="A3" t="s">
        <v>171</v>
      </c>
      <c r="B3" s="41">
        <v>41</v>
      </c>
      <c r="C3" s="41">
        <v>43</v>
      </c>
      <c r="D3" s="27">
        <v>64.510000000000005</v>
      </c>
      <c r="E3" s="27">
        <v>23049</v>
      </c>
      <c r="F3" s="2" t="s">
        <v>249</v>
      </c>
      <c r="G3" t="s">
        <v>216</v>
      </c>
      <c r="H3" s="4" t="s">
        <v>222</v>
      </c>
    </row>
    <row r="4" spans="1:8" x14ac:dyDescent="0.25">
      <c r="A4" t="s">
        <v>61</v>
      </c>
      <c r="B4" s="41">
        <v>1553</v>
      </c>
      <c r="C4" s="41">
        <v>1232</v>
      </c>
      <c r="D4" s="27">
        <v>70.260000000000005</v>
      </c>
      <c r="E4" s="27">
        <v>542424</v>
      </c>
      <c r="F4" s="2" t="s">
        <v>249</v>
      </c>
      <c r="G4" t="s">
        <v>216</v>
      </c>
      <c r="H4" s="27" t="s">
        <v>222</v>
      </c>
    </row>
    <row r="5" spans="1:8" x14ac:dyDescent="0.25">
      <c r="A5" t="s">
        <v>172</v>
      </c>
      <c r="B5" s="41">
        <v>1650</v>
      </c>
      <c r="C5" s="41">
        <v>1434</v>
      </c>
      <c r="D5" s="27">
        <v>46.15</v>
      </c>
      <c r="E5" s="27">
        <v>508071</v>
      </c>
      <c r="F5" s="2" t="s">
        <v>249</v>
      </c>
      <c r="G5" t="s">
        <v>216</v>
      </c>
      <c r="H5" s="27" t="s">
        <v>222</v>
      </c>
    </row>
    <row r="6" spans="1:8" x14ac:dyDescent="0.25">
      <c r="A6" t="s">
        <v>173</v>
      </c>
      <c r="B6" s="41">
        <v>652</v>
      </c>
      <c r="C6" s="41">
        <v>581</v>
      </c>
      <c r="D6" s="27">
        <v>61.94</v>
      </c>
      <c r="E6" s="27">
        <v>166951</v>
      </c>
      <c r="F6" s="2" t="s">
        <v>249</v>
      </c>
      <c r="G6" t="s">
        <v>216</v>
      </c>
      <c r="H6" s="27" t="s">
        <v>223</v>
      </c>
    </row>
    <row r="7" spans="1:8" x14ac:dyDescent="0.25">
      <c r="A7" t="s">
        <v>215</v>
      </c>
      <c r="B7" s="41">
        <v>1693</v>
      </c>
      <c r="C7" s="41">
        <v>1258</v>
      </c>
      <c r="D7" s="27">
        <v>42.11</v>
      </c>
      <c r="E7" s="27">
        <v>376720</v>
      </c>
      <c r="F7" s="2" t="s">
        <v>249</v>
      </c>
      <c r="G7" t="s">
        <v>216</v>
      </c>
      <c r="H7" s="27" t="s">
        <v>223</v>
      </c>
    </row>
    <row r="8" spans="1:8" x14ac:dyDescent="0.25">
      <c r="A8" t="s">
        <v>174</v>
      </c>
      <c r="B8" s="41">
        <v>382</v>
      </c>
      <c r="C8" s="41">
        <v>328</v>
      </c>
      <c r="D8" s="27">
        <v>50.57</v>
      </c>
      <c r="E8" s="27">
        <v>82920</v>
      </c>
      <c r="F8" s="2" t="s">
        <v>249</v>
      </c>
      <c r="G8" t="s">
        <v>216</v>
      </c>
      <c r="H8" s="27" t="s">
        <v>224</v>
      </c>
    </row>
    <row r="9" spans="1:8" x14ac:dyDescent="0.25">
      <c r="A9" t="s">
        <v>175</v>
      </c>
      <c r="B9" s="41">
        <v>1044</v>
      </c>
      <c r="C9" s="41">
        <v>844</v>
      </c>
      <c r="D9" s="27">
        <v>43.99</v>
      </c>
      <c r="E9" s="27">
        <v>120808</v>
      </c>
      <c r="F9" s="2" t="s">
        <v>249</v>
      </c>
      <c r="G9" t="s">
        <v>216</v>
      </c>
      <c r="H9" s="27" t="s">
        <v>225</v>
      </c>
    </row>
    <row r="10" spans="1:8" x14ac:dyDescent="0.25">
      <c r="A10" t="s">
        <v>176</v>
      </c>
      <c r="B10" s="41">
        <v>403</v>
      </c>
      <c r="C10" s="41">
        <v>383</v>
      </c>
      <c r="D10" s="27">
        <v>58.47</v>
      </c>
      <c r="E10" s="27">
        <v>189475</v>
      </c>
      <c r="F10" s="2" t="s">
        <v>249</v>
      </c>
      <c r="G10" t="s">
        <v>216</v>
      </c>
      <c r="H10" s="27" t="s">
        <v>225</v>
      </c>
    </row>
    <row r="11" spans="1:8" x14ac:dyDescent="0.25">
      <c r="A11" t="s">
        <v>89</v>
      </c>
      <c r="B11" s="41">
        <v>2395</v>
      </c>
      <c r="C11" s="85">
        <v>2108</v>
      </c>
      <c r="D11" s="27">
        <v>60.71</v>
      </c>
      <c r="E11" s="27">
        <v>917428</v>
      </c>
      <c r="F11" s="2" t="s">
        <v>249</v>
      </c>
      <c r="G11" t="s">
        <v>216</v>
      </c>
      <c r="H11" s="27" t="s">
        <v>225</v>
      </c>
    </row>
    <row r="12" spans="1:8" x14ac:dyDescent="0.25">
      <c r="A12" t="s">
        <v>177</v>
      </c>
      <c r="B12" s="41">
        <v>60</v>
      </c>
      <c r="C12" s="41">
        <v>63</v>
      </c>
      <c r="D12" s="27">
        <v>69.19</v>
      </c>
      <c r="E12" s="27">
        <v>33095</v>
      </c>
      <c r="F12" s="2" t="s">
        <v>249</v>
      </c>
      <c r="G12" t="s">
        <v>216</v>
      </c>
      <c r="H12" s="27" t="s">
        <v>226</v>
      </c>
    </row>
    <row r="13" spans="1:8" x14ac:dyDescent="0.25">
      <c r="A13" t="s">
        <v>178</v>
      </c>
      <c r="B13" s="41">
        <v>7858</v>
      </c>
      <c r="C13" s="41">
        <v>6185</v>
      </c>
      <c r="D13" s="27">
        <v>57.02</v>
      </c>
      <c r="E13" s="27">
        <v>1854043</v>
      </c>
      <c r="F13" s="2" t="s">
        <v>249</v>
      </c>
      <c r="G13" t="s">
        <v>216</v>
      </c>
      <c r="H13" s="27" t="s">
        <v>226</v>
      </c>
    </row>
    <row r="14" spans="1:8" x14ac:dyDescent="0.25">
      <c r="A14" t="s">
        <v>179</v>
      </c>
      <c r="B14" s="41">
        <v>2671</v>
      </c>
      <c r="C14" s="41">
        <v>2212</v>
      </c>
      <c r="D14" s="27">
        <v>51.62</v>
      </c>
      <c r="E14" s="27">
        <v>1074057</v>
      </c>
      <c r="F14" s="2" t="s">
        <v>249</v>
      </c>
      <c r="G14" t="s">
        <v>216</v>
      </c>
      <c r="H14" s="27" t="s">
        <v>227</v>
      </c>
    </row>
    <row r="15" spans="1:8" x14ac:dyDescent="0.25">
      <c r="A15" t="s">
        <v>181</v>
      </c>
      <c r="B15" s="41">
        <v>1824</v>
      </c>
      <c r="C15" s="41">
        <v>1349</v>
      </c>
      <c r="D15" s="27">
        <v>54.49</v>
      </c>
      <c r="E15" s="27">
        <v>917443</v>
      </c>
      <c r="F15" s="2" t="s">
        <v>249</v>
      </c>
      <c r="G15" t="s">
        <v>216</v>
      </c>
      <c r="H15" s="27" t="s">
        <v>228</v>
      </c>
    </row>
    <row r="16" spans="1:8" x14ac:dyDescent="0.25">
      <c r="A16" t="s">
        <v>182</v>
      </c>
      <c r="B16" s="41">
        <v>1575</v>
      </c>
      <c r="C16" s="41">
        <v>1235</v>
      </c>
      <c r="D16" s="27">
        <v>59.55</v>
      </c>
      <c r="E16" s="27">
        <v>674984</v>
      </c>
      <c r="F16" s="2" t="s">
        <v>249</v>
      </c>
      <c r="G16" t="s">
        <v>216</v>
      </c>
      <c r="H16" s="27" t="s">
        <v>229</v>
      </c>
    </row>
    <row r="17" spans="1:8" x14ac:dyDescent="0.25">
      <c r="A17" t="s">
        <v>120</v>
      </c>
      <c r="B17" s="41">
        <v>2778</v>
      </c>
      <c r="C17" s="41">
        <v>2098</v>
      </c>
      <c r="D17" s="27">
        <v>59.76</v>
      </c>
      <c r="E17" s="27">
        <v>915877</v>
      </c>
      <c r="F17" s="2" t="s">
        <v>249</v>
      </c>
      <c r="G17" t="s">
        <v>216</v>
      </c>
      <c r="H17" s="27" t="s">
        <v>229</v>
      </c>
    </row>
    <row r="18" spans="1:8" x14ac:dyDescent="0.25">
      <c r="A18" t="s">
        <v>152</v>
      </c>
      <c r="B18" s="41">
        <v>2060</v>
      </c>
      <c r="C18" s="41">
        <v>1613</v>
      </c>
      <c r="D18" s="27">
        <v>59.16</v>
      </c>
      <c r="E18" s="27">
        <v>559237</v>
      </c>
      <c r="F18" s="2" t="s">
        <v>249</v>
      </c>
      <c r="G18" t="s">
        <v>216</v>
      </c>
      <c r="H18" s="27" t="s">
        <v>230</v>
      </c>
    </row>
    <row r="19" spans="1:8" x14ac:dyDescent="0.25">
      <c r="A19" t="s">
        <v>183</v>
      </c>
      <c r="B19" s="41">
        <v>681</v>
      </c>
      <c r="C19" s="41">
        <v>513</v>
      </c>
      <c r="D19" s="27">
        <v>35.82</v>
      </c>
      <c r="E19" s="27">
        <v>328496</v>
      </c>
      <c r="F19" s="2" t="s">
        <v>249</v>
      </c>
      <c r="G19" t="s">
        <v>216</v>
      </c>
      <c r="H19" s="27" t="s">
        <v>230</v>
      </c>
    </row>
    <row r="20" spans="1:8" x14ac:dyDescent="0.25">
      <c r="A20" t="s">
        <v>184</v>
      </c>
      <c r="B20" s="41">
        <v>2809</v>
      </c>
      <c r="C20" s="41">
        <v>2216</v>
      </c>
      <c r="D20" s="27">
        <v>51.2</v>
      </c>
      <c r="E20" s="27">
        <v>526699</v>
      </c>
      <c r="F20" s="2" t="s">
        <v>249</v>
      </c>
      <c r="G20" t="s">
        <v>216</v>
      </c>
      <c r="H20" s="27" t="s">
        <v>231</v>
      </c>
    </row>
    <row r="21" spans="1:8" x14ac:dyDescent="0.25">
      <c r="A21" t="s">
        <v>185</v>
      </c>
      <c r="B21" s="41">
        <v>5958</v>
      </c>
      <c r="C21" s="41">
        <v>4844</v>
      </c>
      <c r="D21" s="27">
        <v>41.83</v>
      </c>
      <c r="E21" s="27">
        <v>1151234</v>
      </c>
      <c r="F21" s="2" t="s">
        <v>249</v>
      </c>
      <c r="G21" t="s">
        <v>216</v>
      </c>
      <c r="H21" s="27" t="s">
        <v>231</v>
      </c>
    </row>
    <row r="22" spans="1:8" x14ac:dyDescent="0.25">
      <c r="A22" t="s">
        <v>186</v>
      </c>
      <c r="B22" s="41">
        <v>3080</v>
      </c>
      <c r="C22" s="41">
        <v>2485</v>
      </c>
      <c r="D22" s="27">
        <v>51.82</v>
      </c>
      <c r="E22" s="27">
        <v>1002109</v>
      </c>
      <c r="F22" s="2" t="s">
        <v>249</v>
      </c>
      <c r="G22" t="s">
        <v>216</v>
      </c>
      <c r="H22" s="27" t="s">
        <v>232</v>
      </c>
    </row>
    <row r="23" spans="1:8" x14ac:dyDescent="0.25">
      <c r="A23" t="s">
        <v>187</v>
      </c>
      <c r="B23" s="41">
        <v>2484</v>
      </c>
      <c r="C23" s="41">
        <v>1866</v>
      </c>
      <c r="D23" s="27">
        <v>64.260000000000005</v>
      </c>
      <c r="E23" s="27">
        <v>606505</v>
      </c>
      <c r="F23" s="2" t="s">
        <v>249</v>
      </c>
      <c r="G23" t="s">
        <v>216</v>
      </c>
      <c r="H23" s="27" t="s">
        <v>233</v>
      </c>
    </row>
    <row r="24" spans="1:8" x14ac:dyDescent="0.25">
      <c r="A24" t="s">
        <v>73</v>
      </c>
      <c r="B24" s="41">
        <v>1481</v>
      </c>
      <c r="C24" s="41">
        <v>1220</v>
      </c>
      <c r="D24" s="27">
        <v>60.65</v>
      </c>
      <c r="E24" s="27">
        <v>639913</v>
      </c>
      <c r="F24" s="2" t="s">
        <v>249</v>
      </c>
      <c r="G24" t="s">
        <v>216</v>
      </c>
      <c r="H24" s="27" t="s">
        <v>234</v>
      </c>
    </row>
    <row r="25" spans="1:8" x14ac:dyDescent="0.25">
      <c r="A25" t="s">
        <v>188</v>
      </c>
      <c r="B25" s="41">
        <v>4632</v>
      </c>
      <c r="C25" s="41">
        <v>3457</v>
      </c>
      <c r="D25" s="27">
        <v>59.46</v>
      </c>
      <c r="E25" s="27">
        <v>1293946</v>
      </c>
      <c r="F25" s="2" t="s">
        <v>249</v>
      </c>
      <c r="G25" t="s">
        <v>216</v>
      </c>
      <c r="H25" s="27" t="s">
        <v>234</v>
      </c>
    </row>
    <row r="26" spans="1:8" x14ac:dyDescent="0.25">
      <c r="A26" t="s">
        <v>189</v>
      </c>
      <c r="B26" s="41">
        <v>105</v>
      </c>
      <c r="C26" s="41">
        <v>53</v>
      </c>
      <c r="D26" s="27">
        <v>68.09</v>
      </c>
      <c r="E26" s="27">
        <v>44277</v>
      </c>
      <c r="F26" s="2" t="s">
        <v>249</v>
      </c>
      <c r="G26" t="s">
        <v>216</v>
      </c>
      <c r="H26" s="27" t="s">
        <v>235</v>
      </c>
    </row>
    <row r="27" spans="1:8" x14ac:dyDescent="0.25">
      <c r="A27" t="s">
        <v>190</v>
      </c>
      <c r="B27" s="41">
        <v>1233</v>
      </c>
      <c r="C27" s="41">
        <v>954</v>
      </c>
      <c r="D27" s="27">
        <v>63.66</v>
      </c>
      <c r="E27" s="27">
        <v>486036</v>
      </c>
      <c r="F27" s="2" t="s">
        <v>249</v>
      </c>
      <c r="G27" t="s">
        <v>216</v>
      </c>
      <c r="H27" s="27" t="s">
        <v>235</v>
      </c>
    </row>
    <row r="28" spans="1:8" x14ac:dyDescent="0.25">
      <c r="A28" t="s">
        <v>74</v>
      </c>
      <c r="B28" s="41">
        <v>32</v>
      </c>
      <c r="C28" s="41">
        <v>19</v>
      </c>
      <c r="D28" s="27">
        <v>45.2</v>
      </c>
      <c r="E28" s="27">
        <v>16547</v>
      </c>
      <c r="F28" s="2" t="s">
        <v>249</v>
      </c>
      <c r="G28" t="s">
        <v>216</v>
      </c>
      <c r="H28" s="27" t="s">
        <v>236</v>
      </c>
    </row>
    <row r="29" spans="1:8" x14ac:dyDescent="0.25">
      <c r="A29" t="s">
        <v>191</v>
      </c>
      <c r="B29" s="41">
        <v>720</v>
      </c>
      <c r="C29" s="41">
        <v>561</v>
      </c>
      <c r="D29" s="27">
        <v>36.42</v>
      </c>
      <c r="E29" s="27">
        <v>189964</v>
      </c>
      <c r="F29" s="2" t="s">
        <v>249</v>
      </c>
      <c r="G29" t="s">
        <v>216</v>
      </c>
      <c r="H29" s="27" t="s">
        <v>236</v>
      </c>
    </row>
    <row r="30" spans="1:8" x14ac:dyDescent="0.25">
      <c r="A30" t="s">
        <v>192</v>
      </c>
      <c r="B30" s="41">
        <v>4928</v>
      </c>
      <c r="C30" s="41">
        <v>3900</v>
      </c>
      <c r="D30" s="27">
        <v>50.2</v>
      </c>
      <c r="E30" s="27">
        <v>724114</v>
      </c>
      <c r="F30" s="2" t="s">
        <v>249</v>
      </c>
      <c r="G30" t="s">
        <v>216</v>
      </c>
      <c r="H30" s="27" t="s">
        <v>237</v>
      </c>
    </row>
    <row r="31" spans="1:8" x14ac:dyDescent="0.25">
      <c r="A31" t="s">
        <v>193</v>
      </c>
      <c r="B31" s="41">
        <v>230</v>
      </c>
      <c r="C31" s="41">
        <v>225</v>
      </c>
      <c r="D31" s="27">
        <v>74.22</v>
      </c>
      <c r="E31" s="27">
        <v>70538</v>
      </c>
      <c r="F31" s="2" t="s">
        <v>249</v>
      </c>
      <c r="G31" t="s">
        <v>216</v>
      </c>
      <c r="H31" s="27" t="s">
        <v>238</v>
      </c>
    </row>
    <row r="32" spans="1:8" x14ac:dyDescent="0.25">
      <c r="A32" t="s">
        <v>194</v>
      </c>
      <c r="B32" s="41">
        <v>16973</v>
      </c>
      <c r="C32" s="41">
        <v>13515</v>
      </c>
      <c r="D32" s="27">
        <v>46.22</v>
      </c>
      <c r="E32" s="27">
        <v>3020960</v>
      </c>
      <c r="F32" s="2" t="s">
        <v>249</v>
      </c>
      <c r="G32" t="s">
        <v>216</v>
      </c>
      <c r="H32" s="27" t="s">
        <v>238</v>
      </c>
    </row>
    <row r="33" spans="1:8" x14ac:dyDescent="0.25">
      <c r="A33" t="s">
        <v>195</v>
      </c>
      <c r="B33" s="41">
        <v>1863</v>
      </c>
      <c r="C33" s="41">
        <v>1554</v>
      </c>
      <c r="D33" s="27">
        <v>59.09</v>
      </c>
      <c r="E33" s="27">
        <v>818798</v>
      </c>
      <c r="F33" s="2" t="s">
        <v>249</v>
      </c>
      <c r="G33" t="s">
        <v>216</v>
      </c>
      <c r="H33" s="27" t="s">
        <v>239</v>
      </c>
    </row>
    <row r="34" spans="1:8" x14ac:dyDescent="0.25">
      <c r="A34" t="s">
        <v>196</v>
      </c>
      <c r="B34" s="41">
        <v>292</v>
      </c>
      <c r="C34" s="41">
        <v>192</v>
      </c>
      <c r="D34" s="27">
        <v>83.02</v>
      </c>
      <c r="E34" s="27">
        <v>81129</v>
      </c>
      <c r="F34" s="5" t="s">
        <v>250</v>
      </c>
      <c r="G34" t="s">
        <v>216</v>
      </c>
      <c r="H34" s="27" t="s">
        <v>239</v>
      </c>
    </row>
    <row r="35" spans="1:8" x14ac:dyDescent="0.25">
      <c r="A35" t="s">
        <v>144</v>
      </c>
      <c r="B35" s="41">
        <v>5818</v>
      </c>
      <c r="C35" s="41">
        <v>4456</v>
      </c>
      <c r="D35" s="27">
        <v>48.69</v>
      </c>
      <c r="E35" s="27">
        <v>1816580</v>
      </c>
      <c r="F35" s="5" t="s">
        <v>250</v>
      </c>
      <c r="G35" t="s">
        <v>216</v>
      </c>
      <c r="H35" s="27" t="s">
        <v>239</v>
      </c>
    </row>
    <row r="36" spans="1:8" x14ac:dyDescent="0.25">
      <c r="A36" t="s">
        <v>197</v>
      </c>
      <c r="B36" s="41">
        <v>55</v>
      </c>
      <c r="C36" s="41">
        <v>34</v>
      </c>
      <c r="D36" s="27">
        <v>60.88</v>
      </c>
      <c r="E36" s="27">
        <v>27101</v>
      </c>
      <c r="F36" s="5" t="s">
        <v>250</v>
      </c>
      <c r="G36" t="s">
        <v>216</v>
      </c>
      <c r="H36" s="27" t="s">
        <v>240</v>
      </c>
    </row>
    <row r="37" spans="1:8" x14ac:dyDescent="0.25">
      <c r="A37" t="s">
        <v>198</v>
      </c>
      <c r="B37" s="41">
        <v>202</v>
      </c>
      <c r="C37" s="41">
        <v>186</v>
      </c>
      <c r="D37" s="27">
        <v>53.5</v>
      </c>
      <c r="E37" s="27">
        <v>131927</v>
      </c>
      <c r="F37" s="5" t="s">
        <v>250</v>
      </c>
      <c r="G37" t="s">
        <v>216</v>
      </c>
      <c r="H37" s="27" t="s">
        <v>240</v>
      </c>
    </row>
    <row r="38" spans="1:8" x14ac:dyDescent="0.25">
      <c r="A38" t="s">
        <v>199</v>
      </c>
      <c r="B38" s="41">
        <v>9433</v>
      </c>
      <c r="C38" s="41">
        <v>7267</v>
      </c>
      <c r="D38" s="27">
        <v>52.11</v>
      </c>
      <c r="E38" s="27">
        <v>2591683</v>
      </c>
      <c r="F38" s="5" t="s">
        <v>250</v>
      </c>
      <c r="G38" t="s">
        <v>216</v>
      </c>
      <c r="H38" s="27" t="s">
        <v>240</v>
      </c>
    </row>
    <row r="39" spans="1:8" x14ac:dyDescent="0.25">
      <c r="A39" t="s">
        <v>200</v>
      </c>
      <c r="B39" s="41">
        <v>999</v>
      </c>
      <c r="C39" s="41">
        <v>816</v>
      </c>
      <c r="D39" s="27">
        <v>43.57</v>
      </c>
      <c r="E39" s="27">
        <v>177481</v>
      </c>
      <c r="F39" s="5" t="s">
        <v>250</v>
      </c>
      <c r="G39" t="s">
        <v>216</v>
      </c>
      <c r="H39" s="27" t="s">
        <v>241</v>
      </c>
    </row>
    <row r="40" spans="1:8" x14ac:dyDescent="0.25">
      <c r="A40" t="s">
        <v>201</v>
      </c>
      <c r="B40" s="41">
        <v>1648</v>
      </c>
      <c r="C40" s="41">
        <v>1355</v>
      </c>
      <c r="D40" s="27">
        <v>61.8</v>
      </c>
      <c r="E40" s="27">
        <v>578812</v>
      </c>
      <c r="F40" s="5" t="s">
        <v>250</v>
      </c>
      <c r="G40" t="s">
        <v>216</v>
      </c>
      <c r="H40" s="27" t="s">
        <v>242</v>
      </c>
    </row>
    <row r="41" spans="1:8" x14ac:dyDescent="0.25">
      <c r="A41" t="s">
        <v>202</v>
      </c>
      <c r="B41" s="41">
        <v>403</v>
      </c>
      <c r="C41" s="41">
        <v>306</v>
      </c>
      <c r="D41" s="27">
        <v>72.41</v>
      </c>
      <c r="E41" s="27">
        <v>148558</v>
      </c>
      <c r="F41" s="5" t="s">
        <v>250</v>
      </c>
      <c r="G41" t="s">
        <v>216</v>
      </c>
      <c r="H41" s="27" t="s">
        <v>242</v>
      </c>
    </row>
    <row r="42" spans="1:8" x14ac:dyDescent="0.25">
      <c r="A42" t="s">
        <v>203</v>
      </c>
      <c r="B42" s="41">
        <v>2664</v>
      </c>
      <c r="C42" s="41">
        <v>2167</v>
      </c>
      <c r="D42" s="27">
        <v>61.75</v>
      </c>
      <c r="E42" s="27">
        <v>875933</v>
      </c>
      <c r="F42" s="5" t="s">
        <v>250</v>
      </c>
      <c r="G42" t="s">
        <v>216</v>
      </c>
      <c r="H42" s="27" t="s">
        <v>242</v>
      </c>
    </row>
    <row r="43" spans="1:8" x14ac:dyDescent="0.25">
      <c r="A43" t="s">
        <v>204</v>
      </c>
      <c r="B43" s="41">
        <v>3333</v>
      </c>
      <c r="C43" s="41">
        <v>2519</v>
      </c>
      <c r="D43" s="27">
        <v>65.760000000000005</v>
      </c>
      <c r="E43" s="27">
        <v>1062970</v>
      </c>
      <c r="F43" s="5" t="s">
        <v>250</v>
      </c>
      <c r="G43" t="s">
        <v>216</v>
      </c>
      <c r="H43" s="27" t="s">
        <v>243</v>
      </c>
    </row>
    <row r="44" spans="1:8" x14ac:dyDescent="0.25">
      <c r="A44" t="s">
        <v>205</v>
      </c>
      <c r="B44" s="41">
        <v>249</v>
      </c>
      <c r="C44" s="41">
        <v>204</v>
      </c>
      <c r="D44" s="27">
        <v>66.569999999999993</v>
      </c>
      <c r="E44" s="27">
        <v>97442</v>
      </c>
      <c r="F44" s="5" t="s">
        <v>250</v>
      </c>
      <c r="G44" t="s">
        <v>216</v>
      </c>
      <c r="H44" s="27" t="s">
        <v>244</v>
      </c>
    </row>
    <row r="45" spans="1:8" x14ac:dyDescent="0.25">
      <c r="A45" t="s">
        <v>206</v>
      </c>
      <c r="B45" s="41">
        <v>453</v>
      </c>
      <c r="C45" s="41">
        <v>347</v>
      </c>
      <c r="D45" s="27">
        <v>37.729999999999997</v>
      </c>
      <c r="E45" s="27">
        <v>163095</v>
      </c>
      <c r="F45" s="5" t="s">
        <v>250</v>
      </c>
      <c r="G45" t="s">
        <v>216</v>
      </c>
      <c r="H45" s="27" t="s">
        <v>245</v>
      </c>
    </row>
    <row r="46" spans="1:8" x14ac:dyDescent="0.25">
      <c r="A46" t="s">
        <v>207</v>
      </c>
      <c r="B46" s="41">
        <v>2543</v>
      </c>
      <c r="C46" s="41">
        <v>2101</v>
      </c>
      <c r="D46" s="27">
        <v>54</v>
      </c>
      <c r="E46" s="27">
        <v>831702</v>
      </c>
      <c r="F46" s="5" t="s">
        <v>250</v>
      </c>
      <c r="G46" t="s">
        <v>216</v>
      </c>
      <c r="H46" s="4" t="s">
        <v>246</v>
      </c>
    </row>
    <row r="47" spans="1:8" x14ac:dyDescent="0.25">
      <c r="A47" t="s">
        <v>56</v>
      </c>
      <c r="B47" s="41">
        <v>274</v>
      </c>
      <c r="C47" s="41">
        <v>212</v>
      </c>
      <c r="D47" s="27">
        <v>62.39</v>
      </c>
      <c r="E47" s="27">
        <v>131828</v>
      </c>
      <c r="F47" s="5" t="s">
        <v>250</v>
      </c>
      <c r="G47" t="s">
        <v>216</v>
      </c>
      <c r="H47" s="27" t="s">
        <v>247</v>
      </c>
    </row>
    <row r="48" spans="1:8" x14ac:dyDescent="0.25">
      <c r="A48" t="s">
        <v>208</v>
      </c>
      <c r="B48" s="41">
        <v>979</v>
      </c>
      <c r="C48" s="41">
        <v>800</v>
      </c>
      <c r="D48" s="27">
        <v>62.28</v>
      </c>
      <c r="E48" s="27">
        <v>372509</v>
      </c>
      <c r="F48" s="5" t="s">
        <v>250</v>
      </c>
      <c r="G48" t="s">
        <v>216</v>
      </c>
      <c r="H48" s="27" t="s">
        <v>247</v>
      </c>
    </row>
    <row r="49" spans="1:8" x14ac:dyDescent="0.25">
      <c r="A49" t="s">
        <v>209</v>
      </c>
      <c r="B49" s="41">
        <v>2258</v>
      </c>
      <c r="C49" s="41">
        <v>1718</v>
      </c>
      <c r="D49" s="27">
        <v>56.11</v>
      </c>
      <c r="E49" s="27">
        <v>811929</v>
      </c>
      <c r="F49" s="5" t="s">
        <v>250</v>
      </c>
      <c r="G49" t="s">
        <v>216</v>
      </c>
      <c r="H49" s="27" t="s">
        <v>247</v>
      </c>
    </row>
    <row r="50" spans="1:8" x14ac:dyDescent="0.25">
      <c r="A50" t="s">
        <v>210</v>
      </c>
      <c r="B50" s="41">
        <v>43</v>
      </c>
      <c r="C50" s="41">
        <v>32</v>
      </c>
      <c r="D50" s="27">
        <v>61.89</v>
      </c>
      <c r="E50" s="27">
        <v>21362</v>
      </c>
      <c r="F50" s="5" t="s">
        <v>250</v>
      </c>
      <c r="G50" t="s">
        <v>216</v>
      </c>
      <c r="H50" s="27" t="s">
        <v>248</v>
      </c>
    </row>
    <row r="51" spans="1:8" x14ac:dyDescent="0.25">
      <c r="A51" t="s">
        <v>211</v>
      </c>
      <c r="B51" s="41">
        <v>110064</v>
      </c>
      <c r="C51" s="41">
        <v>87103</v>
      </c>
      <c r="F51" s="2"/>
    </row>
    <row r="52" spans="1:8" x14ac:dyDescent="0.25">
      <c r="B52" s="41">
        <f>SUM(B2:B50)</f>
        <v>110046</v>
      </c>
      <c r="C52" s="41">
        <f>SUM(C2:C50)</f>
        <v>87087</v>
      </c>
      <c r="F52" s="2"/>
    </row>
  </sheetData>
  <hyperlinks>
    <hyperlink ref="F34" r:id="rId1" location="page=24"/>
    <hyperlink ref="F35:F50" r:id="rId2" location="page=24" display="https://ia800207.us.archive.org/31/items/cu31924024569315/cu31924024569315.pdf#page=24"/>
    <hyperlink ref="H2" r:id="rId3" location="page=561"/>
    <hyperlink ref="H3" r:id="rId4" location="page=563"/>
    <hyperlink ref="H46" r:id="rId5" location="page=695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/>
  </sheetViews>
  <sheetFormatPr defaultColWidth="15.140625" defaultRowHeight="15" customHeight="1" x14ac:dyDescent="0.25"/>
  <cols>
    <col min="1" max="1" width="15.28515625" style="42" customWidth="1"/>
    <col min="2" max="2" width="13.28515625" style="42" customWidth="1"/>
    <col min="3" max="3" width="15.85546875" style="42" customWidth="1"/>
    <col min="4" max="26" width="7.42578125" style="42" customWidth="1"/>
    <col min="27" max="16384" width="15.140625" style="42"/>
  </cols>
  <sheetData>
    <row r="1" spans="1:26" ht="15" customHeight="1" x14ac:dyDescent="0.25">
      <c r="A1" s="67" t="s">
        <v>1852</v>
      </c>
      <c r="B1" s="79" t="s">
        <v>1851</v>
      </c>
      <c r="C1" s="67" t="s">
        <v>1850</v>
      </c>
      <c r="D1" s="73" t="s">
        <v>1796</v>
      </c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5" customHeight="1" x14ac:dyDescent="0.25">
      <c r="A2" s="45" t="s">
        <v>200</v>
      </c>
      <c r="B2" s="77">
        <v>6376</v>
      </c>
      <c r="C2" s="45">
        <v>424.42</v>
      </c>
      <c r="D2" s="45" t="s">
        <v>1990</v>
      </c>
    </row>
    <row r="3" spans="1:26" ht="15" customHeight="1" x14ac:dyDescent="0.25">
      <c r="A3" s="45" t="s">
        <v>206</v>
      </c>
      <c r="B3" s="77">
        <v>3333</v>
      </c>
      <c r="C3" s="45">
        <v>353.93</v>
      </c>
      <c r="D3" s="45" t="s">
        <v>1990</v>
      </c>
    </row>
    <row r="4" spans="1:26" ht="15" customHeight="1" x14ac:dyDescent="0.25">
      <c r="A4" s="45" t="s">
        <v>183</v>
      </c>
      <c r="B4" s="77">
        <v>7907</v>
      </c>
      <c r="C4" s="45">
        <v>346</v>
      </c>
      <c r="D4" s="45" t="s">
        <v>1990</v>
      </c>
    </row>
    <row r="5" spans="1:26" ht="15" customHeight="1" x14ac:dyDescent="0.25">
      <c r="A5" s="45" t="s">
        <v>185</v>
      </c>
      <c r="B5" s="77">
        <v>28996</v>
      </c>
      <c r="C5" s="45">
        <v>267.26</v>
      </c>
      <c r="D5" s="45" t="s">
        <v>1990</v>
      </c>
    </row>
    <row r="6" spans="1:26" ht="15" customHeight="1" x14ac:dyDescent="0.25">
      <c r="A6" s="45" t="s">
        <v>172</v>
      </c>
      <c r="B6" s="77">
        <v>25395</v>
      </c>
      <c r="C6" s="45">
        <v>265.01</v>
      </c>
      <c r="D6" s="45" t="s">
        <v>1990</v>
      </c>
    </row>
    <row r="7" spans="1:26" ht="15" customHeight="1" x14ac:dyDescent="0.25">
      <c r="A7" s="45" t="s">
        <v>56</v>
      </c>
      <c r="B7" s="77">
        <v>10898</v>
      </c>
      <c r="C7" s="45">
        <v>262.77999999999997</v>
      </c>
      <c r="D7" s="45" t="s">
        <v>1990</v>
      </c>
      <c r="J7" s="78"/>
    </row>
    <row r="8" spans="1:26" ht="15" customHeight="1" x14ac:dyDescent="0.25">
      <c r="A8" s="45" t="s">
        <v>203</v>
      </c>
      <c r="B8" s="77">
        <v>17680</v>
      </c>
      <c r="C8" s="45">
        <v>245.6</v>
      </c>
      <c r="D8" s="45" t="s">
        <v>1990</v>
      </c>
      <c r="J8" s="51"/>
    </row>
    <row r="9" spans="1:26" ht="15" customHeight="1" x14ac:dyDescent="0.25">
      <c r="A9" s="45" t="s">
        <v>207</v>
      </c>
      <c r="B9" s="77">
        <v>15492</v>
      </c>
      <c r="C9" s="45">
        <v>245.57</v>
      </c>
      <c r="D9" s="45" t="s">
        <v>1990</v>
      </c>
      <c r="J9" s="78"/>
    </row>
    <row r="10" spans="1:26" ht="15" customHeight="1" x14ac:dyDescent="0.25">
      <c r="A10" s="45" t="s">
        <v>184</v>
      </c>
      <c r="B10" s="77">
        <v>11289</v>
      </c>
      <c r="C10" s="45">
        <v>244.25</v>
      </c>
      <c r="D10" s="45" t="s">
        <v>1990</v>
      </c>
      <c r="J10" s="78"/>
    </row>
    <row r="11" spans="1:26" ht="15" customHeight="1" x14ac:dyDescent="0.25">
      <c r="A11" s="45" t="s">
        <v>194</v>
      </c>
      <c r="B11" s="77">
        <v>73217</v>
      </c>
      <c r="C11" s="45">
        <v>240.49</v>
      </c>
      <c r="D11" s="45" t="s">
        <v>1990</v>
      </c>
      <c r="J11" s="51"/>
    </row>
    <row r="12" spans="1:26" ht="15" customHeight="1" x14ac:dyDescent="0.25">
      <c r="A12" s="45" t="s">
        <v>152</v>
      </c>
      <c r="B12" s="77">
        <v>14728</v>
      </c>
      <c r="C12" s="45">
        <v>239.05</v>
      </c>
      <c r="D12" s="45" t="s">
        <v>1990</v>
      </c>
      <c r="J12" s="78"/>
    </row>
    <row r="13" spans="1:26" ht="15" customHeight="1" x14ac:dyDescent="0.25">
      <c r="A13" s="45" t="s">
        <v>186</v>
      </c>
      <c r="B13" s="77">
        <v>26147</v>
      </c>
      <c r="C13" s="45">
        <v>233.12</v>
      </c>
      <c r="D13" s="45" t="s">
        <v>1990</v>
      </c>
      <c r="J13" s="78"/>
    </row>
    <row r="14" spans="1:26" ht="15" customHeight="1" x14ac:dyDescent="0.25">
      <c r="A14" s="45" t="s">
        <v>215</v>
      </c>
      <c r="B14" s="77">
        <v>10416</v>
      </c>
      <c r="C14" s="45">
        <v>226.61</v>
      </c>
      <c r="D14" s="45" t="s">
        <v>1990</v>
      </c>
      <c r="J14" s="78"/>
    </row>
    <row r="15" spans="1:26" ht="15" customHeight="1" x14ac:dyDescent="0.25">
      <c r="A15" s="45" t="s">
        <v>89</v>
      </c>
      <c r="B15" s="77">
        <v>16420</v>
      </c>
      <c r="C15" s="45">
        <v>225.14</v>
      </c>
      <c r="D15" s="45" t="s">
        <v>1990</v>
      </c>
      <c r="J15" s="51"/>
    </row>
    <row r="16" spans="1:26" ht="15" customHeight="1" x14ac:dyDescent="0.25">
      <c r="A16" s="45" t="s">
        <v>201</v>
      </c>
      <c r="B16" s="77">
        <v>10125</v>
      </c>
      <c r="C16" s="45">
        <v>222.49</v>
      </c>
      <c r="D16" s="45" t="s">
        <v>1990</v>
      </c>
      <c r="J16" s="78"/>
    </row>
    <row r="17" spans="1:10" ht="15" customHeight="1" x14ac:dyDescent="0.25">
      <c r="A17" s="45" t="s">
        <v>198</v>
      </c>
      <c r="B17" s="77">
        <v>4198</v>
      </c>
      <c r="C17" s="45">
        <v>219.79</v>
      </c>
      <c r="D17" s="45" t="s">
        <v>1990</v>
      </c>
      <c r="J17" s="78"/>
    </row>
    <row r="18" spans="1:10" ht="15" customHeight="1" x14ac:dyDescent="0.25">
      <c r="A18" s="45" t="s">
        <v>205</v>
      </c>
      <c r="B18" s="77">
        <v>3133</v>
      </c>
      <c r="C18" s="45">
        <v>219.27</v>
      </c>
      <c r="D18" s="45" t="s">
        <v>1990</v>
      </c>
      <c r="J18" s="78"/>
    </row>
    <row r="19" spans="1:10" ht="15" customHeight="1" x14ac:dyDescent="0.25">
      <c r="A19" s="45" t="s">
        <v>173</v>
      </c>
      <c r="B19" s="77">
        <v>5996</v>
      </c>
      <c r="C19" s="45">
        <v>213.5</v>
      </c>
      <c r="D19" s="45" t="s">
        <v>1990</v>
      </c>
      <c r="J19" s="78"/>
    </row>
    <row r="20" spans="1:10" ht="15" customHeight="1" x14ac:dyDescent="0.25">
      <c r="A20" s="45" t="s">
        <v>195</v>
      </c>
      <c r="B20" s="77">
        <v>14412</v>
      </c>
      <c r="C20" s="45">
        <v>213.4</v>
      </c>
      <c r="D20" s="45" t="s">
        <v>1990</v>
      </c>
      <c r="J20" s="78"/>
    </row>
    <row r="21" spans="1:10" ht="15" customHeight="1" x14ac:dyDescent="0.25">
      <c r="A21" s="45" t="s">
        <v>199</v>
      </c>
      <c r="B21" s="77">
        <v>48555</v>
      </c>
      <c r="C21" s="45">
        <v>209.31</v>
      </c>
      <c r="D21" s="45" t="s">
        <v>1990</v>
      </c>
      <c r="J21" s="78"/>
    </row>
    <row r="22" spans="1:10" ht="15" customHeight="1" x14ac:dyDescent="0.25">
      <c r="A22" s="45" t="s">
        <v>192</v>
      </c>
      <c r="B22" s="77">
        <v>18486</v>
      </c>
      <c r="C22" s="45">
        <v>208.93</v>
      </c>
      <c r="D22" s="45" t="s">
        <v>1990</v>
      </c>
      <c r="J22" s="78"/>
    </row>
    <row r="23" spans="1:10" ht="15" customHeight="1" x14ac:dyDescent="0.25">
      <c r="A23" s="45" t="s">
        <v>120</v>
      </c>
      <c r="B23" s="77">
        <v>16615</v>
      </c>
      <c r="C23" s="45">
        <v>207.26</v>
      </c>
      <c r="D23" s="45" t="s">
        <v>1990</v>
      </c>
      <c r="J23" s="78"/>
    </row>
    <row r="24" spans="1:10" ht="15" customHeight="1" x14ac:dyDescent="0.25">
      <c r="A24" s="45" t="s">
        <v>188</v>
      </c>
      <c r="B24" s="77">
        <v>21876</v>
      </c>
      <c r="C24" s="45">
        <v>206.9</v>
      </c>
      <c r="D24" s="45" t="s">
        <v>1990</v>
      </c>
      <c r="J24" s="51"/>
    </row>
    <row r="25" spans="1:10" ht="15" customHeight="1" x14ac:dyDescent="0.25">
      <c r="A25" s="45" t="s">
        <v>193</v>
      </c>
      <c r="B25" s="77">
        <v>2790</v>
      </c>
      <c r="C25" s="45">
        <v>206.61</v>
      </c>
      <c r="D25" s="45" t="s">
        <v>1990</v>
      </c>
      <c r="J25" s="78"/>
    </row>
    <row r="26" spans="1:10" ht="15" customHeight="1" x14ac:dyDescent="0.25">
      <c r="A26" s="45" t="s">
        <v>181</v>
      </c>
      <c r="B26" s="77">
        <v>16440</v>
      </c>
      <c r="C26" s="45">
        <v>204.08</v>
      </c>
      <c r="D26" s="45" t="s">
        <v>1990</v>
      </c>
      <c r="J26" s="78"/>
    </row>
    <row r="27" spans="1:10" ht="15" customHeight="1" x14ac:dyDescent="0.25">
      <c r="A27" s="45" t="s">
        <v>191</v>
      </c>
      <c r="B27" s="77">
        <v>2234</v>
      </c>
      <c r="C27" s="45">
        <v>203.05</v>
      </c>
      <c r="D27" s="45" t="s">
        <v>1990</v>
      </c>
      <c r="J27" s="78"/>
    </row>
    <row r="28" spans="1:10" ht="15" customHeight="1" x14ac:dyDescent="0.25">
      <c r="A28" s="45" t="s">
        <v>178</v>
      </c>
      <c r="B28" s="77">
        <v>43328</v>
      </c>
      <c r="C28" s="45">
        <v>202.48</v>
      </c>
      <c r="D28" s="45" t="s">
        <v>1990</v>
      </c>
      <c r="J28" s="78"/>
    </row>
    <row r="29" spans="1:10" ht="15" customHeight="1" x14ac:dyDescent="0.25">
      <c r="A29" s="45" t="s">
        <v>209</v>
      </c>
      <c r="B29" s="77">
        <v>15949</v>
      </c>
      <c r="C29" s="45">
        <v>200.38</v>
      </c>
      <c r="D29" s="45" t="s">
        <v>1990</v>
      </c>
      <c r="J29" s="78"/>
    </row>
    <row r="30" spans="1:10" ht="15" customHeight="1" x14ac:dyDescent="0.25">
      <c r="A30" s="45" t="s">
        <v>176</v>
      </c>
      <c r="B30" s="77">
        <v>6031</v>
      </c>
      <c r="C30" s="45">
        <v>199.84</v>
      </c>
      <c r="D30" s="45" t="s">
        <v>1990</v>
      </c>
      <c r="J30" s="51"/>
    </row>
    <row r="31" spans="1:10" ht="15" customHeight="1" x14ac:dyDescent="0.25">
      <c r="A31" s="45" t="s">
        <v>73</v>
      </c>
      <c r="B31" s="77">
        <v>9278</v>
      </c>
      <c r="C31" s="45">
        <v>199.78</v>
      </c>
      <c r="D31" s="45" t="s">
        <v>1990</v>
      </c>
    </row>
    <row r="32" spans="1:10" ht="15" customHeight="1" x14ac:dyDescent="0.25">
      <c r="A32" s="45" t="s">
        <v>174</v>
      </c>
      <c r="B32" s="77">
        <v>1173</v>
      </c>
      <c r="C32" s="45">
        <v>198</v>
      </c>
      <c r="D32" s="45" t="s">
        <v>1990</v>
      </c>
    </row>
    <row r="33" spans="1:4" ht="15" customHeight="1" x14ac:dyDescent="0.25">
      <c r="A33" s="45" t="s">
        <v>1801</v>
      </c>
      <c r="B33" s="77">
        <v>347</v>
      </c>
      <c r="C33" s="45">
        <v>194.18</v>
      </c>
      <c r="D33" s="45" t="s">
        <v>1990</v>
      </c>
    </row>
    <row r="34" spans="1:4" ht="15" customHeight="1" x14ac:dyDescent="0.25">
      <c r="A34" s="45" t="s">
        <v>187</v>
      </c>
      <c r="B34" s="77">
        <v>15927</v>
      </c>
      <c r="C34" s="45">
        <v>189.69</v>
      </c>
      <c r="D34" s="45" t="s">
        <v>1990</v>
      </c>
    </row>
    <row r="35" spans="1:4" ht="15" customHeight="1" x14ac:dyDescent="0.25">
      <c r="A35" s="45" t="s">
        <v>144</v>
      </c>
      <c r="B35" s="77">
        <v>32228</v>
      </c>
      <c r="C35" s="45">
        <v>187.88</v>
      </c>
      <c r="D35" s="45" t="s">
        <v>1990</v>
      </c>
    </row>
    <row r="36" spans="1:4" ht="15" customHeight="1" x14ac:dyDescent="0.25">
      <c r="A36" s="45" t="s">
        <v>202</v>
      </c>
      <c r="B36" s="77">
        <v>4796</v>
      </c>
      <c r="C36" s="45">
        <v>187.59</v>
      </c>
      <c r="D36" s="45" t="s">
        <v>1990</v>
      </c>
    </row>
    <row r="37" spans="1:4" ht="15" customHeight="1" x14ac:dyDescent="0.25">
      <c r="A37" s="45" t="s">
        <v>74</v>
      </c>
      <c r="B37" s="77">
        <v>775</v>
      </c>
      <c r="C37" s="45">
        <v>186.03</v>
      </c>
      <c r="D37" s="45" t="s">
        <v>1990</v>
      </c>
    </row>
    <row r="38" spans="1:4" ht="15" customHeight="1" x14ac:dyDescent="0.25">
      <c r="A38" s="45" t="s">
        <v>197</v>
      </c>
      <c r="B38" s="77">
        <v>13297</v>
      </c>
      <c r="C38" s="45">
        <v>184.93</v>
      </c>
      <c r="D38" s="45" t="s">
        <v>1990</v>
      </c>
    </row>
    <row r="39" spans="1:4" ht="15" customHeight="1" x14ac:dyDescent="0.25">
      <c r="A39" s="45" t="s">
        <v>179</v>
      </c>
      <c r="B39" s="77">
        <v>16290</v>
      </c>
      <c r="C39" s="45">
        <v>183.47</v>
      </c>
      <c r="D39" s="45" t="s">
        <v>1990</v>
      </c>
    </row>
    <row r="40" spans="1:4" ht="15" customHeight="1" x14ac:dyDescent="0.25">
      <c r="A40" s="45" t="s">
        <v>177</v>
      </c>
      <c r="B40" s="77">
        <v>2742</v>
      </c>
      <c r="C40" s="45">
        <v>179.63</v>
      </c>
      <c r="D40" s="45" t="s">
        <v>1990</v>
      </c>
    </row>
    <row r="41" spans="1:4" ht="15" customHeight="1" x14ac:dyDescent="0.25">
      <c r="A41" s="45" t="s">
        <v>5</v>
      </c>
      <c r="B41" s="77">
        <v>11224</v>
      </c>
      <c r="C41" s="45">
        <v>179.6</v>
      </c>
      <c r="D41" s="45" t="s">
        <v>1990</v>
      </c>
    </row>
    <row r="42" spans="1:4" ht="15" customHeight="1" x14ac:dyDescent="0.25">
      <c r="A42" s="45" t="s">
        <v>208</v>
      </c>
      <c r="B42" s="77">
        <v>8161</v>
      </c>
      <c r="C42" s="45">
        <v>177.6</v>
      </c>
      <c r="D42" s="45" t="s">
        <v>1990</v>
      </c>
    </row>
    <row r="43" spans="1:4" ht="15" customHeight="1" x14ac:dyDescent="0.25">
      <c r="A43" s="45" t="s">
        <v>204</v>
      </c>
      <c r="B43" s="77">
        <v>26009</v>
      </c>
      <c r="C43" s="45">
        <v>175.9</v>
      </c>
      <c r="D43" s="45" t="s">
        <v>1990</v>
      </c>
    </row>
    <row r="44" spans="1:4" ht="15" customHeight="1" x14ac:dyDescent="0.25">
      <c r="A44" s="45" t="s">
        <v>196</v>
      </c>
      <c r="B44" s="77">
        <v>3783</v>
      </c>
      <c r="C44" s="45">
        <v>167.01</v>
      </c>
      <c r="D44" s="45" t="s">
        <v>1990</v>
      </c>
    </row>
    <row r="45" spans="1:4" ht="15" customHeight="1" x14ac:dyDescent="0.25">
      <c r="A45" s="45" t="s">
        <v>61</v>
      </c>
      <c r="B45" s="77">
        <v>8892</v>
      </c>
      <c r="C45" s="45">
        <v>163.9</v>
      </c>
      <c r="D45" s="45" t="s">
        <v>1990</v>
      </c>
    </row>
    <row r="46" spans="1:4" ht="15" customHeight="1" x14ac:dyDescent="0.25">
      <c r="A46" s="45" t="s">
        <v>189</v>
      </c>
      <c r="B46" s="77">
        <v>5487</v>
      </c>
      <c r="C46" s="45">
        <v>162.66999999999999</v>
      </c>
      <c r="D46" s="45" t="s">
        <v>1990</v>
      </c>
    </row>
    <row r="47" spans="1:4" ht="15" customHeight="1" x14ac:dyDescent="0.25">
      <c r="A47" s="45" t="s">
        <v>175</v>
      </c>
      <c r="B47" s="77">
        <v>2145</v>
      </c>
      <c r="C47" s="45">
        <v>162.54</v>
      </c>
      <c r="D47" s="45" t="s">
        <v>1990</v>
      </c>
    </row>
    <row r="48" spans="1:4" ht="15" customHeight="1" x14ac:dyDescent="0.25">
      <c r="A48" s="45" t="s">
        <v>171</v>
      </c>
      <c r="B48" s="77">
        <v>1651</v>
      </c>
      <c r="C48" s="45">
        <v>153.29</v>
      </c>
      <c r="D48" s="45" t="s">
        <v>1990</v>
      </c>
    </row>
    <row r="49" spans="1:4" ht="15" customHeight="1" x14ac:dyDescent="0.25">
      <c r="A49" s="45" t="s">
        <v>182</v>
      </c>
      <c r="B49" s="77">
        <v>6862</v>
      </c>
      <c r="C49" s="45">
        <v>147.29</v>
      </c>
      <c r="D49" s="45" t="s">
        <v>1990</v>
      </c>
    </row>
    <row r="50" spans="1:4" ht="15" customHeight="1" x14ac:dyDescent="0.25">
      <c r="A50" s="45" t="s">
        <v>190</v>
      </c>
      <c r="B50" s="77">
        <v>5117</v>
      </c>
      <c r="C50" s="45">
        <v>134.63999999999999</v>
      </c>
      <c r="D50" s="45" t="s">
        <v>1990</v>
      </c>
    </row>
    <row r="51" spans="1:4" ht="15" customHeight="1" x14ac:dyDescent="0.25">
      <c r="A51" s="45" t="s">
        <v>210</v>
      </c>
      <c r="B51" s="77">
        <v>1140</v>
      </c>
      <c r="C51" s="45">
        <v>128.05000000000001</v>
      </c>
      <c r="D51" s="45" t="s">
        <v>1990</v>
      </c>
    </row>
    <row r="52" spans="1:4" ht="15" customHeight="1" x14ac:dyDescent="0.25">
      <c r="A52" s="45" t="s">
        <v>1849</v>
      </c>
      <c r="B52" s="77">
        <v>11700</v>
      </c>
      <c r="C52" s="45">
        <v>246.44</v>
      </c>
      <c r="D52" s="45" t="s">
        <v>1990</v>
      </c>
    </row>
    <row r="53" spans="1:4" ht="15" customHeight="1" x14ac:dyDescent="0.25">
      <c r="A53" s="67"/>
      <c r="B53" s="50"/>
    </row>
    <row r="54" spans="1:4" ht="15" customHeight="1" x14ac:dyDescent="0.25">
      <c r="A54" s="67" t="s">
        <v>211</v>
      </c>
      <c r="B54" s="76">
        <f>SUM(B2:B52)</f>
        <v>687486</v>
      </c>
    </row>
    <row r="55" spans="1:4" ht="15" customHeight="1" x14ac:dyDescent="0.25">
      <c r="B55" s="50"/>
    </row>
    <row r="56" spans="1:4" ht="15" customHeight="1" x14ac:dyDescent="0.25">
      <c r="B56" s="50"/>
    </row>
    <row r="57" spans="1:4" ht="15" customHeight="1" x14ac:dyDescent="0.25">
      <c r="B57" s="50"/>
    </row>
    <row r="58" spans="1:4" ht="15" customHeight="1" x14ac:dyDescent="0.25">
      <c r="B58" s="50"/>
    </row>
    <row r="59" spans="1:4" ht="15" customHeight="1" x14ac:dyDescent="0.25">
      <c r="B59" s="50"/>
    </row>
    <row r="60" spans="1:4" ht="15" customHeight="1" x14ac:dyDescent="0.25">
      <c r="B60" s="50"/>
    </row>
    <row r="61" spans="1:4" ht="15" customHeight="1" x14ac:dyDescent="0.25">
      <c r="B61" s="50"/>
    </row>
    <row r="62" spans="1:4" ht="15" customHeight="1" x14ac:dyDescent="0.25">
      <c r="B62" s="50"/>
    </row>
    <row r="63" spans="1:4" ht="15" customHeight="1" x14ac:dyDescent="0.25">
      <c r="B63" s="50"/>
    </row>
    <row r="64" spans="1:4" ht="15" customHeight="1" x14ac:dyDescent="0.25">
      <c r="B64" s="50"/>
    </row>
    <row r="65" spans="2:2" ht="15" customHeight="1" x14ac:dyDescent="0.25">
      <c r="B65" s="50"/>
    </row>
    <row r="66" spans="2:2" ht="15" customHeight="1" x14ac:dyDescent="0.25">
      <c r="B66" s="50"/>
    </row>
    <row r="67" spans="2:2" ht="15" customHeight="1" x14ac:dyDescent="0.25">
      <c r="B67" s="50"/>
    </row>
    <row r="68" spans="2:2" ht="15" customHeight="1" x14ac:dyDescent="0.25">
      <c r="B68" s="50"/>
    </row>
    <row r="69" spans="2:2" ht="15" customHeight="1" x14ac:dyDescent="0.25">
      <c r="B69" s="50"/>
    </row>
    <row r="70" spans="2:2" ht="15" customHeight="1" x14ac:dyDescent="0.25">
      <c r="B70" s="50"/>
    </row>
    <row r="71" spans="2:2" ht="15" customHeight="1" x14ac:dyDescent="0.25">
      <c r="B71" s="50"/>
    </row>
    <row r="72" spans="2:2" ht="15" customHeight="1" x14ac:dyDescent="0.25">
      <c r="B72" s="50"/>
    </row>
    <row r="73" spans="2:2" ht="15" customHeight="1" x14ac:dyDescent="0.25">
      <c r="B73" s="50"/>
    </row>
    <row r="74" spans="2:2" ht="15" customHeight="1" x14ac:dyDescent="0.25">
      <c r="B74" s="50"/>
    </row>
    <row r="75" spans="2:2" ht="15" customHeight="1" x14ac:dyDescent="0.25">
      <c r="B75" s="50"/>
    </row>
    <row r="76" spans="2:2" ht="15" customHeight="1" x14ac:dyDescent="0.25">
      <c r="B76" s="50"/>
    </row>
    <row r="77" spans="2:2" ht="15" customHeight="1" x14ac:dyDescent="0.25">
      <c r="B77" s="50"/>
    </row>
    <row r="78" spans="2:2" ht="15" customHeight="1" x14ac:dyDescent="0.25">
      <c r="B78" s="50"/>
    </row>
    <row r="79" spans="2:2" ht="15" customHeight="1" x14ac:dyDescent="0.25">
      <c r="B79" s="50"/>
    </row>
    <row r="80" spans="2:2" ht="15" customHeight="1" x14ac:dyDescent="0.25">
      <c r="B80" s="50"/>
    </row>
    <row r="81" spans="2:2" ht="15" customHeight="1" x14ac:dyDescent="0.25">
      <c r="B81" s="50"/>
    </row>
    <row r="82" spans="2:2" ht="15" customHeight="1" x14ac:dyDescent="0.25">
      <c r="B82" s="50"/>
    </row>
    <row r="83" spans="2:2" ht="15" customHeight="1" x14ac:dyDescent="0.25">
      <c r="B83" s="50"/>
    </row>
    <row r="84" spans="2:2" ht="15" customHeight="1" x14ac:dyDescent="0.25">
      <c r="B84" s="50"/>
    </row>
    <row r="85" spans="2:2" ht="15" customHeight="1" x14ac:dyDescent="0.25">
      <c r="B85" s="50"/>
    </row>
    <row r="86" spans="2:2" ht="15" customHeight="1" x14ac:dyDescent="0.25">
      <c r="B86" s="50"/>
    </row>
    <row r="87" spans="2:2" ht="15" customHeight="1" x14ac:dyDescent="0.25">
      <c r="B87" s="50"/>
    </row>
    <row r="88" spans="2:2" ht="15" customHeight="1" x14ac:dyDescent="0.25">
      <c r="B88" s="50"/>
    </row>
    <row r="89" spans="2:2" ht="15" customHeight="1" x14ac:dyDescent="0.25">
      <c r="B89" s="50"/>
    </row>
    <row r="90" spans="2:2" ht="15" customHeight="1" x14ac:dyDescent="0.25">
      <c r="B90" s="50"/>
    </row>
    <row r="91" spans="2:2" ht="15" customHeight="1" x14ac:dyDescent="0.25">
      <c r="B91" s="50"/>
    </row>
    <row r="92" spans="2:2" ht="15" customHeight="1" x14ac:dyDescent="0.25">
      <c r="B92" s="50"/>
    </row>
    <row r="93" spans="2:2" ht="15" customHeight="1" x14ac:dyDescent="0.25">
      <c r="B93" s="50"/>
    </row>
    <row r="94" spans="2:2" ht="15" customHeight="1" x14ac:dyDescent="0.25">
      <c r="B94" s="50"/>
    </row>
    <row r="95" spans="2:2" ht="15" customHeight="1" x14ac:dyDescent="0.25">
      <c r="B95" s="50"/>
    </row>
    <row r="96" spans="2:2" ht="15" customHeight="1" x14ac:dyDescent="0.25">
      <c r="B96" s="50"/>
    </row>
    <row r="97" spans="2:2" ht="15" customHeight="1" x14ac:dyDescent="0.25">
      <c r="B97" s="50"/>
    </row>
    <row r="98" spans="2:2" ht="15" customHeight="1" x14ac:dyDescent="0.25">
      <c r="B98" s="50"/>
    </row>
    <row r="99" spans="2:2" ht="15" customHeight="1" x14ac:dyDescent="0.25">
      <c r="B99" s="50"/>
    </row>
    <row r="100" spans="2:2" ht="15" customHeight="1" x14ac:dyDescent="0.25">
      <c r="B100" s="50"/>
    </row>
    <row r="101" spans="2:2" ht="15" customHeight="1" x14ac:dyDescent="0.25">
      <c r="B101" s="50"/>
    </row>
    <row r="102" spans="2:2" ht="15" customHeight="1" x14ac:dyDescent="0.25">
      <c r="B102" s="50"/>
    </row>
    <row r="103" spans="2:2" ht="15" customHeight="1" x14ac:dyDescent="0.25">
      <c r="B103" s="50"/>
    </row>
    <row r="104" spans="2:2" ht="15" customHeight="1" x14ac:dyDescent="0.25">
      <c r="B104" s="50"/>
    </row>
    <row r="105" spans="2:2" ht="15" customHeight="1" x14ac:dyDescent="0.25">
      <c r="B105" s="50"/>
    </row>
    <row r="106" spans="2:2" ht="15" customHeight="1" x14ac:dyDescent="0.25">
      <c r="B106" s="50"/>
    </row>
    <row r="107" spans="2:2" ht="15" customHeight="1" x14ac:dyDescent="0.25">
      <c r="B107" s="50"/>
    </row>
    <row r="108" spans="2:2" ht="15" customHeight="1" x14ac:dyDescent="0.25">
      <c r="B108" s="50"/>
    </row>
    <row r="109" spans="2:2" ht="15" customHeight="1" x14ac:dyDescent="0.25">
      <c r="B109" s="50"/>
    </row>
    <row r="110" spans="2:2" ht="15" customHeight="1" x14ac:dyDescent="0.25">
      <c r="B110" s="50"/>
    </row>
    <row r="111" spans="2:2" ht="15" customHeight="1" x14ac:dyDescent="0.25">
      <c r="B111" s="50"/>
    </row>
    <row r="112" spans="2:2" ht="15" customHeight="1" x14ac:dyDescent="0.25">
      <c r="B112" s="50"/>
    </row>
    <row r="113" spans="2:2" ht="15" customHeight="1" x14ac:dyDescent="0.25">
      <c r="B113" s="50"/>
    </row>
    <row r="114" spans="2:2" ht="15" customHeight="1" x14ac:dyDescent="0.25">
      <c r="B114" s="50"/>
    </row>
    <row r="115" spans="2:2" ht="15" customHeight="1" x14ac:dyDescent="0.25">
      <c r="B115" s="50"/>
    </row>
    <row r="116" spans="2:2" ht="15" customHeight="1" x14ac:dyDescent="0.25">
      <c r="B116" s="50"/>
    </row>
    <row r="117" spans="2:2" ht="15" customHeight="1" x14ac:dyDescent="0.25">
      <c r="B117" s="50"/>
    </row>
    <row r="118" spans="2:2" ht="15" customHeight="1" x14ac:dyDescent="0.25">
      <c r="B118" s="50"/>
    </row>
    <row r="119" spans="2:2" ht="15" customHeight="1" x14ac:dyDescent="0.25">
      <c r="B119" s="50"/>
    </row>
    <row r="120" spans="2:2" ht="15" customHeight="1" x14ac:dyDescent="0.25">
      <c r="B120" s="50"/>
    </row>
    <row r="121" spans="2:2" ht="15" customHeight="1" x14ac:dyDescent="0.25">
      <c r="B121" s="50"/>
    </row>
    <row r="122" spans="2:2" ht="15" customHeight="1" x14ac:dyDescent="0.25">
      <c r="B122" s="50"/>
    </row>
    <row r="123" spans="2:2" ht="15" customHeight="1" x14ac:dyDescent="0.25">
      <c r="B123" s="50"/>
    </row>
    <row r="124" spans="2:2" ht="15" customHeight="1" x14ac:dyDescent="0.25">
      <c r="B124" s="50"/>
    </row>
    <row r="125" spans="2:2" ht="15" customHeight="1" x14ac:dyDescent="0.25">
      <c r="B125" s="50"/>
    </row>
    <row r="126" spans="2:2" ht="15" customHeight="1" x14ac:dyDescent="0.25">
      <c r="B126" s="50"/>
    </row>
    <row r="127" spans="2:2" ht="15" customHeight="1" x14ac:dyDescent="0.25">
      <c r="B127" s="50"/>
    </row>
    <row r="128" spans="2:2" ht="15" customHeight="1" x14ac:dyDescent="0.25">
      <c r="B128" s="50"/>
    </row>
    <row r="129" spans="2:2" ht="15" customHeight="1" x14ac:dyDescent="0.25">
      <c r="B129" s="50"/>
    </row>
    <row r="130" spans="2:2" ht="15" customHeight="1" x14ac:dyDescent="0.25">
      <c r="B130" s="50"/>
    </row>
    <row r="131" spans="2:2" ht="15" customHeight="1" x14ac:dyDescent="0.25">
      <c r="B131" s="50"/>
    </row>
    <row r="132" spans="2:2" ht="15" customHeight="1" x14ac:dyDescent="0.25">
      <c r="B132" s="50"/>
    </row>
    <row r="133" spans="2:2" ht="15" customHeight="1" x14ac:dyDescent="0.25">
      <c r="B133" s="50"/>
    </row>
    <row r="134" spans="2:2" ht="15" customHeight="1" x14ac:dyDescent="0.25">
      <c r="B134" s="50"/>
    </row>
    <row r="135" spans="2:2" ht="15" customHeight="1" x14ac:dyDescent="0.25">
      <c r="B135" s="50"/>
    </row>
    <row r="136" spans="2:2" ht="15" customHeight="1" x14ac:dyDescent="0.25">
      <c r="B136" s="50"/>
    </row>
    <row r="137" spans="2:2" ht="15" customHeight="1" x14ac:dyDescent="0.25">
      <c r="B137" s="50"/>
    </row>
    <row r="138" spans="2:2" ht="15" customHeight="1" x14ac:dyDescent="0.25">
      <c r="B138" s="50"/>
    </row>
    <row r="139" spans="2:2" ht="15" customHeight="1" x14ac:dyDescent="0.25">
      <c r="B139" s="50"/>
    </row>
    <row r="140" spans="2:2" ht="15" customHeight="1" x14ac:dyDescent="0.25">
      <c r="B140" s="50"/>
    </row>
    <row r="141" spans="2:2" ht="15" customHeight="1" x14ac:dyDescent="0.25">
      <c r="B141" s="50"/>
    </row>
    <row r="142" spans="2:2" ht="15" customHeight="1" x14ac:dyDescent="0.25">
      <c r="B142" s="50"/>
    </row>
    <row r="143" spans="2:2" ht="15" customHeight="1" x14ac:dyDescent="0.25">
      <c r="B143" s="50"/>
    </row>
    <row r="144" spans="2:2" ht="15" customHeight="1" x14ac:dyDescent="0.25">
      <c r="B144" s="50"/>
    </row>
    <row r="145" spans="2:2" ht="15" customHeight="1" x14ac:dyDescent="0.25">
      <c r="B145" s="50"/>
    </row>
    <row r="146" spans="2:2" ht="15" customHeight="1" x14ac:dyDescent="0.25">
      <c r="B146" s="50"/>
    </row>
    <row r="147" spans="2:2" ht="15" customHeight="1" x14ac:dyDescent="0.25">
      <c r="B147" s="50"/>
    </row>
    <row r="148" spans="2:2" ht="15" customHeight="1" x14ac:dyDescent="0.25">
      <c r="B148" s="50"/>
    </row>
    <row r="149" spans="2:2" ht="15" customHeight="1" x14ac:dyDescent="0.25">
      <c r="B149" s="50"/>
    </row>
    <row r="150" spans="2:2" ht="15" customHeight="1" x14ac:dyDescent="0.25">
      <c r="B150" s="50"/>
    </row>
    <row r="151" spans="2:2" ht="15" customHeight="1" x14ac:dyDescent="0.25">
      <c r="B151" s="50"/>
    </row>
    <row r="152" spans="2:2" ht="15" customHeight="1" x14ac:dyDescent="0.25">
      <c r="B152" s="50"/>
    </row>
    <row r="153" spans="2:2" ht="15" customHeight="1" x14ac:dyDescent="0.25">
      <c r="B153" s="50"/>
    </row>
    <row r="154" spans="2:2" ht="15" customHeight="1" x14ac:dyDescent="0.25">
      <c r="B154" s="50"/>
    </row>
    <row r="155" spans="2:2" ht="15" customHeight="1" x14ac:dyDescent="0.25">
      <c r="B155" s="50"/>
    </row>
    <row r="156" spans="2:2" ht="15" customHeight="1" x14ac:dyDescent="0.25">
      <c r="B156" s="50"/>
    </row>
    <row r="157" spans="2:2" ht="15" customHeight="1" x14ac:dyDescent="0.25">
      <c r="B157" s="50"/>
    </row>
    <row r="158" spans="2:2" ht="15" customHeight="1" x14ac:dyDescent="0.25">
      <c r="B158" s="50"/>
    </row>
    <row r="159" spans="2:2" ht="15" customHeight="1" x14ac:dyDescent="0.25">
      <c r="B159" s="50"/>
    </row>
    <row r="160" spans="2:2" ht="15" customHeight="1" x14ac:dyDescent="0.25">
      <c r="B160" s="50"/>
    </row>
    <row r="161" spans="2:2" ht="15" customHeight="1" x14ac:dyDescent="0.25">
      <c r="B161" s="50"/>
    </row>
    <row r="162" spans="2:2" ht="15" customHeight="1" x14ac:dyDescent="0.25">
      <c r="B162" s="50"/>
    </row>
    <row r="163" spans="2:2" ht="15" customHeight="1" x14ac:dyDescent="0.25">
      <c r="B163" s="50"/>
    </row>
    <row r="164" spans="2:2" ht="15" customHeight="1" x14ac:dyDescent="0.25">
      <c r="B164" s="50"/>
    </row>
    <row r="165" spans="2:2" ht="15" customHeight="1" x14ac:dyDescent="0.25">
      <c r="B165" s="50"/>
    </row>
    <row r="166" spans="2:2" ht="15" customHeight="1" x14ac:dyDescent="0.25">
      <c r="B166" s="50"/>
    </row>
    <row r="167" spans="2:2" ht="15" customHeight="1" x14ac:dyDescent="0.25">
      <c r="B167" s="50"/>
    </row>
    <row r="168" spans="2:2" ht="15" customHeight="1" x14ac:dyDescent="0.25">
      <c r="B168" s="50"/>
    </row>
    <row r="169" spans="2:2" ht="15" customHeight="1" x14ac:dyDescent="0.25">
      <c r="B169" s="50"/>
    </row>
    <row r="170" spans="2:2" ht="15" customHeight="1" x14ac:dyDescent="0.25">
      <c r="B170" s="50"/>
    </row>
    <row r="171" spans="2:2" ht="15" customHeight="1" x14ac:dyDescent="0.25">
      <c r="B171" s="50"/>
    </row>
    <row r="172" spans="2:2" ht="15" customHeight="1" x14ac:dyDescent="0.25">
      <c r="B172" s="50"/>
    </row>
    <row r="173" spans="2:2" ht="15" customHeight="1" x14ac:dyDescent="0.25">
      <c r="B173" s="50"/>
    </row>
    <row r="174" spans="2:2" ht="15" customHeight="1" x14ac:dyDescent="0.25">
      <c r="B174" s="50"/>
    </row>
    <row r="175" spans="2:2" ht="15" customHeight="1" x14ac:dyDescent="0.25">
      <c r="B175" s="50"/>
    </row>
    <row r="176" spans="2:2" ht="15" customHeight="1" x14ac:dyDescent="0.25">
      <c r="B176" s="50"/>
    </row>
    <row r="177" spans="2:2" ht="15" customHeight="1" x14ac:dyDescent="0.25">
      <c r="B177" s="50"/>
    </row>
    <row r="178" spans="2:2" ht="15" customHeight="1" x14ac:dyDescent="0.25">
      <c r="B178" s="50"/>
    </row>
    <row r="179" spans="2:2" ht="15" customHeight="1" x14ac:dyDescent="0.25">
      <c r="B179" s="50"/>
    </row>
    <row r="180" spans="2:2" ht="15" customHeight="1" x14ac:dyDescent="0.25">
      <c r="B180" s="50"/>
    </row>
    <row r="181" spans="2:2" ht="15" customHeight="1" x14ac:dyDescent="0.25">
      <c r="B181" s="50"/>
    </row>
    <row r="182" spans="2:2" ht="15" customHeight="1" x14ac:dyDescent="0.25">
      <c r="B182" s="50"/>
    </row>
    <row r="183" spans="2:2" ht="15" customHeight="1" x14ac:dyDescent="0.25">
      <c r="B183" s="50"/>
    </row>
    <row r="184" spans="2:2" ht="15" customHeight="1" x14ac:dyDescent="0.25">
      <c r="B184" s="50"/>
    </row>
    <row r="185" spans="2:2" ht="15" customHeight="1" x14ac:dyDescent="0.25">
      <c r="B185" s="50"/>
    </row>
    <row r="186" spans="2:2" ht="15" customHeight="1" x14ac:dyDescent="0.25">
      <c r="B186" s="50"/>
    </row>
    <row r="187" spans="2:2" ht="15" customHeight="1" x14ac:dyDescent="0.25">
      <c r="B187" s="50"/>
    </row>
    <row r="188" spans="2:2" ht="15" customHeight="1" x14ac:dyDescent="0.25">
      <c r="B188" s="50"/>
    </row>
    <row r="189" spans="2:2" ht="15" customHeight="1" x14ac:dyDescent="0.25">
      <c r="B189" s="50"/>
    </row>
    <row r="190" spans="2:2" ht="15" customHeight="1" x14ac:dyDescent="0.25">
      <c r="B190" s="50"/>
    </row>
    <row r="191" spans="2:2" ht="15" customHeight="1" x14ac:dyDescent="0.25">
      <c r="B191" s="50"/>
    </row>
    <row r="192" spans="2:2" ht="15" customHeight="1" x14ac:dyDescent="0.25">
      <c r="B192" s="50"/>
    </row>
    <row r="193" spans="2:2" ht="15" customHeight="1" x14ac:dyDescent="0.25">
      <c r="B193" s="50"/>
    </row>
    <row r="194" spans="2:2" ht="15" customHeight="1" x14ac:dyDescent="0.25">
      <c r="B194" s="50"/>
    </row>
    <row r="195" spans="2:2" ht="15" customHeight="1" x14ac:dyDescent="0.25">
      <c r="B195" s="50"/>
    </row>
    <row r="196" spans="2:2" ht="15" customHeight="1" x14ac:dyDescent="0.25">
      <c r="B196" s="50"/>
    </row>
    <row r="197" spans="2:2" ht="15" customHeight="1" x14ac:dyDescent="0.25">
      <c r="B197" s="50"/>
    </row>
    <row r="198" spans="2:2" ht="15" customHeight="1" x14ac:dyDescent="0.25">
      <c r="B198" s="50"/>
    </row>
    <row r="199" spans="2:2" ht="15" customHeight="1" x14ac:dyDescent="0.25">
      <c r="B199" s="50"/>
    </row>
    <row r="200" spans="2:2" ht="15" customHeight="1" x14ac:dyDescent="0.25">
      <c r="B200" s="50"/>
    </row>
    <row r="201" spans="2:2" ht="15" customHeight="1" x14ac:dyDescent="0.25">
      <c r="B201" s="50"/>
    </row>
    <row r="202" spans="2:2" ht="15" customHeight="1" x14ac:dyDescent="0.25">
      <c r="B202" s="50"/>
    </row>
    <row r="203" spans="2:2" ht="15" customHeight="1" x14ac:dyDescent="0.25">
      <c r="B203" s="50"/>
    </row>
    <row r="204" spans="2:2" ht="15" customHeight="1" x14ac:dyDescent="0.25">
      <c r="B204" s="50"/>
    </row>
    <row r="205" spans="2:2" ht="15" customHeight="1" x14ac:dyDescent="0.25">
      <c r="B205" s="50"/>
    </row>
    <row r="206" spans="2:2" ht="15" customHeight="1" x14ac:dyDescent="0.25">
      <c r="B206" s="50"/>
    </row>
    <row r="207" spans="2:2" ht="15" customHeight="1" x14ac:dyDescent="0.25">
      <c r="B207" s="50"/>
    </row>
    <row r="208" spans="2:2" ht="15" customHeight="1" x14ac:dyDescent="0.25">
      <c r="B208" s="50"/>
    </row>
    <row r="209" spans="2:2" ht="15" customHeight="1" x14ac:dyDescent="0.25">
      <c r="B209" s="50"/>
    </row>
    <row r="210" spans="2:2" ht="15" customHeight="1" x14ac:dyDescent="0.25">
      <c r="B210" s="50"/>
    </row>
    <row r="211" spans="2:2" ht="15" customHeight="1" x14ac:dyDescent="0.25">
      <c r="B211" s="50"/>
    </row>
    <row r="212" spans="2:2" ht="15" customHeight="1" x14ac:dyDescent="0.25">
      <c r="B212" s="50"/>
    </row>
    <row r="213" spans="2:2" ht="15" customHeight="1" x14ac:dyDescent="0.25">
      <c r="B213" s="50"/>
    </row>
    <row r="214" spans="2:2" ht="15" customHeight="1" x14ac:dyDescent="0.25">
      <c r="B214" s="50"/>
    </row>
    <row r="215" spans="2:2" ht="15" customHeight="1" x14ac:dyDescent="0.25">
      <c r="B215" s="50"/>
    </row>
    <row r="216" spans="2:2" ht="15" customHeight="1" x14ac:dyDescent="0.25">
      <c r="B216" s="50"/>
    </row>
    <row r="217" spans="2:2" ht="15" customHeight="1" x14ac:dyDescent="0.25">
      <c r="B217" s="50"/>
    </row>
    <row r="218" spans="2:2" ht="15" customHeight="1" x14ac:dyDescent="0.25">
      <c r="B218" s="50"/>
    </row>
    <row r="219" spans="2:2" ht="15" customHeight="1" x14ac:dyDescent="0.25">
      <c r="B219" s="50"/>
    </row>
    <row r="220" spans="2:2" ht="15" customHeight="1" x14ac:dyDescent="0.25">
      <c r="B220" s="50"/>
    </row>
    <row r="221" spans="2:2" ht="15" customHeight="1" x14ac:dyDescent="0.25">
      <c r="B221" s="50"/>
    </row>
    <row r="222" spans="2:2" ht="15" customHeight="1" x14ac:dyDescent="0.25">
      <c r="B222" s="50"/>
    </row>
    <row r="223" spans="2:2" ht="15" customHeight="1" x14ac:dyDescent="0.25">
      <c r="B223" s="50"/>
    </row>
    <row r="224" spans="2:2" ht="15" customHeight="1" x14ac:dyDescent="0.25">
      <c r="B224" s="50"/>
    </row>
    <row r="225" spans="2:2" ht="15" customHeight="1" x14ac:dyDescent="0.25">
      <c r="B225" s="50"/>
    </row>
    <row r="226" spans="2:2" ht="15" customHeight="1" x14ac:dyDescent="0.25">
      <c r="B226" s="50"/>
    </row>
    <row r="227" spans="2:2" ht="15" customHeight="1" x14ac:dyDescent="0.25">
      <c r="B227" s="50"/>
    </row>
    <row r="228" spans="2:2" ht="15" customHeight="1" x14ac:dyDescent="0.25">
      <c r="B228" s="50"/>
    </row>
    <row r="229" spans="2:2" ht="15" customHeight="1" x14ac:dyDescent="0.25">
      <c r="B229" s="50"/>
    </row>
    <row r="230" spans="2:2" ht="15" customHeight="1" x14ac:dyDescent="0.25">
      <c r="B230" s="50"/>
    </row>
    <row r="231" spans="2:2" ht="15" customHeight="1" x14ac:dyDescent="0.25">
      <c r="B231" s="50"/>
    </row>
    <row r="232" spans="2:2" ht="15" customHeight="1" x14ac:dyDescent="0.25">
      <c r="B232" s="50"/>
    </row>
    <row r="233" spans="2:2" ht="15" customHeight="1" x14ac:dyDescent="0.25">
      <c r="B233" s="50"/>
    </row>
    <row r="234" spans="2:2" ht="15" customHeight="1" x14ac:dyDescent="0.25">
      <c r="B234" s="50"/>
    </row>
    <row r="235" spans="2:2" ht="15" customHeight="1" x14ac:dyDescent="0.25">
      <c r="B235" s="50"/>
    </row>
    <row r="236" spans="2:2" ht="15" customHeight="1" x14ac:dyDescent="0.25">
      <c r="B236" s="50"/>
    </row>
    <row r="237" spans="2:2" ht="15" customHeight="1" x14ac:dyDescent="0.25">
      <c r="B237" s="50"/>
    </row>
    <row r="238" spans="2:2" ht="15" customHeight="1" x14ac:dyDescent="0.25">
      <c r="B238" s="50"/>
    </row>
    <row r="239" spans="2:2" ht="15" customHeight="1" x14ac:dyDescent="0.25">
      <c r="B239" s="50"/>
    </row>
    <row r="240" spans="2:2" ht="15" customHeight="1" x14ac:dyDescent="0.25">
      <c r="B240" s="50"/>
    </row>
    <row r="241" spans="2:2" ht="15" customHeight="1" x14ac:dyDescent="0.25">
      <c r="B241" s="50"/>
    </row>
    <row r="242" spans="2:2" ht="15" customHeight="1" x14ac:dyDescent="0.25">
      <c r="B242" s="50"/>
    </row>
    <row r="243" spans="2:2" ht="15" customHeight="1" x14ac:dyDescent="0.25">
      <c r="B243" s="50"/>
    </row>
    <row r="244" spans="2:2" ht="15" customHeight="1" x14ac:dyDescent="0.25">
      <c r="B244" s="50"/>
    </row>
    <row r="245" spans="2:2" ht="15" customHeight="1" x14ac:dyDescent="0.25">
      <c r="B245" s="50"/>
    </row>
    <row r="246" spans="2:2" ht="15" customHeight="1" x14ac:dyDescent="0.25">
      <c r="B246" s="50"/>
    </row>
    <row r="247" spans="2:2" ht="15" customHeight="1" x14ac:dyDescent="0.25">
      <c r="B247" s="50"/>
    </row>
    <row r="248" spans="2:2" ht="15" customHeight="1" x14ac:dyDescent="0.25">
      <c r="B248" s="50"/>
    </row>
    <row r="249" spans="2:2" ht="15" customHeight="1" x14ac:dyDescent="0.25">
      <c r="B249" s="50"/>
    </row>
    <row r="250" spans="2:2" ht="15" customHeight="1" x14ac:dyDescent="0.25">
      <c r="B250" s="50"/>
    </row>
    <row r="251" spans="2:2" ht="15" customHeight="1" x14ac:dyDescent="0.25">
      <c r="B251" s="50"/>
    </row>
    <row r="252" spans="2:2" ht="15" customHeight="1" x14ac:dyDescent="0.25">
      <c r="B252" s="50"/>
    </row>
    <row r="253" spans="2:2" ht="15" customHeight="1" x14ac:dyDescent="0.25">
      <c r="B253" s="50"/>
    </row>
    <row r="254" spans="2:2" ht="15" customHeight="1" x14ac:dyDescent="0.25">
      <c r="B254" s="50"/>
    </row>
    <row r="255" spans="2:2" ht="15" customHeight="1" x14ac:dyDescent="0.25">
      <c r="B255" s="50"/>
    </row>
    <row r="256" spans="2:2" ht="15" customHeight="1" x14ac:dyDescent="0.25">
      <c r="B256" s="50"/>
    </row>
    <row r="257" spans="2:2" ht="15" customHeight="1" x14ac:dyDescent="0.25">
      <c r="B257" s="50"/>
    </row>
    <row r="258" spans="2:2" ht="15" customHeight="1" x14ac:dyDescent="0.25">
      <c r="B258" s="50"/>
    </row>
    <row r="259" spans="2:2" ht="15" customHeight="1" x14ac:dyDescent="0.25">
      <c r="B259" s="50"/>
    </row>
    <row r="260" spans="2:2" ht="15" customHeight="1" x14ac:dyDescent="0.25">
      <c r="B260" s="50"/>
    </row>
    <row r="261" spans="2:2" ht="15" customHeight="1" x14ac:dyDescent="0.25">
      <c r="B261" s="50"/>
    </row>
    <row r="262" spans="2:2" ht="15" customHeight="1" x14ac:dyDescent="0.25">
      <c r="B262" s="50"/>
    </row>
    <row r="263" spans="2:2" ht="15" customHeight="1" x14ac:dyDescent="0.25">
      <c r="B263" s="50"/>
    </row>
    <row r="264" spans="2:2" ht="15" customHeight="1" x14ac:dyDescent="0.25">
      <c r="B264" s="50"/>
    </row>
    <row r="265" spans="2:2" ht="15" customHeight="1" x14ac:dyDescent="0.25">
      <c r="B265" s="50"/>
    </row>
    <row r="266" spans="2:2" ht="15" customHeight="1" x14ac:dyDescent="0.25">
      <c r="B266" s="50"/>
    </row>
    <row r="267" spans="2:2" ht="15" customHeight="1" x14ac:dyDescent="0.25">
      <c r="B267" s="50"/>
    </row>
    <row r="268" spans="2:2" ht="15" customHeight="1" x14ac:dyDescent="0.25">
      <c r="B268" s="50"/>
    </row>
    <row r="269" spans="2:2" ht="15" customHeight="1" x14ac:dyDescent="0.25">
      <c r="B269" s="50"/>
    </row>
    <row r="270" spans="2:2" ht="15" customHeight="1" x14ac:dyDescent="0.25">
      <c r="B270" s="50"/>
    </row>
    <row r="271" spans="2:2" ht="15" customHeight="1" x14ac:dyDescent="0.25">
      <c r="B271" s="50"/>
    </row>
    <row r="272" spans="2:2" ht="15" customHeight="1" x14ac:dyDescent="0.25">
      <c r="B272" s="50"/>
    </row>
    <row r="273" spans="2:2" ht="15" customHeight="1" x14ac:dyDescent="0.25">
      <c r="B273" s="50"/>
    </row>
    <row r="274" spans="2:2" ht="15" customHeight="1" x14ac:dyDescent="0.25">
      <c r="B274" s="50"/>
    </row>
    <row r="275" spans="2:2" ht="15" customHeight="1" x14ac:dyDescent="0.25">
      <c r="B275" s="50"/>
    </row>
    <row r="276" spans="2:2" ht="15" customHeight="1" x14ac:dyDescent="0.25">
      <c r="B276" s="50"/>
    </row>
    <row r="277" spans="2:2" ht="15" customHeight="1" x14ac:dyDescent="0.25">
      <c r="B277" s="50"/>
    </row>
    <row r="278" spans="2:2" ht="15" customHeight="1" x14ac:dyDescent="0.25">
      <c r="B278" s="50"/>
    </row>
    <row r="279" spans="2:2" ht="15" customHeight="1" x14ac:dyDescent="0.25">
      <c r="B279" s="50"/>
    </row>
    <row r="280" spans="2:2" ht="15" customHeight="1" x14ac:dyDescent="0.25">
      <c r="B280" s="50"/>
    </row>
    <row r="281" spans="2:2" ht="15" customHeight="1" x14ac:dyDescent="0.25">
      <c r="B281" s="50"/>
    </row>
    <row r="282" spans="2:2" ht="15" customHeight="1" x14ac:dyDescent="0.25">
      <c r="B282" s="50"/>
    </row>
    <row r="283" spans="2:2" ht="15" customHeight="1" x14ac:dyDescent="0.25">
      <c r="B283" s="50"/>
    </row>
    <row r="284" spans="2:2" ht="15" customHeight="1" x14ac:dyDescent="0.25">
      <c r="B284" s="50"/>
    </row>
    <row r="285" spans="2:2" ht="15" customHeight="1" x14ac:dyDescent="0.25">
      <c r="B285" s="50"/>
    </row>
    <row r="286" spans="2:2" ht="15" customHeight="1" x14ac:dyDescent="0.25">
      <c r="B286" s="50"/>
    </row>
    <row r="287" spans="2:2" ht="15" customHeight="1" x14ac:dyDescent="0.25">
      <c r="B287" s="50"/>
    </row>
    <row r="288" spans="2:2" ht="15" customHeight="1" x14ac:dyDescent="0.25">
      <c r="B288" s="50"/>
    </row>
    <row r="289" spans="2:2" ht="15" customHeight="1" x14ac:dyDescent="0.25">
      <c r="B289" s="50"/>
    </row>
    <row r="290" spans="2:2" ht="15" customHeight="1" x14ac:dyDescent="0.25">
      <c r="B290" s="50"/>
    </row>
    <row r="291" spans="2:2" ht="15" customHeight="1" x14ac:dyDescent="0.25">
      <c r="B291" s="50"/>
    </row>
    <row r="292" spans="2:2" ht="15" customHeight="1" x14ac:dyDescent="0.25">
      <c r="B292" s="50"/>
    </row>
    <row r="293" spans="2:2" ht="15" customHeight="1" x14ac:dyDescent="0.25">
      <c r="B293" s="50"/>
    </row>
    <row r="294" spans="2:2" ht="15" customHeight="1" x14ac:dyDescent="0.25">
      <c r="B294" s="50"/>
    </row>
    <row r="295" spans="2:2" ht="15" customHeight="1" x14ac:dyDescent="0.25">
      <c r="B295" s="50"/>
    </row>
    <row r="296" spans="2:2" ht="15" customHeight="1" x14ac:dyDescent="0.25">
      <c r="B296" s="50"/>
    </row>
    <row r="297" spans="2:2" ht="15" customHeight="1" x14ac:dyDescent="0.25">
      <c r="B297" s="50"/>
    </row>
    <row r="298" spans="2:2" ht="15" customHeight="1" x14ac:dyDescent="0.25">
      <c r="B298" s="50"/>
    </row>
    <row r="299" spans="2:2" ht="15" customHeight="1" x14ac:dyDescent="0.25">
      <c r="B299" s="50"/>
    </row>
    <row r="300" spans="2:2" ht="15" customHeight="1" x14ac:dyDescent="0.25">
      <c r="B300" s="50"/>
    </row>
    <row r="301" spans="2:2" ht="15" customHeight="1" x14ac:dyDescent="0.25">
      <c r="B301" s="50"/>
    </row>
    <row r="302" spans="2:2" ht="15" customHeight="1" x14ac:dyDescent="0.25">
      <c r="B302" s="50"/>
    </row>
    <row r="303" spans="2:2" ht="15" customHeight="1" x14ac:dyDescent="0.25">
      <c r="B303" s="50"/>
    </row>
    <row r="304" spans="2:2" ht="15" customHeight="1" x14ac:dyDescent="0.25">
      <c r="B304" s="50"/>
    </row>
    <row r="305" spans="2:2" ht="15" customHeight="1" x14ac:dyDescent="0.25">
      <c r="B305" s="50"/>
    </row>
    <row r="306" spans="2:2" ht="15" customHeight="1" x14ac:dyDescent="0.25">
      <c r="B306" s="50"/>
    </row>
    <row r="307" spans="2:2" ht="15" customHeight="1" x14ac:dyDescent="0.25">
      <c r="B307" s="50"/>
    </row>
    <row r="308" spans="2:2" ht="15" customHeight="1" x14ac:dyDescent="0.25">
      <c r="B308" s="50"/>
    </row>
    <row r="309" spans="2:2" ht="15" customHeight="1" x14ac:dyDescent="0.25">
      <c r="B309" s="50"/>
    </row>
    <row r="310" spans="2:2" ht="15" customHeight="1" x14ac:dyDescent="0.25">
      <c r="B310" s="50"/>
    </row>
    <row r="311" spans="2:2" ht="15" customHeight="1" x14ac:dyDescent="0.25">
      <c r="B311" s="50"/>
    </row>
    <row r="312" spans="2:2" ht="15" customHeight="1" x14ac:dyDescent="0.25">
      <c r="B312" s="50"/>
    </row>
    <row r="313" spans="2:2" ht="15" customHeight="1" x14ac:dyDescent="0.25">
      <c r="B313" s="50"/>
    </row>
    <row r="314" spans="2:2" ht="15" customHeight="1" x14ac:dyDescent="0.25">
      <c r="B314" s="50"/>
    </row>
    <row r="315" spans="2:2" ht="15" customHeight="1" x14ac:dyDescent="0.25">
      <c r="B315" s="50"/>
    </row>
    <row r="316" spans="2:2" ht="15" customHeight="1" x14ac:dyDescent="0.25">
      <c r="B316" s="50"/>
    </row>
    <row r="317" spans="2:2" ht="15" customHeight="1" x14ac:dyDescent="0.25">
      <c r="B317" s="50"/>
    </row>
    <row r="318" spans="2:2" ht="15" customHeight="1" x14ac:dyDescent="0.25">
      <c r="B318" s="50"/>
    </row>
    <row r="319" spans="2:2" ht="15" customHeight="1" x14ac:dyDescent="0.25">
      <c r="B319" s="50"/>
    </row>
    <row r="320" spans="2:2" ht="15" customHeight="1" x14ac:dyDescent="0.25">
      <c r="B320" s="50"/>
    </row>
    <row r="321" spans="2:2" ht="15" customHeight="1" x14ac:dyDescent="0.25">
      <c r="B321" s="50"/>
    </row>
    <row r="322" spans="2:2" ht="15" customHeight="1" x14ac:dyDescent="0.25">
      <c r="B322" s="50"/>
    </row>
    <row r="323" spans="2:2" ht="15" customHeight="1" x14ac:dyDescent="0.25">
      <c r="B323" s="50"/>
    </row>
    <row r="324" spans="2:2" ht="15" customHeight="1" x14ac:dyDescent="0.25">
      <c r="B324" s="50"/>
    </row>
    <row r="325" spans="2:2" ht="15" customHeight="1" x14ac:dyDescent="0.25">
      <c r="B325" s="50"/>
    </row>
    <row r="326" spans="2:2" ht="15" customHeight="1" x14ac:dyDescent="0.25">
      <c r="B326" s="50"/>
    </row>
    <row r="327" spans="2:2" ht="15" customHeight="1" x14ac:dyDescent="0.25">
      <c r="B327" s="50"/>
    </row>
    <row r="328" spans="2:2" ht="15" customHeight="1" x14ac:dyDescent="0.25">
      <c r="B328" s="50"/>
    </row>
    <row r="329" spans="2:2" ht="15" customHeight="1" x14ac:dyDescent="0.25">
      <c r="B329" s="50"/>
    </row>
    <row r="330" spans="2:2" ht="15" customHeight="1" x14ac:dyDescent="0.25">
      <c r="B330" s="50"/>
    </row>
    <row r="331" spans="2:2" ht="15" customHeight="1" x14ac:dyDescent="0.25">
      <c r="B331" s="50"/>
    </row>
    <row r="332" spans="2:2" ht="15" customHeight="1" x14ac:dyDescent="0.25">
      <c r="B332" s="50"/>
    </row>
    <row r="333" spans="2:2" ht="15" customHeight="1" x14ac:dyDescent="0.25">
      <c r="B333" s="50"/>
    </row>
    <row r="334" spans="2:2" ht="15" customHeight="1" x14ac:dyDescent="0.25">
      <c r="B334" s="50"/>
    </row>
    <row r="335" spans="2:2" ht="15" customHeight="1" x14ac:dyDescent="0.25">
      <c r="B335" s="50"/>
    </row>
    <row r="336" spans="2:2" ht="15" customHeight="1" x14ac:dyDescent="0.25">
      <c r="B336" s="50"/>
    </row>
    <row r="337" spans="2:2" ht="15" customHeight="1" x14ac:dyDescent="0.25">
      <c r="B337" s="50"/>
    </row>
    <row r="338" spans="2:2" ht="15" customHeight="1" x14ac:dyDescent="0.25">
      <c r="B338" s="50"/>
    </row>
    <row r="339" spans="2:2" ht="15" customHeight="1" x14ac:dyDescent="0.25">
      <c r="B339" s="50"/>
    </row>
    <row r="340" spans="2:2" ht="15" customHeight="1" x14ac:dyDescent="0.25">
      <c r="B340" s="50"/>
    </row>
    <row r="341" spans="2:2" ht="15" customHeight="1" x14ac:dyDescent="0.25">
      <c r="B341" s="50"/>
    </row>
    <row r="342" spans="2:2" ht="15" customHeight="1" x14ac:dyDescent="0.25">
      <c r="B342" s="50"/>
    </row>
    <row r="343" spans="2:2" ht="15" customHeight="1" x14ac:dyDescent="0.25">
      <c r="B343" s="50"/>
    </row>
    <row r="344" spans="2:2" ht="15" customHeight="1" x14ac:dyDescent="0.25">
      <c r="B344" s="50"/>
    </row>
    <row r="345" spans="2:2" ht="15" customHeight="1" x14ac:dyDescent="0.25">
      <c r="B345" s="50"/>
    </row>
    <row r="346" spans="2:2" ht="15" customHeight="1" x14ac:dyDescent="0.25">
      <c r="B346" s="50"/>
    </row>
    <row r="347" spans="2:2" ht="15" customHeight="1" x14ac:dyDescent="0.25">
      <c r="B347" s="50"/>
    </row>
    <row r="348" spans="2:2" ht="15" customHeight="1" x14ac:dyDescent="0.25">
      <c r="B348" s="50"/>
    </row>
    <row r="349" spans="2:2" ht="15" customHeight="1" x14ac:dyDescent="0.25">
      <c r="B349" s="50"/>
    </row>
    <row r="350" spans="2:2" ht="15" customHeight="1" x14ac:dyDescent="0.25">
      <c r="B350" s="50"/>
    </row>
    <row r="351" spans="2:2" ht="15" customHeight="1" x14ac:dyDescent="0.25">
      <c r="B351" s="50"/>
    </row>
    <row r="352" spans="2:2" ht="15" customHeight="1" x14ac:dyDescent="0.25">
      <c r="B352" s="50"/>
    </row>
    <row r="353" spans="2:2" ht="15" customHeight="1" x14ac:dyDescent="0.25">
      <c r="B353" s="50"/>
    </row>
    <row r="354" spans="2:2" ht="15" customHeight="1" x14ac:dyDescent="0.25">
      <c r="B354" s="50"/>
    </row>
    <row r="355" spans="2:2" ht="15" customHeight="1" x14ac:dyDescent="0.25">
      <c r="B355" s="50"/>
    </row>
    <row r="356" spans="2:2" ht="15" customHeight="1" x14ac:dyDescent="0.25">
      <c r="B356" s="50"/>
    </row>
    <row r="357" spans="2:2" ht="15" customHeight="1" x14ac:dyDescent="0.25">
      <c r="B357" s="50"/>
    </row>
    <row r="358" spans="2:2" ht="15" customHeight="1" x14ac:dyDescent="0.25">
      <c r="B358" s="50"/>
    </row>
    <row r="359" spans="2:2" ht="15" customHeight="1" x14ac:dyDescent="0.25">
      <c r="B359" s="50"/>
    </row>
    <row r="360" spans="2:2" ht="15" customHeight="1" x14ac:dyDescent="0.25">
      <c r="B360" s="50"/>
    </row>
    <row r="361" spans="2:2" ht="15" customHeight="1" x14ac:dyDescent="0.25">
      <c r="B361" s="50"/>
    </row>
    <row r="362" spans="2:2" ht="15" customHeight="1" x14ac:dyDescent="0.25">
      <c r="B362" s="50"/>
    </row>
    <row r="363" spans="2:2" ht="15" customHeight="1" x14ac:dyDescent="0.25">
      <c r="B363" s="50"/>
    </row>
    <row r="364" spans="2:2" ht="15" customHeight="1" x14ac:dyDescent="0.25">
      <c r="B364" s="50"/>
    </row>
    <row r="365" spans="2:2" ht="15" customHeight="1" x14ac:dyDescent="0.25">
      <c r="B365" s="50"/>
    </row>
    <row r="366" spans="2:2" ht="15" customHeight="1" x14ac:dyDescent="0.25">
      <c r="B366" s="50"/>
    </row>
    <row r="367" spans="2:2" ht="15" customHeight="1" x14ac:dyDescent="0.25">
      <c r="B367" s="50"/>
    </row>
    <row r="368" spans="2:2" ht="15" customHeight="1" x14ac:dyDescent="0.25">
      <c r="B368" s="50"/>
    </row>
    <row r="369" spans="2:2" ht="15" customHeight="1" x14ac:dyDescent="0.25">
      <c r="B369" s="50"/>
    </row>
    <row r="370" spans="2:2" ht="15" customHeight="1" x14ac:dyDescent="0.25">
      <c r="B370" s="50"/>
    </row>
    <row r="371" spans="2:2" ht="15" customHeight="1" x14ac:dyDescent="0.25">
      <c r="B371" s="50"/>
    </row>
    <row r="372" spans="2:2" ht="15" customHeight="1" x14ac:dyDescent="0.25">
      <c r="B372" s="50"/>
    </row>
    <row r="373" spans="2:2" ht="15" customHeight="1" x14ac:dyDescent="0.25">
      <c r="B373" s="50"/>
    </row>
    <row r="374" spans="2:2" ht="15" customHeight="1" x14ac:dyDescent="0.25">
      <c r="B374" s="50"/>
    </row>
    <row r="375" spans="2:2" ht="15" customHeight="1" x14ac:dyDescent="0.25">
      <c r="B375" s="50"/>
    </row>
    <row r="376" spans="2:2" ht="15" customHeight="1" x14ac:dyDescent="0.25">
      <c r="B376" s="50"/>
    </row>
    <row r="377" spans="2:2" ht="15" customHeight="1" x14ac:dyDescent="0.25">
      <c r="B377" s="50"/>
    </row>
    <row r="378" spans="2:2" ht="15" customHeight="1" x14ac:dyDescent="0.25">
      <c r="B378" s="50"/>
    </row>
    <row r="379" spans="2:2" ht="15" customHeight="1" x14ac:dyDescent="0.25">
      <c r="B379" s="50"/>
    </row>
    <row r="380" spans="2:2" ht="15" customHeight="1" x14ac:dyDescent="0.25">
      <c r="B380" s="50"/>
    </row>
    <row r="381" spans="2:2" ht="15" customHeight="1" x14ac:dyDescent="0.25">
      <c r="B381" s="50"/>
    </row>
    <row r="382" spans="2:2" ht="15" customHeight="1" x14ac:dyDescent="0.25">
      <c r="B382" s="50"/>
    </row>
    <row r="383" spans="2:2" ht="15" customHeight="1" x14ac:dyDescent="0.25">
      <c r="B383" s="50"/>
    </row>
    <row r="384" spans="2:2" ht="15" customHeight="1" x14ac:dyDescent="0.25">
      <c r="B384" s="50"/>
    </row>
    <row r="385" spans="2:2" ht="15" customHeight="1" x14ac:dyDescent="0.25">
      <c r="B385" s="50"/>
    </row>
    <row r="386" spans="2:2" ht="15" customHeight="1" x14ac:dyDescent="0.25">
      <c r="B386" s="50"/>
    </row>
    <row r="387" spans="2:2" ht="15" customHeight="1" x14ac:dyDescent="0.25">
      <c r="B387" s="50"/>
    </row>
    <row r="388" spans="2:2" ht="15" customHeight="1" x14ac:dyDescent="0.25">
      <c r="B388" s="50"/>
    </row>
    <row r="389" spans="2:2" ht="15" customHeight="1" x14ac:dyDescent="0.25">
      <c r="B389" s="50"/>
    </row>
    <row r="390" spans="2:2" ht="15" customHeight="1" x14ac:dyDescent="0.25">
      <c r="B390" s="50"/>
    </row>
    <row r="391" spans="2:2" ht="15" customHeight="1" x14ac:dyDescent="0.25">
      <c r="B391" s="50"/>
    </row>
    <row r="392" spans="2:2" ht="15" customHeight="1" x14ac:dyDescent="0.25">
      <c r="B392" s="50"/>
    </row>
    <row r="393" spans="2:2" ht="15" customHeight="1" x14ac:dyDescent="0.25">
      <c r="B393" s="50"/>
    </row>
    <row r="394" spans="2:2" ht="15" customHeight="1" x14ac:dyDescent="0.25">
      <c r="B394" s="50"/>
    </row>
    <row r="395" spans="2:2" ht="15" customHeight="1" x14ac:dyDescent="0.25">
      <c r="B395" s="50"/>
    </row>
    <row r="396" spans="2:2" ht="15" customHeight="1" x14ac:dyDescent="0.25">
      <c r="B396" s="50"/>
    </row>
    <row r="397" spans="2:2" ht="15" customHeight="1" x14ac:dyDescent="0.25">
      <c r="B397" s="50"/>
    </row>
    <row r="398" spans="2:2" ht="15" customHeight="1" x14ac:dyDescent="0.25">
      <c r="B398" s="50"/>
    </row>
    <row r="399" spans="2:2" ht="15" customHeight="1" x14ac:dyDescent="0.25">
      <c r="B399" s="50"/>
    </row>
    <row r="400" spans="2:2" ht="15" customHeight="1" x14ac:dyDescent="0.25">
      <c r="B400" s="50"/>
    </row>
    <row r="401" spans="2:2" ht="15" customHeight="1" x14ac:dyDescent="0.25">
      <c r="B401" s="50"/>
    </row>
    <row r="402" spans="2:2" ht="15" customHeight="1" x14ac:dyDescent="0.25">
      <c r="B402" s="50"/>
    </row>
    <row r="403" spans="2:2" ht="15" customHeight="1" x14ac:dyDescent="0.25">
      <c r="B403" s="50"/>
    </row>
    <row r="404" spans="2:2" ht="15" customHeight="1" x14ac:dyDescent="0.25">
      <c r="B404" s="50"/>
    </row>
    <row r="405" spans="2:2" ht="15" customHeight="1" x14ac:dyDescent="0.25">
      <c r="B405" s="50"/>
    </row>
    <row r="406" spans="2:2" ht="15" customHeight="1" x14ac:dyDescent="0.25">
      <c r="B406" s="50"/>
    </row>
    <row r="407" spans="2:2" ht="15" customHeight="1" x14ac:dyDescent="0.25">
      <c r="B407" s="50"/>
    </row>
    <row r="408" spans="2:2" ht="15" customHeight="1" x14ac:dyDescent="0.25">
      <c r="B408" s="50"/>
    </row>
    <row r="409" spans="2:2" ht="15" customHeight="1" x14ac:dyDescent="0.25">
      <c r="B409" s="50"/>
    </row>
    <row r="410" spans="2:2" ht="15" customHeight="1" x14ac:dyDescent="0.25">
      <c r="B410" s="50"/>
    </row>
    <row r="411" spans="2:2" ht="15" customHeight="1" x14ac:dyDescent="0.25">
      <c r="B411" s="50"/>
    </row>
    <row r="412" spans="2:2" ht="15" customHeight="1" x14ac:dyDescent="0.25">
      <c r="B412" s="50"/>
    </row>
    <row r="413" spans="2:2" ht="15" customHeight="1" x14ac:dyDescent="0.25">
      <c r="B413" s="50"/>
    </row>
    <row r="414" spans="2:2" ht="15" customHeight="1" x14ac:dyDescent="0.25">
      <c r="B414" s="50"/>
    </row>
    <row r="415" spans="2:2" ht="15" customHeight="1" x14ac:dyDescent="0.25">
      <c r="B415" s="50"/>
    </row>
    <row r="416" spans="2:2" ht="15" customHeight="1" x14ac:dyDescent="0.25">
      <c r="B416" s="50"/>
    </row>
    <row r="417" spans="2:2" ht="15" customHeight="1" x14ac:dyDescent="0.25">
      <c r="B417" s="50"/>
    </row>
    <row r="418" spans="2:2" ht="15" customHeight="1" x14ac:dyDescent="0.25">
      <c r="B418" s="50"/>
    </row>
    <row r="419" spans="2:2" ht="15" customHeight="1" x14ac:dyDescent="0.25">
      <c r="B419" s="50"/>
    </row>
    <row r="420" spans="2:2" ht="15" customHeight="1" x14ac:dyDescent="0.25">
      <c r="B420" s="50"/>
    </row>
    <row r="421" spans="2:2" ht="15" customHeight="1" x14ac:dyDescent="0.25">
      <c r="B421" s="50"/>
    </row>
    <row r="422" spans="2:2" ht="15" customHeight="1" x14ac:dyDescent="0.25">
      <c r="B422" s="50"/>
    </row>
    <row r="423" spans="2:2" ht="15" customHeight="1" x14ac:dyDescent="0.25">
      <c r="B423" s="50"/>
    </row>
    <row r="424" spans="2:2" ht="15" customHeight="1" x14ac:dyDescent="0.25">
      <c r="B424" s="50"/>
    </row>
    <row r="425" spans="2:2" ht="15" customHeight="1" x14ac:dyDescent="0.25">
      <c r="B425" s="50"/>
    </row>
    <row r="426" spans="2:2" ht="15" customHeight="1" x14ac:dyDescent="0.25">
      <c r="B426" s="50"/>
    </row>
    <row r="427" spans="2:2" ht="15" customHeight="1" x14ac:dyDescent="0.25">
      <c r="B427" s="50"/>
    </row>
    <row r="428" spans="2:2" ht="15" customHeight="1" x14ac:dyDescent="0.25">
      <c r="B428" s="50"/>
    </row>
    <row r="429" spans="2:2" ht="15" customHeight="1" x14ac:dyDescent="0.25">
      <c r="B429" s="50"/>
    </row>
    <row r="430" spans="2:2" ht="15" customHeight="1" x14ac:dyDescent="0.25">
      <c r="B430" s="50"/>
    </row>
    <row r="431" spans="2:2" ht="15" customHeight="1" x14ac:dyDescent="0.25">
      <c r="B431" s="50"/>
    </row>
    <row r="432" spans="2:2" ht="15" customHeight="1" x14ac:dyDescent="0.25">
      <c r="B432" s="50"/>
    </row>
    <row r="433" spans="2:2" ht="15" customHeight="1" x14ac:dyDescent="0.25">
      <c r="B433" s="50"/>
    </row>
    <row r="434" spans="2:2" ht="15" customHeight="1" x14ac:dyDescent="0.25">
      <c r="B434" s="50"/>
    </row>
    <row r="435" spans="2:2" ht="15" customHeight="1" x14ac:dyDescent="0.25">
      <c r="B435" s="50"/>
    </row>
    <row r="436" spans="2:2" ht="15" customHeight="1" x14ac:dyDescent="0.25">
      <c r="B436" s="50"/>
    </row>
    <row r="437" spans="2:2" ht="15" customHeight="1" x14ac:dyDescent="0.25">
      <c r="B437" s="50"/>
    </row>
    <row r="438" spans="2:2" ht="15" customHeight="1" x14ac:dyDescent="0.25">
      <c r="B438" s="50"/>
    </row>
    <row r="439" spans="2:2" ht="15" customHeight="1" x14ac:dyDescent="0.25">
      <c r="B439" s="50"/>
    </row>
    <row r="440" spans="2:2" ht="15" customHeight="1" x14ac:dyDescent="0.25">
      <c r="B440" s="50"/>
    </row>
    <row r="441" spans="2:2" ht="15" customHeight="1" x14ac:dyDescent="0.25">
      <c r="B441" s="50"/>
    </row>
    <row r="442" spans="2:2" ht="15" customHeight="1" x14ac:dyDescent="0.25">
      <c r="B442" s="50"/>
    </row>
    <row r="443" spans="2:2" ht="15" customHeight="1" x14ac:dyDescent="0.25">
      <c r="B443" s="50"/>
    </row>
    <row r="444" spans="2:2" ht="15" customHeight="1" x14ac:dyDescent="0.25">
      <c r="B444" s="50"/>
    </row>
    <row r="445" spans="2:2" ht="15" customHeight="1" x14ac:dyDescent="0.25">
      <c r="B445" s="50"/>
    </row>
    <row r="446" spans="2:2" ht="15" customHeight="1" x14ac:dyDescent="0.25">
      <c r="B446" s="50"/>
    </row>
    <row r="447" spans="2:2" ht="15" customHeight="1" x14ac:dyDescent="0.25">
      <c r="B447" s="50"/>
    </row>
    <row r="448" spans="2:2" ht="15" customHeight="1" x14ac:dyDescent="0.25">
      <c r="B448" s="50"/>
    </row>
    <row r="449" spans="2:2" ht="15" customHeight="1" x14ac:dyDescent="0.25">
      <c r="B449" s="50"/>
    </row>
    <row r="450" spans="2:2" ht="15" customHeight="1" x14ac:dyDescent="0.25">
      <c r="B450" s="50"/>
    </row>
    <row r="451" spans="2:2" ht="15" customHeight="1" x14ac:dyDescent="0.25">
      <c r="B451" s="50"/>
    </row>
    <row r="452" spans="2:2" ht="15" customHeight="1" x14ac:dyDescent="0.25">
      <c r="B452" s="50"/>
    </row>
    <row r="453" spans="2:2" ht="15" customHeight="1" x14ac:dyDescent="0.25">
      <c r="B453" s="50"/>
    </row>
    <row r="454" spans="2:2" ht="15" customHeight="1" x14ac:dyDescent="0.25">
      <c r="B454" s="50"/>
    </row>
    <row r="455" spans="2:2" ht="15" customHeight="1" x14ac:dyDescent="0.25">
      <c r="B455" s="50"/>
    </row>
    <row r="456" spans="2:2" ht="15" customHeight="1" x14ac:dyDescent="0.25">
      <c r="B456" s="50"/>
    </row>
    <row r="457" spans="2:2" ht="15" customHeight="1" x14ac:dyDescent="0.25">
      <c r="B457" s="50"/>
    </row>
    <row r="458" spans="2:2" ht="15" customHeight="1" x14ac:dyDescent="0.25">
      <c r="B458" s="50"/>
    </row>
    <row r="459" spans="2:2" ht="15" customHeight="1" x14ac:dyDescent="0.25">
      <c r="B459" s="50"/>
    </row>
    <row r="460" spans="2:2" ht="15" customHeight="1" x14ac:dyDescent="0.25">
      <c r="B460" s="50"/>
    </row>
    <row r="461" spans="2:2" ht="15" customHeight="1" x14ac:dyDescent="0.25">
      <c r="B461" s="50"/>
    </row>
    <row r="462" spans="2:2" ht="15" customHeight="1" x14ac:dyDescent="0.25">
      <c r="B462" s="50"/>
    </row>
    <row r="463" spans="2:2" ht="15" customHeight="1" x14ac:dyDescent="0.25">
      <c r="B463" s="50"/>
    </row>
    <row r="464" spans="2:2" ht="15" customHeight="1" x14ac:dyDescent="0.25">
      <c r="B464" s="50"/>
    </row>
    <row r="465" spans="2:2" ht="15" customHeight="1" x14ac:dyDescent="0.25">
      <c r="B465" s="50"/>
    </row>
    <row r="466" spans="2:2" ht="15" customHeight="1" x14ac:dyDescent="0.25">
      <c r="B466" s="50"/>
    </row>
    <row r="467" spans="2:2" ht="15" customHeight="1" x14ac:dyDescent="0.25">
      <c r="B467" s="50"/>
    </row>
    <row r="468" spans="2:2" ht="15" customHeight="1" x14ac:dyDescent="0.25">
      <c r="B468" s="50"/>
    </row>
    <row r="469" spans="2:2" ht="15" customHeight="1" x14ac:dyDescent="0.25">
      <c r="B469" s="50"/>
    </row>
    <row r="470" spans="2:2" ht="15" customHeight="1" x14ac:dyDescent="0.25">
      <c r="B470" s="50"/>
    </row>
    <row r="471" spans="2:2" ht="15" customHeight="1" x14ac:dyDescent="0.25">
      <c r="B471" s="50"/>
    </row>
    <row r="472" spans="2:2" ht="15" customHeight="1" x14ac:dyDescent="0.25">
      <c r="B472" s="50"/>
    </row>
    <row r="473" spans="2:2" ht="15" customHeight="1" x14ac:dyDescent="0.25">
      <c r="B473" s="50"/>
    </row>
    <row r="474" spans="2:2" ht="15" customHeight="1" x14ac:dyDescent="0.25">
      <c r="B474" s="50"/>
    </row>
    <row r="475" spans="2:2" ht="15" customHeight="1" x14ac:dyDescent="0.25">
      <c r="B475" s="50"/>
    </row>
    <row r="476" spans="2:2" ht="15" customHeight="1" x14ac:dyDescent="0.25">
      <c r="B476" s="50"/>
    </row>
    <row r="477" spans="2:2" ht="15" customHeight="1" x14ac:dyDescent="0.25">
      <c r="B477" s="50"/>
    </row>
    <row r="478" spans="2:2" ht="15" customHeight="1" x14ac:dyDescent="0.25">
      <c r="B478" s="50"/>
    </row>
    <row r="479" spans="2:2" ht="15" customHeight="1" x14ac:dyDescent="0.25">
      <c r="B479" s="50"/>
    </row>
    <row r="480" spans="2:2" ht="15" customHeight="1" x14ac:dyDescent="0.25">
      <c r="B480" s="50"/>
    </row>
    <row r="481" spans="2:2" ht="15" customHeight="1" x14ac:dyDescent="0.25">
      <c r="B481" s="50"/>
    </row>
    <row r="482" spans="2:2" ht="15" customHeight="1" x14ac:dyDescent="0.25">
      <c r="B482" s="50"/>
    </row>
    <row r="483" spans="2:2" ht="15" customHeight="1" x14ac:dyDescent="0.25">
      <c r="B483" s="50"/>
    </row>
    <row r="484" spans="2:2" ht="15" customHeight="1" x14ac:dyDescent="0.25">
      <c r="B484" s="50"/>
    </row>
    <row r="485" spans="2:2" ht="15" customHeight="1" x14ac:dyDescent="0.25">
      <c r="B485" s="50"/>
    </row>
    <row r="486" spans="2:2" ht="15" customHeight="1" x14ac:dyDescent="0.25">
      <c r="B486" s="50"/>
    </row>
    <row r="487" spans="2:2" ht="15" customHeight="1" x14ac:dyDescent="0.25">
      <c r="B487" s="50"/>
    </row>
    <row r="488" spans="2:2" ht="15" customHeight="1" x14ac:dyDescent="0.25">
      <c r="B488" s="50"/>
    </row>
    <row r="489" spans="2:2" ht="15" customHeight="1" x14ac:dyDescent="0.25">
      <c r="B489" s="50"/>
    </row>
    <row r="490" spans="2:2" ht="15" customHeight="1" x14ac:dyDescent="0.25">
      <c r="B490" s="50"/>
    </row>
    <row r="491" spans="2:2" ht="15" customHeight="1" x14ac:dyDescent="0.25">
      <c r="B491" s="50"/>
    </row>
    <row r="492" spans="2:2" ht="15" customHeight="1" x14ac:dyDescent="0.25">
      <c r="B492" s="50"/>
    </row>
    <row r="493" spans="2:2" ht="15" customHeight="1" x14ac:dyDescent="0.25">
      <c r="B493" s="50"/>
    </row>
    <row r="494" spans="2:2" ht="15" customHeight="1" x14ac:dyDescent="0.25">
      <c r="B494" s="50"/>
    </row>
    <row r="495" spans="2:2" ht="15" customHeight="1" x14ac:dyDescent="0.25">
      <c r="B495" s="50"/>
    </row>
    <row r="496" spans="2:2" ht="15" customHeight="1" x14ac:dyDescent="0.25">
      <c r="B496" s="50"/>
    </row>
    <row r="497" spans="2:2" ht="15" customHeight="1" x14ac:dyDescent="0.25">
      <c r="B497" s="50"/>
    </row>
    <row r="498" spans="2:2" ht="15" customHeight="1" x14ac:dyDescent="0.25">
      <c r="B498" s="50"/>
    </row>
    <row r="499" spans="2:2" ht="15" customHeight="1" x14ac:dyDescent="0.25">
      <c r="B499" s="50"/>
    </row>
    <row r="500" spans="2:2" ht="15" customHeight="1" x14ac:dyDescent="0.25">
      <c r="B500" s="50"/>
    </row>
    <row r="501" spans="2:2" ht="15" customHeight="1" x14ac:dyDescent="0.25">
      <c r="B501" s="50"/>
    </row>
    <row r="502" spans="2:2" ht="15" customHeight="1" x14ac:dyDescent="0.25">
      <c r="B502" s="50"/>
    </row>
    <row r="503" spans="2:2" ht="15" customHeight="1" x14ac:dyDescent="0.25">
      <c r="B503" s="50"/>
    </row>
    <row r="504" spans="2:2" ht="15" customHeight="1" x14ac:dyDescent="0.25">
      <c r="B504" s="50"/>
    </row>
    <row r="505" spans="2:2" ht="15" customHeight="1" x14ac:dyDescent="0.25">
      <c r="B505" s="50"/>
    </row>
    <row r="506" spans="2:2" ht="15" customHeight="1" x14ac:dyDescent="0.25">
      <c r="B506" s="50"/>
    </row>
    <row r="507" spans="2:2" ht="15" customHeight="1" x14ac:dyDescent="0.25">
      <c r="B507" s="50"/>
    </row>
    <row r="508" spans="2:2" ht="15" customHeight="1" x14ac:dyDescent="0.25">
      <c r="B508" s="50"/>
    </row>
    <row r="509" spans="2:2" ht="15" customHeight="1" x14ac:dyDescent="0.25">
      <c r="B509" s="50"/>
    </row>
    <row r="510" spans="2:2" ht="15" customHeight="1" x14ac:dyDescent="0.25">
      <c r="B510" s="50"/>
    </row>
    <row r="511" spans="2:2" ht="15" customHeight="1" x14ac:dyDescent="0.25">
      <c r="B511" s="50"/>
    </row>
    <row r="512" spans="2:2" ht="15" customHeight="1" x14ac:dyDescent="0.25">
      <c r="B512" s="50"/>
    </row>
    <row r="513" spans="2:2" ht="15" customHeight="1" x14ac:dyDescent="0.25">
      <c r="B513" s="50"/>
    </row>
    <row r="514" spans="2:2" ht="15" customHeight="1" x14ac:dyDescent="0.25">
      <c r="B514" s="50"/>
    </row>
    <row r="515" spans="2:2" ht="15" customHeight="1" x14ac:dyDescent="0.25">
      <c r="B515" s="50"/>
    </row>
    <row r="516" spans="2:2" ht="15" customHeight="1" x14ac:dyDescent="0.25">
      <c r="B516" s="50"/>
    </row>
    <row r="517" spans="2:2" ht="15" customHeight="1" x14ac:dyDescent="0.25">
      <c r="B517" s="50"/>
    </row>
    <row r="518" spans="2:2" ht="15" customHeight="1" x14ac:dyDescent="0.25">
      <c r="B518" s="50"/>
    </row>
    <row r="519" spans="2:2" ht="15" customHeight="1" x14ac:dyDescent="0.25">
      <c r="B519" s="50"/>
    </row>
    <row r="520" spans="2:2" ht="15" customHeight="1" x14ac:dyDescent="0.25">
      <c r="B520" s="50"/>
    </row>
    <row r="521" spans="2:2" ht="15" customHeight="1" x14ac:dyDescent="0.25">
      <c r="B521" s="50"/>
    </row>
    <row r="522" spans="2:2" ht="15" customHeight="1" x14ac:dyDescent="0.25">
      <c r="B522" s="50"/>
    </row>
    <row r="523" spans="2:2" ht="15" customHeight="1" x14ac:dyDescent="0.25">
      <c r="B523" s="50"/>
    </row>
    <row r="524" spans="2:2" ht="15" customHeight="1" x14ac:dyDescent="0.25">
      <c r="B524" s="50"/>
    </row>
    <row r="525" spans="2:2" ht="15" customHeight="1" x14ac:dyDescent="0.25">
      <c r="B525" s="50"/>
    </row>
    <row r="526" spans="2:2" ht="15" customHeight="1" x14ac:dyDescent="0.25">
      <c r="B526" s="50"/>
    </row>
    <row r="527" spans="2:2" ht="15" customHeight="1" x14ac:dyDescent="0.25">
      <c r="B527" s="50"/>
    </row>
    <row r="528" spans="2:2" ht="15" customHeight="1" x14ac:dyDescent="0.25">
      <c r="B528" s="50"/>
    </row>
    <row r="529" spans="2:2" ht="15" customHeight="1" x14ac:dyDescent="0.25">
      <c r="B529" s="50"/>
    </row>
    <row r="530" spans="2:2" ht="15" customHeight="1" x14ac:dyDescent="0.25">
      <c r="B530" s="50"/>
    </row>
    <row r="531" spans="2:2" ht="15" customHeight="1" x14ac:dyDescent="0.25">
      <c r="B531" s="50"/>
    </row>
    <row r="532" spans="2:2" ht="15" customHeight="1" x14ac:dyDescent="0.25">
      <c r="B532" s="50"/>
    </row>
    <row r="533" spans="2:2" ht="15" customHeight="1" x14ac:dyDescent="0.25">
      <c r="B533" s="50"/>
    </row>
    <row r="534" spans="2:2" ht="15" customHeight="1" x14ac:dyDescent="0.25">
      <c r="B534" s="50"/>
    </row>
    <row r="535" spans="2:2" ht="15" customHeight="1" x14ac:dyDescent="0.25">
      <c r="B535" s="50"/>
    </row>
    <row r="536" spans="2:2" ht="15" customHeight="1" x14ac:dyDescent="0.25">
      <c r="B536" s="50"/>
    </row>
    <row r="537" spans="2:2" ht="15" customHeight="1" x14ac:dyDescent="0.25">
      <c r="B537" s="50"/>
    </row>
    <row r="538" spans="2:2" ht="15" customHeight="1" x14ac:dyDescent="0.25">
      <c r="B538" s="50"/>
    </row>
    <row r="539" spans="2:2" ht="15" customHeight="1" x14ac:dyDescent="0.25">
      <c r="B539" s="50"/>
    </row>
    <row r="540" spans="2:2" ht="15" customHeight="1" x14ac:dyDescent="0.25">
      <c r="B540" s="50"/>
    </row>
    <row r="541" spans="2:2" ht="15" customHeight="1" x14ac:dyDescent="0.25">
      <c r="B541" s="50"/>
    </row>
    <row r="542" spans="2:2" ht="15" customHeight="1" x14ac:dyDescent="0.25">
      <c r="B542" s="50"/>
    </row>
    <row r="543" spans="2:2" ht="15" customHeight="1" x14ac:dyDescent="0.25">
      <c r="B543" s="50"/>
    </row>
    <row r="544" spans="2:2" ht="15" customHeight="1" x14ac:dyDescent="0.25">
      <c r="B544" s="50"/>
    </row>
    <row r="545" spans="2:2" ht="15" customHeight="1" x14ac:dyDescent="0.25">
      <c r="B545" s="50"/>
    </row>
    <row r="546" spans="2:2" ht="15" customHeight="1" x14ac:dyDescent="0.25">
      <c r="B546" s="50"/>
    </row>
    <row r="547" spans="2:2" ht="15" customHeight="1" x14ac:dyDescent="0.25">
      <c r="B547" s="50"/>
    </row>
    <row r="548" spans="2:2" ht="15" customHeight="1" x14ac:dyDescent="0.25">
      <c r="B548" s="50"/>
    </row>
    <row r="549" spans="2:2" ht="15" customHeight="1" x14ac:dyDescent="0.25">
      <c r="B549" s="50"/>
    </row>
    <row r="550" spans="2:2" ht="15" customHeight="1" x14ac:dyDescent="0.25">
      <c r="B550" s="50"/>
    </row>
    <row r="551" spans="2:2" ht="15" customHeight="1" x14ac:dyDescent="0.25">
      <c r="B551" s="50"/>
    </row>
    <row r="552" spans="2:2" ht="15" customHeight="1" x14ac:dyDescent="0.25">
      <c r="B552" s="50"/>
    </row>
    <row r="553" spans="2:2" ht="15" customHeight="1" x14ac:dyDescent="0.25">
      <c r="B553" s="50"/>
    </row>
    <row r="554" spans="2:2" ht="15" customHeight="1" x14ac:dyDescent="0.25">
      <c r="B554" s="50"/>
    </row>
    <row r="555" spans="2:2" ht="15" customHeight="1" x14ac:dyDescent="0.25">
      <c r="B555" s="50"/>
    </row>
    <row r="556" spans="2:2" ht="15" customHeight="1" x14ac:dyDescent="0.25">
      <c r="B556" s="50"/>
    </row>
    <row r="557" spans="2:2" ht="15" customHeight="1" x14ac:dyDescent="0.25">
      <c r="B557" s="50"/>
    </row>
    <row r="558" spans="2:2" ht="15" customHeight="1" x14ac:dyDescent="0.25">
      <c r="B558" s="50"/>
    </row>
    <row r="559" spans="2:2" ht="15" customHeight="1" x14ac:dyDescent="0.25">
      <c r="B559" s="50"/>
    </row>
    <row r="560" spans="2:2" ht="15" customHeight="1" x14ac:dyDescent="0.25">
      <c r="B560" s="50"/>
    </row>
    <row r="561" spans="2:2" ht="15" customHeight="1" x14ac:dyDescent="0.25">
      <c r="B561" s="50"/>
    </row>
    <row r="562" spans="2:2" ht="15" customHeight="1" x14ac:dyDescent="0.25">
      <c r="B562" s="50"/>
    </row>
    <row r="563" spans="2:2" ht="15" customHeight="1" x14ac:dyDescent="0.25">
      <c r="B563" s="50"/>
    </row>
    <row r="564" spans="2:2" ht="15" customHeight="1" x14ac:dyDescent="0.25">
      <c r="B564" s="50"/>
    </row>
    <row r="565" spans="2:2" ht="15" customHeight="1" x14ac:dyDescent="0.25">
      <c r="B565" s="50"/>
    </row>
    <row r="566" spans="2:2" ht="15" customHeight="1" x14ac:dyDescent="0.25">
      <c r="B566" s="50"/>
    </row>
    <row r="567" spans="2:2" ht="15" customHeight="1" x14ac:dyDescent="0.25">
      <c r="B567" s="50"/>
    </row>
    <row r="568" spans="2:2" ht="15" customHeight="1" x14ac:dyDescent="0.25">
      <c r="B568" s="50"/>
    </row>
    <row r="569" spans="2:2" ht="15" customHeight="1" x14ac:dyDescent="0.25">
      <c r="B569" s="50"/>
    </row>
    <row r="570" spans="2:2" ht="15" customHeight="1" x14ac:dyDescent="0.25">
      <c r="B570" s="50"/>
    </row>
    <row r="571" spans="2:2" ht="15" customHeight="1" x14ac:dyDescent="0.25">
      <c r="B571" s="50"/>
    </row>
    <row r="572" spans="2:2" ht="15" customHeight="1" x14ac:dyDescent="0.25">
      <c r="B572" s="50"/>
    </row>
    <row r="573" spans="2:2" ht="15" customHeight="1" x14ac:dyDescent="0.25">
      <c r="B573" s="50"/>
    </row>
    <row r="574" spans="2:2" ht="15" customHeight="1" x14ac:dyDescent="0.25">
      <c r="B574" s="50"/>
    </row>
    <row r="575" spans="2:2" ht="15" customHeight="1" x14ac:dyDescent="0.25">
      <c r="B575" s="50"/>
    </row>
    <row r="576" spans="2:2" ht="15" customHeight="1" x14ac:dyDescent="0.25">
      <c r="B576" s="50"/>
    </row>
    <row r="577" spans="2:2" ht="15" customHeight="1" x14ac:dyDescent="0.25">
      <c r="B577" s="50"/>
    </row>
    <row r="578" spans="2:2" ht="15" customHeight="1" x14ac:dyDescent="0.25">
      <c r="B578" s="50"/>
    </row>
    <row r="579" spans="2:2" ht="15" customHeight="1" x14ac:dyDescent="0.25">
      <c r="B579" s="50"/>
    </row>
    <row r="580" spans="2:2" ht="15" customHeight="1" x14ac:dyDescent="0.25">
      <c r="B580" s="50"/>
    </row>
    <row r="581" spans="2:2" ht="15" customHeight="1" x14ac:dyDescent="0.25">
      <c r="B581" s="50"/>
    </row>
    <row r="582" spans="2:2" ht="15" customHeight="1" x14ac:dyDescent="0.25">
      <c r="B582" s="50"/>
    </row>
    <row r="583" spans="2:2" ht="15" customHeight="1" x14ac:dyDescent="0.25">
      <c r="B583" s="50"/>
    </row>
    <row r="584" spans="2:2" ht="15" customHeight="1" x14ac:dyDescent="0.25">
      <c r="B584" s="50"/>
    </row>
    <row r="585" spans="2:2" ht="15" customHeight="1" x14ac:dyDescent="0.25">
      <c r="B585" s="50"/>
    </row>
    <row r="586" spans="2:2" ht="15" customHeight="1" x14ac:dyDescent="0.25">
      <c r="B586" s="50"/>
    </row>
    <row r="587" spans="2:2" ht="15" customHeight="1" x14ac:dyDescent="0.25">
      <c r="B587" s="50"/>
    </row>
    <row r="588" spans="2:2" ht="15" customHeight="1" x14ac:dyDescent="0.25">
      <c r="B588" s="50"/>
    </row>
    <row r="589" spans="2:2" ht="15" customHeight="1" x14ac:dyDescent="0.25">
      <c r="B589" s="50"/>
    </row>
    <row r="590" spans="2:2" ht="15" customHeight="1" x14ac:dyDescent="0.25">
      <c r="B590" s="50"/>
    </row>
    <row r="591" spans="2:2" ht="15" customHeight="1" x14ac:dyDescent="0.25">
      <c r="B591" s="50"/>
    </row>
    <row r="592" spans="2:2" ht="15" customHeight="1" x14ac:dyDescent="0.25">
      <c r="B592" s="50"/>
    </row>
    <row r="593" spans="2:2" ht="15" customHeight="1" x14ac:dyDescent="0.25">
      <c r="B593" s="50"/>
    </row>
    <row r="594" spans="2:2" ht="15" customHeight="1" x14ac:dyDescent="0.25">
      <c r="B594" s="50"/>
    </row>
    <row r="595" spans="2:2" ht="15" customHeight="1" x14ac:dyDescent="0.25">
      <c r="B595" s="50"/>
    </row>
    <row r="596" spans="2:2" ht="15" customHeight="1" x14ac:dyDescent="0.25">
      <c r="B596" s="50"/>
    </row>
    <row r="597" spans="2:2" ht="15" customHeight="1" x14ac:dyDescent="0.25">
      <c r="B597" s="50"/>
    </row>
    <row r="598" spans="2:2" ht="15" customHeight="1" x14ac:dyDescent="0.25">
      <c r="B598" s="50"/>
    </row>
    <row r="599" spans="2:2" ht="15" customHeight="1" x14ac:dyDescent="0.25">
      <c r="B599" s="50"/>
    </row>
    <row r="600" spans="2:2" ht="15" customHeight="1" x14ac:dyDescent="0.25">
      <c r="B600" s="50"/>
    </row>
    <row r="601" spans="2:2" ht="15" customHeight="1" x14ac:dyDescent="0.25">
      <c r="B601" s="50"/>
    </row>
    <row r="602" spans="2:2" ht="15" customHeight="1" x14ac:dyDescent="0.25">
      <c r="B602" s="50"/>
    </row>
    <row r="603" spans="2:2" ht="15" customHeight="1" x14ac:dyDescent="0.25">
      <c r="B603" s="50"/>
    </row>
    <row r="604" spans="2:2" ht="15" customHeight="1" x14ac:dyDescent="0.25">
      <c r="B604" s="50"/>
    </row>
    <row r="605" spans="2:2" ht="15" customHeight="1" x14ac:dyDescent="0.25">
      <c r="B605" s="50"/>
    </row>
    <row r="606" spans="2:2" ht="15" customHeight="1" x14ac:dyDescent="0.25">
      <c r="B606" s="50"/>
    </row>
    <row r="607" spans="2:2" ht="15" customHeight="1" x14ac:dyDescent="0.25">
      <c r="B607" s="50"/>
    </row>
    <row r="608" spans="2:2" ht="15" customHeight="1" x14ac:dyDescent="0.25">
      <c r="B608" s="50"/>
    </row>
    <row r="609" spans="2:2" ht="15" customHeight="1" x14ac:dyDescent="0.25">
      <c r="B609" s="50"/>
    </row>
    <row r="610" spans="2:2" ht="15" customHeight="1" x14ac:dyDescent="0.25">
      <c r="B610" s="50"/>
    </row>
    <row r="611" spans="2:2" ht="15" customHeight="1" x14ac:dyDescent="0.25">
      <c r="B611" s="50"/>
    </row>
    <row r="612" spans="2:2" ht="15" customHeight="1" x14ac:dyDescent="0.25">
      <c r="B612" s="50"/>
    </row>
    <row r="613" spans="2:2" ht="15" customHeight="1" x14ac:dyDescent="0.25">
      <c r="B613" s="50"/>
    </row>
    <row r="614" spans="2:2" ht="15" customHeight="1" x14ac:dyDescent="0.25">
      <c r="B614" s="50"/>
    </row>
    <row r="615" spans="2:2" ht="15" customHeight="1" x14ac:dyDescent="0.25">
      <c r="B615" s="50"/>
    </row>
    <row r="616" spans="2:2" ht="15" customHeight="1" x14ac:dyDescent="0.25">
      <c r="B616" s="50"/>
    </row>
    <row r="617" spans="2:2" ht="15" customHeight="1" x14ac:dyDescent="0.25">
      <c r="B617" s="50"/>
    </row>
    <row r="618" spans="2:2" ht="15" customHeight="1" x14ac:dyDescent="0.25">
      <c r="B618" s="50"/>
    </row>
    <row r="619" spans="2:2" ht="15" customHeight="1" x14ac:dyDescent="0.25">
      <c r="B619" s="50"/>
    </row>
    <row r="620" spans="2:2" ht="15" customHeight="1" x14ac:dyDescent="0.25">
      <c r="B620" s="50"/>
    </row>
    <row r="621" spans="2:2" ht="15" customHeight="1" x14ac:dyDescent="0.25">
      <c r="B621" s="50"/>
    </row>
    <row r="622" spans="2:2" ht="15" customHeight="1" x14ac:dyDescent="0.25">
      <c r="B622" s="50"/>
    </row>
    <row r="623" spans="2:2" ht="15" customHeight="1" x14ac:dyDescent="0.25">
      <c r="B623" s="50"/>
    </row>
    <row r="624" spans="2:2" ht="15" customHeight="1" x14ac:dyDescent="0.25">
      <c r="B624" s="50"/>
    </row>
    <row r="625" spans="2:2" ht="15" customHeight="1" x14ac:dyDescent="0.25">
      <c r="B625" s="50"/>
    </row>
    <row r="626" spans="2:2" ht="15" customHeight="1" x14ac:dyDescent="0.25">
      <c r="B626" s="50"/>
    </row>
    <row r="627" spans="2:2" ht="15" customHeight="1" x14ac:dyDescent="0.25">
      <c r="B627" s="50"/>
    </row>
    <row r="628" spans="2:2" ht="15" customHeight="1" x14ac:dyDescent="0.25">
      <c r="B628" s="50"/>
    </row>
    <row r="629" spans="2:2" ht="15" customHeight="1" x14ac:dyDescent="0.25">
      <c r="B629" s="50"/>
    </row>
    <row r="630" spans="2:2" ht="15" customHeight="1" x14ac:dyDescent="0.25">
      <c r="B630" s="50"/>
    </row>
    <row r="631" spans="2:2" ht="15" customHeight="1" x14ac:dyDescent="0.25">
      <c r="B631" s="50"/>
    </row>
    <row r="632" spans="2:2" ht="15" customHeight="1" x14ac:dyDescent="0.25">
      <c r="B632" s="50"/>
    </row>
    <row r="633" spans="2:2" ht="15" customHeight="1" x14ac:dyDescent="0.25">
      <c r="B633" s="50"/>
    </row>
    <row r="634" spans="2:2" ht="15" customHeight="1" x14ac:dyDescent="0.25">
      <c r="B634" s="50"/>
    </row>
    <row r="635" spans="2:2" ht="15" customHeight="1" x14ac:dyDescent="0.25">
      <c r="B635" s="50"/>
    </row>
    <row r="636" spans="2:2" ht="15" customHeight="1" x14ac:dyDescent="0.25">
      <c r="B636" s="50"/>
    </row>
    <row r="637" spans="2:2" ht="15" customHeight="1" x14ac:dyDescent="0.25">
      <c r="B637" s="50"/>
    </row>
    <row r="638" spans="2:2" ht="15" customHeight="1" x14ac:dyDescent="0.25">
      <c r="B638" s="50"/>
    </row>
    <row r="639" spans="2:2" ht="15" customHeight="1" x14ac:dyDescent="0.25">
      <c r="B639" s="50"/>
    </row>
    <row r="640" spans="2:2" ht="15" customHeight="1" x14ac:dyDescent="0.25">
      <c r="B640" s="50"/>
    </row>
    <row r="641" spans="2:2" ht="15" customHeight="1" x14ac:dyDescent="0.25">
      <c r="B641" s="50"/>
    </row>
    <row r="642" spans="2:2" ht="15" customHeight="1" x14ac:dyDescent="0.25">
      <c r="B642" s="50"/>
    </row>
    <row r="643" spans="2:2" ht="15" customHeight="1" x14ac:dyDescent="0.25">
      <c r="B643" s="50"/>
    </row>
    <row r="644" spans="2:2" ht="15" customHeight="1" x14ac:dyDescent="0.25">
      <c r="B644" s="50"/>
    </row>
    <row r="645" spans="2:2" ht="15" customHeight="1" x14ac:dyDescent="0.25">
      <c r="B645" s="50"/>
    </row>
    <row r="646" spans="2:2" ht="15" customHeight="1" x14ac:dyDescent="0.25">
      <c r="B646" s="50"/>
    </row>
    <row r="647" spans="2:2" ht="15" customHeight="1" x14ac:dyDescent="0.25">
      <c r="B647" s="50"/>
    </row>
    <row r="648" spans="2:2" ht="15" customHeight="1" x14ac:dyDescent="0.25">
      <c r="B648" s="50"/>
    </row>
    <row r="649" spans="2:2" ht="15" customHeight="1" x14ac:dyDescent="0.25">
      <c r="B649" s="50"/>
    </row>
    <row r="650" spans="2:2" ht="15" customHeight="1" x14ac:dyDescent="0.25">
      <c r="B650" s="50"/>
    </row>
    <row r="651" spans="2:2" ht="15" customHeight="1" x14ac:dyDescent="0.25">
      <c r="B651" s="50"/>
    </row>
    <row r="652" spans="2:2" ht="15" customHeight="1" x14ac:dyDescent="0.25">
      <c r="B652" s="50"/>
    </row>
    <row r="653" spans="2:2" ht="15" customHeight="1" x14ac:dyDescent="0.25">
      <c r="B653" s="50"/>
    </row>
    <row r="654" spans="2:2" ht="15" customHeight="1" x14ac:dyDescent="0.25">
      <c r="B654" s="50"/>
    </row>
    <row r="655" spans="2:2" ht="15" customHeight="1" x14ac:dyDescent="0.25">
      <c r="B655" s="50"/>
    </row>
    <row r="656" spans="2:2" ht="15" customHeight="1" x14ac:dyDescent="0.25">
      <c r="B656" s="50"/>
    </row>
    <row r="657" spans="2:2" ht="15" customHeight="1" x14ac:dyDescent="0.25">
      <c r="B657" s="50"/>
    </row>
    <row r="658" spans="2:2" ht="15" customHeight="1" x14ac:dyDescent="0.25">
      <c r="B658" s="50"/>
    </row>
    <row r="659" spans="2:2" ht="15" customHeight="1" x14ac:dyDescent="0.25">
      <c r="B659" s="50"/>
    </row>
    <row r="660" spans="2:2" ht="15" customHeight="1" x14ac:dyDescent="0.25">
      <c r="B660" s="50"/>
    </row>
    <row r="661" spans="2:2" ht="15" customHeight="1" x14ac:dyDescent="0.25">
      <c r="B661" s="50"/>
    </row>
    <row r="662" spans="2:2" ht="15" customHeight="1" x14ac:dyDescent="0.25">
      <c r="B662" s="50"/>
    </row>
    <row r="663" spans="2:2" ht="15" customHeight="1" x14ac:dyDescent="0.25">
      <c r="B663" s="50"/>
    </row>
    <row r="664" spans="2:2" ht="15" customHeight="1" x14ac:dyDescent="0.25">
      <c r="B664" s="50"/>
    </row>
    <row r="665" spans="2:2" ht="15" customHeight="1" x14ac:dyDescent="0.25">
      <c r="B665" s="50"/>
    </row>
    <row r="666" spans="2:2" ht="15" customHeight="1" x14ac:dyDescent="0.25">
      <c r="B666" s="50"/>
    </row>
    <row r="667" spans="2:2" ht="15" customHeight="1" x14ac:dyDescent="0.25">
      <c r="B667" s="50"/>
    </row>
    <row r="668" spans="2:2" ht="15" customHeight="1" x14ac:dyDescent="0.25">
      <c r="B668" s="50"/>
    </row>
    <row r="669" spans="2:2" ht="15" customHeight="1" x14ac:dyDescent="0.25">
      <c r="B669" s="50"/>
    </row>
    <row r="670" spans="2:2" ht="15" customHeight="1" x14ac:dyDescent="0.25">
      <c r="B670" s="50"/>
    </row>
    <row r="671" spans="2:2" ht="15" customHeight="1" x14ac:dyDescent="0.25">
      <c r="B671" s="50"/>
    </row>
    <row r="672" spans="2:2" ht="15" customHeight="1" x14ac:dyDescent="0.25">
      <c r="B672" s="50"/>
    </row>
    <row r="673" spans="2:2" ht="15" customHeight="1" x14ac:dyDescent="0.25">
      <c r="B673" s="50"/>
    </row>
    <row r="674" spans="2:2" ht="15" customHeight="1" x14ac:dyDescent="0.25">
      <c r="B674" s="50"/>
    </row>
    <row r="675" spans="2:2" ht="15" customHeight="1" x14ac:dyDescent="0.25">
      <c r="B675" s="50"/>
    </row>
    <row r="676" spans="2:2" ht="15" customHeight="1" x14ac:dyDescent="0.25">
      <c r="B676" s="50"/>
    </row>
    <row r="677" spans="2:2" ht="15" customHeight="1" x14ac:dyDescent="0.25">
      <c r="B677" s="50"/>
    </row>
    <row r="678" spans="2:2" ht="15" customHeight="1" x14ac:dyDescent="0.25">
      <c r="B678" s="50"/>
    </row>
    <row r="679" spans="2:2" ht="15" customHeight="1" x14ac:dyDescent="0.25">
      <c r="B679" s="50"/>
    </row>
    <row r="680" spans="2:2" ht="15" customHeight="1" x14ac:dyDescent="0.25">
      <c r="B680" s="50"/>
    </row>
    <row r="681" spans="2:2" ht="15" customHeight="1" x14ac:dyDescent="0.25">
      <c r="B681" s="50"/>
    </row>
    <row r="682" spans="2:2" ht="15" customHeight="1" x14ac:dyDescent="0.25">
      <c r="B682" s="50"/>
    </row>
    <row r="683" spans="2:2" ht="15" customHeight="1" x14ac:dyDescent="0.25">
      <c r="B683" s="50"/>
    </row>
    <row r="684" spans="2:2" ht="15" customHeight="1" x14ac:dyDescent="0.25">
      <c r="B684" s="50"/>
    </row>
    <row r="685" spans="2:2" ht="15" customHeight="1" x14ac:dyDescent="0.25">
      <c r="B685" s="50"/>
    </row>
    <row r="686" spans="2:2" ht="15" customHeight="1" x14ac:dyDescent="0.25">
      <c r="B686" s="50"/>
    </row>
    <row r="687" spans="2:2" ht="15" customHeight="1" x14ac:dyDescent="0.25">
      <c r="B687" s="50"/>
    </row>
    <row r="688" spans="2:2" ht="15" customHeight="1" x14ac:dyDescent="0.25">
      <c r="B688" s="50"/>
    </row>
    <row r="689" spans="2:2" ht="15" customHeight="1" x14ac:dyDescent="0.25">
      <c r="B689" s="50"/>
    </row>
    <row r="690" spans="2:2" ht="15" customHeight="1" x14ac:dyDescent="0.25">
      <c r="B690" s="50"/>
    </row>
    <row r="691" spans="2:2" ht="15" customHeight="1" x14ac:dyDescent="0.25">
      <c r="B691" s="50"/>
    </row>
    <row r="692" spans="2:2" ht="15" customHeight="1" x14ac:dyDescent="0.25">
      <c r="B692" s="50"/>
    </row>
    <row r="693" spans="2:2" ht="15" customHeight="1" x14ac:dyDescent="0.25">
      <c r="B693" s="50"/>
    </row>
    <row r="694" spans="2:2" ht="15" customHeight="1" x14ac:dyDescent="0.25">
      <c r="B694" s="50"/>
    </row>
    <row r="695" spans="2:2" ht="15" customHeight="1" x14ac:dyDescent="0.25">
      <c r="B695" s="50"/>
    </row>
    <row r="696" spans="2:2" ht="15" customHeight="1" x14ac:dyDescent="0.25">
      <c r="B696" s="50"/>
    </row>
    <row r="697" spans="2:2" ht="15" customHeight="1" x14ac:dyDescent="0.25">
      <c r="B697" s="50"/>
    </row>
    <row r="698" spans="2:2" ht="15" customHeight="1" x14ac:dyDescent="0.25">
      <c r="B698" s="50"/>
    </row>
    <row r="699" spans="2:2" ht="15" customHeight="1" x14ac:dyDescent="0.25">
      <c r="B699" s="50"/>
    </row>
    <row r="700" spans="2:2" ht="15" customHeight="1" x14ac:dyDescent="0.25">
      <c r="B700" s="50"/>
    </row>
    <row r="701" spans="2:2" ht="15" customHeight="1" x14ac:dyDescent="0.25">
      <c r="B701" s="50"/>
    </row>
    <row r="702" spans="2:2" ht="15" customHeight="1" x14ac:dyDescent="0.25">
      <c r="B702" s="50"/>
    </row>
    <row r="703" spans="2:2" ht="15" customHeight="1" x14ac:dyDescent="0.25">
      <c r="B703" s="50"/>
    </row>
    <row r="704" spans="2:2" ht="15" customHeight="1" x14ac:dyDescent="0.25">
      <c r="B704" s="50"/>
    </row>
    <row r="705" spans="2:2" ht="15" customHeight="1" x14ac:dyDescent="0.25">
      <c r="B705" s="50"/>
    </row>
    <row r="706" spans="2:2" ht="15" customHeight="1" x14ac:dyDescent="0.25">
      <c r="B706" s="50"/>
    </row>
    <row r="707" spans="2:2" ht="15" customHeight="1" x14ac:dyDescent="0.25">
      <c r="B707" s="50"/>
    </row>
    <row r="708" spans="2:2" ht="15" customHeight="1" x14ac:dyDescent="0.25">
      <c r="B708" s="50"/>
    </row>
    <row r="709" spans="2:2" ht="15" customHeight="1" x14ac:dyDescent="0.25">
      <c r="B709" s="50"/>
    </row>
    <row r="710" spans="2:2" ht="15" customHeight="1" x14ac:dyDescent="0.25">
      <c r="B710" s="50"/>
    </row>
    <row r="711" spans="2:2" ht="15" customHeight="1" x14ac:dyDescent="0.25">
      <c r="B711" s="50"/>
    </row>
    <row r="712" spans="2:2" ht="15" customHeight="1" x14ac:dyDescent="0.25">
      <c r="B712" s="50"/>
    </row>
    <row r="713" spans="2:2" ht="15" customHeight="1" x14ac:dyDescent="0.25">
      <c r="B713" s="50"/>
    </row>
    <row r="714" spans="2:2" ht="15" customHeight="1" x14ac:dyDescent="0.25">
      <c r="B714" s="50"/>
    </row>
    <row r="715" spans="2:2" ht="15" customHeight="1" x14ac:dyDescent="0.25">
      <c r="B715" s="50"/>
    </row>
    <row r="716" spans="2:2" ht="15" customHeight="1" x14ac:dyDescent="0.25">
      <c r="B716" s="50"/>
    </row>
    <row r="717" spans="2:2" ht="15" customHeight="1" x14ac:dyDescent="0.25">
      <c r="B717" s="50"/>
    </row>
    <row r="718" spans="2:2" ht="15" customHeight="1" x14ac:dyDescent="0.25">
      <c r="B718" s="50"/>
    </row>
    <row r="719" spans="2:2" ht="15" customHeight="1" x14ac:dyDescent="0.25">
      <c r="B719" s="50"/>
    </row>
    <row r="720" spans="2:2" ht="15" customHeight="1" x14ac:dyDescent="0.25">
      <c r="B720" s="50"/>
    </row>
    <row r="721" spans="2:2" ht="15" customHeight="1" x14ac:dyDescent="0.25">
      <c r="B721" s="50"/>
    </row>
    <row r="722" spans="2:2" ht="15" customHeight="1" x14ac:dyDescent="0.25">
      <c r="B722" s="50"/>
    </row>
    <row r="723" spans="2:2" ht="15" customHeight="1" x14ac:dyDescent="0.25">
      <c r="B723" s="50"/>
    </row>
    <row r="724" spans="2:2" ht="15" customHeight="1" x14ac:dyDescent="0.25">
      <c r="B724" s="50"/>
    </row>
    <row r="725" spans="2:2" ht="15" customHeight="1" x14ac:dyDescent="0.25">
      <c r="B725" s="50"/>
    </row>
    <row r="726" spans="2:2" ht="15" customHeight="1" x14ac:dyDescent="0.25">
      <c r="B726" s="50"/>
    </row>
    <row r="727" spans="2:2" ht="15" customHeight="1" x14ac:dyDescent="0.25">
      <c r="B727" s="50"/>
    </row>
    <row r="728" spans="2:2" ht="15" customHeight="1" x14ac:dyDescent="0.25">
      <c r="B728" s="50"/>
    </row>
    <row r="729" spans="2:2" ht="15" customHeight="1" x14ac:dyDescent="0.25">
      <c r="B729" s="50"/>
    </row>
    <row r="730" spans="2:2" ht="15" customHeight="1" x14ac:dyDescent="0.25">
      <c r="B730" s="50"/>
    </row>
    <row r="731" spans="2:2" ht="15" customHeight="1" x14ac:dyDescent="0.25">
      <c r="B731" s="50"/>
    </row>
    <row r="732" spans="2:2" ht="15" customHeight="1" x14ac:dyDescent="0.25">
      <c r="B732" s="50"/>
    </row>
    <row r="733" spans="2:2" ht="15" customHeight="1" x14ac:dyDescent="0.25">
      <c r="B733" s="50"/>
    </row>
    <row r="734" spans="2:2" ht="15" customHeight="1" x14ac:dyDescent="0.25">
      <c r="B734" s="50"/>
    </row>
    <row r="735" spans="2:2" ht="15" customHeight="1" x14ac:dyDescent="0.25">
      <c r="B735" s="50"/>
    </row>
    <row r="736" spans="2:2" ht="15" customHeight="1" x14ac:dyDescent="0.25">
      <c r="B736" s="50"/>
    </row>
    <row r="737" spans="2:2" ht="15" customHeight="1" x14ac:dyDescent="0.25">
      <c r="B737" s="50"/>
    </row>
    <row r="738" spans="2:2" ht="15" customHeight="1" x14ac:dyDescent="0.25">
      <c r="B738" s="50"/>
    </row>
    <row r="739" spans="2:2" ht="15" customHeight="1" x14ac:dyDescent="0.25">
      <c r="B739" s="50"/>
    </row>
    <row r="740" spans="2:2" ht="15" customHeight="1" x14ac:dyDescent="0.25">
      <c r="B740" s="50"/>
    </row>
    <row r="741" spans="2:2" ht="15" customHeight="1" x14ac:dyDescent="0.25">
      <c r="B741" s="50"/>
    </row>
    <row r="742" spans="2:2" ht="15" customHeight="1" x14ac:dyDescent="0.25">
      <c r="B742" s="50"/>
    </row>
    <row r="743" spans="2:2" ht="15" customHeight="1" x14ac:dyDescent="0.25">
      <c r="B743" s="50"/>
    </row>
    <row r="744" spans="2:2" ht="15" customHeight="1" x14ac:dyDescent="0.25">
      <c r="B744" s="50"/>
    </row>
    <row r="745" spans="2:2" ht="15" customHeight="1" x14ac:dyDescent="0.25">
      <c r="B745" s="50"/>
    </row>
    <row r="746" spans="2:2" ht="15" customHeight="1" x14ac:dyDescent="0.25">
      <c r="B746" s="50"/>
    </row>
    <row r="747" spans="2:2" ht="15" customHeight="1" x14ac:dyDescent="0.25">
      <c r="B747" s="50"/>
    </row>
    <row r="748" spans="2:2" ht="15" customHeight="1" x14ac:dyDescent="0.25">
      <c r="B748" s="50"/>
    </row>
    <row r="749" spans="2:2" ht="15" customHeight="1" x14ac:dyDescent="0.25">
      <c r="B749" s="50"/>
    </row>
    <row r="750" spans="2:2" ht="15" customHeight="1" x14ac:dyDescent="0.25">
      <c r="B750" s="50"/>
    </row>
    <row r="751" spans="2:2" ht="15" customHeight="1" x14ac:dyDescent="0.25">
      <c r="B751" s="50"/>
    </row>
    <row r="752" spans="2:2" ht="15" customHeight="1" x14ac:dyDescent="0.25">
      <c r="B752" s="50"/>
    </row>
    <row r="753" spans="2:2" ht="15" customHeight="1" x14ac:dyDescent="0.25">
      <c r="B753" s="50"/>
    </row>
    <row r="754" spans="2:2" ht="15" customHeight="1" x14ac:dyDescent="0.25">
      <c r="B754" s="50"/>
    </row>
    <row r="755" spans="2:2" ht="15" customHeight="1" x14ac:dyDescent="0.25">
      <c r="B755" s="50"/>
    </row>
    <row r="756" spans="2:2" ht="15" customHeight="1" x14ac:dyDescent="0.25">
      <c r="B756" s="50"/>
    </row>
    <row r="757" spans="2:2" ht="15" customHeight="1" x14ac:dyDescent="0.25">
      <c r="B757" s="50"/>
    </row>
    <row r="758" spans="2:2" ht="15" customHeight="1" x14ac:dyDescent="0.25">
      <c r="B758" s="50"/>
    </row>
    <row r="759" spans="2:2" ht="15" customHeight="1" x14ac:dyDescent="0.25">
      <c r="B759" s="50"/>
    </row>
    <row r="760" spans="2:2" ht="15" customHeight="1" x14ac:dyDescent="0.25">
      <c r="B760" s="50"/>
    </row>
    <row r="761" spans="2:2" ht="15" customHeight="1" x14ac:dyDescent="0.25">
      <c r="B761" s="50"/>
    </row>
    <row r="762" spans="2:2" ht="15" customHeight="1" x14ac:dyDescent="0.25">
      <c r="B762" s="50"/>
    </row>
    <row r="763" spans="2:2" ht="15" customHeight="1" x14ac:dyDescent="0.25">
      <c r="B763" s="50"/>
    </row>
    <row r="764" spans="2:2" ht="15" customHeight="1" x14ac:dyDescent="0.25">
      <c r="B764" s="50"/>
    </row>
    <row r="765" spans="2:2" ht="15" customHeight="1" x14ac:dyDescent="0.25">
      <c r="B765" s="50"/>
    </row>
    <row r="766" spans="2:2" ht="15" customHeight="1" x14ac:dyDescent="0.25">
      <c r="B766" s="50"/>
    </row>
    <row r="767" spans="2:2" ht="15" customHeight="1" x14ac:dyDescent="0.25">
      <c r="B767" s="50"/>
    </row>
    <row r="768" spans="2:2" ht="15" customHeight="1" x14ac:dyDescent="0.25">
      <c r="B768" s="50"/>
    </row>
    <row r="769" spans="2:2" ht="15" customHeight="1" x14ac:dyDescent="0.25">
      <c r="B769" s="50"/>
    </row>
    <row r="770" spans="2:2" ht="15" customHeight="1" x14ac:dyDescent="0.25">
      <c r="B770" s="50"/>
    </row>
    <row r="771" spans="2:2" ht="15" customHeight="1" x14ac:dyDescent="0.25">
      <c r="B771" s="50"/>
    </row>
    <row r="772" spans="2:2" ht="15" customHeight="1" x14ac:dyDescent="0.25">
      <c r="B772" s="50"/>
    </row>
    <row r="773" spans="2:2" ht="15" customHeight="1" x14ac:dyDescent="0.25">
      <c r="B773" s="50"/>
    </row>
    <row r="774" spans="2:2" ht="15" customHeight="1" x14ac:dyDescent="0.25">
      <c r="B774" s="50"/>
    </row>
    <row r="775" spans="2:2" ht="15" customHeight="1" x14ac:dyDescent="0.25">
      <c r="B775" s="50"/>
    </row>
    <row r="776" spans="2:2" ht="15" customHeight="1" x14ac:dyDescent="0.25">
      <c r="B776" s="50"/>
    </row>
    <row r="777" spans="2:2" ht="15" customHeight="1" x14ac:dyDescent="0.25">
      <c r="B777" s="50"/>
    </row>
    <row r="778" spans="2:2" ht="15" customHeight="1" x14ac:dyDescent="0.25">
      <c r="B778" s="50"/>
    </row>
    <row r="779" spans="2:2" ht="15" customHeight="1" x14ac:dyDescent="0.25">
      <c r="B779" s="50"/>
    </row>
    <row r="780" spans="2:2" ht="15" customHeight="1" x14ac:dyDescent="0.25">
      <c r="B780" s="50"/>
    </row>
    <row r="781" spans="2:2" ht="15" customHeight="1" x14ac:dyDescent="0.25">
      <c r="B781" s="50"/>
    </row>
    <row r="782" spans="2:2" ht="15" customHeight="1" x14ac:dyDescent="0.25">
      <c r="B782" s="50"/>
    </row>
    <row r="783" spans="2:2" ht="15" customHeight="1" x14ac:dyDescent="0.25">
      <c r="B783" s="50"/>
    </row>
    <row r="784" spans="2:2" ht="15" customHeight="1" x14ac:dyDescent="0.25">
      <c r="B784" s="50"/>
    </row>
    <row r="785" spans="2:2" ht="15" customHeight="1" x14ac:dyDescent="0.25">
      <c r="B785" s="50"/>
    </row>
    <row r="786" spans="2:2" ht="15" customHeight="1" x14ac:dyDescent="0.25">
      <c r="B786" s="50"/>
    </row>
    <row r="787" spans="2:2" ht="15" customHeight="1" x14ac:dyDescent="0.25">
      <c r="B787" s="50"/>
    </row>
    <row r="788" spans="2:2" ht="15" customHeight="1" x14ac:dyDescent="0.25">
      <c r="B788" s="50"/>
    </row>
    <row r="789" spans="2:2" ht="15" customHeight="1" x14ac:dyDescent="0.25">
      <c r="B789" s="50"/>
    </row>
    <row r="790" spans="2:2" ht="15" customHeight="1" x14ac:dyDescent="0.25">
      <c r="B790" s="50"/>
    </row>
    <row r="791" spans="2:2" ht="15" customHeight="1" x14ac:dyDescent="0.25">
      <c r="B791" s="50"/>
    </row>
    <row r="792" spans="2:2" ht="15" customHeight="1" x14ac:dyDescent="0.25">
      <c r="B792" s="50"/>
    </row>
    <row r="793" spans="2:2" ht="15" customHeight="1" x14ac:dyDescent="0.25">
      <c r="B793" s="50"/>
    </row>
    <row r="794" spans="2:2" ht="15" customHeight="1" x14ac:dyDescent="0.25">
      <c r="B794" s="50"/>
    </row>
    <row r="795" spans="2:2" ht="15" customHeight="1" x14ac:dyDescent="0.25">
      <c r="B795" s="50"/>
    </row>
    <row r="796" spans="2:2" ht="15" customHeight="1" x14ac:dyDescent="0.25">
      <c r="B796" s="50"/>
    </row>
    <row r="797" spans="2:2" ht="15" customHeight="1" x14ac:dyDescent="0.25">
      <c r="B797" s="50"/>
    </row>
    <row r="798" spans="2:2" ht="15" customHeight="1" x14ac:dyDescent="0.25">
      <c r="B798" s="50"/>
    </row>
    <row r="799" spans="2:2" ht="15" customHeight="1" x14ac:dyDescent="0.25">
      <c r="B799" s="50"/>
    </row>
    <row r="800" spans="2:2" ht="15" customHeight="1" x14ac:dyDescent="0.25">
      <c r="B800" s="50"/>
    </row>
    <row r="801" spans="2:2" ht="15" customHeight="1" x14ac:dyDescent="0.25">
      <c r="B801" s="50"/>
    </row>
    <row r="802" spans="2:2" ht="15" customHeight="1" x14ac:dyDescent="0.25">
      <c r="B802" s="50"/>
    </row>
    <row r="803" spans="2:2" ht="15" customHeight="1" x14ac:dyDescent="0.25">
      <c r="B803" s="50"/>
    </row>
    <row r="804" spans="2:2" ht="15" customHeight="1" x14ac:dyDescent="0.25">
      <c r="B804" s="50"/>
    </row>
    <row r="805" spans="2:2" ht="15" customHeight="1" x14ac:dyDescent="0.25">
      <c r="B805" s="50"/>
    </row>
    <row r="806" spans="2:2" ht="15" customHeight="1" x14ac:dyDescent="0.25">
      <c r="B806" s="50"/>
    </row>
    <row r="807" spans="2:2" ht="15" customHeight="1" x14ac:dyDescent="0.25">
      <c r="B807" s="50"/>
    </row>
    <row r="808" spans="2:2" ht="15" customHeight="1" x14ac:dyDescent="0.25">
      <c r="B808" s="50"/>
    </row>
    <row r="809" spans="2:2" ht="15" customHeight="1" x14ac:dyDescent="0.25">
      <c r="B809" s="50"/>
    </row>
    <row r="810" spans="2:2" ht="15" customHeight="1" x14ac:dyDescent="0.25">
      <c r="B810" s="50"/>
    </row>
    <row r="811" spans="2:2" ht="15" customHeight="1" x14ac:dyDescent="0.25">
      <c r="B811" s="50"/>
    </row>
    <row r="812" spans="2:2" ht="15" customHeight="1" x14ac:dyDescent="0.25">
      <c r="B812" s="50"/>
    </row>
    <row r="813" spans="2:2" ht="15" customHeight="1" x14ac:dyDescent="0.25">
      <c r="B813" s="50"/>
    </row>
    <row r="814" spans="2:2" ht="15" customHeight="1" x14ac:dyDescent="0.25">
      <c r="B814" s="50"/>
    </row>
    <row r="815" spans="2:2" ht="15" customHeight="1" x14ac:dyDescent="0.25">
      <c r="B815" s="50"/>
    </row>
    <row r="816" spans="2:2" ht="15" customHeight="1" x14ac:dyDescent="0.25">
      <c r="B816" s="50"/>
    </row>
    <row r="817" spans="2:2" ht="15" customHeight="1" x14ac:dyDescent="0.25">
      <c r="B817" s="50"/>
    </row>
    <row r="818" spans="2:2" ht="15" customHeight="1" x14ac:dyDescent="0.25">
      <c r="B818" s="50"/>
    </row>
    <row r="819" spans="2:2" ht="15" customHeight="1" x14ac:dyDescent="0.25">
      <c r="B819" s="50"/>
    </row>
    <row r="820" spans="2:2" ht="15" customHeight="1" x14ac:dyDescent="0.25">
      <c r="B820" s="50"/>
    </row>
    <row r="821" spans="2:2" ht="15" customHeight="1" x14ac:dyDescent="0.25">
      <c r="B821" s="50"/>
    </row>
    <row r="822" spans="2:2" ht="15" customHeight="1" x14ac:dyDescent="0.25">
      <c r="B822" s="50"/>
    </row>
    <row r="823" spans="2:2" ht="15" customHeight="1" x14ac:dyDescent="0.25">
      <c r="B823" s="50"/>
    </row>
    <row r="824" spans="2:2" ht="15" customHeight="1" x14ac:dyDescent="0.25">
      <c r="B824" s="50"/>
    </row>
    <row r="825" spans="2:2" ht="15" customHeight="1" x14ac:dyDescent="0.25">
      <c r="B825" s="50"/>
    </row>
    <row r="826" spans="2:2" ht="15" customHeight="1" x14ac:dyDescent="0.25">
      <c r="B826" s="50"/>
    </row>
    <row r="827" spans="2:2" ht="15" customHeight="1" x14ac:dyDescent="0.25">
      <c r="B827" s="50"/>
    </row>
    <row r="828" spans="2:2" ht="15" customHeight="1" x14ac:dyDescent="0.25">
      <c r="B828" s="50"/>
    </row>
    <row r="829" spans="2:2" ht="15" customHeight="1" x14ac:dyDescent="0.25">
      <c r="B829" s="50"/>
    </row>
    <row r="830" spans="2:2" ht="15" customHeight="1" x14ac:dyDescent="0.25">
      <c r="B830" s="50"/>
    </row>
    <row r="831" spans="2:2" ht="15" customHeight="1" x14ac:dyDescent="0.25">
      <c r="B831" s="50"/>
    </row>
    <row r="832" spans="2:2" ht="15" customHeight="1" x14ac:dyDescent="0.25">
      <c r="B832" s="50"/>
    </row>
    <row r="833" spans="2:2" ht="15" customHeight="1" x14ac:dyDescent="0.25">
      <c r="B833" s="50"/>
    </row>
    <row r="834" spans="2:2" ht="15" customHeight="1" x14ac:dyDescent="0.25">
      <c r="B834" s="50"/>
    </row>
    <row r="835" spans="2:2" ht="15" customHeight="1" x14ac:dyDescent="0.25">
      <c r="B835" s="50"/>
    </row>
    <row r="836" spans="2:2" ht="15" customHeight="1" x14ac:dyDescent="0.25">
      <c r="B836" s="50"/>
    </row>
    <row r="837" spans="2:2" ht="15" customHeight="1" x14ac:dyDescent="0.25">
      <c r="B837" s="50"/>
    </row>
    <row r="838" spans="2:2" ht="15" customHeight="1" x14ac:dyDescent="0.25">
      <c r="B838" s="50"/>
    </row>
    <row r="839" spans="2:2" ht="15" customHeight="1" x14ac:dyDescent="0.25">
      <c r="B839" s="50"/>
    </row>
    <row r="840" spans="2:2" ht="15" customHeight="1" x14ac:dyDescent="0.25">
      <c r="B840" s="50"/>
    </row>
    <row r="841" spans="2:2" ht="15" customHeight="1" x14ac:dyDescent="0.25">
      <c r="B841" s="50"/>
    </row>
    <row r="842" spans="2:2" ht="15" customHeight="1" x14ac:dyDescent="0.25">
      <c r="B842" s="50"/>
    </row>
    <row r="843" spans="2:2" ht="15" customHeight="1" x14ac:dyDescent="0.25">
      <c r="B843" s="50"/>
    </row>
    <row r="844" spans="2:2" ht="15" customHeight="1" x14ac:dyDescent="0.25">
      <c r="B844" s="50"/>
    </row>
    <row r="845" spans="2:2" ht="15" customHeight="1" x14ac:dyDescent="0.25">
      <c r="B845" s="50"/>
    </row>
    <row r="846" spans="2:2" ht="15" customHeight="1" x14ac:dyDescent="0.25">
      <c r="B846" s="50"/>
    </row>
    <row r="847" spans="2:2" ht="15" customHeight="1" x14ac:dyDescent="0.25">
      <c r="B847" s="50"/>
    </row>
    <row r="848" spans="2:2" ht="15" customHeight="1" x14ac:dyDescent="0.25">
      <c r="B848" s="50"/>
    </row>
    <row r="849" spans="2:2" ht="15" customHeight="1" x14ac:dyDescent="0.25">
      <c r="B849" s="50"/>
    </row>
    <row r="850" spans="2:2" ht="15" customHeight="1" x14ac:dyDescent="0.25">
      <c r="B850" s="50"/>
    </row>
    <row r="851" spans="2:2" ht="15" customHeight="1" x14ac:dyDescent="0.25">
      <c r="B851" s="50"/>
    </row>
    <row r="852" spans="2:2" ht="15" customHeight="1" x14ac:dyDescent="0.25">
      <c r="B852" s="50"/>
    </row>
    <row r="853" spans="2:2" ht="15" customHeight="1" x14ac:dyDescent="0.25">
      <c r="B853" s="50"/>
    </row>
    <row r="854" spans="2:2" ht="15" customHeight="1" x14ac:dyDescent="0.25">
      <c r="B854" s="50"/>
    </row>
    <row r="855" spans="2:2" ht="15" customHeight="1" x14ac:dyDescent="0.25">
      <c r="B855" s="50"/>
    </row>
    <row r="856" spans="2:2" ht="15" customHeight="1" x14ac:dyDescent="0.25">
      <c r="B856" s="50"/>
    </row>
    <row r="857" spans="2:2" ht="15" customHeight="1" x14ac:dyDescent="0.25">
      <c r="B857" s="50"/>
    </row>
    <row r="858" spans="2:2" ht="15" customHeight="1" x14ac:dyDescent="0.25">
      <c r="B858" s="50"/>
    </row>
    <row r="859" spans="2:2" ht="15" customHeight="1" x14ac:dyDescent="0.25">
      <c r="B859" s="50"/>
    </row>
    <row r="860" spans="2:2" ht="15" customHeight="1" x14ac:dyDescent="0.25">
      <c r="B860" s="50"/>
    </row>
    <row r="861" spans="2:2" ht="15" customHeight="1" x14ac:dyDescent="0.25">
      <c r="B861" s="50"/>
    </row>
    <row r="862" spans="2:2" ht="15" customHeight="1" x14ac:dyDescent="0.25">
      <c r="B862" s="50"/>
    </row>
    <row r="863" spans="2:2" ht="15" customHeight="1" x14ac:dyDescent="0.25">
      <c r="B863" s="50"/>
    </row>
    <row r="864" spans="2:2" ht="15" customHeight="1" x14ac:dyDescent="0.25">
      <c r="B864" s="50"/>
    </row>
    <row r="865" spans="2:2" ht="15" customHeight="1" x14ac:dyDescent="0.25">
      <c r="B865" s="50"/>
    </row>
    <row r="866" spans="2:2" ht="15" customHeight="1" x14ac:dyDescent="0.25">
      <c r="B866" s="50"/>
    </row>
    <row r="867" spans="2:2" ht="15" customHeight="1" x14ac:dyDescent="0.25">
      <c r="B867" s="50"/>
    </row>
    <row r="868" spans="2:2" ht="15" customHeight="1" x14ac:dyDescent="0.25">
      <c r="B868" s="50"/>
    </row>
    <row r="869" spans="2:2" ht="15" customHeight="1" x14ac:dyDescent="0.25">
      <c r="B869" s="50"/>
    </row>
    <row r="870" spans="2:2" ht="15" customHeight="1" x14ac:dyDescent="0.25">
      <c r="B870" s="50"/>
    </row>
    <row r="871" spans="2:2" ht="15" customHeight="1" x14ac:dyDescent="0.25">
      <c r="B871" s="50"/>
    </row>
    <row r="872" spans="2:2" ht="15" customHeight="1" x14ac:dyDescent="0.25">
      <c r="B872" s="50"/>
    </row>
    <row r="873" spans="2:2" ht="15" customHeight="1" x14ac:dyDescent="0.25">
      <c r="B873" s="50"/>
    </row>
    <row r="874" spans="2:2" ht="15" customHeight="1" x14ac:dyDescent="0.25">
      <c r="B874" s="50"/>
    </row>
    <row r="875" spans="2:2" ht="15" customHeight="1" x14ac:dyDescent="0.25">
      <c r="B875" s="50"/>
    </row>
    <row r="876" spans="2:2" ht="15" customHeight="1" x14ac:dyDescent="0.25">
      <c r="B876" s="50"/>
    </row>
    <row r="877" spans="2:2" ht="15" customHeight="1" x14ac:dyDescent="0.25">
      <c r="B877" s="50"/>
    </row>
    <row r="878" spans="2:2" ht="15" customHeight="1" x14ac:dyDescent="0.25">
      <c r="B878" s="50"/>
    </row>
    <row r="879" spans="2:2" ht="15" customHeight="1" x14ac:dyDescent="0.25">
      <c r="B879" s="50"/>
    </row>
    <row r="880" spans="2:2" ht="15" customHeight="1" x14ac:dyDescent="0.25">
      <c r="B880" s="50"/>
    </row>
    <row r="881" spans="2:2" ht="15" customHeight="1" x14ac:dyDescent="0.25">
      <c r="B881" s="50"/>
    </row>
    <row r="882" spans="2:2" ht="15" customHeight="1" x14ac:dyDescent="0.25">
      <c r="B882" s="50"/>
    </row>
    <row r="883" spans="2:2" ht="15" customHeight="1" x14ac:dyDescent="0.25">
      <c r="B883" s="50"/>
    </row>
    <row r="884" spans="2:2" ht="15" customHeight="1" x14ac:dyDescent="0.25">
      <c r="B884" s="50"/>
    </row>
    <row r="885" spans="2:2" ht="15" customHeight="1" x14ac:dyDescent="0.25">
      <c r="B885" s="50"/>
    </row>
    <row r="886" spans="2:2" ht="15" customHeight="1" x14ac:dyDescent="0.25">
      <c r="B886" s="50"/>
    </row>
    <row r="887" spans="2:2" ht="15" customHeight="1" x14ac:dyDescent="0.25">
      <c r="B887" s="50"/>
    </row>
    <row r="888" spans="2:2" ht="15" customHeight="1" x14ac:dyDescent="0.25">
      <c r="B888" s="50"/>
    </row>
    <row r="889" spans="2:2" ht="15" customHeight="1" x14ac:dyDescent="0.25">
      <c r="B889" s="50"/>
    </row>
    <row r="890" spans="2:2" ht="15" customHeight="1" x14ac:dyDescent="0.25">
      <c r="B890" s="50"/>
    </row>
    <row r="891" spans="2:2" ht="15" customHeight="1" x14ac:dyDescent="0.25">
      <c r="B891" s="50"/>
    </row>
    <row r="892" spans="2:2" ht="15" customHeight="1" x14ac:dyDescent="0.25">
      <c r="B892" s="50"/>
    </row>
    <row r="893" spans="2:2" ht="15" customHeight="1" x14ac:dyDescent="0.25">
      <c r="B893" s="50"/>
    </row>
    <row r="894" spans="2:2" ht="15" customHeight="1" x14ac:dyDescent="0.25">
      <c r="B894" s="50"/>
    </row>
    <row r="895" spans="2:2" ht="15" customHeight="1" x14ac:dyDescent="0.25">
      <c r="B895" s="50"/>
    </row>
    <row r="896" spans="2:2" ht="15" customHeight="1" x14ac:dyDescent="0.25">
      <c r="B896" s="50"/>
    </row>
    <row r="897" spans="2:2" ht="15" customHeight="1" x14ac:dyDescent="0.25">
      <c r="B897" s="50"/>
    </row>
    <row r="898" spans="2:2" ht="15" customHeight="1" x14ac:dyDescent="0.25">
      <c r="B898" s="50"/>
    </row>
    <row r="899" spans="2:2" ht="15" customHeight="1" x14ac:dyDescent="0.25">
      <c r="B899" s="50"/>
    </row>
    <row r="900" spans="2:2" ht="15" customHeight="1" x14ac:dyDescent="0.25">
      <c r="B900" s="50"/>
    </row>
    <row r="901" spans="2:2" ht="15" customHeight="1" x14ac:dyDescent="0.25">
      <c r="B901" s="50"/>
    </row>
    <row r="902" spans="2:2" ht="15" customHeight="1" x14ac:dyDescent="0.25">
      <c r="B902" s="50"/>
    </row>
    <row r="903" spans="2:2" ht="15" customHeight="1" x14ac:dyDescent="0.25">
      <c r="B903" s="50"/>
    </row>
    <row r="904" spans="2:2" ht="15" customHeight="1" x14ac:dyDescent="0.25">
      <c r="B904" s="50"/>
    </row>
    <row r="905" spans="2:2" ht="15" customHeight="1" x14ac:dyDescent="0.25">
      <c r="B905" s="50"/>
    </row>
    <row r="906" spans="2:2" ht="15" customHeight="1" x14ac:dyDescent="0.25">
      <c r="B906" s="50"/>
    </row>
    <row r="907" spans="2:2" ht="15" customHeight="1" x14ac:dyDescent="0.25">
      <c r="B907" s="50"/>
    </row>
    <row r="908" spans="2:2" ht="15" customHeight="1" x14ac:dyDescent="0.25">
      <c r="B908" s="50"/>
    </row>
    <row r="909" spans="2:2" ht="15" customHeight="1" x14ac:dyDescent="0.25">
      <c r="B909" s="50"/>
    </row>
    <row r="910" spans="2:2" ht="15" customHeight="1" x14ac:dyDescent="0.25">
      <c r="B910" s="50"/>
    </row>
    <row r="911" spans="2:2" ht="15" customHeight="1" x14ac:dyDescent="0.25">
      <c r="B911" s="50"/>
    </row>
    <row r="912" spans="2:2" ht="15" customHeight="1" x14ac:dyDescent="0.25">
      <c r="B912" s="50"/>
    </row>
    <row r="913" spans="2:2" ht="15" customHeight="1" x14ac:dyDescent="0.25">
      <c r="B913" s="50"/>
    </row>
    <row r="914" spans="2:2" ht="15" customHeight="1" x14ac:dyDescent="0.25">
      <c r="B914" s="50"/>
    </row>
    <row r="915" spans="2:2" ht="15" customHeight="1" x14ac:dyDescent="0.25">
      <c r="B915" s="50"/>
    </row>
    <row r="916" spans="2:2" ht="15" customHeight="1" x14ac:dyDescent="0.25">
      <c r="B916" s="50"/>
    </row>
    <row r="917" spans="2:2" ht="15" customHeight="1" x14ac:dyDescent="0.25">
      <c r="B917" s="50"/>
    </row>
    <row r="918" spans="2:2" ht="15" customHeight="1" x14ac:dyDescent="0.25">
      <c r="B918" s="50"/>
    </row>
    <row r="919" spans="2:2" ht="15" customHeight="1" x14ac:dyDescent="0.25">
      <c r="B919" s="50"/>
    </row>
    <row r="920" spans="2:2" ht="15" customHeight="1" x14ac:dyDescent="0.25">
      <c r="B920" s="50"/>
    </row>
    <row r="921" spans="2:2" ht="15" customHeight="1" x14ac:dyDescent="0.25">
      <c r="B921" s="50"/>
    </row>
    <row r="922" spans="2:2" ht="15" customHeight="1" x14ac:dyDescent="0.25">
      <c r="B922" s="50"/>
    </row>
    <row r="923" spans="2:2" ht="15" customHeight="1" x14ac:dyDescent="0.25">
      <c r="B923" s="50"/>
    </row>
    <row r="924" spans="2:2" ht="15" customHeight="1" x14ac:dyDescent="0.25">
      <c r="B924" s="50"/>
    </row>
    <row r="925" spans="2:2" ht="15" customHeight="1" x14ac:dyDescent="0.25">
      <c r="B925" s="50"/>
    </row>
    <row r="926" spans="2:2" ht="15" customHeight="1" x14ac:dyDescent="0.25">
      <c r="B926" s="50"/>
    </row>
    <row r="927" spans="2:2" ht="15" customHeight="1" x14ac:dyDescent="0.25">
      <c r="B927" s="50"/>
    </row>
    <row r="928" spans="2:2" ht="15" customHeight="1" x14ac:dyDescent="0.25">
      <c r="B928" s="50"/>
    </row>
    <row r="929" spans="2:2" ht="15" customHeight="1" x14ac:dyDescent="0.25">
      <c r="B929" s="50"/>
    </row>
    <row r="930" spans="2:2" ht="15" customHeight="1" x14ac:dyDescent="0.25">
      <c r="B930" s="50"/>
    </row>
    <row r="931" spans="2:2" ht="15" customHeight="1" x14ac:dyDescent="0.25">
      <c r="B931" s="50"/>
    </row>
    <row r="932" spans="2:2" ht="15" customHeight="1" x14ac:dyDescent="0.25">
      <c r="B932" s="50"/>
    </row>
    <row r="933" spans="2:2" ht="15" customHeight="1" x14ac:dyDescent="0.25">
      <c r="B933" s="50"/>
    </row>
    <row r="934" spans="2:2" ht="15" customHeight="1" x14ac:dyDescent="0.25">
      <c r="B934" s="50"/>
    </row>
    <row r="935" spans="2:2" ht="15" customHeight="1" x14ac:dyDescent="0.25">
      <c r="B935" s="50"/>
    </row>
    <row r="936" spans="2:2" ht="15" customHeight="1" x14ac:dyDescent="0.25">
      <c r="B936" s="50"/>
    </row>
    <row r="937" spans="2:2" ht="15" customHeight="1" x14ac:dyDescent="0.25">
      <c r="B937" s="50"/>
    </row>
    <row r="938" spans="2:2" ht="15" customHeight="1" x14ac:dyDescent="0.25">
      <c r="B938" s="50"/>
    </row>
    <row r="939" spans="2:2" ht="15" customHeight="1" x14ac:dyDescent="0.25">
      <c r="B939" s="50"/>
    </row>
    <row r="940" spans="2:2" ht="15" customHeight="1" x14ac:dyDescent="0.25">
      <c r="B940" s="50"/>
    </row>
    <row r="941" spans="2:2" ht="15" customHeight="1" x14ac:dyDescent="0.25">
      <c r="B941" s="50"/>
    </row>
    <row r="942" spans="2:2" ht="15" customHeight="1" x14ac:dyDescent="0.25">
      <c r="B942" s="50"/>
    </row>
    <row r="943" spans="2:2" ht="15" customHeight="1" x14ac:dyDescent="0.25">
      <c r="B943" s="50"/>
    </row>
    <row r="944" spans="2:2" ht="15" customHeight="1" x14ac:dyDescent="0.25">
      <c r="B944" s="50"/>
    </row>
    <row r="945" spans="2:2" ht="15" customHeight="1" x14ac:dyDescent="0.25">
      <c r="B945" s="50"/>
    </row>
    <row r="946" spans="2:2" ht="15" customHeight="1" x14ac:dyDescent="0.25">
      <c r="B946" s="50"/>
    </row>
    <row r="947" spans="2:2" ht="15" customHeight="1" x14ac:dyDescent="0.25">
      <c r="B947" s="50"/>
    </row>
    <row r="948" spans="2:2" ht="15" customHeight="1" x14ac:dyDescent="0.25">
      <c r="B948" s="50"/>
    </row>
    <row r="949" spans="2:2" ht="15" customHeight="1" x14ac:dyDescent="0.25">
      <c r="B949" s="50"/>
    </row>
    <row r="950" spans="2:2" ht="15" customHeight="1" x14ac:dyDescent="0.25">
      <c r="B950" s="50"/>
    </row>
    <row r="951" spans="2:2" ht="15" customHeight="1" x14ac:dyDescent="0.25">
      <c r="B951" s="50"/>
    </row>
    <row r="952" spans="2:2" ht="15" customHeight="1" x14ac:dyDescent="0.25">
      <c r="B952" s="50"/>
    </row>
    <row r="953" spans="2:2" ht="15" customHeight="1" x14ac:dyDescent="0.25">
      <c r="B953" s="50"/>
    </row>
    <row r="954" spans="2:2" ht="15" customHeight="1" x14ac:dyDescent="0.25">
      <c r="B954" s="50"/>
    </row>
    <row r="955" spans="2:2" ht="15" customHeight="1" x14ac:dyDescent="0.25">
      <c r="B955" s="50"/>
    </row>
    <row r="956" spans="2:2" ht="15" customHeight="1" x14ac:dyDescent="0.25">
      <c r="B956" s="50"/>
    </row>
    <row r="957" spans="2:2" ht="15" customHeight="1" x14ac:dyDescent="0.25">
      <c r="B957" s="50"/>
    </row>
    <row r="958" spans="2:2" ht="15" customHeight="1" x14ac:dyDescent="0.25">
      <c r="B958" s="50"/>
    </row>
    <row r="959" spans="2:2" ht="15" customHeight="1" x14ac:dyDescent="0.25">
      <c r="B959" s="50"/>
    </row>
    <row r="960" spans="2:2" ht="15" customHeight="1" x14ac:dyDescent="0.25">
      <c r="B960" s="50"/>
    </row>
    <row r="961" spans="2:2" ht="15" customHeight="1" x14ac:dyDescent="0.25">
      <c r="B961" s="50"/>
    </row>
    <row r="962" spans="2:2" ht="15" customHeight="1" x14ac:dyDescent="0.25">
      <c r="B962" s="50"/>
    </row>
    <row r="963" spans="2:2" ht="15" customHeight="1" x14ac:dyDescent="0.25">
      <c r="B963" s="50"/>
    </row>
    <row r="964" spans="2:2" ht="15" customHeight="1" x14ac:dyDescent="0.25">
      <c r="B964" s="50"/>
    </row>
    <row r="965" spans="2:2" ht="15" customHeight="1" x14ac:dyDescent="0.25">
      <c r="B965" s="50"/>
    </row>
    <row r="966" spans="2:2" ht="15" customHeight="1" x14ac:dyDescent="0.25">
      <c r="B966" s="50"/>
    </row>
    <row r="967" spans="2:2" ht="15" customHeight="1" x14ac:dyDescent="0.25">
      <c r="B967" s="50"/>
    </row>
    <row r="968" spans="2:2" ht="15" customHeight="1" x14ac:dyDescent="0.25">
      <c r="B968" s="50"/>
    </row>
    <row r="969" spans="2:2" ht="15" customHeight="1" x14ac:dyDescent="0.25">
      <c r="B969" s="50"/>
    </row>
    <row r="970" spans="2:2" ht="15" customHeight="1" x14ac:dyDescent="0.25">
      <c r="B970" s="50"/>
    </row>
    <row r="971" spans="2:2" ht="15" customHeight="1" x14ac:dyDescent="0.25">
      <c r="B971" s="50"/>
    </row>
    <row r="972" spans="2:2" ht="15" customHeight="1" x14ac:dyDescent="0.25">
      <c r="B972" s="50"/>
    </row>
    <row r="973" spans="2:2" ht="15" customHeight="1" x14ac:dyDescent="0.25">
      <c r="B973" s="50"/>
    </row>
    <row r="974" spans="2:2" ht="15" customHeight="1" x14ac:dyDescent="0.25">
      <c r="B974" s="50"/>
    </row>
    <row r="975" spans="2:2" ht="15" customHeight="1" x14ac:dyDescent="0.25">
      <c r="B975" s="50"/>
    </row>
    <row r="976" spans="2:2" ht="15" customHeight="1" x14ac:dyDescent="0.25">
      <c r="B976" s="50"/>
    </row>
    <row r="977" spans="2:2" ht="15" customHeight="1" x14ac:dyDescent="0.25">
      <c r="B977" s="50"/>
    </row>
    <row r="978" spans="2:2" ht="15" customHeight="1" x14ac:dyDescent="0.25">
      <c r="B978" s="50"/>
    </row>
    <row r="979" spans="2:2" ht="15" customHeight="1" x14ac:dyDescent="0.25">
      <c r="B979" s="50"/>
    </row>
    <row r="980" spans="2:2" ht="15" customHeight="1" x14ac:dyDescent="0.25">
      <c r="B980" s="50"/>
    </row>
    <row r="981" spans="2:2" ht="15" customHeight="1" x14ac:dyDescent="0.25">
      <c r="B981" s="50"/>
    </row>
    <row r="982" spans="2:2" ht="15" customHeight="1" x14ac:dyDescent="0.25">
      <c r="B982" s="50"/>
    </row>
    <row r="983" spans="2:2" ht="15" customHeight="1" x14ac:dyDescent="0.25">
      <c r="B983" s="50"/>
    </row>
    <row r="984" spans="2:2" ht="15" customHeight="1" x14ac:dyDescent="0.25">
      <c r="B984" s="50"/>
    </row>
    <row r="985" spans="2:2" ht="15" customHeight="1" x14ac:dyDescent="0.25">
      <c r="B985" s="50"/>
    </row>
    <row r="986" spans="2:2" ht="15" customHeight="1" x14ac:dyDescent="0.25">
      <c r="B986" s="50"/>
    </row>
    <row r="987" spans="2:2" ht="15" customHeight="1" x14ac:dyDescent="0.25">
      <c r="B987" s="50"/>
    </row>
    <row r="988" spans="2:2" ht="15" customHeight="1" x14ac:dyDescent="0.25">
      <c r="B988" s="50"/>
    </row>
    <row r="989" spans="2:2" ht="15" customHeight="1" x14ac:dyDescent="0.25">
      <c r="B989" s="50"/>
    </row>
    <row r="990" spans="2:2" ht="15" customHeight="1" x14ac:dyDescent="0.25">
      <c r="B990" s="50"/>
    </row>
    <row r="991" spans="2:2" ht="15" customHeight="1" x14ac:dyDescent="0.25">
      <c r="B991" s="50"/>
    </row>
    <row r="992" spans="2:2" ht="15" customHeight="1" x14ac:dyDescent="0.25">
      <c r="B992" s="50"/>
    </row>
    <row r="993" spans="2:2" ht="15" customHeight="1" x14ac:dyDescent="0.25">
      <c r="B993" s="50"/>
    </row>
    <row r="994" spans="2:2" ht="15" customHeight="1" x14ac:dyDescent="0.25">
      <c r="B994" s="50"/>
    </row>
    <row r="995" spans="2:2" ht="15" customHeight="1" x14ac:dyDescent="0.25">
      <c r="B995" s="50"/>
    </row>
    <row r="996" spans="2:2" ht="15" customHeight="1" x14ac:dyDescent="0.25">
      <c r="B996" s="50"/>
    </row>
    <row r="997" spans="2:2" ht="15" customHeight="1" x14ac:dyDescent="0.25">
      <c r="B997" s="50"/>
    </row>
    <row r="998" spans="2:2" ht="15" customHeight="1" x14ac:dyDescent="0.25">
      <c r="B998" s="50"/>
    </row>
    <row r="999" spans="2:2" ht="15" customHeight="1" x14ac:dyDescent="0.25">
      <c r="B999" s="50"/>
    </row>
    <row r="1000" spans="2:2" ht="15" customHeight="1" x14ac:dyDescent="0.25">
      <c r="B1000" s="50"/>
    </row>
    <row r="1001" spans="2:2" ht="15" customHeight="1" x14ac:dyDescent="0.25">
      <c r="B1001" s="50"/>
    </row>
    <row r="1002" spans="2:2" ht="15" customHeight="1" x14ac:dyDescent="0.25">
      <c r="B1002" s="5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/>
  </sheetViews>
  <sheetFormatPr defaultColWidth="8.85546875" defaultRowHeight="15" x14ac:dyDescent="0.25"/>
  <cols>
    <col min="1" max="16384" width="8.85546875" style="27"/>
  </cols>
  <sheetData>
    <row r="1" spans="1:12" x14ac:dyDescent="0.25">
      <c r="A1" s="27" t="s">
        <v>2</v>
      </c>
      <c r="B1" s="27" t="s">
        <v>2005</v>
      </c>
      <c r="C1" s="27" t="s">
        <v>2004</v>
      </c>
      <c r="D1" s="27" t="s">
        <v>2003</v>
      </c>
      <c r="E1" s="27" t="s">
        <v>2002</v>
      </c>
      <c r="F1" s="27" t="s">
        <v>2001</v>
      </c>
      <c r="G1" s="27" t="s">
        <v>2000</v>
      </c>
      <c r="H1" s="27" t="s">
        <v>1999</v>
      </c>
      <c r="I1" s="27" t="s">
        <v>1998</v>
      </c>
      <c r="J1" s="27" t="s">
        <v>1997</v>
      </c>
      <c r="K1" s="27" t="s">
        <v>214</v>
      </c>
      <c r="L1" s="27" t="s">
        <v>1996</v>
      </c>
    </row>
    <row r="2" spans="1:12" x14ac:dyDescent="0.25">
      <c r="A2" s="27" t="s">
        <v>5</v>
      </c>
      <c r="B2" s="27">
        <v>20898</v>
      </c>
      <c r="C2" s="27">
        <v>23</v>
      </c>
      <c r="D2" s="27">
        <v>496</v>
      </c>
      <c r="E2" s="27">
        <v>182</v>
      </c>
      <c r="F2" s="27">
        <v>448</v>
      </c>
      <c r="G2" s="27">
        <v>874</v>
      </c>
      <c r="H2" s="27">
        <v>1030</v>
      </c>
      <c r="I2" s="27">
        <v>2069</v>
      </c>
      <c r="J2" s="27">
        <v>1585</v>
      </c>
    </row>
    <row r="3" spans="1:12" x14ac:dyDescent="0.25">
      <c r="A3" s="27" t="s">
        <v>171</v>
      </c>
      <c r="B3" s="27">
        <v>654</v>
      </c>
      <c r="C3" s="27">
        <v>11</v>
      </c>
      <c r="D3" s="27">
        <v>14</v>
      </c>
      <c r="E3" s="27">
        <v>1</v>
      </c>
      <c r="F3" s="27">
        <v>26</v>
      </c>
      <c r="G3" s="27">
        <v>15</v>
      </c>
      <c r="H3" s="27">
        <v>32</v>
      </c>
      <c r="I3" s="27">
        <v>42</v>
      </c>
      <c r="J3" s="27">
        <v>86</v>
      </c>
    </row>
    <row r="4" spans="1:12" x14ac:dyDescent="0.25">
      <c r="A4" s="27" t="s">
        <v>61</v>
      </c>
      <c r="B4" s="27">
        <v>14391</v>
      </c>
      <c r="C4" s="27">
        <v>25</v>
      </c>
      <c r="D4" s="27">
        <v>87</v>
      </c>
      <c r="E4" s="27">
        <v>116</v>
      </c>
      <c r="F4" s="27">
        <v>420</v>
      </c>
      <c r="G4" s="27">
        <v>590</v>
      </c>
      <c r="H4" s="27">
        <v>1527</v>
      </c>
      <c r="I4" s="27">
        <v>1176</v>
      </c>
      <c r="J4" s="27">
        <v>1591</v>
      </c>
    </row>
    <row r="5" spans="1:12" x14ac:dyDescent="0.25">
      <c r="A5" s="27" t="s">
        <v>172</v>
      </c>
      <c r="B5" s="27">
        <v>17739</v>
      </c>
      <c r="C5" s="27">
        <v>55</v>
      </c>
      <c r="D5" s="27">
        <v>76</v>
      </c>
      <c r="E5" s="27">
        <v>117</v>
      </c>
      <c r="F5" s="27">
        <v>538</v>
      </c>
      <c r="G5" s="27">
        <v>479</v>
      </c>
      <c r="H5" s="27">
        <v>153</v>
      </c>
      <c r="I5" s="27">
        <v>763</v>
      </c>
      <c r="J5" s="27">
        <v>1531</v>
      </c>
    </row>
    <row r="6" spans="1:12" x14ac:dyDescent="0.25">
      <c r="A6" s="27" t="s">
        <v>173</v>
      </c>
      <c r="B6" s="27">
        <v>5471</v>
      </c>
      <c r="C6" s="27">
        <v>69</v>
      </c>
      <c r="D6" s="27">
        <v>66</v>
      </c>
      <c r="E6" s="27">
        <v>38</v>
      </c>
      <c r="F6" s="27">
        <v>382</v>
      </c>
      <c r="G6" s="27">
        <v>418</v>
      </c>
      <c r="H6" s="27">
        <v>38</v>
      </c>
      <c r="I6" s="27">
        <v>394</v>
      </c>
      <c r="J6" s="27">
        <v>686</v>
      </c>
    </row>
    <row r="7" spans="1:12" x14ac:dyDescent="0.25">
      <c r="A7" s="27" t="s">
        <v>215</v>
      </c>
      <c r="B7" s="27">
        <v>14470</v>
      </c>
      <c r="C7" s="27">
        <v>81</v>
      </c>
      <c r="D7" s="27">
        <v>43</v>
      </c>
      <c r="E7" s="27">
        <v>140</v>
      </c>
      <c r="F7" s="27">
        <v>717</v>
      </c>
      <c r="G7" s="27">
        <v>331</v>
      </c>
      <c r="H7" s="27">
        <v>191</v>
      </c>
      <c r="I7" s="27">
        <v>1148</v>
      </c>
      <c r="J7" s="27">
        <v>1344</v>
      </c>
    </row>
    <row r="8" spans="1:12" x14ac:dyDescent="0.25">
      <c r="A8" s="27" t="s">
        <v>174</v>
      </c>
      <c r="B8" s="27">
        <v>3107</v>
      </c>
      <c r="C8" s="27">
        <v>18</v>
      </c>
      <c r="D8" s="27">
        <v>31</v>
      </c>
      <c r="E8" s="27">
        <v>10</v>
      </c>
      <c r="F8" s="27">
        <v>163</v>
      </c>
      <c r="G8" s="27">
        <v>102</v>
      </c>
      <c r="H8" s="27">
        <v>28</v>
      </c>
      <c r="I8" s="27">
        <v>284</v>
      </c>
      <c r="J8" s="27">
        <v>268</v>
      </c>
    </row>
    <row r="9" spans="1:12" x14ac:dyDescent="0.25">
      <c r="A9" s="27" t="s">
        <v>175</v>
      </c>
      <c r="B9" s="27">
        <v>5955</v>
      </c>
      <c r="C9" s="27">
        <v>18</v>
      </c>
      <c r="D9" s="27">
        <v>6</v>
      </c>
      <c r="E9" s="27">
        <v>30</v>
      </c>
      <c r="F9" s="27">
        <v>192</v>
      </c>
      <c r="G9" s="27">
        <v>200</v>
      </c>
      <c r="H9" s="27">
        <v>98</v>
      </c>
      <c r="I9" s="27">
        <v>592</v>
      </c>
      <c r="J9" s="27">
        <v>484</v>
      </c>
    </row>
    <row r="10" spans="1:12" x14ac:dyDescent="0.25">
      <c r="A10" s="27" t="s">
        <v>176</v>
      </c>
      <c r="B10" s="27">
        <v>4145</v>
      </c>
      <c r="C10" s="27">
        <v>10</v>
      </c>
      <c r="D10" s="27">
        <v>68</v>
      </c>
      <c r="E10" s="27">
        <v>50</v>
      </c>
      <c r="F10" s="27">
        <v>54</v>
      </c>
      <c r="G10" s="27">
        <v>163</v>
      </c>
      <c r="H10" s="27">
        <v>287</v>
      </c>
      <c r="I10" s="27">
        <v>397</v>
      </c>
      <c r="J10" s="27">
        <v>251</v>
      </c>
    </row>
    <row r="11" spans="1:12" x14ac:dyDescent="0.25">
      <c r="A11" s="27" t="s">
        <v>89</v>
      </c>
      <c r="B11" s="27">
        <v>21174</v>
      </c>
      <c r="C11" s="27">
        <v>8</v>
      </c>
      <c r="D11" s="27">
        <v>440</v>
      </c>
      <c r="E11" s="27">
        <v>89</v>
      </c>
      <c r="F11" s="27">
        <v>553</v>
      </c>
      <c r="G11" s="27">
        <v>1000</v>
      </c>
      <c r="H11" s="27">
        <v>937</v>
      </c>
      <c r="I11" s="27">
        <v>2353</v>
      </c>
      <c r="J11" s="27">
        <v>1738</v>
      </c>
    </row>
    <row r="12" spans="1:12" x14ac:dyDescent="0.25">
      <c r="A12" s="27" t="s">
        <v>177</v>
      </c>
      <c r="B12" s="27">
        <v>731</v>
      </c>
      <c r="C12" s="27">
        <v>33</v>
      </c>
      <c r="D12" s="27">
        <v>5</v>
      </c>
      <c r="E12" s="27">
        <v>7</v>
      </c>
      <c r="F12" s="27">
        <v>46</v>
      </c>
      <c r="G12" s="27">
        <v>46</v>
      </c>
      <c r="H12" s="27">
        <v>11</v>
      </c>
      <c r="I12" s="27">
        <v>37</v>
      </c>
      <c r="J12" s="27">
        <v>86</v>
      </c>
    </row>
    <row r="13" spans="1:12" x14ac:dyDescent="0.25">
      <c r="A13" s="27" t="s">
        <v>178</v>
      </c>
      <c r="B13" s="27">
        <v>53123</v>
      </c>
      <c r="C13" s="27">
        <v>442</v>
      </c>
      <c r="D13" s="27">
        <v>314</v>
      </c>
      <c r="E13" s="27">
        <v>359</v>
      </c>
      <c r="F13" s="27">
        <v>3561</v>
      </c>
      <c r="G13" s="27">
        <v>1700</v>
      </c>
      <c r="H13" s="27">
        <v>731</v>
      </c>
      <c r="I13" s="27">
        <v>4970</v>
      </c>
      <c r="J13" s="27">
        <v>4912</v>
      </c>
    </row>
    <row r="14" spans="1:12" x14ac:dyDescent="0.25">
      <c r="A14" s="27" t="s">
        <v>179</v>
      </c>
      <c r="B14" s="27">
        <v>24180</v>
      </c>
      <c r="C14" s="27">
        <v>217</v>
      </c>
      <c r="D14" s="27">
        <v>257</v>
      </c>
      <c r="E14" s="27">
        <v>310</v>
      </c>
      <c r="F14" s="27">
        <v>899</v>
      </c>
      <c r="G14" s="27">
        <v>1074</v>
      </c>
      <c r="H14" s="27">
        <v>386</v>
      </c>
      <c r="I14" s="27">
        <v>1823</v>
      </c>
      <c r="J14" s="27">
        <v>1701</v>
      </c>
    </row>
    <row r="15" spans="1:12" x14ac:dyDescent="0.25">
      <c r="A15" s="27" t="s">
        <v>181</v>
      </c>
      <c r="B15" s="27">
        <v>17539</v>
      </c>
      <c r="C15" s="27">
        <v>226</v>
      </c>
      <c r="D15" s="27">
        <v>187</v>
      </c>
      <c r="E15" s="27">
        <v>185</v>
      </c>
      <c r="F15" s="27">
        <v>1562</v>
      </c>
      <c r="G15" s="27">
        <v>366</v>
      </c>
      <c r="H15" s="27">
        <v>217</v>
      </c>
      <c r="I15" s="27">
        <v>1152</v>
      </c>
      <c r="J15" s="27">
        <v>1377</v>
      </c>
    </row>
    <row r="16" spans="1:12" x14ac:dyDescent="0.25">
      <c r="A16" s="27" t="s">
        <v>182</v>
      </c>
      <c r="B16" s="27">
        <v>12037</v>
      </c>
      <c r="C16" s="27">
        <v>105</v>
      </c>
      <c r="D16" s="27">
        <v>207</v>
      </c>
      <c r="E16" s="27">
        <v>207</v>
      </c>
      <c r="F16" s="27">
        <v>644</v>
      </c>
      <c r="G16" s="27">
        <v>375</v>
      </c>
      <c r="H16" s="27">
        <v>400</v>
      </c>
      <c r="I16" s="27">
        <v>948</v>
      </c>
      <c r="J16" s="27">
        <v>948</v>
      </c>
    </row>
    <row r="17" spans="1:10" x14ac:dyDescent="0.25">
      <c r="A17" s="27" t="s">
        <v>120</v>
      </c>
      <c r="B17" s="27">
        <v>23877</v>
      </c>
      <c r="C17" s="27">
        <v>107</v>
      </c>
      <c r="D17" s="27">
        <v>513</v>
      </c>
      <c r="E17" s="27">
        <v>539</v>
      </c>
      <c r="F17" s="27">
        <v>1115</v>
      </c>
      <c r="G17" s="27">
        <v>1046</v>
      </c>
      <c r="H17" s="27">
        <v>514</v>
      </c>
      <c r="I17" s="27">
        <v>1671</v>
      </c>
      <c r="J17" s="27">
        <v>1924</v>
      </c>
    </row>
    <row r="18" spans="1:10" x14ac:dyDescent="0.25">
      <c r="A18" s="27" t="s">
        <v>152</v>
      </c>
      <c r="B18" s="27">
        <v>16354</v>
      </c>
      <c r="C18" s="27">
        <v>16</v>
      </c>
      <c r="D18" s="27">
        <v>239</v>
      </c>
      <c r="E18" s="27">
        <v>128</v>
      </c>
      <c r="F18" s="27">
        <v>382</v>
      </c>
      <c r="G18" s="27">
        <v>319</v>
      </c>
      <c r="H18" s="27">
        <v>1204</v>
      </c>
      <c r="I18" s="27">
        <v>1453</v>
      </c>
      <c r="J18" s="27">
        <v>1213</v>
      </c>
    </row>
    <row r="19" spans="1:10" x14ac:dyDescent="0.25">
      <c r="A19" s="27" t="s">
        <v>183</v>
      </c>
      <c r="B19" s="27">
        <v>10044</v>
      </c>
      <c r="C19" s="27">
        <v>36</v>
      </c>
      <c r="D19" s="27">
        <v>14</v>
      </c>
      <c r="E19" s="27">
        <v>96</v>
      </c>
      <c r="F19" s="27">
        <v>288</v>
      </c>
      <c r="G19" s="27">
        <v>305</v>
      </c>
      <c r="H19" s="27">
        <v>32</v>
      </c>
      <c r="I19" s="27">
        <v>622</v>
      </c>
      <c r="J19" s="27">
        <v>958</v>
      </c>
    </row>
    <row r="20" spans="1:10" x14ac:dyDescent="0.25">
      <c r="A20" s="27" t="s">
        <v>184</v>
      </c>
      <c r="B20" s="27">
        <v>18000</v>
      </c>
      <c r="C20" s="27">
        <v>91</v>
      </c>
      <c r="D20" s="27">
        <v>272</v>
      </c>
      <c r="E20" s="27">
        <v>139</v>
      </c>
      <c r="F20" s="27">
        <v>528</v>
      </c>
      <c r="G20" s="27">
        <v>517</v>
      </c>
      <c r="H20" s="27">
        <v>221</v>
      </c>
      <c r="I20" s="27">
        <v>2145</v>
      </c>
      <c r="J20" s="27">
        <v>1453</v>
      </c>
    </row>
    <row r="21" spans="1:10" x14ac:dyDescent="0.25">
      <c r="A21" s="27" t="s">
        <v>185</v>
      </c>
      <c r="B21" s="27">
        <v>45112</v>
      </c>
      <c r="C21" s="27">
        <v>194</v>
      </c>
      <c r="D21" s="27">
        <v>97</v>
      </c>
      <c r="E21" s="27">
        <v>365</v>
      </c>
      <c r="F21" s="27">
        <v>2212</v>
      </c>
      <c r="G21" s="27">
        <v>827</v>
      </c>
      <c r="H21" s="27">
        <v>115</v>
      </c>
      <c r="I21" s="27">
        <v>3731</v>
      </c>
      <c r="J21" s="27">
        <v>3965</v>
      </c>
    </row>
    <row r="22" spans="1:10" x14ac:dyDescent="0.25">
      <c r="A22" s="27" t="s">
        <v>186</v>
      </c>
      <c r="B22" s="27">
        <v>25016</v>
      </c>
      <c r="C22" s="27">
        <v>249</v>
      </c>
      <c r="D22" s="27">
        <v>282</v>
      </c>
      <c r="E22" s="27">
        <v>178</v>
      </c>
      <c r="F22" s="27">
        <v>1557</v>
      </c>
      <c r="G22" s="27">
        <v>686</v>
      </c>
      <c r="H22" s="27">
        <v>373</v>
      </c>
      <c r="I22" s="27">
        <v>2115</v>
      </c>
      <c r="J22" s="27">
        <v>1830</v>
      </c>
    </row>
    <row r="23" spans="1:10" x14ac:dyDescent="0.25">
      <c r="A23" s="27" t="s">
        <v>187</v>
      </c>
      <c r="B23" s="27">
        <v>15600</v>
      </c>
      <c r="C23" s="27">
        <v>282</v>
      </c>
      <c r="D23" s="27">
        <v>158</v>
      </c>
      <c r="E23" s="27">
        <v>77</v>
      </c>
      <c r="F23" s="27">
        <v>1176</v>
      </c>
      <c r="G23" s="27">
        <v>489</v>
      </c>
      <c r="H23" s="27">
        <v>30</v>
      </c>
      <c r="I23" s="27">
        <v>1547</v>
      </c>
      <c r="J23" s="27">
        <v>1240</v>
      </c>
    </row>
    <row r="24" spans="1:10" x14ac:dyDescent="0.25">
      <c r="A24" s="27" t="s">
        <v>73</v>
      </c>
      <c r="B24" s="27">
        <v>14899</v>
      </c>
      <c r="C24" s="27">
        <v>15</v>
      </c>
      <c r="D24" s="27">
        <v>450</v>
      </c>
      <c r="E24" s="27">
        <v>275</v>
      </c>
      <c r="F24" s="27">
        <v>315</v>
      </c>
      <c r="G24" s="27">
        <v>521</v>
      </c>
      <c r="H24" s="27">
        <v>1273</v>
      </c>
      <c r="I24" s="27">
        <v>1198</v>
      </c>
      <c r="J24" s="27">
        <v>1447</v>
      </c>
    </row>
    <row r="25" spans="1:10" x14ac:dyDescent="0.25">
      <c r="A25" s="27" t="s">
        <v>188</v>
      </c>
      <c r="B25" s="27">
        <v>32435</v>
      </c>
      <c r="C25" s="27">
        <v>283</v>
      </c>
      <c r="D25" s="27">
        <v>513</v>
      </c>
      <c r="E25" s="27">
        <v>410</v>
      </c>
      <c r="F25" s="27">
        <v>1377</v>
      </c>
      <c r="G25" s="27">
        <v>1072</v>
      </c>
      <c r="H25" s="27">
        <v>1013</v>
      </c>
      <c r="I25" s="27">
        <v>2430</v>
      </c>
      <c r="J25" s="27">
        <v>3300</v>
      </c>
    </row>
    <row r="26" spans="1:10" x14ac:dyDescent="0.25">
      <c r="A26" s="27" t="s">
        <v>189</v>
      </c>
      <c r="B26" s="27">
        <v>1313</v>
      </c>
      <c r="C26" s="27">
        <v>55</v>
      </c>
      <c r="D26" s="27">
        <v>6</v>
      </c>
      <c r="E26" s="27">
        <v>2</v>
      </c>
      <c r="F26" s="27">
        <v>58</v>
      </c>
      <c r="G26" s="27">
        <v>51</v>
      </c>
      <c r="H26" s="27">
        <v>10</v>
      </c>
      <c r="I26" s="27">
        <v>78</v>
      </c>
      <c r="J26" s="27">
        <v>178</v>
      </c>
    </row>
    <row r="27" spans="1:10" x14ac:dyDescent="0.25">
      <c r="A27" s="27" t="s">
        <v>190</v>
      </c>
      <c r="B27" s="27">
        <v>8577</v>
      </c>
      <c r="C27" s="27">
        <v>142</v>
      </c>
      <c r="D27" s="27">
        <v>111</v>
      </c>
      <c r="E27" s="27">
        <v>120</v>
      </c>
      <c r="F27" s="27">
        <v>808</v>
      </c>
      <c r="G27" s="27">
        <v>340</v>
      </c>
      <c r="H27" s="27">
        <v>96</v>
      </c>
      <c r="I27" s="27">
        <v>893</v>
      </c>
      <c r="J27" s="27">
        <v>659</v>
      </c>
    </row>
    <row r="28" spans="1:10" x14ac:dyDescent="0.25">
      <c r="A28" s="27" t="s">
        <v>74</v>
      </c>
      <c r="B28" s="27">
        <v>454</v>
      </c>
      <c r="C28" s="27">
        <v>2</v>
      </c>
      <c r="D28" s="27">
        <v>2</v>
      </c>
      <c r="E28" s="27">
        <v>1</v>
      </c>
      <c r="F28" s="27">
        <v>16</v>
      </c>
      <c r="G28" s="27">
        <v>8</v>
      </c>
      <c r="H28" s="27">
        <v>10</v>
      </c>
      <c r="I28" s="27">
        <v>19</v>
      </c>
      <c r="J28" s="27">
        <v>73</v>
      </c>
    </row>
    <row r="29" spans="1:10" x14ac:dyDescent="0.25">
      <c r="A29" s="27" t="s">
        <v>191</v>
      </c>
      <c r="B29" s="27">
        <v>7074</v>
      </c>
      <c r="C29" s="27">
        <v>20</v>
      </c>
      <c r="D29" s="27">
        <v>16</v>
      </c>
      <c r="E29" s="27">
        <v>37</v>
      </c>
      <c r="F29" s="27">
        <v>326</v>
      </c>
      <c r="G29" s="27">
        <v>139</v>
      </c>
      <c r="H29" s="27">
        <v>20</v>
      </c>
      <c r="I29" s="27">
        <v>567</v>
      </c>
      <c r="J29" s="27">
        <v>624</v>
      </c>
    </row>
    <row r="30" spans="1:10" x14ac:dyDescent="0.25">
      <c r="A30" s="27" t="s">
        <v>192</v>
      </c>
      <c r="B30" s="27">
        <v>30344</v>
      </c>
      <c r="C30" s="27">
        <v>207</v>
      </c>
      <c r="D30" s="27">
        <v>183</v>
      </c>
      <c r="E30" s="27">
        <v>376</v>
      </c>
      <c r="F30" s="27">
        <v>1516</v>
      </c>
      <c r="G30" s="27">
        <v>684</v>
      </c>
      <c r="H30" s="27">
        <v>274</v>
      </c>
      <c r="I30" s="27">
        <v>2522</v>
      </c>
      <c r="J30" s="27">
        <v>2674</v>
      </c>
    </row>
    <row r="31" spans="1:10" x14ac:dyDescent="0.25">
      <c r="A31" s="27" t="s">
        <v>193</v>
      </c>
      <c r="B31" s="27">
        <v>2773</v>
      </c>
      <c r="C31" s="27">
        <v>42</v>
      </c>
      <c r="D31" s="27">
        <v>6</v>
      </c>
      <c r="E31" s="27">
        <v>17</v>
      </c>
      <c r="F31" s="27">
        <v>792</v>
      </c>
      <c r="G31" s="27">
        <v>50</v>
      </c>
      <c r="H31" s="27">
        <v>72</v>
      </c>
      <c r="I31" s="27">
        <v>83</v>
      </c>
      <c r="J31" s="27">
        <v>201</v>
      </c>
    </row>
    <row r="32" spans="1:10" x14ac:dyDescent="0.25">
      <c r="A32" s="27" t="s">
        <v>194</v>
      </c>
      <c r="B32" s="27">
        <v>123117</v>
      </c>
      <c r="C32" s="27">
        <v>956</v>
      </c>
      <c r="D32" s="27">
        <v>757</v>
      </c>
      <c r="E32" s="27">
        <v>1082</v>
      </c>
      <c r="F32" s="27">
        <v>5653</v>
      </c>
      <c r="G32" s="27">
        <v>1715</v>
      </c>
      <c r="H32" s="27">
        <v>953</v>
      </c>
      <c r="I32" s="27">
        <v>11347</v>
      </c>
      <c r="J32" s="27">
        <v>12945</v>
      </c>
    </row>
    <row r="33" spans="1:10" x14ac:dyDescent="0.25">
      <c r="A33" s="27" t="s">
        <v>195</v>
      </c>
      <c r="B33" s="27">
        <v>18420</v>
      </c>
      <c r="C33" s="27">
        <v>34</v>
      </c>
      <c r="D33" s="27">
        <v>158</v>
      </c>
      <c r="E33" s="27">
        <v>139</v>
      </c>
      <c r="F33" s="27">
        <v>657</v>
      </c>
      <c r="G33" s="27">
        <v>920</v>
      </c>
      <c r="H33" s="27">
        <v>604</v>
      </c>
      <c r="I33" s="27">
        <v>2535</v>
      </c>
      <c r="J33" s="27">
        <v>1332</v>
      </c>
    </row>
    <row r="34" spans="1:10" x14ac:dyDescent="0.25">
      <c r="A34" s="27" t="s">
        <v>196</v>
      </c>
      <c r="B34" s="27">
        <v>1847</v>
      </c>
      <c r="C34" s="27">
        <v>41</v>
      </c>
      <c r="D34" s="27">
        <v>19</v>
      </c>
      <c r="E34" s="27">
        <v>16</v>
      </c>
      <c r="F34" s="27">
        <v>146</v>
      </c>
      <c r="G34" s="27">
        <v>81</v>
      </c>
      <c r="H34" s="27">
        <v>23</v>
      </c>
      <c r="I34" s="27">
        <v>207</v>
      </c>
      <c r="J34" s="27">
        <v>120</v>
      </c>
    </row>
    <row r="35" spans="1:10" x14ac:dyDescent="0.25">
      <c r="A35" s="27" t="s">
        <v>144</v>
      </c>
      <c r="B35" s="27">
        <v>49844</v>
      </c>
      <c r="C35" s="27">
        <v>408</v>
      </c>
      <c r="D35" s="27">
        <v>714</v>
      </c>
      <c r="E35" s="27">
        <v>555</v>
      </c>
      <c r="F35" s="27">
        <v>2523</v>
      </c>
      <c r="G35" s="27">
        <v>1587</v>
      </c>
      <c r="H35" s="27">
        <v>472</v>
      </c>
      <c r="I35" s="27">
        <v>3396</v>
      </c>
      <c r="J35" s="27">
        <v>3620</v>
      </c>
    </row>
    <row r="36" spans="1:10" x14ac:dyDescent="0.25">
      <c r="A36" s="27" t="s">
        <v>197</v>
      </c>
      <c r="B36" s="27">
        <v>462</v>
      </c>
      <c r="C36" s="27">
        <v>3</v>
      </c>
      <c r="D36" s="27">
        <v>1</v>
      </c>
      <c r="E36" s="27">
        <v>3</v>
      </c>
      <c r="F36" s="27">
        <v>12</v>
      </c>
      <c r="G36" s="27">
        <v>10</v>
      </c>
      <c r="H36" s="27">
        <v>29</v>
      </c>
      <c r="I36" s="27">
        <v>42</v>
      </c>
      <c r="J36" s="27">
        <v>30</v>
      </c>
    </row>
    <row r="37" spans="1:10" x14ac:dyDescent="0.25">
      <c r="A37" s="27" t="s">
        <v>198</v>
      </c>
      <c r="B37" s="27">
        <v>2687</v>
      </c>
      <c r="C37" s="27">
        <v>20</v>
      </c>
      <c r="D37" s="27">
        <v>25</v>
      </c>
      <c r="E37" s="27">
        <v>17</v>
      </c>
      <c r="F37" s="27">
        <v>159</v>
      </c>
      <c r="G37" s="27">
        <v>152</v>
      </c>
      <c r="H37" s="27">
        <v>33</v>
      </c>
      <c r="I37" s="27">
        <v>149</v>
      </c>
      <c r="J37" s="27">
        <v>228</v>
      </c>
    </row>
    <row r="38" spans="1:10" x14ac:dyDescent="0.25">
      <c r="A38" s="27" t="s">
        <v>199</v>
      </c>
      <c r="B38" s="27">
        <v>73530</v>
      </c>
      <c r="C38" s="27">
        <v>776</v>
      </c>
      <c r="D38" s="27">
        <v>676</v>
      </c>
      <c r="E38" s="27">
        <v>517</v>
      </c>
      <c r="F38" s="27">
        <v>4360</v>
      </c>
      <c r="G38" s="27">
        <v>2836</v>
      </c>
      <c r="H38" s="27">
        <v>328</v>
      </c>
      <c r="I38" s="27">
        <v>5642</v>
      </c>
      <c r="J38" s="27">
        <v>6535</v>
      </c>
    </row>
    <row r="39" spans="1:10" x14ac:dyDescent="0.25">
      <c r="A39" s="27" t="s">
        <v>200</v>
      </c>
      <c r="B39" s="27">
        <v>7559</v>
      </c>
      <c r="C39" s="27">
        <v>35</v>
      </c>
      <c r="D39" s="27">
        <v>119</v>
      </c>
      <c r="E39" s="27">
        <v>102</v>
      </c>
      <c r="F39" s="27">
        <v>283</v>
      </c>
      <c r="G39" s="27">
        <v>150</v>
      </c>
      <c r="H39" s="27">
        <v>59</v>
      </c>
      <c r="I39" s="27">
        <v>714</v>
      </c>
      <c r="J39" s="27">
        <v>574</v>
      </c>
    </row>
    <row r="40" spans="1:10" x14ac:dyDescent="0.25">
      <c r="A40" s="27" t="s">
        <v>201</v>
      </c>
      <c r="B40" s="27">
        <v>15495</v>
      </c>
      <c r="C40" s="27">
        <v>21</v>
      </c>
      <c r="D40" s="27">
        <v>145</v>
      </c>
      <c r="E40" s="27">
        <v>96</v>
      </c>
      <c r="F40" s="27">
        <v>331</v>
      </c>
      <c r="G40" s="27">
        <v>551</v>
      </c>
      <c r="H40" s="27">
        <v>740</v>
      </c>
      <c r="I40" s="27">
        <v>1609</v>
      </c>
      <c r="J40" s="27">
        <v>1164</v>
      </c>
    </row>
    <row r="41" spans="1:10" x14ac:dyDescent="0.25">
      <c r="A41" s="27" t="s">
        <v>202</v>
      </c>
      <c r="B41" s="27">
        <v>3448</v>
      </c>
      <c r="C41" s="27">
        <v>50</v>
      </c>
      <c r="D41" s="27">
        <v>57</v>
      </c>
      <c r="E41" s="27">
        <v>104</v>
      </c>
      <c r="F41" s="27">
        <v>264</v>
      </c>
      <c r="G41" s="27">
        <v>138</v>
      </c>
      <c r="H41" s="27">
        <v>19</v>
      </c>
      <c r="I41" s="27">
        <v>267</v>
      </c>
      <c r="J41" s="27">
        <v>319</v>
      </c>
    </row>
    <row r="42" spans="1:10" x14ac:dyDescent="0.25">
      <c r="A42" s="27" t="s">
        <v>203</v>
      </c>
      <c r="B42" s="27">
        <v>23854</v>
      </c>
      <c r="C42" s="27">
        <v>71</v>
      </c>
      <c r="D42" s="27">
        <v>306</v>
      </c>
      <c r="E42" s="27">
        <v>244</v>
      </c>
      <c r="F42" s="27">
        <v>767</v>
      </c>
      <c r="G42" s="27">
        <v>1083</v>
      </c>
      <c r="H42" s="27">
        <v>1020</v>
      </c>
      <c r="I42" s="27">
        <v>2143</v>
      </c>
      <c r="J42" s="27">
        <v>1802</v>
      </c>
    </row>
    <row r="43" spans="1:10" x14ac:dyDescent="0.25">
      <c r="A43" s="27" t="s">
        <v>204</v>
      </c>
      <c r="B43" s="27">
        <v>26478</v>
      </c>
      <c r="C43" s="27">
        <v>45</v>
      </c>
      <c r="D43" s="27">
        <v>468</v>
      </c>
      <c r="E43" s="27">
        <v>260</v>
      </c>
      <c r="F43" s="27">
        <v>628</v>
      </c>
      <c r="G43" s="27">
        <v>1026</v>
      </c>
      <c r="H43" s="27">
        <v>2102</v>
      </c>
      <c r="I43" s="27">
        <v>2434</v>
      </c>
      <c r="J43" s="27">
        <v>2533</v>
      </c>
    </row>
    <row r="44" spans="1:10" x14ac:dyDescent="0.25">
      <c r="A44" s="27" t="s">
        <v>205</v>
      </c>
      <c r="B44" s="27">
        <v>2156</v>
      </c>
      <c r="C44" s="27">
        <v>40</v>
      </c>
      <c r="D44" s="27">
        <v>2</v>
      </c>
      <c r="E44" s="27">
        <v>14</v>
      </c>
      <c r="F44" s="27">
        <v>202</v>
      </c>
      <c r="G44" s="27">
        <v>95</v>
      </c>
      <c r="H44" s="27">
        <v>37</v>
      </c>
      <c r="I44" s="27">
        <v>159</v>
      </c>
      <c r="J44" s="27">
        <v>243</v>
      </c>
    </row>
    <row r="45" spans="1:10" x14ac:dyDescent="0.25">
      <c r="A45" s="27" t="s">
        <v>206</v>
      </c>
      <c r="B45" s="27">
        <v>5425</v>
      </c>
      <c r="C45" s="27">
        <v>21</v>
      </c>
      <c r="D45" s="27">
        <v>20</v>
      </c>
      <c r="E45" s="27">
        <v>16</v>
      </c>
      <c r="F45" s="27">
        <v>277</v>
      </c>
      <c r="G45" s="27">
        <v>124</v>
      </c>
      <c r="H45" s="27">
        <v>14</v>
      </c>
      <c r="I45" s="27">
        <v>331</v>
      </c>
      <c r="J45" s="27">
        <v>502</v>
      </c>
    </row>
    <row r="46" spans="1:10" x14ac:dyDescent="0.25">
      <c r="A46" s="27" t="s">
        <v>207</v>
      </c>
      <c r="B46" s="27">
        <v>23232</v>
      </c>
      <c r="C46" s="27">
        <v>46</v>
      </c>
      <c r="D46" s="27">
        <v>344</v>
      </c>
      <c r="E46" s="27">
        <v>299</v>
      </c>
      <c r="F46" s="27">
        <v>781</v>
      </c>
      <c r="G46" s="27">
        <v>757</v>
      </c>
      <c r="H46" s="27">
        <v>616</v>
      </c>
      <c r="I46" s="27">
        <v>2197</v>
      </c>
      <c r="J46" s="27">
        <v>1710</v>
      </c>
    </row>
    <row r="47" spans="1:10" x14ac:dyDescent="0.25">
      <c r="A47" s="27" t="s">
        <v>56</v>
      </c>
      <c r="B47" s="27">
        <v>2818</v>
      </c>
      <c r="C47" s="27">
        <v>55</v>
      </c>
      <c r="D47" s="27">
        <v>47</v>
      </c>
      <c r="E47" s="27">
        <v>22</v>
      </c>
      <c r="F47" s="27">
        <v>190</v>
      </c>
      <c r="G47" s="27">
        <v>232</v>
      </c>
      <c r="H47" s="27">
        <v>62</v>
      </c>
      <c r="I47" s="27">
        <v>199</v>
      </c>
      <c r="J47" s="27">
        <v>234</v>
      </c>
    </row>
    <row r="48" spans="1:10" x14ac:dyDescent="0.25">
      <c r="A48" s="27" t="s">
        <v>208</v>
      </c>
      <c r="B48" s="27">
        <v>8275</v>
      </c>
      <c r="C48" s="27">
        <v>33</v>
      </c>
      <c r="D48" s="27">
        <v>109</v>
      </c>
      <c r="E48" s="27">
        <v>238</v>
      </c>
      <c r="F48" s="27">
        <v>424</v>
      </c>
      <c r="G48" s="27">
        <v>429</v>
      </c>
      <c r="H48" s="27">
        <v>72</v>
      </c>
      <c r="I48" s="27">
        <v>672</v>
      </c>
      <c r="J48" s="27">
        <v>500</v>
      </c>
    </row>
    <row r="49" spans="1:10" x14ac:dyDescent="0.25">
      <c r="A49" s="27" t="s">
        <v>209</v>
      </c>
      <c r="B49" s="27">
        <v>18752</v>
      </c>
      <c r="C49" s="27">
        <v>216</v>
      </c>
      <c r="D49" s="27">
        <v>128</v>
      </c>
      <c r="E49" s="27">
        <v>106</v>
      </c>
      <c r="F49" s="27">
        <v>1221</v>
      </c>
      <c r="G49" s="27">
        <v>352</v>
      </c>
      <c r="H49" s="27">
        <v>76</v>
      </c>
      <c r="I49" s="27">
        <v>1404</v>
      </c>
      <c r="J49" s="27">
        <v>1552</v>
      </c>
    </row>
    <row r="50" spans="1:10" x14ac:dyDescent="0.25">
      <c r="A50" s="27" t="s">
        <v>210</v>
      </c>
      <c r="B50" s="27">
        <v>490</v>
      </c>
      <c r="C50" s="27">
        <v>16</v>
      </c>
      <c r="D50" s="27">
        <v>2</v>
      </c>
      <c r="F50" s="27">
        <v>33</v>
      </c>
      <c r="G50" s="27">
        <v>27</v>
      </c>
      <c r="H50" s="27">
        <v>1</v>
      </c>
      <c r="I50" s="27">
        <v>27</v>
      </c>
      <c r="J50" s="27">
        <v>45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/>
  </sheetViews>
  <sheetFormatPr defaultColWidth="8.85546875" defaultRowHeight="15" x14ac:dyDescent="0.25"/>
  <cols>
    <col min="1" max="1" width="17.28515625" style="41" customWidth="1"/>
    <col min="2" max="2" width="17.7109375" style="41" bestFit="1" customWidth="1"/>
    <col min="3" max="5" width="17.28515625" style="41" customWidth="1"/>
    <col min="6" max="6" width="17" style="41" customWidth="1"/>
    <col min="7" max="7" width="16.7109375" style="41" customWidth="1"/>
    <col min="8" max="9" width="8.85546875" style="41"/>
    <col min="10" max="10" width="4.85546875" style="41" customWidth="1"/>
    <col min="11" max="11" width="8.85546875" style="41"/>
    <col min="12" max="12" width="16.85546875" style="41" bestFit="1" customWidth="1"/>
    <col min="13" max="16384" width="8.85546875" style="41"/>
  </cols>
  <sheetData>
    <row r="1" spans="1:12" x14ac:dyDescent="0.25">
      <c r="A1" s="41" t="s">
        <v>2</v>
      </c>
      <c r="B1" s="41" t="s">
        <v>365</v>
      </c>
      <c r="C1" s="41" t="s">
        <v>1956</v>
      </c>
      <c r="D1" s="41" t="s">
        <v>372</v>
      </c>
      <c r="E1" s="41" t="s">
        <v>357</v>
      </c>
      <c r="F1" s="41" t="s">
        <v>358</v>
      </c>
      <c r="G1" s="41" t="s">
        <v>373</v>
      </c>
      <c r="H1" s="41" t="s">
        <v>390</v>
      </c>
      <c r="I1" s="41" t="s">
        <v>391</v>
      </c>
      <c r="J1" s="41" t="s">
        <v>392</v>
      </c>
      <c r="K1" s="41" t="s">
        <v>394</v>
      </c>
      <c r="L1" s="41" t="s">
        <v>395</v>
      </c>
    </row>
    <row r="2" spans="1:12" x14ac:dyDescent="0.25">
      <c r="A2" s="41" t="s">
        <v>183</v>
      </c>
      <c r="B2" s="41">
        <v>1905</v>
      </c>
      <c r="C2" s="41">
        <v>97845</v>
      </c>
      <c r="D2" s="41">
        <v>6658</v>
      </c>
      <c r="E2" s="41">
        <v>139</v>
      </c>
      <c r="F2" s="41">
        <v>30.4</v>
      </c>
      <c r="G2" s="41">
        <v>2020348</v>
      </c>
      <c r="H2" s="86" t="s">
        <v>396</v>
      </c>
      <c r="I2" s="86" t="s">
        <v>397</v>
      </c>
      <c r="J2" s="86" t="s">
        <v>378</v>
      </c>
      <c r="K2" s="86" t="s">
        <v>379</v>
      </c>
      <c r="L2" s="86" t="s">
        <v>380</v>
      </c>
    </row>
    <row r="3" spans="1:12" x14ac:dyDescent="0.25">
      <c r="A3" s="41" t="s">
        <v>191</v>
      </c>
      <c r="B3" s="41">
        <v>1905</v>
      </c>
      <c r="C3" s="41">
        <v>49876</v>
      </c>
      <c r="D3" s="41">
        <v>2416</v>
      </c>
      <c r="E3" s="41">
        <v>152.44999999999999</v>
      </c>
      <c r="F3" s="41">
        <v>35.76</v>
      </c>
      <c r="G3" s="41">
        <v>1557061</v>
      </c>
      <c r="H3" s="86" t="s">
        <v>396</v>
      </c>
      <c r="I3" s="86" t="s">
        <v>397</v>
      </c>
      <c r="J3" s="86" t="s">
        <v>378</v>
      </c>
      <c r="K3" s="86" t="s">
        <v>379</v>
      </c>
      <c r="L3" s="86" t="s">
        <v>380</v>
      </c>
    </row>
    <row r="4" spans="1:12" x14ac:dyDescent="0.25">
      <c r="A4" s="41" t="s">
        <v>206</v>
      </c>
      <c r="B4" s="41">
        <v>1905</v>
      </c>
      <c r="C4" s="41">
        <v>48352</v>
      </c>
      <c r="D4" s="41">
        <v>3417</v>
      </c>
      <c r="E4" s="41">
        <v>157</v>
      </c>
      <c r="F4" s="41">
        <v>32.11</v>
      </c>
      <c r="G4" s="41">
        <v>1324507</v>
      </c>
      <c r="H4" s="86" t="s">
        <v>396</v>
      </c>
      <c r="I4" s="86" t="s">
        <v>397</v>
      </c>
      <c r="J4" s="86" t="s">
        <v>378</v>
      </c>
      <c r="K4" s="86" t="s">
        <v>379</v>
      </c>
      <c r="L4" s="86" t="s">
        <v>380</v>
      </c>
    </row>
    <row r="5" spans="1:12" x14ac:dyDescent="0.25">
      <c r="A5" s="41" t="s">
        <v>185</v>
      </c>
      <c r="B5" s="41">
        <v>1905</v>
      </c>
      <c r="C5" s="41">
        <v>404117</v>
      </c>
      <c r="D5" s="41">
        <v>13849</v>
      </c>
      <c r="E5" s="41">
        <v>187</v>
      </c>
      <c r="F5" s="41">
        <v>65.12</v>
      </c>
      <c r="G5" s="41">
        <v>18131529</v>
      </c>
      <c r="H5" s="86" t="s">
        <v>396</v>
      </c>
      <c r="I5" s="86" t="s">
        <v>397</v>
      </c>
      <c r="J5" s="86" t="s">
        <v>378</v>
      </c>
      <c r="K5" s="86" t="s">
        <v>379</v>
      </c>
      <c r="L5" s="86" t="s">
        <v>380</v>
      </c>
    </row>
    <row r="6" spans="1:12" x14ac:dyDescent="0.25">
      <c r="A6" s="41" t="s">
        <v>200</v>
      </c>
      <c r="B6" s="41">
        <v>1905</v>
      </c>
      <c r="C6" s="41">
        <v>53830</v>
      </c>
      <c r="D6" s="41">
        <v>2047</v>
      </c>
      <c r="E6" s="41">
        <v>194</v>
      </c>
      <c r="F6" s="41">
        <v>59.25</v>
      </c>
      <c r="G6" s="41">
        <v>1987750</v>
      </c>
      <c r="H6" s="86" t="s">
        <v>396</v>
      </c>
      <c r="I6" s="86" t="s">
        <v>397</v>
      </c>
      <c r="J6" s="86" t="s">
        <v>378</v>
      </c>
      <c r="K6" s="86" t="s">
        <v>379</v>
      </c>
      <c r="L6" s="86" t="s">
        <v>380</v>
      </c>
    </row>
    <row r="7" spans="1:12" x14ac:dyDescent="0.25">
      <c r="A7" s="41" t="s">
        <v>215</v>
      </c>
      <c r="B7" s="41">
        <v>1905</v>
      </c>
      <c r="C7" s="41">
        <v>129143</v>
      </c>
      <c r="D7" s="41">
        <v>4619</v>
      </c>
      <c r="E7" s="41">
        <v>187.78</v>
      </c>
      <c r="F7" s="41">
        <v>52.09</v>
      </c>
      <c r="G7" s="41">
        <v>3779732</v>
      </c>
      <c r="H7" s="86" t="s">
        <v>396</v>
      </c>
      <c r="I7" s="86" t="s">
        <v>397</v>
      </c>
      <c r="J7" s="86" t="s">
        <v>378</v>
      </c>
      <c r="K7" s="86" t="s">
        <v>379</v>
      </c>
      <c r="L7" s="86" t="s">
        <v>380</v>
      </c>
    </row>
    <row r="8" spans="1:12" x14ac:dyDescent="0.25">
      <c r="A8" s="41" t="s">
        <v>194</v>
      </c>
      <c r="B8" s="41">
        <v>1905</v>
      </c>
      <c r="C8" s="41">
        <v>996433</v>
      </c>
      <c r="D8" s="41">
        <v>39081</v>
      </c>
      <c r="E8" s="41">
        <v>187.8</v>
      </c>
      <c r="F8" s="41">
        <v>83.56</v>
      </c>
      <c r="G8" s="41">
        <v>47227428</v>
      </c>
      <c r="H8" s="86" t="s">
        <v>396</v>
      </c>
      <c r="I8" s="86" t="s">
        <v>397</v>
      </c>
      <c r="J8" s="86" t="s">
        <v>378</v>
      </c>
      <c r="K8" s="86" t="s">
        <v>379</v>
      </c>
      <c r="L8" s="86" t="s">
        <v>380</v>
      </c>
    </row>
    <row r="9" spans="1:12" x14ac:dyDescent="0.25">
      <c r="A9" s="41" t="s">
        <v>192</v>
      </c>
      <c r="B9" s="41">
        <v>1905</v>
      </c>
      <c r="C9" s="41">
        <v>254045</v>
      </c>
      <c r="D9" s="41">
        <v>9157</v>
      </c>
      <c r="E9" s="41">
        <v>188</v>
      </c>
      <c r="F9" s="41">
        <v>61.9</v>
      </c>
      <c r="G9" s="41">
        <v>9598446</v>
      </c>
      <c r="H9" s="86" t="s">
        <v>396</v>
      </c>
      <c r="I9" s="86" t="s">
        <v>397</v>
      </c>
      <c r="J9" s="86" t="s">
        <v>378</v>
      </c>
      <c r="K9" s="86" t="s">
        <v>379</v>
      </c>
      <c r="L9" s="86" t="s">
        <v>380</v>
      </c>
    </row>
    <row r="10" spans="1:12" x14ac:dyDescent="0.25">
      <c r="A10" s="41" t="s">
        <v>199</v>
      </c>
      <c r="B10" s="41">
        <v>1905</v>
      </c>
      <c r="C10" s="41">
        <v>930110</v>
      </c>
      <c r="D10" s="41">
        <v>32352</v>
      </c>
      <c r="E10" s="41">
        <v>167.4</v>
      </c>
      <c r="F10" s="41">
        <v>42.22</v>
      </c>
      <c r="G10" s="41">
        <v>28465457</v>
      </c>
      <c r="H10" s="86" t="s">
        <v>396</v>
      </c>
      <c r="I10" s="86" t="s">
        <v>397</v>
      </c>
      <c r="J10" s="86" t="s">
        <v>378</v>
      </c>
      <c r="K10" s="86" t="s">
        <v>379</v>
      </c>
      <c r="L10" s="86" t="s">
        <v>380</v>
      </c>
    </row>
    <row r="11" spans="1:12" x14ac:dyDescent="0.25">
      <c r="A11" s="41" t="s">
        <v>174</v>
      </c>
      <c r="B11" s="41">
        <v>1905</v>
      </c>
      <c r="C11" s="41">
        <v>25300</v>
      </c>
      <c r="D11" s="41">
        <v>897</v>
      </c>
      <c r="E11" s="41">
        <v>170.1</v>
      </c>
      <c r="F11" s="41">
        <v>40.22</v>
      </c>
      <c r="G11" s="41">
        <v>539957</v>
      </c>
      <c r="H11" s="86" t="s">
        <v>396</v>
      </c>
      <c r="I11" s="86" t="s">
        <v>397</v>
      </c>
      <c r="J11" s="86" t="s">
        <v>378</v>
      </c>
      <c r="K11" s="86" t="s">
        <v>379</v>
      </c>
      <c r="L11" s="86" t="s">
        <v>380</v>
      </c>
    </row>
    <row r="12" spans="1:12" x14ac:dyDescent="0.25">
      <c r="A12" s="41" t="s">
        <v>184</v>
      </c>
      <c r="B12" s="41">
        <v>1905</v>
      </c>
      <c r="C12" s="41">
        <v>138911</v>
      </c>
      <c r="D12" s="41">
        <v>5150</v>
      </c>
      <c r="E12" s="41">
        <v>192</v>
      </c>
      <c r="F12" s="41">
        <v>46.86</v>
      </c>
      <c r="G12" s="41">
        <v>2961373</v>
      </c>
      <c r="H12" s="86" t="s">
        <v>396</v>
      </c>
      <c r="I12" s="86" t="s">
        <v>397</v>
      </c>
      <c r="J12" s="86" t="s">
        <v>378</v>
      </c>
      <c r="K12" s="86" t="s">
        <v>379</v>
      </c>
      <c r="L12" s="86" t="s">
        <v>380</v>
      </c>
    </row>
    <row r="13" spans="1:12" x14ac:dyDescent="0.25">
      <c r="A13" s="41" t="s">
        <v>175</v>
      </c>
      <c r="B13" s="41">
        <v>1905</v>
      </c>
      <c r="C13" s="41">
        <v>40596</v>
      </c>
      <c r="D13" s="41">
        <v>1478</v>
      </c>
      <c r="E13" s="41">
        <v>181</v>
      </c>
      <c r="F13" s="41">
        <v>64.38</v>
      </c>
      <c r="G13" s="41">
        <v>1676259</v>
      </c>
      <c r="H13" s="86" t="s">
        <v>396</v>
      </c>
      <c r="I13" s="86" t="s">
        <v>397</v>
      </c>
      <c r="J13" s="86" t="s">
        <v>378</v>
      </c>
      <c r="K13" s="86" t="s">
        <v>379</v>
      </c>
      <c r="L13" s="86" t="s">
        <v>380</v>
      </c>
    </row>
    <row r="14" spans="1:12" x14ac:dyDescent="0.25">
      <c r="A14" s="41" t="s">
        <v>207</v>
      </c>
      <c r="B14" s="41">
        <v>1905</v>
      </c>
      <c r="C14" s="41">
        <v>215205</v>
      </c>
      <c r="D14" s="41">
        <v>9072</v>
      </c>
      <c r="E14" s="41">
        <v>128</v>
      </c>
      <c r="F14" s="41">
        <v>29.13</v>
      </c>
      <c r="G14" s="41">
        <v>2377624</v>
      </c>
      <c r="H14" s="86" t="s">
        <v>396</v>
      </c>
      <c r="I14" s="86" t="s">
        <v>397</v>
      </c>
      <c r="J14" s="86" t="s">
        <v>378</v>
      </c>
      <c r="K14" s="86" t="s">
        <v>379</v>
      </c>
      <c r="L14" s="86" t="s">
        <v>380</v>
      </c>
    </row>
    <row r="15" spans="1:12" x14ac:dyDescent="0.25">
      <c r="A15" s="41" t="s">
        <v>208</v>
      </c>
      <c r="B15" s="41">
        <v>1905</v>
      </c>
      <c r="C15" s="41">
        <v>163068</v>
      </c>
      <c r="D15" s="41">
        <v>7636</v>
      </c>
      <c r="E15" s="41">
        <v>123</v>
      </c>
      <c r="F15" s="41">
        <v>34.58</v>
      </c>
      <c r="G15" s="41">
        <v>2766817</v>
      </c>
      <c r="H15" s="86" t="s">
        <v>396</v>
      </c>
      <c r="I15" s="86" t="s">
        <v>397</v>
      </c>
      <c r="J15" s="86" t="s">
        <v>378</v>
      </c>
      <c r="K15" s="86" t="s">
        <v>379</v>
      </c>
      <c r="L15" s="86" t="s">
        <v>380</v>
      </c>
    </row>
    <row r="16" spans="1:12" x14ac:dyDescent="0.25">
      <c r="A16" s="41" t="s">
        <v>195</v>
      </c>
      <c r="B16" s="41">
        <v>1905</v>
      </c>
      <c r="C16" s="41">
        <v>280288</v>
      </c>
      <c r="D16" s="41">
        <v>9687</v>
      </c>
      <c r="E16" s="41">
        <v>94.5</v>
      </c>
      <c r="F16" s="41">
        <v>30.96</v>
      </c>
      <c r="G16" s="41">
        <v>1935982</v>
      </c>
      <c r="H16" s="86" t="s">
        <v>396</v>
      </c>
      <c r="I16" s="86" t="s">
        <v>397</v>
      </c>
      <c r="J16" s="86" t="s">
        <v>378</v>
      </c>
      <c r="K16" s="86" t="s">
        <v>379</v>
      </c>
      <c r="L16" s="86" t="s">
        <v>380</v>
      </c>
    </row>
    <row r="17" spans="1:12" x14ac:dyDescent="0.25">
      <c r="A17" s="41" t="s">
        <v>201</v>
      </c>
      <c r="B17" s="41">
        <v>1905</v>
      </c>
      <c r="C17" s="41">
        <v>200435</v>
      </c>
      <c r="D17" s="41">
        <v>6059</v>
      </c>
      <c r="E17" s="41">
        <v>105.7</v>
      </c>
      <c r="F17" s="41">
        <v>30.06</v>
      </c>
      <c r="G17" s="41">
        <v>1304630</v>
      </c>
      <c r="H17" s="86" t="s">
        <v>396</v>
      </c>
      <c r="I17" s="86" t="s">
        <v>397</v>
      </c>
      <c r="J17" s="86" t="s">
        <v>378</v>
      </c>
      <c r="K17" s="86" t="s">
        <v>379</v>
      </c>
      <c r="L17" s="86" t="s">
        <v>380</v>
      </c>
    </row>
    <row r="18" spans="1:12" x14ac:dyDescent="0.25">
      <c r="A18" s="41" t="s">
        <v>89</v>
      </c>
      <c r="B18" s="41">
        <v>1905</v>
      </c>
      <c r="C18" s="41">
        <v>311489</v>
      </c>
      <c r="D18" s="41">
        <v>10360</v>
      </c>
      <c r="E18" s="41">
        <v>118</v>
      </c>
      <c r="F18" s="41">
        <v>33.83</v>
      </c>
      <c r="G18" s="41">
        <v>2327603</v>
      </c>
      <c r="H18" s="86" t="s">
        <v>396</v>
      </c>
      <c r="I18" s="86" t="s">
        <v>397</v>
      </c>
      <c r="J18" s="86" t="s">
        <v>378</v>
      </c>
      <c r="K18" s="86" t="s">
        <v>379</v>
      </c>
      <c r="L18" s="86" t="s">
        <v>380</v>
      </c>
    </row>
    <row r="19" spans="1:12" x14ac:dyDescent="0.25">
      <c r="A19" s="41" t="s">
        <v>176</v>
      </c>
      <c r="B19" s="41">
        <v>1905</v>
      </c>
      <c r="C19" s="41">
        <v>83631</v>
      </c>
      <c r="D19" s="41">
        <v>2925</v>
      </c>
      <c r="E19" s="41">
        <v>108</v>
      </c>
      <c r="F19" s="41">
        <v>38.49</v>
      </c>
      <c r="G19" s="41">
        <v>945047</v>
      </c>
      <c r="H19" s="86" t="s">
        <v>396</v>
      </c>
      <c r="I19" s="86" t="s">
        <v>397</v>
      </c>
      <c r="J19" s="86" t="s">
        <v>378</v>
      </c>
      <c r="K19" s="86" t="s">
        <v>379</v>
      </c>
      <c r="L19" s="86" t="s">
        <v>380</v>
      </c>
    </row>
    <row r="20" spans="1:12" x14ac:dyDescent="0.25">
      <c r="A20" s="41" t="s">
        <v>120</v>
      </c>
      <c r="B20" s="41">
        <v>1905</v>
      </c>
      <c r="C20" s="41">
        <v>309836</v>
      </c>
      <c r="D20" s="41">
        <v>10449</v>
      </c>
      <c r="E20" s="41">
        <v>90</v>
      </c>
      <c r="F20" s="41">
        <v>44.24</v>
      </c>
      <c r="G20" s="41">
        <v>2662863</v>
      </c>
      <c r="H20" s="86" t="s">
        <v>396</v>
      </c>
      <c r="I20" s="86" t="s">
        <v>397</v>
      </c>
      <c r="J20" s="86" t="s">
        <v>378</v>
      </c>
      <c r="K20" s="86" t="s">
        <v>379</v>
      </c>
      <c r="L20" s="86" t="s">
        <v>380</v>
      </c>
    </row>
    <row r="21" spans="1:12" x14ac:dyDescent="0.25">
      <c r="A21" s="41" t="s">
        <v>203</v>
      </c>
      <c r="B21" s="41">
        <v>1905</v>
      </c>
      <c r="C21" s="41">
        <v>348688</v>
      </c>
      <c r="D21" s="41">
        <v>9784</v>
      </c>
      <c r="E21" s="41">
        <v>113</v>
      </c>
      <c r="F21" s="41">
        <v>36.18</v>
      </c>
      <c r="G21" s="41">
        <v>2933289</v>
      </c>
      <c r="H21" s="86" t="s">
        <v>396</v>
      </c>
      <c r="I21" s="86" t="s">
        <v>397</v>
      </c>
      <c r="J21" s="86" t="s">
        <v>378</v>
      </c>
      <c r="K21" s="86" t="s">
        <v>379</v>
      </c>
      <c r="L21" s="86" t="s">
        <v>380</v>
      </c>
    </row>
    <row r="22" spans="1:12" x14ac:dyDescent="0.25">
      <c r="A22" s="41" t="s">
        <v>5</v>
      </c>
      <c r="B22" s="41">
        <v>1905</v>
      </c>
      <c r="C22" s="41">
        <v>210000</v>
      </c>
      <c r="D22" s="41">
        <v>5400</v>
      </c>
      <c r="E22" s="41">
        <v>102.5</v>
      </c>
      <c r="F22" s="41">
        <v>28.2</v>
      </c>
      <c r="G22" s="41">
        <v>1475000</v>
      </c>
      <c r="H22" s="86" t="s">
        <v>396</v>
      </c>
      <c r="I22" s="86" t="s">
        <v>397</v>
      </c>
      <c r="J22" s="86" t="s">
        <v>378</v>
      </c>
      <c r="K22" s="86" t="s">
        <v>379</v>
      </c>
      <c r="L22" s="86" t="s">
        <v>380</v>
      </c>
    </row>
    <row r="23" spans="1:12" x14ac:dyDescent="0.25">
      <c r="A23" s="41" t="s">
        <v>73</v>
      </c>
      <c r="B23" s="41">
        <v>1905</v>
      </c>
      <c r="C23" s="41">
        <v>233175</v>
      </c>
      <c r="D23" s="41">
        <v>8922</v>
      </c>
      <c r="E23" s="41">
        <v>123</v>
      </c>
      <c r="F23" s="41">
        <v>30.84</v>
      </c>
      <c r="G23" s="41">
        <v>1868544</v>
      </c>
      <c r="H23" s="86" t="s">
        <v>396</v>
      </c>
      <c r="I23" s="86" t="s">
        <v>397</v>
      </c>
      <c r="J23" s="86" t="s">
        <v>378</v>
      </c>
      <c r="K23" s="86" t="s">
        <v>379</v>
      </c>
      <c r="L23" s="86" t="s">
        <v>380</v>
      </c>
    </row>
    <row r="24" spans="1:12" x14ac:dyDescent="0.25">
      <c r="A24" s="41" t="s">
        <v>152</v>
      </c>
      <c r="B24" s="41">
        <v>1905</v>
      </c>
      <c r="C24" s="41">
        <v>146234</v>
      </c>
      <c r="D24" s="41">
        <v>4680</v>
      </c>
      <c r="E24" s="41">
        <v>130</v>
      </c>
      <c r="F24" s="41">
        <v>39.97</v>
      </c>
      <c r="G24" s="41">
        <v>2169001</v>
      </c>
      <c r="H24" s="86" t="s">
        <v>396</v>
      </c>
      <c r="I24" s="86" t="s">
        <v>397</v>
      </c>
      <c r="J24" s="86" t="s">
        <v>378</v>
      </c>
      <c r="K24" s="86" t="s">
        <v>379</v>
      </c>
      <c r="L24" s="86" t="s">
        <v>380</v>
      </c>
    </row>
    <row r="25" spans="1:12" x14ac:dyDescent="0.25">
      <c r="A25" s="41" t="s">
        <v>204</v>
      </c>
      <c r="B25" s="41">
        <v>1905</v>
      </c>
      <c r="C25" s="41">
        <v>501734</v>
      </c>
      <c r="D25" s="41">
        <v>17116</v>
      </c>
      <c r="E25" s="41">
        <v>112</v>
      </c>
      <c r="F25" s="41">
        <v>52.71</v>
      </c>
      <c r="G25" s="41">
        <v>6400492</v>
      </c>
      <c r="H25" s="86" t="s">
        <v>396</v>
      </c>
      <c r="I25" s="86" t="s">
        <v>397</v>
      </c>
      <c r="J25" s="86" t="s">
        <v>378</v>
      </c>
      <c r="K25" s="86" t="s">
        <v>379</v>
      </c>
      <c r="L25" s="86" t="s">
        <v>380</v>
      </c>
    </row>
    <row r="26" spans="1:12" x14ac:dyDescent="0.25">
      <c r="A26" s="41" t="s">
        <v>61</v>
      </c>
      <c r="B26" s="41">
        <v>1905</v>
      </c>
      <c r="C26" s="41">
        <v>207440</v>
      </c>
      <c r="D26" s="41">
        <v>7826</v>
      </c>
      <c r="E26" s="41">
        <v>88</v>
      </c>
      <c r="F26" s="41">
        <v>40.1</v>
      </c>
      <c r="G26" s="41">
        <v>1955428</v>
      </c>
      <c r="H26" s="86" t="s">
        <v>396</v>
      </c>
      <c r="I26" s="86" t="s">
        <v>397</v>
      </c>
      <c r="J26" s="86" t="s">
        <v>378</v>
      </c>
      <c r="K26" s="86" t="s">
        <v>379</v>
      </c>
      <c r="L26" s="86" t="s">
        <v>380</v>
      </c>
    </row>
    <row r="27" spans="1:12" x14ac:dyDescent="0.25">
      <c r="A27" s="41" t="s">
        <v>197</v>
      </c>
      <c r="B27" s="41">
        <v>1905</v>
      </c>
      <c r="C27" s="41">
        <v>90238</v>
      </c>
      <c r="D27" s="41">
        <v>3687</v>
      </c>
      <c r="E27" s="41">
        <v>104</v>
      </c>
      <c r="F27" s="41">
        <v>37.380000000000003</v>
      </c>
      <c r="G27" s="41">
        <v>1488111</v>
      </c>
      <c r="H27" s="86" t="s">
        <v>396</v>
      </c>
      <c r="I27" s="86" t="s">
        <v>397</v>
      </c>
      <c r="J27" s="86" t="s">
        <v>378</v>
      </c>
      <c r="K27" s="86" t="s">
        <v>379</v>
      </c>
      <c r="L27" s="86" t="s">
        <v>380</v>
      </c>
    </row>
    <row r="28" spans="1:12" x14ac:dyDescent="0.25">
      <c r="A28" s="41" t="s">
        <v>144</v>
      </c>
      <c r="B28" s="41">
        <v>1905</v>
      </c>
      <c r="C28" s="41">
        <v>623707</v>
      </c>
      <c r="D28" s="41">
        <v>26469</v>
      </c>
      <c r="E28" s="41">
        <v>160</v>
      </c>
      <c r="F28" s="41">
        <v>41.79</v>
      </c>
      <c r="G28" s="41">
        <v>17595091</v>
      </c>
      <c r="H28" s="86" t="s">
        <v>396</v>
      </c>
      <c r="I28" s="86" t="s">
        <v>397</v>
      </c>
      <c r="J28" s="86" t="s">
        <v>378</v>
      </c>
      <c r="K28" s="86" t="s">
        <v>379</v>
      </c>
      <c r="L28" s="86" t="s">
        <v>380</v>
      </c>
    </row>
    <row r="29" spans="1:12" x14ac:dyDescent="0.25">
      <c r="A29" s="41" t="s">
        <v>179</v>
      </c>
      <c r="B29" s="41">
        <v>1905</v>
      </c>
      <c r="C29" s="41">
        <v>415622</v>
      </c>
      <c r="D29" s="41">
        <v>16495</v>
      </c>
      <c r="E29" s="41">
        <v>160</v>
      </c>
      <c r="F29" s="41">
        <v>54.4</v>
      </c>
      <c r="G29" s="41">
        <v>11501001</v>
      </c>
      <c r="H29" s="86" t="s">
        <v>396</v>
      </c>
      <c r="I29" s="86" t="s">
        <v>397</v>
      </c>
      <c r="J29" s="86" t="s">
        <v>378</v>
      </c>
      <c r="K29" s="86" t="s">
        <v>379</v>
      </c>
      <c r="L29" s="86" t="s">
        <v>380</v>
      </c>
    </row>
    <row r="30" spans="1:12" x14ac:dyDescent="0.25">
      <c r="A30" s="41" t="s">
        <v>178</v>
      </c>
      <c r="B30" s="41">
        <v>1905</v>
      </c>
      <c r="C30" s="41">
        <v>811919</v>
      </c>
      <c r="D30" s="41">
        <v>27860</v>
      </c>
      <c r="E30" s="41">
        <v>169</v>
      </c>
      <c r="F30" s="41">
        <v>60.26</v>
      </c>
      <c r="G30" s="41">
        <v>22823191</v>
      </c>
      <c r="H30" s="86" t="s">
        <v>396</v>
      </c>
      <c r="I30" s="86" t="s">
        <v>397</v>
      </c>
      <c r="J30" s="86" t="s">
        <v>378</v>
      </c>
      <c r="K30" s="86" t="s">
        <v>379</v>
      </c>
      <c r="L30" s="86" t="s">
        <v>380</v>
      </c>
    </row>
    <row r="31" spans="1:12" x14ac:dyDescent="0.25">
      <c r="A31" s="41" t="s">
        <v>186</v>
      </c>
      <c r="B31" s="41">
        <v>1905</v>
      </c>
      <c r="C31" s="41">
        <v>407977</v>
      </c>
      <c r="D31" s="41">
        <v>16823</v>
      </c>
      <c r="E31" s="41">
        <v>168</v>
      </c>
      <c r="F31" s="41">
        <v>44.86</v>
      </c>
      <c r="G31" s="41">
        <v>9630696</v>
      </c>
      <c r="H31" s="86" t="s">
        <v>396</v>
      </c>
      <c r="I31" s="86" t="s">
        <v>397</v>
      </c>
      <c r="J31" s="86" t="s">
        <v>378</v>
      </c>
      <c r="K31" s="86" t="s">
        <v>379</v>
      </c>
      <c r="L31" s="86" t="s">
        <v>380</v>
      </c>
    </row>
    <row r="32" spans="1:12" x14ac:dyDescent="0.25">
      <c r="A32" s="41" t="s">
        <v>209</v>
      </c>
      <c r="B32" s="41">
        <v>1905</v>
      </c>
      <c r="C32" s="41">
        <v>290743</v>
      </c>
      <c r="D32" s="41">
        <v>14004</v>
      </c>
      <c r="E32" s="41">
        <v>169</v>
      </c>
      <c r="F32" s="41">
        <v>38.14</v>
      </c>
      <c r="G32" s="41">
        <v>8240352</v>
      </c>
      <c r="H32" s="86" t="s">
        <v>396</v>
      </c>
      <c r="I32" s="86" t="s">
        <v>397</v>
      </c>
      <c r="J32" s="86" t="s">
        <v>378</v>
      </c>
      <c r="K32" s="86" t="s">
        <v>379</v>
      </c>
      <c r="L32" s="86" t="s">
        <v>380</v>
      </c>
    </row>
    <row r="33" spans="1:12" x14ac:dyDescent="0.25">
      <c r="A33" s="41" t="s">
        <v>187</v>
      </c>
      <c r="B33" s="41">
        <v>1905</v>
      </c>
      <c r="C33" s="41">
        <v>280508</v>
      </c>
      <c r="D33" s="41">
        <v>13320</v>
      </c>
      <c r="E33" s="41">
        <v>161.1</v>
      </c>
      <c r="F33" s="41">
        <v>43.63</v>
      </c>
      <c r="G33" s="41">
        <v>8469902</v>
      </c>
      <c r="H33" s="86" t="s">
        <v>396</v>
      </c>
      <c r="I33" s="86" t="s">
        <v>397</v>
      </c>
      <c r="J33" s="86" t="s">
        <v>378</v>
      </c>
      <c r="K33" s="86" t="s">
        <v>379</v>
      </c>
      <c r="L33" s="86" t="s">
        <v>380</v>
      </c>
    </row>
    <row r="34" spans="1:12" x14ac:dyDescent="0.25">
      <c r="A34" s="41" t="s">
        <v>181</v>
      </c>
      <c r="B34" s="41">
        <v>1905</v>
      </c>
      <c r="C34" s="41">
        <v>375563</v>
      </c>
      <c r="D34" s="41">
        <v>29619</v>
      </c>
      <c r="E34" s="41">
        <v>160</v>
      </c>
      <c r="F34" s="41">
        <v>37.58</v>
      </c>
      <c r="G34" s="41">
        <v>10316292</v>
      </c>
      <c r="H34" s="86" t="s">
        <v>396</v>
      </c>
      <c r="I34" s="86" t="s">
        <v>397</v>
      </c>
      <c r="J34" s="86" t="s">
        <v>378</v>
      </c>
      <c r="K34" s="86" t="s">
        <v>379</v>
      </c>
      <c r="L34" s="86" t="s">
        <v>380</v>
      </c>
    </row>
    <row r="35" spans="1:12" x14ac:dyDescent="0.25">
      <c r="A35" s="41" t="s">
        <v>188</v>
      </c>
      <c r="B35" s="41">
        <v>1905</v>
      </c>
      <c r="C35" s="41">
        <v>470666</v>
      </c>
      <c r="D35" s="41">
        <v>17385</v>
      </c>
      <c r="E35" s="41">
        <v>152</v>
      </c>
      <c r="F35" s="41">
        <v>46.61</v>
      </c>
      <c r="G35" s="41">
        <v>10101923</v>
      </c>
      <c r="H35" s="86" t="s">
        <v>396</v>
      </c>
      <c r="I35" s="86" t="s">
        <v>397</v>
      </c>
      <c r="J35" s="86" t="s">
        <v>378</v>
      </c>
      <c r="K35" s="86" t="s">
        <v>379</v>
      </c>
      <c r="L35" s="86" t="s">
        <v>380</v>
      </c>
    </row>
    <row r="36" spans="1:12" x14ac:dyDescent="0.25">
      <c r="A36" s="41" t="s">
        <v>196</v>
      </c>
      <c r="B36" s="41">
        <v>1905</v>
      </c>
      <c r="C36" s="41">
        <v>67883</v>
      </c>
      <c r="D36" s="41">
        <v>5714</v>
      </c>
      <c r="E36" s="41">
        <v>141</v>
      </c>
      <c r="F36" s="41">
        <v>43.73</v>
      </c>
      <c r="G36" s="41">
        <v>2529914</v>
      </c>
      <c r="H36" s="86" t="s">
        <v>396</v>
      </c>
      <c r="I36" s="86" t="s">
        <v>397</v>
      </c>
      <c r="J36" s="86" t="s">
        <v>378</v>
      </c>
      <c r="K36" s="86" t="s">
        <v>379</v>
      </c>
      <c r="L36" s="86" t="s">
        <v>380</v>
      </c>
    </row>
    <row r="37" spans="1:12" x14ac:dyDescent="0.25">
      <c r="A37" s="41" t="s">
        <v>202</v>
      </c>
      <c r="B37" s="41">
        <v>1905</v>
      </c>
      <c r="C37" s="41">
        <v>75289</v>
      </c>
      <c r="D37" s="41">
        <v>5150</v>
      </c>
      <c r="E37" s="41">
        <v>140</v>
      </c>
      <c r="F37" s="41">
        <v>37.520000000000003</v>
      </c>
      <c r="G37" s="41">
        <v>2379775</v>
      </c>
      <c r="H37" s="86" t="s">
        <v>396</v>
      </c>
      <c r="I37" s="86" t="s">
        <v>397</v>
      </c>
      <c r="J37" s="86" t="s">
        <v>378</v>
      </c>
      <c r="K37" s="86" t="s">
        <v>379</v>
      </c>
      <c r="L37" s="86" t="s">
        <v>380</v>
      </c>
    </row>
    <row r="38" spans="1:12" x14ac:dyDescent="0.25">
      <c r="A38" s="41" t="s">
        <v>190</v>
      </c>
      <c r="B38" s="41">
        <v>1905</v>
      </c>
      <c r="C38" s="41">
        <v>185172</v>
      </c>
      <c r="D38" s="41">
        <v>9680</v>
      </c>
      <c r="E38" s="41">
        <v>170.2</v>
      </c>
      <c r="F38" s="41">
        <v>44.07</v>
      </c>
      <c r="G38" s="41">
        <v>5304292</v>
      </c>
      <c r="H38" s="86" t="s">
        <v>396</v>
      </c>
      <c r="I38" s="86" t="s">
        <v>397</v>
      </c>
      <c r="J38" s="86" t="s">
        <v>378</v>
      </c>
      <c r="K38" s="86" t="s">
        <v>379</v>
      </c>
      <c r="L38" s="86" t="s">
        <v>380</v>
      </c>
    </row>
    <row r="39" spans="1:12" x14ac:dyDescent="0.25">
      <c r="A39" s="41" t="s">
        <v>182</v>
      </c>
      <c r="B39" s="41">
        <v>1905</v>
      </c>
      <c r="C39" s="41">
        <v>264034</v>
      </c>
      <c r="D39" s="41">
        <v>12036</v>
      </c>
      <c r="E39" s="41">
        <v>145</v>
      </c>
      <c r="F39" s="41">
        <v>41.88</v>
      </c>
      <c r="G39" s="41">
        <v>5829916</v>
      </c>
      <c r="H39" s="86" t="s">
        <v>396</v>
      </c>
      <c r="I39" s="86" t="s">
        <v>397</v>
      </c>
      <c r="J39" s="86" t="s">
        <v>378</v>
      </c>
      <c r="K39" s="86" t="s">
        <v>379</v>
      </c>
      <c r="L39" s="86" t="s">
        <v>380</v>
      </c>
    </row>
    <row r="40" spans="1:12" x14ac:dyDescent="0.25">
      <c r="A40" s="41" t="s">
        <v>189</v>
      </c>
      <c r="B40" s="41">
        <v>1905</v>
      </c>
      <c r="C40" s="41">
        <v>31471</v>
      </c>
      <c r="D40" s="41">
        <v>1268</v>
      </c>
      <c r="E40" s="41">
        <v>107</v>
      </c>
      <c r="F40" s="41">
        <v>56.27</v>
      </c>
      <c r="G40" s="41">
        <v>1236253</v>
      </c>
      <c r="H40" s="86" t="s">
        <v>396</v>
      </c>
      <c r="I40" s="86" t="s">
        <v>397</v>
      </c>
      <c r="J40" s="86" t="s">
        <v>378</v>
      </c>
      <c r="K40" s="86" t="s">
        <v>379</v>
      </c>
      <c r="L40" s="86" t="s">
        <v>380</v>
      </c>
    </row>
    <row r="41" spans="1:12" x14ac:dyDescent="0.25">
      <c r="A41" s="41" t="s">
        <v>210</v>
      </c>
      <c r="B41" s="41">
        <v>1905</v>
      </c>
      <c r="C41" s="41">
        <v>12200</v>
      </c>
      <c r="D41" s="41">
        <v>728</v>
      </c>
      <c r="E41" s="41">
        <v>140</v>
      </c>
      <c r="F41" s="41">
        <v>51.08</v>
      </c>
      <c r="G41" s="41">
        <v>387681</v>
      </c>
      <c r="H41" s="86" t="s">
        <v>396</v>
      </c>
      <c r="I41" s="86" t="s">
        <v>397</v>
      </c>
      <c r="J41" s="86" t="s">
        <v>378</v>
      </c>
      <c r="K41" s="86" t="s">
        <v>379</v>
      </c>
      <c r="L41" s="86" t="s">
        <v>380</v>
      </c>
    </row>
    <row r="42" spans="1:12" x14ac:dyDescent="0.25">
      <c r="A42" s="41" t="s">
        <v>173</v>
      </c>
      <c r="B42" s="41">
        <v>1905</v>
      </c>
      <c r="C42" s="41">
        <v>91997</v>
      </c>
      <c r="D42" s="41">
        <v>4454</v>
      </c>
      <c r="E42" s="41">
        <v>158.4</v>
      </c>
      <c r="F42" s="41">
        <v>46.79</v>
      </c>
      <c r="G42" s="41">
        <v>3984697</v>
      </c>
      <c r="H42" s="86" t="s">
        <v>396</v>
      </c>
      <c r="I42" s="86" t="s">
        <v>397</v>
      </c>
      <c r="J42" s="86" t="s">
        <v>378</v>
      </c>
      <c r="K42" s="86" t="s">
        <v>379</v>
      </c>
      <c r="L42" s="86" t="s">
        <v>380</v>
      </c>
    </row>
    <row r="43" spans="1:12" x14ac:dyDescent="0.25">
      <c r="A43" s="41" t="s">
        <v>193</v>
      </c>
      <c r="B43" s="41">
        <v>1905</v>
      </c>
      <c r="C43" s="41">
        <v>25705</v>
      </c>
      <c r="D43" s="41">
        <v>828</v>
      </c>
      <c r="E43" s="41">
        <v>114</v>
      </c>
      <c r="F43" s="41">
        <v>54.28</v>
      </c>
      <c r="G43" s="41">
        <v>362225</v>
      </c>
      <c r="H43" s="86" t="s">
        <v>396</v>
      </c>
      <c r="I43" s="86" t="s">
        <v>397</v>
      </c>
      <c r="J43" s="86" t="s">
        <v>378</v>
      </c>
      <c r="K43" s="86" t="s">
        <v>379</v>
      </c>
      <c r="L43" s="86" t="s">
        <v>380</v>
      </c>
    </row>
    <row r="44" spans="1:12" x14ac:dyDescent="0.25">
      <c r="A44" s="41" t="s">
        <v>171</v>
      </c>
      <c r="B44" s="41">
        <v>1905</v>
      </c>
      <c r="C44" s="41">
        <v>14009</v>
      </c>
      <c r="D44" s="41">
        <v>538</v>
      </c>
      <c r="E44" s="41">
        <v>135.4</v>
      </c>
      <c r="F44" s="41">
        <v>75.55</v>
      </c>
      <c r="G44" s="41">
        <v>457354</v>
      </c>
      <c r="H44" s="86" t="s">
        <v>396</v>
      </c>
      <c r="I44" s="86" t="s">
        <v>397</v>
      </c>
      <c r="J44" s="86" t="s">
        <v>378</v>
      </c>
      <c r="K44" s="86" t="s">
        <v>379</v>
      </c>
      <c r="L44" s="86" t="s">
        <v>380</v>
      </c>
    </row>
    <row r="45" spans="1:12" x14ac:dyDescent="0.25">
      <c r="A45" s="41" t="s">
        <v>205</v>
      </c>
      <c r="B45" s="41">
        <v>1905</v>
      </c>
      <c r="C45" s="41">
        <v>56183</v>
      </c>
      <c r="D45" s="41">
        <v>1718</v>
      </c>
      <c r="E45" s="41">
        <v>153</v>
      </c>
      <c r="F45" s="41">
        <v>61.81</v>
      </c>
      <c r="G45" s="41">
        <v>1657234</v>
      </c>
      <c r="H45" s="86" t="s">
        <v>396</v>
      </c>
      <c r="I45" s="86" t="s">
        <v>397</v>
      </c>
      <c r="J45" s="86" t="s">
        <v>378</v>
      </c>
      <c r="K45" s="86" t="s">
        <v>379</v>
      </c>
      <c r="L45" s="86" t="s">
        <v>380</v>
      </c>
    </row>
    <row r="46" spans="1:12" x14ac:dyDescent="0.25">
      <c r="A46" s="41" t="s">
        <v>74</v>
      </c>
      <c r="B46" s="41">
        <v>1905</v>
      </c>
      <c r="C46" s="41">
        <v>5182</v>
      </c>
      <c r="D46" s="41">
        <v>357</v>
      </c>
      <c r="E46" s="41">
        <v>158.69999999999999</v>
      </c>
      <c r="F46" s="41">
        <v>67.77</v>
      </c>
      <c r="G46" s="41">
        <v>257501</v>
      </c>
      <c r="H46" s="86" t="s">
        <v>396</v>
      </c>
      <c r="I46" s="86" t="s">
        <v>397</v>
      </c>
      <c r="J46" s="86" t="s">
        <v>378</v>
      </c>
      <c r="K46" s="86" t="s">
        <v>379</v>
      </c>
      <c r="L46" s="86" t="s">
        <v>380</v>
      </c>
    </row>
    <row r="47" spans="1:12" x14ac:dyDescent="0.25">
      <c r="A47" s="41" t="s">
        <v>177</v>
      </c>
      <c r="B47" s="41">
        <v>1905</v>
      </c>
      <c r="C47" s="41">
        <v>40738</v>
      </c>
      <c r="D47" s="41">
        <v>1547</v>
      </c>
      <c r="E47" s="41">
        <v>136</v>
      </c>
      <c r="F47" s="41">
        <v>58.09</v>
      </c>
      <c r="G47" s="41">
        <v>912272</v>
      </c>
      <c r="H47" s="86" t="s">
        <v>396</v>
      </c>
      <c r="I47" s="86" t="s">
        <v>397</v>
      </c>
      <c r="J47" s="86" t="s">
        <v>378</v>
      </c>
      <c r="K47" s="86" t="s">
        <v>379</v>
      </c>
      <c r="L47" s="86" t="s">
        <v>380</v>
      </c>
    </row>
    <row r="48" spans="1:12" x14ac:dyDescent="0.25">
      <c r="A48" s="41" t="s">
        <v>56</v>
      </c>
      <c r="B48" s="41">
        <v>1905</v>
      </c>
      <c r="C48" s="41">
        <v>118852</v>
      </c>
      <c r="D48" s="41">
        <v>5179</v>
      </c>
      <c r="E48" s="41">
        <v>167.6</v>
      </c>
      <c r="F48" s="41">
        <v>54.67</v>
      </c>
      <c r="G48" s="41">
        <v>3220340</v>
      </c>
      <c r="H48" s="86" t="s">
        <v>396</v>
      </c>
      <c r="I48" s="86" t="s">
        <v>397</v>
      </c>
      <c r="J48" s="86" t="s">
        <v>378</v>
      </c>
      <c r="K48" s="86" t="s">
        <v>379</v>
      </c>
      <c r="L48" s="86" t="s">
        <v>380</v>
      </c>
    </row>
    <row r="49" spans="1:12" x14ac:dyDescent="0.25">
      <c r="A49" s="41" t="s">
        <v>198</v>
      </c>
      <c r="B49" s="41">
        <v>1905</v>
      </c>
      <c r="C49" s="41">
        <v>78114</v>
      </c>
      <c r="D49" s="41">
        <v>4022</v>
      </c>
      <c r="E49" s="41">
        <v>158.4</v>
      </c>
      <c r="F49" s="41">
        <v>44.6</v>
      </c>
      <c r="G49" s="41">
        <v>2052175</v>
      </c>
      <c r="H49" s="86" t="s">
        <v>396</v>
      </c>
      <c r="I49" s="86" t="s">
        <v>397</v>
      </c>
      <c r="J49" s="86" t="s">
        <v>378</v>
      </c>
      <c r="K49" s="86" t="s">
        <v>379</v>
      </c>
      <c r="L49" s="86" t="s">
        <v>380</v>
      </c>
    </row>
    <row r="50" spans="1:12" x14ac:dyDescent="0.25">
      <c r="A50" s="41" t="s">
        <v>172</v>
      </c>
      <c r="B50" s="41">
        <v>1905</v>
      </c>
      <c r="C50" s="41">
        <v>239491</v>
      </c>
      <c r="D50" s="41">
        <v>9026</v>
      </c>
      <c r="E50" s="41">
        <v>170</v>
      </c>
      <c r="F50" s="41">
        <v>66.84</v>
      </c>
      <c r="G50" s="41">
        <v>9770703</v>
      </c>
      <c r="H50" s="86" t="s">
        <v>396</v>
      </c>
      <c r="I50" s="86" t="s">
        <v>397</v>
      </c>
      <c r="J50" s="86" t="s">
        <v>378</v>
      </c>
      <c r="K50" s="86" t="s">
        <v>379</v>
      </c>
      <c r="L50" s="86" t="s">
        <v>380</v>
      </c>
    </row>
  </sheetData>
  <hyperlinks>
    <hyperlink ref="J2" r:id="rId1"/>
    <hyperlink ref="K2" r:id="rId2"/>
    <hyperlink ref="L2" r:id="rId3"/>
    <hyperlink ref="J3" r:id="rId4"/>
    <hyperlink ref="J4" r:id="rId5"/>
    <hyperlink ref="J5" r:id="rId6"/>
    <hyperlink ref="J6" r:id="rId7"/>
    <hyperlink ref="J7" r:id="rId8"/>
    <hyperlink ref="J8" r:id="rId9"/>
    <hyperlink ref="J9" r:id="rId10"/>
    <hyperlink ref="J10" r:id="rId11"/>
    <hyperlink ref="J11" r:id="rId12"/>
    <hyperlink ref="J12" r:id="rId13"/>
    <hyperlink ref="J13" r:id="rId14"/>
    <hyperlink ref="J14" r:id="rId15"/>
    <hyperlink ref="J15" r:id="rId16"/>
    <hyperlink ref="J16" r:id="rId17"/>
    <hyperlink ref="J17" r:id="rId18"/>
    <hyperlink ref="J18" r:id="rId19"/>
    <hyperlink ref="J19" r:id="rId20"/>
    <hyperlink ref="J20" r:id="rId21"/>
    <hyperlink ref="J21" r:id="rId22"/>
    <hyperlink ref="J22" r:id="rId23"/>
    <hyperlink ref="J23" r:id="rId24"/>
    <hyperlink ref="J24" r:id="rId25"/>
    <hyperlink ref="J25" r:id="rId26"/>
    <hyperlink ref="J26" r:id="rId27"/>
    <hyperlink ref="J27" r:id="rId28"/>
    <hyperlink ref="J28" r:id="rId29"/>
    <hyperlink ref="J29" r:id="rId30"/>
    <hyperlink ref="J30" r:id="rId31"/>
    <hyperlink ref="J31" r:id="rId32"/>
    <hyperlink ref="J32" r:id="rId33"/>
    <hyperlink ref="J33" r:id="rId34"/>
    <hyperlink ref="J34" r:id="rId35"/>
    <hyperlink ref="J35" r:id="rId36"/>
    <hyperlink ref="J36" r:id="rId37"/>
    <hyperlink ref="J37" r:id="rId38"/>
    <hyperlink ref="J38" r:id="rId39"/>
    <hyperlink ref="J39" r:id="rId40"/>
    <hyperlink ref="J40" r:id="rId41"/>
    <hyperlink ref="J41" r:id="rId42"/>
    <hyperlink ref="J42" r:id="rId43"/>
    <hyperlink ref="J43" r:id="rId44"/>
    <hyperlink ref="J44" r:id="rId45"/>
    <hyperlink ref="J45" r:id="rId46"/>
    <hyperlink ref="J46" r:id="rId47"/>
    <hyperlink ref="J47" r:id="rId48"/>
    <hyperlink ref="J48" r:id="rId49"/>
    <hyperlink ref="J49" r:id="rId50"/>
    <hyperlink ref="J50" r:id="rId51"/>
    <hyperlink ref="K3" r:id="rId52"/>
    <hyperlink ref="K4" r:id="rId53"/>
    <hyperlink ref="K5" r:id="rId54"/>
    <hyperlink ref="K6" r:id="rId55"/>
    <hyperlink ref="K7" r:id="rId56"/>
    <hyperlink ref="K8" r:id="rId57"/>
    <hyperlink ref="K9" r:id="rId58"/>
    <hyperlink ref="K10" r:id="rId59"/>
    <hyperlink ref="K11" r:id="rId60"/>
    <hyperlink ref="K12" r:id="rId61"/>
    <hyperlink ref="K13" r:id="rId62"/>
    <hyperlink ref="K14" r:id="rId63"/>
    <hyperlink ref="K15" r:id="rId64"/>
    <hyperlink ref="K16" r:id="rId65"/>
    <hyperlink ref="K17" r:id="rId66"/>
    <hyperlink ref="K18" r:id="rId67"/>
    <hyperlink ref="K19" r:id="rId68"/>
    <hyperlink ref="K20" r:id="rId69"/>
    <hyperlink ref="K21" r:id="rId70"/>
    <hyperlink ref="K22" r:id="rId71"/>
    <hyperlink ref="K23" r:id="rId72"/>
    <hyperlink ref="K24" r:id="rId73"/>
    <hyperlink ref="K25" r:id="rId74"/>
    <hyperlink ref="K26" r:id="rId75"/>
    <hyperlink ref="K27" r:id="rId76"/>
    <hyperlink ref="K28" r:id="rId77"/>
    <hyperlink ref="K29" r:id="rId78"/>
    <hyperlink ref="K30" r:id="rId79"/>
    <hyperlink ref="K31" r:id="rId80"/>
    <hyperlink ref="K32" r:id="rId81"/>
    <hyperlink ref="K33" r:id="rId82"/>
    <hyperlink ref="K34" r:id="rId83"/>
    <hyperlink ref="K35" r:id="rId84"/>
    <hyperlink ref="K36" r:id="rId85"/>
    <hyperlink ref="K37" r:id="rId86"/>
    <hyperlink ref="K38" r:id="rId87"/>
    <hyperlink ref="K39" r:id="rId88"/>
    <hyperlink ref="K40" r:id="rId89"/>
    <hyperlink ref="K41" r:id="rId90"/>
    <hyperlink ref="K42" r:id="rId91"/>
    <hyperlink ref="K43" r:id="rId92"/>
    <hyperlink ref="K44" r:id="rId93"/>
    <hyperlink ref="K45" r:id="rId94"/>
    <hyperlink ref="K46" r:id="rId95"/>
    <hyperlink ref="K47" r:id="rId96"/>
    <hyperlink ref="K48" r:id="rId97"/>
    <hyperlink ref="K49" r:id="rId98"/>
    <hyperlink ref="K50" r:id="rId99"/>
    <hyperlink ref="L3" r:id="rId100"/>
    <hyperlink ref="L4" r:id="rId101"/>
    <hyperlink ref="L5" r:id="rId102"/>
    <hyperlink ref="L6" r:id="rId103"/>
    <hyperlink ref="L7" r:id="rId104"/>
    <hyperlink ref="L8" r:id="rId105"/>
    <hyperlink ref="L9" r:id="rId106"/>
    <hyperlink ref="L10" r:id="rId107"/>
    <hyperlink ref="L11" r:id="rId108"/>
    <hyperlink ref="L12" r:id="rId109"/>
    <hyperlink ref="L13" r:id="rId110"/>
    <hyperlink ref="L14" r:id="rId111"/>
    <hyperlink ref="L15" r:id="rId112"/>
    <hyperlink ref="L16" r:id="rId113"/>
    <hyperlink ref="L17" r:id="rId114"/>
    <hyperlink ref="L18" r:id="rId115"/>
    <hyperlink ref="L19" r:id="rId116"/>
    <hyperlink ref="L20" r:id="rId117"/>
    <hyperlink ref="L21" r:id="rId118"/>
    <hyperlink ref="L22" r:id="rId119"/>
    <hyperlink ref="L23" r:id="rId120"/>
    <hyperlink ref="L24" r:id="rId121"/>
    <hyperlink ref="L25" r:id="rId122"/>
    <hyperlink ref="L26" r:id="rId123"/>
    <hyperlink ref="L27" r:id="rId124"/>
    <hyperlink ref="L28" r:id="rId125"/>
    <hyperlink ref="L29" r:id="rId126"/>
    <hyperlink ref="L30" r:id="rId127"/>
    <hyperlink ref="L31" r:id="rId128"/>
    <hyperlink ref="L32" r:id="rId129"/>
    <hyperlink ref="L33" r:id="rId130"/>
    <hyperlink ref="L34" r:id="rId131"/>
    <hyperlink ref="L35" r:id="rId132"/>
    <hyperlink ref="L36" r:id="rId133"/>
    <hyperlink ref="L37" r:id="rId134"/>
    <hyperlink ref="L38" r:id="rId135"/>
    <hyperlink ref="L39" r:id="rId136"/>
    <hyperlink ref="L40" r:id="rId137"/>
    <hyperlink ref="L41" r:id="rId138"/>
    <hyperlink ref="L42" r:id="rId139"/>
    <hyperlink ref="L43" r:id="rId140"/>
    <hyperlink ref="L44" r:id="rId141"/>
    <hyperlink ref="L45" r:id="rId142"/>
    <hyperlink ref="L46" r:id="rId143"/>
    <hyperlink ref="L47" r:id="rId144"/>
    <hyperlink ref="L48" r:id="rId145"/>
    <hyperlink ref="L49" r:id="rId146"/>
    <hyperlink ref="L50" r:id="rId147"/>
  </hyperlink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workbookViewId="0"/>
  </sheetViews>
  <sheetFormatPr defaultColWidth="8.85546875" defaultRowHeight="15" x14ac:dyDescent="0.25"/>
  <cols>
    <col min="1" max="1" width="17.28515625" style="41" customWidth="1"/>
    <col min="2" max="2" width="17.7109375" style="41" customWidth="1"/>
    <col min="3" max="5" width="17.28515625" style="41" customWidth="1"/>
    <col min="6" max="6" width="17" style="41" customWidth="1"/>
    <col min="7" max="7" width="16.7109375" style="41" customWidth="1"/>
    <col min="8" max="8" width="4.85546875" style="41" customWidth="1"/>
    <col min="9" max="9" width="8.85546875" style="41"/>
    <col min="10" max="10" width="16.85546875" style="41" customWidth="1"/>
    <col min="11" max="11" width="8.85546875" style="41"/>
    <col min="12" max="12" width="16.85546875" style="41" customWidth="1"/>
    <col min="13" max="16384" width="8.85546875" style="41"/>
  </cols>
  <sheetData>
    <row r="1" spans="1:12" s="81" customFormat="1" ht="90" x14ac:dyDescent="0.25">
      <c r="A1" s="81" t="s">
        <v>2</v>
      </c>
      <c r="B1" s="81" t="s">
        <v>365</v>
      </c>
      <c r="C1" s="81" t="s">
        <v>1956</v>
      </c>
      <c r="D1" s="81" t="s">
        <v>372</v>
      </c>
      <c r="E1" s="81" t="s">
        <v>2006</v>
      </c>
      <c r="F1" s="81" t="s">
        <v>2007</v>
      </c>
      <c r="G1" s="81" t="s">
        <v>360</v>
      </c>
      <c r="H1" s="81" t="s">
        <v>390</v>
      </c>
      <c r="I1" s="81" t="s">
        <v>391</v>
      </c>
      <c r="J1" s="81" t="s">
        <v>392</v>
      </c>
      <c r="K1" s="81" t="s">
        <v>2008</v>
      </c>
      <c r="L1" s="81" t="s">
        <v>393</v>
      </c>
    </row>
    <row r="2" spans="1:12" x14ac:dyDescent="0.25">
      <c r="A2" s="41" t="s">
        <v>5</v>
      </c>
      <c r="B2" s="41">
        <v>1926</v>
      </c>
      <c r="C2" s="41">
        <v>416521</v>
      </c>
      <c r="D2" s="41">
        <v>15535</v>
      </c>
      <c r="E2" s="41">
        <v>137.5</v>
      </c>
      <c r="F2" s="87">
        <v>678</v>
      </c>
      <c r="G2" s="41">
        <v>13373716</v>
      </c>
      <c r="H2" s="41" t="s">
        <v>385</v>
      </c>
      <c r="I2" s="41" t="s">
        <v>386</v>
      </c>
      <c r="J2" s="41" t="s">
        <v>387</v>
      </c>
      <c r="K2" s="41" t="s">
        <v>2009</v>
      </c>
      <c r="L2" s="41" t="s">
        <v>388</v>
      </c>
    </row>
    <row r="3" spans="1:12" x14ac:dyDescent="0.25">
      <c r="A3" s="41" t="s">
        <v>171</v>
      </c>
      <c r="B3" s="41">
        <v>1926</v>
      </c>
      <c r="C3" s="41">
        <v>61331</v>
      </c>
      <c r="D3" s="41">
        <v>2742</v>
      </c>
      <c r="E3" s="41">
        <v>165.5</v>
      </c>
      <c r="F3" s="41">
        <v>1575</v>
      </c>
      <c r="G3" s="41">
        <v>7130457</v>
      </c>
      <c r="H3" s="41" t="s">
        <v>385</v>
      </c>
      <c r="I3" s="41" t="s">
        <v>386</v>
      </c>
      <c r="J3" s="41" t="s">
        <v>387</v>
      </c>
      <c r="K3" s="41" t="s">
        <v>2009</v>
      </c>
      <c r="L3" s="41" t="s">
        <v>388</v>
      </c>
    </row>
    <row r="4" spans="1:12" x14ac:dyDescent="0.25">
      <c r="A4" s="41" t="s">
        <v>61</v>
      </c>
      <c r="B4" s="41">
        <v>1926</v>
      </c>
      <c r="C4" s="41">
        <v>349657</v>
      </c>
      <c r="D4" s="41">
        <v>12720</v>
      </c>
      <c r="E4" s="41">
        <v>146.4</v>
      </c>
      <c r="F4" s="41">
        <v>686</v>
      </c>
      <c r="G4" s="41">
        <v>10536475</v>
      </c>
      <c r="H4" s="41" t="s">
        <v>385</v>
      </c>
      <c r="I4" s="41" t="s">
        <v>386</v>
      </c>
      <c r="J4" s="41" t="s">
        <v>387</v>
      </c>
      <c r="K4" s="41" t="s">
        <v>2009</v>
      </c>
      <c r="L4" s="41" t="s">
        <v>388</v>
      </c>
    </row>
    <row r="5" spans="1:12" x14ac:dyDescent="0.25">
      <c r="A5" s="41" t="s">
        <v>172</v>
      </c>
      <c r="B5" s="41">
        <v>1926</v>
      </c>
      <c r="C5" s="41">
        <v>777738</v>
      </c>
      <c r="D5" s="41">
        <v>32285</v>
      </c>
      <c r="E5" s="41">
        <v>180.6</v>
      </c>
      <c r="F5" s="41">
        <v>1905</v>
      </c>
      <c r="G5" s="41">
        <v>95825128</v>
      </c>
      <c r="H5" s="41" t="s">
        <v>385</v>
      </c>
      <c r="I5" s="41" t="s">
        <v>386</v>
      </c>
      <c r="J5" s="41" t="s">
        <v>387</v>
      </c>
      <c r="K5" s="41" t="s">
        <v>2009</v>
      </c>
      <c r="L5" s="41" t="s">
        <v>388</v>
      </c>
    </row>
    <row r="6" spans="1:12" x14ac:dyDescent="0.25">
      <c r="A6" s="41" t="s">
        <v>173</v>
      </c>
      <c r="B6" s="41">
        <v>1926</v>
      </c>
      <c r="C6" s="41">
        <v>182374</v>
      </c>
      <c r="D6" s="41">
        <v>9512</v>
      </c>
      <c r="E6" s="41">
        <v>178</v>
      </c>
      <c r="F6" s="41">
        <v>1290</v>
      </c>
      <c r="G6" s="41">
        <v>21221322</v>
      </c>
      <c r="H6" s="41" t="s">
        <v>385</v>
      </c>
      <c r="I6" s="41" t="s">
        <v>386</v>
      </c>
      <c r="J6" s="41" t="s">
        <v>387</v>
      </c>
      <c r="K6" s="41" t="s">
        <v>2009</v>
      </c>
      <c r="L6" s="41" t="s">
        <v>388</v>
      </c>
    </row>
    <row r="7" spans="1:12" x14ac:dyDescent="0.25">
      <c r="A7" s="41" t="s">
        <v>215</v>
      </c>
      <c r="B7" s="41">
        <v>1926</v>
      </c>
      <c r="C7" s="41">
        <v>265807</v>
      </c>
      <c r="D7" s="41">
        <v>9356</v>
      </c>
      <c r="E7" s="41">
        <v>181.6</v>
      </c>
      <c r="F7" s="41">
        <v>1572</v>
      </c>
      <c r="G7" s="41">
        <v>24988651</v>
      </c>
      <c r="H7" s="41" t="s">
        <v>385</v>
      </c>
      <c r="I7" s="41" t="s">
        <v>386</v>
      </c>
      <c r="J7" s="41" t="s">
        <v>387</v>
      </c>
      <c r="K7" s="41" t="s">
        <v>2009</v>
      </c>
      <c r="L7" s="41" t="s">
        <v>388</v>
      </c>
    </row>
    <row r="8" spans="1:12" x14ac:dyDescent="0.25">
      <c r="A8" s="41" t="s">
        <v>174</v>
      </c>
      <c r="B8" s="41">
        <v>1926</v>
      </c>
      <c r="C8" s="41">
        <v>32858</v>
      </c>
      <c r="D8" s="41">
        <v>1409</v>
      </c>
      <c r="E8" s="41">
        <v>184.3</v>
      </c>
      <c r="F8" s="41">
        <v>1356</v>
      </c>
      <c r="G8" s="41">
        <v>2857935</v>
      </c>
      <c r="H8" s="41" t="s">
        <v>385</v>
      </c>
      <c r="I8" s="41" t="s">
        <v>386</v>
      </c>
      <c r="J8" s="41" t="s">
        <v>387</v>
      </c>
      <c r="K8" s="41" t="s">
        <v>2009</v>
      </c>
      <c r="L8" s="41" t="s">
        <v>388</v>
      </c>
    </row>
    <row r="9" spans="1:12" x14ac:dyDescent="0.25">
      <c r="A9" s="41" t="s">
        <v>175</v>
      </c>
      <c r="B9" s="41">
        <v>1926</v>
      </c>
      <c r="C9" s="41">
        <v>60903</v>
      </c>
      <c r="D9" s="41">
        <v>2578</v>
      </c>
      <c r="E9" s="41">
        <v>180.6</v>
      </c>
      <c r="F9" s="41">
        <v>2068</v>
      </c>
      <c r="G9" s="41">
        <v>7367608</v>
      </c>
      <c r="H9" s="41" t="s">
        <v>385</v>
      </c>
      <c r="I9" s="41" t="s">
        <v>386</v>
      </c>
      <c r="J9" s="41" t="s">
        <v>387</v>
      </c>
      <c r="K9" s="41" t="s">
        <v>2009</v>
      </c>
      <c r="L9" s="41" t="s">
        <v>388</v>
      </c>
    </row>
    <row r="10" spans="1:12" x14ac:dyDescent="0.25">
      <c r="A10" s="41" t="s">
        <v>176</v>
      </c>
      <c r="B10" s="41">
        <v>1926</v>
      </c>
      <c r="C10" s="41">
        <v>250355</v>
      </c>
      <c r="D10" s="41">
        <v>10435</v>
      </c>
      <c r="E10" s="41">
        <v>150.1</v>
      </c>
      <c r="F10" s="41">
        <v>831</v>
      </c>
      <c r="G10" s="41">
        <v>15591919</v>
      </c>
      <c r="H10" s="41" t="s">
        <v>385</v>
      </c>
      <c r="I10" s="41" t="s">
        <v>386</v>
      </c>
      <c r="J10" s="41" t="s">
        <v>387</v>
      </c>
      <c r="K10" s="41" t="s">
        <v>2009</v>
      </c>
      <c r="L10" s="41" t="s">
        <v>388</v>
      </c>
    </row>
    <row r="11" spans="1:12" x14ac:dyDescent="0.25">
      <c r="A11" s="41" t="s">
        <v>89</v>
      </c>
      <c r="B11" s="41">
        <v>1926</v>
      </c>
      <c r="C11" s="41">
        <v>513017</v>
      </c>
      <c r="D11" s="41">
        <v>17881</v>
      </c>
      <c r="E11" s="41">
        <v>144.80000000000001</v>
      </c>
      <c r="F11" s="41">
        <v>684</v>
      </c>
      <c r="G11" s="41">
        <v>15211566</v>
      </c>
      <c r="H11" s="41" t="s">
        <v>385</v>
      </c>
      <c r="I11" s="41" t="s">
        <v>386</v>
      </c>
      <c r="J11" s="41" t="s">
        <v>387</v>
      </c>
      <c r="K11" s="41" t="s">
        <v>2009</v>
      </c>
      <c r="L11" s="41" t="s">
        <v>388</v>
      </c>
    </row>
    <row r="12" spans="1:12" x14ac:dyDescent="0.25">
      <c r="A12" s="41" t="s">
        <v>177</v>
      </c>
      <c r="B12" s="41">
        <v>1926</v>
      </c>
      <c r="C12" s="41">
        <v>94100</v>
      </c>
      <c r="D12" s="41">
        <v>4330</v>
      </c>
      <c r="E12" s="41">
        <v>165</v>
      </c>
      <c r="F12" s="41">
        <v>1134</v>
      </c>
      <c r="G12" s="41">
        <v>8376301</v>
      </c>
      <c r="H12" s="41" t="s">
        <v>385</v>
      </c>
      <c r="I12" s="41" t="s">
        <v>386</v>
      </c>
      <c r="J12" s="41" t="s">
        <v>387</v>
      </c>
      <c r="K12" s="41" t="s">
        <v>2009</v>
      </c>
      <c r="L12" s="41" t="s">
        <v>388</v>
      </c>
    </row>
    <row r="13" spans="1:12" x14ac:dyDescent="0.25">
      <c r="A13" s="41" t="s">
        <v>178</v>
      </c>
      <c r="B13" s="41">
        <v>1926</v>
      </c>
      <c r="C13" s="41">
        <v>1104830</v>
      </c>
      <c r="D13" s="41">
        <v>44572</v>
      </c>
      <c r="E13" s="41">
        <v>184.9</v>
      </c>
      <c r="F13" s="41">
        <v>1515</v>
      </c>
      <c r="G13" s="41">
        <v>106382345</v>
      </c>
      <c r="H13" s="41" t="s">
        <v>385</v>
      </c>
      <c r="I13" s="41" t="s">
        <v>386</v>
      </c>
      <c r="J13" s="41" t="s">
        <v>387</v>
      </c>
      <c r="K13" s="41" t="s">
        <v>2009</v>
      </c>
      <c r="L13" s="41" t="s">
        <v>388</v>
      </c>
    </row>
    <row r="14" spans="1:12" x14ac:dyDescent="0.25">
      <c r="A14" s="41" t="s">
        <v>179</v>
      </c>
      <c r="B14" s="41">
        <v>1926</v>
      </c>
      <c r="C14" s="41">
        <v>586503</v>
      </c>
      <c r="D14" s="41">
        <v>21069</v>
      </c>
      <c r="E14" s="41">
        <v>173.8</v>
      </c>
      <c r="F14" s="41">
        <v>1361</v>
      </c>
      <c r="G14" s="41">
        <v>50776866</v>
      </c>
      <c r="H14" s="41" t="s">
        <v>385</v>
      </c>
      <c r="I14" s="41" t="s">
        <v>386</v>
      </c>
      <c r="J14" s="41" t="s">
        <v>387</v>
      </c>
      <c r="K14" s="41" t="s">
        <v>2009</v>
      </c>
      <c r="L14" s="41" t="s">
        <v>388</v>
      </c>
    </row>
    <row r="15" spans="1:12" x14ac:dyDescent="0.25">
      <c r="A15" s="41" t="s">
        <v>181</v>
      </c>
      <c r="B15" s="41">
        <v>1926</v>
      </c>
      <c r="C15" s="41">
        <v>445935</v>
      </c>
      <c r="D15" s="41">
        <v>25206</v>
      </c>
      <c r="E15" s="41">
        <v>176</v>
      </c>
      <c r="F15" s="41">
        <v>1241</v>
      </c>
      <c r="G15" s="41">
        <v>50996065</v>
      </c>
      <c r="H15" s="41" t="s">
        <v>385</v>
      </c>
      <c r="I15" s="41" t="s">
        <v>386</v>
      </c>
      <c r="J15" s="41" t="s">
        <v>387</v>
      </c>
      <c r="K15" s="41" t="s">
        <v>2009</v>
      </c>
      <c r="L15" s="41" t="s">
        <v>388</v>
      </c>
    </row>
    <row r="16" spans="1:12" x14ac:dyDescent="0.25">
      <c r="A16" s="41" t="s">
        <v>182</v>
      </c>
      <c r="B16" s="41">
        <v>1926</v>
      </c>
      <c r="C16" s="41">
        <v>357041</v>
      </c>
      <c r="D16" s="41">
        <v>18960</v>
      </c>
      <c r="E16" s="41">
        <v>175</v>
      </c>
      <c r="F16" s="41">
        <v>1114</v>
      </c>
      <c r="G16" s="41">
        <v>30982766</v>
      </c>
      <c r="H16" s="41" t="s">
        <v>385</v>
      </c>
      <c r="I16" s="41" t="s">
        <v>386</v>
      </c>
      <c r="J16" s="41" t="s">
        <v>387</v>
      </c>
      <c r="K16" s="41" t="s">
        <v>2009</v>
      </c>
      <c r="L16" s="41" t="s">
        <v>388</v>
      </c>
    </row>
    <row r="17" spans="1:12" x14ac:dyDescent="0.25">
      <c r="A17" s="41" t="s">
        <v>120</v>
      </c>
      <c r="B17" s="41">
        <v>1926</v>
      </c>
      <c r="C17" s="41">
        <v>381779</v>
      </c>
      <c r="D17" s="41">
        <v>15016</v>
      </c>
      <c r="E17" s="41">
        <v>164.3</v>
      </c>
      <c r="F17" s="41">
        <v>777</v>
      </c>
      <c r="G17" s="41">
        <v>15641089</v>
      </c>
      <c r="H17" s="41" t="s">
        <v>385</v>
      </c>
      <c r="I17" s="41" t="s">
        <v>386</v>
      </c>
      <c r="J17" s="41" t="s">
        <v>387</v>
      </c>
      <c r="K17" s="41" t="s">
        <v>2009</v>
      </c>
      <c r="L17" s="41" t="s">
        <v>388</v>
      </c>
    </row>
    <row r="18" spans="1:12" x14ac:dyDescent="0.25">
      <c r="A18" s="41" t="s">
        <v>152</v>
      </c>
      <c r="B18" s="41">
        <v>1926</v>
      </c>
      <c r="C18" s="41">
        <v>298514</v>
      </c>
      <c r="D18" s="41">
        <v>11011</v>
      </c>
      <c r="E18" s="41">
        <v>148.4</v>
      </c>
      <c r="F18" s="41">
        <v>892</v>
      </c>
      <c r="G18" s="41">
        <v>15548612</v>
      </c>
      <c r="H18" s="41" t="s">
        <v>385</v>
      </c>
      <c r="I18" s="41" t="s">
        <v>386</v>
      </c>
      <c r="J18" s="41" t="s">
        <v>387</v>
      </c>
      <c r="K18" s="41" t="s">
        <v>2009</v>
      </c>
      <c r="L18" s="41" t="s">
        <v>388</v>
      </c>
    </row>
    <row r="19" spans="1:12" x14ac:dyDescent="0.25">
      <c r="A19" s="41" t="s">
        <v>183</v>
      </c>
      <c r="B19" s="41">
        <v>1926</v>
      </c>
      <c r="C19" s="41">
        <v>131520</v>
      </c>
      <c r="D19" s="41">
        <v>6824</v>
      </c>
      <c r="E19" s="41">
        <v>176.3</v>
      </c>
      <c r="F19" s="41">
        <v>844</v>
      </c>
      <c r="G19" s="41">
        <v>9114484</v>
      </c>
      <c r="H19" s="41" t="s">
        <v>385</v>
      </c>
      <c r="I19" s="41" t="s">
        <v>386</v>
      </c>
      <c r="J19" s="41" t="s">
        <v>387</v>
      </c>
      <c r="K19" s="41" t="s">
        <v>2009</v>
      </c>
      <c r="L19" s="41" t="s">
        <v>388</v>
      </c>
    </row>
    <row r="20" spans="1:12" x14ac:dyDescent="0.25">
      <c r="A20" s="41" t="s">
        <v>184</v>
      </c>
      <c r="B20" s="41">
        <v>1926</v>
      </c>
      <c r="C20" s="41">
        <v>214104</v>
      </c>
      <c r="D20" s="41">
        <v>8447</v>
      </c>
      <c r="E20" s="41">
        <v>186</v>
      </c>
      <c r="F20" s="41">
        <v>1353</v>
      </c>
      <c r="G20" s="41">
        <v>15577717</v>
      </c>
      <c r="H20" s="41" t="s">
        <v>385</v>
      </c>
      <c r="I20" s="41" t="s">
        <v>386</v>
      </c>
      <c r="J20" s="41" t="s">
        <v>387</v>
      </c>
      <c r="K20" s="41" t="s">
        <v>2009</v>
      </c>
      <c r="L20" s="41" t="s">
        <v>388</v>
      </c>
    </row>
    <row r="21" spans="1:12" x14ac:dyDescent="0.25">
      <c r="A21" s="41" t="s">
        <v>185</v>
      </c>
      <c r="B21" s="41">
        <v>1926</v>
      </c>
      <c r="C21" s="41">
        <v>657631</v>
      </c>
      <c r="D21" s="41">
        <v>24315</v>
      </c>
      <c r="E21" s="41">
        <v>179.6</v>
      </c>
      <c r="F21" s="41">
        <v>1618</v>
      </c>
      <c r="G21" s="41">
        <v>61393651</v>
      </c>
      <c r="H21" s="41" t="s">
        <v>385</v>
      </c>
      <c r="I21" s="41" t="s">
        <v>386</v>
      </c>
      <c r="J21" s="41" t="s">
        <v>387</v>
      </c>
      <c r="K21" s="41" t="s">
        <v>2009</v>
      </c>
      <c r="L21" s="41" t="s">
        <v>388</v>
      </c>
    </row>
    <row r="22" spans="1:12" x14ac:dyDescent="0.25">
      <c r="A22" s="41" t="s">
        <v>186</v>
      </c>
      <c r="B22" s="41">
        <v>1926</v>
      </c>
      <c r="C22" s="41">
        <v>703800</v>
      </c>
      <c r="D22" s="41">
        <v>30327</v>
      </c>
      <c r="E22" s="41">
        <v>188.5</v>
      </c>
      <c r="F22" s="41">
        <v>1510</v>
      </c>
      <c r="G22" s="41">
        <v>76554655</v>
      </c>
      <c r="H22" s="41" t="s">
        <v>385</v>
      </c>
      <c r="I22" s="41" t="s">
        <v>386</v>
      </c>
      <c r="J22" s="41" t="s">
        <v>387</v>
      </c>
      <c r="K22" s="41" t="s">
        <v>2009</v>
      </c>
      <c r="L22" s="41" t="s">
        <v>388</v>
      </c>
    </row>
    <row r="23" spans="1:12" x14ac:dyDescent="0.25">
      <c r="A23" s="41" t="s">
        <v>187</v>
      </c>
      <c r="B23" s="41">
        <v>1926</v>
      </c>
      <c r="C23" s="41">
        <v>445150</v>
      </c>
      <c r="D23" s="41">
        <v>21958</v>
      </c>
      <c r="E23" s="41">
        <v>178.3</v>
      </c>
      <c r="F23" s="41">
        <v>1215</v>
      </c>
      <c r="G23" s="41">
        <v>42494825</v>
      </c>
      <c r="H23" s="41" t="s">
        <v>385</v>
      </c>
      <c r="I23" s="41" t="s">
        <v>386</v>
      </c>
      <c r="J23" s="41" t="s">
        <v>387</v>
      </c>
      <c r="K23" s="41" t="s">
        <v>2009</v>
      </c>
      <c r="L23" s="41" t="s">
        <v>388</v>
      </c>
    </row>
    <row r="24" spans="1:12" x14ac:dyDescent="0.25">
      <c r="A24" s="41" t="s">
        <v>73</v>
      </c>
      <c r="B24" s="41">
        <v>1926</v>
      </c>
      <c r="C24" s="41">
        <v>416101</v>
      </c>
      <c r="D24" s="41">
        <v>13902</v>
      </c>
      <c r="E24" s="41">
        <v>141</v>
      </c>
      <c r="F24" s="41">
        <v>582</v>
      </c>
      <c r="G24" s="41">
        <v>11677353</v>
      </c>
      <c r="H24" s="41" t="s">
        <v>385</v>
      </c>
      <c r="I24" s="41" t="s">
        <v>386</v>
      </c>
      <c r="J24" s="41" t="s">
        <v>387</v>
      </c>
      <c r="K24" s="41" t="s">
        <v>2009</v>
      </c>
      <c r="L24" s="41" t="s">
        <v>388</v>
      </c>
    </row>
    <row r="25" spans="1:12" x14ac:dyDescent="0.25">
      <c r="A25" s="41" t="s">
        <v>188</v>
      </c>
      <c r="B25" s="41">
        <v>1926</v>
      </c>
      <c r="C25" s="41">
        <v>599622</v>
      </c>
      <c r="D25" s="41">
        <v>26157</v>
      </c>
      <c r="E25" s="41">
        <v>167.5</v>
      </c>
      <c r="F25" s="41">
        <v>1153</v>
      </c>
      <c r="G25" s="41">
        <v>39972574</v>
      </c>
      <c r="H25" s="41" t="s">
        <v>385</v>
      </c>
      <c r="I25" s="41" t="s">
        <v>386</v>
      </c>
      <c r="J25" s="41" t="s">
        <v>387</v>
      </c>
      <c r="K25" s="41" t="s">
        <v>2009</v>
      </c>
      <c r="L25" s="41" t="s">
        <v>388</v>
      </c>
    </row>
    <row r="26" spans="1:12" x14ac:dyDescent="0.25">
      <c r="A26" s="41" t="s">
        <v>189</v>
      </c>
      <c r="B26" s="41">
        <v>1926</v>
      </c>
      <c r="C26" s="41">
        <v>98615</v>
      </c>
      <c r="D26" s="41">
        <v>6295</v>
      </c>
      <c r="E26" s="41">
        <v>174.1</v>
      </c>
      <c r="F26" s="41">
        <v>1096</v>
      </c>
      <c r="G26" s="41">
        <v>11106389</v>
      </c>
      <c r="H26" s="41" t="s">
        <v>385</v>
      </c>
      <c r="I26" s="41" t="s">
        <v>386</v>
      </c>
      <c r="J26" s="41" t="s">
        <v>387</v>
      </c>
      <c r="K26" s="41" t="s">
        <v>2009</v>
      </c>
      <c r="L26" s="41" t="s">
        <v>388</v>
      </c>
    </row>
    <row r="27" spans="1:12" x14ac:dyDescent="0.25">
      <c r="A27" s="41" t="s">
        <v>190</v>
      </c>
      <c r="B27" s="41">
        <v>1926</v>
      </c>
      <c r="C27" s="41">
        <v>267833</v>
      </c>
      <c r="D27" s="41">
        <v>14511</v>
      </c>
      <c r="E27" s="41">
        <v>183</v>
      </c>
      <c r="F27" s="41">
        <v>1047</v>
      </c>
      <c r="G27" s="41">
        <v>23725314</v>
      </c>
      <c r="H27" s="41" t="s">
        <v>385</v>
      </c>
      <c r="I27" s="41" t="s">
        <v>386</v>
      </c>
      <c r="J27" s="41" t="s">
        <v>387</v>
      </c>
      <c r="K27" s="41" t="s">
        <v>2009</v>
      </c>
      <c r="L27" s="41" t="s">
        <v>388</v>
      </c>
    </row>
    <row r="28" spans="1:12" x14ac:dyDescent="0.25">
      <c r="A28" s="41" t="s">
        <v>74</v>
      </c>
      <c r="B28" s="41">
        <v>1926</v>
      </c>
      <c r="C28" s="41">
        <v>13216</v>
      </c>
      <c r="D28" s="41">
        <v>788</v>
      </c>
      <c r="E28" s="41">
        <v>173</v>
      </c>
      <c r="F28" s="41">
        <v>1479</v>
      </c>
      <c r="G28" s="41">
        <v>1810735</v>
      </c>
      <c r="H28" s="41" t="s">
        <v>385</v>
      </c>
      <c r="I28" s="41" t="s">
        <v>386</v>
      </c>
      <c r="J28" s="41" t="s">
        <v>387</v>
      </c>
      <c r="K28" s="41" t="s">
        <v>2009</v>
      </c>
      <c r="L28" s="41" t="s">
        <v>388</v>
      </c>
    </row>
    <row r="29" spans="1:12" x14ac:dyDescent="0.25">
      <c r="A29" s="41" t="s">
        <v>191</v>
      </c>
      <c r="B29" s="41">
        <v>1926</v>
      </c>
      <c r="C29" s="41">
        <v>62573</v>
      </c>
      <c r="D29" s="41">
        <v>3011</v>
      </c>
      <c r="E29" s="41">
        <v>174.2</v>
      </c>
      <c r="F29" s="41">
        <v>1164</v>
      </c>
      <c r="G29" s="41">
        <v>5892928</v>
      </c>
      <c r="H29" s="41" t="s">
        <v>385</v>
      </c>
      <c r="I29" s="41" t="s">
        <v>386</v>
      </c>
      <c r="J29" s="41" t="s">
        <v>387</v>
      </c>
      <c r="K29" s="41" t="s">
        <v>2009</v>
      </c>
      <c r="L29" s="41" t="s">
        <v>388</v>
      </c>
    </row>
    <row r="30" spans="1:12" x14ac:dyDescent="0.25">
      <c r="A30" s="41" t="s">
        <v>192</v>
      </c>
      <c r="B30" s="41">
        <v>1926</v>
      </c>
      <c r="C30" s="41">
        <v>589835</v>
      </c>
      <c r="D30" s="41">
        <v>21807</v>
      </c>
      <c r="E30" s="41">
        <v>186.5</v>
      </c>
      <c r="F30" s="41">
        <v>1930</v>
      </c>
      <c r="G30" s="41">
        <v>69876364</v>
      </c>
      <c r="H30" s="41" t="s">
        <v>385</v>
      </c>
      <c r="I30" s="41" t="s">
        <v>386</v>
      </c>
      <c r="J30" s="41" t="s">
        <v>387</v>
      </c>
      <c r="K30" s="41" t="s">
        <v>2009</v>
      </c>
      <c r="L30" s="41" t="s">
        <v>388</v>
      </c>
    </row>
    <row r="31" spans="1:12" x14ac:dyDescent="0.25">
      <c r="A31" s="41" t="s">
        <v>193</v>
      </c>
      <c r="B31" s="41">
        <v>1926</v>
      </c>
      <c r="C31" s="41">
        <v>67727</v>
      </c>
      <c r="D31" s="41">
        <v>3160</v>
      </c>
      <c r="E31" s="41">
        <v>175</v>
      </c>
      <c r="F31" s="41">
        <v>1028</v>
      </c>
      <c r="G31" s="41">
        <v>4894309</v>
      </c>
      <c r="H31" s="41" t="s">
        <v>385</v>
      </c>
      <c r="I31" s="41" t="s">
        <v>386</v>
      </c>
      <c r="J31" s="41" t="s">
        <v>387</v>
      </c>
      <c r="K31" s="41" t="s">
        <v>2009</v>
      </c>
      <c r="L31" s="41" t="s">
        <v>388</v>
      </c>
    </row>
    <row r="32" spans="1:12" x14ac:dyDescent="0.25">
      <c r="A32" s="41" t="s">
        <v>194</v>
      </c>
      <c r="B32" s="41">
        <v>1926</v>
      </c>
      <c r="C32" s="41">
        <v>1689223</v>
      </c>
      <c r="D32" s="41">
        <v>74065</v>
      </c>
      <c r="E32" s="41">
        <v>185.6</v>
      </c>
      <c r="F32" s="41">
        <v>2025</v>
      </c>
      <c r="G32" s="41">
        <v>192753387</v>
      </c>
      <c r="H32" s="41" t="s">
        <v>385</v>
      </c>
      <c r="I32" s="41" t="s">
        <v>386</v>
      </c>
      <c r="J32" s="41" t="s">
        <v>387</v>
      </c>
      <c r="K32" s="41" t="s">
        <v>2009</v>
      </c>
      <c r="L32" s="41" t="s">
        <v>389</v>
      </c>
    </row>
    <row r="33" spans="1:12" x14ac:dyDescent="0.25">
      <c r="A33" s="41" t="s">
        <v>195</v>
      </c>
      <c r="B33" s="41">
        <v>1926</v>
      </c>
      <c r="C33" s="41">
        <v>605755</v>
      </c>
      <c r="D33" s="41">
        <v>23128</v>
      </c>
      <c r="E33" s="41">
        <v>146.1</v>
      </c>
      <c r="F33" s="41">
        <v>781</v>
      </c>
      <c r="G33" s="41">
        <v>26278446</v>
      </c>
      <c r="H33" s="41" t="s">
        <v>385</v>
      </c>
      <c r="I33" s="41" t="s">
        <v>386</v>
      </c>
      <c r="J33" s="41" t="s">
        <v>387</v>
      </c>
      <c r="K33" s="41" t="s">
        <v>2009</v>
      </c>
      <c r="L33" s="41" t="s">
        <v>389</v>
      </c>
    </row>
    <row r="34" spans="1:12" x14ac:dyDescent="0.25">
      <c r="A34" s="41" t="s">
        <v>196</v>
      </c>
      <c r="B34" s="41">
        <v>1926</v>
      </c>
      <c r="C34" s="41">
        <v>143546</v>
      </c>
      <c r="D34" s="41">
        <v>8828</v>
      </c>
      <c r="E34" s="41">
        <v>166.8</v>
      </c>
      <c r="F34" s="41">
        <v>905</v>
      </c>
      <c r="G34" s="41">
        <v>12992933</v>
      </c>
      <c r="H34" s="41" t="s">
        <v>385</v>
      </c>
      <c r="I34" s="41" t="s">
        <v>386</v>
      </c>
      <c r="J34" s="41" t="s">
        <v>387</v>
      </c>
      <c r="K34" s="41" t="s">
        <v>2009</v>
      </c>
      <c r="L34" s="41" t="s">
        <v>389</v>
      </c>
    </row>
    <row r="35" spans="1:12" x14ac:dyDescent="0.25">
      <c r="A35" s="41" t="s">
        <v>144</v>
      </c>
      <c r="B35" s="41">
        <v>1926</v>
      </c>
      <c r="C35" s="41">
        <v>1072923</v>
      </c>
      <c r="D35" s="41">
        <v>40229</v>
      </c>
      <c r="E35" s="41">
        <v>171.2</v>
      </c>
      <c r="F35" s="41">
        <v>1411</v>
      </c>
      <c r="G35" s="41">
        <v>103367178</v>
      </c>
      <c r="H35" s="41" t="s">
        <v>385</v>
      </c>
      <c r="I35" s="41" t="s">
        <v>386</v>
      </c>
      <c r="J35" s="41" t="s">
        <v>387</v>
      </c>
      <c r="K35" s="41" t="s">
        <v>2009</v>
      </c>
      <c r="L35" s="41" t="s">
        <v>389</v>
      </c>
    </row>
    <row r="36" spans="1:12" x14ac:dyDescent="0.25">
      <c r="A36" s="41" t="s">
        <v>197</v>
      </c>
      <c r="B36" s="41">
        <v>1926</v>
      </c>
      <c r="C36" s="41">
        <v>444349</v>
      </c>
      <c r="D36" s="41">
        <v>18619</v>
      </c>
      <c r="E36" s="41">
        <v>148.9</v>
      </c>
      <c r="F36" s="41">
        <v>979</v>
      </c>
      <c r="G36" s="41">
        <v>27259158</v>
      </c>
      <c r="H36" s="41" t="s">
        <v>385</v>
      </c>
      <c r="I36" s="41" t="s">
        <v>386</v>
      </c>
      <c r="J36" s="41" t="s">
        <v>387</v>
      </c>
      <c r="K36" s="41" t="s">
        <v>2009</v>
      </c>
      <c r="L36" s="41" t="s">
        <v>389</v>
      </c>
    </row>
    <row r="37" spans="1:12" x14ac:dyDescent="0.25">
      <c r="A37" s="41" t="s">
        <v>198</v>
      </c>
      <c r="B37" s="41">
        <v>1926</v>
      </c>
      <c r="C37" s="41">
        <v>159314</v>
      </c>
      <c r="D37" s="41">
        <v>7663</v>
      </c>
      <c r="E37" s="41">
        <v>171.4</v>
      </c>
      <c r="F37" s="41">
        <v>1267</v>
      </c>
      <c r="G37" s="41">
        <v>14782738</v>
      </c>
      <c r="H37" s="41" t="s">
        <v>385</v>
      </c>
      <c r="I37" s="41" t="s">
        <v>386</v>
      </c>
      <c r="J37" s="41" t="s">
        <v>387</v>
      </c>
      <c r="K37" s="41" t="s">
        <v>2009</v>
      </c>
      <c r="L37" s="41" t="s">
        <v>389</v>
      </c>
    </row>
    <row r="38" spans="1:12" x14ac:dyDescent="0.25">
      <c r="A38" s="41" t="s">
        <v>199</v>
      </c>
      <c r="B38" s="41">
        <v>1926</v>
      </c>
      <c r="C38" s="41">
        <v>1550274</v>
      </c>
      <c r="D38" s="41">
        <v>54129</v>
      </c>
      <c r="E38" s="41">
        <v>180.7</v>
      </c>
      <c r="F38" s="41">
        <v>1468</v>
      </c>
      <c r="G38" s="41">
        <v>137554666</v>
      </c>
      <c r="H38" s="41" t="s">
        <v>385</v>
      </c>
      <c r="I38" s="41" t="s">
        <v>386</v>
      </c>
      <c r="J38" s="41" t="s">
        <v>387</v>
      </c>
      <c r="K38" s="41" t="s">
        <v>2009</v>
      </c>
      <c r="L38" s="41" t="s">
        <v>389</v>
      </c>
    </row>
    <row r="39" spans="1:12" x14ac:dyDescent="0.25">
      <c r="A39" s="41" t="s">
        <v>200</v>
      </c>
      <c r="B39" s="41">
        <v>1926</v>
      </c>
      <c r="C39" s="41">
        <v>93147</v>
      </c>
      <c r="D39" s="41">
        <v>3599</v>
      </c>
      <c r="E39" s="41">
        <v>190</v>
      </c>
      <c r="F39" s="41">
        <v>1478</v>
      </c>
      <c r="G39" s="41">
        <v>7582737</v>
      </c>
      <c r="H39" s="41" t="s">
        <v>385</v>
      </c>
      <c r="I39" s="41" t="s">
        <v>386</v>
      </c>
      <c r="J39" s="41" t="s">
        <v>387</v>
      </c>
      <c r="K39" s="41" t="s">
        <v>2009</v>
      </c>
      <c r="L39" s="41" t="s">
        <v>389</v>
      </c>
    </row>
    <row r="40" spans="1:12" x14ac:dyDescent="0.25">
      <c r="A40" s="41" t="s">
        <v>201</v>
      </c>
      <c r="B40" s="41">
        <v>1926</v>
      </c>
      <c r="C40" s="41">
        <v>345402</v>
      </c>
      <c r="D40" s="41">
        <v>12846</v>
      </c>
      <c r="E40" s="41">
        <v>144</v>
      </c>
      <c r="F40" s="41">
        <v>761</v>
      </c>
      <c r="G40" s="41">
        <v>12603571</v>
      </c>
      <c r="H40" s="41" t="s">
        <v>385</v>
      </c>
      <c r="I40" s="41" t="s">
        <v>386</v>
      </c>
      <c r="J40" s="41" t="s">
        <v>387</v>
      </c>
      <c r="K40" s="41" t="s">
        <v>2009</v>
      </c>
      <c r="L40" s="41" t="s">
        <v>389</v>
      </c>
    </row>
    <row r="41" spans="1:12" x14ac:dyDescent="0.25">
      <c r="A41" s="41" t="s">
        <v>202</v>
      </c>
      <c r="B41" s="41">
        <v>1926</v>
      </c>
      <c r="C41" s="41">
        <v>138388</v>
      </c>
      <c r="D41" s="41">
        <v>8121</v>
      </c>
      <c r="E41" s="41">
        <v>168.7</v>
      </c>
      <c r="F41" s="41">
        <v>923</v>
      </c>
      <c r="G41" s="41">
        <v>13504426</v>
      </c>
      <c r="H41" s="41" t="s">
        <v>385</v>
      </c>
      <c r="I41" s="41" t="s">
        <v>386</v>
      </c>
      <c r="J41" s="41" t="s">
        <v>387</v>
      </c>
      <c r="K41" s="41" t="s">
        <v>2009</v>
      </c>
      <c r="L41" s="41" t="s">
        <v>389</v>
      </c>
    </row>
    <row r="42" spans="1:12" x14ac:dyDescent="0.25">
      <c r="A42" s="41" t="s">
        <v>203</v>
      </c>
      <c r="B42" s="41">
        <v>1926</v>
      </c>
      <c r="C42" s="41">
        <v>453229</v>
      </c>
      <c r="D42" s="41">
        <v>17100</v>
      </c>
      <c r="E42" s="41">
        <v>152.19999999999999</v>
      </c>
      <c r="F42" s="41">
        <v>778</v>
      </c>
      <c r="G42" s="41">
        <v>17386292</v>
      </c>
      <c r="H42" s="41" t="s">
        <v>385</v>
      </c>
      <c r="I42" s="41" t="s">
        <v>386</v>
      </c>
      <c r="J42" s="41" t="s">
        <v>387</v>
      </c>
      <c r="K42" s="41" t="s">
        <v>2009</v>
      </c>
      <c r="L42" s="41" t="s">
        <v>389</v>
      </c>
    </row>
    <row r="43" spans="1:12" x14ac:dyDescent="0.25">
      <c r="A43" s="41" t="s">
        <v>204</v>
      </c>
      <c r="B43" s="41">
        <v>1926</v>
      </c>
      <c r="C43" s="41">
        <v>1031772</v>
      </c>
      <c r="D43" s="41">
        <v>37940</v>
      </c>
      <c r="E43" s="41">
        <v>134.69999999999999</v>
      </c>
      <c r="F43" s="41">
        <v>837</v>
      </c>
      <c r="G43" s="41">
        <v>54197384</v>
      </c>
      <c r="H43" s="41" t="s">
        <v>385</v>
      </c>
      <c r="I43" s="41" t="s">
        <v>386</v>
      </c>
      <c r="J43" s="41" t="s">
        <v>387</v>
      </c>
      <c r="K43" s="41" t="s">
        <v>2009</v>
      </c>
      <c r="L43" s="41" t="s">
        <v>389</v>
      </c>
    </row>
    <row r="44" spans="1:12" x14ac:dyDescent="0.25">
      <c r="A44" s="41" t="s">
        <v>205</v>
      </c>
      <c r="B44" s="41">
        <v>1926</v>
      </c>
      <c r="C44" s="41">
        <v>115186</v>
      </c>
      <c r="D44" s="41">
        <v>4082</v>
      </c>
      <c r="E44" s="41">
        <v>173.8</v>
      </c>
      <c r="F44" s="41">
        <v>1204</v>
      </c>
      <c r="G44" s="41">
        <v>8470359</v>
      </c>
      <c r="H44" s="41" t="s">
        <v>385</v>
      </c>
      <c r="I44" s="41" t="s">
        <v>386</v>
      </c>
      <c r="J44" s="41" t="s">
        <v>387</v>
      </c>
      <c r="K44" s="41" t="s">
        <v>2009</v>
      </c>
      <c r="L44" s="41" t="s">
        <v>389</v>
      </c>
    </row>
    <row r="45" spans="1:12" x14ac:dyDescent="0.25">
      <c r="A45" s="41" t="s">
        <v>206</v>
      </c>
      <c r="B45" s="41">
        <v>1926</v>
      </c>
      <c r="C45" s="41">
        <v>54692</v>
      </c>
      <c r="D45" s="41">
        <v>2921</v>
      </c>
      <c r="E45" s="41">
        <v>171.3</v>
      </c>
      <c r="F45" s="41">
        <v>899</v>
      </c>
      <c r="G45" s="41">
        <v>4248718</v>
      </c>
      <c r="H45" s="41" t="s">
        <v>385</v>
      </c>
      <c r="I45" s="41" t="s">
        <v>386</v>
      </c>
      <c r="J45" s="41" t="s">
        <v>387</v>
      </c>
      <c r="K45" s="41" t="s">
        <v>2009</v>
      </c>
      <c r="L45" s="41" t="s">
        <v>389</v>
      </c>
    </row>
    <row r="46" spans="1:12" x14ac:dyDescent="0.25">
      <c r="A46" s="41" t="s">
        <v>207</v>
      </c>
      <c r="B46" s="41">
        <v>1926</v>
      </c>
      <c r="C46" s="41">
        <v>424693</v>
      </c>
      <c r="D46" s="41">
        <v>17055</v>
      </c>
      <c r="E46" s="41">
        <v>159.4</v>
      </c>
      <c r="F46" s="41">
        <v>746</v>
      </c>
      <c r="G46" s="41">
        <v>17628569</v>
      </c>
      <c r="H46" s="41" t="s">
        <v>385</v>
      </c>
      <c r="I46" s="41" t="s">
        <v>386</v>
      </c>
      <c r="J46" s="41" t="s">
        <v>387</v>
      </c>
      <c r="K46" s="41" t="s">
        <v>2009</v>
      </c>
      <c r="L46" s="41" t="s">
        <v>389</v>
      </c>
    </row>
    <row r="47" spans="1:12" x14ac:dyDescent="0.25">
      <c r="A47" s="41" t="s">
        <v>56</v>
      </c>
      <c r="B47" s="41">
        <v>1926</v>
      </c>
      <c r="C47" s="41">
        <v>262661</v>
      </c>
      <c r="D47" s="41">
        <v>10093</v>
      </c>
      <c r="E47" s="41">
        <v>178.8</v>
      </c>
      <c r="F47" s="41">
        <v>1515</v>
      </c>
      <c r="G47" s="41">
        <v>26075815</v>
      </c>
      <c r="H47" s="41" t="s">
        <v>385</v>
      </c>
      <c r="I47" s="41" t="s">
        <v>386</v>
      </c>
      <c r="J47" s="41" t="s">
        <v>387</v>
      </c>
      <c r="K47" s="41" t="s">
        <v>2009</v>
      </c>
      <c r="L47" s="41" t="s">
        <v>389</v>
      </c>
    </row>
    <row r="48" spans="1:12" x14ac:dyDescent="0.25">
      <c r="A48" s="41" t="s">
        <v>208</v>
      </c>
      <c r="B48" s="41">
        <v>1926</v>
      </c>
      <c r="C48" s="41">
        <v>307250</v>
      </c>
      <c r="D48" s="41">
        <v>14358</v>
      </c>
      <c r="E48" s="41">
        <v>164.7</v>
      </c>
      <c r="F48" s="41">
        <v>1072</v>
      </c>
      <c r="G48" s="41">
        <v>22070820</v>
      </c>
      <c r="H48" s="41" t="s">
        <v>385</v>
      </c>
      <c r="I48" s="41" t="s">
        <v>386</v>
      </c>
      <c r="J48" s="41" t="s">
        <v>387</v>
      </c>
      <c r="K48" s="41" t="s">
        <v>2009</v>
      </c>
      <c r="L48" s="41" t="s">
        <v>389</v>
      </c>
    </row>
    <row r="49" spans="1:12" x14ac:dyDescent="0.25">
      <c r="A49" s="41" t="s">
        <v>209</v>
      </c>
      <c r="B49" s="41">
        <v>1926</v>
      </c>
      <c r="C49" s="41">
        <v>474947</v>
      </c>
      <c r="D49" s="41">
        <v>20223</v>
      </c>
      <c r="E49" s="41">
        <v>178.2</v>
      </c>
      <c r="F49" s="41">
        <v>1237</v>
      </c>
      <c r="G49" s="41">
        <v>38780568</v>
      </c>
      <c r="H49" s="41" t="s">
        <v>385</v>
      </c>
      <c r="I49" s="41" t="s">
        <v>386</v>
      </c>
      <c r="J49" s="41" t="s">
        <v>387</v>
      </c>
      <c r="K49" s="41" t="s">
        <v>2009</v>
      </c>
      <c r="L49" s="41" t="s">
        <v>389</v>
      </c>
    </row>
    <row r="50" spans="1:12" x14ac:dyDescent="0.25">
      <c r="A50" s="41" t="s">
        <v>210</v>
      </c>
      <c r="B50" s="41">
        <v>1926</v>
      </c>
      <c r="C50" s="41">
        <v>42140</v>
      </c>
      <c r="D50" s="41">
        <v>3041</v>
      </c>
      <c r="E50" s="41">
        <v>170.2</v>
      </c>
      <c r="F50" s="41">
        <v>1143</v>
      </c>
      <c r="G50" s="41">
        <v>5337027</v>
      </c>
      <c r="H50" s="41" t="s">
        <v>385</v>
      </c>
      <c r="I50" s="41" t="s">
        <v>386</v>
      </c>
      <c r="J50" s="41" t="s">
        <v>387</v>
      </c>
      <c r="K50" s="41" t="s">
        <v>2009</v>
      </c>
      <c r="L50" s="41" t="s">
        <v>389</v>
      </c>
    </row>
    <row r="51" spans="1:12" x14ac:dyDescent="0.25">
      <c r="C51" s="41">
        <f>SUM(C2:C50)</f>
        <v>19855881</v>
      </c>
      <c r="D51" s="41">
        <f>SUM(D2:D50)</f>
        <v>814159</v>
      </c>
      <c r="G51" s="41">
        <f>SUM(G2:G50)</f>
        <v>1609774911</v>
      </c>
    </row>
    <row r="52" spans="1:12" x14ac:dyDescent="0.25">
      <c r="C52" s="41">
        <v>19855881</v>
      </c>
      <c r="D52" s="41">
        <v>814169</v>
      </c>
      <c r="G52" s="41">
        <v>1609774911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5"/>
  <sheetViews>
    <sheetView workbookViewId="0"/>
  </sheetViews>
  <sheetFormatPr defaultColWidth="8.85546875" defaultRowHeight="15" x14ac:dyDescent="0.25"/>
  <cols>
    <col min="1" max="2" width="17.28515625" bestFit="1" customWidth="1"/>
    <col min="3" max="3" width="21.7109375" bestFit="1" customWidth="1"/>
    <col min="4" max="4" width="17" style="9" bestFit="1" customWidth="1"/>
    <col min="5" max="5" width="16.7109375" style="2" bestFit="1" customWidth="1"/>
    <col min="6" max="6" width="9.28515625" customWidth="1"/>
    <col min="7" max="7" width="7.7109375" customWidth="1"/>
    <col min="8" max="8" width="4.85546875" bestFit="1" customWidth="1"/>
  </cols>
  <sheetData>
    <row r="1" spans="1:11" x14ac:dyDescent="0.25">
      <c r="A1" t="s">
        <v>2</v>
      </c>
      <c r="B1" t="s">
        <v>357</v>
      </c>
      <c r="C1" t="s">
        <v>358</v>
      </c>
      <c r="D1" s="9" t="s">
        <v>359</v>
      </c>
      <c r="E1" s="2" t="s">
        <v>360</v>
      </c>
      <c r="F1" t="s">
        <v>364</v>
      </c>
      <c r="G1" t="s">
        <v>365</v>
      </c>
      <c r="H1" t="s">
        <v>4</v>
      </c>
      <c r="I1" t="s">
        <v>4</v>
      </c>
      <c r="J1" t="s">
        <v>4</v>
      </c>
      <c r="K1" t="s">
        <v>4</v>
      </c>
    </row>
    <row r="3" spans="1:11" x14ac:dyDescent="0.25">
      <c r="A3" t="s">
        <v>183</v>
      </c>
      <c r="B3">
        <v>145</v>
      </c>
      <c r="C3">
        <v>30.63</v>
      </c>
      <c r="D3" s="9">
        <v>27.6</v>
      </c>
      <c r="E3" s="2">
        <v>2231947</v>
      </c>
      <c r="F3">
        <v>1907</v>
      </c>
      <c r="G3">
        <v>1906</v>
      </c>
      <c r="H3">
        <v>25</v>
      </c>
      <c r="I3">
        <v>49</v>
      </c>
      <c r="J3">
        <v>77</v>
      </c>
      <c r="K3">
        <v>52</v>
      </c>
    </row>
    <row r="4" spans="1:11" x14ac:dyDescent="0.25">
      <c r="A4" t="s">
        <v>191</v>
      </c>
      <c r="B4">
        <v>159.30000000000001</v>
      </c>
      <c r="C4">
        <v>36.450000000000003</v>
      </c>
      <c r="D4" s="9">
        <v>28.9</v>
      </c>
      <c r="E4" s="2">
        <v>1452593</v>
      </c>
      <c r="F4">
        <v>1907</v>
      </c>
      <c r="G4">
        <v>1906</v>
      </c>
      <c r="H4">
        <v>25</v>
      </c>
      <c r="I4">
        <v>49</v>
      </c>
      <c r="J4">
        <v>77</v>
      </c>
      <c r="K4">
        <v>52</v>
      </c>
    </row>
    <row r="5" spans="1:11" x14ac:dyDescent="0.25">
      <c r="A5" t="s">
        <v>206</v>
      </c>
      <c r="B5">
        <v>160</v>
      </c>
      <c r="C5">
        <v>31.45</v>
      </c>
      <c r="D5" s="9">
        <v>33.700000000000003</v>
      </c>
      <c r="E5" s="2">
        <v>1271239</v>
      </c>
      <c r="F5">
        <v>1907</v>
      </c>
      <c r="G5">
        <v>1906</v>
      </c>
      <c r="H5">
        <v>25</v>
      </c>
      <c r="I5">
        <v>49</v>
      </c>
      <c r="J5">
        <v>77</v>
      </c>
      <c r="K5">
        <v>52</v>
      </c>
    </row>
    <row r="6" spans="1:11" x14ac:dyDescent="0.25">
      <c r="A6" t="s">
        <v>185</v>
      </c>
      <c r="B6">
        <v>187</v>
      </c>
      <c r="C6">
        <v>64.900000000000006</v>
      </c>
      <c r="D6" s="9">
        <v>32.5</v>
      </c>
      <c r="E6" s="2">
        <v>18131529</v>
      </c>
      <c r="F6">
        <v>1907</v>
      </c>
      <c r="G6">
        <v>1906</v>
      </c>
      <c r="H6">
        <v>25</v>
      </c>
      <c r="I6">
        <v>49</v>
      </c>
      <c r="J6">
        <v>77</v>
      </c>
      <c r="K6">
        <v>52</v>
      </c>
    </row>
    <row r="7" spans="1:11" x14ac:dyDescent="0.25">
      <c r="A7" t="s">
        <v>200</v>
      </c>
      <c r="B7">
        <v>194</v>
      </c>
      <c r="C7">
        <v>59.25</v>
      </c>
      <c r="D7" s="9">
        <v>29.9</v>
      </c>
      <c r="E7" s="2">
        <v>1987750</v>
      </c>
      <c r="F7">
        <v>1907</v>
      </c>
      <c r="G7">
        <v>1906</v>
      </c>
      <c r="H7">
        <v>25</v>
      </c>
      <c r="I7">
        <v>49</v>
      </c>
      <c r="J7">
        <v>77</v>
      </c>
      <c r="K7">
        <v>52</v>
      </c>
    </row>
    <row r="8" spans="1:11" x14ac:dyDescent="0.25">
      <c r="A8" t="s">
        <v>215</v>
      </c>
      <c r="B8">
        <v>187.1</v>
      </c>
      <c r="C8">
        <v>52.62</v>
      </c>
      <c r="D8" s="9">
        <v>31.7</v>
      </c>
      <c r="E8" s="2">
        <v>4062902</v>
      </c>
      <c r="F8">
        <v>1907</v>
      </c>
      <c r="G8">
        <v>1906</v>
      </c>
      <c r="H8">
        <v>25</v>
      </c>
      <c r="I8">
        <v>49</v>
      </c>
      <c r="J8">
        <v>77</v>
      </c>
      <c r="K8">
        <v>52</v>
      </c>
    </row>
    <row r="9" spans="1:11" x14ac:dyDescent="0.25">
      <c r="A9" t="s">
        <v>194</v>
      </c>
      <c r="B9">
        <v>189</v>
      </c>
      <c r="C9">
        <v>88.88</v>
      </c>
      <c r="D9" s="9">
        <v>34.299999999999997</v>
      </c>
      <c r="E9" s="2">
        <v>53206414</v>
      </c>
      <c r="F9">
        <v>1907</v>
      </c>
      <c r="G9">
        <v>1906</v>
      </c>
      <c r="H9">
        <v>25</v>
      </c>
      <c r="I9">
        <v>49</v>
      </c>
      <c r="J9">
        <v>77</v>
      </c>
      <c r="K9">
        <v>52</v>
      </c>
    </row>
    <row r="10" spans="1:11" x14ac:dyDescent="0.25">
      <c r="A10" t="s">
        <v>192</v>
      </c>
      <c r="B10">
        <v>188</v>
      </c>
      <c r="C10">
        <v>65.819999999999993</v>
      </c>
      <c r="D10" s="9">
        <v>31.3</v>
      </c>
      <c r="E10" s="2">
        <v>12190962</v>
      </c>
      <c r="F10">
        <v>1907</v>
      </c>
      <c r="G10">
        <v>1906</v>
      </c>
      <c r="H10">
        <v>25</v>
      </c>
      <c r="I10">
        <v>49</v>
      </c>
      <c r="J10">
        <v>77</v>
      </c>
      <c r="K10">
        <v>52</v>
      </c>
    </row>
    <row r="11" spans="1:11" x14ac:dyDescent="0.25">
      <c r="A11" t="s">
        <v>199</v>
      </c>
      <c r="B11">
        <v>168</v>
      </c>
      <c r="C11">
        <v>43.28</v>
      </c>
      <c r="D11" s="9">
        <v>33.9</v>
      </c>
      <c r="E11" s="2">
        <v>31371864</v>
      </c>
      <c r="F11">
        <v>1907</v>
      </c>
      <c r="G11">
        <v>1906</v>
      </c>
      <c r="H11">
        <v>25</v>
      </c>
      <c r="I11">
        <v>49</v>
      </c>
      <c r="J11">
        <v>77</v>
      </c>
      <c r="K11">
        <v>52</v>
      </c>
    </row>
    <row r="12" spans="1:11" x14ac:dyDescent="0.25">
      <c r="A12" t="s">
        <v>174</v>
      </c>
      <c r="B12">
        <v>170.1</v>
      </c>
      <c r="C12">
        <v>40.22</v>
      </c>
      <c r="D12" s="9">
        <v>34.4</v>
      </c>
      <c r="E12" s="2">
        <v>539957</v>
      </c>
      <c r="F12">
        <v>1907</v>
      </c>
      <c r="G12">
        <v>1906</v>
      </c>
      <c r="H12">
        <v>25</v>
      </c>
      <c r="I12">
        <v>49</v>
      </c>
      <c r="J12">
        <v>77</v>
      </c>
      <c r="K12">
        <v>52</v>
      </c>
    </row>
    <row r="13" spans="1:11" x14ac:dyDescent="0.25">
      <c r="A13" t="s">
        <v>184</v>
      </c>
      <c r="B13">
        <v>179</v>
      </c>
      <c r="C13">
        <v>52.83</v>
      </c>
      <c r="D13" s="9">
        <v>31.7</v>
      </c>
      <c r="E13" s="2">
        <v>3307378</v>
      </c>
      <c r="F13">
        <v>1907</v>
      </c>
      <c r="G13">
        <v>1906</v>
      </c>
      <c r="H13">
        <v>25</v>
      </c>
      <c r="I13">
        <v>49</v>
      </c>
      <c r="J13">
        <v>77</v>
      </c>
      <c r="K13">
        <v>52</v>
      </c>
    </row>
    <row r="14" spans="1:11" x14ac:dyDescent="0.25">
      <c r="A14" t="s">
        <v>175</v>
      </c>
      <c r="B14">
        <v>180</v>
      </c>
      <c r="C14">
        <v>95</v>
      </c>
      <c r="D14" s="9">
        <v>27.1</v>
      </c>
      <c r="E14" s="2">
        <v>1767663</v>
      </c>
      <c r="F14">
        <v>1907</v>
      </c>
      <c r="G14">
        <v>1906</v>
      </c>
      <c r="H14">
        <v>25</v>
      </c>
      <c r="I14">
        <v>49</v>
      </c>
      <c r="J14">
        <v>77</v>
      </c>
      <c r="K14">
        <v>52</v>
      </c>
    </row>
    <row r="15" spans="1:11" x14ac:dyDescent="0.25">
      <c r="A15" t="s">
        <v>207</v>
      </c>
      <c r="B15">
        <v>134</v>
      </c>
      <c r="C15">
        <v>33.880000000000003</v>
      </c>
      <c r="D15" s="9">
        <v>37.1</v>
      </c>
      <c r="E15" s="2">
        <v>3357475</v>
      </c>
      <c r="F15">
        <v>1907</v>
      </c>
      <c r="G15">
        <v>1906</v>
      </c>
      <c r="H15">
        <v>25</v>
      </c>
      <c r="I15">
        <v>49</v>
      </c>
      <c r="J15">
        <v>77</v>
      </c>
      <c r="K15">
        <v>52</v>
      </c>
    </row>
    <row r="16" spans="1:11" x14ac:dyDescent="0.25">
      <c r="A16" t="s">
        <v>208</v>
      </c>
      <c r="B16">
        <v>127.5</v>
      </c>
      <c r="C16">
        <v>37.619999999999997</v>
      </c>
      <c r="D16" s="9">
        <v>29.1</v>
      </c>
      <c r="E16" s="2">
        <v>3360857</v>
      </c>
      <c r="F16">
        <v>1907</v>
      </c>
      <c r="G16">
        <v>1906</v>
      </c>
      <c r="H16">
        <v>25</v>
      </c>
      <c r="I16">
        <v>49</v>
      </c>
      <c r="J16">
        <v>77</v>
      </c>
      <c r="K16">
        <v>52</v>
      </c>
    </row>
    <row r="17" spans="1:11" x14ac:dyDescent="0.25">
      <c r="A17" t="s">
        <v>195</v>
      </c>
      <c r="B17">
        <v>95</v>
      </c>
      <c r="C17">
        <v>30.2</v>
      </c>
      <c r="D17" s="9">
        <v>33.799999999999997</v>
      </c>
      <c r="E17" s="2">
        <v>2291053</v>
      </c>
      <c r="F17">
        <v>1907</v>
      </c>
      <c r="G17">
        <v>1906</v>
      </c>
      <c r="H17">
        <v>25</v>
      </c>
      <c r="I17">
        <v>49</v>
      </c>
      <c r="J17">
        <v>77</v>
      </c>
      <c r="K17">
        <v>52</v>
      </c>
    </row>
    <row r="18" spans="1:11" x14ac:dyDescent="0.25">
      <c r="A18" t="s">
        <v>201</v>
      </c>
      <c r="B18">
        <v>104.5</v>
      </c>
      <c r="C18">
        <v>37.700000000000003</v>
      </c>
      <c r="D18" s="9">
        <v>46.5</v>
      </c>
      <c r="E18" s="2">
        <v>1415724</v>
      </c>
      <c r="F18">
        <v>1907</v>
      </c>
      <c r="G18">
        <v>1906</v>
      </c>
      <c r="H18">
        <v>25</v>
      </c>
      <c r="I18">
        <v>49</v>
      </c>
      <c r="J18">
        <v>77</v>
      </c>
      <c r="K18">
        <v>52</v>
      </c>
    </row>
    <row r="19" spans="1:11" x14ac:dyDescent="0.25">
      <c r="A19" t="s">
        <v>89</v>
      </c>
      <c r="B19">
        <v>118</v>
      </c>
      <c r="C19">
        <v>33.83</v>
      </c>
      <c r="D19" s="9">
        <v>38.9</v>
      </c>
      <c r="E19" s="2">
        <v>2327603</v>
      </c>
      <c r="F19">
        <v>1907</v>
      </c>
      <c r="G19">
        <v>1906</v>
      </c>
      <c r="H19">
        <v>25</v>
      </c>
      <c r="I19">
        <v>49</v>
      </c>
      <c r="J19">
        <v>77</v>
      </c>
      <c r="K19">
        <v>52</v>
      </c>
    </row>
    <row r="20" spans="1:11" x14ac:dyDescent="0.25">
      <c r="A20" t="s">
        <v>176</v>
      </c>
      <c r="B20">
        <v>106</v>
      </c>
      <c r="C20">
        <v>39.56</v>
      </c>
      <c r="D20" s="9">
        <v>34</v>
      </c>
      <c r="E20" s="2">
        <v>1221427</v>
      </c>
      <c r="F20">
        <v>1907</v>
      </c>
      <c r="G20">
        <v>1906</v>
      </c>
      <c r="H20">
        <v>25</v>
      </c>
      <c r="I20">
        <v>49</v>
      </c>
      <c r="J20">
        <v>77</v>
      </c>
      <c r="K20">
        <v>52</v>
      </c>
    </row>
    <row r="21" spans="1:11" x14ac:dyDescent="0.25">
      <c r="A21" t="s">
        <v>120</v>
      </c>
      <c r="B21">
        <v>90</v>
      </c>
      <c r="C21">
        <v>44.24</v>
      </c>
      <c r="D21" s="9">
        <v>34.200000000000003</v>
      </c>
      <c r="E21" s="2">
        <v>2662863</v>
      </c>
      <c r="F21">
        <v>1907</v>
      </c>
      <c r="G21">
        <v>1906</v>
      </c>
      <c r="H21">
        <v>25</v>
      </c>
      <c r="I21">
        <v>49</v>
      </c>
      <c r="J21">
        <v>77</v>
      </c>
      <c r="K21">
        <v>52</v>
      </c>
    </row>
    <row r="22" spans="1:11" x14ac:dyDescent="0.25">
      <c r="A22" t="s">
        <v>203</v>
      </c>
      <c r="B22">
        <v>116</v>
      </c>
      <c r="C22">
        <v>36.200000000000003</v>
      </c>
      <c r="D22" s="9">
        <v>41</v>
      </c>
      <c r="E22" s="2">
        <v>3247564</v>
      </c>
      <c r="F22">
        <v>1907</v>
      </c>
      <c r="G22">
        <v>1906</v>
      </c>
      <c r="H22">
        <v>25</v>
      </c>
      <c r="I22">
        <v>49</v>
      </c>
      <c r="J22">
        <v>77</v>
      </c>
      <c r="K22">
        <v>52</v>
      </c>
    </row>
    <row r="23" spans="1:11" x14ac:dyDescent="0.25">
      <c r="A23" t="s">
        <v>5</v>
      </c>
      <c r="B23">
        <v>102.5</v>
      </c>
      <c r="C23">
        <v>28.2</v>
      </c>
      <c r="D23" s="9">
        <v>35.1</v>
      </c>
      <c r="E23" s="2">
        <v>1475000</v>
      </c>
      <c r="F23">
        <v>1907</v>
      </c>
      <c r="G23">
        <v>1906</v>
      </c>
      <c r="H23">
        <v>25</v>
      </c>
      <c r="I23">
        <v>49</v>
      </c>
      <c r="J23">
        <v>77</v>
      </c>
      <c r="K23">
        <v>52</v>
      </c>
    </row>
    <row r="24" spans="1:11" x14ac:dyDescent="0.25">
      <c r="A24" t="s">
        <v>73</v>
      </c>
      <c r="B24">
        <v>119</v>
      </c>
      <c r="C24">
        <v>30.84</v>
      </c>
      <c r="D24" s="9">
        <v>32.9</v>
      </c>
      <c r="E24" s="2">
        <v>2641000</v>
      </c>
      <c r="F24">
        <v>1907</v>
      </c>
      <c r="G24">
        <v>1906</v>
      </c>
      <c r="H24">
        <v>25</v>
      </c>
      <c r="I24">
        <v>49</v>
      </c>
      <c r="J24">
        <v>77</v>
      </c>
      <c r="K24">
        <v>52</v>
      </c>
    </row>
    <row r="25" spans="1:11" x14ac:dyDescent="0.25">
      <c r="A25" t="s">
        <v>152</v>
      </c>
      <c r="B25">
        <v>128</v>
      </c>
      <c r="C25">
        <v>39.97</v>
      </c>
      <c r="D25" s="9">
        <v>29.3</v>
      </c>
      <c r="E25" s="2">
        <v>2169001</v>
      </c>
      <c r="F25">
        <v>1907</v>
      </c>
      <c r="G25">
        <v>1906</v>
      </c>
      <c r="H25">
        <v>25</v>
      </c>
      <c r="I25">
        <v>49</v>
      </c>
      <c r="J25">
        <v>77</v>
      </c>
      <c r="K25">
        <v>52</v>
      </c>
    </row>
    <row r="26" spans="1:11" x14ac:dyDescent="0.25">
      <c r="A26" t="s">
        <v>204</v>
      </c>
      <c r="B26">
        <v>112</v>
      </c>
      <c r="C26">
        <v>52.74</v>
      </c>
      <c r="D26" s="9">
        <v>35</v>
      </c>
      <c r="E26" s="2">
        <v>7227058</v>
      </c>
      <c r="F26">
        <v>1907</v>
      </c>
      <c r="G26">
        <v>1906</v>
      </c>
      <c r="H26">
        <v>25</v>
      </c>
      <c r="I26">
        <v>49</v>
      </c>
      <c r="J26">
        <v>77</v>
      </c>
      <c r="K26">
        <v>52</v>
      </c>
    </row>
    <row r="27" spans="1:11" x14ac:dyDescent="0.25">
      <c r="A27" t="s">
        <v>61</v>
      </c>
      <c r="B27">
        <v>93.3</v>
      </c>
      <c r="C27">
        <v>46.85</v>
      </c>
      <c r="D27" s="9">
        <v>42.4</v>
      </c>
      <c r="E27" s="2">
        <v>2413768</v>
      </c>
      <c r="F27">
        <v>1907</v>
      </c>
      <c r="G27">
        <v>1906</v>
      </c>
      <c r="H27">
        <v>25</v>
      </c>
      <c r="I27">
        <v>49</v>
      </c>
      <c r="J27">
        <v>77</v>
      </c>
      <c r="K27">
        <v>52</v>
      </c>
    </row>
    <row r="28" spans="1:11" x14ac:dyDescent="0.25">
      <c r="A28" t="s">
        <v>197</v>
      </c>
      <c r="B28">
        <v>109</v>
      </c>
      <c r="C28">
        <v>37.76</v>
      </c>
      <c r="D28" s="9">
        <v>27.7</v>
      </c>
      <c r="E28" s="2">
        <v>1629470</v>
      </c>
      <c r="F28">
        <v>1907</v>
      </c>
      <c r="G28">
        <v>1906</v>
      </c>
      <c r="H28">
        <v>25</v>
      </c>
      <c r="I28">
        <v>49</v>
      </c>
      <c r="J28">
        <v>77</v>
      </c>
      <c r="K28">
        <v>52</v>
      </c>
    </row>
    <row r="29" spans="1:11" x14ac:dyDescent="0.25">
      <c r="A29" t="s">
        <v>180</v>
      </c>
      <c r="B29">
        <v>135</v>
      </c>
      <c r="C29">
        <v>44.22</v>
      </c>
      <c r="D29" s="9">
        <v>38.4</v>
      </c>
      <c r="E29" s="2">
        <v>920000</v>
      </c>
      <c r="F29">
        <v>1907</v>
      </c>
      <c r="G29">
        <v>1906</v>
      </c>
      <c r="H29">
        <v>25</v>
      </c>
      <c r="I29">
        <v>49</v>
      </c>
      <c r="J29">
        <v>77</v>
      </c>
      <c r="K29">
        <v>52</v>
      </c>
    </row>
    <row r="30" spans="1:11" x14ac:dyDescent="0.25">
      <c r="A30" t="s">
        <v>144</v>
      </c>
      <c r="B30">
        <v>160</v>
      </c>
      <c r="C30">
        <v>41.79</v>
      </c>
      <c r="D30" s="9">
        <v>37.9</v>
      </c>
      <c r="E30" s="2">
        <v>20919886</v>
      </c>
      <c r="F30">
        <v>1907</v>
      </c>
      <c r="G30">
        <v>1906</v>
      </c>
      <c r="H30">
        <v>25</v>
      </c>
      <c r="I30">
        <v>49</v>
      </c>
      <c r="J30">
        <v>77</v>
      </c>
      <c r="K30">
        <v>52</v>
      </c>
    </row>
    <row r="31" spans="1:11" x14ac:dyDescent="0.25">
      <c r="A31" t="s">
        <v>179</v>
      </c>
      <c r="B31">
        <v>160</v>
      </c>
      <c r="C31">
        <v>56.32</v>
      </c>
      <c r="D31" s="9">
        <v>29.8</v>
      </c>
      <c r="E31" s="2">
        <v>12012278</v>
      </c>
      <c r="F31">
        <v>1907</v>
      </c>
      <c r="G31">
        <v>1906</v>
      </c>
      <c r="H31">
        <v>25</v>
      </c>
      <c r="I31">
        <v>49</v>
      </c>
      <c r="J31">
        <v>77</v>
      </c>
      <c r="K31">
        <v>52</v>
      </c>
    </row>
    <row r="32" spans="1:11" x14ac:dyDescent="0.25">
      <c r="A32" t="s">
        <v>178</v>
      </c>
      <c r="B32">
        <v>169.4</v>
      </c>
      <c r="C32">
        <v>46.36</v>
      </c>
      <c r="D32" s="9">
        <v>37.9</v>
      </c>
      <c r="E32" s="2">
        <v>30105723</v>
      </c>
      <c r="F32">
        <v>1907</v>
      </c>
      <c r="G32">
        <v>1906</v>
      </c>
      <c r="H32">
        <v>25</v>
      </c>
      <c r="I32">
        <v>49</v>
      </c>
      <c r="J32">
        <v>77</v>
      </c>
      <c r="K32">
        <v>52</v>
      </c>
    </row>
    <row r="33" spans="1:11" x14ac:dyDescent="0.25">
      <c r="A33" t="s">
        <v>186</v>
      </c>
      <c r="B33">
        <v>168</v>
      </c>
      <c r="C33">
        <v>46.06</v>
      </c>
      <c r="D33" s="9">
        <v>30.7</v>
      </c>
      <c r="E33" s="2">
        <v>10603904</v>
      </c>
      <c r="F33">
        <v>1907</v>
      </c>
      <c r="G33">
        <v>1906</v>
      </c>
      <c r="H33">
        <v>25</v>
      </c>
      <c r="I33">
        <v>49</v>
      </c>
      <c r="J33">
        <v>77</v>
      </c>
      <c r="K33">
        <v>52</v>
      </c>
    </row>
    <row r="34" spans="1:11" x14ac:dyDescent="0.25">
      <c r="A34" t="s">
        <v>209</v>
      </c>
      <c r="B34">
        <v>168</v>
      </c>
      <c r="C34">
        <v>50.81</v>
      </c>
      <c r="D34" s="9">
        <v>31.9</v>
      </c>
      <c r="E34" s="2">
        <v>8946400</v>
      </c>
      <c r="F34">
        <v>1907</v>
      </c>
      <c r="G34">
        <v>1906</v>
      </c>
      <c r="H34">
        <v>25</v>
      </c>
      <c r="I34">
        <v>49</v>
      </c>
      <c r="J34">
        <v>77</v>
      </c>
      <c r="K34">
        <v>52</v>
      </c>
    </row>
    <row r="35" spans="1:11" x14ac:dyDescent="0.25">
      <c r="A35" t="s">
        <v>187</v>
      </c>
      <c r="B35">
        <v>145</v>
      </c>
      <c r="C35">
        <v>46.26</v>
      </c>
      <c r="D35" s="9">
        <v>35.299999999999997</v>
      </c>
      <c r="E35" s="2">
        <v>10802808</v>
      </c>
      <c r="F35">
        <v>1907</v>
      </c>
      <c r="G35">
        <v>1906</v>
      </c>
      <c r="H35">
        <v>25</v>
      </c>
      <c r="I35">
        <v>49</v>
      </c>
      <c r="J35">
        <v>77</v>
      </c>
      <c r="K35">
        <v>52</v>
      </c>
    </row>
    <row r="36" spans="1:11" x14ac:dyDescent="0.25">
      <c r="A36" t="s">
        <v>181</v>
      </c>
      <c r="B36">
        <v>170</v>
      </c>
      <c r="C36">
        <v>46.48</v>
      </c>
      <c r="D36" s="9">
        <v>28.9</v>
      </c>
      <c r="E36" s="2">
        <v>10681267</v>
      </c>
      <c r="F36">
        <v>1907</v>
      </c>
      <c r="G36">
        <v>1906</v>
      </c>
      <c r="H36">
        <v>25</v>
      </c>
      <c r="I36">
        <v>49</v>
      </c>
      <c r="J36">
        <v>77</v>
      </c>
      <c r="K36">
        <v>52</v>
      </c>
    </row>
    <row r="37" spans="1:11" x14ac:dyDescent="0.25">
      <c r="A37" t="s">
        <v>188</v>
      </c>
      <c r="B37">
        <v>145</v>
      </c>
      <c r="C37">
        <v>48.31</v>
      </c>
      <c r="D37" s="9">
        <v>31.7</v>
      </c>
      <c r="E37" s="2">
        <v>8481871</v>
      </c>
      <c r="F37">
        <v>1907</v>
      </c>
      <c r="G37">
        <v>1906</v>
      </c>
      <c r="H37">
        <v>25</v>
      </c>
      <c r="I37">
        <v>49</v>
      </c>
      <c r="J37">
        <v>77</v>
      </c>
      <c r="K37">
        <v>52</v>
      </c>
    </row>
    <row r="38" spans="1:11" x14ac:dyDescent="0.25">
      <c r="A38" t="s">
        <v>196</v>
      </c>
      <c r="B38">
        <v>142.30000000000001</v>
      </c>
      <c r="C38">
        <v>46</v>
      </c>
      <c r="D38" s="9">
        <v>29.6</v>
      </c>
      <c r="E38" s="2">
        <v>2900000</v>
      </c>
      <c r="F38">
        <v>1907</v>
      </c>
      <c r="G38">
        <v>1906</v>
      </c>
      <c r="H38">
        <v>25</v>
      </c>
      <c r="I38">
        <v>49</v>
      </c>
      <c r="J38">
        <v>77</v>
      </c>
      <c r="K38">
        <v>52</v>
      </c>
    </row>
    <row r="39" spans="1:11" x14ac:dyDescent="0.25">
      <c r="A39" t="s">
        <v>202</v>
      </c>
      <c r="B39">
        <v>155.5</v>
      </c>
      <c r="C39">
        <v>45.89</v>
      </c>
      <c r="D39" s="9">
        <v>26.7</v>
      </c>
      <c r="E39" s="2">
        <v>2108846</v>
      </c>
      <c r="F39">
        <v>1907</v>
      </c>
      <c r="G39">
        <v>1906</v>
      </c>
      <c r="H39">
        <v>25</v>
      </c>
      <c r="I39">
        <v>49</v>
      </c>
      <c r="J39">
        <v>77</v>
      </c>
      <c r="K39">
        <v>52</v>
      </c>
    </row>
    <row r="40" spans="1:11" x14ac:dyDescent="0.25">
      <c r="A40" t="s">
        <v>190</v>
      </c>
      <c r="B40">
        <v>167.7</v>
      </c>
      <c r="C40">
        <v>48.59</v>
      </c>
      <c r="D40" s="9">
        <v>30.9</v>
      </c>
      <c r="E40" s="2">
        <v>5561217</v>
      </c>
      <c r="F40">
        <v>1907</v>
      </c>
      <c r="G40">
        <v>1906</v>
      </c>
      <c r="H40">
        <v>25</v>
      </c>
      <c r="I40">
        <v>49</v>
      </c>
      <c r="J40">
        <v>77</v>
      </c>
      <c r="K40">
        <v>52</v>
      </c>
    </row>
    <row r="41" spans="1:11" x14ac:dyDescent="0.25">
      <c r="A41" t="s">
        <v>182</v>
      </c>
      <c r="B41">
        <v>145</v>
      </c>
      <c r="C41">
        <v>41.88</v>
      </c>
      <c r="D41" s="9">
        <v>35.1</v>
      </c>
      <c r="E41" s="2">
        <v>5829916</v>
      </c>
      <c r="F41">
        <v>1907</v>
      </c>
      <c r="G41">
        <v>1906</v>
      </c>
      <c r="H41">
        <v>25</v>
      </c>
      <c r="I41">
        <v>49</v>
      </c>
      <c r="J41">
        <v>77</v>
      </c>
      <c r="K41">
        <v>52</v>
      </c>
    </row>
    <row r="42" spans="1:11" x14ac:dyDescent="0.25">
      <c r="A42" t="s">
        <v>189</v>
      </c>
      <c r="B42">
        <v>128</v>
      </c>
      <c r="C42">
        <v>60.16</v>
      </c>
      <c r="D42" s="9">
        <v>28.8</v>
      </c>
      <c r="E42" s="2">
        <v>1716175</v>
      </c>
      <c r="F42">
        <v>1907</v>
      </c>
      <c r="G42">
        <v>1906</v>
      </c>
      <c r="H42">
        <v>25</v>
      </c>
      <c r="I42">
        <v>49</v>
      </c>
      <c r="J42">
        <v>77</v>
      </c>
      <c r="K42">
        <v>52</v>
      </c>
    </row>
    <row r="43" spans="1:11" x14ac:dyDescent="0.25">
      <c r="A43" t="s">
        <v>210</v>
      </c>
      <c r="B43">
        <v>129</v>
      </c>
      <c r="C43">
        <v>52.91</v>
      </c>
      <c r="D43" s="9">
        <v>29</v>
      </c>
      <c r="E43" s="2">
        <v>435779</v>
      </c>
      <c r="F43">
        <v>1907</v>
      </c>
      <c r="G43">
        <v>1906</v>
      </c>
      <c r="H43">
        <v>25</v>
      </c>
      <c r="I43">
        <v>49</v>
      </c>
      <c r="J43">
        <v>77</v>
      </c>
      <c r="K43">
        <v>52</v>
      </c>
    </row>
    <row r="44" spans="1:11" x14ac:dyDescent="0.25">
      <c r="A44" t="s">
        <v>173</v>
      </c>
      <c r="B44">
        <v>155.6</v>
      </c>
      <c r="D44" s="9">
        <v>30.2</v>
      </c>
      <c r="E44" s="2">
        <v>4476077</v>
      </c>
      <c r="F44">
        <v>1907</v>
      </c>
      <c r="G44">
        <v>1906</v>
      </c>
      <c r="H44">
        <v>25</v>
      </c>
      <c r="I44">
        <v>49</v>
      </c>
      <c r="J44">
        <v>77</v>
      </c>
      <c r="K44">
        <v>52</v>
      </c>
    </row>
    <row r="45" spans="1:11" x14ac:dyDescent="0.25">
      <c r="A45" t="s">
        <v>193</v>
      </c>
      <c r="B45">
        <v>116</v>
      </c>
      <c r="C45">
        <v>57</v>
      </c>
      <c r="D45" s="9">
        <v>28.2</v>
      </c>
      <c r="E45" s="2">
        <v>484467</v>
      </c>
      <c r="F45">
        <v>1907</v>
      </c>
      <c r="G45">
        <v>1906</v>
      </c>
      <c r="H45">
        <v>25</v>
      </c>
      <c r="I45">
        <v>49</v>
      </c>
      <c r="J45">
        <v>77</v>
      </c>
      <c r="K45">
        <v>52</v>
      </c>
    </row>
    <row r="46" spans="1:11" x14ac:dyDescent="0.25">
      <c r="A46" t="s">
        <v>171</v>
      </c>
      <c r="B46">
        <v>128</v>
      </c>
      <c r="C46">
        <v>74.91</v>
      </c>
      <c r="D46" s="9">
        <v>32</v>
      </c>
      <c r="E46" s="2">
        <v>620255</v>
      </c>
      <c r="F46">
        <v>1907</v>
      </c>
      <c r="G46">
        <v>1906</v>
      </c>
      <c r="H46">
        <v>25</v>
      </c>
      <c r="I46">
        <v>49</v>
      </c>
      <c r="J46">
        <v>77</v>
      </c>
      <c r="K46">
        <v>52</v>
      </c>
    </row>
    <row r="47" spans="1:11" x14ac:dyDescent="0.25">
      <c r="A47" t="s">
        <v>205</v>
      </c>
      <c r="B47">
        <v>155</v>
      </c>
      <c r="C47">
        <v>60.12</v>
      </c>
      <c r="D47" s="9">
        <v>30.7</v>
      </c>
      <c r="E47" s="2">
        <v>2056094</v>
      </c>
      <c r="F47">
        <v>1907</v>
      </c>
      <c r="G47">
        <v>1906</v>
      </c>
      <c r="H47">
        <v>25</v>
      </c>
      <c r="I47">
        <v>49</v>
      </c>
      <c r="J47">
        <v>77</v>
      </c>
      <c r="K47">
        <v>52</v>
      </c>
    </row>
    <row r="48" spans="1:11" x14ac:dyDescent="0.25">
      <c r="A48" t="s">
        <v>74</v>
      </c>
      <c r="B48">
        <v>158.69999999999999</v>
      </c>
      <c r="C48">
        <v>73.27</v>
      </c>
      <c r="E48" s="2">
        <v>489748</v>
      </c>
      <c r="F48">
        <v>1907</v>
      </c>
      <c r="G48">
        <v>1906</v>
      </c>
      <c r="H48">
        <v>25</v>
      </c>
      <c r="I48">
        <v>49</v>
      </c>
      <c r="J48">
        <v>77</v>
      </c>
      <c r="K48">
        <v>52</v>
      </c>
    </row>
    <row r="49" spans="1:11" x14ac:dyDescent="0.25">
      <c r="A49" t="s">
        <v>177</v>
      </c>
      <c r="B49">
        <v>134</v>
      </c>
      <c r="C49">
        <v>62.44</v>
      </c>
      <c r="D49" s="9">
        <v>26.8</v>
      </c>
      <c r="E49" s="2">
        <v>1369786</v>
      </c>
      <c r="F49">
        <v>1907</v>
      </c>
      <c r="G49">
        <v>1906</v>
      </c>
      <c r="H49">
        <v>25</v>
      </c>
      <c r="I49">
        <v>49</v>
      </c>
      <c r="J49">
        <v>77</v>
      </c>
      <c r="K49">
        <v>52</v>
      </c>
    </row>
    <row r="50" spans="1:11" x14ac:dyDescent="0.25">
      <c r="A50" t="s">
        <v>56</v>
      </c>
      <c r="B50">
        <v>167</v>
      </c>
      <c r="C50">
        <v>58.98</v>
      </c>
      <c r="D50" s="9">
        <v>31.9</v>
      </c>
      <c r="E50" s="2">
        <v>5503896</v>
      </c>
      <c r="F50">
        <v>1907</v>
      </c>
      <c r="G50">
        <v>1906</v>
      </c>
      <c r="H50">
        <v>25</v>
      </c>
      <c r="I50">
        <v>49</v>
      </c>
      <c r="J50">
        <v>77</v>
      </c>
      <c r="K50">
        <v>52</v>
      </c>
    </row>
    <row r="51" spans="1:11" x14ac:dyDescent="0.25">
      <c r="A51" t="s">
        <v>198</v>
      </c>
      <c r="B51">
        <v>173</v>
      </c>
      <c r="C51">
        <v>50.24</v>
      </c>
      <c r="D51" s="9">
        <v>32.9</v>
      </c>
      <c r="E51" s="2">
        <v>2473642</v>
      </c>
      <c r="F51">
        <v>1907</v>
      </c>
      <c r="G51">
        <v>1906</v>
      </c>
      <c r="H51">
        <v>25</v>
      </c>
      <c r="I51">
        <v>49</v>
      </c>
      <c r="J51">
        <v>77</v>
      </c>
      <c r="K51">
        <v>52</v>
      </c>
    </row>
    <row r="52" spans="1:11" x14ac:dyDescent="0.25">
      <c r="A52" t="s">
        <v>172</v>
      </c>
      <c r="B52">
        <v>171</v>
      </c>
      <c r="C52">
        <v>80.540000000000006</v>
      </c>
      <c r="D52" s="9">
        <v>32.299999999999997</v>
      </c>
      <c r="E52" s="2">
        <v>12218705</v>
      </c>
      <c r="F52">
        <v>1907</v>
      </c>
      <c r="G52">
        <v>1906</v>
      </c>
      <c r="H52">
        <v>25</v>
      </c>
      <c r="I52">
        <v>49</v>
      </c>
      <c r="J52">
        <v>77</v>
      </c>
      <c r="K52">
        <v>52</v>
      </c>
    </row>
    <row r="53" spans="1:11" x14ac:dyDescent="0.25">
      <c r="E53" s="2">
        <f>SUM(E3:E52)</f>
        <v>330680801</v>
      </c>
    </row>
    <row r="54" spans="1:11" s="17" customFormat="1" x14ac:dyDescent="0.25">
      <c r="D54" s="9"/>
      <c r="E54" s="2"/>
    </row>
    <row r="55" spans="1:11" s="17" customFormat="1" x14ac:dyDescent="0.25">
      <c r="A55" s="17" t="s">
        <v>183</v>
      </c>
      <c r="D55" s="9"/>
      <c r="E55" s="2"/>
    </row>
    <row r="56" spans="1:11" s="17" customFormat="1" x14ac:dyDescent="0.25">
      <c r="A56" s="17" t="s">
        <v>191</v>
      </c>
      <c r="D56" s="9"/>
      <c r="E56" s="2"/>
    </row>
    <row r="57" spans="1:11" s="17" customFormat="1" x14ac:dyDescent="0.25">
      <c r="A57" s="17" t="s">
        <v>206</v>
      </c>
      <c r="D57" s="9"/>
      <c r="E57" s="2"/>
    </row>
    <row r="58" spans="1:11" s="17" customFormat="1" x14ac:dyDescent="0.25">
      <c r="A58" s="17" t="s">
        <v>185</v>
      </c>
      <c r="D58" s="9"/>
      <c r="E58" s="2"/>
    </row>
    <row r="59" spans="1:11" s="17" customFormat="1" x14ac:dyDescent="0.25">
      <c r="A59" s="17" t="s">
        <v>200</v>
      </c>
      <c r="D59" s="9"/>
      <c r="E59" s="2"/>
    </row>
    <row r="60" spans="1:11" s="17" customFormat="1" x14ac:dyDescent="0.25">
      <c r="A60" s="17" t="s">
        <v>215</v>
      </c>
      <c r="D60" s="9"/>
      <c r="E60" s="2"/>
    </row>
    <row r="61" spans="1:11" s="17" customFormat="1" x14ac:dyDescent="0.25">
      <c r="A61" s="17" t="s">
        <v>194</v>
      </c>
      <c r="D61" s="9"/>
      <c r="E61" s="2"/>
    </row>
    <row r="62" spans="1:11" s="17" customFormat="1" x14ac:dyDescent="0.25">
      <c r="A62" s="17" t="s">
        <v>192</v>
      </c>
      <c r="D62" s="9"/>
      <c r="E62" s="2"/>
    </row>
    <row r="63" spans="1:11" s="17" customFormat="1" x14ac:dyDescent="0.25">
      <c r="A63" s="17" t="s">
        <v>199</v>
      </c>
      <c r="D63" s="9"/>
      <c r="E63" s="2"/>
    </row>
    <row r="64" spans="1:11" s="17" customFormat="1" x14ac:dyDescent="0.25">
      <c r="A64" s="17" t="s">
        <v>174</v>
      </c>
      <c r="D64" s="9"/>
      <c r="E64" s="2"/>
    </row>
    <row r="65" spans="1:5" s="17" customFormat="1" x14ac:dyDescent="0.25">
      <c r="A65" s="17" t="s">
        <v>184</v>
      </c>
      <c r="D65" s="9"/>
      <c r="E65" s="2"/>
    </row>
    <row r="66" spans="1:5" s="17" customFormat="1" x14ac:dyDescent="0.25">
      <c r="A66" s="17" t="s">
        <v>175</v>
      </c>
      <c r="D66" s="9"/>
      <c r="E66" s="2"/>
    </row>
    <row r="67" spans="1:5" s="17" customFormat="1" x14ac:dyDescent="0.25">
      <c r="A67" s="17" t="s">
        <v>207</v>
      </c>
      <c r="D67" s="9"/>
      <c r="E67" s="2"/>
    </row>
    <row r="68" spans="1:5" s="17" customFormat="1" x14ac:dyDescent="0.25">
      <c r="A68" s="17" t="s">
        <v>208</v>
      </c>
      <c r="D68" s="9"/>
      <c r="E68" s="2"/>
    </row>
    <row r="69" spans="1:5" s="17" customFormat="1" x14ac:dyDescent="0.25">
      <c r="A69" s="17" t="s">
        <v>195</v>
      </c>
      <c r="D69" s="9"/>
      <c r="E69" s="2"/>
    </row>
    <row r="70" spans="1:5" s="17" customFormat="1" x14ac:dyDescent="0.25">
      <c r="A70" s="17" t="s">
        <v>201</v>
      </c>
      <c r="D70" s="9"/>
      <c r="E70" s="2"/>
    </row>
    <row r="71" spans="1:5" s="17" customFormat="1" x14ac:dyDescent="0.25">
      <c r="A71" s="17" t="s">
        <v>89</v>
      </c>
      <c r="D71" s="9"/>
      <c r="E71" s="2"/>
    </row>
    <row r="72" spans="1:5" s="17" customFormat="1" x14ac:dyDescent="0.25">
      <c r="A72" s="17" t="s">
        <v>176</v>
      </c>
      <c r="D72" s="9"/>
      <c r="E72" s="2"/>
    </row>
    <row r="73" spans="1:5" s="17" customFormat="1" x14ac:dyDescent="0.25">
      <c r="A73" s="17" t="s">
        <v>120</v>
      </c>
      <c r="D73" s="9"/>
      <c r="E73" s="2"/>
    </row>
    <row r="74" spans="1:5" s="17" customFormat="1" x14ac:dyDescent="0.25">
      <c r="A74" s="17" t="s">
        <v>203</v>
      </c>
      <c r="D74" s="9"/>
      <c r="E74" s="2"/>
    </row>
    <row r="75" spans="1:5" s="17" customFormat="1" x14ac:dyDescent="0.25">
      <c r="A75" s="17" t="s">
        <v>5</v>
      </c>
      <c r="D75" s="9"/>
      <c r="E75" s="2"/>
    </row>
    <row r="76" spans="1:5" s="17" customFormat="1" x14ac:dyDescent="0.25">
      <c r="A76" s="17" t="s">
        <v>73</v>
      </c>
      <c r="D76" s="9"/>
      <c r="E76" s="2"/>
    </row>
    <row r="77" spans="1:5" s="17" customFormat="1" x14ac:dyDescent="0.25">
      <c r="A77" s="17" t="s">
        <v>152</v>
      </c>
      <c r="D77" s="9"/>
      <c r="E77" s="2"/>
    </row>
    <row r="78" spans="1:5" s="17" customFormat="1" x14ac:dyDescent="0.25">
      <c r="A78" s="17" t="s">
        <v>204</v>
      </c>
      <c r="D78" s="9"/>
      <c r="E78" s="2"/>
    </row>
    <row r="79" spans="1:5" s="17" customFormat="1" x14ac:dyDescent="0.25">
      <c r="A79" s="17" t="s">
        <v>61</v>
      </c>
      <c r="D79" s="9"/>
      <c r="E79" s="2"/>
    </row>
    <row r="80" spans="1:5" s="17" customFormat="1" x14ac:dyDescent="0.25">
      <c r="A80" s="17" t="s">
        <v>197</v>
      </c>
      <c r="D80" s="9"/>
      <c r="E80" s="2"/>
    </row>
    <row r="81" spans="1:5" s="17" customFormat="1" x14ac:dyDescent="0.25">
      <c r="A81" s="17" t="s">
        <v>144</v>
      </c>
      <c r="D81" s="9"/>
      <c r="E81" s="2"/>
    </row>
    <row r="82" spans="1:5" s="17" customFormat="1" x14ac:dyDescent="0.25">
      <c r="A82" s="17" t="s">
        <v>179</v>
      </c>
      <c r="D82" s="9"/>
      <c r="E82" s="2"/>
    </row>
    <row r="83" spans="1:5" s="17" customFormat="1" x14ac:dyDescent="0.25">
      <c r="A83" s="17" t="s">
        <v>178</v>
      </c>
      <c r="D83" s="9"/>
      <c r="E83" s="2"/>
    </row>
    <row r="84" spans="1:5" s="17" customFormat="1" x14ac:dyDescent="0.25">
      <c r="A84" s="17" t="s">
        <v>186</v>
      </c>
      <c r="D84" s="9"/>
      <c r="E84" s="2"/>
    </row>
    <row r="85" spans="1:5" s="17" customFormat="1" x14ac:dyDescent="0.25">
      <c r="A85" s="17" t="s">
        <v>209</v>
      </c>
      <c r="D85" s="9"/>
      <c r="E85" s="2"/>
    </row>
    <row r="86" spans="1:5" s="17" customFormat="1" x14ac:dyDescent="0.25">
      <c r="A86" s="17" t="s">
        <v>187</v>
      </c>
      <c r="D86" s="9"/>
      <c r="E86" s="2"/>
    </row>
    <row r="87" spans="1:5" s="17" customFormat="1" x14ac:dyDescent="0.25">
      <c r="A87" s="17" t="s">
        <v>181</v>
      </c>
      <c r="D87" s="9"/>
      <c r="E87" s="2"/>
    </row>
    <row r="88" spans="1:5" s="17" customFormat="1" x14ac:dyDescent="0.25">
      <c r="A88" s="17" t="s">
        <v>188</v>
      </c>
      <c r="D88" s="9"/>
      <c r="E88" s="2"/>
    </row>
    <row r="89" spans="1:5" s="17" customFormat="1" x14ac:dyDescent="0.25">
      <c r="A89" s="17" t="s">
        <v>196</v>
      </c>
      <c r="D89" s="9"/>
      <c r="E89" s="2"/>
    </row>
    <row r="90" spans="1:5" s="17" customFormat="1" x14ac:dyDescent="0.25">
      <c r="A90" s="17" t="s">
        <v>202</v>
      </c>
      <c r="D90" s="9"/>
      <c r="E90" s="2"/>
    </row>
    <row r="91" spans="1:5" s="17" customFormat="1" x14ac:dyDescent="0.25">
      <c r="A91" s="17" t="s">
        <v>190</v>
      </c>
      <c r="D91" s="9"/>
      <c r="E91" s="2"/>
    </row>
    <row r="92" spans="1:5" s="17" customFormat="1" x14ac:dyDescent="0.25">
      <c r="A92" s="17" t="s">
        <v>182</v>
      </c>
      <c r="D92" s="9"/>
      <c r="E92" s="2"/>
    </row>
    <row r="93" spans="1:5" s="17" customFormat="1" x14ac:dyDescent="0.25">
      <c r="A93" s="17" t="s">
        <v>189</v>
      </c>
      <c r="D93" s="9"/>
      <c r="E93" s="2"/>
    </row>
    <row r="94" spans="1:5" s="17" customFormat="1" x14ac:dyDescent="0.25">
      <c r="A94" s="17" t="s">
        <v>210</v>
      </c>
      <c r="D94" s="9"/>
      <c r="E94" s="2"/>
    </row>
    <row r="95" spans="1:5" s="17" customFormat="1" x14ac:dyDescent="0.25">
      <c r="A95" s="17" t="s">
        <v>173</v>
      </c>
      <c r="D95" s="9"/>
      <c r="E95" s="2"/>
    </row>
    <row r="96" spans="1:5" s="17" customFormat="1" x14ac:dyDescent="0.25">
      <c r="A96" s="17" t="s">
        <v>193</v>
      </c>
      <c r="D96" s="9"/>
      <c r="E96" s="2"/>
    </row>
    <row r="97" spans="1:12" s="17" customFormat="1" x14ac:dyDescent="0.25">
      <c r="A97" s="17" t="s">
        <v>171</v>
      </c>
      <c r="D97" s="9"/>
      <c r="E97" s="2"/>
    </row>
    <row r="98" spans="1:12" s="17" customFormat="1" x14ac:dyDescent="0.25">
      <c r="A98" s="17" t="s">
        <v>205</v>
      </c>
      <c r="D98" s="9"/>
      <c r="E98" s="2"/>
    </row>
    <row r="99" spans="1:12" s="17" customFormat="1" x14ac:dyDescent="0.25">
      <c r="A99" s="17" t="s">
        <v>74</v>
      </c>
      <c r="D99" s="9"/>
      <c r="E99" s="2"/>
    </row>
    <row r="100" spans="1:12" s="17" customFormat="1" x14ac:dyDescent="0.25">
      <c r="A100" s="17" t="s">
        <v>177</v>
      </c>
      <c r="D100" s="9"/>
      <c r="E100" s="2"/>
    </row>
    <row r="101" spans="1:12" s="17" customFormat="1" x14ac:dyDescent="0.25">
      <c r="A101" s="17" t="s">
        <v>56</v>
      </c>
      <c r="D101" s="9"/>
      <c r="E101" s="2"/>
    </row>
    <row r="102" spans="1:12" s="17" customFormat="1" x14ac:dyDescent="0.25">
      <c r="A102" s="17" t="s">
        <v>198</v>
      </c>
      <c r="D102" s="9"/>
      <c r="E102" s="2"/>
    </row>
    <row r="103" spans="1:12" s="17" customFormat="1" x14ac:dyDescent="0.25">
      <c r="A103" s="17" t="s">
        <v>172</v>
      </c>
      <c r="D103" s="9"/>
      <c r="E103" s="2"/>
    </row>
    <row r="104" spans="1:12" s="17" customFormat="1" x14ac:dyDescent="0.25">
      <c r="D104" s="9"/>
      <c r="E104" s="2"/>
    </row>
    <row r="105" spans="1:12" x14ac:dyDescent="0.25">
      <c r="B105" t="s">
        <v>361</v>
      </c>
      <c r="C105" t="s">
        <v>370</v>
      </c>
    </row>
    <row r="106" spans="1:12" x14ac:dyDescent="0.25">
      <c r="A106" t="s">
        <v>183</v>
      </c>
      <c r="B106">
        <v>173.8</v>
      </c>
      <c r="D106" s="9">
        <v>28</v>
      </c>
      <c r="F106">
        <v>1903</v>
      </c>
      <c r="G106" s="17">
        <v>1903</v>
      </c>
      <c r="H106">
        <v>203</v>
      </c>
      <c r="J106" t="s">
        <v>362</v>
      </c>
      <c r="K106" t="s">
        <v>371</v>
      </c>
      <c r="L106" t="s">
        <v>1959</v>
      </c>
    </row>
    <row r="107" spans="1:12" x14ac:dyDescent="0.25">
      <c r="A107" t="s">
        <v>191</v>
      </c>
      <c r="B107">
        <v>176.8</v>
      </c>
      <c r="D107" s="9">
        <v>33</v>
      </c>
      <c r="F107">
        <v>1903</v>
      </c>
      <c r="G107" s="17">
        <v>1903</v>
      </c>
      <c r="H107">
        <v>203</v>
      </c>
      <c r="L107">
        <v>140.30000000000001</v>
      </c>
    </row>
    <row r="108" spans="1:12" x14ac:dyDescent="0.25">
      <c r="A108" t="s">
        <v>206</v>
      </c>
      <c r="B108">
        <v>184.8</v>
      </c>
      <c r="D108" s="9">
        <v>28.5</v>
      </c>
      <c r="F108">
        <v>1903</v>
      </c>
      <c r="G108" s="17">
        <v>1903</v>
      </c>
      <c r="H108">
        <v>203</v>
      </c>
      <c r="L108">
        <v>140.5</v>
      </c>
    </row>
    <row r="109" spans="1:12" x14ac:dyDescent="0.25">
      <c r="A109" t="s">
        <v>185</v>
      </c>
      <c r="B109">
        <v>188.9</v>
      </c>
      <c r="D109" s="9">
        <v>33.1</v>
      </c>
      <c r="F109">
        <v>1903</v>
      </c>
      <c r="G109" s="17">
        <v>1903</v>
      </c>
      <c r="H109">
        <v>203</v>
      </c>
      <c r="L109">
        <v>137.30000000000001</v>
      </c>
    </row>
    <row r="110" spans="1:12" x14ac:dyDescent="0.25">
      <c r="A110" t="s">
        <v>200</v>
      </c>
      <c r="B110">
        <v>188.2</v>
      </c>
      <c r="D110" s="9">
        <v>27.7</v>
      </c>
      <c r="F110">
        <v>1903</v>
      </c>
      <c r="G110" s="17">
        <v>1903</v>
      </c>
      <c r="H110">
        <v>203</v>
      </c>
      <c r="L110">
        <v>156.19999999999999</v>
      </c>
    </row>
    <row r="111" spans="1:12" x14ac:dyDescent="0.25">
      <c r="A111" t="s">
        <v>215</v>
      </c>
      <c r="B111">
        <v>192.2</v>
      </c>
      <c r="D111" s="9">
        <v>31.4</v>
      </c>
      <c r="F111">
        <v>1903</v>
      </c>
      <c r="G111" s="17">
        <v>1903</v>
      </c>
      <c r="H111">
        <v>203</v>
      </c>
      <c r="L111">
        <v>129.5</v>
      </c>
    </row>
    <row r="112" spans="1:12" x14ac:dyDescent="0.25">
      <c r="A112" t="s">
        <v>194</v>
      </c>
      <c r="B112">
        <v>193.2</v>
      </c>
      <c r="D112" s="9">
        <v>35.200000000000003</v>
      </c>
      <c r="F112">
        <v>1903</v>
      </c>
      <c r="G112" s="17">
        <v>1903</v>
      </c>
      <c r="H112">
        <v>203</v>
      </c>
      <c r="L112">
        <v>149</v>
      </c>
    </row>
    <row r="113" spans="1:12" x14ac:dyDescent="0.25">
      <c r="A113" t="s">
        <v>192</v>
      </c>
      <c r="B113">
        <v>191.1</v>
      </c>
      <c r="D113" s="9">
        <v>34.1</v>
      </c>
      <c r="F113">
        <v>1903</v>
      </c>
      <c r="G113" s="17">
        <v>1903</v>
      </c>
      <c r="H113">
        <v>203</v>
      </c>
      <c r="L113">
        <v>147.19999999999999</v>
      </c>
    </row>
    <row r="114" spans="1:12" x14ac:dyDescent="0.25">
      <c r="A114" t="s">
        <v>199</v>
      </c>
      <c r="B114">
        <v>181.4</v>
      </c>
      <c r="D114" s="9">
        <v>36</v>
      </c>
      <c r="F114">
        <v>1903</v>
      </c>
      <c r="G114" s="17">
        <v>1903</v>
      </c>
      <c r="H114">
        <v>203</v>
      </c>
      <c r="L114">
        <v>136.80000000000001</v>
      </c>
    </row>
    <row r="115" spans="1:12" x14ac:dyDescent="0.25">
      <c r="A115" t="s">
        <v>174</v>
      </c>
      <c r="B115">
        <v>194</v>
      </c>
      <c r="D115" s="9">
        <v>32.1</v>
      </c>
      <c r="F115">
        <v>1903</v>
      </c>
      <c r="G115" s="17">
        <v>1903</v>
      </c>
      <c r="H115">
        <v>203</v>
      </c>
      <c r="L115">
        <v>136.19999999999999</v>
      </c>
    </row>
    <row r="116" spans="1:12" x14ac:dyDescent="0.25">
      <c r="A116" t="s">
        <v>184</v>
      </c>
      <c r="B116">
        <v>188.8</v>
      </c>
      <c r="D116" s="9">
        <v>33</v>
      </c>
      <c r="F116">
        <v>1903</v>
      </c>
      <c r="G116" s="17">
        <v>1903</v>
      </c>
      <c r="H116">
        <v>203</v>
      </c>
      <c r="L116">
        <v>140.4</v>
      </c>
    </row>
    <row r="117" spans="1:12" x14ac:dyDescent="0.25">
      <c r="A117" t="s">
        <v>175</v>
      </c>
      <c r="B117">
        <v>174</v>
      </c>
      <c r="D117" s="9">
        <v>28.4</v>
      </c>
      <c r="F117">
        <v>1903</v>
      </c>
      <c r="G117" s="17">
        <v>1903</v>
      </c>
      <c r="H117">
        <v>203</v>
      </c>
      <c r="L117">
        <v>118.9</v>
      </c>
    </row>
    <row r="118" spans="1:12" x14ac:dyDescent="0.25">
      <c r="A118" t="s">
        <v>207</v>
      </c>
      <c r="B118">
        <v>185.9</v>
      </c>
      <c r="D118" s="9">
        <v>39.4</v>
      </c>
      <c r="F118">
        <v>1903</v>
      </c>
      <c r="G118" s="17">
        <v>1903</v>
      </c>
      <c r="H118">
        <v>203</v>
      </c>
      <c r="L118">
        <v>135.80000000000001</v>
      </c>
    </row>
    <row r="119" spans="1:12" x14ac:dyDescent="0.25">
      <c r="A119" t="s">
        <v>208</v>
      </c>
      <c r="B119">
        <v>177.5</v>
      </c>
      <c r="D119" s="9">
        <v>31.5</v>
      </c>
      <c r="F119">
        <v>1903</v>
      </c>
      <c r="G119" s="17">
        <v>1903</v>
      </c>
      <c r="H119">
        <v>203</v>
      </c>
      <c r="L119">
        <v>143.80000000000001</v>
      </c>
    </row>
    <row r="120" spans="1:12" x14ac:dyDescent="0.25">
      <c r="A120" t="s">
        <v>195</v>
      </c>
      <c r="B120">
        <v>173.9</v>
      </c>
      <c r="D120" s="9">
        <v>36.799999999999997</v>
      </c>
      <c r="F120">
        <v>1903</v>
      </c>
      <c r="G120" s="17">
        <v>1903</v>
      </c>
      <c r="H120">
        <v>203</v>
      </c>
      <c r="L120">
        <v>133.30000000000001</v>
      </c>
    </row>
    <row r="121" spans="1:12" x14ac:dyDescent="0.25">
      <c r="A121" t="s">
        <v>201</v>
      </c>
      <c r="B121">
        <v>173.9</v>
      </c>
      <c r="D121" s="9">
        <v>45.1</v>
      </c>
      <c r="F121">
        <v>1903</v>
      </c>
      <c r="G121" s="17">
        <v>1903</v>
      </c>
      <c r="H121">
        <v>203</v>
      </c>
      <c r="L121">
        <v>124.7</v>
      </c>
    </row>
    <row r="122" spans="1:12" x14ac:dyDescent="0.25">
      <c r="A122" t="s">
        <v>89</v>
      </c>
      <c r="B122">
        <v>179.5</v>
      </c>
      <c r="D122" s="9">
        <v>38.6</v>
      </c>
      <c r="F122">
        <v>1903</v>
      </c>
      <c r="G122" s="17">
        <v>1903</v>
      </c>
      <c r="H122">
        <v>203</v>
      </c>
      <c r="L122">
        <v>116.9</v>
      </c>
    </row>
    <row r="123" spans="1:12" x14ac:dyDescent="0.25">
      <c r="A123" t="s">
        <v>176</v>
      </c>
      <c r="B123">
        <v>156.1</v>
      </c>
      <c r="D123" s="9">
        <v>36.4</v>
      </c>
      <c r="F123">
        <v>1903</v>
      </c>
      <c r="G123" s="17">
        <v>1903</v>
      </c>
      <c r="H123">
        <v>203</v>
      </c>
      <c r="L123">
        <v>139.6</v>
      </c>
    </row>
    <row r="124" spans="1:12" x14ac:dyDescent="0.25">
      <c r="A124" t="s">
        <v>120</v>
      </c>
      <c r="B124">
        <v>193.1</v>
      </c>
      <c r="D124" s="9">
        <v>35.9</v>
      </c>
      <c r="F124">
        <v>1903</v>
      </c>
      <c r="G124" s="17">
        <v>1903</v>
      </c>
      <c r="H124">
        <v>203</v>
      </c>
      <c r="L124">
        <v>107.3</v>
      </c>
    </row>
    <row r="125" spans="1:12" x14ac:dyDescent="0.25">
      <c r="A125" t="s">
        <v>203</v>
      </c>
      <c r="B125">
        <v>179.8</v>
      </c>
      <c r="D125" s="9">
        <v>39.299999999999997</v>
      </c>
      <c r="F125">
        <v>1903</v>
      </c>
      <c r="G125" s="17">
        <v>1903</v>
      </c>
      <c r="H125">
        <v>203</v>
      </c>
      <c r="L125">
        <v>141.1</v>
      </c>
    </row>
    <row r="126" spans="1:12" x14ac:dyDescent="0.25">
      <c r="A126" t="s">
        <v>5</v>
      </c>
      <c r="B126">
        <v>171.7</v>
      </c>
      <c r="D126" s="9">
        <v>38.299999999999997</v>
      </c>
      <c r="F126">
        <v>1903</v>
      </c>
      <c r="G126" s="17">
        <v>1903</v>
      </c>
      <c r="H126">
        <v>204</v>
      </c>
      <c r="L126">
        <v>134.6</v>
      </c>
    </row>
    <row r="127" spans="1:12" x14ac:dyDescent="0.25">
      <c r="A127" t="s">
        <v>73</v>
      </c>
      <c r="B127">
        <v>164.2</v>
      </c>
      <c r="D127" s="9">
        <v>29.8</v>
      </c>
      <c r="F127">
        <v>1903</v>
      </c>
      <c r="G127" s="17">
        <v>1903</v>
      </c>
      <c r="H127">
        <v>204</v>
      </c>
      <c r="L127">
        <v>132.1</v>
      </c>
    </row>
    <row r="128" spans="1:12" x14ac:dyDescent="0.25">
      <c r="A128" t="s">
        <v>152</v>
      </c>
      <c r="B128">
        <v>180</v>
      </c>
      <c r="D128" s="9">
        <v>31.5</v>
      </c>
      <c r="F128">
        <v>1903</v>
      </c>
      <c r="G128" s="17">
        <v>1903</v>
      </c>
      <c r="H128">
        <v>204</v>
      </c>
      <c r="L128">
        <v>115.5</v>
      </c>
    </row>
    <row r="129" spans="1:12" x14ac:dyDescent="0.25">
      <c r="A129" t="s">
        <v>204</v>
      </c>
      <c r="B129">
        <v>175.7</v>
      </c>
      <c r="F129">
        <v>1903</v>
      </c>
      <c r="G129" s="17">
        <v>1903</v>
      </c>
      <c r="H129">
        <v>204</v>
      </c>
      <c r="L129">
        <v>143</v>
      </c>
    </row>
    <row r="130" spans="1:12" x14ac:dyDescent="0.25">
      <c r="A130" t="s">
        <v>61</v>
      </c>
      <c r="B130">
        <v>176.6</v>
      </c>
      <c r="F130">
        <v>1903</v>
      </c>
      <c r="G130" s="17">
        <v>1903</v>
      </c>
      <c r="H130">
        <v>204</v>
      </c>
      <c r="L130">
        <v>126.9</v>
      </c>
    </row>
    <row r="131" spans="1:12" x14ac:dyDescent="0.25">
      <c r="A131" t="s">
        <v>197</v>
      </c>
      <c r="B131">
        <v>178.5</v>
      </c>
      <c r="F131">
        <v>1903</v>
      </c>
      <c r="G131" s="17">
        <v>1903</v>
      </c>
      <c r="H131">
        <v>204</v>
      </c>
      <c r="L131">
        <v>122.2</v>
      </c>
    </row>
    <row r="132" spans="1:12" x14ac:dyDescent="0.25">
      <c r="A132" t="s">
        <v>144</v>
      </c>
      <c r="B132">
        <v>187.5</v>
      </c>
      <c r="F132">
        <v>1903</v>
      </c>
      <c r="G132" s="17">
        <v>1903</v>
      </c>
      <c r="H132">
        <v>204</v>
      </c>
      <c r="L132">
        <v>116.8</v>
      </c>
    </row>
    <row r="133" spans="1:12" x14ac:dyDescent="0.25">
      <c r="A133" t="s">
        <v>179</v>
      </c>
      <c r="B133">
        <v>186.7</v>
      </c>
      <c r="F133">
        <v>1903</v>
      </c>
      <c r="G133" s="17">
        <v>1903</v>
      </c>
      <c r="H133">
        <v>204</v>
      </c>
      <c r="L133">
        <v>147.6</v>
      </c>
    </row>
    <row r="134" spans="1:12" x14ac:dyDescent="0.25">
      <c r="A134" t="s">
        <v>178</v>
      </c>
      <c r="B134">
        <v>193.3</v>
      </c>
      <c r="F134">
        <v>1903</v>
      </c>
      <c r="G134" s="17">
        <v>1903</v>
      </c>
      <c r="H134">
        <v>204</v>
      </c>
      <c r="L134">
        <v>142.69999999999999</v>
      </c>
    </row>
    <row r="135" spans="1:12" x14ac:dyDescent="0.25">
      <c r="A135" t="s">
        <v>186</v>
      </c>
      <c r="B135">
        <v>191.6</v>
      </c>
      <c r="F135">
        <v>1903</v>
      </c>
      <c r="G135" s="17">
        <v>1903</v>
      </c>
      <c r="H135">
        <v>204</v>
      </c>
      <c r="L135">
        <v>149.4</v>
      </c>
    </row>
    <row r="136" spans="1:12" x14ac:dyDescent="0.25">
      <c r="A136" t="s">
        <v>209</v>
      </c>
      <c r="B136">
        <v>191.1</v>
      </c>
      <c r="F136">
        <v>1903</v>
      </c>
      <c r="G136" s="17">
        <v>1903</v>
      </c>
      <c r="H136">
        <v>204</v>
      </c>
      <c r="L136">
        <v>145</v>
      </c>
    </row>
    <row r="137" spans="1:12" x14ac:dyDescent="0.25">
      <c r="A137" t="s">
        <v>187</v>
      </c>
      <c r="B137">
        <v>186.2</v>
      </c>
      <c r="F137">
        <v>1903</v>
      </c>
      <c r="G137" s="17">
        <v>1903</v>
      </c>
      <c r="H137">
        <v>204</v>
      </c>
      <c r="L137">
        <v>143.69999999999999</v>
      </c>
    </row>
    <row r="138" spans="1:12" x14ac:dyDescent="0.25">
      <c r="A138" t="s">
        <v>181</v>
      </c>
      <c r="B138">
        <v>180.3</v>
      </c>
      <c r="F138">
        <v>1903</v>
      </c>
      <c r="G138" s="17">
        <v>1903</v>
      </c>
      <c r="H138">
        <v>204</v>
      </c>
      <c r="L138">
        <v>152.6</v>
      </c>
    </row>
    <row r="139" spans="1:12" x14ac:dyDescent="0.25">
      <c r="A139" t="s">
        <v>188</v>
      </c>
      <c r="B139">
        <v>185.2</v>
      </c>
      <c r="F139">
        <v>1903</v>
      </c>
      <c r="G139" s="17">
        <v>1903</v>
      </c>
      <c r="H139">
        <v>204</v>
      </c>
      <c r="L139">
        <v>139.6</v>
      </c>
    </row>
    <row r="140" spans="1:12" x14ac:dyDescent="0.25">
      <c r="A140" t="s">
        <v>196</v>
      </c>
      <c r="B140">
        <v>176</v>
      </c>
      <c r="F140">
        <v>1903</v>
      </c>
      <c r="G140" s="17">
        <v>1903</v>
      </c>
      <c r="H140">
        <v>204</v>
      </c>
      <c r="L140">
        <v>135.1</v>
      </c>
    </row>
    <row r="141" spans="1:12" x14ac:dyDescent="0.25">
      <c r="A141" t="s">
        <v>202</v>
      </c>
      <c r="B141">
        <v>180</v>
      </c>
      <c r="F141">
        <v>1903</v>
      </c>
      <c r="G141" s="17">
        <v>1903</v>
      </c>
      <c r="H141">
        <v>204</v>
      </c>
      <c r="L141">
        <v>128.30000000000001</v>
      </c>
    </row>
    <row r="142" spans="1:12" x14ac:dyDescent="0.25">
      <c r="A142" t="s">
        <v>190</v>
      </c>
      <c r="B142">
        <v>184.6</v>
      </c>
      <c r="F142">
        <v>1903</v>
      </c>
      <c r="G142" s="17">
        <v>1903</v>
      </c>
      <c r="H142">
        <v>204</v>
      </c>
      <c r="L142">
        <v>132.6</v>
      </c>
    </row>
    <row r="143" spans="1:12" x14ac:dyDescent="0.25">
      <c r="A143" t="s">
        <v>182</v>
      </c>
      <c r="B143">
        <v>174.3</v>
      </c>
      <c r="F143">
        <v>1903</v>
      </c>
      <c r="G143" s="17">
        <v>1903</v>
      </c>
      <c r="H143">
        <v>204</v>
      </c>
      <c r="L143">
        <v>141.1</v>
      </c>
    </row>
    <row r="144" spans="1:12" x14ac:dyDescent="0.25">
      <c r="A144" t="s">
        <v>189</v>
      </c>
      <c r="B144">
        <v>179.7</v>
      </c>
      <c r="F144">
        <v>1903</v>
      </c>
      <c r="G144" s="17">
        <v>1903</v>
      </c>
      <c r="H144">
        <v>204</v>
      </c>
      <c r="L144">
        <v>133.30000000000001</v>
      </c>
    </row>
    <row r="145" spans="1:12" x14ac:dyDescent="0.25">
      <c r="A145" t="s">
        <v>210</v>
      </c>
      <c r="F145">
        <v>1903</v>
      </c>
      <c r="G145" s="17">
        <v>1903</v>
      </c>
      <c r="L145">
        <v>138.5</v>
      </c>
    </row>
    <row r="146" spans="1:12" x14ac:dyDescent="0.25">
      <c r="A146" t="s">
        <v>173</v>
      </c>
      <c r="B146">
        <v>185.2</v>
      </c>
      <c r="F146">
        <v>1903</v>
      </c>
      <c r="G146" s="17">
        <v>1903</v>
      </c>
      <c r="H146">
        <v>204</v>
      </c>
    </row>
    <row r="147" spans="1:12" x14ac:dyDescent="0.25">
      <c r="A147" t="s">
        <v>193</v>
      </c>
      <c r="F147">
        <v>1903</v>
      </c>
      <c r="G147" s="17">
        <v>1903</v>
      </c>
      <c r="L147">
        <v>134.1</v>
      </c>
    </row>
    <row r="148" spans="1:12" x14ac:dyDescent="0.25">
      <c r="A148" t="s">
        <v>171</v>
      </c>
      <c r="B148">
        <v>165</v>
      </c>
      <c r="F148">
        <v>1903</v>
      </c>
      <c r="G148" s="17">
        <v>1903</v>
      </c>
      <c r="H148">
        <v>204</v>
      </c>
    </row>
    <row r="149" spans="1:12" x14ac:dyDescent="0.25">
      <c r="A149" t="s">
        <v>205</v>
      </c>
      <c r="B149">
        <v>155.80000000000001</v>
      </c>
      <c r="F149">
        <v>1903</v>
      </c>
      <c r="G149" s="17">
        <v>1903</v>
      </c>
      <c r="H149">
        <v>204</v>
      </c>
      <c r="L149">
        <v>101.8</v>
      </c>
    </row>
    <row r="150" spans="1:12" x14ac:dyDescent="0.25">
      <c r="A150" t="s">
        <v>74</v>
      </c>
      <c r="F150">
        <v>1903</v>
      </c>
      <c r="G150" s="17">
        <v>1903</v>
      </c>
      <c r="L150">
        <v>122.1</v>
      </c>
    </row>
    <row r="151" spans="1:12" x14ac:dyDescent="0.25">
      <c r="A151" t="s">
        <v>177</v>
      </c>
      <c r="B151">
        <v>178</v>
      </c>
      <c r="F151">
        <v>1903</v>
      </c>
      <c r="G151" s="17">
        <v>1903</v>
      </c>
      <c r="H151">
        <v>204</v>
      </c>
    </row>
    <row r="152" spans="1:12" x14ac:dyDescent="0.25">
      <c r="A152" t="s">
        <v>56</v>
      </c>
      <c r="B152">
        <v>184.1</v>
      </c>
      <c r="F152">
        <v>1903</v>
      </c>
      <c r="G152" s="17">
        <v>1903</v>
      </c>
      <c r="H152">
        <v>204</v>
      </c>
      <c r="L152">
        <v>133.4</v>
      </c>
    </row>
    <row r="153" spans="1:12" x14ac:dyDescent="0.25">
      <c r="A153" t="s">
        <v>198</v>
      </c>
      <c r="B153">
        <v>186.3</v>
      </c>
      <c r="F153">
        <v>1903</v>
      </c>
      <c r="G153" s="17">
        <v>1903</v>
      </c>
      <c r="H153">
        <v>204</v>
      </c>
      <c r="L153">
        <v>139.80000000000001</v>
      </c>
    </row>
    <row r="154" spans="1:12" x14ac:dyDescent="0.25">
      <c r="A154" t="s">
        <v>172</v>
      </c>
      <c r="B154">
        <v>192.3</v>
      </c>
      <c r="F154">
        <v>1903</v>
      </c>
      <c r="G154" s="17">
        <v>1903</v>
      </c>
      <c r="H154">
        <v>204</v>
      </c>
      <c r="L154">
        <v>145.80000000000001</v>
      </c>
    </row>
    <row r="155" spans="1:12" x14ac:dyDescent="0.25">
      <c r="L155">
        <v>144.30000000000001</v>
      </c>
    </row>
    <row r="157" spans="1:12" x14ac:dyDescent="0.25">
      <c r="A157" t="s">
        <v>183</v>
      </c>
      <c r="B157">
        <v>169.1</v>
      </c>
      <c r="D157">
        <v>27.1</v>
      </c>
      <c r="E157" s="2">
        <v>547665</v>
      </c>
      <c r="F157" s="13">
        <v>1908</v>
      </c>
      <c r="G157">
        <v>1907</v>
      </c>
      <c r="H157">
        <v>156</v>
      </c>
      <c r="I157">
        <v>156</v>
      </c>
      <c r="J157">
        <v>155</v>
      </c>
    </row>
    <row r="158" spans="1:12" x14ac:dyDescent="0.25">
      <c r="A158" t="s">
        <v>191</v>
      </c>
      <c r="B158">
        <v>180.4</v>
      </c>
      <c r="D158">
        <v>30</v>
      </c>
      <c r="E158" s="2">
        <v>527183</v>
      </c>
      <c r="F158">
        <v>1908</v>
      </c>
      <c r="G158">
        <v>1907</v>
      </c>
      <c r="H158">
        <v>156</v>
      </c>
      <c r="I158">
        <v>156</v>
      </c>
      <c r="J158">
        <v>155</v>
      </c>
    </row>
    <row r="159" spans="1:12" x14ac:dyDescent="0.25">
      <c r="A159" t="s">
        <v>206</v>
      </c>
      <c r="B159">
        <v>179.2</v>
      </c>
      <c r="D159">
        <v>32</v>
      </c>
      <c r="E159" s="2">
        <v>145118</v>
      </c>
      <c r="F159">
        <v>1908</v>
      </c>
      <c r="G159">
        <v>1907</v>
      </c>
      <c r="H159">
        <v>156</v>
      </c>
      <c r="I159">
        <v>156</v>
      </c>
      <c r="J159">
        <v>155</v>
      </c>
    </row>
    <row r="160" spans="1:12" x14ac:dyDescent="0.25">
      <c r="A160" t="s">
        <v>185</v>
      </c>
      <c r="B160">
        <v>189.1</v>
      </c>
      <c r="D160">
        <v>33.1</v>
      </c>
      <c r="E160" s="2">
        <v>12793603</v>
      </c>
      <c r="F160">
        <v>1908</v>
      </c>
      <c r="G160">
        <v>1907</v>
      </c>
      <c r="H160">
        <v>156</v>
      </c>
      <c r="I160">
        <v>156</v>
      </c>
      <c r="J160">
        <v>155</v>
      </c>
    </row>
    <row r="161" spans="1:10" x14ac:dyDescent="0.25">
      <c r="A161" t="s">
        <v>200</v>
      </c>
      <c r="B161">
        <v>189.5</v>
      </c>
      <c r="D161">
        <v>30.6</v>
      </c>
      <c r="E161" s="2">
        <v>1540641</v>
      </c>
      <c r="F161">
        <v>1908</v>
      </c>
      <c r="G161">
        <v>1907</v>
      </c>
      <c r="H161">
        <v>156</v>
      </c>
      <c r="I161">
        <v>156</v>
      </c>
      <c r="J161">
        <v>155</v>
      </c>
    </row>
    <row r="162" spans="1:10" x14ac:dyDescent="0.25">
      <c r="A162" t="s">
        <v>215</v>
      </c>
      <c r="B162">
        <v>190.6</v>
      </c>
      <c r="D162">
        <v>31.3</v>
      </c>
      <c r="E162" s="2">
        <v>2419680</v>
      </c>
      <c r="F162">
        <v>1908</v>
      </c>
      <c r="G162">
        <v>1907</v>
      </c>
      <c r="H162">
        <v>156</v>
      </c>
      <c r="I162">
        <v>156</v>
      </c>
      <c r="J162">
        <v>155</v>
      </c>
    </row>
    <row r="163" spans="1:10" x14ac:dyDescent="0.25">
      <c r="A163" t="s">
        <v>194</v>
      </c>
      <c r="B163">
        <v>191.8</v>
      </c>
      <c r="D163">
        <v>35.4</v>
      </c>
      <c r="E163" s="2">
        <v>35044891</v>
      </c>
      <c r="F163">
        <v>1908</v>
      </c>
      <c r="G163">
        <v>1907</v>
      </c>
      <c r="H163">
        <v>156</v>
      </c>
      <c r="I163">
        <v>156</v>
      </c>
      <c r="J163">
        <v>155</v>
      </c>
    </row>
    <row r="164" spans="1:10" x14ac:dyDescent="0.25">
      <c r="A164" t="s">
        <v>192</v>
      </c>
      <c r="B164">
        <v>188.4</v>
      </c>
      <c r="D164">
        <v>34.200000000000003</v>
      </c>
      <c r="E164" s="2">
        <v>5271733</v>
      </c>
      <c r="F164">
        <v>1908</v>
      </c>
      <c r="G164">
        <v>1907</v>
      </c>
      <c r="H164">
        <v>156</v>
      </c>
      <c r="I164">
        <v>156</v>
      </c>
      <c r="J164">
        <v>155</v>
      </c>
    </row>
    <row r="165" spans="1:10" x14ac:dyDescent="0.25">
      <c r="A165" t="s">
        <v>199</v>
      </c>
      <c r="B165">
        <v>189.6</v>
      </c>
      <c r="D165">
        <v>36</v>
      </c>
      <c r="E165" s="2">
        <v>12326401</v>
      </c>
      <c r="F165">
        <v>1908</v>
      </c>
      <c r="G165">
        <v>1907</v>
      </c>
      <c r="H165">
        <v>156</v>
      </c>
      <c r="I165">
        <v>156</v>
      </c>
      <c r="J165">
        <v>155</v>
      </c>
    </row>
    <row r="166" spans="1:10" x14ac:dyDescent="0.25">
      <c r="A166" t="s">
        <v>174</v>
      </c>
      <c r="B166">
        <v>191</v>
      </c>
      <c r="D166">
        <v>32.5</v>
      </c>
      <c r="E166" s="2">
        <v>224835</v>
      </c>
      <c r="F166">
        <v>1908</v>
      </c>
      <c r="G166">
        <v>1907</v>
      </c>
      <c r="H166">
        <v>156</v>
      </c>
      <c r="I166">
        <v>156</v>
      </c>
      <c r="J166">
        <v>155</v>
      </c>
    </row>
    <row r="167" spans="1:10" x14ac:dyDescent="0.25">
      <c r="A167" t="s">
        <v>184</v>
      </c>
      <c r="B167">
        <v>188.3</v>
      </c>
      <c r="D167">
        <v>32.9</v>
      </c>
      <c r="E167" s="2">
        <v>1463475</v>
      </c>
      <c r="F167">
        <v>1908</v>
      </c>
      <c r="G167">
        <v>1907</v>
      </c>
      <c r="H167">
        <v>156</v>
      </c>
      <c r="I167">
        <v>156</v>
      </c>
      <c r="J167">
        <v>155</v>
      </c>
    </row>
    <row r="168" spans="1:10" x14ac:dyDescent="0.25">
      <c r="A168" t="s">
        <v>175</v>
      </c>
      <c r="B168">
        <v>181.2</v>
      </c>
      <c r="D168">
        <v>28.3</v>
      </c>
      <c r="E168" s="2">
        <v>1585643</v>
      </c>
      <c r="F168">
        <v>1908</v>
      </c>
      <c r="G168">
        <v>1907</v>
      </c>
      <c r="H168">
        <v>156</v>
      </c>
      <c r="I168">
        <v>156</v>
      </c>
      <c r="J168">
        <v>155</v>
      </c>
    </row>
    <row r="169" spans="1:10" x14ac:dyDescent="0.25">
      <c r="A169" t="s">
        <v>207</v>
      </c>
      <c r="B169">
        <v>184.8</v>
      </c>
      <c r="D169">
        <v>39.200000000000003</v>
      </c>
      <c r="E169" s="2">
        <v>495254</v>
      </c>
      <c r="F169">
        <v>1908</v>
      </c>
      <c r="G169">
        <v>1907</v>
      </c>
      <c r="H169">
        <v>156</v>
      </c>
      <c r="I169">
        <v>156</v>
      </c>
      <c r="J169">
        <v>155</v>
      </c>
    </row>
    <row r="170" spans="1:10" x14ac:dyDescent="0.25">
      <c r="A170" t="s">
        <v>208</v>
      </c>
      <c r="B170">
        <v>177.9</v>
      </c>
      <c r="D170">
        <v>30.5</v>
      </c>
      <c r="E170" s="2">
        <v>353074</v>
      </c>
      <c r="F170">
        <v>1908</v>
      </c>
      <c r="G170">
        <v>1907</v>
      </c>
      <c r="H170">
        <v>156</v>
      </c>
      <c r="I170">
        <v>156</v>
      </c>
      <c r="J170">
        <v>155</v>
      </c>
    </row>
    <row r="171" spans="1:10" x14ac:dyDescent="0.25">
      <c r="A171" t="s">
        <v>195</v>
      </c>
      <c r="B171">
        <v>172.7</v>
      </c>
      <c r="D171">
        <v>34.200000000000003</v>
      </c>
      <c r="E171" s="2">
        <v>280731</v>
      </c>
      <c r="F171">
        <v>1908</v>
      </c>
      <c r="G171">
        <v>1907</v>
      </c>
      <c r="H171">
        <v>156</v>
      </c>
      <c r="I171">
        <v>156</v>
      </c>
      <c r="J171">
        <v>155</v>
      </c>
    </row>
    <row r="172" spans="1:10" x14ac:dyDescent="0.25">
      <c r="A172" t="s">
        <v>201</v>
      </c>
      <c r="B172">
        <v>181.5</v>
      </c>
      <c r="D172">
        <v>56.6</v>
      </c>
      <c r="E172" s="2">
        <v>119851</v>
      </c>
      <c r="F172">
        <v>1908</v>
      </c>
      <c r="G172">
        <v>1907</v>
      </c>
      <c r="H172">
        <v>156</v>
      </c>
      <c r="I172">
        <v>156</v>
      </c>
      <c r="J172">
        <v>155</v>
      </c>
    </row>
    <row r="173" spans="1:10" x14ac:dyDescent="0.25">
      <c r="A173" t="s">
        <v>89</v>
      </c>
      <c r="B173">
        <v>181.7</v>
      </c>
      <c r="D173">
        <v>38.6</v>
      </c>
      <c r="E173" s="2">
        <v>665850</v>
      </c>
      <c r="F173">
        <v>1908</v>
      </c>
      <c r="G173">
        <v>1907</v>
      </c>
      <c r="H173">
        <v>156</v>
      </c>
      <c r="I173">
        <v>156</v>
      </c>
      <c r="J173">
        <v>155</v>
      </c>
    </row>
    <row r="174" spans="1:10" x14ac:dyDescent="0.25">
      <c r="A174" t="s">
        <v>176</v>
      </c>
      <c r="B174">
        <v>148</v>
      </c>
      <c r="D174">
        <v>33.1</v>
      </c>
      <c r="E174" s="2">
        <v>182656</v>
      </c>
      <c r="F174">
        <v>1908</v>
      </c>
      <c r="G174">
        <v>1907</v>
      </c>
      <c r="H174">
        <v>156</v>
      </c>
      <c r="I174">
        <v>156</v>
      </c>
      <c r="J174">
        <v>155</v>
      </c>
    </row>
    <row r="175" spans="1:10" x14ac:dyDescent="0.25">
      <c r="A175" t="s">
        <v>120</v>
      </c>
      <c r="B175">
        <v>140.9</v>
      </c>
      <c r="D175" s="9">
        <v>33.700000000000003</v>
      </c>
      <c r="E175" s="2">
        <v>1020581</v>
      </c>
      <c r="F175">
        <v>1908</v>
      </c>
      <c r="G175">
        <v>1907</v>
      </c>
      <c r="H175">
        <v>157</v>
      </c>
      <c r="I175">
        <v>157</v>
      </c>
      <c r="J175">
        <v>155</v>
      </c>
    </row>
    <row r="176" spans="1:10" x14ac:dyDescent="0.25">
      <c r="A176" t="s">
        <v>203</v>
      </c>
      <c r="B176">
        <v>131.80000000000001</v>
      </c>
      <c r="D176" s="9">
        <v>39.6</v>
      </c>
      <c r="E176" s="2">
        <v>667520</v>
      </c>
      <c r="F176">
        <v>1908</v>
      </c>
      <c r="G176">
        <v>1907</v>
      </c>
      <c r="H176">
        <v>157</v>
      </c>
      <c r="I176">
        <v>157</v>
      </c>
      <c r="J176">
        <v>155</v>
      </c>
    </row>
    <row r="177" spans="1:10" x14ac:dyDescent="0.25">
      <c r="A177" t="s">
        <v>5</v>
      </c>
      <c r="B177">
        <v>126.8</v>
      </c>
      <c r="D177" s="9">
        <v>37.6</v>
      </c>
      <c r="E177" s="2">
        <v>264521</v>
      </c>
      <c r="F177">
        <v>1908</v>
      </c>
      <c r="G177">
        <v>1907</v>
      </c>
      <c r="H177">
        <v>157</v>
      </c>
      <c r="I177">
        <v>157</v>
      </c>
      <c r="J177">
        <v>155</v>
      </c>
    </row>
    <row r="178" spans="1:10" x14ac:dyDescent="0.25">
      <c r="A178" t="s">
        <v>73</v>
      </c>
      <c r="B178">
        <v>110.6</v>
      </c>
      <c r="D178" s="9">
        <v>33.4</v>
      </c>
      <c r="E178" s="2">
        <v>90727</v>
      </c>
      <c r="F178">
        <v>1908</v>
      </c>
      <c r="G178">
        <v>1907</v>
      </c>
      <c r="H178">
        <v>157</v>
      </c>
      <c r="I178">
        <v>157</v>
      </c>
      <c r="J178">
        <v>155</v>
      </c>
    </row>
    <row r="179" spans="1:10" x14ac:dyDescent="0.25">
      <c r="A179" t="s">
        <v>152</v>
      </c>
      <c r="B179">
        <v>144.30000000000001</v>
      </c>
      <c r="D179" s="9">
        <v>30.4</v>
      </c>
      <c r="E179" s="2">
        <v>602602</v>
      </c>
      <c r="F179">
        <v>1908</v>
      </c>
      <c r="G179">
        <v>1907</v>
      </c>
      <c r="H179">
        <v>157</v>
      </c>
      <c r="I179">
        <v>157</v>
      </c>
      <c r="J179">
        <v>155</v>
      </c>
    </row>
    <row r="180" spans="1:10" x14ac:dyDescent="0.25">
      <c r="A180" t="s">
        <v>204</v>
      </c>
      <c r="B180">
        <v>122.6</v>
      </c>
      <c r="D180" s="9">
        <v>35.799999999999997</v>
      </c>
      <c r="E180" s="2">
        <v>1331951</v>
      </c>
      <c r="F180">
        <v>1908</v>
      </c>
      <c r="G180">
        <v>1907</v>
      </c>
      <c r="H180">
        <v>157</v>
      </c>
      <c r="I180">
        <v>157</v>
      </c>
      <c r="J180">
        <v>155</v>
      </c>
    </row>
    <row r="181" spans="1:10" x14ac:dyDescent="0.25">
      <c r="A181" t="s">
        <v>61</v>
      </c>
      <c r="B181">
        <v>132.1</v>
      </c>
      <c r="D181" s="9">
        <v>42.5</v>
      </c>
      <c r="E181" s="2">
        <v>188913</v>
      </c>
      <c r="F181">
        <v>1908</v>
      </c>
      <c r="G181">
        <v>1907</v>
      </c>
      <c r="H181">
        <v>157</v>
      </c>
      <c r="I181">
        <v>157</v>
      </c>
      <c r="J181">
        <v>155</v>
      </c>
    </row>
    <row r="182" spans="1:10" x14ac:dyDescent="0.25">
      <c r="A182" s="10" t="s">
        <v>197</v>
      </c>
      <c r="B182">
        <v>127.8</v>
      </c>
      <c r="D182" s="9">
        <v>32.4</v>
      </c>
      <c r="E182" s="2">
        <v>190126</v>
      </c>
      <c r="F182">
        <v>1908</v>
      </c>
      <c r="G182">
        <v>1907</v>
      </c>
      <c r="H182">
        <v>157</v>
      </c>
      <c r="I182">
        <v>157</v>
      </c>
      <c r="J182">
        <v>155</v>
      </c>
    </row>
    <row r="183" spans="1:10" x14ac:dyDescent="0.25">
      <c r="A183" s="1" t="s">
        <v>180</v>
      </c>
      <c r="F183">
        <v>1908</v>
      </c>
      <c r="G183">
        <v>1907</v>
      </c>
    </row>
    <row r="184" spans="1:10" x14ac:dyDescent="0.25">
      <c r="A184" t="s">
        <v>144</v>
      </c>
      <c r="B184">
        <v>147.69999999999999</v>
      </c>
      <c r="D184" s="9">
        <v>35.9</v>
      </c>
      <c r="E184" s="2">
        <v>7425101</v>
      </c>
      <c r="F184">
        <v>1908</v>
      </c>
      <c r="G184">
        <v>1907</v>
      </c>
      <c r="H184">
        <v>157</v>
      </c>
      <c r="I184">
        <v>157</v>
      </c>
      <c r="J184">
        <v>155</v>
      </c>
    </row>
    <row r="185" spans="1:10" x14ac:dyDescent="0.25">
      <c r="A185" t="s">
        <v>179</v>
      </c>
      <c r="B185">
        <v>140.19999999999999</v>
      </c>
      <c r="D185" s="9">
        <v>30.3</v>
      </c>
      <c r="E185" s="2">
        <v>3321031</v>
      </c>
      <c r="F185">
        <v>1908</v>
      </c>
      <c r="G185">
        <v>1907</v>
      </c>
      <c r="H185">
        <v>157</v>
      </c>
      <c r="I185">
        <v>157</v>
      </c>
      <c r="J185">
        <v>155</v>
      </c>
    </row>
    <row r="186" spans="1:10" x14ac:dyDescent="0.25">
      <c r="A186" t="s">
        <v>178</v>
      </c>
      <c r="B186">
        <v>149.9</v>
      </c>
      <c r="D186" s="9">
        <v>39.299999999999997</v>
      </c>
      <c r="E186" s="2">
        <v>12245847</v>
      </c>
      <c r="F186">
        <v>1908</v>
      </c>
      <c r="G186">
        <v>1907</v>
      </c>
      <c r="H186">
        <v>157</v>
      </c>
      <c r="I186">
        <v>157</v>
      </c>
      <c r="J186">
        <v>155</v>
      </c>
    </row>
    <row r="187" spans="1:10" x14ac:dyDescent="0.25">
      <c r="A187" t="s">
        <v>186</v>
      </c>
      <c r="B187">
        <v>152.19999999999999</v>
      </c>
      <c r="D187" s="9">
        <v>33</v>
      </c>
      <c r="E187" s="2">
        <v>3416178</v>
      </c>
      <c r="F187">
        <v>1908</v>
      </c>
      <c r="G187">
        <v>1907</v>
      </c>
      <c r="H187">
        <v>157</v>
      </c>
      <c r="I187">
        <v>157</v>
      </c>
      <c r="J187">
        <v>155</v>
      </c>
    </row>
    <row r="188" spans="1:10" x14ac:dyDescent="0.25">
      <c r="A188" t="s">
        <v>209</v>
      </c>
      <c r="B188">
        <v>148.69999999999999</v>
      </c>
      <c r="D188" s="9">
        <v>33.6</v>
      </c>
      <c r="E188" s="2">
        <v>2497949</v>
      </c>
      <c r="F188">
        <v>1908</v>
      </c>
      <c r="G188">
        <v>1907</v>
      </c>
      <c r="H188">
        <v>157</v>
      </c>
      <c r="I188">
        <v>157</v>
      </c>
      <c r="J188">
        <v>155</v>
      </c>
    </row>
    <row r="189" spans="1:10" x14ac:dyDescent="0.25">
      <c r="A189" t="s">
        <v>187</v>
      </c>
      <c r="B189">
        <v>152.9</v>
      </c>
      <c r="D189" s="9">
        <v>36.4</v>
      </c>
      <c r="E189" s="2">
        <v>2422116</v>
      </c>
      <c r="F189">
        <v>1908</v>
      </c>
      <c r="G189">
        <v>1907</v>
      </c>
      <c r="H189">
        <v>157</v>
      </c>
      <c r="I189">
        <v>157</v>
      </c>
      <c r="J189">
        <v>155</v>
      </c>
    </row>
    <row r="190" spans="1:10" x14ac:dyDescent="0.25">
      <c r="A190" t="s">
        <v>181</v>
      </c>
      <c r="B190">
        <v>142</v>
      </c>
      <c r="D190" s="9">
        <v>29.8</v>
      </c>
      <c r="E190" s="2">
        <v>2028102</v>
      </c>
      <c r="F190">
        <v>1908</v>
      </c>
      <c r="G190">
        <v>1907</v>
      </c>
      <c r="H190">
        <v>157</v>
      </c>
      <c r="I190">
        <v>157</v>
      </c>
      <c r="J190">
        <v>155</v>
      </c>
    </row>
    <row r="191" spans="1:10" x14ac:dyDescent="0.25">
      <c r="A191" t="s">
        <v>188</v>
      </c>
      <c r="B191">
        <v>138.1</v>
      </c>
      <c r="D191" s="9">
        <v>35.1</v>
      </c>
      <c r="E191" s="2">
        <v>4652594</v>
      </c>
      <c r="F191">
        <v>1908</v>
      </c>
      <c r="G191">
        <v>1907</v>
      </c>
      <c r="H191">
        <v>157</v>
      </c>
      <c r="I191">
        <v>157</v>
      </c>
      <c r="J191">
        <v>155</v>
      </c>
    </row>
    <row r="192" spans="1:10" x14ac:dyDescent="0.25">
      <c r="A192" t="s">
        <v>196</v>
      </c>
      <c r="B192">
        <v>156.9</v>
      </c>
      <c r="D192" s="9">
        <v>33.6</v>
      </c>
      <c r="E192" s="2">
        <v>131519</v>
      </c>
      <c r="F192">
        <v>1908</v>
      </c>
      <c r="G192">
        <v>1907</v>
      </c>
      <c r="H192">
        <v>157</v>
      </c>
      <c r="I192">
        <v>157</v>
      </c>
      <c r="J192">
        <v>155</v>
      </c>
    </row>
    <row r="193" spans="1:10" x14ac:dyDescent="0.25">
      <c r="A193" t="s">
        <v>202</v>
      </c>
      <c r="B193">
        <v>130.80000000000001</v>
      </c>
      <c r="D193" s="9">
        <v>31.9</v>
      </c>
      <c r="E193" s="2">
        <v>64158</v>
      </c>
      <c r="F193">
        <v>1908</v>
      </c>
      <c r="G193">
        <v>1907</v>
      </c>
      <c r="H193">
        <v>157</v>
      </c>
      <c r="I193">
        <v>157</v>
      </c>
      <c r="J193">
        <v>155</v>
      </c>
    </row>
    <row r="194" spans="1:10" x14ac:dyDescent="0.25">
      <c r="A194" t="s">
        <v>190</v>
      </c>
      <c r="B194">
        <v>139.80000000000001</v>
      </c>
      <c r="D194" s="9">
        <v>33.1</v>
      </c>
      <c r="E194" s="2">
        <v>807559</v>
      </c>
      <c r="F194">
        <v>1908</v>
      </c>
      <c r="G194">
        <v>1907</v>
      </c>
      <c r="H194">
        <v>157</v>
      </c>
      <c r="I194">
        <v>157</v>
      </c>
      <c r="J194">
        <v>155</v>
      </c>
    </row>
    <row r="195" spans="1:10" x14ac:dyDescent="0.25">
      <c r="A195" t="s">
        <v>182</v>
      </c>
      <c r="B195">
        <v>133.5</v>
      </c>
      <c r="D195" s="9">
        <v>37.200000000000003</v>
      </c>
      <c r="E195" s="2">
        <v>1044368</v>
      </c>
      <c r="F195">
        <v>1908</v>
      </c>
      <c r="G195">
        <v>1907</v>
      </c>
      <c r="H195">
        <v>157</v>
      </c>
      <c r="I195">
        <v>157</v>
      </c>
      <c r="J195">
        <v>155</v>
      </c>
    </row>
    <row r="196" spans="1:10" x14ac:dyDescent="0.25">
      <c r="A196" t="s">
        <v>189</v>
      </c>
      <c r="B196">
        <v>142.9</v>
      </c>
      <c r="D196" s="9">
        <v>33.200000000000003</v>
      </c>
      <c r="E196" s="2">
        <v>555916</v>
      </c>
      <c r="F196">
        <v>1908</v>
      </c>
      <c r="G196">
        <v>1907</v>
      </c>
      <c r="H196">
        <v>157</v>
      </c>
      <c r="I196">
        <v>157</v>
      </c>
      <c r="J196">
        <v>155</v>
      </c>
    </row>
    <row r="197" spans="1:10" x14ac:dyDescent="0.25">
      <c r="A197" t="s">
        <v>210</v>
      </c>
      <c r="B197">
        <v>120.1</v>
      </c>
      <c r="D197" s="9">
        <v>34.5</v>
      </c>
      <c r="E197" s="2">
        <v>39115</v>
      </c>
      <c r="F197">
        <v>1908</v>
      </c>
      <c r="G197">
        <v>1907</v>
      </c>
      <c r="H197">
        <v>157</v>
      </c>
      <c r="I197">
        <v>157</v>
      </c>
      <c r="J197">
        <v>155</v>
      </c>
    </row>
    <row r="198" spans="1:10" x14ac:dyDescent="0.25">
      <c r="A198" t="s">
        <v>173</v>
      </c>
      <c r="B198">
        <v>136.6</v>
      </c>
      <c r="D198" s="9">
        <v>32.200000000000003</v>
      </c>
      <c r="E198" s="2">
        <v>1754878</v>
      </c>
      <c r="F198">
        <v>1908</v>
      </c>
      <c r="G198">
        <v>1907</v>
      </c>
      <c r="H198">
        <v>157</v>
      </c>
      <c r="I198">
        <v>157</v>
      </c>
      <c r="J198">
        <v>155</v>
      </c>
    </row>
    <row r="199" spans="1:10" x14ac:dyDescent="0.25">
      <c r="A199" s="1" t="s">
        <v>193</v>
      </c>
      <c r="F199">
        <v>1908</v>
      </c>
      <c r="G199">
        <v>1907</v>
      </c>
    </row>
    <row r="200" spans="1:10" x14ac:dyDescent="0.25">
      <c r="A200" t="s">
        <v>171</v>
      </c>
      <c r="B200">
        <v>106.9</v>
      </c>
      <c r="D200" s="9">
        <v>34.299999999999997</v>
      </c>
      <c r="E200" s="2">
        <v>31589</v>
      </c>
      <c r="F200">
        <v>1908</v>
      </c>
      <c r="G200">
        <v>1907</v>
      </c>
      <c r="H200">
        <v>157</v>
      </c>
      <c r="I200">
        <v>157</v>
      </c>
      <c r="J200">
        <v>155</v>
      </c>
    </row>
    <row r="201" spans="1:10" x14ac:dyDescent="0.25">
      <c r="A201" s="1" t="s">
        <v>205</v>
      </c>
      <c r="F201">
        <v>1908</v>
      </c>
      <c r="G201">
        <v>1907</v>
      </c>
    </row>
    <row r="202" spans="1:10" x14ac:dyDescent="0.25">
      <c r="A202" t="s">
        <v>74</v>
      </c>
      <c r="B202">
        <v>138.19999999999999</v>
      </c>
      <c r="D202" s="9">
        <v>35.200000000000003</v>
      </c>
      <c r="E202" s="2">
        <v>531127</v>
      </c>
      <c r="F202">
        <v>1908</v>
      </c>
      <c r="G202">
        <v>1907</v>
      </c>
      <c r="H202">
        <v>157</v>
      </c>
      <c r="I202">
        <v>157</v>
      </c>
      <c r="J202">
        <v>155</v>
      </c>
    </row>
    <row r="203" spans="1:10" x14ac:dyDescent="0.25">
      <c r="A203" t="s">
        <v>177</v>
      </c>
      <c r="B203">
        <v>130.19999999999999</v>
      </c>
      <c r="D203" s="9">
        <v>33.1</v>
      </c>
      <c r="E203" s="2">
        <v>85566</v>
      </c>
      <c r="F203">
        <v>1908</v>
      </c>
      <c r="G203">
        <v>1907</v>
      </c>
      <c r="H203">
        <v>157</v>
      </c>
      <c r="I203">
        <v>157</v>
      </c>
      <c r="J203">
        <v>155</v>
      </c>
    </row>
    <row r="204" spans="1:10" x14ac:dyDescent="0.25">
      <c r="A204" t="s">
        <v>56</v>
      </c>
      <c r="B204">
        <v>140.5</v>
      </c>
      <c r="D204" s="9">
        <v>34.299999999999997</v>
      </c>
      <c r="E204" s="2">
        <v>1723976</v>
      </c>
      <c r="F204">
        <v>1908</v>
      </c>
      <c r="G204">
        <v>1907</v>
      </c>
      <c r="H204">
        <v>157</v>
      </c>
      <c r="I204">
        <v>157</v>
      </c>
      <c r="J204">
        <v>155</v>
      </c>
    </row>
    <row r="205" spans="1:10" x14ac:dyDescent="0.25">
      <c r="A205" t="s">
        <v>198</v>
      </c>
      <c r="B205">
        <v>147.4</v>
      </c>
      <c r="D205" s="9">
        <v>35.4</v>
      </c>
      <c r="E205" s="2">
        <v>571866</v>
      </c>
      <c r="F205">
        <v>1908</v>
      </c>
      <c r="G205">
        <v>1907</v>
      </c>
      <c r="H205">
        <v>157</v>
      </c>
      <c r="I205">
        <v>157</v>
      </c>
      <c r="J205">
        <v>155</v>
      </c>
    </row>
    <row r="206" spans="1:10" x14ac:dyDescent="0.25">
      <c r="A206" t="s">
        <v>172</v>
      </c>
      <c r="B206">
        <v>150.80000000000001</v>
      </c>
      <c r="D206" s="9">
        <v>35.200000000000003</v>
      </c>
      <c r="E206" s="2">
        <v>4139653</v>
      </c>
      <c r="F206">
        <v>1908</v>
      </c>
      <c r="G206">
        <v>1907</v>
      </c>
      <c r="H206">
        <v>157</v>
      </c>
      <c r="I206">
        <v>157</v>
      </c>
      <c r="J206">
        <v>155</v>
      </c>
    </row>
    <row r="207" spans="1:10" x14ac:dyDescent="0.25">
      <c r="E207" s="11" t="s">
        <v>363</v>
      </c>
    </row>
    <row r="208" spans="1:10" x14ac:dyDescent="0.25">
      <c r="E208" s="2" t="s">
        <v>366</v>
      </c>
    </row>
    <row r="209" spans="1:11" x14ac:dyDescent="0.25">
      <c r="A209" t="s">
        <v>183</v>
      </c>
      <c r="B209">
        <v>179.5</v>
      </c>
      <c r="D209">
        <v>26.6</v>
      </c>
      <c r="E209" s="2">
        <v>445712</v>
      </c>
      <c r="F209">
        <v>1910</v>
      </c>
      <c r="G209">
        <v>1909</v>
      </c>
      <c r="H209">
        <v>49</v>
      </c>
      <c r="J209">
        <v>50</v>
      </c>
      <c r="K209">
        <v>39</v>
      </c>
    </row>
    <row r="210" spans="1:11" x14ac:dyDescent="0.25">
      <c r="A210" t="s">
        <v>191</v>
      </c>
      <c r="B210">
        <v>176.6</v>
      </c>
      <c r="D210">
        <v>27.1</v>
      </c>
      <c r="E210" s="2">
        <v>59470</v>
      </c>
      <c r="F210">
        <v>1910</v>
      </c>
      <c r="G210">
        <v>1909</v>
      </c>
      <c r="H210">
        <v>49</v>
      </c>
      <c r="J210">
        <v>50</v>
      </c>
      <c r="K210">
        <v>39</v>
      </c>
    </row>
    <row r="211" spans="1:11" x14ac:dyDescent="0.25">
      <c r="A211" t="s">
        <v>206</v>
      </c>
      <c r="B211">
        <v>181.1</v>
      </c>
      <c r="D211">
        <v>31</v>
      </c>
      <c r="E211" s="2">
        <v>1120218</v>
      </c>
      <c r="F211">
        <v>1910</v>
      </c>
      <c r="G211">
        <v>1909</v>
      </c>
      <c r="H211">
        <v>49</v>
      </c>
      <c r="J211">
        <v>50</v>
      </c>
      <c r="K211">
        <v>39</v>
      </c>
    </row>
    <row r="212" spans="1:11" x14ac:dyDescent="0.25">
      <c r="A212" t="s">
        <v>185</v>
      </c>
      <c r="B212">
        <v>186.4</v>
      </c>
      <c r="D212">
        <v>31.1</v>
      </c>
      <c r="E212" s="2">
        <v>5000000</v>
      </c>
      <c r="F212">
        <v>1910</v>
      </c>
      <c r="G212">
        <v>1909</v>
      </c>
      <c r="H212">
        <v>49</v>
      </c>
      <c r="J212">
        <v>50</v>
      </c>
      <c r="K212">
        <v>39</v>
      </c>
    </row>
    <row r="213" spans="1:11" x14ac:dyDescent="0.25">
      <c r="A213" t="s">
        <v>200</v>
      </c>
      <c r="B213">
        <v>184.9</v>
      </c>
      <c r="D213">
        <v>30.5</v>
      </c>
      <c r="E213" s="2">
        <v>262225</v>
      </c>
      <c r="F213">
        <v>1910</v>
      </c>
      <c r="G213">
        <v>1909</v>
      </c>
      <c r="H213">
        <v>49</v>
      </c>
      <c r="J213">
        <v>50</v>
      </c>
      <c r="K213">
        <v>39</v>
      </c>
    </row>
    <row r="214" spans="1:11" x14ac:dyDescent="0.25">
      <c r="A214" t="s">
        <v>215</v>
      </c>
      <c r="B214">
        <v>183.1</v>
      </c>
      <c r="D214">
        <v>33.299999999999997</v>
      </c>
      <c r="E214" s="2">
        <v>3060097</v>
      </c>
      <c r="F214">
        <v>1910</v>
      </c>
      <c r="G214">
        <v>1909</v>
      </c>
      <c r="H214">
        <v>49</v>
      </c>
      <c r="J214">
        <v>50</v>
      </c>
      <c r="K214">
        <v>39</v>
      </c>
    </row>
    <row r="215" spans="1:11" x14ac:dyDescent="0.25">
      <c r="A215" t="s">
        <v>194</v>
      </c>
      <c r="B215">
        <v>189.8</v>
      </c>
      <c r="D215">
        <v>34</v>
      </c>
      <c r="E215" s="2">
        <v>8996863</v>
      </c>
      <c r="F215">
        <v>1910</v>
      </c>
      <c r="G215">
        <v>1909</v>
      </c>
      <c r="H215">
        <v>49</v>
      </c>
      <c r="J215">
        <v>50</v>
      </c>
      <c r="K215">
        <v>39</v>
      </c>
    </row>
    <row r="216" spans="1:11" x14ac:dyDescent="0.25">
      <c r="A216" t="s">
        <v>192</v>
      </c>
      <c r="B216">
        <v>187.9</v>
      </c>
      <c r="D216">
        <v>32.5</v>
      </c>
      <c r="E216" s="2">
        <v>4436430</v>
      </c>
      <c r="F216">
        <v>1910</v>
      </c>
      <c r="G216">
        <v>1909</v>
      </c>
      <c r="H216">
        <v>49</v>
      </c>
      <c r="J216">
        <v>50</v>
      </c>
      <c r="K216">
        <v>39</v>
      </c>
    </row>
    <row r="217" spans="1:11" x14ac:dyDescent="0.25">
      <c r="A217" t="s">
        <v>199</v>
      </c>
      <c r="B217">
        <v>191.6</v>
      </c>
      <c r="D217">
        <v>34.700000000000003</v>
      </c>
      <c r="F217">
        <v>1910</v>
      </c>
      <c r="G217">
        <v>1909</v>
      </c>
      <c r="H217">
        <v>49</v>
      </c>
      <c r="J217">
        <v>50</v>
      </c>
      <c r="K217">
        <v>39</v>
      </c>
    </row>
    <row r="218" spans="1:11" x14ac:dyDescent="0.25">
      <c r="A218" t="s">
        <v>174</v>
      </c>
      <c r="B218">
        <v>190.4</v>
      </c>
      <c r="D218">
        <v>29.7</v>
      </c>
      <c r="E218" s="2">
        <v>350000</v>
      </c>
      <c r="F218">
        <v>1910</v>
      </c>
      <c r="G218">
        <v>1909</v>
      </c>
      <c r="H218">
        <v>49</v>
      </c>
      <c r="J218">
        <v>50</v>
      </c>
      <c r="K218">
        <v>39</v>
      </c>
    </row>
    <row r="219" spans="1:11" x14ac:dyDescent="0.25">
      <c r="A219" t="s">
        <v>184</v>
      </c>
      <c r="B219">
        <v>193.9</v>
      </c>
      <c r="D219">
        <v>32.299999999999997</v>
      </c>
      <c r="F219">
        <v>1910</v>
      </c>
      <c r="G219">
        <v>1909</v>
      </c>
      <c r="H219">
        <v>49</v>
      </c>
      <c r="J219">
        <v>50</v>
      </c>
      <c r="K219">
        <v>39</v>
      </c>
    </row>
    <row r="220" spans="1:11" x14ac:dyDescent="0.25">
      <c r="A220" t="s">
        <v>175</v>
      </c>
      <c r="B220">
        <v>176.5</v>
      </c>
      <c r="D220">
        <v>27.2</v>
      </c>
      <c r="E220" s="2">
        <v>0</v>
      </c>
      <c r="F220">
        <v>1910</v>
      </c>
      <c r="G220">
        <v>1909</v>
      </c>
      <c r="H220">
        <v>49</v>
      </c>
      <c r="J220">
        <v>50</v>
      </c>
      <c r="K220">
        <v>39</v>
      </c>
    </row>
    <row r="221" spans="1:11" x14ac:dyDescent="0.25">
      <c r="A221" t="s">
        <v>207</v>
      </c>
      <c r="B221">
        <v>179.8</v>
      </c>
      <c r="D221">
        <v>35.299999999999997</v>
      </c>
      <c r="E221" s="2">
        <v>2100000</v>
      </c>
      <c r="F221">
        <v>1910</v>
      </c>
      <c r="G221">
        <v>1909</v>
      </c>
      <c r="H221">
        <v>49</v>
      </c>
      <c r="J221">
        <v>50</v>
      </c>
      <c r="K221">
        <v>39</v>
      </c>
    </row>
    <row r="222" spans="1:11" x14ac:dyDescent="0.25">
      <c r="A222" t="s">
        <v>208</v>
      </c>
      <c r="B222">
        <v>178.6</v>
      </c>
      <c r="D222">
        <v>30.6</v>
      </c>
      <c r="E222" s="2">
        <v>1000000</v>
      </c>
      <c r="F222">
        <v>1910</v>
      </c>
      <c r="G222">
        <v>1909</v>
      </c>
      <c r="H222">
        <v>49</v>
      </c>
      <c r="J222">
        <v>50</v>
      </c>
      <c r="K222">
        <v>39</v>
      </c>
    </row>
    <row r="223" spans="1:11" x14ac:dyDescent="0.25">
      <c r="A223" t="s">
        <v>195</v>
      </c>
      <c r="B223">
        <v>172.1</v>
      </c>
      <c r="D223">
        <v>35</v>
      </c>
      <c r="E223" s="2">
        <v>390985</v>
      </c>
      <c r="F223">
        <v>1910</v>
      </c>
      <c r="G223">
        <v>1909</v>
      </c>
      <c r="H223">
        <v>49</v>
      </c>
      <c r="J223">
        <v>50</v>
      </c>
      <c r="K223">
        <v>39</v>
      </c>
    </row>
    <row r="224" spans="1:11" x14ac:dyDescent="0.25">
      <c r="A224" t="s">
        <v>201</v>
      </c>
      <c r="B224">
        <v>179.7</v>
      </c>
      <c r="D224">
        <v>44</v>
      </c>
      <c r="F224">
        <v>1910</v>
      </c>
      <c r="G224">
        <v>1909</v>
      </c>
      <c r="H224">
        <v>49</v>
      </c>
      <c r="J224">
        <v>50</v>
      </c>
      <c r="K224">
        <v>39</v>
      </c>
    </row>
    <row r="225" spans="1:11" x14ac:dyDescent="0.25">
      <c r="A225" t="s">
        <v>89</v>
      </c>
      <c r="B225">
        <v>179.7</v>
      </c>
      <c r="D225">
        <v>37.299999999999997</v>
      </c>
      <c r="F225">
        <v>1910</v>
      </c>
      <c r="G225">
        <v>1909</v>
      </c>
      <c r="H225">
        <v>49</v>
      </c>
      <c r="J225">
        <v>50</v>
      </c>
      <c r="K225">
        <v>39</v>
      </c>
    </row>
    <row r="226" spans="1:11" x14ac:dyDescent="0.25">
      <c r="A226" t="s">
        <v>176</v>
      </c>
      <c r="B226">
        <v>159.80000000000001</v>
      </c>
      <c r="D226">
        <v>37.4</v>
      </c>
      <c r="E226" s="2">
        <v>1129667</v>
      </c>
      <c r="F226">
        <v>1910</v>
      </c>
      <c r="G226">
        <v>1909</v>
      </c>
      <c r="H226">
        <v>49</v>
      </c>
      <c r="J226">
        <v>50</v>
      </c>
      <c r="K226">
        <v>39</v>
      </c>
    </row>
    <row r="227" spans="1:11" x14ac:dyDescent="0.25">
      <c r="A227" t="s">
        <v>120</v>
      </c>
      <c r="B227">
        <v>191.1</v>
      </c>
      <c r="D227">
        <v>33.6</v>
      </c>
      <c r="E227" s="2">
        <v>0</v>
      </c>
      <c r="F227">
        <v>1910</v>
      </c>
      <c r="G227">
        <v>1909</v>
      </c>
      <c r="H227">
        <v>49</v>
      </c>
      <c r="J227">
        <v>50</v>
      </c>
      <c r="K227">
        <v>39</v>
      </c>
    </row>
    <row r="228" spans="1:11" x14ac:dyDescent="0.25">
      <c r="A228" t="s">
        <v>203</v>
      </c>
      <c r="B228">
        <v>181</v>
      </c>
      <c r="D228">
        <v>37.700000000000003</v>
      </c>
      <c r="E228" s="2">
        <v>2512000</v>
      </c>
      <c r="F228">
        <v>1910</v>
      </c>
      <c r="G228">
        <v>1909</v>
      </c>
      <c r="H228">
        <v>49</v>
      </c>
      <c r="J228">
        <v>50</v>
      </c>
      <c r="K228">
        <v>39</v>
      </c>
    </row>
    <row r="229" spans="1:11" x14ac:dyDescent="0.25">
      <c r="A229" t="s">
        <v>5</v>
      </c>
      <c r="B229">
        <v>170.1</v>
      </c>
      <c r="D229">
        <v>32.799999999999997</v>
      </c>
      <c r="E229" s="2">
        <v>0</v>
      </c>
      <c r="F229">
        <v>1910</v>
      </c>
      <c r="G229">
        <v>1909</v>
      </c>
      <c r="H229">
        <v>49</v>
      </c>
      <c r="J229">
        <v>50</v>
      </c>
      <c r="K229">
        <v>39</v>
      </c>
    </row>
    <row r="230" spans="1:11" x14ac:dyDescent="0.25">
      <c r="A230" t="s">
        <v>73</v>
      </c>
      <c r="B230">
        <v>171.3</v>
      </c>
      <c r="D230">
        <v>28.4</v>
      </c>
      <c r="E230" s="2">
        <v>3466667</v>
      </c>
      <c r="F230">
        <v>1910</v>
      </c>
      <c r="G230">
        <v>1909</v>
      </c>
      <c r="H230">
        <v>49</v>
      </c>
      <c r="J230">
        <v>50</v>
      </c>
      <c r="K230">
        <v>39</v>
      </c>
    </row>
    <row r="231" spans="1:11" x14ac:dyDescent="0.25">
      <c r="A231" t="s">
        <v>152</v>
      </c>
      <c r="B231">
        <v>168.6</v>
      </c>
      <c r="D231">
        <v>28.4</v>
      </c>
      <c r="E231" s="2">
        <v>68001</v>
      </c>
      <c r="F231">
        <v>1910</v>
      </c>
      <c r="G231">
        <v>1909</v>
      </c>
      <c r="H231">
        <v>49</v>
      </c>
      <c r="J231">
        <v>50</v>
      </c>
      <c r="K231">
        <v>39</v>
      </c>
    </row>
    <row r="232" spans="1:11" x14ac:dyDescent="0.25">
      <c r="A232" t="s">
        <v>204</v>
      </c>
      <c r="B232">
        <v>174.1</v>
      </c>
      <c r="D232">
        <v>32.1</v>
      </c>
      <c r="E232" s="2">
        <v>61526243</v>
      </c>
      <c r="F232">
        <v>1910</v>
      </c>
      <c r="G232">
        <v>1909</v>
      </c>
      <c r="H232">
        <v>49</v>
      </c>
      <c r="J232">
        <v>50</v>
      </c>
      <c r="K232">
        <v>39</v>
      </c>
    </row>
    <row r="233" spans="1:11" x14ac:dyDescent="0.25">
      <c r="A233" t="s">
        <v>61</v>
      </c>
      <c r="B233">
        <v>182.2</v>
      </c>
      <c r="D233">
        <v>38.5</v>
      </c>
      <c r="E233" s="2">
        <v>1135279</v>
      </c>
      <c r="F233">
        <v>1910</v>
      </c>
      <c r="G233">
        <v>1909</v>
      </c>
      <c r="H233">
        <v>49</v>
      </c>
      <c r="J233">
        <v>50</v>
      </c>
      <c r="K233">
        <v>39</v>
      </c>
    </row>
    <row r="234" spans="1:11" x14ac:dyDescent="0.25">
      <c r="A234" s="10" t="s">
        <v>197</v>
      </c>
      <c r="B234">
        <v>174.2</v>
      </c>
      <c r="D234">
        <v>31.6</v>
      </c>
      <c r="E234" s="2">
        <v>5000000</v>
      </c>
      <c r="F234">
        <v>1910</v>
      </c>
      <c r="G234">
        <v>1909</v>
      </c>
      <c r="H234">
        <v>49</v>
      </c>
      <c r="J234">
        <v>50</v>
      </c>
      <c r="K234">
        <v>39</v>
      </c>
    </row>
    <row r="235" spans="1:11" x14ac:dyDescent="0.25">
      <c r="A235" s="1" t="s">
        <v>180</v>
      </c>
      <c r="D235"/>
      <c r="F235">
        <v>1910</v>
      </c>
      <c r="G235">
        <v>1909</v>
      </c>
      <c r="H235">
        <v>49</v>
      </c>
      <c r="J235">
        <v>50</v>
      </c>
      <c r="K235">
        <v>39</v>
      </c>
    </row>
    <row r="236" spans="1:11" x14ac:dyDescent="0.25">
      <c r="A236" t="s">
        <v>144</v>
      </c>
      <c r="B236">
        <v>186.3</v>
      </c>
      <c r="D236">
        <v>30</v>
      </c>
      <c r="E236" s="2">
        <v>2315627</v>
      </c>
      <c r="F236">
        <v>1910</v>
      </c>
      <c r="G236">
        <v>1909</v>
      </c>
      <c r="H236">
        <v>49</v>
      </c>
      <c r="J236">
        <v>50</v>
      </c>
      <c r="K236">
        <v>39</v>
      </c>
    </row>
    <row r="237" spans="1:11" x14ac:dyDescent="0.25">
      <c r="A237" t="s">
        <v>179</v>
      </c>
      <c r="B237">
        <v>182.2</v>
      </c>
      <c r="D237">
        <v>30.3</v>
      </c>
      <c r="E237" s="2">
        <v>11002363</v>
      </c>
      <c r="F237">
        <v>1910</v>
      </c>
      <c r="G237">
        <v>1909</v>
      </c>
      <c r="H237">
        <v>49</v>
      </c>
      <c r="J237">
        <v>50</v>
      </c>
      <c r="K237">
        <v>39</v>
      </c>
    </row>
    <row r="238" spans="1:11" x14ac:dyDescent="0.25">
      <c r="A238" t="s">
        <v>178</v>
      </c>
      <c r="B238">
        <v>190.2</v>
      </c>
      <c r="D238">
        <v>36.799999999999997</v>
      </c>
      <c r="E238" s="2">
        <v>20275835</v>
      </c>
      <c r="F238">
        <v>1910</v>
      </c>
      <c r="G238">
        <v>1909</v>
      </c>
      <c r="H238">
        <v>49</v>
      </c>
      <c r="J238">
        <v>50</v>
      </c>
      <c r="K238">
        <v>39</v>
      </c>
    </row>
    <row r="239" spans="1:11" x14ac:dyDescent="0.25">
      <c r="A239" t="s">
        <v>186</v>
      </c>
      <c r="B239">
        <v>194.5</v>
      </c>
      <c r="D239">
        <v>29.4</v>
      </c>
      <c r="E239" s="2">
        <v>5228333</v>
      </c>
      <c r="F239">
        <v>1910</v>
      </c>
      <c r="G239">
        <v>1909</v>
      </c>
      <c r="H239">
        <v>49</v>
      </c>
      <c r="J239">
        <v>50</v>
      </c>
      <c r="K239">
        <v>39</v>
      </c>
    </row>
    <row r="240" spans="1:11" x14ac:dyDescent="0.25">
      <c r="A240" t="s">
        <v>209</v>
      </c>
      <c r="B240">
        <v>190.2</v>
      </c>
      <c r="D240">
        <v>31.6</v>
      </c>
      <c r="E240" s="2">
        <v>3845529</v>
      </c>
      <c r="F240">
        <v>1910</v>
      </c>
      <c r="G240">
        <v>1909</v>
      </c>
      <c r="H240">
        <v>49</v>
      </c>
      <c r="J240">
        <v>50</v>
      </c>
      <c r="K240">
        <v>39</v>
      </c>
    </row>
    <row r="241" spans="1:11" x14ac:dyDescent="0.25">
      <c r="A241" t="s">
        <v>187</v>
      </c>
      <c r="B241">
        <v>183.8</v>
      </c>
      <c r="D241">
        <v>34.1</v>
      </c>
      <c r="E241" s="2">
        <v>19709383</v>
      </c>
      <c r="F241">
        <v>1910</v>
      </c>
      <c r="G241">
        <v>1909</v>
      </c>
      <c r="H241">
        <v>49</v>
      </c>
      <c r="J241">
        <v>50</v>
      </c>
      <c r="K241">
        <v>39</v>
      </c>
    </row>
    <row r="242" spans="1:11" x14ac:dyDescent="0.25">
      <c r="A242" t="s">
        <v>181</v>
      </c>
      <c r="B242">
        <v>180.5</v>
      </c>
      <c r="D242">
        <v>29.6</v>
      </c>
      <c r="E242" s="2">
        <v>4778019</v>
      </c>
      <c r="F242">
        <v>1910</v>
      </c>
      <c r="G242">
        <v>1909</v>
      </c>
      <c r="H242">
        <v>49</v>
      </c>
      <c r="J242">
        <v>50</v>
      </c>
      <c r="K242">
        <v>39</v>
      </c>
    </row>
    <row r="243" spans="1:11" x14ac:dyDescent="0.25">
      <c r="A243" t="s">
        <v>188</v>
      </c>
      <c r="B243">
        <v>192</v>
      </c>
      <c r="D243">
        <v>34.1</v>
      </c>
      <c r="E243" s="2">
        <v>13754150</v>
      </c>
      <c r="F243">
        <v>1910</v>
      </c>
      <c r="G243">
        <v>1909</v>
      </c>
      <c r="H243">
        <v>49</v>
      </c>
      <c r="J243">
        <v>50</v>
      </c>
      <c r="K243">
        <v>39</v>
      </c>
    </row>
    <row r="244" spans="1:11" x14ac:dyDescent="0.25">
      <c r="A244" t="s">
        <v>196</v>
      </c>
      <c r="B244">
        <v>189.3</v>
      </c>
      <c r="D244">
        <v>29</v>
      </c>
      <c r="E244" s="2">
        <v>14000000</v>
      </c>
      <c r="F244">
        <v>1910</v>
      </c>
      <c r="G244">
        <v>1909</v>
      </c>
      <c r="H244">
        <v>49</v>
      </c>
      <c r="J244">
        <v>50</v>
      </c>
      <c r="K244">
        <v>39</v>
      </c>
    </row>
    <row r="245" spans="1:11" x14ac:dyDescent="0.25">
      <c r="A245" t="s">
        <v>202</v>
      </c>
      <c r="B245">
        <v>188.2</v>
      </c>
      <c r="D245">
        <v>27</v>
      </c>
      <c r="E245" s="2">
        <v>5207993</v>
      </c>
      <c r="F245">
        <v>1910</v>
      </c>
      <c r="G245">
        <v>1909</v>
      </c>
      <c r="H245">
        <v>49</v>
      </c>
      <c r="J245">
        <v>50</v>
      </c>
      <c r="K245">
        <v>39</v>
      </c>
    </row>
    <row r="246" spans="1:11" x14ac:dyDescent="0.25">
      <c r="A246" t="s">
        <v>190</v>
      </c>
      <c r="B246">
        <v>180.8</v>
      </c>
      <c r="D246">
        <v>32.200000000000003</v>
      </c>
      <c r="E246" s="2">
        <v>6998290</v>
      </c>
      <c r="F246">
        <v>1910</v>
      </c>
      <c r="G246">
        <v>1909</v>
      </c>
      <c r="H246">
        <v>49</v>
      </c>
      <c r="J246">
        <v>50</v>
      </c>
      <c r="K246">
        <v>39</v>
      </c>
    </row>
    <row r="247" spans="1:11" x14ac:dyDescent="0.25">
      <c r="A247" t="s">
        <v>182</v>
      </c>
      <c r="B247">
        <v>173.8</v>
      </c>
      <c r="D247">
        <v>34.1</v>
      </c>
      <c r="E247" s="2">
        <v>8580513</v>
      </c>
      <c r="F247">
        <v>1910</v>
      </c>
      <c r="G247">
        <v>1909</v>
      </c>
      <c r="H247">
        <v>49</v>
      </c>
      <c r="J247">
        <v>50</v>
      </c>
      <c r="K247">
        <v>39</v>
      </c>
    </row>
    <row r="248" spans="1:11" x14ac:dyDescent="0.25">
      <c r="A248" t="s">
        <v>189</v>
      </c>
      <c r="B248">
        <v>178</v>
      </c>
      <c r="D248">
        <v>27.3</v>
      </c>
      <c r="E248" s="2">
        <v>1120439</v>
      </c>
      <c r="F248">
        <v>1910</v>
      </c>
      <c r="G248">
        <v>1909</v>
      </c>
      <c r="H248">
        <v>49</v>
      </c>
      <c r="J248">
        <v>50</v>
      </c>
      <c r="K248">
        <v>39</v>
      </c>
    </row>
    <row r="249" spans="1:11" x14ac:dyDescent="0.25">
      <c r="A249" t="s">
        <v>210</v>
      </c>
      <c r="B249">
        <v>168.4</v>
      </c>
      <c r="D249">
        <v>28.5</v>
      </c>
      <c r="E249" s="2">
        <v>191973</v>
      </c>
      <c r="F249">
        <v>1910</v>
      </c>
      <c r="G249">
        <v>1909</v>
      </c>
      <c r="H249">
        <v>49</v>
      </c>
      <c r="J249">
        <v>50</v>
      </c>
      <c r="K249">
        <v>39</v>
      </c>
    </row>
    <row r="250" spans="1:11" x14ac:dyDescent="0.25">
      <c r="A250" t="s">
        <v>173</v>
      </c>
      <c r="B250">
        <v>183</v>
      </c>
      <c r="D250">
        <v>30.7</v>
      </c>
      <c r="E250" s="2">
        <v>1433059</v>
      </c>
      <c r="F250">
        <v>1910</v>
      </c>
      <c r="G250">
        <v>1909</v>
      </c>
      <c r="H250">
        <v>49</v>
      </c>
      <c r="J250">
        <v>50</v>
      </c>
      <c r="K250">
        <v>39</v>
      </c>
    </row>
    <row r="251" spans="1:11" x14ac:dyDescent="0.25">
      <c r="A251" s="1" t="s">
        <v>193</v>
      </c>
      <c r="B251">
        <v>172</v>
      </c>
      <c r="D251">
        <v>24.8</v>
      </c>
      <c r="E251" s="2">
        <v>24791</v>
      </c>
      <c r="F251">
        <v>1910</v>
      </c>
      <c r="G251">
        <v>1909</v>
      </c>
      <c r="H251">
        <v>49</v>
      </c>
      <c r="J251">
        <v>50</v>
      </c>
      <c r="K251">
        <v>39</v>
      </c>
    </row>
    <row r="252" spans="1:11" x14ac:dyDescent="0.25">
      <c r="A252" t="s">
        <v>171</v>
      </c>
      <c r="B252">
        <v>179.8</v>
      </c>
      <c r="D252">
        <v>29.2</v>
      </c>
      <c r="E252" s="2">
        <v>1520530</v>
      </c>
      <c r="F252">
        <v>1910</v>
      </c>
      <c r="G252">
        <v>1909</v>
      </c>
      <c r="H252">
        <v>49</v>
      </c>
      <c r="J252">
        <v>50</v>
      </c>
      <c r="K252">
        <v>39</v>
      </c>
    </row>
    <row r="253" spans="1:11" x14ac:dyDescent="0.25">
      <c r="A253" s="1" t="s">
        <v>205</v>
      </c>
      <c r="B253">
        <v>172.9</v>
      </c>
      <c r="D253">
        <v>31.2</v>
      </c>
      <c r="F253">
        <v>1910</v>
      </c>
      <c r="G253">
        <v>1909</v>
      </c>
      <c r="H253">
        <v>49</v>
      </c>
      <c r="J253">
        <v>50</v>
      </c>
      <c r="K253">
        <v>39</v>
      </c>
    </row>
    <row r="254" spans="1:11" x14ac:dyDescent="0.25">
      <c r="A254" t="s">
        <v>74</v>
      </c>
      <c r="D254"/>
      <c r="E254" s="2">
        <v>3065167</v>
      </c>
      <c r="F254">
        <v>1910</v>
      </c>
      <c r="G254">
        <v>1909</v>
      </c>
      <c r="H254">
        <v>49</v>
      </c>
      <c r="J254">
        <v>50</v>
      </c>
      <c r="K254">
        <v>39</v>
      </c>
    </row>
    <row r="255" spans="1:11" x14ac:dyDescent="0.25">
      <c r="A255" t="s">
        <v>177</v>
      </c>
      <c r="D255"/>
      <c r="E255" s="2">
        <v>2000000</v>
      </c>
      <c r="F255">
        <v>1910</v>
      </c>
      <c r="G255">
        <v>1909</v>
      </c>
      <c r="H255">
        <v>49</v>
      </c>
      <c r="J255">
        <v>50</v>
      </c>
      <c r="K255">
        <v>39</v>
      </c>
    </row>
    <row r="256" spans="1:11" x14ac:dyDescent="0.25">
      <c r="A256" t="s">
        <v>56</v>
      </c>
      <c r="B256">
        <v>183.3</v>
      </c>
      <c r="D256">
        <v>31.4</v>
      </c>
      <c r="E256" s="2">
        <v>8599155</v>
      </c>
      <c r="F256">
        <v>1910</v>
      </c>
      <c r="G256">
        <v>1909</v>
      </c>
      <c r="H256">
        <v>49</v>
      </c>
      <c r="J256">
        <v>50</v>
      </c>
      <c r="K256">
        <v>39</v>
      </c>
    </row>
    <row r="257" spans="1:12" x14ac:dyDescent="0.25">
      <c r="A257" t="s">
        <v>198</v>
      </c>
      <c r="B257">
        <v>189.3</v>
      </c>
      <c r="D257">
        <v>31.3</v>
      </c>
      <c r="E257" s="2">
        <v>5232343</v>
      </c>
      <c r="F257">
        <v>1910</v>
      </c>
      <c r="G257">
        <v>1909</v>
      </c>
      <c r="H257">
        <v>49</v>
      </c>
      <c r="J257">
        <v>50</v>
      </c>
      <c r="K257">
        <v>39</v>
      </c>
    </row>
    <row r="258" spans="1:12" x14ac:dyDescent="0.25">
      <c r="A258" t="s">
        <v>172</v>
      </c>
      <c r="B258">
        <v>188.8</v>
      </c>
      <c r="D258">
        <v>31.4</v>
      </c>
      <c r="E258" s="2">
        <v>6000000</v>
      </c>
      <c r="F258">
        <v>1910</v>
      </c>
      <c r="G258">
        <v>1909</v>
      </c>
      <c r="H258">
        <v>49</v>
      </c>
      <c r="J258">
        <v>50</v>
      </c>
      <c r="K258">
        <v>39</v>
      </c>
    </row>
    <row r="259" spans="1:12" x14ac:dyDescent="0.25">
      <c r="E259" s="2">
        <f>SUM(E209:E258)</f>
        <v>246943349</v>
      </c>
      <c r="L259" t="s">
        <v>60</v>
      </c>
    </row>
    <row r="261" spans="1:12" x14ac:dyDescent="0.25">
      <c r="A261" t="s">
        <v>183</v>
      </c>
      <c r="B261">
        <v>159</v>
      </c>
      <c r="C261">
        <v>36.89</v>
      </c>
      <c r="E261" s="2">
        <v>2934263</v>
      </c>
      <c r="F261">
        <v>1912</v>
      </c>
      <c r="G261">
        <v>1910</v>
      </c>
      <c r="H261">
        <v>106</v>
      </c>
      <c r="I261">
        <v>120</v>
      </c>
      <c r="J261">
        <v>124</v>
      </c>
    </row>
    <row r="262" spans="1:12" x14ac:dyDescent="0.25">
      <c r="A262" t="s">
        <v>191</v>
      </c>
      <c r="B262">
        <v>164</v>
      </c>
      <c r="C262">
        <v>39.75</v>
      </c>
      <c r="E262" s="2">
        <v>1654163</v>
      </c>
      <c r="F262">
        <v>1912</v>
      </c>
      <c r="G262">
        <v>1910</v>
      </c>
      <c r="H262">
        <v>106</v>
      </c>
      <c r="I262">
        <v>120</v>
      </c>
      <c r="J262">
        <v>124</v>
      </c>
    </row>
    <row r="263" spans="1:12" x14ac:dyDescent="0.25">
      <c r="A263" t="s">
        <v>206</v>
      </c>
      <c r="B263">
        <v>160</v>
      </c>
      <c r="C263">
        <v>34.75</v>
      </c>
      <c r="E263" s="2">
        <v>1608996</v>
      </c>
      <c r="F263">
        <v>1912</v>
      </c>
      <c r="G263">
        <v>1910</v>
      </c>
      <c r="H263">
        <v>106</v>
      </c>
      <c r="I263">
        <v>120</v>
      </c>
      <c r="J263">
        <v>124</v>
      </c>
    </row>
    <row r="264" spans="1:12" x14ac:dyDescent="0.25">
      <c r="A264" t="s">
        <v>185</v>
      </c>
      <c r="B264">
        <v>186</v>
      </c>
      <c r="C264">
        <v>69.95</v>
      </c>
      <c r="E264" s="2">
        <v>20135745</v>
      </c>
      <c r="F264">
        <v>1912</v>
      </c>
      <c r="G264">
        <v>1910</v>
      </c>
      <c r="H264">
        <v>106</v>
      </c>
      <c r="I264">
        <v>120</v>
      </c>
      <c r="J264">
        <v>124</v>
      </c>
    </row>
    <row r="265" spans="1:12" x14ac:dyDescent="0.25">
      <c r="A265" t="s">
        <v>200</v>
      </c>
      <c r="B265">
        <v>193</v>
      </c>
      <c r="C265">
        <v>66.819999999999993</v>
      </c>
      <c r="E265" s="2">
        <v>2486757</v>
      </c>
      <c r="F265">
        <v>1912</v>
      </c>
      <c r="G265">
        <v>1910</v>
      </c>
      <c r="H265">
        <v>106</v>
      </c>
      <c r="I265">
        <v>120</v>
      </c>
      <c r="J265">
        <v>124</v>
      </c>
    </row>
    <row r="266" spans="1:12" x14ac:dyDescent="0.25">
      <c r="A266" t="s">
        <v>215</v>
      </c>
      <c r="B266">
        <v>185</v>
      </c>
      <c r="C266">
        <v>58.95</v>
      </c>
      <c r="E266" s="2">
        <v>5450006</v>
      </c>
      <c r="F266">
        <v>1912</v>
      </c>
      <c r="G266">
        <v>1910</v>
      </c>
      <c r="H266">
        <v>106</v>
      </c>
      <c r="I266">
        <v>120</v>
      </c>
      <c r="J266">
        <v>124</v>
      </c>
    </row>
    <row r="267" spans="1:12" x14ac:dyDescent="0.25">
      <c r="A267" t="s">
        <v>194</v>
      </c>
      <c r="B267">
        <v>188</v>
      </c>
      <c r="C267">
        <v>88.15</v>
      </c>
      <c r="E267" s="2">
        <v>51861986</v>
      </c>
      <c r="F267">
        <v>1912</v>
      </c>
      <c r="G267">
        <v>1910</v>
      </c>
      <c r="H267">
        <v>106</v>
      </c>
      <c r="I267">
        <v>120</v>
      </c>
      <c r="J267">
        <v>124</v>
      </c>
    </row>
    <row r="268" spans="1:12" x14ac:dyDescent="0.25">
      <c r="A268" t="s">
        <v>192</v>
      </c>
      <c r="B268">
        <v>184</v>
      </c>
      <c r="C268">
        <v>77.77</v>
      </c>
      <c r="E268" s="2">
        <v>17064990</v>
      </c>
      <c r="F268">
        <v>1912</v>
      </c>
      <c r="G268">
        <v>1910</v>
      </c>
      <c r="H268">
        <v>106</v>
      </c>
      <c r="I268">
        <v>120</v>
      </c>
      <c r="J268">
        <v>124</v>
      </c>
    </row>
    <row r="269" spans="1:12" x14ac:dyDescent="0.25">
      <c r="A269" t="s">
        <v>199</v>
      </c>
      <c r="B269">
        <v>170</v>
      </c>
      <c r="C269" s="12">
        <v>51.12</v>
      </c>
      <c r="E269" s="2">
        <v>39988180</v>
      </c>
      <c r="F269">
        <v>1912</v>
      </c>
      <c r="G269">
        <v>1910</v>
      </c>
      <c r="H269">
        <v>106</v>
      </c>
      <c r="I269">
        <v>120</v>
      </c>
      <c r="J269">
        <v>124</v>
      </c>
    </row>
    <row r="270" spans="1:12" x14ac:dyDescent="0.25">
      <c r="A270" t="s">
        <v>174</v>
      </c>
      <c r="B270">
        <v>173</v>
      </c>
      <c r="C270">
        <v>44.16</v>
      </c>
      <c r="E270" s="2">
        <v>605766</v>
      </c>
      <c r="F270">
        <v>1912</v>
      </c>
      <c r="G270">
        <v>1910</v>
      </c>
      <c r="H270">
        <v>106</v>
      </c>
      <c r="I270">
        <v>120</v>
      </c>
      <c r="J270">
        <v>124</v>
      </c>
    </row>
    <row r="271" spans="1:12" x14ac:dyDescent="0.25">
      <c r="A271" t="s">
        <v>184</v>
      </c>
      <c r="B271">
        <v>185</v>
      </c>
      <c r="C271">
        <v>54.46</v>
      </c>
      <c r="E271" s="2">
        <v>3792424</v>
      </c>
      <c r="F271">
        <v>1912</v>
      </c>
      <c r="G271">
        <v>1910</v>
      </c>
      <c r="H271">
        <v>106</v>
      </c>
      <c r="I271">
        <v>120</v>
      </c>
      <c r="J271">
        <v>124</v>
      </c>
    </row>
    <row r="272" spans="1:12" x14ac:dyDescent="0.25">
      <c r="A272" t="s">
        <v>175</v>
      </c>
      <c r="B272">
        <v>181</v>
      </c>
      <c r="C272">
        <v>98.41</v>
      </c>
      <c r="E272" s="2">
        <v>2679564</v>
      </c>
      <c r="F272">
        <v>1912</v>
      </c>
      <c r="G272">
        <v>1910</v>
      </c>
      <c r="H272">
        <v>106</v>
      </c>
      <c r="I272">
        <v>120</v>
      </c>
      <c r="J272">
        <v>124</v>
      </c>
    </row>
    <row r="273" spans="1:10" x14ac:dyDescent="0.25">
      <c r="A273" t="s">
        <v>207</v>
      </c>
      <c r="B273">
        <v>140</v>
      </c>
      <c r="C273">
        <v>38.32</v>
      </c>
      <c r="E273" s="2">
        <v>4407853</v>
      </c>
      <c r="F273">
        <v>1912</v>
      </c>
      <c r="G273">
        <v>1910</v>
      </c>
      <c r="H273">
        <v>106</v>
      </c>
      <c r="I273">
        <v>120</v>
      </c>
      <c r="J273">
        <v>124</v>
      </c>
    </row>
    <row r="274" spans="1:10" x14ac:dyDescent="0.25">
      <c r="A274" t="s">
        <v>208</v>
      </c>
      <c r="B274">
        <v>134</v>
      </c>
      <c r="C274">
        <v>39.9</v>
      </c>
      <c r="E274" s="2">
        <v>4094092</v>
      </c>
      <c r="F274">
        <v>1912</v>
      </c>
      <c r="G274">
        <v>1910</v>
      </c>
      <c r="H274">
        <v>106</v>
      </c>
      <c r="I274">
        <v>120</v>
      </c>
      <c r="J274">
        <v>124</v>
      </c>
    </row>
    <row r="275" spans="1:10" x14ac:dyDescent="0.25">
      <c r="A275" t="s">
        <v>195</v>
      </c>
      <c r="B275">
        <v>102</v>
      </c>
      <c r="C275">
        <v>34.4</v>
      </c>
      <c r="E275" s="2">
        <v>3037907</v>
      </c>
      <c r="F275">
        <v>1912</v>
      </c>
      <c r="G275">
        <v>1910</v>
      </c>
      <c r="H275">
        <v>106</v>
      </c>
      <c r="I275">
        <v>120</v>
      </c>
      <c r="J275">
        <v>124</v>
      </c>
    </row>
    <row r="276" spans="1:10" x14ac:dyDescent="0.25">
      <c r="A276" t="s">
        <v>201</v>
      </c>
      <c r="B276">
        <v>105</v>
      </c>
      <c r="C276">
        <v>51.95</v>
      </c>
      <c r="E276" s="2">
        <v>1951945</v>
      </c>
      <c r="F276">
        <v>1912</v>
      </c>
      <c r="G276">
        <v>1910</v>
      </c>
      <c r="H276">
        <v>106</v>
      </c>
      <c r="I276">
        <v>120</v>
      </c>
      <c r="J276">
        <v>124</v>
      </c>
    </row>
    <row r="277" spans="1:10" x14ac:dyDescent="0.25">
      <c r="A277" t="s">
        <v>89</v>
      </c>
      <c r="B277">
        <v>144</v>
      </c>
      <c r="C277">
        <v>44.9</v>
      </c>
      <c r="E277" s="2">
        <v>4419596</v>
      </c>
      <c r="F277">
        <v>1912</v>
      </c>
      <c r="G277">
        <v>1910</v>
      </c>
      <c r="H277">
        <v>106</v>
      </c>
      <c r="I277">
        <v>120</v>
      </c>
      <c r="J277">
        <v>124</v>
      </c>
    </row>
    <row r="278" spans="1:10" x14ac:dyDescent="0.25">
      <c r="A278" t="s">
        <v>176</v>
      </c>
      <c r="B278">
        <v>106</v>
      </c>
      <c r="C278">
        <v>52.1</v>
      </c>
      <c r="E278" s="2">
        <v>1773720</v>
      </c>
      <c r="F278">
        <v>1912</v>
      </c>
      <c r="G278">
        <v>1910</v>
      </c>
      <c r="H278">
        <v>106</v>
      </c>
      <c r="I278">
        <v>120</v>
      </c>
      <c r="J278">
        <v>124</v>
      </c>
    </row>
    <row r="279" spans="1:10" x14ac:dyDescent="0.25">
      <c r="A279" t="s">
        <v>120</v>
      </c>
      <c r="B279">
        <v>125</v>
      </c>
      <c r="C279">
        <v>39.369999999999997</v>
      </c>
      <c r="E279" s="2">
        <v>5648644</v>
      </c>
      <c r="F279">
        <v>1912</v>
      </c>
      <c r="G279">
        <v>1910</v>
      </c>
      <c r="H279">
        <v>106</v>
      </c>
      <c r="I279">
        <v>120</v>
      </c>
      <c r="J279">
        <v>124</v>
      </c>
    </row>
    <row r="280" spans="1:10" x14ac:dyDescent="0.25">
      <c r="A280" t="s">
        <v>203</v>
      </c>
      <c r="B280">
        <v>130</v>
      </c>
      <c r="C280">
        <v>40.9</v>
      </c>
      <c r="E280" s="2">
        <v>4402575</v>
      </c>
      <c r="F280">
        <v>1912</v>
      </c>
      <c r="G280">
        <v>1910</v>
      </c>
      <c r="H280">
        <v>106</v>
      </c>
      <c r="I280">
        <v>120</v>
      </c>
      <c r="J280">
        <v>124</v>
      </c>
    </row>
    <row r="281" spans="1:10" x14ac:dyDescent="0.25">
      <c r="A281" t="s">
        <v>5</v>
      </c>
      <c r="B281">
        <v>117</v>
      </c>
      <c r="C281">
        <v>55.18</v>
      </c>
      <c r="E281" s="2">
        <v>2904537</v>
      </c>
      <c r="F281">
        <v>1912</v>
      </c>
      <c r="G281">
        <v>1910</v>
      </c>
      <c r="H281">
        <v>106</v>
      </c>
      <c r="I281">
        <v>120</v>
      </c>
      <c r="J281">
        <v>124</v>
      </c>
    </row>
    <row r="282" spans="1:10" x14ac:dyDescent="0.25">
      <c r="A282" t="s">
        <v>73</v>
      </c>
      <c r="B282">
        <v>123</v>
      </c>
      <c r="C282">
        <v>42.5</v>
      </c>
      <c r="E282" s="2">
        <v>2726248</v>
      </c>
      <c r="F282">
        <v>1912</v>
      </c>
      <c r="G282">
        <v>1910</v>
      </c>
      <c r="H282">
        <v>106</v>
      </c>
      <c r="I282">
        <v>120</v>
      </c>
      <c r="J282">
        <v>124</v>
      </c>
    </row>
    <row r="283" spans="1:10" x14ac:dyDescent="0.25">
      <c r="A283" t="s">
        <v>152</v>
      </c>
      <c r="B283">
        <v>136</v>
      </c>
      <c r="C283">
        <v>52.27</v>
      </c>
      <c r="E283" s="2">
        <v>4252244</v>
      </c>
      <c r="F283">
        <v>1912</v>
      </c>
      <c r="G283">
        <v>1910</v>
      </c>
      <c r="H283">
        <v>106</v>
      </c>
      <c r="I283">
        <v>120</v>
      </c>
      <c r="J283">
        <v>124</v>
      </c>
    </row>
    <row r="284" spans="1:10" x14ac:dyDescent="0.25">
      <c r="A284" t="s">
        <v>204</v>
      </c>
      <c r="B284">
        <v>131</v>
      </c>
      <c r="C284">
        <v>59.69</v>
      </c>
      <c r="E284" s="2">
        <v>11777036</v>
      </c>
      <c r="F284">
        <v>1912</v>
      </c>
      <c r="G284">
        <v>1910</v>
      </c>
      <c r="H284">
        <v>106</v>
      </c>
      <c r="I284">
        <v>120</v>
      </c>
      <c r="J284">
        <v>124</v>
      </c>
    </row>
    <row r="285" spans="1:10" x14ac:dyDescent="0.25">
      <c r="A285" t="s">
        <v>61</v>
      </c>
      <c r="B285">
        <v>107</v>
      </c>
      <c r="C285">
        <v>55</v>
      </c>
      <c r="E285" s="2">
        <v>3187083</v>
      </c>
      <c r="F285">
        <v>1912</v>
      </c>
      <c r="G285">
        <v>1910</v>
      </c>
      <c r="H285">
        <v>106</v>
      </c>
      <c r="I285">
        <v>120</v>
      </c>
      <c r="J285">
        <v>124</v>
      </c>
    </row>
    <row r="286" spans="1:10" x14ac:dyDescent="0.25">
      <c r="A286" s="10" t="s">
        <v>197</v>
      </c>
      <c r="B286">
        <v>140</v>
      </c>
      <c r="C286">
        <v>59.09</v>
      </c>
      <c r="E286" s="2">
        <v>6739216</v>
      </c>
      <c r="F286">
        <v>1912</v>
      </c>
      <c r="G286">
        <v>1910</v>
      </c>
      <c r="H286">
        <v>106</v>
      </c>
      <c r="I286">
        <v>120</v>
      </c>
      <c r="J286">
        <v>124</v>
      </c>
    </row>
    <row r="287" spans="1:10" x14ac:dyDescent="0.25">
      <c r="A287" s="1" t="s">
        <v>180</v>
      </c>
      <c r="F287">
        <v>1912</v>
      </c>
      <c r="G287">
        <v>1910</v>
      </c>
    </row>
    <row r="288" spans="1:10" x14ac:dyDescent="0.25">
      <c r="A288" t="s">
        <v>144</v>
      </c>
      <c r="B288">
        <v>170</v>
      </c>
      <c r="C288">
        <v>58.66</v>
      </c>
      <c r="E288" s="2">
        <v>25500216</v>
      </c>
      <c r="F288">
        <v>1912</v>
      </c>
      <c r="G288">
        <v>1910</v>
      </c>
      <c r="H288">
        <v>106</v>
      </c>
      <c r="I288">
        <v>120</v>
      </c>
      <c r="J288">
        <v>124</v>
      </c>
    </row>
    <row r="289" spans="1:10" x14ac:dyDescent="0.25">
      <c r="A289" t="s">
        <v>179</v>
      </c>
      <c r="B289">
        <v>147</v>
      </c>
      <c r="C289">
        <v>65.930000000000007</v>
      </c>
      <c r="E289" s="2">
        <v>14910500</v>
      </c>
      <c r="F289">
        <v>1912</v>
      </c>
      <c r="G289">
        <v>1910</v>
      </c>
      <c r="H289">
        <v>106</v>
      </c>
      <c r="I289">
        <v>120</v>
      </c>
      <c r="J289">
        <v>124</v>
      </c>
    </row>
    <row r="290" spans="1:10" x14ac:dyDescent="0.25">
      <c r="A290" t="s">
        <v>178</v>
      </c>
      <c r="B290">
        <v>171</v>
      </c>
      <c r="C290">
        <v>69.510000000000005</v>
      </c>
      <c r="E290" s="2">
        <v>34036195</v>
      </c>
      <c r="F290">
        <v>1912</v>
      </c>
      <c r="G290">
        <v>1910</v>
      </c>
      <c r="H290">
        <v>106</v>
      </c>
      <c r="I290">
        <v>120</v>
      </c>
      <c r="J290">
        <v>124</v>
      </c>
    </row>
    <row r="291" spans="1:10" x14ac:dyDescent="0.25">
      <c r="A291" t="s">
        <v>186</v>
      </c>
      <c r="B291">
        <v>171</v>
      </c>
      <c r="C291">
        <v>56.01</v>
      </c>
      <c r="E291" s="2">
        <v>14596819</v>
      </c>
      <c r="F291">
        <v>1912</v>
      </c>
      <c r="G291">
        <v>1910</v>
      </c>
      <c r="H291">
        <v>106</v>
      </c>
      <c r="I291">
        <v>120</v>
      </c>
      <c r="J291">
        <v>124</v>
      </c>
    </row>
    <row r="292" spans="1:10" x14ac:dyDescent="0.25">
      <c r="A292" t="s">
        <v>209</v>
      </c>
      <c r="B292">
        <v>180</v>
      </c>
      <c r="C292">
        <v>54.85</v>
      </c>
      <c r="E292" s="2">
        <v>10789236</v>
      </c>
      <c r="F292">
        <v>1912</v>
      </c>
      <c r="G292">
        <v>1910</v>
      </c>
      <c r="H292">
        <v>106</v>
      </c>
      <c r="I292">
        <v>120</v>
      </c>
      <c r="J292">
        <v>124</v>
      </c>
    </row>
    <row r="293" spans="1:10" x14ac:dyDescent="0.25">
      <c r="A293" t="s">
        <v>187</v>
      </c>
      <c r="B293">
        <v>149</v>
      </c>
      <c r="C293">
        <v>52.56</v>
      </c>
      <c r="E293" s="2">
        <v>13724437</v>
      </c>
      <c r="F293">
        <v>1912</v>
      </c>
      <c r="G293">
        <v>1910</v>
      </c>
      <c r="H293">
        <v>106</v>
      </c>
      <c r="I293">
        <v>120</v>
      </c>
      <c r="J293">
        <v>124</v>
      </c>
    </row>
    <row r="294" spans="1:10" x14ac:dyDescent="0.25">
      <c r="A294" t="s">
        <v>181</v>
      </c>
      <c r="B294">
        <v>172</v>
      </c>
      <c r="C294">
        <v>47.92</v>
      </c>
      <c r="E294" s="2">
        <v>12767210</v>
      </c>
      <c r="F294">
        <v>1912</v>
      </c>
      <c r="G294">
        <v>1910</v>
      </c>
      <c r="H294">
        <v>106</v>
      </c>
      <c r="I294">
        <v>120</v>
      </c>
      <c r="J294">
        <v>124</v>
      </c>
    </row>
    <row r="295" spans="1:10" x14ac:dyDescent="0.25">
      <c r="A295" t="s">
        <v>188</v>
      </c>
      <c r="B295">
        <v>155</v>
      </c>
      <c r="C295">
        <v>57.18</v>
      </c>
      <c r="E295" s="2">
        <v>13067193</v>
      </c>
      <c r="F295">
        <v>1912</v>
      </c>
      <c r="G295">
        <v>1910</v>
      </c>
      <c r="H295">
        <v>106</v>
      </c>
      <c r="I295">
        <v>120</v>
      </c>
      <c r="J295">
        <v>124</v>
      </c>
    </row>
    <row r="296" spans="1:10" x14ac:dyDescent="0.25">
      <c r="A296" t="s">
        <v>196</v>
      </c>
      <c r="B296">
        <v>147</v>
      </c>
      <c r="C296">
        <v>52.95</v>
      </c>
      <c r="E296" s="2">
        <v>4549660</v>
      </c>
      <c r="F296">
        <v>1912</v>
      </c>
      <c r="G296">
        <v>1910</v>
      </c>
      <c r="H296">
        <v>106</v>
      </c>
      <c r="I296">
        <v>120</v>
      </c>
      <c r="J296">
        <v>124</v>
      </c>
    </row>
    <row r="297" spans="1:10" x14ac:dyDescent="0.25">
      <c r="A297" t="s">
        <v>202</v>
      </c>
      <c r="B297">
        <v>166</v>
      </c>
      <c r="C297">
        <v>55.21</v>
      </c>
      <c r="E297" s="2">
        <v>3825273</v>
      </c>
      <c r="F297">
        <v>1912</v>
      </c>
      <c r="G297">
        <v>1910</v>
      </c>
      <c r="H297">
        <v>106</v>
      </c>
      <c r="I297">
        <v>120</v>
      </c>
      <c r="J297">
        <v>124</v>
      </c>
    </row>
    <row r="298" spans="1:10" x14ac:dyDescent="0.25">
      <c r="A298" t="s">
        <v>190</v>
      </c>
      <c r="B298">
        <v>174</v>
      </c>
      <c r="C298">
        <v>55.24</v>
      </c>
      <c r="E298" s="2">
        <v>7454215</v>
      </c>
      <c r="F298">
        <v>1912</v>
      </c>
      <c r="G298">
        <v>1910</v>
      </c>
      <c r="H298">
        <v>106</v>
      </c>
      <c r="I298">
        <v>120</v>
      </c>
      <c r="J298">
        <v>124</v>
      </c>
    </row>
    <row r="299" spans="1:10" x14ac:dyDescent="0.25">
      <c r="A299" t="s">
        <v>182</v>
      </c>
      <c r="B299">
        <v>164</v>
      </c>
      <c r="C299">
        <v>63.36</v>
      </c>
      <c r="E299" s="2">
        <v>9812671</v>
      </c>
      <c r="F299">
        <v>1912</v>
      </c>
      <c r="G299">
        <v>1910</v>
      </c>
      <c r="H299">
        <v>106</v>
      </c>
      <c r="I299">
        <v>120</v>
      </c>
      <c r="J299">
        <v>124</v>
      </c>
    </row>
    <row r="300" spans="1:10" x14ac:dyDescent="0.25">
      <c r="A300" t="s">
        <v>189</v>
      </c>
      <c r="B300">
        <v>185</v>
      </c>
      <c r="C300">
        <v>72.63</v>
      </c>
      <c r="E300" s="2">
        <v>2633521</v>
      </c>
      <c r="F300">
        <v>1912</v>
      </c>
      <c r="G300">
        <v>1910</v>
      </c>
      <c r="H300">
        <v>106</v>
      </c>
      <c r="I300">
        <v>120</v>
      </c>
      <c r="J300">
        <v>124</v>
      </c>
    </row>
    <row r="301" spans="1:10" x14ac:dyDescent="0.25">
      <c r="A301" t="s">
        <v>210</v>
      </c>
      <c r="B301">
        <v>141</v>
      </c>
      <c r="C301">
        <v>60.35</v>
      </c>
      <c r="E301" s="2">
        <v>796021</v>
      </c>
      <c r="F301">
        <v>1912</v>
      </c>
      <c r="G301">
        <v>1910</v>
      </c>
      <c r="H301">
        <v>106</v>
      </c>
      <c r="I301">
        <v>120</v>
      </c>
      <c r="J301">
        <v>124</v>
      </c>
    </row>
    <row r="302" spans="1:10" x14ac:dyDescent="0.25">
      <c r="A302" t="s">
        <v>173</v>
      </c>
      <c r="B302">
        <v>156</v>
      </c>
      <c r="C302">
        <v>63.22</v>
      </c>
      <c r="E302" s="2">
        <v>5211186</v>
      </c>
      <c r="F302">
        <v>1912</v>
      </c>
      <c r="G302">
        <v>1910</v>
      </c>
      <c r="H302">
        <v>106</v>
      </c>
      <c r="I302">
        <v>120</v>
      </c>
      <c r="J302">
        <v>124</v>
      </c>
    </row>
    <row r="303" spans="1:10" x14ac:dyDescent="0.25">
      <c r="A303" s="1" t="s">
        <v>193</v>
      </c>
      <c r="B303">
        <v>100</v>
      </c>
      <c r="C303">
        <v>67.819999999999993</v>
      </c>
      <c r="E303" s="2">
        <v>793202</v>
      </c>
      <c r="F303">
        <v>1912</v>
      </c>
      <c r="G303">
        <v>1910</v>
      </c>
      <c r="H303">
        <v>106</v>
      </c>
      <c r="I303">
        <v>120</v>
      </c>
      <c r="J303">
        <v>124</v>
      </c>
    </row>
    <row r="304" spans="1:10" x14ac:dyDescent="0.25">
      <c r="A304" t="s">
        <v>171</v>
      </c>
      <c r="B304">
        <v>136</v>
      </c>
      <c r="C304">
        <v>84.98</v>
      </c>
      <c r="E304" s="2">
        <v>1000628</v>
      </c>
      <c r="F304">
        <v>1912</v>
      </c>
      <c r="G304">
        <v>1910</v>
      </c>
      <c r="H304">
        <v>106</v>
      </c>
      <c r="I304">
        <v>120</v>
      </c>
      <c r="J304">
        <v>124</v>
      </c>
    </row>
    <row r="305" spans="1:12" x14ac:dyDescent="0.25">
      <c r="A305" s="1" t="s">
        <v>205</v>
      </c>
      <c r="B305">
        <v>165</v>
      </c>
      <c r="C305">
        <v>79.03</v>
      </c>
      <c r="E305" s="2">
        <v>3052990</v>
      </c>
      <c r="F305">
        <v>1912</v>
      </c>
      <c r="G305">
        <v>1910</v>
      </c>
      <c r="H305">
        <v>106</v>
      </c>
      <c r="I305">
        <v>120</v>
      </c>
      <c r="J305">
        <v>124</v>
      </c>
    </row>
    <row r="306" spans="1:12" x14ac:dyDescent="0.25">
      <c r="A306" t="s">
        <v>74</v>
      </c>
      <c r="B306">
        <v>145</v>
      </c>
      <c r="C306">
        <v>81.680000000000007</v>
      </c>
      <c r="E306" s="2">
        <v>619268</v>
      </c>
      <c r="F306">
        <v>1912</v>
      </c>
      <c r="G306">
        <v>1910</v>
      </c>
      <c r="H306">
        <v>106</v>
      </c>
      <c r="I306">
        <v>120</v>
      </c>
      <c r="J306">
        <v>124</v>
      </c>
    </row>
    <row r="307" spans="1:12" x14ac:dyDescent="0.25">
      <c r="A307" t="s">
        <v>177</v>
      </c>
      <c r="B307">
        <v>137</v>
      </c>
      <c r="C307">
        <v>69.959999999999994</v>
      </c>
      <c r="E307" s="2">
        <v>2175063</v>
      </c>
      <c r="F307">
        <v>1912</v>
      </c>
      <c r="G307">
        <v>1910</v>
      </c>
      <c r="H307">
        <v>106</v>
      </c>
      <c r="I307">
        <v>120</v>
      </c>
      <c r="J307">
        <v>124</v>
      </c>
    </row>
    <row r="308" spans="1:12" x14ac:dyDescent="0.25">
      <c r="A308" t="s">
        <v>56</v>
      </c>
      <c r="B308">
        <v>172</v>
      </c>
      <c r="C308">
        <v>66.27</v>
      </c>
      <c r="E308" s="2">
        <v>10493347</v>
      </c>
      <c r="F308">
        <v>1912</v>
      </c>
      <c r="G308">
        <v>1910</v>
      </c>
      <c r="H308">
        <v>106</v>
      </c>
      <c r="I308">
        <v>120</v>
      </c>
      <c r="J308">
        <v>124</v>
      </c>
    </row>
    <row r="309" spans="1:12" x14ac:dyDescent="0.25">
      <c r="A309" t="s">
        <v>198</v>
      </c>
      <c r="B309">
        <v>138</v>
      </c>
      <c r="C309">
        <v>58.63</v>
      </c>
      <c r="E309" s="2">
        <v>4646270</v>
      </c>
      <c r="F309">
        <v>1912</v>
      </c>
      <c r="G309">
        <v>1910</v>
      </c>
      <c r="H309">
        <v>106</v>
      </c>
      <c r="I309">
        <v>120</v>
      </c>
      <c r="J309">
        <v>124</v>
      </c>
    </row>
    <row r="310" spans="1:12" x14ac:dyDescent="0.25">
      <c r="A310" t="s">
        <v>172</v>
      </c>
      <c r="B310">
        <v>182</v>
      </c>
      <c r="C310">
        <v>80.13</v>
      </c>
      <c r="E310" s="2">
        <v>18210747</v>
      </c>
      <c r="F310">
        <v>1912</v>
      </c>
      <c r="G310">
        <v>1910</v>
      </c>
      <c r="H310">
        <v>106</v>
      </c>
      <c r="I310">
        <v>120</v>
      </c>
      <c r="J310">
        <v>124</v>
      </c>
    </row>
    <row r="311" spans="1:12" x14ac:dyDescent="0.25">
      <c r="E311" s="2">
        <f>SUM(E261:E310)</f>
        <v>426251404</v>
      </c>
    </row>
    <row r="312" spans="1:12" x14ac:dyDescent="0.25">
      <c r="E312" s="2">
        <v>426250434</v>
      </c>
      <c r="L312" t="s">
        <v>367</v>
      </c>
    </row>
    <row r="316" spans="1:12" x14ac:dyDescent="0.25">
      <c r="A316" t="s">
        <v>183</v>
      </c>
      <c r="B316">
        <v>163.80000000000001</v>
      </c>
      <c r="C316" s="12">
        <v>37.71</v>
      </c>
      <c r="E316" s="2">
        <v>3073603</v>
      </c>
      <c r="F316">
        <v>1913</v>
      </c>
      <c r="G316">
        <v>1911</v>
      </c>
      <c r="H316">
        <v>38</v>
      </c>
      <c r="I316">
        <v>40</v>
      </c>
      <c r="K316">
        <v>43</v>
      </c>
    </row>
    <row r="317" spans="1:12" x14ac:dyDescent="0.25">
      <c r="A317" t="s">
        <v>191</v>
      </c>
      <c r="B317">
        <v>168.5</v>
      </c>
      <c r="C317" s="12">
        <v>46.24</v>
      </c>
      <c r="E317" s="2">
        <v>1693800</v>
      </c>
      <c r="F317">
        <v>1913</v>
      </c>
      <c r="G317">
        <v>1911</v>
      </c>
      <c r="H317">
        <v>38</v>
      </c>
      <c r="I317">
        <v>40</v>
      </c>
      <c r="K317">
        <v>43</v>
      </c>
    </row>
    <row r="318" spans="1:12" x14ac:dyDescent="0.25">
      <c r="A318" t="s">
        <v>206</v>
      </c>
      <c r="B318">
        <v>160</v>
      </c>
      <c r="C318" s="12">
        <v>35.46</v>
      </c>
      <c r="E318" s="2">
        <v>1647579</v>
      </c>
      <c r="F318">
        <v>1913</v>
      </c>
      <c r="G318">
        <v>1911</v>
      </c>
      <c r="H318">
        <v>38</v>
      </c>
      <c r="I318">
        <v>40</v>
      </c>
      <c r="K318">
        <v>43</v>
      </c>
    </row>
    <row r="319" spans="1:12" x14ac:dyDescent="0.25">
      <c r="A319" t="s">
        <v>185</v>
      </c>
      <c r="B319">
        <v>185</v>
      </c>
      <c r="C319" s="12">
        <v>70.47</v>
      </c>
      <c r="E319" s="2">
        <v>22502934</v>
      </c>
      <c r="F319">
        <v>1913</v>
      </c>
      <c r="G319">
        <v>1911</v>
      </c>
      <c r="H319">
        <v>38</v>
      </c>
      <c r="I319">
        <v>40</v>
      </c>
      <c r="K319">
        <v>43</v>
      </c>
    </row>
    <row r="320" spans="1:12" x14ac:dyDescent="0.25">
      <c r="A320" t="s">
        <v>200</v>
      </c>
      <c r="B320">
        <v>194</v>
      </c>
      <c r="C320" s="12">
        <v>68.95</v>
      </c>
      <c r="E320" s="2">
        <v>2360109</v>
      </c>
      <c r="F320">
        <v>1913</v>
      </c>
      <c r="G320">
        <v>1911</v>
      </c>
      <c r="H320">
        <v>38</v>
      </c>
      <c r="I320">
        <v>40</v>
      </c>
      <c r="K320">
        <v>43</v>
      </c>
    </row>
    <row r="321" spans="1:11" x14ac:dyDescent="0.25">
      <c r="A321" t="s">
        <v>215</v>
      </c>
      <c r="B321">
        <v>184.9</v>
      </c>
      <c r="C321" s="12">
        <v>60.88</v>
      </c>
      <c r="E321" s="2">
        <v>5426833</v>
      </c>
      <c r="F321">
        <v>1913</v>
      </c>
      <c r="G321">
        <v>1911</v>
      </c>
      <c r="H321">
        <v>38</v>
      </c>
      <c r="I321">
        <v>40</v>
      </c>
      <c r="K321">
        <v>43</v>
      </c>
    </row>
    <row r="322" spans="1:11" x14ac:dyDescent="0.25">
      <c r="A322" t="s">
        <v>194</v>
      </c>
      <c r="B322">
        <v>186.9</v>
      </c>
      <c r="C322" s="12">
        <v>84.42</v>
      </c>
      <c r="E322" s="2">
        <v>52328926</v>
      </c>
      <c r="F322">
        <v>1913</v>
      </c>
      <c r="G322">
        <v>1911</v>
      </c>
      <c r="H322">
        <v>38</v>
      </c>
      <c r="I322">
        <v>40</v>
      </c>
      <c r="K322">
        <v>43</v>
      </c>
    </row>
    <row r="323" spans="1:11" x14ac:dyDescent="0.25">
      <c r="A323" t="s">
        <v>192</v>
      </c>
      <c r="B323">
        <v>183</v>
      </c>
      <c r="C323" s="12">
        <v>79.489999999999995</v>
      </c>
      <c r="E323" s="2">
        <v>18076255</v>
      </c>
      <c r="F323">
        <v>1913</v>
      </c>
      <c r="G323">
        <v>1911</v>
      </c>
      <c r="H323">
        <v>38</v>
      </c>
      <c r="I323">
        <v>40</v>
      </c>
      <c r="K323">
        <v>43</v>
      </c>
    </row>
    <row r="324" spans="1:11" x14ac:dyDescent="0.25">
      <c r="A324" t="s">
        <v>199</v>
      </c>
      <c r="B324">
        <v>170.4</v>
      </c>
      <c r="C324" s="12">
        <v>51.6</v>
      </c>
      <c r="E324" s="2">
        <v>42137647</v>
      </c>
      <c r="F324">
        <v>1913</v>
      </c>
      <c r="G324">
        <v>1911</v>
      </c>
      <c r="H324">
        <v>38</v>
      </c>
      <c r="I324">
        <v>40</v>
      </c>
      <c r="K324">
        <v>43</v>
      </c>
    </row>
    <row r="325" spans="1:11" x14ac:dyDescent="0.25">
      <c r="A325" t="s">
        <v>144</v>
      </c>
      <c r="B325">
        <v>165.5</v>
      </c>
      <c r="C325" s="12">
        <v>53.9</v>
      </c>
      <c r="E325" s="2">
        <v>28057151</v>
      </c>
      <c r="F325">
        <v>1913</v>
      </c>
      <c r="G325">
        <v>1911</v>
      </c>
      <c r="H325">
        <v>38</v>
      </c>
      <c r="I325">
        <v>40</v>
      </c>
      <c r="K325">
        <v>43</v>
      </c>
    </row>
    <row r="326" spans="1:11" x14ac:dyDescent="0.25">
      <c r="A326" t="s">
        <v>179</v>
      </c>
      <c r="B326">
        <v>147</v>
      </c>
      <c r="C326" s="12"/>
      <c r="F326">
        <v>1913</v>
      </c>
      <c r="G326">
        <v>1911</v>
      </c>
      <c r="H326">
        <v>38</v>
      </c>
      <c r="I326">
        <v>40</v>
      </c>
      <c r="K326">
        <v>43</v>
      </c>
    </row>
    <row r="327" spans="1:11" x14ac:dyDescent="0.25">
      <c r="A327" t="s">
        <v>178</v>
      </c>
      <c r="B327">
        <v>171</v>
      </c>
      <c r="C327" s="12">
        <v>71.81</v>
      </c>
      <c r="E327" s="2">
        <v>30737991</v>
      </c>
      <c r="F327">
        <v>1913</v>
      </c>
      <c r="G327">
        <v>1911</v>
      </c>
      <c r="H327">
        <v>38</v>
      </c>
      <c r="I327">
        <v>40</v>
      </c>
      <c r="K327">
        <v>43</v>
      </c>
    </row>
    <row r="328" spans="1:11" x14ac:dyDescent="0.25">
      <c r="A328" t="s">
        <v>186</v>
      </c>
      <c r="B328">
        <v>170</v>
      </c>
      <c r="C328" s="12">
        <v>57.23</v>
      </c>
      <c r="E328" s="2">
        <v>15292552</v>
      </c>
      <c r="F328">
        <v>1913</v>
      </c>
      <c r="G328">
        <v>1911</v>
      </c>
      <c r="H328">
        <v>38</v>
      </c>
      <c r="I328">
        <v>40</v>
      </c>
      <c r="K328">
        <v>43</v>
      </c>
    </row>
    <row r="329" spans="1:11" x14ac:dyDescent="0.25">
      <c r="A329" t="s">
        <v>209</v>
      </c>
      <c r="B329">
        <v>179.6</v>
      </c>
      <c r="C329" s="12">
        <v>55.94</v>
      </c>
      <c r="E329" s="2">
        <v>11306852</v>
      </c>
      <c r="F329">
        <v>1913</v>
      </c>
      <c r="G329">
        <v>1911</v>
      </c>
      <c r="H329">
        <v>38</v>
      </c>
      <c r="I329">
        <v>40</v>
      </c>
      <c r="K329">
        <v>43</v>
      </c>
    </row>
    <row r="330" spans="1:11" x14ac:dyDescent="0.25">
      <c r="A330" t="s">
        <v>187</v>
      </c>
      <c r="B330">
        <v>161.30000000000001</v>
      </c>
      <c r="C330" s="12">
        <v>46.14</v>
      </c>
      <c r="E330" s="2">
        <v>15006133</v>
      </c>
      <c r="F330">
        <v>1913</v>
      </c>
      <c r="G330">
        <v>1911</v>
      </c>
      <c r="H330">
        <v>38</v>
      </c>
      <c r="I330">
        <v>40</v>
      </c>
      <c r="K330">
        <v>43</v>
      </c>
    </row>
    <row r="331" spans="1:11" x14ac:dyDescent="0.25">
      <c r="A331" t="s">
        <v>181</v>
      </c>
      <c r="B331">
        <v>172</v>
      </c>
      <c r="C331" s="12">
        <v>51.08</v>
      </c>
      <c r="E331" s="2">
        <v>12591340</v>
      </c>
      <c r="F331">
        <v>1913</v>
      </c>
      <c r="G331">
        <v>1911</v>
      </c>
      <c r="H331">
        <v>38</v>
      </c>
      <c r="I331">
        <v>40</v>
      </c>
      <c r="K331">
        <v>43</v>
      </c>
    </row>
    <row r="332" spans="1:11" x14ac:dyDescent="0.25">
      <c r="A332" t="s">
        <v>188</v>
      </c>
      <c r="B332">
        <v>155.4</v>
      </c>
      <c r="C332" s="12">
        <v>55.33</v>
      </c>
      <c r="E332" s="2">
        <v>14328394</v>
      </c>
      <c r="F332">
        <v>1913</v>
      </c>
      <c r="G332">
        <v>1911</v>
      </c>
      <c r="H332">
        <v>38</v>
      </c>
      <c r="I332">
        <v>40</v>
      </c>
      <c r="K332">
        <v>43</v>
      </c>
    </row>
    <row r="333" spans="1:11" x14ac:dyDescent="0.25">
      <c r="A333" t="s">
        <v>196</v>
      </c>
      <c r="B333">
        <v>151</v>
      </c>
      <c r="C333" s="12">
        <v>55.32</v>
      </c>
      <c r="E333" s="2">
        <v>5184936</v>
      </c>
      <c r="F333">
        <v>1913</v>
      </c>
      <c r="G333">
        <v>1911</v>
      </c>
      <c r="H333">
        <v>38</v>
      </c>
      <c r="I333">
        <v>40</v>
      </c>
      <c r="K333">
        <v>43</v>
      </c>
    </row>
    <row r="334" spans="1:11" x14ac:dyDescent="0.25">
      <c r="A334" t="s">
        <v>202</v>
      </c>
      <c r="B334">
        <v>152</v>
      </c>
      <c r="C334" s="12">
        <v>52.89</v>
      </c>
      <c r="E334" s="2">
        <v>3400038</v>
      </c>
      <c r="F334">
        <v>1913</v>
      </c>
      <c r="G334">
        <v>1911</v>
      </c>
      <c r="H334">
        <v>38</v>
      </c>
      <c r="I334">
        <v>40</v>
      </c>
      <c r="K334">
        <v>43</v>
      </c>
    </row>
    <row r="335" spans="1:11" x14ac:dyDescent="0.25">
      <c r="A335" t="s">
        <v>190</v>
      </c>
      <c r="B335">
        <v>168.6</v>
      </c>
      <c r="C335" s="12">
        <v>52.28</v>
      </c>
      <c r="E335" s="2">
        <v>8045028</v>
      </c>
      <c r="F335">
        <v>1913</v>
      </c>
      <c r="G335">
        <v>1911</v>
      </c>
      <c r="H335">
        <v>38</v>
      </c>
      <c r="I335">
        <v>40</v>
      </c>
      <c r="K335">
        <v>43</v>
      </c>
    </row>
    <row r="336" spans="1:11" x14ac:dyDescent="0.25">
      <c r="A336" t="s">
        <v>182</v>
      </c>
      <c r="B336">
        <v>156</v>
      </c>
      <c r="C336" s="12">
        <v>75.069999999999993</v>
      </c>
      <c r="E336" s="2">
        <v>10209954</v>
      </c>
      <c r="F336">
        <v>1913</v>
      </c>
      <c r="G336">
        <v>1911</v>
      </c>
      <c r="H336">
        <v>38</v>
      </c>
      <c r="I336">
        <v>40</v>
      </c>
      <c r="K336">
        <v>43</v>
      </c>
    </row>
    <row r="337" spans="1:11" x14ac:dyDescent="0.25">
      <c r="A337" t="s">
        <v>174</v>
      </c>
      <c r="B337">
        <v>172.5</v>
      </c>
      <c r="C337" s="12"/>
      <c r="F337">
        <v>1913</v>
      </c>
      <c r="G337">
        <v>1911</v>
      </c>
      <c r="H337">
        <v>38</v>
      </c>
      <c r="I337">
        <v>40</v>
      </c>
      <c r="K337">
        <v>43</v>
      </c>
    </row>
    <row r="338" spans="1:11" x14ac:dyDescent="0.25">
      <c r="A338" t="s">
        <v>184</v>
      </c>
      <c r="B338">
        <v>185</v>
      </c>
      <c r="C338" s="12">
        <v>54.31</v>
      </c>
      <c r="E338" s="2">
        <v>4010289</v>
      </c>
      <c r="F338">
        <v>1913</v>
      </c>
      <c r="G338">
        <v>1911</v>
      </c>
      <c r="H338">
        <v>38</v>
      </c>
      <c r="I338">
        <v>40</v>
      </c>
      <c r="K338">
        <v>43</v>
      </c>
    </row>
    <row r="339" spans="1:11" x14ac:dyDescent="0.25">
      <c r="A339" t="s">
        <v>175</v>
      </c>
      <c r="B339">
        <v>180.5</v>
      </c>
      <c r="C339" s="12">
        <v>107.89</v>
      </c>
      <c r="E339" s="2">
        <v>3112241</v>
      </c>
      <c r="F339">
        <v>1913</v>
      </c>
      <c r="G339">
        <v>1911</v>
      </c>
      <c r="H339">
        <v>38</v>
      </c>
      <c r="I339">
        <v>40</v>
      </c>
      <c r="K339">
        <v>43</v>
      </c>
    </row>
    <row r="340" spans="1:11" x14ac:dyDescent="0.25">
      <c r="A340" t="s">
        <v>207</v>
      </c>
      <c r="B340">
        <v>131.5</v>
      </c>
      <c r="C340" s="12">
        <v>41.94</v>
      </c>
      <c r="E340" s="2">
        <v>4725919</v>
      </c>
      <c r="F340">
        <v>1913</v>
      </c>
      <c r="G340">
        <v>1911</v>
      </c>
      <c r="H340">
        <v>38</v>
      </c>
      <c r="I340">
        <v>40</v>
      </c>
      <c r="K340">
        <v>43</v>
      </c>
    </row>
    <row r="341" spans="1:11" x14ac:dyDescent="0.25">
      <c r="A341" t="s">
        <v>208</v>
      </c>
      <c r="B341">
        <v>135</v>
      </c>
      <c r="C341" s="12">
        <v>49.03</v>
      </c>
      <c r="E341" s="2">
        <v>4522573</v>
      </c>
      <c r="F341">
        <v>1913</v>
      </c>
      <c r="G341">
        <v>1911</v>
      </c>
      <c r="H341">
        <v>38</v>
      </c>
      <c r="I341">
        <v>40</v>
      </c>
      <c r="K341">
        <v>43</v>
      </c>
    </row>
    <row r="342" spans="1:11" x14ac:dyDescent="0.25">
      <c r="A342" t="s">
        <v>195</v>
      </c>
      <c r="B342">
        <v>104.1</v>
      </c>
      <c r="C342" s="12">
        <v>38.35</v>
      </c>
      <c r="E342" s="2">
        <v>3140627</v>
      </c>
      <c r="F342">
        <v>1913</v>
      </c>
      <c r="G342">
        <v>1911</v>
      </c>
      <c r="H342">
        <v>38</v>
      </c>
      <c r="I342">
        <v>40</v>
      </c>
      <c r="K342">
        <v>43</v>
      </c>
    </row>
    <row r="343" spans="1:11" x14ac:dyDescent="0.25">
      <c r="A343" t="s">
        <v>201</v>
      </c>
      <c r="B343">
        <v>92.8</v>
      </c>
      <c r="C343" s="12">
        <v>52.78</v>
      </c>
      <c r="E343" s="2">
        <v>2168513</v>
      </c>
      <c r="F343">
        <v>1913</v>
      </c>
      <c r="G343">
        <v>1911</v>
      </c>
      <c r="H343">
        <v>38</v>
      </c>
      <c r="I343">
        <v>40</v>
      </c>
      <c r="K343">
        <v>43</v>
      </c>
    </row>
    <row r="344" spans="1:11" x14ac:dyDescent="0.25">
      <c r="A344" t="s">
        <v>89</v>
      </c>
      <c r="B344">
        <v>151.4</v>
      </c>
      <c r="C344" s="12">
        <v>40.99</v>
      </c>
      <c r="E344" s="2">
        <v>4390153</v>
      </c>
      <c r="F344">
        <v>1913</v>
      </c>
      <c r="G344">
        <v>1911</v>
      </c>
      <c r="H344">
        <v>38</v>
      </c>
      <c r="I344">
        <v>40</v>
      </c>
      <c r="K344">
        <v>43</v>
      </c>
    </row>
    <row r="345" spans="1:11" x14ac:dyDescent="0.25">
      <c r="A345" t="s">
        <v>176</v>
      </c>
      <c r="B345">
        <v>116.2</v>
      </c>
      <c r="C345" s="12">
        <v>47.35</v>
      </c>
      <c r="E345" s="2">
        <v>1991379</v>
      </c>
      <c r="F345">
        <v>1913</v>
      </c>
      <c r="G345">
        <v>1911</v>
      </c>
      <c r="H345">
        <v>38</v>
      </c>
      <c r="I345">
        <v>40</v>
      </c>
      <c r="K345">
        <v>43</v>
      </c>
    </row>
    <row r="346" spans="1:11" x14ac:dyDescent="0.25">
      <c r="A346" t="s">
        <v>120</v>
      </c>
      <c r="B346">
        <v>131.80000000000001</v>
      </c>
      <c r="C346" s="12">
        <v>47.86</v>
      </c>
      <c r="E346" s="2">
        <v>6165719</v>
      </c>
      <c r="F346">
        <v>1913</v>
      </c>
      <c r="G346">
        <v>1911</v>
      </c>
      <c r="H346">
        <v>38</v>
      </c>
      <c r="I346">
        <v>40</v>
      </c>
      <c r="K346">
        <v>43</v>
      </c>
    </row>
    <row r="347" spans="1:11" x14ac:dyDescent="0.25">
      <c r="A347" t="s">
        <v>203</v>
      </c>
      <c r="B347">
        <v>133</v>
      </c>
      <c r="C347" s="12">
        <v>42.22</v>
      </c>
      <c r="E347" s="2">
        <v>5083469</v>
      </c>
      <c r="F347">
        <v>1913</v>
      </c>
      <c r="G347">
        <v>1911</v>
      </c>
      <c r="H347">
        <v>38</v>
      </c>
      <c r="I347">
        <v>40</v>
      </c>
      <c r="K347">
        <v>43</v>
      </c>
    </row>
    <row r="348" spans="1:11" x14ac:dyDescent="0.25">
      <c r="A348" t="s">
        <v>5</v>
      </c>
      <c r="B348">
        <v>115.2</v>
      </c>
      <c r="C348" s="12">
        <v>53.51</v>
      </c>
      <c r="E348" s="2">
        <v>3747885</v>
      </c>
      <c r="F348">
        <v>1913</v>
      </c>
      <c r="G348">
        <v>1911</v>
      </c>
      <c r="H348">
        <v>38</v>
      </c>
      <c r="I348">
        <v>40</v>
      </c>
      <c r="K348">
        <v>43</v>
      </c>
    </row>
    <row r="349" spans="1:11" x14ac:dyDescent="0.25">
      <c r="A349" t="s">
        <v>73</v>
      </c>
      <c r="B349">
        <v>120</v>
      </c>
      <c r="C349" s="12"/>
      <c r="F349">
        <v>1913</v>
      </c>
      <c r="G349">
        <v>1911</v>
      </c>
      <c r="H349">
        <v>38</v>
      </c>
      <c r="I349">
        <v>40</v>
      </c>
      <c r="K349">
        <v>43</v>
      </c>
    </row>
    <row r="350" spans="1:11" x14ac:dyDescent="0.25">
      <c r="A350" t="s">
        <v>152</v>
      </c>
      <c r="B350">
        <v>135.19999999999999</v>
      </c>
      <c r="C350" s="12">
        <v>54.05</v>
      </c>
      <c r="E350" s="2">
        <v>4064820</v>
      </c>
      <c r="F350">
        <v>1913</v>
      </c>
      <c r="G350">
        <v>1911</v>
      </c>
      <c r="H350">
        <v>38</v>
      </c>
      <c r="I350">
        <v>40</v>
      </c>
      <c r="K350">
        <v>43</v>
      </c>
    </row>
    <row r="351" spans="1:11" x14ac:dyDescent="0.25">
      <c r="A351" t="s">
        <v>204</v>
      </c>
      <c r="B351">
        <v>135.1</v>
      </c>
      <c r="C351" s="12">
        <v>60.32</v>
      </c>
      <c r="E351" s="2">
        <v>11841818</v>
      </c>
      <c r="F351">
        <v>1913</v>
      </c>
      <c r="G351">
        <v>1911</v>
      </c>
      <c r="H351">
        <v>38</v>
      </c>
      <c r="I351">
        <v>40</v>
      </c>
      <c r="K351">
        <v>43</v>
      </c>
    </row>
    <row r="352" spans="1:11" x14ac:dyDescent="0.25">
      <c r="A352" t="s">
        <v>61</v>
      </c>
      <c r="B352">
        <v>113.9</v>
      </c>
      <c r="C352" s="12">
        <v>53.01</v>
      </c>
      <c r="E352" s="2">
        <v>3510132</v>
      </c>
      <c r="F352">
        <v>1913</v>
      </c>
      <c r="G352">
        <v>1911</v>
      </c>
      <c r="H352">
        <v>38</v>
      </c>
      <c r="I352">
        <v>40</v>
      </c>
      <c r="K352">
        <v>43</v>
      </c>
    </row>
    <row r="353" spans="1:12" x14ac:dyDescent="0.25">
      <c r="A353" s="10" t="s">
        <v>197</v>
      </c>
      <c r="B353">
        <v>130</v>
      </c>
      <c r="C353" s="12">
        <v>55.01</v>
      </c>
      <c r="E353" s="2">
        <v>6759413</v>
      </c>
      <c r="F353">
        <v>1913</v>
      </c>
      <c r="G353">
        <v>1911</v>
      </c>
      <c r="H353">
        <v>38</v>
      </c>
      <c r="I353">
        <v>40</v>
      </c>
      <c r="K353">
        <v>43</v>
      </c>
    </row>
    <row r="354" spans="1:12" x14ac:dyDescent="0.25">
      <c r="A354" t="s">
        <v>189</v>
      </c>
      <c r="B354">
        <v>156.9</v>
      </c>
      <c r="C354" s="12">
        <v>76.67</v>
      </c>
      <c r="E354" s="2">
        <v>3162072</v>
      </c>
      <c r="F354">
        <v>1913</v>
      </c>
      <c r="G354">
        <v>1911</v>
      </c>
      <c r="H354">
        <v>38</v>
      </c>
      <c r="I354">
        <v>40</v>
      </c>
      <c r="K354">
        <v>43</v>
      </c>
    </row>
    <row r="355" spans="1:12" x14ac:dyDescent="0.25">
      <c r="A355" t="s">
        <v>210</v>
      </c>
      <c r="B355">
        <v>140.9</v>
      </c>
      <c r="C355" s="12">
        <v>64.16</v>
      </c>
      <c r="E355" s="2">
        <v>1120839</v>
      </c>
      <c r="F355">
        <v>1913</v>
      </c>
      <c r="G355">
        <v>1911</v>
      </c>
      <c r="H355">
        <v>38</v>
      </c>
      <c r="I355">
        <v>40</v>
      </c>
      <c r="K355">
        <v>43</v>
      </c>
    </row>
    <row r="356" spans="1:12" x14ac:dyDescent="0.25">
      <c r="A356" t="s">
        <v>173</v>
      </c>
      <c r="B356">
        <v>156</v>
      </c>
      <c r="C356" s="12">
        <v>64.099999999999994</v>
      </c>
      <c r="E356" s="2">
        <v>5824200</v>
      </c>
      <c r="F356">
        <v>1913</v>
      </c>
      <c r="G356">
        <v>1911</v>
      </c>
      <c r="H356">
        <v>38</v>
      </c>
      <c r="I356">
        <v>40</v>
      </c>
      <c r="K356">
        <v>43</v>
      </c>
    </row>
    <row r="357" spans="1:12" x14ac:dyDescent="0.25">
      <c r="A357" s="1" t="s">
        <v>193</v>
      </c>
      <c r="B357">
        <v>115</v>
      </c>
      <c r="C357" s="12">
        <v>58.97</v>
      </c>
      <c r="E357" s="2">
        <v>972559</v>
      </c>
      <c r="F357">
        <v>1913</v>
      </c>
      <c r="G357">
        <v>1911</v>
      </c>
      <c r="H357">
        <v>38</v>
      </c>
      <c r="I357">
        <v>40</v>
      </c>
      <c r="K357">
        <v>43</v>
      </c>
    </row>
    <row r="358" spans="1:12" x14ac:dyDescent="0.25">
      <c r="A358" t="s">
        <v>171</v>
      </c>
      <c r="B358">
        <v>135.5</v>
      </c>
      <c r="C358" s="12"/>
      <c r="F358">
        <v>1913</v>
      </c>
      <c r="G358">
        <v>1911</v>
      </c>
      <c r="H358">
        <v>38</v>
      </c>
      <c r="I358">
        <v>40</v>
      </c>
      <c r="K358">
        <v>43</v>
      </c>
    </row>
    <row r="359" spans="1:12" x14ac:dyDescent="0.25">
      <c r="A359" s="1" t="s">
        <v>205</v>
      </c>
      <c r="B359">
        <v>159</v>
      </c>
      <c r="C359" s="12">
        <v>77.95</v>
      </c>
      <c r="E359" s="2">
        <v>3576045</v>
      </c>
      <c r="F359">
        <v>1913</v>
      </c>
      <c r="G359">
        <v>1911</v>
      </c>
      <c r="H359">
        <v>38</v>
      </c>
      <c r="I359">
        <v>40</v>
      </c>
      <c r="K359">
        <v>43</v>
      </c>
    </row>
    <row r="360" spans="1:12" x14ac:dyDescent="0.25">
      <c r="A360" t="s">
        <v>74</v>
      </c>
      <c r="B360">
        <v>145.30000000000001</v>
      </c>
      <c r="C360" s="12"/>
      <c r="E360" s="2">
        <v>619268</v>
      </c>
      <c r="F360">
        <v>1913</v>
      </c>
      <c r="G360">
        <v>1911</v>
      </c>
      <c r="H360">
        <v>38</v>
      </c>
      <c r="I360">
        <v>40</v>
      </c>
      <c r="K360">
        <v>43</v>
      </c>
    </row>
    <row r="361" spans="1:12" x14ac:dyDescent="0.25">
      <c r="A361" t="s">
        <v>177</v>
      </c>
      <c r="B361">
        <v>140</v>
      </c>
      <c r="C361" s="12">
        <v>73.209999999999994</v>
      </c>
      <c r="E361" s="2">
        <v>2797091</v>
      </c>
      <c r="F361">
        <v>1913</v>
      </c>
      <c r="G361">
        <v>1911</v>
      </c>
      <c r="H361">
        <v>38</v>
      </c>
      <c r="I361">
        <v>40</v>
      </c>
      <c r="K361">
        <v>43</v>
      </c>
    </row>
    <row r="362" spans="1:12" x14ac:dyDescent="0.25">
      <c r="A362" t="s">
        <v>56</v>
      </c>
      <c r="B362">
        <v>172.3</v>
      </c>
      <c r="C362" s="12">
        <v>70.040000000000006</v>
      </c>
      <c r="E362" s="2">
        <v>10860995</v>
      </c>
      <c r="F362">
        <v>1913</v>
      </c>
      <c r="G362">
        <v>1911</v>
      </c>
      <c r="H362">
        <v>38</v>
      </c>
      <c r="I362">
        <v>40</v>
      </c>
      <c r="K362">
        <v>43</v>
      </c>
    </row>
    <row r="363" spans="1:12" x14ac:dyDescent="0.25">
      <c r="A363" t="s">
        <v>198</v>
      </c>
      <c r="B363">
        <v>138</v>
      </c>
      <c r="C363" s="12">
        <v>61.85</v>
      </c>
      <c r="E363" s="2">
        <v>5837676</v>
      </c>
      <c r="F363">
        <v>1913</v>
      </c>
      <c r="G363">
        <v>1911</v>
      </c>
      <c r="H363">
        <v>38</v>
      </c>
      <c r="I363">
        <v>40</v>
      </c>
      <c r="K363">
        <v>43</v>
      </c>
    </row>
    <row r="364" spans="1:12" x14ac:dyDescent="0.25">
      <c r="A364" t="s">
        <v>172</v>
      </c>
      <c r="B364">
        <v>173.6</v>
      </c>
      <c r="C364" s="12">
        <v>94.18</v>
      </c>
      <c r="E364" s="2">
        <v>20070928</v>
      </c>
      <c r="F364">
        <v>1913</v>
      </c>
      <c r="G364">
        <v>1911</v>
      </c>
      <c r="H364">
        <v>38</v>
      </c>
      <c r="I364">
        <v>40</v>
      </c>
      <c r="K364">
        <v>43</v>
      </c>
    </row>
    <row r="365" spans="1:12" x14ac:dyDescent="0.25">
      <c r="C365" s="12"/>
      <c r="E365" s="2">
        <f>SUM(E316:E364)</f>
        <v>427484678</v>
      </c>
      <c r="L365" s="2" t="s">
        <v>368</v>
      </c>
    </row>
    <row r="366" spans="1:12" x14ac:dyDescent="0.25">
      <c r="C366" s="12"/>
    </row>
    <row r="367" spans="1:12" x14ac:dyDescent="0.25">
      <c r="A367" t="s">
        <v>183</v>
      </c>
      <c r="B367" s="9">
        <v>164.2</v>
      </c>
      <c r="C367" s="12">
        <v>45.72</v>
      </c>
      <c r="E367" s="2">
        <v>3151917</v>
      </c>
      <c r="F367">
        <v>1914</v>
      </c>
      <c r="G367">
        <v>1912</v>
      </c>
      <c r="H367">
        <v>43</v>
      </c>
      <c r="I367">
        <v>45</v>
      </c>
      <c r="J367" s="15"/>
      <c r="K367">
        <v>48</v>
      </c>
    </row>
    <row r="368" spans="1:12" x14ac:dyDescent="0.25">
      <c r="A368" t="s">
        <v>191</v>
      </c>
      <c r="B368" s="9">
        <v>169</v>
      </c>
      <c r="C368" s="12">
        <v>51.28</v>
      </c>
      <c r="E368" s="2">
        <v>1826643</v>
      </c>
      <c r="F368">
        <v>1914</v>
      </c>
      <c r="G368">
        <v>1912</v>
      </c>
      <c r="H368">
        <v>43</v>
      </c>
      <c r="I368" s="14">
        <v>45</v>
      </c>
      <c r="J368" s="15"/>
      <c r="K368" s="14">
        <v>48</v>
      </c>
    </row>
    <row r="369" spans="1:11" x14ac:dyDescent="0.25">
      <c r="A369" t="s">
        <v>206</v>
      </c>
      <c r="B369" s="9">
        <v>160</v>
      </c>
      <c r="C369" s="12">
        <v>40.630000000000003</v>
      </c>
      <c r="E369" s="2">
        <v>1815267</v>
      </c>
      <c r="F369">
        <v>1914</v>
      </c>
      <c r="G369">
        <v>1912</v>
      </c>
      <c r="H369">
        <v>43</v>
      </c>
      <c r="I369" s="14">
        <v>45</v>
      </c>
      <c r="J369" s="15"/>
      <c r="K369" s="14">
        <v>48</v>
      </c>
    </row>
    <row r="370" spans="1:11" x14ac:dyDescent="0.25">
      <c r="A370" t="s">
        <v>185</v>
      </c>
      <c r="B370" s="9">
        <v>186</v>
      </c>
      <c r="C370" s="12">
        <v>72.45</v>
      </c>
      <c r="E370" s="2">
        <v>22502935</v>
      </c>
      <c r="F370">
        <v>1914</v>
      </c>
      <c r="G370">
        <v>1912</v>
      </c>
      <c r="H370">
        <v>43</v>
      </c>
      <c r="I370" s="14">
        <v>45</v>
      </c>
      <c r="J370" s="15"/>
      <c r="K370" s="14">
        <v>48</v>
      </c>
    </row>
    <row r="371" spans="1:11" x14ac:dyDescent="0.25">
      <c r="A371" t="s">
        <v>200</v>
      </c>
      <c r="B371" s="9">
        <v>194.1</v>
      </c>
      <c r="C371" s="12">
        <v>68.98</v>
      </c>
      <c r="E371" s="2">
        <v>2404652</v>
      </c>
      <c r="F371">
        <v>1914</v>
      </c>
      <c r="G371">
        <v>1912</v>
      </c>
      <c r="H371">
        <v>43</v>
      </c>
      <c r="I371" s="14">
        <v>45</v>
      </c>
      <c r="J371" s="15"/>
      <c r="K371" s="14">
        <v>48</v>
      </c>
    </row>
    <row r="372" spans="1:11" x14ac:dyDescent="0.25">
      <c r="A372" t="s">
        <v>215</v>
      </c>
      <c r="B372" s="9">
        <v>184.2</v>
      </c>
      <c r="C372" s="12">
        <v>60.46</v>
      </c>
      <c r="E372" s="2">
        <v>6217127</v>
      </c>
      <c r="F372">
        <v>1914</v>
      </c>
      <c r="G372">
        <v>1912</v>
      </c>
      <c r="H372">
        <v>43</v>
      </c>
      <c r="I372" s="14">
        <v>45</v>
      </c>
      <c r="J372" s="15"/>
      <c r="K372" s="14">
        <v>48</v>
      </c>
    </row>
    <row r="373" spans="1:11" x14ac:dyDescent="0.25">
      <c r="A373" t="s">
        <v>194</v>
      </c>
      <c r="B373" s="9">
        <v>187.5</v>
      </c>
      <c r="C373" s="12">
        <v>93.87</v>
      </c>
      <c r="E373" s="2">
        <v>57935136</v>
      </c>
      <c r="F373">
        <v>1914</v>
      </c>
      <c r="G373">
        <v>1912</v>
      </c>
      <c r="H373">
        <v>43</v>
      </c>
      <c r="I373" s="14">
        <v>45</v>
      </c>
      <c r="J373" s="15"/>
      <c r="K373" s="14">
        <v>48</v>
      </c>
    </row>
    <row r="374" spans="1:11" x14ac:dyDescent="0.25">
      <c r="A374" t="s">
        <v>192</v>
      </c>
      <c r="B374" s="9">
        <v>187.8</v>
      </c>
      <c r="C374" s="12">
        <v>81.680000000000007</v>
      </c>
      <c r="E374" s="2">
        <v>20374527</v>
      </c>
      <c r="F374">
        <v>1914</v>
      </c>
      <c r="G374">
        <v>1912</v>
      </c>
      <c r="H374">
        <v>43</v>
      </c>
      <c r="I374" s="14">
        <v>45</v>
      </c>
      <c r="J374" s="15"/>
      <c r="K374" s="14">
        <v>48</v>
      </c>
    </row>
    <row r="375" spans="1:11" x14ac:dyDescent="0.25">
      <c r="A375" t="s">
        <v>199</v>
      </c>
      <c r="B375" s="9">
        <v>171</v>
      </c>
      <c r="C375">
        <v>52.16</v>
      </c>
      <c r="E375" s="2">
        <v>42557986</v>
      </c>
      <c r="F375">
        <v>1914</v>
      </c>
      <c r="G375">
        <v>1912</v>
      </c>
      <c r="H375">
        <v>43</v>
      </c>
      <c r="I375" s="14">
        <v>45</v>
      </c>
      <c r="J375" s="15"/>
      <c r="K375" s="14">
        <v>48</v>
      </c>
    </row>
    <row r="376" spans="1:11" x14ac:dyDescent="0.25">
      <c r="A376" t="s">
        <v>144</v>
      </c>
      <c r="B376" s="9">
        <v>165.5</v>
      </c>
      <c r="C376">
        <v>63.16</v>
      </c>
      <c r="E376" s="2">
        <v>28858413</v>
      </c>
      <c r="F376">
        <v>1914</v>
      </c>
      <c r="G376">
        <v>1912</v>
      </c>
      <c r="H376">
        <v>43</v>
      </c>
      <c r="I376" s="14">
        <v>45</v>
      </c>
      <c r="J376" s="15"/>
      <c r="K376" s="14">
        <v>48</v>
      </c>
    </row>
    <row r="377" spans="1:11" x14ac:dyDescent="0.25">
      <c r="A377" t="s">
        <v>179</v>
      </c>
      <c r="B377" s="9">
        <v>168</v>
      </c>
      <c r="C377">
        <v>66.010000000000005</v>
      </c>
      <c r="E377" s="2">
        <v>16443654</v>
      </c>
      <c r="F377">
        <v>1914</v>
      </c>
      <c r="G377">
        <v>1912</v>
      </c>
      <c r="H377">
        <v>43</v>
      </c>
      <c r="I377" s="14">
        <v>45</v>
      </c>
      <c r="J377" s="15"/>
      <c r="K377" s="14">
        <v>48</v>
      </c>
    </row>
    <row r="378" spans="1:11" x14ac:dyDescent="0.25">
      <c r="A378" t="s">
        <v>178</v>
      </c>
      <c r="B378" s="9">
        <v>158</v>
      </c>
      <c r="C378">
        <v>73.05</v>
      </c>
      <c r="E378" s="2">
        <v>34217582</v>
      </c>
      <c r="F378">
        <v>1914</v>
      </c>
      <c r="G378">
        <v>1912</v>
      </c>
      <c r="H378">
        <v>43</v>
      </c>
      <c r="I378" s="14">
        <v>45</v>
      </c>
      <c r="J378" s="15"/>
      <c r="K378" s="14">
        <v>48</v>
      </c>
    </row>
    <row r="379" spans="1:11" x14ac:dyDescent="0.25">
      <c r="A379" t="s">
        <v>186</v>
      </c>
      <c r="B379" s="9">
        <v>172.7</v>
      </c>
      <c r="C379">
        <v>58.91</v>
      </c>
      <c r="E379" s="2">
        <v>16730370</v>
      </c>
      <c r="F379">
        <v>1914</v>
      </c>
      <c r="G379">
        <v>1912</v>
      </c>
      <c r="H379">
        <v>43</v>
      </c>
      <c r="I379" s="14">
        <v>45</v>
      </c>
      <c r="J379" s="15"/>
      <c r="K379" s="14">
        <v>48</v>
      </c>
    </row>
    <row r="380" spans="1:11" x14ac:dyDescent="0.25">
      <c r="A380" t="s">
        <v>209</v>
      </c>
      <c r="B380" s="9">
        <v>175</v>
      </c>
      <c r="C380">
        <v>50.79</v>
      </c>
      <c r="E380" s="2">
        <v>11763878</v>
      </c>
      <c r="F380">
        <v>1914</v>
      </c>
      <c r="G380">
        <v>1912</v>
      </c>
      <c r="H380">
        <v>43</v>
      </c>
      <c r="I380" s="14">
        <v>45</v>
      </c>
      <c r="J380" s="15"/>
      <c r="K380" s="14">
        <v>48</v>
      </c>
    </row>
    <row r="381" spans="1:11" x14ac:dyDescent="0.25">
      <c r="A381" t="s">
        <v>187</v>
      </c>
      <c r="B381" s="9">
        <v>162</v>
      </c>
      <c r="C381">
        <v>54.01</v>
      </c>
      <c r="E381" s="2">
        <v>15224507</v>
      </c>
      <c r="F381">
        <v>1914</v>
      </c>
      <c r="G381">
        <v>1912</v>
      </c>
      <c r="H381">
        <v>43</v>
      </c>
      <c r="I381" s="14">
        <v>45</v>
      </c>
      <c r="J381" s="15"/>
      <c r="K381" s="14">
        <v>48</v>
      </c>
    </row>
    <row r="382" spans="1:11" x14ac:dyDescent="0.25">
      <c r="A382" t="s">
        <v>181</v>
      </c>
      <c r="B382" s="9">
        <v>172.4</v>
      </c>
      <c r="C382">
        <v>51.67</v>
      </c>
      <c r="E382" s="2">
        <v>14634982</v>
      </c>
      <c r="F382">
        <v>1914</v>
      </c>
      <c r="G382">
        <v>1912</v>
      </c>
      <c r="H382">
        <v>43</v>
      </c>
      <c r="I382" s="14">
        <v>45</v>
      </c>
      <c r="J382" s="15"/>
      <c r="K382" s="14">
        <v>48</v>
      </c>
    </row>
    <row r="383" spans="1:11" x14ac:dyDescent="0.25">
      <c r="A383" t="s">
        <v>188</v>
      </c>
      <c r="B383" s="9">
        <v>157.30000000000001</v>
      </c>
      <c r="C383">
        <v>57.66</v>
      </c>
      <c r="E383" s="2">
        <v>14720856</v>
      </c>
      <c r="F383">
        <v>1914</v>
      </c>
      <c r="G383">
        <v>1912</v>
      </c>
      <c r="H383">
        <v>43</v>
      </c>
      <c r="I383" s="14">
        <v>45</v>
      </c>
      <c r="J383" s="15"/>
      <c r="K383" s="14">
        <v>48</v>
      </c>
    </row>
    <row r="384" spans="1:11" x14ac:dyDescent="0.25">
      <c r="A384" t="s">
        <v>196</v>
      </c>
      <c r="B384" s="9">
        <v>146.1</v>
      </c>
      <c r="C384">
        <v>55.8</v>
      </c>
      <c r="E384" s="2">
        <v>5459002</v>
      </c>
      <c r="F384">
        <v>1914</v>
      </c>
      <c r="G384">
        <v>1912</v>
      </c>
      <c r="H384">
        <v>43</v>
      </c>
      <c r="I384" s="14">
        <v>45</v>
      </c>
      <c r="J384" s="15"/>
      <c r="K384" s="14">
        <v>48</v>
      </c>
    </row>
    <row r="385" spans="1:11" x14ac:dyDescent="0.25">
      <c r="A385" t="s">
        <v>202</v>
      </c>
      <c r="B385" s="9">
        <v>167.5</v>
      </c>
      <c r="C385">
        <v>50.93</v>
      </c>
      <c r="E385" s="2">
        <v>4109642</v>
      </c>
      <c r="F385">
        <v>1914</v>
      </c>
      <c r="G385">
        <v>1912</v>
      </c>
      <c r="H385">
        <v>43</v>
      </c>
      <c r="I385" s="14">
        <v>45</v>
      </c>
      <c r="J385" s="15"/>
      <c r="K385" s="14">
        <v>48</v>
      </c>
    </row>
    <row r="386" spans="1:11" x14ac:dyDescent="0.25">
      <c r="A386" t="s">
        <v>190</v>
      </c>
      <c r="B386" s="9">
        <v>158</v>
      </c>
      <c r="C386">
        <v>57.97</v>
      </c>
      <c r="E386" s="2">
        <v>8757288</v>
      </c>
      <c r="F386">
        <v>1914</v>
      </c>
      <c r="G386">
        <v>1912</v>
      </c>
      <c r="H386">
        <v>43</v>
      </c>
      <c r="I386" s="14">
        <v>45</v>
      </c>
      <c r="J386" s="15"/>
      <c r="K386" s="14">
        <v>48</v>
      </c>
    </row>
    <row r="387" spans="1:11" x14ac:dyDescent="0.25">
      <c r="A387" t="s">
        <v>182</v>
      </c>
      <c r="B387" s="9">
        <v>172</v>
      </c>
      <c r="C387">
        <v>69.73</v>
      </c>
      <c r="E387" s="2">
        <v>11158256</v>
      </c>
      <c r="F387">
        <v>1914</v>
      </c>
      <c r="G387">
        <v>1912</v>
      </c>
      <c r="H387">
        <v>43</v>
      </c>
      <c r="I387" s="14">
        <v>45</v>
      </c>
      <c r="J387" s="15"/>
      <c r="K387" s="14">
        <v>48</v>
      </c>
    </row>
    <row r="388" spans="1:11" x14ac:dyDescent="0.25">
      <c r="A388" t="s">
        <v>174</v>
      </c>
      <c r="B388" s="9">
        <v>170.5</v>
      </c>
      <c r="C388">
        <v>43.96</v>
      </c>
      <c r="E388" s="2">
        <v>605000</v>
      </c>
      <c r="F388">
        <v>1914</v>
      </c>
      <c r="G388">
        <v>1912</v>
      </c>
      <c r="H388">
        <v>43</v>
      </c>
      <c r="I388" s="14">
        <v>45</v>
      </c>
      <c r="J388" s="15"/>
      <c r="K388" s="14">
        <v>48</v>
      </c>
    </row>
    <row r="389" spans="1:11" x14ac:dyDescent="0.25">
      <c r="A389" t="s">
        <v>184</v>
      </c>
      <c r="B389" s="9">
        <v>179.2</v>
      </c>
      <c r="C389">
        <v>56.52</v>
      </c>
      <c r="E389" s="2">
        <v>4129747</v>
      </c>
      <c r="F389">
        <v>1914</v>
      </c>
      <c r="G389">
        <v>1912</v>
      </c>
      <c r="H389">
        <v>43</v>
      </c>
      <c r="I389" s="14">
        <v>45</v>
      </c>
      <c r="J389" s="15"/>
      <c r="K389" s="14">
        <v>48</v>
      </c>
    </row>
    <row r="390" spans="1:11" x14ac:dyDescent="0.25">
      <c r="A390" t="s">
        <v>175</v>
      </c>
      <c r="B390" s="9">
        <v>179.9</v>
      </c>
      <c r="C390">
        <v>104.58</v>
      </c>
      <c r="E390" s="2">
        <v>2989513</v>
      </c>
      <c r="F390">
        <v>1914</v>
      </c>
      <c r="G390">
        <v>1912</v>
      </c>
      <c r="H390">
        <v>43</v>
      </c>
      <c r="I390" s="14">
        <v>45</v>
      </c>
      <c r="J390" s="15"/>
      <c r="K390" s="14">
        <v>48</v>
      </c>
    </row>
    <row r="391" spans="1:11" x14ac:dyDescent="0.25">
      <c r="A391" t="s">
        <v>207</v>
      </c>
      <c r="B391" s="9">
        <v>138</v>
      </c>
      <c r="C391">
        <v>41.73</v>
      </c>
      <c r="E391" s="2">
        <v>5262130</v>
      </c>
      <c r="F391">
        <v>1914</v>
      </c>
      <c r="G391">
        <v>1912</v>
      </c>
      <c r="H391">
        <v>43</v>
      </c>
      <c r="I391" s="14">
        <v>45</v>
      </c>
      <c r="J391" s="15"/>
      <c r="K391" s="14">
        <v>48</v>
      </c>
    </row>
    <row r="392" spans="1:11" x14ac:dyDescent="0.25">
      <c r="A392" t="s">
        <v>208</v>
      </c>
      <c r="B392" s="9">
        <v>137.19999999999999</v>
      </c>
      <c r="C392">
        <v>46.69</v>
      </c>
      <c r="E392" s="2">
        <v>5030940</v>
      </c>
      <c r="F392">
        <v>1914</v>
      </c>
      <c r="G392">
        <v>1912</v>
      </c>
      <c r="H392">
        <v>43</v>
      </c>
      <c r="I392" s="14">
        <v>45</v>
      </c>
      <c r="J392" s="15"/>
      <c r="K392" s="14">
        <v>48</v>
      </c>
    </row>
    <row r="393" spans="1:11" x14ac:dyDescent="0.25">
      <c r="A393" t="s">
        <v>195</v>
      </c>
      <c r="B393" s="9">
        <v>109</v>
      </c>
      <c r="C393">
        <v>35.770000000000003</v>
      </c>
      <c r="E393" s="2">
        <v>3777125</v>
      </c>
      <c r="F393">
        <v>1914</v>
      </c>
      <c r="G393">
        <v>1912</v>
      </c>
      <c r="H393">
        <v>43</v>
      </c>
      <c r="I393" s="14">
        <v>45</v>
      </c>
      <c r="J393" s="15"/>
      <c r="K393" s="14">
        <v>48</v>
      </c>
    </row>
    <row r="394" spans="1:11" x14ac:dyDescent="0.25">
      <c r="A394" t="s">
        <v>201</v>
      </c>
      <c r="B394" s="9">
        <v>92</v>
      </c>
      <c r="C394">
        <v>53.9</v>
      </c>
      <c r="E394" s="2">
        <v>2380714</v>
      </c>
      <c r="F394">
        <v>1914</v>
      </c>
      <c r="G394">
        <v>1912</v>
      </c>
      <c r="H394">
        <v>43</v>
      </c>
      <c r="I394" s="14">
        <v>45</v>
      </c>
      <c r="J394" s="15"/>
      <c r="K394" s="14">
        <v>48</v>
      </c>
    </row>
    <row r="395" spans="1:11" x14ac:dyDescent="0.25">
      <c r="A395" t="s">
        <v>89</v>
      </c>
      <c r="B395" s="9">
        <v>142.19999999999999</v>
      </c>
      <c r="C395">
        <v>45.54</v>
      </c>
      <c r="E395" s="2">
        <v>5094430</v>
      </c>
      <c r="F395">
        <v>1914</v>
      </c>
      <c r="G395">
        <v>1912</v>
      </c>
      <c r="H395">
        <v>43</v>
      </c>
      <c r="I395" s="14">
        <v>45</v>
      </c>
      <c r="J395" s="15"/>
      <c r="K395" s="14">
        <v>48</v>
      </c>
    </row>
    <row r="396" spans="1:11" x14ac:dyDescent="0.25">
      <c r="A396" t="s">
        <v>176</v>
      </c>
      <c r="B396" s="9">
        <v>122.2</v>
      </c>
      <c r="C396">
        <v>47.85</v>
      </c>
      <c r="E396" s="2">
        <v>2327395</v>
      </c>
      <c r="F396">
        <v>1914</v>
      </c>
      <c r="G396">
        <v>1912</v>
      </c>
      <c r="H396">
        <v>43</v>
      </c>
      <c r="I396" s="14">
        <v>45</v>
      </c>
      <c r="J396" s="15"/>
      <c r="K396" s="14">
        <v>48</v>
      </c>
    </row>
    <row r="397" spans="1:11" x14ac:dyDescent="0.25">
      <c r="A397" t="s">
        <v>120</v>
      </c>
      <c r="B397" s="9">
        <v>139.80000000000001</v>
      </c>
      <c r="C397">
        <v>51.46</v>
      </c>
      <c r="E397" s="2">
        <v>6699872</v>
      </c>
      <c r="F397">
        <v>1914</v>
      </c>
      <c r="G397">
        <v>1912</v>
      </c>
      <c r="H397">
        <v>43</v>
      </c>
      <c r="I397" s="14">
        <v>45</v>
      </c>
      <c r="J397" s="15"/>
      <c r="K397" s="14">
        <v>48</v>
      </c>
    </row>
    <row r="398" spans="1:11" x14ac:dyDescent="0.25">
      <c r="A398" t="s">
        <v>203</v>
      </c>
      <c r="B398" s="9">
        <v>127.4</v>
      </c>
      <c r="C398">
        <v>47.7</v>
      </c>
      <c r="E398" s="2">
        <v>5537031</v>
      </c>
      <c r="F398">
        <v>1914</v>
      </c>
      <c r="G398">
        <v>1912</v>
      </c>
      <c r="H398">
        <v>43</v>
      </c>
      <c r="I398" s="14">
        <v>45</v>
      </c>
      <c r="J398" s="15"/>
      <c r="K398" s="14">
        <v>48</v>
      </c>
    </row>
    <row r="399" spans="1:11" x14ac:dyDescent="0.25">
      <c r="A399" t="s">
        <v>5</v>
      </c>
      <c r="B399" s="9">
        <v>132</v>
      </c>
      <c r="C399">
        <v>48.09</v>
      </c>
      <c r="E399" s="2">
        <v>3708418</v>
      </c>
      <c r="F399">
        <v>1914</v>
      </c>
      <c r="G399">
        <v>1912</v>
      </c>
      <c r="H399">
        <v>43</v>
      </c>
      <c r="I399" s="14">
        <v>45</v>
      </c>
      <c r="J399" s="15"/>
      <c r="K399" s="14">
        <v>48</v>
      </c>
    </row>
    <row r="400" spans="1:11" x14ac:dyDescent="0.25">
      <c r="A400" t="s">
        <v>73</v>
      </c>
      <c r="B400" s="9">
        <v>123</v>
      </c>
      <c r="C400">
        <v>37.99</v>
      </c>
      <c r="E400" s="2">
        <v>2806562</v>
      </c>
      <c r="F400">
        <v>1914</v>
      </c>
      <c r="G400">
        <v>1912</v>
      </c>
      <c r="H400">
        <v>43</v>
      </c>
      <c r="I400" s="14">
        <v>45</v>
      </c>
      <c r="J400" s="15"/>
      <c r="K400" s="14">
        <v>48</v>
      </c>
    </row>
    <row r="401" spans="1:11" x14ac:dyDescent="0.25">
      <c r="A401" t="s">
        <v>152</v>
      </c>
      <c r="B401" s="9">
        <v>132</v>
      </c>
      <c r="C401">
        <v>55.51</v>
      </c>
      <c r="E401" s="2">
        <v>4608927</v>
      </c>
      <c r="F401">
        <v>1914</v>
      </c>
      <c r="G401">
        <v>1912</v>
      </c>
      <c r="H401">
        <v>43</v>
      </c>
      <c r="I401" s="14">
        <v>45</v>
      </c>
      <c r="J401" s="15"/>
      <c r="K401" s="14">
        <v>48</v>
      </c>
    </row>
    <row r="402" spans="1:11" x14ac:dyDescent="0.25">
      <c r="A402" t="s">
        <v>204</v>
      </c>
      <c r="B402" s="9">
        <v>132.9</v>
      </c>
      <c r="C402">
        <v>63.98</v>
      </c>
      <c r="E402" s="2">
        <v>14497750</v>
      </c>
      <c r="F402">
        <v>1914</v>
      </c>
      <c r="G402">
        <v>1912</v>
      </c>
      <c r="H402">
        <v>43</v>
      </c>
      <c r="I402" s="14">
        <v>45</v>
      </c>
      <c r="J402" s="15"/>
      <c r="K402" s="14">
        <v>48</v>
      </c>
    </row>
    <row r="403" spans="1:11" x14ac:dyDescent="0.25">
      <c r="A403" t="s">
        <v>61</v>
      </c>
      <c r="B403" s="9">
        <v>117</v>
      </c>
      <c r="C403">
        <v>52.88</v>
      </c>
      <c r="E403" s="2">
        <v>3837549</v>
      </c>
      <c r="F403">
        <v>1914</v>
      </c>
      <c r="G403">
        <v>1912</v>
      </c>
      <c r="H403">
        <v>43</v>
      </c>
      <c r="I403" s="14">
        <v>45</v>
      </c>
      <c r="J403" s="15"/>
      <c r="K403" s="14">
        <v>48</v>
      </c>
    </row>
    <row r="404" spans="1:11" x14ac:dyDescent="0.25">
      <c r="A404" s="10" t="s">
        <v>197</v>
      </c>
      <c r="B404" s="9">
        <v>130.4</v>
      </c>
      <c r="C404">
        <v>58.7</v>
      </c>
      <c r="E404" s="2">
        <v>7603039</v>
      </c>
      <c r="F404">
        <v>1914</v>
      </c>
      <c r="G404">
        <v>1912</v>
      </c>
      <c r="H404">
        <v>43</v>
      </c>
      <c r="I404" s="14">
        <v>45</v>
      </c>
      <c r="J404" s="15"/>
      <c r="K404" s="14">
        <v>48</v>
      </c>
    </row>
    <row r="405" spans="1:11" x14ac:dyDescent="0.25">
      <c r="A405" t="s">
        <v>189</v>
      </c>
      <c r="B405" s="9">
        <v>165.5</v>
      </c>
      <c r="C405">
        <v>73.09</v>
      </c>
      <c r="E405" s="2">
        <v>3354934</v>
      </c>
      <c r="F405">
        <v>1914</v>
      </c>
      <c r="G405">
        <v>1912</v>
      </c>
      <c r="H405">
        <v>43</v>
      </c>
      <c r="I405" s="14">
        <v>45</v>
      </c>
      <c r="J405" s="15"/>
      <c r="K405" s="14">
        <v>48</v>
      </c>
    </row>
    <row r="406" spans="1:11" x14ac:dyDescent="0.25">
      <c r="A406" t="s">
        <v>210</v>
      </c>
      <c r="B406" s="9">
        <v>147</v>
      </c>
      <c r="C406">
        <v>60.51</v>
      </c>
      <c r="E406" s="2">
        <v>997022</v>
      </c>
      <c r="F406">
        <v>1914</v>
      </c>
      <c r="G406">
        <v>1912</v>
      </c>
      <c r="H406">
        <v>43</v>
      </c>
      <c r="I406" s="14">
        <v>45</v>
      </c>
      <c r="J406" s="15"/>
      <c r="K406" s="14">
        <v>48</v>
      </c>
    </row>
    <row r="407" spans="1:11" x14ac:dyDescent="0.25">
      <c r="A407" s="10" t="s">
        <v>173</v>
      </c>
      <c r="B407" s="9">
        <v>175</v>
      </c>
      <c r="C407">
        <v>68.42</v>
      </c>
      <c r="E407" s="2">
        <v>6527569</v>
      </c>
      <c r="F407">
        <v>1914</v>
      </c>
      <c r="G407">
        <v>1912</v>
      </c>
      <c r="H407">
        <v>43</v>
      </c>
      <c r="I407" s="14">
        <v>45</v>
      </c>
      <c r="J407" s="15"/>
      <c r="K407" s="14">
        <v>48</v>
      </c>
    </row>
    <row r="408" spans="1:11" x14ac:dyDescent="0.25">
      <c r="A408" s="10" t="s">
        <v>193</v>
      </c>
      <c r="B408" s="9">
        <v>125.5</v>
      </c>
      <c r="C408">
        <v>62.37</v>
      </c>
      <c r="E408" s="2">
        <v>1112840</v>
      </c>
      <c r="F408">
        <v>1914</v>
      </c>
      <c r="G408">
        <v>1912</v>
      </c>
      <c r="H408">
        <v>43</v>
      </c>
      <c r="I408" s="14">
        <v>45</v>
      </c>
      <c r="J408" s="15"/>
      <c r="K408" s="14">
        <v>48</v>
      </c>
    </row>
    <row r="409" spans="1:11" x14ac:dyDescent="0.25">
      <c r="A409" s="10" t="s">
        <v>171</v>
      </c>
      <c r="B409" s="9">
        <v>155.6</v>
      </c>
      <c r="C409">
        <v>86.67</v>
      </c>
      <c r="E409" s="2">
        <v>1321631</v>
      </c>
      <c r="F409">
        <v>1914</v>
      </c>
      <c r="G409">
        <v>1912</v>
      </c>
      <c r="H409">
        <v>43</v>
      </c>
      <c r="I409" s="14">
        <v>45</v>
      </c>
      <c r="J409" s="15"/>
      <c r="K409" s="14">
        <v>48</v>
      </c>
    </row>
    <row r="410" spans="1:11" x14ac:dyDescent="0.25">
      <c r="A410" s="10" t="s">
        <v>205</v>
      </c>
      <c r="B410" s="9">
        <v>155</v>
      </c>
      <c r="C410">
        <v>79.83</v>
      </c>
      <c r="E410" s="2">
        <v>3626686</v>
      </c>
      <c r="F410">
        <v>1914</v>
      </c>
      <c r="G410">
        <v>1912</v>
      </c>
      <c r="H410">
        <v>43</v>
      </c>
      <c r="I410" s="14">
        <v>45</v>
      </c>
      <c r="J410" s="15"/>
      <c r="K410" s="14">
        <v>48</v>
      </c>
    </row>
    <row r="411" spans="1:11" x14ac:dyDescent="0.25">
      <c r="A411" s="10" t="s">
        <v>74</v>
      </c>
      <c r="B411" s="9">
        <v>145</v>
      </c>
      <c r="C411">
        <v>87.57</v>
      </c>
      <c r="E411" s="2">
        <v>625562</v>
      </c>
      <c r="F411">
        <v>1914</v>
      </c>
      <c r="G411">
        <v>1912</v>
      </c>
      <c r="H411">
        <v>43</v>
      </c>
      <c r="I411" s="14">
        <v>45</v>
      </c>
      <c r="J411" s="15"/>
      <c r="K411" s="14">
        <v>48</v>
      </c>
    </row>
    <row r="412" spans="1:11" x14ac:dyDescent="0.25">
      <c r="A412" s="10" t="s">
        <v>177</v>
      </c>
      <c r="B412" s="9">
        <v>152</v>
      </c>
      <c r="C412">
        <v>82.24</v>
      </c>
      <c r="E412" s="2">
        <v>2959124</v>
      </c>
      <c r="F412">
        <v>1914</v>
      </c>
      <c r="G412">
        <v>1912</v>
      </c>
      <c r="H412">
        <v>43</v>
      </c>
      <c r="I412" s="14">
        <v>45</v>
      </c>
      <c r="J412" s="15"/>
      <c r="K412" s="14">
        <v>48</v>
      </c>
    </row>
    <row r="413" spans="1:11" x14ac:dyDescent="0.25">
      <c r="A413" t="s">
        <v>56</v>
      </c>
      <c r="B413" s="9">
        <v>174</v>
      </c>
      <c r="C413">
        <v>71.53</v>
      </c>
      <c r="E413" s="2">
        <v>10526931</v>
      </c>
      <c r="F413">
        <v>1914</v>
      </c>
      <c r="G413">
        <v>1912</v>
      </c>
      <c r="H413">
        <v>43</v>
      </c>
      <c r="I413" s="14">
        <v>45</v>
      </c>
      <c r="J413" s="15"/>
      <c r="K413" s="14">
        <v>48</v>
      </c>
    </row>
    <row r="414" spans="1:11" x14ac:dyDescent="0.25">
      <c r="A414" t="s">
        <v>198</v>
      </c>
      <c r="B414" s="9">
        <v>143.5</v>
      </c>
      <c r="C414">
        <v>64.22</v>
      </c>
      <c r="E414" s="2">
        <v>6095111</v>
      </c>
      <c r="F414">
        <v>1914</v>
      </c>
      <c r="G414">
        <v>1912</v>
      </c>
      <c r="H414">
        <v>43</v>
      </c>
      <c r="I414" s="14">
        <v>45</v>
      </c>
      <c r="J414" s="15"/>
      <c r="K414" s="14">
        <v>48</v>
      </c>
    </row>
    <row r="415" spans="1:11" x14ac:dyDescent="0.25">
      <c r="A415" t="s">
        <v>172</v>
      </c>
      <c r="B415" s="9">
        <v>173.4</v>
      </c>
      <c r="C415">
        <v>105.33</v>
      </c>
      <c r="E415" s="2">
        <v>23978621</v>
      </c>
      <c r="F415">
        <v>1914</v>
      </c>
      <c r="G415">
        <v>1912</v>
      </c>
      <c r="H415">
        <v>43</v>
      </c>
      <c r="I415" s="14">
        <v>45</v>
      </c>
      <c r="J415" s="15"/>
      <c r="K415" s="14">
        <v>48</v>
      </c>
    </row>
    <row r="418" spans="1:11" x14ac:dyDescent="0.25">
      <c r="A418" s="16" t="s">
        <v>183</v>
      </c>
      <c r="B418">
        <v>165.6</v>
      </c>
      <c r="C418" s="12">
        <v>47.46</v>
      </c>
      <c r="E418" s="2">
        <v>3599667</v>
      </c>
      <c r="F418">
        <v>1915</v>
      </c>
      <c r="G418">
        <v>1913</v>
      </c>
      <c r="H418">
        <v>48</v>
      </c>
      <c r="I418">
        <v>50</v>
      </c>
      <c r="K418">
        <v>53</v>
      </c>
    </row>
    <row r="419" spans="1:11" x14ac:dyDescent="0.25">
      <c r="A419" s="16" t="s">
        <v>191</v>
      </c>
      <c r="B419" s="16">
        <v>171.7</v>
      </c>
      <c r="C419" s="12">
        <v>48.67</v>
      </c>
      <c r="E419" s="2">
        <v>1853160</v>
      </c>
      <c r="F419" s="17">
        <v>1915</v>
      </c>
      <c r="G419" s="17">
        <v>1913</v>
      </c>
      <c r="H419" s="17">
        <v>48</v>
      </c>
      <c r="I419" s="17">
        <v>50</v>
      </c>
      <c r="J419" s="17"/>
      <c r="K419" s="17">
        <v>53</v>
      </c>
    </row>
    <row r="420" spans="1:11" x14ac:dyDescent="0.25">
      <c r="A420" s="16" t="s">
        <v>206</v>
      </c>
      <c r="B420" s="16">
        <v>164.2</v>
      </c>
      <c r="C420" s="12">
        <v>40.090000000000003</v>
      </c>
      <c r="E420" s="2">
        <v>1941184</v>
      </c>
      <c r="F420" s="17">
        <v>1915</v>
      </c>
      <c r="G420" s="17">
        <v>1913</v>
      </c>
      <c r="H420" s="17">
        <v>48</v>
      </c>
      <c r="I420" s="17">
        <v>50</v>
      </c>
      <c r="J420" s="17"/>
      <c r="K420" s="17">
        <v>53</v>
      </c>
    </row>
    <row r="421" spans="1:11" x14ac:dyDescent="0.25">
      <c r="A421" s="16" t="s">
        <v>185</v>
      </c>
      <c r="B421" s="16">
        <v>184</v>
      </c>
      <c r="C421" s="12">
        <v>72.5</v>
      </c>
      <c r="E421" s="2">
        <v>23459396</v>
      </c>
      <c r="F421" s="17">
        <v>1915</v>
      </c>
      <c r="G421" s="17">
        <v>1913</v>
      </c>
      <c r="H421" s="17">
        <v>48</v>
      </c>
      <c r="I421" s="17">
        <v>50</v>
      </c>
      <c r="J421" s="17"/>
      <c r="K421" s="17">
        <v>53</v>
      </c>
    </row>
    <row r="422" spans="1:11" x14ac:dyDescent="0.25">
      <c r="A422" s="16" t="s">
        <v>200</v>
      </c>
      <c r="B422" s="16">
        <v>194.3</v>
      </c>
      <c r="C422" s="12">
        <v>70.180000000000007</v>
      </c>
      <c r="E422" s="2">
        <v>2717892</v>
      </c>
      <c r="F422" s="17">
        <v>1915</v>
      </c>
      <c r="G422" s="17">
        <v>1913</v>
      </c>
      <c r="H422" s="17">
        <v>48</v>
      </c>
      <c r="I422" s="17">
        <v>50</v>
      </c>
      <c r="J422" s="17"/>
      <c r="K422" s="17">
        <v>53</v>
      </c>
    </row>
    <row r="423" spans="1:11" x14ac:dyDescent="0.25">
      <c r="A423" s="16" t="s">
        <v>215</v>
      </c>
      <c r="B423" s="16">
        <v>184.5</v>
      </c>
      <c r="C423" s="12">
        <v>62.67</v>
      </c>
      <c r="E423" s="2">
        <v>6838032</v>
      </c>
      <c r="F423" s="17">
        <v>1915</v>
      </c>
      <c r="G423" s="17">
        <v>1913</v>
      </c>
      <c r="H423" s="17">
        <v>48</v>
      </c>
      <c r="I423" s="17">
        <v>50</v>
      </c>
      <c r="J423" s="17"/>
      <c r="K423" s="17">
        <v>53</v>
      </c>
    </row>
    <row r="424" spans="1:11" x14ac:dyDescent="0.25">
      <c r="A424" s="16" t="s">
        <v>194</v>
      </c>
      <c r="B424" s="16">
        <v>189.2</v>
      </c>
      <c r="C424" s="12">
        <v>98.91</v>
      </c>
      <c r="E424" s="2">
        <v>62041016</v>
      </c>
      <c r="F424" s="17">
        <v>1915</v>
      </c>
      <c r="G424" s="17">
        <v>1913</v>
      </c>
      <c r="H424" s="17">
        <v>48</v>
      </c>
      <c r="I424" s="17">
        <v>50</v>
      </c>
      <c r="J424" s="17"/>
      <c r="K424" s="17">
        <v>53</v>
      </c>
    </row>
    <row r="425" spans="1:11" x14ac:dyDescent="0.25">
      <c r="A425" s="16" t="s">
        <v>192</v>
      </c>
      <c r="B425" s="16">
        <v>183</v>
      </c>
      <c r="C425" s="12">
        <v>89.22</v>
      </c>
      <c r="E425" s="2">
        <v>22753454</v>
      </c>
      <c r="F425" s="17">
        <v>1915</v>
      </c>
      <c r="G425" s="17">
        <v>1913</v>
      </c>
      <c r="H425" s="17">
        <v>48</v>
      </c>
      <c r="I425" s="17">
        <v>50</v>
      </c>
      <c r="J425" s="17"/>
      <c r="K425" s="17">
        <v>53</v>
      </c>
    </row>
    <row r="426" spans="1:11" x14ac:dyDescent="0.25">
      <c r="A426" s="16" t="s">
        <v>199</v>
      </c>
      <c r="B426" s="16">
        <v>171.6</v>
      </c>
      <c r="C426" s="12">
        <v>52.56</v>
      </c>
      <c r="E426" s="2">
        <v>46577982</v>
      </c>
      <c r="F426" s="17">
        <v>1915</v>
      </c>
      <c r="G426" s="17">
        <v>1913</v>
      </c>
      <c r="H426" s="17">
        <v>48</v>
      </c>
      <c r="I426" s="17">
        <v>50</v>
      </c>
      <c r="J426" s="17"/>
      <c r="K426" s="17">
        <v>53</v>
      </c>
    </row>
    <row r="427" spans="1:11" x14ac:dyDescent="0.25">
      <c r="A427" s="16" t="s">
        <v>144</v>
      </c>
      <c r="B427" s="16">
        <v>168.1</v>
      </c>
      <c r="C427" s="12">
        <v>62.71</v>
      </c>
      <c r="E427" s="2">
        <v>31335604</v>
      </c>
      <c r="F427" s="17">
        <v>1915</v>
      </c>
      <c r="G427" s="17">
        <v>1913</v>
      </c>
      <c r="H427" s="17">
        <v>48</v>
      </c>
      <c r="I427" s="17">
        <v>50</v>
      </c>
      <c r="J427" s="17"/>
      <c r="K427" s="17">
        <v>53</v>
      </c>
    </row>
    <row r="428" spans="1:11" x14ac:dyDescent="0.25">
      <c r="A428" s="16" t="s">
        <v>179</v>
      </c>
      <c r="B428" s="16">
        <v>153.19999999999999</v>
      </c>
      <c r="C428" s="12">
        <v>71.41</v>
      </c>
      <c r="E428" s="2">
        <v>19042485</v>
      </c>
      <c r="F428" s="17">
        <v>1915</v>
      </c>
      <c r="G428" s="17">
        <v>1913</v>
      </c>
      <c r="H428" s="17">
        <v>48</v>
      </c>
      <c r="I428" s="17">
        <v>50</v>
      </c>
      <c r="J428" s="17"/>
      <c r="K428" s="17">
        <v>53</v>
      </c>
    </row>
    <row r="429" spans="1:11" x14ac:dyDescent="0.25">
      <c r="A429" s="16" t="s">
        <v>178</v>
      </c>
      <c r="B429" s="16">
        <v>160</v>
      </c>
      <c r="C429" s="12">
        <v>82.76</v>
      </c>
      <c r="E429" s="2">
        <v>38052971</v>
      </c>
      <c r="F429" s="17">
        <v>1915</v>
      </c>
      <c r="G429" s="17">
        <v>1913</v>
      </c>
      <c r="H429" s="17">
        <v>48</v>
      </c>
      <c r="I429" s="17">
        <v>50</v>
      </c>
      <c r="J429" s="17"/>
      <c r="K429" s="17">
        <v>53</v>
      </c>
    </row>
    <row r="430" spans="1:11" x14ac:dyDescent="0.25">
      <c r="A430" s="16" t="s">
        <v>186</v>
      </c>
      <c r="B430" s="16">
        <v>172</v>
      </c>
      <c r="C430" s="12">
        <v>60.41</v>
      </c>
      <c r="E430" s="2">
        <v>18782138</v>
      </c>
      <c r="F430" s="17">
        <v>1915</v>
      </c>
      <c r="G430" s="17">
        <v>1913</v>
      </c>
      <c r="H430" s="17">
        <v>48</v>
      </c>
      <c r="I430" s="17">
        <v>50</v>
      </c>
      <c r="J430" s="17"/>
      <c r="K430" s="17">
        <v>53</v>
      </c>
    </row>
    <row r="431" spans="1:11" x14ac:dyDescent="0.25">
      <c r="A431" s="16" t="s">
        <v>209</v>
      </c>
      <c r="B431" s="16">
        <v>168</v>
      </c>
      <c r="C431" s="12">
        <v>74.150000000000006</v>
      </c>
      <c r="E431" s="2">
        <v>12694361</v>
      </c>
      <c r="F431" s="17">
        <v>1915</v>
      </c>
      <c r="G431" s="17">
        <v>1913</v>
      </c>
      <c r="H431" s="17">
        <v>48</v>
      </c>
      <c r="I431" s="17">
        <v>50</v>
      </c>
      <c r="J431" s="17"/>
      <c r="K431" s="17">
        <v>53</v>
      </c>
    </row>
    <row r="432" spans="1:11" x14ac:dyDescent="0.25">
      <c r="A432" s="16" t="s">
        <v>187</v>
      </c>
      <c r="B432" s="16">
        <v>161.69999999999999</v>
      </c>
      <c r="C432" s="12">
        <v>56.81</v>
      </c>
      <c r="E432" s="2">
        <v>15773466</v>
      </c>
      <c r="F432" s="17">
        <v>1915</v>
      </c>
      <c r="G432" s="17">
        <v>1913</v>
      </c>
      <c r="H432" s="17">
        <v>48</v>
      </c>
      <c r="I432" s="17">
        <v>50</v>
      </c>
      <c r="J432" s="17"/>
      <c r="K432" s="17">
        <v>53</v>
      </c>
    </row>
    <row r="433" spans="1:11" x14ac:dyDescent="0.25">
      <c r="A433" s="16" t="s">
        <v>181</v>
      </c>
      <c r="B433" s="16">
        <v>173.6</v>
      </c>
      <c r="C433" s="12">
        <v>53</v>
      </c>
      <c r="E433" s="2">
        <v>15642924</v>
      </c>
      <c r="F433" s="17">
        <v>1915</v>
      </c>
      <c r="G433" s="17">
        <v>1913</v>
      </c>
      <c r="H433" s="17">
        <v>48</v>
      </c>
      <c r="I433" s="17">
        <v>50</v>
      </c>
      <c r="J433" s="17"/>
      <c r="K433" s="17">
        <v>53</v>
      </c>
    </row>
    <row r="434" spans="1:11" x14ac:dyDescent="0.25">
      <c r="A434" s="16" t="s">
        <v>188</v>
      </c>
      <c r="B434" s="16">
        <v>161</v>
      </c>
      <c r="C434" s="12">
        <v>60.82</v>
      </c>
      <c r="E434" s="2">
        <v>15537564</v>
      </c>
      <c r="F434" s="17">
        <v>1915</v>
      </c>
      <c r="G434" s="17">
        <v>1913</v>
      </c>
      <c r="H434" s="17">
        <v>48</v>
      </c>
      <c r="I434" s="17">
        <v>50</v>
      </c>
      <c r="J434" s="17"/>
      <c r="K434" s="17">
        <v>53</v>
      </c>
    </row>
    <row r="435" spans="1:11" x14ac:dyDescent="0.25">
      <c r="A435" s="16" t="s">
        <v>196</v>
      </c>
      <c r="B435" s="16">
        <v>157.6</v>
      </c>
      <c r="C435" s="12">
        <v>65.459999999999994</v>
      </c>
      <c r="E435" s="2">
        <v>5829571</v>
      </c>
      <c r="F435" s="17">
        <v>1915</v>
      </c>
      <c r="G435" s="17">
        <v>1913</v>
      </c>
      <c r="H435" s="17">
        <v>48</v>
      </c>
      <c r="I435" s="17">
        <v>50</v>
      </c>
      <c r="J435" s="17"/>
      <c r="K435" s="17">
        <v>53</v>
      </c>
    </row>
    <row r="436" spans="1:11" x14ac:dyDescent="0.25">
      <c r="A436" s="16" t="s">
        <v>202</v>
      </c>
      <c r="B436" s="16"/>
      <c r="C436" s="12"/>
      <c r="F436" s="17">
        <v>1915</v>
      </c>
      <c r="G436" s="17">
        <v>1913</v>
      </c>
      <c r="H436" s="17">
        <v>48</v>
      </c>
      <c r="I436" s="17">
        <v>50</v>
      </c>
      <c r="J436" s="17"/>
      <c r="K436" s="17"/>
    </row>
    <row r="437" spans="1:11" x14ac:dyDescent="0.25">
      <c r="A437" s="16" t="s">
        <v>190</v>
      </c>
      <c r="B437" s="16">
        <v>169.9</v>
      </c>
      <c r="C437" s="12">
        <v>61.21</v>
      </c>
      <c r="E437" s="2">
        <v>9220978</v>
      </c>
      <c r="F437" s="17">
        <v>1915</v>
      </c>
      <c r="G437" s="17">
        <v>1913</v>
      </c>
      <c r="H437" s="17">
        <v>48</v>
      </c>
      <c r="I437" s="17">
        <v>50</v>
      </c>
      <c r="J437" s="17"/>
      <c r="K437" s="17">
        <v>53</v>
      </c>
    </row>
    <row r="438" spans="1:11" x14ac:dyDescent="0.25">
      <c r="A438" s="16" t="s">
        <v>182</v>
      </c>
      <c r="B438" s="16">
        <v>172</v>
      </c>
      <c r="C438" s="12">
        <v>62.12</v>
      </c>
      <c r="E438" s="2">
        <v>11309137</v>
      </c>
      <c r="F438" s="17">
        <v>1915</v>
      </c>
      <c r="G438" s="17">
        <v>1913</v>
      </c>
      <c r="H438" s="17">
        <v>48</v>
      </c>
      <c r="I438" s="17">
        <v>50</v>
      </c>
      <c r="J438" s="17"/>
      <c r="K438" s="17">
        <v>53</v>
      </c>
    </row>
    <row r="439" spans="1:11" x14ac:dyDescent="0.25">
      <c r="A439" s="16" t="s">
        <v>174</v>
      </c>
      <c r="B439" s="16">
        <v>170</v>
      </c>
      <c r="C439" s="12">
        <v>44.87</v>
      </c>
      <c r="E439" s="2">
        <v>1610000</v>
      </c>
      <c r="F439" s="17">
        <v>1915</v>
      </c>
      <c r="G439" s="17">
        <v>1913</v>
      </c>
      <c r="H439" s="17">
        <v>48</v>
      </c>
      <c r="I439" s="17">
        <v>50</v>
      </c>
      <c r="J439" s="17"/>
      <c r="K439" s="17">
        <v>53</v>
      </c>
    </row>
    <row r="440" spans="1:11" x14ac:dyDescent="0.25">
      <c r="A440" s="16" t="s">
        <v>184</v>
      </c>
      <c r="B440" s="16">
        <v>178.5</v>
      </c>
      <c r="C440" s="12">
        <v>59.71</v>
      </c>
      <c r="E440" s="2">
        <v>4985580</v>
      </c>
      <c r="F440" s="17">
        <v>1915</v>
      </c>
      <c r="G440" s="17">
        <v>1913</v>
      </c>
      <c r="H440" s="17">
        <v>48</v>
      </c>
      <c r="I440" s="17">
        <v>50</v>
      </c>
      <c r="J440" s="17"/>
      <c r="K440" s="17">
        <v>53</v>
      </c>
    </row>
    <row r="441" spans="1:11" x14ac:dyDescent="0.25">
      <c r="A441" s="16" t="s">
        <v>175</v>
      </c>
      <c r="B441" s="16">
        <v>173.7</v>
      </c>
      <c r="C441" s="12">
        <v>108.29</v>
      </c>
      <c r="E441" s="2">
        <v>3033599</v>
      </c>
      <c r="F441" s="17">
        <v>1915</v>
      </c>
      <c r="G441" s="17">
        <v>1913</v>
      </c>
      <c r="H441" s="17">
        <v>48</v>
      </c>
      <c r="I441" s="17">
        <v>50</v>
      </c>
      <c r="J441" s="17"/>
      <c r="K441" s="17">
        <v>53</v>
      </c>
    </row>
    <row r="442" spans="1:11" x14ac:dyDescent="0.25">
      <c r="A442" s="16" t="s">
        <v>207</v>
      </c>
      <c r="B442" s="16">
        <v>136.30000000000001</v>
      </c>
      <c r="C442" s="12">
        <v>45.04</v>
      </c>
      <c r="E442" s="2">
        <v>5577874</v>
      </c>
      <c r="F442" s="17">
        <v>1915</v>
      </c>
      <c r="G442" s="17">
        <v>1913</v>
      </c>
      <c r="H442" s="17">
        <v>48</v>
      </c>
      <c r="I442" s="17">
        <v>50</v>
      </c>
      <c r="J442" s="17"/>
      <c r="K442" s="17">
        <v>53</v>
      </c>
    </row>
    <row r="443" spans="1:11" x14ac:dyDescent="0.25">
      <c r="A443" s="16" t="s">
        <v>208</v>
      </c>
      <c r="B443" s="16">
        <v>137</v>
      </c>
      <c r="C443" s="12">
        <v>49.2</v>
      </c>
      <c r="E443" s="2">
        <v>5074963</v>
      </c>
      <c r="F443" s="17">
        <v>1915</v>
      </c>
      <c r="G443" s="17">
        <v>1913</v>
      </c>
      <c r="H443" s="17">
        <v>48</v>
      </c>
      <c r="I443" s="17">
        <v>50</v>
      </c>
      <c r="J443" s="17"/>
      <c r="K443" s="17">
        <v>53</v>
      </c>
    </row>
    <row r="444" spans="1:11" x14ac:dyDescent="0.25">
      <c r="A444" s="16" t="s">
        <v>195</v>
      </c>
      <c r="B444" s="16">
        <v>122</v>
      </c>
      <c r="C444" s="12">
        <v>39.79</v>
      </c>
      <c r="E444" s="2">
        <v>4067793</v>
      </c>
      <c r="F444" s="17">
        <v>1915</v>
      </c>
      <c r="G444" s="17">
        <v>1913</v>
      </c>
      <c r="H444" s="17">
        <v>48</v>
      </c>
      <c r="I444" s="17">
        <v>50</v>
      </c>
      <c r="J444" s="17"/>
      <c r="K444" s="17">
        <v>53</v>
      </c>
    </row>
    <row r="445" spans="1:11" x14ac:dyDescent="0.25">
      <c r="A445" s="16" t="s">
        <v>201</v>
      </c>
      <c r="B445" s="16">
        <v>91.1</v>
      </c>
      <c r="C445" s="12">
        <v>55.19</v>
      </c>
      <c r="E445" s="2">
        <v>2576501</v>
      </c>
      <c r="F445" s="17">
        <v>1915</v>
      </c>
      <c r="G445" s="17">
        <v>1913</v>
      </c>
      <c r="H445" s="17">
        <v>48</v>
      </c>
      <c r="I445" s="17">
        <v>50</v>
      </c>
      <c r="J445" s="17"/>
      <c r="K445" s="17">
        <v>53</v>
      </c>
    </row>
    <row r="446" spans="1:11" x14ac:dyDescent="0.25">
      <c r="A446" s="16" t="s">
        <v>89</v>
      </c>
      <c r="B446" s="16">
        <v>142.69999999999999</v>
      </c>
      <c r="C446" s="12">
        <v>45.27</v>
      </c>
      <c r="E446" s="2">
        <v>5403927</v>
      </c>
      <c r="F446" s="17">
        <v>1915</v>
      </c>
      <c r="G446" s="17">
        <v>1913</v>
      </c>
      <c r="H446" s="17">
        <v>48</v>
      </c>
      <c r="I446" s="17">
        <v>50</v>
      </c>
      <c r="J446" s="17"/>
      <c r="K446" s="17">
        <v>53</v>
      </c>
    </row>
    <row r="447" spans="1:11" x14ac:dyDescent="0.25">
      <c r="A447" s="16" t="s">
        <v>176</v>
      </c>
      <c r="B447" s="16">
        <v>119.8</v>
      </c>
      <c r="C447" s="12">
        <v>48.8</v>
      </c>
      <c r="E447" s="2">
        <v>2632546</v>
      </c>
      <c r="F447" s="17">
        <v>1915</v>
      </c>
      <c r="G447" s="17">
        <v>1913</v>
      </c>
      <c r="H447" s="17">
        <v>48</v>
      </c>
      <c r="I447" s="17">
        <v>50</v>
      </c>
      <c r="J447" s="17"/>
      <c r="K447" s="17">
        <v>53</v>
      </c>
    </row>
    <row r="448" spans="1:11" x14ac:dyDescent="0.25">
      <c r="A448" s="16" t="s">
        <v>120</v>
      </c>
      <c r="B448" s="16">
        <v>139.5</v>
      </c>
      <c r="C448" s="12">
        <v>51.5</v>
      </c>
      <c r="E448" s="2">
        <v>6746302</v>
      </c>
      <c r="F448" s="17">
        <v>1915</v>
      </c>
      <c r="G448" s="17">
        <v>1913</v>
      </c>
      <c r="H448" s="17">
        <v>48</v>
      </c>
      <c r="I448" s="17">
        <v>50</v>
      </c>
      <c r="J448" s="17"/>
      <c r="K448" s="17">
        <v>53</v>
      </c>
    </row>
    <row r="449" spans="1:11" x14ac:dyDescent="0.25">
      <c r="A449" s="16" t="s">
        <v>203</v>
      </c>
      <c r="B449" s="16">
        <v>129</v>
      </c>
      <c r="C449" s="12">
        <v>50.44</v>
      </c>
      <c r="E449" s="2">
        <v>5866870</v>
      </c>
      <c r="F449" s="17">
        <v>1915</v>
      </c>
      <c r="G449" s="17">
        <v>1913</v>
      </c>
      <c r="H449" s="17">
        <v>48</v>
      </c>
      <c r="I449" s="17">
        <v>50</v>
      </c>
      <c r="J449" s="17"/>
      <c r="K449" s="17">
        <v>53</v>
      </c>
    </row>
    <row r="450" spans="1:11" x14ac:dyDescent="0.25">
      <c r="A450" s="16" t="s">
        <v>5</v>
      </c>
      <c r="B450" s="16">
        <v>122.3</v>
      </c>
      <c r="C450" s="12">
        <v>52.36</v>
      </c>
      <c r="E450" s="2">
        <v>4078676</v>
      </c>
      <c r="F450" s="17">
        <v>1915</v>
      </c>
      <c r="G450" s="17">
        <v>1913</v>
      </c>
      <c r="H450" s="17">
        <v>48</v>
      </c>
      <c r="I450" s="17">
        <v>50</v>
      </c>
      <c r="J450" s="17"/>
      <c r="K450" s="17">
        <v>53</v>
      </c>
    </row>
    <row r="451" spans="1:11" x14ac:dyDescent="0.25">
      <c r="A451" s="16" t="s">
        <v>73</v>
      </c>
      <c r="B451" s="16">
        <v>123</v>
      </c>
      <c r="C451" s="12">
        <v>37.99</v>
      </c>
      <c r="E451" s="2">
        <v>2806562</v>
      </c>
      <c r="F451" s="17">
        <v>1915</v>
      </c>
      <c r="G451" s="17">
        <v>1913</v>
      </c>
      <c r="H451" s="17">
        <v>48</v>
      </c>
      <c r="I451" s="17">
        <v>50</v>
      </c>
      <c r="J451" s="17"/>
      <c r="K451" s="17">
        <v>53</v>
      </c>
    </row>
    <row r="452" spans="1:11" x14ac:dyDescent="0.25">
      <c r="A452" s="16" t="s">
        <v>152</v>
      </c>
      <c r="B452" s="16">
        <v>132</v>
      </c>
      <c r="C452" s="12">
        <v>56.47</v>
      </c>
      <c r="E452" s="2">
        <v>4838491</v>
      </c>
      <c r="F452" s="17">
        <v>1915</v>
      </c>
      <c r="G452" s="17">
        <v>1913</v>
      </c>
      <c r="H452" s="17">
        <v>48</v>
      </c>
      <c r="I452" s="17">
        <v>50</v>
      </c>
      <c r="J452" s="17"/>
      <c r="K452" s="17">
        <v>53</v>
      </c>
    </row>
    <row r="453" spans="1:11" x14ac:dyDescent="0.25">
      <c r="A453" s="16" t="s">
        <v>204</v>
      </c>
      <c r="B453" s="16"/>
      <c r="C453" s="12"/>
      <c r="F453" s="17">
        <v>1915</v>
      </c>
      <c r="G453" s="17">
        <v>1913</v>
      </c>
      <c r="H453" s="17">
        <v>48</v>
      </c>
      <c r="I453" s="17">
        <v>50</v>
      </c>
      <c r="J453" s="17"/>
      <c r="K453" s="17"/>
    </row>
    <row r="454" spans="1:11" x14ac:dyDescent="0.25">
      <c r="A454" s="16" t="s">
        <v>61</v>
      </c>
      <c r="B454" s="16">
        <v>127.1</v>
      </c>
      <c r="C454" s="12">
        <v>51.89</v>
      </c>
      <c r="E454" s="2">
        <v>4279478</v>
      </c>
      <c r="F454" s="17">
        <v>1915</v>
      </c>
      <c r="G454" s="17">
        <v>1913</v>
      </c>
      <c r="H454" s="17">
        <v>48</v>
      </c>
      <c r="I454" s="17">
        <v>50</v>
      </c>
      <c r="J454" s="17"/>
      <c r="K454" s="17">
        <v>53</v>
      </c>
    </row>
    <row r="455" spans="1:11" x14ac:dyDescent="0.25">
      <c r="A455" s="10" t="s">
        <v>197</v>
      </c>
      <c r="B455" s="16">
        <v>132</v>
      </c>
      <c r="C455" s="12">
        <v>59.56</v>
      </c>
      <c r="E455" s="2">
        <v>8047568</v>
      </c>
      <c r="F455" s="17">
        <v>1915</v>
      </c>
      <c r="G455" s="17">
        <v>1913</v>
      </c>
      <c r="H455" s="17">
        <v>48</v>
      </c>
      <c r="I455" s="17">
        <v>50</v>
      </c>
      <c r="J455" s="17"/>
      <c r="K455" s="17">
        <v>53</v>
      </c>
    </row>
    <row r="456" spans="1:11" x14ac:dyDescent="0.25">
      <c r="A456" s="16" t="s">
        <v>189</v>
      </c>
      <c r="B456" s="16">
        <v>166.5</v>
      </c>
      <c r="C456" s="12">
        <v>78.849999999999994</v>
      </c>
      <c r="E456" s="2">
        <v>4418751</v>
      </c>
      <c r="F456" s="17">
        <v>1915</v>
      </c>
      <c r="G456" s="17">
        <v>1913</v>
      </c>
      <c r="H456" s="17">
        <v>48</v>
      </c>
      <c r="I456" s="17">
        <v>50</v>
      </c>
      <c r="J456" s="17"/>
      <c r="K456" s="17">
        <v>53</v>
      </c>
    </row>
    <row r="457" spans="1:11" x14ac:dyDescent="0.25">
      <c r="A457" s="16" t="s">
        <v>210</v>
      </c>
      <c r="B457" s="16">
        <v>135</v>
      </c>
      <c r="C457" s="12">
        <v>60.77</v>
      </c>
      <c r="E457" s="2">
        <v>1057332</v>
      </c>
      <c r="F457" s="17">
        <v>1915</v>
      </c>
      <c r="G457" s="17">
        <v>1913</v>
      </c>
      <c r="H457" s="17">
        <v>48</v>
      </c>
      <c r="I457" s="17">
        <v>50</v>
      </c>
      <c r="J457" s="17"/>
      <c r="K457" s="17">
        <v>53</v>
      </c>
    </row>
    <row r="458" spans="1:11" x14ac:dyDescent="0.25">
      <c r="A458" s="10" t="s">
        <v>173</v>
      </c>
      <c r="B458" s="16"/>
      <c r="C458" s="12"/>
      <c r="F458" s="17">
        <v>1915</v>
      </c>
      <c r="G458" s="17">
        <v>1913</v>
      </c>
      <c r="H458" s="17">
        <v>48</v>
      </c>
      <c r="I458" s="17">
        <v>50</v>
      </c>
      <c r="J458" s="17"/>
      <c r="K458" s="17"/>
    </row>
    <row r="459" spans="1:11" x14ac:dyDescent="0.25">
      <c r="A459" s="10" t="s">
        <v>193</v>
      </c>
      <c r="B459" s="16">
        <v>133.19999999999999</v>
      </c>
      <c r="C459" s="12">
        <v>59.8</v>
      </c>
      <c r="E459" s="2">
        <v>1116503</v>
      </c>
      <c r="F459" s="17">
        <v>1915</v>
      </c>
      <c r="G459" s="17">
        <v>1913</v>
      </c>
      <c r="H459" s="17">
        <v>48</v>
      </c>
      <c r="I459" s="17">
        <v>50</v>
      </c>
      <c r="J459" s="17"/>
      <c r="K459" s="17">
        <v>53</v>
      </c>
    </row>
    <row r="460" spans="1:11" x14ac:dyDescent="0.25">
      <c r="A460" s="10" t="s">
        <v>171</v>
      </c>
      <c r="B460" s="16">
        <v>155.5</v>
      </c>
      <c r="C460" s="12">
        <v>86.98</v>
      </c>
      <c r="E460" s="2">
        <v>1728590</v>
      </c>
      <c r="F460" s="17">
        <v>1915</v>
      </c>
      <c r="G460" s="17">
        <v>1913</v>
      </c>
      <c r="H460" s="17">
        <v>48</v>
      </c>
      <c r="I460" s="17">
        <v>50</v>
      </c>
      <c r="J460" s="17"/>
      <c r="K460" s="17">
        <v>53</v>
      </c>
    </row>
    <row r="461" spans="1:11" x14ac:dyDescent="0.25">
      <c r="A461" s="10" t="s">
        <v>205</v>
      </c>
      <c r="B461" s="16">
        <v>159</v>
      </c>
      <c r="C461" s="12">
        <v>79.650000000000006</v>
      </c>
      <c r="E461" s="2">
        <v>4026339</v>
      </c>
      <c r="F461" s="17">
        <v>1915</v>
      </c>
      <c r="G461" s="17">
        <v>1913</v>
      </c>
      <c r="H461" s="17">
        <v>48</v>
      </c>
      <c r="I461" s="17">
        <v>50</v>
      </c>
      <c r="J461" s="17"/>
      <c r="K461" s="17">
        <v>53</v>
      </c>
    </row>
    <row r="462" spans="1:11" x14ac:dyDescent="0.25">
      <c r="A462" s="10" t="s">
        <v>74</v>
      </c>
      <c r="B462" s="16"/>
      <c r="C462" s="12"/>
      <c r="F462" s="17">
        <v>1915</v>
      </c>
      <c r="G462" s="17">
        <v>1913</v>
      </c>
      <c r="H462" s="17">
        <v>48</v>
      </c>
      <c r="I462" s="17">
        <v>50</v>
      </c>
      <c r="J462" s="17"/>
      <c r="K462" s="17"/>
    </row>
    <row r="463" spans="1:11" x14ac:dyDescent="0.25">
      <c r="A463" s="10" t="s">
        <v>177</v>
      </c>
      <c r="B463" s="16">
        <v>152.6</v>
      </c>
      <c r="C463" s="12">
        <v>76.489999999999995</v>
      </c>
      <c r="E463" s="2">
        <v>3609507</v>
      </c>
      <c r="F463" s="17">
        <v>1915</v>
      </c>
      <c r="G463" s="17">
        <v>1913</v>
      </c>
      <c r="H463" s="17">
        <v>48</v>
      </c>
      <c r="I463" s="17">
        <v>50</v>
      </c>
      <c r="J463" s="17"/>
      <c r="K463" s="17">
        <v>53</v>
      </c>
    </row>
    <row r="464" spans="1:11" x14ac:dyDescent="0.25">
      <c r="A464" s="16" t="s">
        <v>56</v>
      </c>
      <c r="B464" s="16">
        <v>176</v>
      </c>
      <c r="C464" s="12">
        <v>80.510000000000005</v>
      </c>
      <c r="E464" s="2">
        <v>12598444</v>
      </c>
      <c r="F464" s="17">
        <v>1915</v>
      </c>
      <c r="G464" s="17">
        <v>1913</v>
      </c>
      <c r="H464" s="17">
        <v>48</v>
      </c>
      <c r="I464" s="17">
        <v>50</v>
      </c>
      <c r="J464" s="17"/>
      <c r="K464" s="17">
        <v>53</v>
      </c>
    </row>
    <row r="465" spans="1:12" x14ac:dyDescent="0.25">
      <c r="A465" s="16" t="s">
        <v>198</v>
      </c>
      <c r="B465" s="16">
        <v>151</v>
      </c>
      <c r="C465" s="12">
        <v>70.02</v>
      </c>
      <c r="E465" s="2">
        <v>6045755</v>
      </c>
      <c r="F465" s="17">
        <v>1915</v>
      </c>
      <c r="G465" s="17">
        <v>1913</v>
      </c>
      <c r="H465" s="17">
        <v>48</v>
      </c>
      <c r="I465" s="17">
        <v>50</v>
      </c>
      <c r="J465" s="17"/>
      <c r="K465" s="17">
        <v>53</v>
      </c>
    </row>
    <row r="466" spans="1:12" x14ac:dyDescent="0.25">
      <c r="A466" s="16" t="s">
        <v>172</v>
      </c>
      <c r="B466" s="16">
        <v>170.4</v>
      </c>
      <c r="C466" s="12">
        <v>106.02</v>
      </c>
      <c r="E466" s="2">
        <v>25554919</v>
      </c>
      <c r="F466" s="17">
        <v>1915</v>
      </c>
      <c r="G466" s="17">
        <v>1913</v>
      </c>
      <c r="H466" s="17">
        <v>48</v>
      </c>
      <c r="I466" s="17">
        <v>50</v>
      </c>
      <c r="J466" s="17"/>
      <c r="K466" s="17">
        <v>53</v>
      </c>
    </row>
    <row r="467" spans="1:12" x14ac:dyDescent="0.25">
      <c r="C467" s="18"/>
      <c r="E467" s="9">
        <f>SUM(E418:E466)</f>
        <v>496785852</v>
      </c>
      <c r="L467" t="s">
        <v>369</v>
      </c>
    </row>
    <row r="468" spans="1:12" x14ac:dyDescent="0.25">
      <c r="C468" s="18"/>
    </row>
    <row r="469" spans="1:12" x14ac:dyDescent="0.25">
      <c r="C469" s="18"/>
    </row>
    <row r="470" spans="1:12" x14ac:dyDescent="0.25">
      <c r="C470" s="18"/>
    </row>
    <row r="471" spans="1:12" x14ac:dyDescent="0.25">
      <c r="C471" s="18"/>
    </row>
    <row r="472" spans="1:12" x14ac:dyDescent="0.25">
      <c r="C472" s="18"/>
    </row>
    <row r="473" spans="1:12" x14ac:dyDescent="0.25">
      <c r="C473" s="18"/>
    </row>
    <row r="474" spans="1:12" x14ac:dyDescent="0.25">
      <c r="C474" s="18"/>
    </row>
    <row r="475" spans="1:12" x14ac:dyDescent="0.25">
      <c r="C475" s="19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09"/>
  <sheetViews>
    <sheetView workbookViewId="0"/>
  </sheetViews>
  <sheetFormatPr defaultColWidth="8.85546875" defaultRowHeight="15" x14ac:dyDescent="0.25"/>
  <cols>
    <col min="1" max="1" width="15.85546875" style="27" bestFit="1" customWidth="1"/>
    <col min="2" max="2" width="15.28515625" style="27" bestFit="1" customWidth="1"/>
    <col min="3" max="3" width="19.7109375" style="27" bestFit="1" customWidth="1"/>
    <col min="4" max="4" width="27.42578125" bestFit="1" customWidth="1"/>
    <col min="5" max="5" width="25.28515625" customWidth="1"/>
    <col min="6" max="6" width="18.28515625" bestFit="1" customWidth="1"/>
    <col min="7" max="7" width="16.7109375" customWidth="1"/>
    <col min="10" max="10" width="33.42578125" customWidth="1"/>
  </cols>
  <sheetData>
    <row r="1" spans="1:11" s="20" customFormat="1" ht="30" x14ac:dyDescent="0.25">
      <c r="B1" s="20" t="s">
        <v>2</v>
      </c>
      <c r="C1" s="20" t="s">
        <v>0</v>
      </c>
      <c r="D1" s="20" t="s">
        <v>2567</v>
      </c>
      <c r="E1" s="20" t="s">
        <v>2568</v>
      </c>
      <c r="F1" s="20" t="s">
        <v>584</v>
      </c>
      <c r="G1" s="20" t="s">
        <v>585</v>
      </c>
      <c r="H1" s="20" t="s">
        <v>1</v>
      </c>
      <c r="I1" s="20" t="s">
        <v>4</v>
      </c>
      <c r="J1" s="20" t="s">
        <v>214</v>
      </c>
      <c r="K1" s="20" t="s">
        <v>3</v>
      </c>
    </row>
    <row r="2" spans="1:11" x14ac:dyDescent="0.25">
      <c r="A2" s="27" t="s">
        <v>586</v>
      </c>
      <c r="B2" s="27" t="str">
        <f>LEFT(A2,FIND(";",A2)-1)</f>
        <v>Alabama</v>
      </c>
      <c r="C2" s="27" t="str">
        <f>MID(A2,FIND(";",A2)+1,100)</f>
        <v>Autauga</v>
      </c>
      <c r="F2">
        <v>110</v>
      </c>
      <c r="H2">
        <v>1932</v>
      </c>
      <c r="I2">
        <v>90</v>
      </c>
      <c r="J2" t="str">
        <f>"https://ia601606.us.archive.org/33/items/FinancialStatisticsOfStateAndLocalGovernmentsWealthDebtAndTaxation1932/Financial_statistics_of_state_and_local_governments_Wealth_debt_and_taxation_1932.pdf"&amp;"#page="&amp;I2</f>
        <v>https://ia601606.us.archive.org/33/items/FinancialStatisticsOfStateAndLocalGovernmentsWealthDebtAndTaxation1932/Financial_statistics_of_state_and_local_governments_Wealth_debt_and_taxation_1932.pdf#page=90</v>
      </c>
    </row>
    <row r="3" spans="1:11" x14ac:dyDescent="0.25">
      <c r="A3" s="27" t="s">
        <v>587</v>
      </c>
      <c r="B3" s="27" t="str">
        <f t="shared" ref="B3:B66" si="0">LEFT(A3,FIND(";",A3)-1)</f>
        <v>Alabama</v>
      </c>
      <c r="C3" s="27" t="str">
        <f t="shared" ref="C3:C66" si="1">MID(A3,FIND(";",A3)+1,100)</f>
        <v>Baldwin</v>
      </c>
      <c r="D3">
        <v>6</v>
      </c>
      <c r="F3">
        <v>200</v>
      </c>
      <c r="H3">
        <v>1932</v>
      </c>
      <c r="I3">
        <v>90</v>
      </c>
      <c r="J3" s="27" t="str">
        <f t="shared" ref="J3:J66" si="2">"https://ia601606.us.archive.org/33/items/FinancialStatisticsOfStateAndLocalGovernmentsWealthDebtAndTaxation1932/Financial_statistics_of_state_and_local_governments_Wealth_debt_and_taxation_1932.pdf"&amp;"#page="&amp;I3</f>
        <v>https://ia601606.us.archive.org/33/items/FinancialStatisticsOfStateAndLocalGovernmentsWealthDebtAndTaxation1932/Financial_statistics_of_state_and_local_governments_Wealth_debt_and_taxation_1932.pdf#page=90</v>
      </c>
    </row>
    <row r="4" spans="1:11" x14ac:dyDescent="0.25">
      <c r="A4" s="27" t="s">
        <v>588</v>
      </c>
      <c r="B4" s="27" t="str">
        <f t="shared" si="0"/>
        <v>Alabama</v>
      </c>
      <c r="C4" s="27" t="str">
        <f t="shared" si="1"/>
        <v>Barbour</v>
      </c>
      <c r="D4">
        <v>2</v>
      </c>
      <c r="F4">
        <v>149</v>
      </c>
      <c r="H4">
        <v>1932</v>
      </c>
      <c r="I4">
        <v>90</v>
      </c>
      <c r="J4" s="27" t="str">
        <f t="shared" si="2"/>
        <v>https://ia601606.us.archive.org/33/items/FinancialStatisticsOfStateAndLocalGovernmentsWealthDebtAndTaxation1932/Financial_statistics_of_state_and_local_governments_Wealth_debt_and_taxation_1932.pdf#page=90</v>
      </c>
    </row>
    <row r="5" spans="1:11" x14ac:dyDescent="0.25">
      <c r="A5" s="27" t="s">
        <v>589</v>
      </c>
      <c r="B5" s="27" t="str">
        <f t="shared" si="0"/>
        <v>Alabama</v>
      </c>
      <c r="C5" s="27" t="str">
        <f t="shared" si="1"/>
        <v>Bibb</v>
      </c>
      <c r="D5">
        <v>1</v>
      </c>
      <c r="F5">
        <v>142</v>
      </c>
      <c r="H5">
        <v>1932</v>
      </c>
      <c r="I5">
        <v>90</v>
      </c>
      <c r="J5" s="27" t="str">
        <f t="shared" si="2"/>
        <v>https://ia601606.us.archive.org/33/items/FinancialStatisticsOfStateAndLocalGovernmentsWealthDebtAndTaxation1932/Financial_statistics_of_state_and_local_governments_Wealth_debt_and_taxation_1932.pdf#page=90</v>
      </c>
    </row>
    <row r="6" spans="1:11" x14ac:dyDescent="0.25">
      <c r="A6" s="27" t="s">
        <v>590</v>
      </c>
      <c r="B6" s="27" t="str">
        <f t="shared" si="0"/>
        <v>Alabama</v>
      </c>
      <c r="C6" s="27" t="str">
        <f t="shared" si="1"/>
        <v>Blount</v>
      </c>
      <c r="D6">
        <v>2</v>
      </c>
      <c r="F6">
        <v>138</v>
      </c>
      <c r="H6">
        <v>1932</v>
      </c>
      <c r="I6">
        <v>90</v>
      </c>
      <c r="J6" s="27" t="str">
        <f t="shared" si="2"/>
        <v>https://ia601606.us.archive.org/33/items/FinancialStatisticsOfStateAndLocalGovernmentsWealthDebtAndTaxation1932/Financial_statistics_of_state_and_local_governments_Wealth_debt_and_taxation_1932.pdf#page=90</v>
      </c>
    </row>
    <row r="7" spans="1:11" x14ac:dyDescent="0.25">
      <c r="A7" s="27" t="s">
        <v>591</v>
      </c>
      <c r="B7" s="27" t="str">
        <f t="shared" si="0"/>
        <v>Alabama</v>
      </c>
      <c r="C7" s="27" t="str">
        <f t="shared" si="1"/>
        <v>Bullock</v>
      </c>
      <c r="D7">
        <v>3</v>
      </c>
      <c r="F7">
        <v>125</v>
      </c>
      <c r="H7">
        <v>1932</v>
      </c>
      <c r="I7">
        <v>90</v>
      </c>
      <c r="J7" s="27" t="str">
        <f t="shared" si="2"/>
        <v>https://ia601606.us.archive.org/33/items/FinancialStatisticsOfStateAndLocalGovernmentsWealthDebtAndTaxation1932/Financial_statistics_of_state_and_local_governments_Wealth_debt_and_taxation_1932.pdf#page=90</v>
      </c>
    </row>
    <row r="8" spans="1:11" x14ac:dyDescent="0.25">
      <c r="A8" s="27" t="s">
        <v>592</v>
      </c>
      <c r="B8" s="27" t="str">
        <f t="shared" si="0"/>
        <v>Alabama</v>
      </c>
      <c r="C8" s="27" t="str">
        <f t="shared" si="1"/>
        <v>Butler</v>
      </c>
      <c r="D8">
        <v>3</v>
      </c>
      <c r="F8">
        <v>141</v>
      </c>
      <c r="H8">
        <v>1932</v>
      </c>
      <c r="I8">
        <v>91</v>
      </c>
      <c r="J8" s="27" t="str">
        <f t="shared" si="2"/>
        <v>https://ia601606.us.archive.org/33/items/FinancialStatisticsOfStateAndLocalGovernmentsWealthDebtAndTaxation1932/Financial_statistics_of_state_and_local_governments_Wealth_debt_and_taxation_1932.pdf#page=91</v>
      </c>
    </row>
    <row r="9" spans="1:11" x14ac:dyDescent="0.25">
      <c r="A9" s="27" t="s">
        <v>593</v>
      </c>
      <c r="B9" s="27" t="str">
        <f t="shared" si="0"/>
        <v>Alabama</v>
      </c>
      <c r="C9" s="27" t="str">
        <f t="shared" si="1"/>
        <v>Calhoun/Benton</v>
      </c>
      <c r="D9">
        <v>6</v>
      </c>
      <c r="F9">
        <v>258</v>
      </c>
      <c r="H9">
        <v>1932</v>
      </c>
      <c r="I9">
        <v>91</v>
      </c>
      <c r="J9" s="27" t="str">
        <f t="shared" si="2"/>
        <v>https://ia601606.us.archive.org/33/items/FinancialStatisticsOfStateAndLocalGovernmentsWealthDebtAndTaxation1932/Financial_statistics_of_state_and_local_governments_Wealth_debt_and_taxation_1932.pdf#page=91</v>
      </c>
    </row>
    <row r="10" spans="1:11" x14ac:dyDescent="0.25">
      <c r="A10" s="27" t="s">
        <v>594</v>
      </c>
      <c r="B10" s="27" t="str">
        <f t="shared" si="0"/>
        <v>Alabama</v>
      </c>
      <c r="C10" s="27" t="str">
        <f t="shared" si="1"/>
        <v>Chambers</v>
      </c>
      <c r="D10">
        <v>4</v>
      </c>
      <c r="F10">
        <v>319</v>
      </c>
      <c r="H10">
        <v>1932</v>
      </c>
      <c r="I10">
        <v>91</v>
      </c>
      <c r="J10" s="27" t="str">
        <f t="shared" si="2"/>
        <v>https://ia601606.us.archive.org/33/items/FinancialStatisticsOfStateAndLocalGovernmentsWealthDebtAndTaxation1932/Financial_statistics_of_state_and_local_governments_Wealth_debt_and_taxation_1932.pdf#page=91</v>
      </c>
    </row>
    <row r="11" spans="1:11" x14ac:dyDescent="0.25">
      <c r="A11" s="27" t="s">
        <v>595</v>
      </c>
      <c r="B11" s="27" t="str">
        <f t="shared" si="0"/>
        <v>Alabama</v>
      </c>
      <c r="C11" s="27" t="str">
        <f t="shared" si="1"/>
        <v>Cherokee</v>
      </c>
      <c r="D11">
        <v>2</v>
      </c>
      <c r="F11">
        <v>115</v>
      </c>
      <c r="H11">
        <v>1932</v>
      </c>
      <c r="I11">
        <v>91</v>
      </c>
      <c r="J11" s="27" t="str">
        <f t="shared" si="2"/>
        <v>https://ia601606.us.archive.org/33/items/FinancialStatisticsOfStateAndLocalGovernmentsWealthDebtAndTaxation1932/Financial_statistics_of_state_and_local_governments_Wealth_debt_and_taxation_1932.pdf#page=91</v>
      </c>
    </row>
    <row r="12" spans="1:11" x14ac:dyDescent="0.25">
      <c r="A12" s="27" t="s">
        <v>596</v>
      </c>
      <c r="B12" s="27" t="str">
        <f t="shared" si="0"/>
        <v>Alabama</v>
      </c>
      <c r="C12" s="27" t="str">
        <f t="shared" si="1"/>
        <v>Chilton/Baker</v>
      </c>
      <c r="D12">
        <v>1</v>
      </c>
      <c r="F12">
        <v>156</v>
      </c>
      <c r="H12">
        <v>1932</v>
      </c>
      <c r="I12">
        <v>91</v>
      </c>
      <c r="J12" s="27" t="str">
        <f t="shared" si="2"/>
        <v>https://ia601606.us.archive.org/33/items/FinancialStatisticsOfStateAndLocalGovernmentsWealthDebtAndTaxation1932/Financial_statistics_of_state_and_local_governments_Wealth_debt_and_taxation_1932.pdf#page=91</v>
      </c>
    </row>
    <row r="13" spans="1:11" x14ac:dyDescent="0.25">
      <c r="A13" s="27" t="s">
        <v>597</v>
      </c>
      <c r="B13" s="27" t="str">
        <f t="shared" si="0"/>
        <v>Alabama</v>
      </c>
      <c r="C13" s="27" t="str">
        <f t="shared" si="1"/>
        <v>Choctaw</v>
      </c>
      <c r="D13">
        <v>4</v>
      </c>
      <c r="F13">
        <v>91</v>
      </c>
      <c r="H13">
        <v>1932</v>
      </c>
      <c r="I13">
        <v>91</v>
      </c>
      <c r="J13" s="27" t="str">
        <f t="shared" si="2"/>
        <v>https://ia601606.us.archive.org/33/items/FinancialStatisticsOfStateAndLocalGovernmentsWealthDebtAndTaxation1932/Financial_statistics_of_state_and_local_governments_Wealth_debt_and_taxation_1932.pdf#page=91</v>
      </c>
    </row>
    <row r="14" spans="1:11" x14ac:dyDescent="0.25">
      <c r="A14" s="27" t="s">
        <v>598</v>
      </c>
      <c r="B14" s="27" t="str">
        <f t="shared" si="0"/>
        <v>Alabama</v>
      </c>
      <c r="C14" s="27" t="str">
        <f t="shared" si="1"/>
        <v>Clarke</v>
      </c>
      <c r="D14">
        <v>2</v>
      </c>
      <c r="F14">
        <v>114</v>
      </c>
      <c r="H14">
        <v>1932</v>
      </c>
      <c r="I14">
        <v>91</v>
      </c>
      <c r="J14" s="27" t="str">
        <f t="shared" si="2"/>
        <v>https://ia601606.us.archive.org/33/items/FinancialStatisticsOfStateAndLocalGovernmentsWealthDebtAndTaxation1932/Financial_statistics_of_state_and_local_governments_Wealth_debt_and_taxation_1932.pdf#page=91</v>
      </c>
    </row>
    <row r="15" spans="1:11" x14ac:dyDescent="0.25">
      <c r="A15" s="27" t="s">
        <v>599</v>
      </c>
      <c r="B15" s="27" t="str">
        <f t="shared" si="0"/>
        <v>Alabama</v>
      </c>
      <c r="C15" s="27" t="str">
        <f t="shared" si="1"/>
        <v>Clay</v>
      </c>
      <c r="D15">
        <v>1</v>
      </c>
      <c r="F15">
        <v>121</v>
      </c>
      <c r="H15">
        <v>1932</v>
      </c>
      <c r="I15">
        <v>91</v>
      </c>
      <c r="J15" s="27" t="str">
        <f t="shared" si="2"/>
        <v>https://ia601606.us.archive.org/33/items/FinancialStatisticsOfStateAndLocalGovernmentsWealthDebtAndTaxation1932/Financial_statistics_of_state_and_local_governments_Wealth_debt_and_taxation_1932.pdf#page=91</v>
      </c>
    </row>
    <row r="16" spans="1:11" x14ac:dyDescent="0.25">
      <c r="A16" s="27" t="s">
        <v>600</v>
      </c>
      <c r="B16" s="27" t="str">
        <f t="shared" si="0"/>
        <v>Alabama</v>
      </c>
      <c r="C16" s="27" t="str">
        <f t="shared" si="1"/>
        <v>Cleburne</v>
      </c>
      <c r="D16">
        <v>1</v>
      </c>
      <c r="F16">
        <v>78</v>
      </c>
      <c r="H16">
        <v>1932</v>
      </c>
      <c r="I16">
        <v>92</v>
      </c>
      <c r="J16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17" spans="1:10" x14ac:dyDescent="0.25">
      <c r="A17" s="27" t="s">
        <v>601</v>
      </c>
      <c r="B17" s="27" t="str">
        <f t="shared" si="0"/>
        <v>Alabama</v>
      </c>
      <c r="C17" s="27" t="str">
        <f t="shared" si="1"/>
        <v>Coffee</v>
      </c>
      <c r="D17">
        <v>4</v>
      </c>
      <c r="F17">
        <v>171</v>
      </c>
      <c r="H17">
        <v>1932</v>
      </c>
      <c r="I17">
        <v>92</v>
      </c>
      <c r="J17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18" spans="1:10" x14ac:dyDescent="0.25">
      <c r="A18" s="27" t="s">
        <v>602</v>
      </c>
      <c r="B18" s="27" t="str">
        <f t="shared" si="0"/>
        <v>Alabama</v>
      </c>
      <c r="C18" s="27" t="str">
        <f t="shared" si="1"/>
        <v>Colbert</v>
      </c>
      <c r="D18">
        <v>10</v>
      </c>
      <c r="F18">
        <v>217</v>
      </c>
      <c r="H18">
        <v>1932</v>
      </c>
      <c r="I18">
        <v>92</v>
      </c>
      <c r="J18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19" spans="1:10" x14ac:dyDescent="0.25">
      <c r="A19" s="27" t="s">
        <v>603</v>
      </c>
      <c r="B19" s="27" t="str">
        <f t="shared" si="0"/>
        <v>Alabama</v>
      </c>
      <c r="C19" s="27" t="str">
        <f t="shared" si="1"/>
        <v>Conecuh</v>
      </c>
      <c r="F19">
        <v>102</v>
      </c>
      <c r="H19">
        <v>1932</v>
      </c>
      <c r="I19">
        <v>92</v>
      </c>
      <c r="J19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0" spans="1:10" x14ac:dyDescent="0.25">
      <c r="A20" s="27" t="s">
        <v>604</v>
      </c>
      <c r="B20" s="27" t="str">
        <f t="shared" si="0"/>
        <v>Alabama</v>
      </c>
      <c r="C20" s="27" t="str">
        <f t="shared" si="1"/>
        <v>Coosa</v>
      </c>
      <c r="D20">
        <v>1</v>
      </c>
      <c r="F20">
        <v>92</v>
      </c>
      <c r="H20">
        <v>1932</v>
      </c>
      <c r="I20">
        <v>92</v>
      </c>
      <c r="J20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1" spans="1:10" x14ac:dyDescent="0.25">
      <c r="A21" s="27" t="s">
        <v>605</v>
      </c>
      <c r="B21" s="27" t="str">
        <f t="shared" si="0"/>
        <v>Alabama</v>
      </c>
      <c r="C21" s="27" t="str">
        <f t="shared" si="1"/>
        <v>Covington</v>
      </c>
      <c r="D21">
        <v>6</v>
      </c>
      <c r="F21">
        <v>318</v>
      </c>
      <c r="H21">
        <v>1932</v>
      </c>
      <c r="I21">
        <v>92</v>
      </c>
      <c r="J21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2" spans="1:10" x14ac:dyDescent="0.25">
      <c r="A22" s="27" t="s">
        <v>606</v>
      </c>
      <c r="B22" s="27" t="str">
        <f t="shared" si="0"/>
        <v>Alabama</v>
      </c>
      <c r="C22" s="27" t="str">
        <f t="shared" si="1"/>
        <v>Crenshaw</v>
      </c>
      <c r="D22">
        <v>2</v>
      </c>
      <c r="F22">
        <v>137</v>
      </c>
      <c r="H22">
        <v>1932</v>
      </c>
      <c r="I22">
        <v>92</v>
      </c>
      <c r="J22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3" spans="1:10" x14ac:dyDescent="0.25">
      <c r="A23" s="27" t="s">
        <v>607</v>
      </c>
      <c r="B23" s="27" t="str">
        <f t="shared" si="0"/>
        <v>Alabama</v>
      </c>
      <c r="C23" s="27" t="str">
        <f t="shared" si="1"/>
        <v>Cullman</v>
      </c>
      <c r="D23">
        <v>6</v>
      </c>
      <c r="F23">
        <v>270</v>
      </c>
      <c r="H23">
        <v>1932</v>
      </c>
      <c r="I23">
        <v>92</v>
      </c>
      <c r="J23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4" spans="1:10" x14ac:dyDescent="0.25">
      <c r="A24" s="27" t="s">
        <v>608</v>
      </c>
      <c r="B24" s="27" t="str">
        <f t="shared" si="0"/>
        <v>Alabama</v>
      </c>
      <c r="C24" s="27" t="str">
        <f t="shared" si="1"/>
        <v>Dale</v>
      </c>
      <c r="D24">
        <v>4</v>
      </c>
      <c r="F24">
        <v>139</v>
      </c>
      <c r="H24">
        <v>1932</v>
      </c>
      <c r="I24">
        <v>92</v>
      </c>
      <c r="J24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5" spans="1:10" x14ac:dyDescent="0.25">
      <c r="A25" s="27" t="s">
        <v>609</v>
      </c>
      <c r="B25" s="27" t="str">
        <f t="shared" si="0"/>
        <v>Alabama</v>
      </c>
      <c r="C25" s="27" t="str">
        <f t="shared" si="1"/>
        <v>Dallas</v>
      </c>
      <c r="D25">
        <v>5</v>
      </c>
      <c r="F25">
        <v>371</v>
      </c>
      <c r="H25">
        <v>1932</v>
      </c>
      <c r="I25">
        <v>92</v>
      </c>
      <c r="J25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6" spans="1:10" x14ac:dyDescent="0.25">
      <c r="A26" s="27" t="s">
        <v>610</v>
      </c>
      <c r="B26" s="27" t="str">
        <f t="shared" si="0"/>
        <v>Alabama</v>
      </c>
      <c r="C26" s="27" t="str">
        <f t="shared" si="1"/>
        <v>DeKalb</v>
      </c>
      <c r="D26">
        <v>4</v>
      </c>
      <c r="F26">
        <v>238</v>
      </c>
      <c r="H26">
        <v>1932</v>
      </c>
      <c r="I26">
        <v>92</v>
      </c>
      <c r="J26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7" spans="1:10" x14ac:dyDescent="0.25">
      <c r="A27" s="27" t="s">
        <v>611</v>
      </c>
      <c r="B27" s="27" t="str">
        <f t="shared" si="0"/>
        <v>Alabama</v>
      </c>
      <c r="C27" s="27" t="str">
        <f t="shared" si="1"/>
        <v>Elmore</v>
      </c>
      <c r="D27">
        <v>4</v>
      </c>
      <c r="F27">
        <v>206</v>
      </c>
      <c r="H27">
        <v>1932</v>
      </c>
      <c r="I27">
        <v>92</v>
      </c>
      <c r="J27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8" spans="1:10" x14ac:dyDescent="0.25">
      <c r="A28" s="27" t="s">
        <v>612</v>
      </c>
      <c r="B28" s="27" t="str">
        <f t="shared" si="0"/>
        <v>Alabama</v>
      </c>
      <c r="C28" s="27" t="str">
        <f t="shared" si="1"/>
        <v>Escambia</v>
      </c>
      <c r="D28">
        <v>4</v>
      </c>
      <c r="F28">
        <v>225</v>
      </c>
      <c r="H28">
        <v>1932</v>
      </c>
      <c r="I28">
        <v>92</v>
      </c>
      <c r="J28" s="27" t="str">
        <f t="shared" si="2"/>
        <v>https://ia601606.us.archive.org/33/items/FinancialStatisticsOfStateAndLocalGovernmentsWealthDebtAndTaxation1932/Financial_statistics_of_state_and_local_governments_Wealth_debt_and_taxation_1932.pdf#page=92</v>
      </c>
    </row>
    <row r="29" spans="1:10" x14ac:dyDescent="0.25">
      <c r="A29" s="27" t="s">
        <v>613</v>
      </c>
      <c r="B29" s="27" t="str">
        <f t="shared" si="0"/>
        <v>Alabama</v>
      </c>
      <c r="C29" s="27" t="str">
        <f t="shared" si="1"/>
        <v>Etowah</v>
      </c>
      <c r="D29">
        <v>11</v>
      </c>
      <c r="F29">
        <v>517</v>
      </c>
      <c r="H29">
        <v>1932</v>
      </c>
      <c r="I29">
        <v>93</v>
      </c>
      <c r="J29" s="27" t="str">
        <f t="shared" si="2"/>
        <v>https://ia601606.us.archive.org/33/items/FinancialStatisticsOfStateAndLocalGovernmentsWealthDebtAndTaxation1932/Financial_statistics_of_state_and_local_governments_Wealth_debt_and_taxation_1932.pdf#page=93</v>
      </c>
    </row>
    <row r="30" spans="1:10" x14ac:dyDescent="0.25">
      <c r="A30" s="27" t="s">
        <v>614</v>
      </c>
      <c r="B30" s="27" t="str">
        <f t="shared" si="0"/>
        <v>Alabama</v>
      </c>
      <c r="C30" s="27" t="str">
        <f t="shared" si="1"/>
        <v>Fayette</v>
      </c>
      <c r="D30">
        <v>4</v>
      </c>
      <c r="F30">
        <v>107</v>
      </c>
      <c r="H30">
        <v>1932</v>
      </c>
      <c r="I30">
        <v>93</v>
      </c>
      <c r="J30" s="27" t="str">
        <f t="shared" si="2"/>
        <v>https://ia601606.us.archive.org/33/items/FinancialStatisticsOfStateAndLocalGovernmentsWealthDebtAndTaxation1932/Financial_statistics_of_state_and_local_governments_Wealth_debt_and_taxation_1932.pdf#page=93</v>
      </c>
    </row>
    <row r="31" spans="1:10" x14ac:dyDescent="0.25">
      <c r="A31" s="27" t="s">
        <v>615</v>
      </c>
      <c r="B31" s="27" t="str">
        <f t="shared" si="0"/>
        <v>Alabama</v>
      </c>
      <c r="C31" s="27" t="str">
        <f t="shared" si="1"/>
        <v>Franklin</v>
      </c>
      <c r="D31">
        <v>4</v>
      </c>
      <c r="F31">
        <v>151</v>
      </c>
      <c r="H31">
        <v>1932</v>
      </c>
      <c r="I31">
        <v>93</v>
      </c>
      <c r="J31" s="27" t="str">
        <f t="shared" si="2"/>
        <v>https://ia601606.us.archive.org/33/items/FinancialStatisticsOfStateAndLocalGovernmentsWealthDebtAndTaxation1932/Financial_statistics_of_state_and_local_governments_Wealth_debt_and_taxation_1932.pdf#page=93</v>
      </c>
    </row>
    <row r="32" spans="1:10" x14ac:dyDescent="0.25">
      <c r="A32" s="27" t="s">
        <v>616</v>
      </c>
      <c r="B32" s="27" t="str">
        <f t="shared" si="0"/>
        <v>Alabama</v>
      </c>
      <c r="C32" s="27" t="str">
        <f t="shared" si="1"/>
        <v>Geneva</v>
      </c>
      <c r="D32">
        <v>1</v>
      </c>
      <c r="F32">
        <v>155</v>
      </c>
      <c r="H32">
        <v>1932</v>
      </c>
      <c r="I32">
        <v>93</v>
      </c>
      <c r="J32" s="27" t="str">
        <f t="shared" si="2"/>
        <v>https://ia601606.us.archive.org/33/items/FinancialStatisticsOfStateAndLocalGovernmentsWealthDebtAndTaxation1932/Financial_statistics_of_state_and_local_governments_Wealth_debt_and_taxation_1932.pdf#page=93</v>
      </c>
    </row>
    <row r="33" spans="1:10" x14ac:dyDescent="0.25">
      <c r="A33" s="27" t="s">
        <v>617</v>
      </c>
      <c r="B33" s="27" t="str">
        <f t="shared" si="0"/>
        <v>Alabama</v>
      </c>
      <c r="C33" s="27" t="str">
        <f t="shared" si="1"/>
        <v>Greene</v>
      </c>
      <c r="D33">
        <v>1</v>
      </c>
      <c r="F33">
        <v>65</v>
      </c>
      <c r="H33">
        <v>1932</v>
      </c>
      <c r="I33">
        <v>93</v>
      </c>
      <c r="J33" s="27" t="str">
        <f t="shared" si="2"/>
        <v>https://ia601606.us.archive.org/33/items/FinancialStatisticsOfStateAndLocalGovernmentsWealthDebtAndTaxation1932/Financial_statistics_of_state_and_local_governments_Wealth_debt_and_taxation_1932.pdf#page=93</v>
      </c>
    </row>
    <row r="34" spans="1:10" x14ac:dyDescent="0.25">
      <c r="A34" s="27" t="s">
        <v>618</v>
      </c>
      <c r="B34" s="27" t="str">
        <f t="shared" si="0"/>
        <v>Alabama</v>
      </c>
      <c r="C34" s="27" t="str">
        <f t="shared" si="1"/>
        <v>Hale</v>
      </c>
      <c r="D34">
        <v>3</v>
      </c>
      <c r="F34">
        <v>114</v>
      </c>
      <c r="H34">
        <v>1932</v>
      </c>
      <c r="I34">
        <v>93</v>
      </c>
      <c r="J34" s="27" t="str">
        <f t="shared" si="2"/>
        <v>https://ia601606.us.archive.org/33/items/FinancialStatisticsOfStateAndLocalGovernmentsWealthDebtAndTaxation1932/Financial_statistics_of_state_and_local_governments_Wealth_debt_and_taxation_1932.pdf#page=93</v>
      </c>
    </row>
    <row r="35" spans="1:10" x14ac:dyDescent="0.25">
      <c r="A35" s="27" t="s">
        <v>619</v>
      </c>
      <c r="B35" s="27" t="str">
        <f t="shared" si="0"/>
        <v>Alabama</v>
      </c>
      <c r="C35" s="27" t="str">
        <f t="shared" si="1"/>
        <v>Henry</v>
      </c>
      <c r="D35">
        <v>1</v>
      </c>
      <c r="F35">
        <v>86</v>
      </c>
      <c r="H35">
        <v>1932</v>
      </c>
      <c r="I35">
        <v>93</v>
      </c>
      <c r="J35" s="27" t="str">
        <f t="shared" si="2"/>
        <v>https://ia601606.us.archive.org/33/items/FinancialStatisticsOfStateAndLocalGovernmentsWealthDebtAndTaxation1932/Financial_statistics_of_state_and_local_governments_Wealth_debt_and_taxation_1932.pdf#page=93</v>
      </c>
    </row>
    <row r="36" spans="1:10" x14ac:dyDescent="0.25">
      <c r="A36" s="27" t="s">
        <v>620</v>
      </c>
      <c r="B36" s="27" t="str">
        <f t="shared" si="0"/>
        <v>Alabama</v>
      </c>
      <c r="C36" s="27" t="str">
        <f t="shared" si="1"/>
        <v>Houston</v>
      </c>
      <c r="F36">
        <v>284</v>
      </c>
      <c r="H36">
        <v>1932</v>
      </c>
      <c r="I36">
        <v>93</v>
      </c>
      <c r="J36" s="27" t="str">
        <f t="shared" si="2"/>
        <v>https://ia601606.us.archive.org/33/items/FinancialStatisticsOfStateAndLocalGovernmentsWealthDebtAndTaxation1932/Financial_statistics_of_state_and_local_governments_Wealth_debt_and_taxation_1932.pdf#page=93</v>
      </c>
    </row>
    <row r="37" spans="1:10" x14ac:dyDescent="0.25">
      <c r="A37" s="27" t="s">
        <v>621</v>
      </c>
      <c r="B37" s="27" t="str">
        <f t="shared" si="0"/>
        <v>Alabama</v>
      </c>
      <c r="C37" s="27" t="str">
        <f t="shared" si="1"/>
        <v>Jackson</v>
      </c>
      <c r="D37">
        <v>3</v>
      </c>
      <c r="F37">
        <v>195</v>
      </c>
      <c r="H37">
        <v>1932</v>
      </c>
      <c r="I37">
        <v>94</v>
      </c>
      <c r="J37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38" spans="1:10" x14ac:dyDescent="0.25">
      <c r="A38" s="27" t="s">
        <v>622</v>
      </c>
      <c r="B38" s="27" t="str">
        <f t="shared" si="0"/>
        <v>Alabama</v>
      </c>
      <c r="C38" s="27" t="str">
        <f t="shared" si="1"/>
        <v>Jefferson</v>
      </c>
      <c r="D38">
        <v>140</v>
      </c>
      <c r="F38">
        <v>2750</v>
      </c>
      <c r="H38">
        <v>1932</v>
      </c>
      <c r="I38">
        <v>94</v>
      </c>
      <c r="J38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39" spans="1:10" x14ac:dyDescent="0.25">
      <c r="A39" s="27" t="s">
        <v>623</v>
      </c>
      <c r="B39" s="27" t="str">
        <f t="shared" si="0"/>
        <v>Alabama</v>
      </c>
      <c r="C39" s="27" t="str">
        <f t="shared" si="1"/>
        <v>Lamar/Sanford</v>
      </c>
      <c r="D39">
        <v>1</v>
      </c>
      <c r="F39">
        <v>130</v>
      </c>
      <c r="H39">
        <v>1932</v>
      </c>
      <c r="I39">
        <v>94</v>
      </c>
      <c r="J39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0" spans="1:10" x14ac:dyDescent="0.25">
      <c r="A40" s="27" t="s">
        <v>624</v>
      </c>
      <c r="B40" s="27" t="str">
        <f t="shared" si="0"/>
        <v>Alabama</v>
      </c>
      <c r="C40" s="27" t="str">
        <f t="shared" si="1"/>
        <v>Lauderdale</v>
      </c>
      <c r="D40">
        <v>4</v>
      </c>
      <c r="F40">
        <v>299</v>
      </c>
      <c r="H40">
        <v>1932</v>
      </c>
      <c r="I40">
        <v>94</v>
      </c>
      <c r="J40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1" spans="1:10" x14ac:dyDescent="0.25">
      <c r="A41" s="27" t="s">
        <v>625</v>
      </c>
      <c r="B41" s="27" t="str">
        <f t="shared" si="0"/>
        <v>Alabama</v>
      </c>
      <c r="C41" s="27" t="str">
        <f t="shared" si="1"/>
        <v>Lawrence</v>
      </c>
      <c r="D41">
        <v>1</v>
      </c>
      <c r="F41">
        <v>123</v>
      </c>
      <c r="H41">
        <v>1932</v>
      </c>
      <c r="I41">
        <v>94</v>
      </c>
      <c r="J41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2" spans="1:10" x14ac:dyDescent="0.25">
      <c r="A42" s="27" t="s">
        <v>626</v>
      </c>
      <c r="B42" s="27" t="str">
        <f t="shared" si="0"/>
        <v>Alabama</v>
      </c>
      <c r="C42" s="27" t="str">
        <f t="shared" si="1"/>
        <v>Lee</v>
      </c>
      <c r="D42">
        <v>5</v>
      </c>
      <c r="F42">
        <v>191</v>
      </c>
      <c r="H42">
        <v>1932</v>
      </c>
      <c r="I42">
        <v>94</v>
      </c>
      <c r="J42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3" spans="1:10" x14ac:dyDescent="0.25">
      <c r="A43" s="27" t="s">
        <v>627</v>
      </c>
      <c r="B43" s="27" t="str">
        <f t="shared" si="0"/>
        <v>Alabama</v>
      </c>
      <c r="C43" s="27" t="str">
        <f t="shared" si="1"/>
        <v>Limestone</v>
      </c>
      <c r="D43">
        <v>5</v>
      </c>
      <c r="F43">
        <v>188</v>
      </c>
      <c r="H43">
        <v>1932</v>
      </c>
      <c r="I43">
        <v>94</v>
      </c>
      <c r="J43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4" spans="1:10" x14ac:dyDescent="0.25">
      <c r="A44" s="27" t="s">
        <v>628</v>
      </c>
      <c r="B44" s="27" t="str">
        <f t="shared" si="0"/>
        <v>Alabama</v>
      </c>
      <c r="C44" s="27" t="str">
        <f t="shared" si="1"/>
        <v>Lowndes</v>
      </c>
      <c r="D44">
        <v>3</v>
      </c>
      <c r="F44">
        <v>96</v>
      </c>
      <c r="H44">
        <v>1932</v>
      </c>
      <c r="I44">
        <v>94</v>
      </c>
      <c r="J44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5" spans="1:10" x14ac:dyDescent="0.25">
      <c r="A45" s="27" t="s">
        <v>629</v>
      </c>
      <c r="B45" s="27" t="str">
        <f t="shared" si="0"/>
        <v>Alabama</v>
      </c>
      <c r="C45" s="27" t="str">
        <f t="shared" si="1"/>
        <v>Macon</v>
      </c>
      <c r="F45">
        <v>115</v>
      </c>
      <c r="H45">
        <v>1932</v>
      </c>
      <c r="I45">
        <v>94</v>
      </c>
      <c r="J45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6" spans="1:10" x14ac:dyDescent="0.25">
      <c r="A46" s="27" t="s">
        <v>630</v>
      </c>
      <c r="B46" s="27" t="str">
        <f t="shared" si="0"/>
        <v>Alabama</v>
      </c>
      <c r="C46" s="27" t="str">
        <f t="shared" si="1"/>
        <v>Madison</v>
      </c>
      <c r="D46">
        <v>12</v>
      </c>
      <c r="F46">
        <v>320</v>
      </c>
      <c r="H46">
        <v>1932</v>
      </c>
      <c r="I46">
        <v>94</v>
      </c>
      <c r="J46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7" spans="1:10" x14ac:dyDescent="0.25">
      <c r="A47" s="27" t="s">
        <v>631</v>
      </c>
      <c r="B47" s="27" t="str">
        <f t="shared" si="0"/>
        <v>Alabama</v>
      </c>
      <c r="C47" s="27" t="str">
        <f t="shared" si="1"/>
        <v>Marengo</v>
      </c>
      <c r="D47">
        <v>3</v>
      </c>
      <c r="F47">
        <v>186</v>
      </c>
      <c r="H47">
        <v>1932</v>
      </c>
      <c r="I47">
        <v>94</v>
      </c>
      <c r="J47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8" spans="1:10" x14ac:dyDescent="0.25">
      <c r="A48" s="27" t="s">
        <v>632</v>
      </c>
      <c r="B48" s="27" t="str">
        <f t="shared" si="0"/>
        <v>Alabama</v>
      </c>
      <c r="C48" s="27" t="str">
        <f t="shared" si="1"/>
        <v>Marion</v>
      </c>
      <c r="D48">
        <v>2</v>
      </c>
      <c r="F48">
        <v>178</v>
      </c>
      <c r="H48">
        <v>1932</v>
      </c>
      <c r="I48">
        <v>94</v>
      </c>
      <c r="J48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49" spans="1:10" x14ac:dyDescent="0.25">
      <c r="A49" s="27" t="s">
        <v>633</v>
      </c>
      <c r="B49" s="27" t="str">
        <f t="shared" si="0"/>
        <v>Alabama</v>
      </c>
      <c r="C49" s="27" t="str">
        <f t="shared" si="1"/>
        <v>Marshall</v>
      </c>
      <c r="D49">
        <v>5</v>
      </c>
      <c r="F49">
        <v>218</v>
      </c>
      <c r="H49">
        <v>1932</v>
      </c>
      <c r="I49">
        <v>94</v>
      </c>
      <c r="J49" s="27" t="str">
        <f t="shared" si="2"/>
        <v>https://ia601606.us.archive.org/33/items/FinancialStatisticsOfStateAndLocalGovernmentsWealthDebtAndTaxation1932/Financial_statistics_of_state_and_local_governments_Wealth_debt_and_taxation_1932.pdf#page=94</v>
      </c>
    </row>
    <row r="50" spans="1:10" x14ac:dyDescent="0.25">
      <c r="A50" s="27" t="s">
        <v>634</v>
      </c>
      <c r="B50" s="27" t="str">
        <f t="shared" si="0"/>
        <v>Alabama</v>
      </c>
      <c r="C50" s="27" t="str">
        <f t="shared" si="1"/>
        <v>Mobile</v>
      </c>
      <c r="D50">
        <v>26</v>
      </c>
      <c r="F50">
        <v>982</v>
      </c>
      <c r="H50">
        <v>1932</v>
      </c>
      <c r="I50">
        <v>95</v>
      </c>
      <c r="J50" s="27" t="str">
        <f t="shared" si="2"/>
        <v>https://ia601606.us.archive.org/33/items/FinancialStatisticsOfStateAndLocalGovernmentsWealthDebtAndTaxation1932/Financial_statistics_of_state_and_local_governments_Wealth_debt_and_taxation_1932.pdf#page=95</v>
      </c>
    </row>
    <row r="51" spans="1:10" x14ac:dyDescent="0.25">
      <c r="A51" s="27" t="s">
        <v>635</v>
      </c>
      <c r="B51" s="27" t="str">
        <f t="shared" si="0"/>
        <v>Alabama</v>
      </c>
      <c r="C51" s="27" t="str">
        <f t="shared" si="1"/>
        <v>Monroe</v>
      </c>
      <c r="D51">
        <v>4</v>
      </c>
      <c r="F51">
        <v>161</v>
      </c>
      <c r="H51">
        <v>1932</v>
      </c>
      <c r="I51">
        <v>95</v>
      </c>
      <c r="J51" s="27" t="str">
        <f t="shared" si="2"/>
        <v>https://ia601606.us.archive.org/33/items/FinancialStatisticsOfStateAndLocalGovernmentsWealthDebtAndTaxation1932/Financial_statistics_of_state_and_local_governments_Wealth_debt_and_taxation_1932.pdf#page=95</v>
      </c>
    </row>
    <row r="52" spans="1:10" x14ac:dyDescent="0.25">
      <c r="A52" s="27" t="s">
        <v>636</v>
      </c>
      <c r="B52" s="27" t="str">
        <f t="shared" si="0"/>
        <v>Alabama</v>
      </c>
      <c r="C52" s="27" t="str">
        <f t="shared" si="1"/>
        <v>Montgomery</v>
      </c>
      <c r="D52">
        <v>18</v>
      </c>
      <c r="F52">
        <v>594</v>
      </c>
      <c r="H52">
        <v>1932</v>
      </c>
      <c r="I52">
        <v>95</v>
      </c>
      <c r="J52" s="27" t="str">
        <f t="shared" si="2"/>
        <v>https://ia601606.us.archive.org/33/items/FinancialStatisticsOfStateAndLocalGovernmentsWealthDebtAndTaxation1932/Financial_statistics_of_state_and_local_governments_Wealth_debt_and_taxation_1932.pdf#page=95</v>
      </c>
    </row>
    <row r="53" spans="1:10" x14ac:dyDescent="0.25">
      <c r="A53" s="27" t="s">
        <v>1775</v>
      </c>
      <c r="B53" s="27" t="str">
        <f t="shared" si="0"/>
        <v>Alabama</v>
      </c>
      <c r="C53" s="27" t="str">
        <f t="shared" si="1"/>
        <v>Morgan/Cotaco</v>
      </c>
      <c r="D53">
        <v>8</v>
      </c>
      <c r="F53">
        <v>260</v>
      </c>
      <c r="H53">
        <v>1932</v>
      </c>
      <c r="I53">
        <v>95</v>
      </c>
      <c r="J53" s="27" t="str">
        <f t="shared" si="2"/>
        <v>https://ia601606.us.archive.org/33/items/FinancialStatisticsOfStateAndLocalGovernmentsWealthDebtAndTaxation1932/Financial_statistics_of_state_and_local_governments_Wealth_debt_and_taxation_1932.pdf#page=95</v>
      </c>
    </row>
    <row r="54" spans="1:10" x14ac:dyDescent="0.25">
      <c r="A54" s="27" t="s">
        <v>637</v>
      </c>
      <c r="B54" s="27" t="str">
        <f t="shared" si="0"/>
        <v>Alabama</v>
      </c>
      <c r="C54" s="27" t="str">
        <f t="shared" si="1"/>
        <v>Perry</v>
      </c>
      <c r="D54">
        <v>4</v>
      </c>
      <c r="F54">
        <v>111</v>
      </c>
      <c r="H54">
        <v>1932</v>
      </c>
      <c r="I54">
        <v>95</v>
      </c>
      <c r="J54" s="27" t="str">
        <f t="shared" si="2"/>
        <v>https://ia601606.us.archive.org/33/items/FinancialStatisticsOfStateAndLocalGovernmentsWealthDebtAndTaxation1932/Financial_statistics_of_state_and_local_governments_Wealth_debt_and_taxation_1932.pdf#page=95</v>
      </c>
    </row>
    <row r="55" spans="1:10" x14ac:dyDescent="0.25">
      <c r="A55" s="27" t="s">
        <v>638</v>
      </c>
      <c r="B55" s="27" t="str">
        <f t="shared" si="0"/>
        <v>Alabama</v>
      </c>
      <c r="C55" s="27" t="str">
        <f t="shared" si="1"/>
        <v>Pickens</v>
      </c>
      <c r="D55">
        <v>3</v>
      </c>
      <c r="F55">
        <v>146</v>
      </c>
      <c r="H55">
        <v>1932</v>
      </c>
      <c r="I55">
        <v>95</v>
      </c>
      <c r="J55" s="27" t="str">
        <f t="shared" si="2"/>
        <v>https://ia601606.us.archive.org/33/items/FinancialStatisticsOfStateAndLocalGovernmentsWealthDebtAndTaxation1932/Financial_statistics_of_state_and_local_governments_Wealth_debt_and_taxation_1932.pdf#page=95</v>
      </c>
    </row>
    <row r="56" spans="1:10" x14ac:dyDescent="0.25">
      <c r="A56" s="27" t="s">
        <v>639</v>
      </c>
      <c r="B56" s="27" t="str">
        <f t="shared" si="0"/>
        <v>Alabama</v>
      </c>
      <c r="C56" s="27" t="str">
        <f t="shared" si="1"/>
        <v>Pike</v>
      </c>
      <c r="D56">
        <v>3</v>
      </c>
      <c r="F56">
        <v>189</v>
      </c>
      <c r="H56">
        <v>1932</v>
      </c>
      <c r="I56">
        <v>95</v>
      </c>
      <c r="J56" s="27" t="str">
        <f t="shared" si="2"/>
        <v>https://ia601606.us.archive.org/33/items/FinancialStatisticsOfStateAndLocalGovernmentsWealthDebtAndTaxation1932/Financial_statistics_of_state_and_local_governments_Wealth_debt_and_taxation_1932.pdf#page=95</v>
      </c>
    </row>
    <row r="57" spans="1:10" x14ac:dyDescent="0.25">
      <c r="A57" s="27" t="s">
        <v>640</v>
      </c>
      <c r="B57" s="27" t="str">
        <f t="shared" si="0"/>
        <v>Alabama</v>
      </c>
      <c r="C57" s="27" t="str">
        <f t="shared" si="1"/>
        <v>Randolph</v>
      </c>
      <c r="D57">
        <v>1</v>
      </c>
      <c r="F57">
        <v>203</v>
      </c>
      <c r="H57">
        <v>1932</v>
      </c>
      <c r="I57">
        <v>95</v>
      </c>
      <c r="J57" s="27" t="str">
        <f t="shared" si="2"/>
        <v>https://ia601606.us.archive.org/33/items/FinancialStatisticsOfStateAndLocalGovernmentsWealthDebtAndTaxation1932/Financial_statistics_of_state_and_local_governments_Wealth_debt_and_taxation_1932.pdf#page=95</v>
      </c>
    </row>
    <row r="58" spans="1:10" x14ac:dyDescent="0.25">
      <c r="A58" s="27" t="s">
        <v>641</v>
      </c>
      <c r="B58" s="27" t="str">
        <f t="shared" si="0"/>
        <v>Alabama</v>
      </c>
      <c r="C58" s="27" t="str">
        <f t="shared" si="1"/>
        <v>Russell</v>
      </c>
      <c r="F58">
        <v>72</v>
      </c>
      <c r="H58">
        <v>1932</v>
      </c>
      <c r="I58">
        <v>96</v>
      </c>
      <c r="J58" s="27" t="str">
        <f t="shared" si="2"/>
        <v>https://ia601606.us.archive.org/33/items/FinancialStatisticsOfStateAndLocalGovernmentsWealthDebtAndTaxation1932/Financial_statistics_of_state_and_local_governments_Wealth_debt_and_taxation_1932.pdf#page=96</v>
      </c>
    </row>
    <row r="59" spans="1:10" x14ac:dyDescent="0.25">
      <c r="A59" s="27" t="s">
        <v>1745</v>
      </c>
      <c r="B59" s="27" t="str">
        <f t="shared" si="0"/>
        <v>Alabama</v>
      </c>
      <c r="C59" s="27" t="str">
        <f t="shared" si="1"/>
        <v>St Clair</v>
      </c>
      <c r="D59">
        <v>2</v>
      </c>
      <c r="F59">
        <v>145</v>
      </c>
      <c r="H59">
        <v>1932</v>
      </c>
      <c r="I59">
        <v>96</v>
      </c>
      <c r="J59" s="27" t="str">
        <f t="shared" si="2"/>
        <v>https://ia601606.us.archive.org/33/items/FinancialStatisticsOfStateAndLocalGovernmentsWealthDebtAndTaxation1932/Financial_statistics_of_state_and_local_governments_Wealth_debt_and_taxation_1932.pdf#page=96</v>
      </c>
    </row>
    <row r="60" spans="1:10" x14ac:dyDescent="0.25">
      <c r="A60" s="27" t="s">
        <v>642</v>
      </c>
      <c r="B60" s="27" t="str">
        <f t="shared" si="0"/>
        <v>Alabama</v>
      </c>
      <c r="C60" s="27" t="str">
        <f t="shared" si="1"/>
        <v>Shelby</v>
      </c>
      <c r="D60">
        <v>1</v>
      </c>
      <c r="F60">
        <v>193</v>
      </c>
      <c r="H60">
        <v>1932</v>
      </c>
      <c r="I60">
        <v>96</v>
      </c>
      <c r="J60" s="27" t="str">
        <f t="shared" si="2"/>
        <v>https://ia601606.us.archive.org/33/items/FinancialStatisticsOfStateAndLocalGovernmentsWealthDebtAndTaxation1932/Financial_statistics_of_state_and_local_governments_Wealth_debt_and_taxation_1932.pdf#page=96</v>
      </c>
    </row>
    <row r="61" spans="1:10" x14ac:dyDescent="0.25">
      <c r="A61" s="27" t="s">
        <v>643</v>
      </c>
      <c r="B61" s="27" t="str">
        <f t="shared" si="0"/>
        <v>Alabama</v>
      </c>
      <c r="C61" s="27" t="str">
        <f t="shared" si="1"/>
        <v>Sumter</v>
      </c>
      <c r="D61">
        <v>3</v>
      </c>
      <c r="F61">
        <v>114</v>
      </c>
      <c r="H61">
        <v>1932</v>
      </c>
      <c r="I61">
        <v>96</v>
      </c>
      <c r="J61" s="27" t="str">
        <f t="shared" si="2"/>
        <v>https://ia601606.us.archive.org/33/items/FinancialStatisticsOfStateAndLocalGovernmentsWealthDebtAndTaxation1932/Financial_statistics_of_state_and_local_governments_Wealth_debt_and_taxation_1932.pdf#page=96</v>
      </c>
    </row>
    <row r="62" spans="1:10" x14ac:dyDescent="0.25">
      <c r="A62" s="27" t="s">
        <v>644</v>
      </c>
      <c r="B62" s="27" t="str">
        <f t="shared" si="0"/>
        <v>Alabama</v>
      </c>
      <c r="C62" s="27" t="str">
        <f t="shared" si="1"/>
        <v>Talladega</v>
      </c>
      <c r="D62">
        <v>8</v>
      </c>
      <c r="F62">
        <v>286</v>
      </c>
      <c r="H62">
        <v>1932</v>
      </c>
      <c r="I62">
        <v>96</v>
      </c>
      <c r="J62" s="27" t="str">
        <f t="shared" si="2"/>
        <v>https://ia601606.us.archive.org/33/items/FinancialStatisticsOfStateAndLocalGovernmentsWealthDebtAndTaxation1932/Financial_statistics_of_state_and_local_governments_Wealth_debt_and_taxation_1932.pdf#page=96</v>
      </c>
    </row>
    <row r="63" spans="1:10" x14ac:dyDescent="0.25">
      <c r="A63" s="27" t="s">
        <v>645</v>
      </c>
      <c r="B63" s="27" t="str">
        <f t="shared" si="0"/>
        <v>Alabama</v>
      </c>
      <c r="C63" s="27" t="str">
        <f t="shared" si="1"/>
        <v>Tallapoosa</v>
      </c>
      <c r="D63">
        <v>6</v>
      </c>
      <c r="F63">
        <v>255</v>
      </c>
      <c r="H63">
        <v>1932</v>
      </c>
      <c r="I63">
        <v>96</v>
      </c>
      <c r="J63" s="27" t="str">
        <f t="shared" si="2"/>
        <v>https://ia601606.us.archive.org/33/items/FinancialStatisticsOfStateAndLocalGovernmentsWealthDebtAndTaxation1932/Financial_statistics_of_state_and_local_governments_Wealth_debt_and_taxation_1932.pdf#page=96</v>
      </c>
    </row>
    <row r="64" spans="1:10" x14ac:dyDescent="0.25">
      <c r="A64" s="27" t="s">
        <v>646</v>
      </c>
      <c r="B64" s="27" t="str">
        <f t="shared" si="0"/>
        <v>Alabama</v>
      </c>
      <c r="C64" s="27" t="str">
        <f t="shared" si="1"/>
        <v>Tuscaloosa</v>
      </c>
      <c r="D64">
        <v>10</v>
      </c>
      <c r="F64">
        <v>462</v>
      </c>
      <c r="H64">
        <v>1932</v>
      </c>
      <c r="I64">
        <v>96</v>
      </c>
      <c r="J64" s="27" t="str">
        <f t="shared" si="2"/>
        <v>https://ia601606.us.archive.org/33/items/FinancialStatisticsOfStateAndLocalGovernmentsWealthDebtAndTaxation1932/Financial_statistics_of_state_and_local_governments_Wealth_debt_and_taxation_1932.pdf#page=96</v>
      </c>
    </row>
    <row r="65" spans="1:10" x14ac:dyDescent="0.25">
      <c r="A65" s="27" t="s">
        <v>647</v>
      </c>
      <c r="B65" s="27" t="str">
        <f t="shared" si="0"/>
        <v>Alabama</v>
      </c>
      <c r="C65" s="27" t="str">
        <f t="shared" si="1"/>
        <v>Walker</v>
      </c>
      <c r="D65">
        <v>6</v>
      </c>
      <c r="F65">
        <v>400</v>
      </c>
      <c r="H65">
        <v>1932</v>
      </c>
      <c r="I65">
        <v>96</v>
      </c>
      <c r="J65" s="27" t="str">
        <f t="shared" si="2"/>
        <v>https://ia601606.us.archive.org/33/items/FinancialStatisticsOfStateAndLocalGovernmentsWealthDebtAndTaxation1932/Financial_statistics_of_state_and_local_governments_Wealth_debt_and_taxation_1932.pdf#page=96</v>
      </c>
    </row>
    <row r="66" spans="1:10" x14ac:dyDescent="0.25">
      <c r="A66" s="27" t="s">
        <v>648</v>
      </c>
      <c r="B66" s="27" t="str">
        <f t="shared" si="0"/>
        <v>Alabama</v>
      </c>
      <c r="C66" s="27" t="str">
        <f t="shared" si="1"/>
        <v>Washington</v>
      </c>
      <c r="D66">
        <v>2</v>
      </c>
      <c r="F66">
        <v>62</v>
      </c>
      <c r="H66">
        <v>1932</v>
      </c>
      <c r="I66">
        <v>96</v>
      </c>
      <c r="J66" s="27" t="str">
        <f t="shared" si="2"/>
        <v>https://ia601606.us.archive.org/33/items/FinancialStatisticsOfStateAndLocalGovernmentsWealthDebtAndTaxation1932/Financial_statistics_of_state_and_local_governments_Wealth_debt_and_taxation_1932.pdf#page=96</v>
      </c>
    </row>
    <row r="67" spans="1:10" x14ac:dyDescent="0.25">
      <c r="A67" s="27" t="s">
        <v>649</v>
      </c>
      <c r="B67" s="27" t="str">
        <f t="shared" ref="B67:B130" si="3">LEFT(A67,FIND(";",A67)-1)</f>
        <v>Alabama</v>
      </c>
      <c r="C67" s="27" t="str">
        <f t="shared" ref="C67:C130" si="4">MID(A67,FIND(";",A67)+1,100)</f>
        <v>Wilcox</v>
      </c>
      <c r="D67">
        <v>5</v>
      </c>
      <c r="F67">
        <v>114</v>
      </c>
      <c r="H67">
        <v>1932</v>
      </c>
      <c r="I67">
        <v>96</v>
      </c>
      <c r="J67" s="27" t="str">
        <f t="shared" ref="J67:J130" si="5">"https://ia601606.us.archive.org/33/items/FinancialStatisticsOfStateAndLocalGovernmentsWealthDebtAndTaxation1932/Financial_statistics_of_state_and_local_governments_Wealth_debt_and_taxation_1932.pdf"&amp;"#page="&amp;I67</f>
        <v>https://ia601606.us.archive.org/33/items/FinancialStatisticsOfStateAndLocalGovernmentsWealthDebtAndTaxation1932/Financial_statistics_of_state_and_local_governments_Wealth_debt_and_taxation_1932.pdf#page=96</v>
      </c>
    </row>
    <row r="68" spans="1:10" x14ac:dyDescent="0.25">
      <c r="A68" s="27" t="s">
        <v>1776</v>
      </c>
      <c r="B68" s="27" t="str">
        <f t="shared" si="3"/>
        <v>Alabama</v>
      </c>
      <c r="C68" s="27" t="str">
        <f t="shared" si="4"/>
        <v>Winston/Hancock</v>
      </c>
      <c r="D68">
        <v>2</v>
      </c>
      <c r="F68">
        <v>117</v>
      </c>
      <c r="H68">
        <v>1932</v>
      </c>
      <c r="I68">
        <v>96</v>
      </c>
      <c r="J68" s="27" t="str">
        <f t="shared" si="5"/>
        <v>https://ia601606.us.archive.org/33/items/FinancialStatisticsOfStateAndLocalGovernmentsWealthDebtAndTaxation1932/Financial_statistics_of_state_and_local_governments_Wealth_debt_and_taxation_1932.pdf#page=96</v>
      </c>
    </row>
    <row r="69" spans="1:10" x14ac:dyDescent="0.25">
      <c r="A69" s="27" t="s">
        <v>650</v>
      </c>
      <c r="B69" s="27" t="str">
        <f t="shared" si="3"/>
        <v/>
      </c>
      <c r="C69" s="27" t="str">
        <f t="shared" si="4"/>
        <v>MY TOTAL</v>
      </c>
      <c r="D69">
        <f>SUM(D2:D68)</f>
        <v>409</v>
      </c>
      <c r="F69">
        <f>SUM(F2:F68)</f>
        <v>16077</v>
      </c>
      <c r="J69" s="27" t="str">
        <f t="shared" si="5"/>
        <v>https://ia601606.us.archive.org/33/items/FinancialStatisticsOfStateAndLocalGovernmentsWealthDebtAndTaxation1932/Financial_statistics_of_state_and_local_governments_Wealth_debt_and_taxation_1932.pdf#page=</v>
      </c>
    </row>
    <row r="70" spans="1:10" x14ac:dyDescent="0.25">
      <c r="A70" s="27" t="s">
        <v>651</v>
      </c>
      <c r="B70" s="27" t="str">
        <f t="shared" si="3"/>
        <v/>
      </c>
      <c r="C70" s="27" t="str">
        <f t="shared" si="4"/>
        <v>REPORTED TOTAL</v>
      </c>
      <c r="D70" t="s">
        <v>58</v>
      </c>
      <c r="F70" t="s">
        <v>59</v>
      </c>
      <c r="J70" s="27" t="str">
        <f t="shared" si="5"/>
        <v>https://ia601606.us.archive.org/33/items/FinancialStatisticsOfStateAndLocalGovernmentsWealthDebtAndTaxation1932/Financial_statistics_of_state_and_local_governments_Wealth_debt_and_taxation_1932.pdf#page=</v>
      </c>
    </row>
    <row r="71" spans="1:10" x14ac:dyDescent="0.25">
      <c r="A71" s="27" t="s">
        <v>1367</v>
      </c>
      <c r="B71" s="27" t="str">
        <f t="shared" si="3"/>
        <v/>
      </c>
      <c r="C71" s="27" t="str">
        <f t="shared" si="4"/>
        <v/>
      </c>
      <c r="D71" t="s">
        <v>60</v>
      </c>
      <c r="F71" t="s">
        <v>60</v>
      </c>
      <c r="J71" s="27" t="str">
        <f t="shared" si="5"/>
        <v>https://ia601606.us.archive.org/33/items/FinancialStatisticsOfStateAndLocalGovernmentsWealthDebtAndTaxation1932/Financial_statistics_of_state_and_local_governments_Wealth_debt_and_taxation_1932.pdf#page=</v>
      </c>
    </row>
    <row r="72" spans="1:10" x14ac:dyDescent="0.25">
      <c r="A72" s="27" t="s">
        <v>1367</v>
      </c>
      <c r="B72" s="27" t="str">
        <f t="shared" si="3"/>
        <v/>
      </c>
      <c r="C72" s="27" t="str">
        <f t="shared" si="4"/>
        <v/>
      </c>
      <c r="J72" s="27" t="str">
        <f t="shared" si="5"/>
        <v>https://ia601606.us.archive.org/33/items/FinancialStatisticsOfStateAndLocalGovernmentsWealthDebtAndTaxation1932/Financial_statistics_of_state_and_local_governments_Wealth_debt_and_taxation_1932.pdf#page=</v>
      </c>
    </row>
    <row r="73" spans="1:10" x14ac:dyDescent="0.25">
      <c r="A73" s="27" t="s">
        <v>652</v>
      </c>
      <c r="B73" s="27" t="str">
        <f t="shared" si="3"/>
        <v>Arkansas</v>
      </c>
      <c r="C73" s="27" t="str">
        <f t="shared" si="4"/>
        <v>Arkansas</v>
      </c>
      <c r="D73">
        <v>3</v>
      </c>
      <c r="F73">
        <v>34</v>
      </c>
      <c r="G73">
        <v>137</v>
      </c>
      <c r="H73">
        <v>1932</v>
      </c>
      <c r="I73">
        <v>141</v>
      </c>
      <c r="J73" s="27" t="str">
        <f t="shared" si="5"/>
        <v>https://ia601606.us.archive.org/33/items/FinancialStatisticsOfStateAndLocalGovernmentsWealthDebtAndTaxation1932/Financial_statistics_of_state_and_local_governments_Wealth_debt_and_taxation_1932.pdf#page=141</v>
      </c>
    </row>
    <row r="74" spans="1:10" x14ac:dyDescent="0.25">
      <c r="A74" s="27" t="s">
        <v>653</v>
      </c>
      <c r="B74" s="27" t="str">
        <f t="shared" si="3"/>
        <v>Arkansas</v>
      </c>
      <c r="C74" s="27" t="str">
        <f t="shared" si="4"/>
        <v>Ashley</v>
      </c>
      <c r="D74">
        <v>5</v>
      </c>
      <c r="F74">
        <v>43</v>
      </c>
      <c r="G74">
        <v>145</v>
      </c>
      <c r="H74">
        <v>1932</v>
      </c>
      <c r="I74">
        <v>141</v>
      </c>
      <c r="J74" s="27" t="str">
        <f t="shared" si="5"/>
        <v>https://ia601606.us.archive.org/33/items/FinancialStatisticsOfStateAndLocalGovernmentsWealthDebtAndTaxation1932/Financial_statistics_of_state_and_local_governments_Wealth_debt_and_taxation_1932.pdf#page=141</v>
      </c>
    </row>
    <row r="75" spans="1:10" x14ac:dyDescent="0.25">
      <c r="A75" s="27" t="s">
        <v>654</v>
      </c>
      <c r="B75" s="27" t="str">
        <f t="shared" si="3"/>
        <v>Arkansas</v>
      </c>
      <c r="C75" s="27" t="str">
        <f t="shared" si="4"/>
        <v>Baxter</v>
      </c>
      <c r="D75">
        <v>1</v>
      </c>
      <c r="F75">
        <v>17</v>
      </c>
      <c r="G75">
        <v>33</v>
      </c>
      <c r="H75">
        <v>1932</v>
      </c>
      <c r="I75">
        <v>141</v>
      </c>
      <c r="J75" s="27" t="str">
        <f t="shared" si="5"/>
        <v>https://ia601606.us.archive.org/33/items/FinancialStatisticsOfStateAndLocalGovernmentsWealthDebtAndTaxation1932/Financial_statistics_of_state_and_local_governments_Wealth_debt_and_taxation_1932.pdf#page=141</v>
      </c>
    </row>
    <row r="76" spans="1:10" x14ac:dyDescent="0.25">
      <c r="A76" s="27" t="s">
        <v>655</v>
      </c>
      <c r="B76" s="27" t="str">
        <f t="shared" si="3"/>
        <v>Arkansas</v>
      </c>
      <c r="C76" s="27" t="str">
        <f t="shared" si="4"/>
        <v>Benton</v>
      </c>
      <c r="D76">
        <v>2</v>
      </c>
      <c r="E76">
        <v>2</v>
      </c>
      <c r="F76">
        <v>39</v>
      </c>
      <c r="G76">
        <v>165</v>
      </c>
      <c r="H76">
        <v>1932</v>
      </c>
      <c r="I76">
        <v>141</v>
      </c>
      <c r="J76" s="27" t="str">
        <f t="shared" si="5"/>
        <v>https://ia601606.us.archive.org/33/items/FinancialStatisticsOfStateAndLocalGovernmentsWealthDebtAndTaxation1932/Financial_statistics_of_state_and_local_governments_Wealth_debt_and_taxation_1932.pdf#page=141</v>
      </c>
    </row>
    <row r="77" spans="1:10" x14ac:dyDescent="0.25">
      <c r="A77" s="27" t="s">
        <v>656</v>
      </c>
      <c r="B77" s="27" t="str">
        <f t="shared" si="3"/>
        <v>Arkansas</v>
      </c>
      <c r="C77" s="27" t="str">
        <f t="shared" si="4"/>
        <v>Boone</v>
      </c>
      <c r="F77">
        <v>24</v>
      </c>
      <c r="G77">
        <v>96</v>
      </c>
      <c r="H77">
        <v>1932</v>
      </c>
      <c r="I77">
        <v>142</v>
      </c>
      <c r="J77" s="27" t="str">
        <f t="shared" si="5"/>
        <v>https://ia601606.us.archive.org/33/items/FinancialStatisticsOfStateAndLocalGovernmentsWealthDebtAndTaxation1932/Financial_statistics_of_state_and_local_governments_Wealth_debt_and_taxation_1932.pdf#page=142</v>
      </c>
    </row>
    <row r="78" spans="1:10" x14ac:dyDescent="0.25">
      <c r="A78" s="27" t="s">
        <v>657</v>
      </c>
      <c r="B78" s="27" t="str">
        <f t="shared" si="3"/>
        <v>Arkansas</v>
      </c>
      <c r="C78" s="27" t="str">
        <f t="shared" si="4"/>
        <v>Bradley</v>
      </c>
      <c r="D78">
        <v>2</v>
      </c>
      <c r="F78">
        <v>28</v>
      </c>
      <c r="G78">
        <v>81</v>
      </c>
      <c r="H78">
        <v>1932</v>
      </c>
      <c r="I78">
        <v>142</v>
      </c>
      <c r="J78" s="27" t="str">
        <f t="shared" si="5"/>
        <v>https://ia601606.us.archive.org/33/items/FinancialStatisticsOfStateAndLocalGovernmentsWealthDebtAndTaxation1932/Financial_statistics_of_state_and_local_governments_Wealth_debt_and_taxation_1932.pdf#page=142</v>
      </c>
    </row>
    <row r="79" spans="1:10" x14ac:dyDescent="0.25">
      <c r="A79" s="27" t="s">
        <v>658</v>
      </c>
      <c r="B79" s="27" t="str">
        <f t="shared" si="3"/>
        <v>Arkansas</v>
      </c>
      <c r="C79" s="27" t="str">
        <f t="shared" si="4"/>
        <v>Calhoun</v>
      </c>
      <c r="F79">
        <v>21</v>
      </c>
      <c r="G79">
        <v>52</v>
      </c>
      <c r="H79">
        <v>1932</v>
      </c>
      <c r="I79">
        <v>142</v>
      </c>
      <c r="J79" s="27" t="str">
        <f t="shared" si="5"/>
        <v>https://ia601606.us.archive.org/33/items/FinancialStatisticsOfStateAndLocalGovernmentsWealthDebtAndTaxation1932/Financial_statistics_of_state_and_local_governments_Wealth_debt_and_taxation_1932.pdf#page=142</v>
      </c>
    </row>
    <row r="80" spans="1:10" x14ac:dyDescent="0.25">
      <c r="A80" s="27" t="s">
        <v>659</v>
      </c>
      <c r="B80" s="27" t="str">
        <f t="shared" si="3"/>
        <v>Arkansas</v>
      </c>
      <c r="C80" s="27" t="str">
        <f t="shared" si="4"/>
        <v>Carroll</v>
      </c>
      <c r="D80">
        <v>1</v>
      </c>
      <c r="F80">
        <v>42</v>
      </c>
      <c r="G80">
        <v>89</v>
      </c>
      <c r="H80">
        <v>1932</v>
      </c>
      <c r="I80">
        <v>142</v>
      </c>
      <c r="J80" s="27" t="str">
        <f t="shared" si="5"/>
        <v>https://ia601606.us.archive.org/33/items/FinancialStatisticsOfStateAndLocalGovernmentsWealthDebtAndTaxation1932/Financial_statistics_of_state_and_local_governments_Wealth_debt_and_taxation_1932.pdf#page=142</v>
      </c>
    </row>
    <row r="81" spans="1:10" x14ac:dyDescent="0.25">
      <c r="A81" s="27" t="s">
        <v>660</v>
      </c>
      <c r="B81" s="27" t="str">
        <f t="shared" si="3"/>
        <v>Arkansas</v>
      </c>
      <c r="C81" s="27" t="str">
        <f t="shared" si="4"/>
        <v>Chicot</v>
      </c>
      <c r="D81">
        <v>2</v>
      </c>
      <c r="E81">
        <v>1</v>
      </c>
      <c r="F81">
        <v>33</v>
      </c>
      <c r="G81">
        <v>81</v>
      </c>
      <c r="H81">
        <v>1932</v>
      </c>
      <c r="I81">
        <v>142</v>
      </c>
      <c r="J81" s="27" t="str">
        <f t="shared" si="5"/>
        <v>https://ia601606.us.archive.org/33/items/FinancialStatisticsOfStateAndLocalGovernmentsWealthDebtAndTaxation1932/Financial_statistics_of_state_and_local_governments_Wealth_debt_and_taxation_1932.pdf#page=142</v>
      </c>
    </row>
    <row r="82" spans="1:10" x14ac:dyDescent="0.25">
      <c r="A82" s="27" t="s">
        <v>661</v>
      </c>
      <c r="B82" s="27" t="str">
        <f t="shared" si="3"/>
        <v>Arkansas</v>
      </c>
      <c r="C82" s="27" t="str">
        <f t="shared" si="4"/>
        <v>Clark</v>
      </c>
      <c r="D82">
        <v>9</v>
      </c>
      <c r="F82">
        <v>44</v>
      </c>
      <c r="G82">
        <v>116</v>
      </c>
      <c r="H82">
        <v>1932</v>
      </c>
      <c r="I82">
        <v>142</v>
      </c>
      <c r="J82" s="27" t="str">
        <f t="shared" si="5"/>
        <v>https://ia601606.us.archive.org/33/items/FinancialStatisticsOfStateAndLocalGovernmentsWealthDebtAndTaxation1932/Financial_statistics_of_state_and_local_governments_Wealth_debt_and_taxation_1932.pdf#page=142</v>
      </c>
    </row>
    <row r="83" spans="1:10" x14ac:dyDescent="0.25">
      <c r="A83" s="27" t="s">
        <v>662</v>
      </c>
      <c r="B83" s="27" t="str">
        <f t="shared" si="3"/>
        <v>Arkansas</v>
      </c>
      <c r="C83" s="27" t="str">
        <f t="shared" si="4"/>
        <v>Clay</v>
      </c>
      <c r="D83">
        <v>2</v>
      </c>
      <c r="E83">
        <v>1</v>
      </c>
      <c r="F83">
        <v>39</v>
      </c>
      <c r="G83">
        <v>109</v>
      </c>
      <c r="H83">
        <v>1932</v>
      </c>
      <c r="I83">
        <v>142</v>
      </c>
      <c r="J83" s="27" t="str">
        <f t="shared" si="5"/>
        <v>https://ia601606.us.archive.org/33/items/FinancialStatisticsOfStateAndLocalGovernmentsWealthDebtAndTaxation1932/Financial_statistics_of_state_and_local_governments_Wealth_debt_and_taxation_1932.pdf#page=142</v>
      </c>
    </row>
    <row r="84" spans="1:10" x14ac:dyDescent="0.25">
      <c r="A84" s="27" t="s">
        <v>663</v>
      </c>
      <c r="B84" s="27" t="str">
        <f t="shared" si="3"/>
        <v>Arkansas</v>
      </c>
      <c r="C84" s="27" t="str">
        <f t="shared" si="4"/>
        <v>Cleburne</v>
      </c>
      <c r="F84">
        <v>28</v>
      </c>
      <c r="G84">
        <v>44</v>
      </c>
      <c r="H84">
        <v>1932</v>
      </c>
      <c r="I84">
        <v>142</v>
      </c>
      <c r="J84" s="27" t="str">
        <f t="shared" si="5"/>
        <v>https://ia601606.us.archive.org/33/items/FinancialStatisticsOfStateAndLocalGovernmentsWealthDebtAndTaxation1932/Financial_statistics_of_state_and_local_governments_Wealth_debt_and_taxation_1932.pdf#page=142</v>
      </c>
    </row>
    <row r="85" spans="1:10" x14ac:dyDescent="0.25">
      <c r="A85" s="27" t="s">
        <v>1777</v>
      </c>
      <c r="B85" s="27" t="str">
        <f t="shared" si="3"/>
        <v>Arkansas</v>
      </c>
      <c r="C85" s="27" t="str">
        <f t="shared" si="4"/>
        <v>Cleveland/Dorsey</v>
      </c>
      <c r="F85">
        <v>22</v>
      </c>
      <c r="G85">
        <v>64</v>
      </c>
      <c r="H85">
        <v>1932</v>
      </c>
      <c r="I85">
        <v>142</v>
      </c>
      <c r="J85" s="27" t="str">
        <f t="shared" si="5"/>
        <v>https://ia601606.us.archive.org/33/items/FinancialStatisticsOfStateAndLocalGovernmentsWealthDebtAndTaxation1932/Financial_statistics_of_state_and_local_governments_Wealth_debt_and_taxation_1932.pdf#page=142</v>
      </c>
    </row>
    <row r="86" spans="1:10" x14ac:dyDescent="0.25">
      <c r="A86" s="27" t="s">
        <v>664</v>
      </c>
      <c r="B86" s="27" t="str">
        <f t="shared" si="3"/>
        <v>Arkansas</v>
      </c>
      <c r="C86" s="27" t="str">
        <f t="shared" si="4"/>
        <v>Columbia</v>
      </c>
      <c r="F86">
        <v>43</v>
      </c>
      <c r="G86">
        <v>123</v>
      </c>
      <c r="H86">
        <v>1932</v>
      </c>
      <c r="I86">
        <v>143</v>
      </c>
      <c r="J86" s="27" t="str">
        <f t="shared" si="5"/>
        <v>https://ia601606.us.archive.org/33/items/FinancialStatisticsOfStateAndLocalGovernmentsWealthDebtAndTaxation1932/Financial_statistics_of_state_and_local_governments_Wealth_debt_and_taxation_1932.pdf#page=143</v>
      </c>
    </row>
    <row r="87" spans="1:10" x14ac:dyDescent="0.25">
      <c r="A87" s="27" t="s">
        <v>665</v>
      </c>
      <c r="B87" s="27" t="str">
        <f t="shared" si="3"/>
        <v>Arkansas</v>
      </c>
      <c r="C87" s="27" t="str">
        <f t="shared" si="4"/>
        <v>Conway</v>
      </c>
      <c r="D87">
        <v>2</v>
      </c>
      <c r="F87">
        <v>36</v>
      </c>
      <c r="G87">
        <v>69</v>
      </c>
      <c r="H87">
        <v>1932</v>
      </c>
      <c r="I87">
        <v>143</v>
      </c>
      <c r="J87" s="27" t="str">
        <f t="shared" si="5"/>
        <v>https://ia601606.us.archive.org/33/items/FinancialStatisticsOfStateAndLocalGovernmentsWealthDebtAndTaxation1932/Financial_statistics_of_state_and_local_governments_Wealth_debt_and_taxation_1932.pdf#page=143</v>
      </c>
    </row>
    <row r="88" spans="1:10" x14ac:dyDescent="0.25">
      <c r="A88" s="27" t="s">
        <v>666</v>
      </c>
      <c r="B88" s="27" t="str">
        <f t="shared" si="3"/>
        <v>Arkansas</v>
      </c>
      <c r="C88" s="27" t="str">
        <f t="shared" si="4"/>
        <v>Craighead</v>
      </c>
      <c r="D88">
        <v>3</v>
      </c>
      <c r="F88">
        <v>64</v>
      </c>
      <c r="G88">
        <v>238</v>
      </c>
      <c r="H88">
        <v>1932</v>
      </c>
      <c r="I88">
        <v>143</v>
      </c>
      <c r="J88" s="27" t="str">
        <f t="shared" si="5"/>
        <v>https://ia601606.us.archive.org/33/items/FinancialStatisticsOfStateAndLocalGovernmentsWealthDebtAndTaxation1932/Financial_statistics_of_state_and_local_governments_Wealth_debt_and_taxation_1932.pdf#page=143</v>
      </c>
    </row>
    <row r="89" spans="1:10" x14ac:dyDescent="0.25">
      <c r="A89" s="27" t="s">
        <v>667</v>
      </c>
      <c r="B89" s="27" t="str">
        <f t="shared" si="3"/>
        <v>Arkansas</v>
      </c>
      <c r="C89" s="27" t="str">
        <f t="shared" si="4"/>
        <v>Crawford</v>
      </c>
      <c r="E89">
        <v>1</v>
      </c>
      <c r="F89">
        <v>54</v>
      </c>
      <c r="G89">
        <v>121</v>
      </c>
      <c r="H89">
        <v>1932</v>
      </c>
      <c r="I89">
        <v>143</v>
      </c>
      <c r="J89" s="27" t="str">
        <f t="shared" si="5"/>
        <v>https://ia601606.us.archive.org/33/items/FinancialStatisticsOfStateAndLocalGovernmentsWealthDebtAndTaxation1932/Financial_statistics_of_state_and_local_governments_Wealth_debt_and_taxation_1932.pdf#page=143</v>
      </c>
    </row>
    <row r="90" spans="1:10" x14ac:dyDescent="0.25">
      <c r="A90" s="27" t="s">
        <v>668</v>
      </c>
      <c r="B90" s="27" t="str">
        <f t="shared" si="3"/>
        <v>Arkansas</v>
      </c>
      <c r="C90" s="27" t="str">
        <f t="shared" si="4"/>
        <v>Crittenden</v>
      </c>
      <c r="D90">
        <v>3</v>
      </c>
      <c r="F90">
        <v>52</v>
      </c>
      <c r="G90">
        <v>115</v>
      </c>
      <c r="H90">
        <v>1932</v>
      </c>
      <c r="I90">
        <v>143</v>
      </c>
      <c r="J90" s="27" t="str">
        <f t="shared" si="5"/>
        <v>https://ia601606.us.archive.org/33/items/FinancialStatisticsOfStateAndLocalGovernmentsWealthDebtAndTaxation1932/Financial_statistics_of_state_and_local_governments_Wealth_debt_and_taxation_1932.pdf#page=143</v>
      </c>
    </row>
    <row r="91" spans="1:10" x14ac:dyDescent="0.25">
      <c r="A91" s="27" t="s">
        <v>669</v>
      </c>
      <c r="B91" s="27" t="str">
        <f t="shared" si="3"/>
        <v>Arkansas</v>
      </c>
      <c r="C91" s="27" t="str">
        <f t="shared" si="4"/>
        <v>Cross</v>
      </c>
      <c r="D91">
        <v>4</v>
      </c>
      <c r="E91">
        <v>2</v>
      </c>
      <c r="F91">
        <v>38</v>
      </c>
      <c r="G91">
        <v>96</v>
      </c>
      <c r="H91">
        <v>1932</v>
      </c>
      <c r="I91">
        <v>144</v>
      </c>
      <c r="J91" s="27" t="str">
        <f t="shared" si="5"/>
        <v>https://ia601606.us.archive.org/33/items/FinancialStatisticsOfStateAndLocalGovernmentsWealthDebtAndTaxation1932/Financial_statistics_of_state_and_local_governments_Wealth_debt_and_taxation_1932.pdf#page=144</v>
      </c>
    </row>
    <row r="92" spans="1:10" x14ac:dyDescent="0.25">
      <c r="A92" s="27" t="s">
        <v>670</v>
      </c>
      <c r="B92" s="27" t="str">
        <f t="shared" si="3"/>
        <v>Arkansas</v>
      </c>
      <c r="C92" s="27" t="str">
        <f t="shared" si="4"/>
        <v>Dallas</v>
      </c>
      <c r="F92">
        <v>24</v>
      </c>
      <c r="G92">
        <v>68</v>
      </c>
      <c r="H92">
        <v>1932</v>
      </c>
      <c r="I92">
        <v>144</v>
      </c>
      <c r="J92" s="27" t="str">
        <f t="shared" si="5"/>
        <v>https://ia601606.us.archive.org/33/items/FinancialStatisticsOfStateAndLocalGovernmentsWealthDebtAndTaxation1932/Financial_statistics_of_state_and_local_governments_Wealth_debt_and_taxation_1932.pdf#page=144</v>
      </c>
    </row>
    <row r="93" spans="1:10" x14ac:dyDescent="0.25">
      <c r="A93" s="27" t="s">
        <v>671</v>
      </c>
      <c r="B93" s="27" t="str">
        <f t="shared" si="3"/>
        <v>Arkansas</v>
      </c>
      <c r="C93" s="27" t="str">
        <f t="shared" si="4"/>
        <v>Desha</v>
      </c>
      <c r="D93">
        <v>1</v>
      </c>
      <c r="F93">
        <v>41</v>
      </c>
      <c r="G93">
        <v>66</v>
      </c>
      <c r="H93">
        <v>1932</v>
      </c>
      <c r="I93">
        <v>144</v>
      </c>
      <c r="J93" s="27" t="str">
        <f t="shared" si="5"/>
        <v>https://ia601606.us.archive.org/33/items/FinancialStatisticsOfStateAndLocalGovernmentsWealthDebtAndTaxation1932/Financial_statistics_of_state_and_local_governments_Wealth_debt_and_taxation_1932.pdf#page=144</v>
      </c>
    </row>
    <row r="94" spans="1:10" x14ac:dyDescent="0.25">
      <c r="A94" s="27" t="s">
        <v>672</v>
      </c>
      <c r="B94" s="27" t="str">
        <f t="shared" si="3"/>
        <v>Arkansas</v>
      </c>
      <c r="C94" s="27" t="str">
        <f t="shared" si="4"/>
        <v>Drew</v>
      </c>
      <c r="D94">
        <v>3</v>
      </c>
      <c r="F94">
        <v>35</v>
      </c>
      <c r="G94">
        <v>95</v>
      </c>
      <c r="H94">
        <v>1932</v>
      </c>
      <c r="I94">
        <v>144</v>
      </c>
      <c r="J94" s="27" t="str">
        <f t="shared" si="5"/>
        <v>https://ia601606.us.archive.org/33/items/FinancialStatisticsOfStateAndLocalGovernmentsWealthDebtAndTaxation1932/Financial_statistics_of_state_and_local_governments_Wealth_debt_and_taxation_1932.pdf#page=144</v>
      </c>
    </row>
    <row r="95" spans="1:10" x14ac:dyDescent="0.25">
      <c r="A95" s="27" t="s">
        <v>1746</v>
      </c>
      <c r="B95" s="27" t="str">
        <f t="shared" si="3"/>
        <v>Arkansas</v>
      </c>
      <c r="C95" s="27" t="str">
        <f t="shared" si="4"/>
        <v>Faulkner</v>
      </c>
      <c r="D95">
        <v>4</v>
      </c>
      <c r="F95">
        <v>60</v>
      </c>
      <c r="G95">
        <v>122</v>
      </c>
      <c r="H95">
        <v>1932</v>
      </c>
      <c r="I95">
        <v>144</v>
      </c>
      <c r="J95" s="27" t="str">
        <f t="shared" si="5"/>
        <v>https://ia601606.us.archive.org/33/items/FinancialStatisticsOfStateAndLocalGovernmentsWealthDebtAndTaxation1932/Financial_statistics_of_state_and_local_governments_Wealth_debt_and_taxation_1932.pdf#page=144</v>
      </c>
    </row>
    <row r="96" spans="1:10" x14ac:dyDescent="0.25">
      <c r="A96" s="27" t="s">
        <v>673</v>
      </c>
      <c r="B96" s="27" t="str">
        <f t="shared" si="3"/>
        <v>Arkansas</v>
      </c>
      <c r="C96" s="27" t="str">
        <f t="shared" si="4"/>
        <v>Franklin</v>
      </c>
      <c r="F96">
        <v>35</v>
      </c>
      <c r="G96">
        <v>77</v>
      </c>
      <c r="H96">
        <v>1932</v>
      </c>
      <c r="I96">
        <v>144</v>
      </c>
      <c r="J96" s="27" t="str">
        <f t="shared" si="5"/>
        <v>https://ia601606.us.archive.org/33/items/FinancialStatisticsOfStateAndLocalGovernmentsWealthDebtAndTaxation1932/Financial_statistics_of_state_and_local_governments_Wealth_debt_and_taxation_1932.pdf#page=144</v>
      </c>
    </row>
    <row r="97" spans="1:10" x14ac:dyDescent="0.25">
      <c r="A97" s="27" t="s">
        <v>674</v>
      </c>
      <c r="B97" s="27" t="str">
        <f t="shared" si="3"/>
        <v>Arkansas</v>
      </c>
      <c r="C97" s="27" t="str">
        <f t="shared" si="4"/>
        <v>Fulton</v>
      </c>
      <c r="F97">
        <v>33</v>
      </c>
      <c r="G97">
        <v>47</v>
      </c>
      <c r="H97">
        <v>1932</v>
      </c>
      <c r="I97">
        <v>144</v>
      </c>
      <c r="J97" s="27" t="str">
        <f t="shared" si="5"/>
        <v>https://ia601606.us.archive.org/33/items/FinancialStatisticsOfStateAndLocalGovernmentsWealthDebtAndTaxation1932/Financial_statistics_of_state_and_local_governments_Wealth_debt_and_taxation_1932.pdf#page=144</v>
      </c>
    </row>
    <row r="98" spans="1:10" x14ac:dyDescent="0.25">
      <c r="A98" s="27" t="s">
        <v>675</v>
      </c>
      <c r="B98" s="27" t="str">
        <f t="shared" si="3"/>
        <v>Arkansas</v>
      </c>
      <c r="C98" s="27" t="str">
        <f t="shared" si="4"/>
        <v>Garland</v>
      </c>
      <c r="D98">
        <v>9</v>
      </c>
      <c r="F98">
        <v>57</v>
      </c>
      <c r="G98">
        <v>213</v>
      </c>
      <c r="H98">
        <v>1932</v>
      </c>
      <c r="I98">
        <v>144</v>
      </c>
      <c r="J98" s="27" t="str">
        <f t="shared" si="5"/>
        <v>https://ia601606.us.archive.org/33/items/FinancialStatisticsOfStateAndLocalGovernmentsWealthDebtAndTaxation1932/Financial_statistics_of_state_and_local_governments_Wealth_debt_and_taxation_1932.pdf#page=144</v>
      </c>
    </row>
    <row r="99" spans="1:10" x14ac:dyDescent="0.25">
      <c r="A99" s="27" t="s">
        <v>676</v>
      </c>
      <c r="B99" s="27" t="str">
        <f t="shared" si="3"/>
        <v>Arkansas</v>
      </c>
      <c r="C99" s="27" t="str">
        <f t="shared" si="4"/>
        <v>Grant</v>
      </c>
      <c r="D99">
        <v>1</v>
      </c>
      <c r="F99">
        <v>17</v>
      </c>
      <c r="G99">
        <v>49</v>
      </c>
      <c r="H99">
        <v>1932</v>
      </c>
      <c r="I99">
        <v>144</v>
      </c>
      <c r="J99" s="27" t="str">
        <f t="shared" si="5"/>
        <v>https://ia601606.us.archive.org/33/items/FinancialStatisticsOfStateAndLocalGovernmentsWealthDebtAndTaxation1932/Financial_statistics_of_state_and_local_governments_Wealth_debt_and_taxation_1932.pdf#page=144</v>
      </c>
    </row>
    <row r="100" spans="1:10" x14ac:dyDescent="0.25">
      <c r="A100" s="27" t="s">
        <v>677</v>
      </c>
      <c r="B100" s="27" t="str">
        <f t="shared" si="3"/>
        <v>Arkansas</v>
      </c>
      <c r="C100" s="27" t="str">
        <f t="shared" si="4"/>
        <v>Greene</v>
      </c>
      <c r="D100">
        <v>1</v>
      </c>
      <c r="F100">
        <v>21</v>
      </c>
      <c r="G100">
        <v>106</v>
      </c>
      <c r="H100">
        <v>1932</v>
      </c>
      <c r="I100">
        <v>145</v>
      </c>
      <c r="J100" s="27" t="str">
        <f t="shared" si="5"/>
        <v>https://ia601606.us.archive.org/33/items/FinancialStatisticsOfStateAndLocalGovernmentsWealthDebtAndTaxation1932/Financial_statistics_of_state_and_local_governments_Wealth_debt_and_taxation_1932.pdf#page=145</v>
      </c>
    </row>
    <row r="101" spans="1:10" x14ac:dyDescent="0.25">
      <c r="A101" s="27" t="s">
        <v>678</v>
      </c>
      <c r="B101" s="27" t="str">
        <f t="shared" si="3"/>
        <v>Arkansas</v>
      </c>
      <c r="C101" s="27" t="str">
        <f t="shared" si="4"/>
        <v>Hempstead</v>
      </c>
      <c r="F101">
        <v>44</v>
      </c>
      <c r="G101">
        <v>131</v>
      </c>
      <c r="H101">
        <v>1932</v>
      </c>
      <c r="I101">
        <v>145</v>
      </c>
      <c r="J101" s="27" t="str">
        <f t="shared" si="5"/>
        <v>https://ia601606.us.archive.org/33/items/FinancialStatisticsOfStateAndLocalGovernmentsWealthDebtAndTaxation1932/Financial_statistics_of_state_and_local_governments_Wealth_debt_and_taxation_1932.pdf#page=145</v>
      </c>
    </row>
    <row r="102" spans="1:10" x14ac:dyDescent="0.25">
      <c r="A102" s="27" t="s">
        <v>679</v>
      </c>
      <c r="B102" s="27" t="str">
        <f t="shared" si="3"/>
        <v>Arkansas</v>
      </c>
      <c r="C102" s="27" t="str">
        <f t="shared" si="4"/>
        <v>Hot Spring</v>
      </c>
      <c r="D102">
        <v>1</v>
      </c>
      <c r="F102">
        <v>19</v>
      </c>
      <c r="G102">
        <v>68</v>
      </c>
      <c r="H102">
        <v>1932</v>
      </c>
      <c r="I102">
        <v>145</v>
      </c>
      <c r="J102" s="27" t="str">
        <f t="shared" si="5"/>
        <v>https://ia601606.us.archive.org/33/items/FinancialStatisticsOfStateAndLocalGovernmentsWealthDebtAndTaxation1932/Financial_statistics_of_state_and_local_governments_Wealth_debt_and_taxation_1932.pdf#page=145</v>
      </c>
    </row>
    <row r="103" spans="1:10" x14ac:dyDescent="0.25">
      <c r="A103" s="27" t="s">
        <v>680</v>
      </c>
      <c r="B103" s="27" t="str">
        <f t="shared" si="3"/>
        <v>Arkansas</v>
      </c>
      <c r="C103" s="27" t="str">
        <f t="shared" si="4"/>
        <v>Howard</v>
      </c>
      <c r="F103">
        <v>35</v>
      </c>
      <c r="G103">
        <v>84</v>
      </c>
      <c r="H103">
        <v>1932</v>
      </c>
      <c r="I103">
        <v>145</v>
      </c>
      <c r="J103" s="27" t="str">
        <f t="shared" si="5"/>
        <v>https://ia601606.us.archive.org/33/items/FinancialStatisticsOfStateAndLocalGovernmentsWealthDebtAndTaxation1932/Financial_statistics_of_state_and_local_governments_Wealth_debt_and_taxation_1932.pdf#page=145</v>
      </c>
    </row>
    <row r="104" spans="1:10" x14ac:dyDescent="0.25">
      <c r="A104" s="27" t="s">
        <v>681</v>
      </c>
      <c r="B104" s="27" t="str">
        <f t="shared" si="3"/>
        <v>Arkansas</v>
      </c>
      <c r="C104" s="27" t="str">
        <f t="shared" si="4"/>
        <v>Independence</v>
      </c>
      <c r="D104">
        <v>4</v>
      </c>
      <c r="F104">
        <v>41</v>
      </c>
      <c r="G104">
        <v>109</v>
      </c>
      <c r="H104">
        <v>1932</v>
      </c>
      <c r="I104">
        <v>145</v>
      </c>
      <c r="J104" s="27" t="str">
        <f t="shared" si="5"/>
        <v>https://ia601606.us.archive.org/33/items/FinancialStatisticsOfStateAndLocalGovernmentsWealthDebtAndTaxation1932/Financial_statistics_of_state_and_local_governments_Wealth_debt_and_taxation_1932.pdf#page=145</v>
      </c>
    </row>
    <row r="105" spans="1:10" x14ac:dyDescent="0.25">
      <c r="A105" s="27" t="s">
        <v>682</v>
      </c>
      <c r="B105" s="27" t="str">
        <f t="shared" si="3"/>
        <v>Arkansas</v>
      </c>
      <c r="C105" s="27" t="str">
        <f t="shared" si="4"/>
        <v>Izard</v>
      </c>
      <c r="D105">
        <v>1</v>
      </c>
      <c r="F105">
        <v>38</v>
      </c>
      <c r="G105">
        <v>23</v>
      </c>
      <c r="H105">
        <v>1932</v>
      </c>
      <c r="I105">
        <v>146</v>
      </c>
      <c r="J105" s="27" t="str">
        <f t="shared" si="5"/>
        <v>https://ia601606.us.archive.org/33/items/FinancialStatisticsOfStateAndLocalGovernmentsWealthDebtAndTaxation1932/Financial_statistics_of_state_and_local_governments_Wealth_debt_and_taxation_1932.pdf#page=146</v>
      </c>
    </row>
    <row r="106" spans="1:10" x14ac:dyDescent="0.25">
      <c r="A106" s="27" t="s">
        <v>683</v>
      </c>
      <c r="B106" s="27" t="str">
        <f t="shared" si="3"/>
        <v>Arkansas</v>
      </c>
      <c r="C106" s="27" t="str">
        <f t="shared" si="4"/>
        <v>Jackson</v>
      </c>
      <c r="D106">
        <v>2</v>
      </c>
      <c r="E106">
        <v>1</v>
      </c>
      <c r="F106">
        <v>43</v>
      </c>
      <c r="G106">
        <v>89</v>
      </c>
      <c r="H106">
        <v>1932</v>
      </c>
      <c r="I106">
        <v>146</v>
      </c>
      <c r="J106" s="27" t="str">
        <f t="shared" si="5"/>
        <v>https://ia601606.us.archive.org/33/items/FinancialStatisticsOfStateAndLocalGovernmentsWealthDebtAndTaxation1932/Financial_statistics_of_state_and_local_governments_Wealth_debt_and_taxation_1932.pdf#page=146</v>
      </c>
    </row>
    <row r="107" spans="1:10" x14ac:dyDescent="0.25">
      <c r="A107" s="27" t="s">
        <v>684</v>
      </c>
      <c r="B107" s="27" t="str">
        <f t="shared" si="3"/>
        <v>Arkansas</v>
      </c>
      <c r="C107" s="27" t="str">
        <f t="shared" si="4"/>
        <v>Jefferson</v>
      </c>
      <c r="D107">
        <v>4</v>
      </c>
      <c r="E107">
        <v>2</v>
      </c>
      <c r="F107">
        <v>85</v>
      </c>
      <c r="G107">
        <v>330</v>
      </c>
      <c r="H107">
        <v>1932</v>
      </c>
      <c r="I107">
        <v>146</v>
      </c>
      <c r="J107" s="27" t="str">
        <f t="shared" si="5"/>
        <v>https://ia601606.us.archive.org/33/items/FinancialStatisticsOfStateAndLocalGovernmentsWealthDebtAndTaxation1932/Financial_statistics_of_state_and_local_governments_Wealth_debt_and_taxation_1932.pdf#page=146</v>
      </c>
    </row>
    <row r="108" spans="1:10" x14ac:dyDescent="0.25">
      <c r="A108" s="27" t="s">
        <v>685</v>
      </c>
      <c r="B108" s="27" t="str">
        <f t="shared" si="3"/>
        <v>Arkansas</v>
      </c>
      <c r="C108" s="27" t="str">
        <f t="shared" si="4"/>
        <v>Johnson</v>
      </c>
      <c r="D108">
        <v>1</v>
      </c>
      <c r="F108">
        <v>22</v>
      </c>
      <c r="G108">
        <v>87</v>
      </c>
      <c r="H108">
        <v>1932</v>
      </c>
      <c r="I108">
        <v>146</v>
      </c>
      <c r="J108" s="27" t="str">
        <f t="shared" si="5"/>
        <v>https://ia601606.us.archive.org/33/items/FinancialStatisticsOfStateAndLocalGovernmentsWealthDebtAndTaxation1932/Financial_statistics_of_state_and_local_governments_Wealth_debt_and_taxation_1932.pdf#page=146</v>
      </c>
    </row>
    <row r="109" spans="1:10" x14ac:dyDescent="0.25">
      <c r="A109" s="27" t="s">
        <v>686</v>
      </c>
      <c r="B109" s="27" t="str">
        <f t="shared" si="3"/>
        <v>Arkansas</v>
      </c>
      <c r="C109" s="27" t="str">
        <f t="shared" si="4"/>
        <v>Lafayette</v>
      </c>
      <c r="F109">
        <v>30</v>
      </c>
      <c r="G109">
        <v>76</v>
      </c>
      <c r="H109">
        <v>1932</v>
      </c>
      <c r="I109">
        <v>146</v>
      </c>
      <c r="J109" s="27" t="str">
        <f t="shared" si="5"/>
        <v>https://ia601606.us.archive.org/33/items/FinancialStatisticsOfStateAndLocalGovernmentsWealthDebtAndTaxation1932/Financial_statistics_of_state_and_local_governments_Wealth_debt_and_taxation_1932.pdf#page=146</v>
      </c>
    </row>
    <row r="110" spans="1:10" x14ac:dyDescent="0.25">
      <c r="A110" s="27" t="s">
        <v>687</v>
      </c>
      <c r="B110" s="27" t="str">
        <f t="shared" si="3"/>
        <v>Arkansas</v>
      </c>
      <c r="C110" s="27" t="str">
        <f t="shared" si="4"/>
        <v>Lawrence</v>
      </c>
      <c r="F110">
        <v>35</v>
      </c>
      <c r="G110">
        <v>89</v>
      </c>
      <c r="H110">
        <v>1932</v>
      </c>
      <c r="I110">
        <v>146</v>
      </c>
      <c r="J110" s="27" t="str">
        <f t="shared" si="5"/>
        <v>https://ia601606.us.archive.org/33/items/FinancialStatisticsOfStateAndLocalGovernmentsWealthDebtAndTaxation1932/Financial_statistics_of_state_and_local_governments_Wealth_debt_and_taxation_1932.pdf#page=146</v>
      </c>
    </row>
    <row r="111" spans="1:10" x14ac:dyDescent="0.25">
      <c r="A111" s="27" t="s">
        <v>688</v>
      </c>
      <c r="B111" s="27" t="str">
        <f t="shared" si="3"/>
        <v>Arkansas</v>
      </c>
      <c r="C111" s="27" t="str">
        <f t="shared" si="4"/>
        <v>Lee</v>
      </c>
      <c r="F111">
        <v>110</v>
      </c>
      <c r="G111">
        <v>95</v>
      </c>
      <c r="H111">
        <v>1932</v>
      </c>
      <c r="I111">
        <v>146</v>
      </c>
      <c r="J111" s="27" t="str">
        <f t="shared" si="5"/>
        <v>https://ia601606.us.archive.org/33/items/FinancialStatisticsOfStateAndLocalGovernmentsWealthDebtAndTaxation1932/Financial_statistics_of_state_and_local_governments_Wealth_debt_and_taxation_1932.pdf#page=146</v>
      </c>
    </row>
    <row r="112" spans="1:10" x14ac:dyDescent="0.25">
      <c r="A112" s="27" t="s">
        <v>689</v>
      </c>
      <c r="B112" s="27" t="str">
        <f t="shared" si="3"/>
        <v>Arkansas</v>
      </c>
      <c r="C112" s="27" t="str">
        <f t="shared" si="4"/>
        <v>Lincoln</v>
      </c>
      <c r="D112">
        <v>1</v>
      </c>
      <c r="F112">
        <v>4</v>
      </c>
      <c r="G112">
        <v>60</v>
      </c>
      <c r="H112">
        <v>1932</v>
      </c>
      <c r="I112">
        <v>146</v>
      </c>
      <c r="J112" s="27" t="str">
        <f t="shared" si="5"/>
        <v>https://ia601606.us.archive.org/33/items/FinancialStatisticsOfStateAndLocalGovernmentsWealthDebtAndTaxation1932/Financial_statistics_of_state_and_local_governments_Wealth_debt_and_taxation_1932.pdf#page=146</v>
      </c>
    </row>
    <row r="113" spans="1:10" x14ac:dyDescent="0.25">
      <c r="A113" s="27" t="s">
        <v>690</v>
      </c>
      <c r="B113" s="27" t="str">
        <f t="shared" si="3"/>
        <v>Arkansas</v>
      </c>
      <c r="C113" s="27" t="str">
        <f t="shared" si="4"/>
        <v>Little River</v>
      </c>
      <c r="D113">
        <v>1</v>
      </c>
      <c r="F113">
        <v>30</v>
      </c>
      <c r="G113">
        <v>85</v>
      </c>
      <c r="H113">
        <v>1932</v>
      </c>
      <c r="I113">
        <v>146</v>
      </c>
      <c r="J113" s="27" t="str">
        <f t="shared" si="5"/>
        <v>https://ia601606.us.archive.org/33/items/FinancialStatisticsOfStateAndLocalGovernmentsWealthDebtAndTaxation1932/Financial_statistics_of_state_and_local_governments_Wealth_debt_and_taxation_1932.pdf#page=146</v>
      </c>
    </row>
    <row r="114" spans="1:10" x14ac:dyDescent="0.25">
      <c r="A114" s="27" t="s">
        <v>691</v>
      </c>
      <c r="B114" s="27" t="str">
        <f t="shared" si="3"/>
        <v>Arkansas</v>
      </c>
      <c r="C114" s="27" t="str">
        <f t="shared" si="4"/>
        <v>Logan</v>
      </c>
      <c r="D114">
        <v>1</v>
      </c>
      <c r="E114">
        <v>1</v>
      </c>
      <c r="F114">
        <v>46</v>
      </c>
      <c r="G114">
        <v>124</v>
      </c>
      <c r="H114">
        <v>1932</v>
      </c>
      <c r="I114">
        <v>147</v>
      </c>
      <c r="J114" s="27" t="str">
        <f t="shared" si="5"/>
        <v>https://ia601606.us.archive.org/33/items/FinancialStatisticsOfStateAndLocalGovernmentsWealthDebtAndTaxation1932/Financial_statistics_of_state_and_local_governments_Wealth_debt_and_taxation_1932.pdf#page=147</v>
      </c>
    </row>
    <row r="115" spans="1:10" x14ac:dyDescent="0.25">
      <c r="A115" s="27" t="s">
        <v>692</v>
      </c>
      <c r="B115" s="27" t="str">
        <f t="shared" si="3"/>
        <v>Arkansas</v>
      </c>
      <c r="C115" s="27" t="str">
        <f t="shared" si="4"/>
        <v>Lonoke</v>
      </c>
      <c r="D115">
        <v>1</v>
      </c>
      <c r="F115">
        <v>53</v>
      </c>
      <c r="G115">
        <v>165</v>
      </c>
      <c r="H115">
        <v>1932</v>
      </c>
      <c r="I115">
        <v>147</v>
      </c>
      <c r="J115" s="27" t="str">
        <f t="shared" si="5"/>
        <v>https://ia601606.us.archive.org/33/items/FinancialStatisticsOfStateAndLocalGovernmentsWealthDebtAndTaxation1932/Financial_statistics_of_state_and_local_governments_Wealth_debt_and_taxation_1932.pdf#page=147</v>
      </c>
    </row>
    <row r="116" spans="1:10" x14ac:dyDescent="0.25">
      <c r="A116" s="27" t="s">
        <v>693</v>
      </c>
      <c r="B116" s="27" t="str">
        <f t="shared" si="3"/>
        <v>Arkansas</v>
      </c>
      <c r="C116" s="27" t="str">
        <f t="shared" si="4"/>
        <v>Madison</v>
      </c>
      <c r="F116">
        <v>23</v>
      </c>
      <c r="G116">
        <v>46</v>
      </c>
      <c r="H116">
        <v>1932</v>
      </c>
      <c r="I116">
        <v>147</v>
      </c>
      <c r="J116" s="27" t="str">
        <f t="shared" si="5"/>
        <v>https://ia601606.us.archive.org/33/items/FinancialStatisticsOfStateAndLocalGovernmentsWealthDebtAndTaxation1932/Financial_statistics_of_state_and_local_governments_Wealth_debt_and_taxation_1932.pdf#page=147</v>
      </c>
    </row>
    <row r="117" spans="1:10" x14ac:dyDescent="0.25">
      <c r="A117" s="27" t="s">
        <v>694</v>
      </c>
      <c r="B117" s="27" t="str">
        <f t="shared" si="3"/>
        <v>Arkansas</v>
      </c>
      <c r="C117" s="27" t="str">
        <f t="shared" si="4"/>
        <v>Marion</v>
      </c>
      <c r="F117">
        <v>27</v>
      </c>
      <c r="G117">
        <v>44</v>
      </c>
      <c r="H117">
        <v>1932</v>
      </c>
      <c r="I117">
        <v>147</v>
      </c>
      <c r="J117" s="27" t="str">
        <f t="shared" si="5"/>
        <v>https://ia601606.us.archive.org/33/items/FinancialStatisticsOfStateAndLocalGovernmentsWealthDebtAndTaxation1932/Financial_statistics_of_state_and_local_governments_Wealth_debt_and_taxation_1932.pdf#page=147</v>
      </c>
    </row>
    <row r="118" spans="1:10" x14ac:dyDescent="0.25">
      <c r="A118" s="27" t="s">
        <v>695</v>
      </c>
      <c r="B118" s="27" t="str">
        <f t="shared" si="3"/>
        <v>Arkansas</v>
      </c>
      <c r="C118" s="27" t="str">
        <f t="shared" si="4"/>
        <v>Miller</v>
      </c>
      <c r="F118">
        <v>54</v>
      </c>
      <c r="G118">
        <v>202</v>
      </c>
      <c r="H118">
        <v>1932</v>
      </c>
      <c r="I118">
        <v>147</v>
      </c>
      <c r="J118" s="27" t="str">
        <f t="shared" si="5"/>
        <v>https://ia601606.us.archive.org/33/items/FinancialStatisticsOfStateAndLocalGovernmentsWealthDebtAndTaxation1932/Financial_statistics_of_state_and_local_governments_Wealth_debt_and_taxation_1932.pdf#page=147</v>
      </c>
    </row>
    <row r="119" spans="1:10" x14ac:dyDescent="0.25">
      <c r="A119" s="27" t="s">
        <v>696</v>
      </c>
      <c r="B119" s="27" t="str">
        <f t="shared" si="3"/>
        <v>Arkansas</v>
      </c>
      <c r="C119" s="27" t="str">
        <f t="shared" si="4"/>
        <v>Mississippi</v>
      </c>
      <c r="D119">
        <v>5</v>
      </c>
      <c r="E119">
        <v>3</v>
      </c>
      <c r="F119">
        <v>109</v>
      </c>
      <c r="G119">
        <v>240</v>
      </c>
      <c r="H119">
        <v>1932</v>
      </c>
      <c r="I119">
        <v>148</v>
      </c>
      <c r="J119" s="27" t="str">
        <f t="shared" si="5"/>
        <v>https://ia601606.us.archive.org/33/items/FinancialStatisticsOfStateAndLocalGovernmentsWealthDebtAndTaxation1932/Financial_statistics_of_state_and_local_governments_Wealth_debt_and_taxation_1932.pdf#page=148</v>
      </c>
    </row>
    <row r="120" spans="1:10" x14ac:dyDescent="0.25">
      <c r="A120" s="27" t="s">
        <v>697</v>
      </c>
      <c r="B120" s="27" t="str">
        <f t="shared" si="3"/>
        <v>Arkansas</v>
      </c>
      <c r="C120" s="27" t="str">
        <f t="shared" si="4"/>
        <v>Monroe</v>
      </c>
      <c r="D120">
        <v>3</v>
      </c>
      <c r="E120">
        <v>2</v>
      </c>
      <c r="F120">
        <v>34</v>
      </c>
      <c r="G120">
        <v>96</v>
      </c>
      <c r="H120">
        <v>1932</v>
      </c>
      <c r="I120">
        <v>148</v>
      </c>
      <c r="J120" s="27" t="str">
        <f t="shared" si="5"/>
        <v>https://ia601606.us.archive.org/33/items/FinancialStatisticsOfStateAndLocalGovernmentsWealthDebtAndTaxation1932/Financial_statistics_of_state_and_local_governments_Wealth_debt_and_taxation_1932.pdf#page=148</v>
      </c>
    </row>
    <row r="121" spans="1:10" x14ac:dyDescent="0.25">
      <c r="A121" s="27" t="s">
        <v>1713</v>
      </c>
      <c r="B121" s="27" t="str">
        <f t="shared" si="3"/>
        <v>Arkansas</v>
      </c>
      <c r="C121" s="27" t="str">
        <f t="shared" si="4"/>
        <v>Montgomery</v>
      </c>
      <c r="F121">
        <v>61</v>
      </c>
      <c r="G121">
        <v>25</v>
      </c>
      <c r="H121">
        <v>1932</v>
      </c>
      <c r="I121">
        <v>148</v>
      </c>
      <c r="J121" s="27" t="str">
        <f t="shared" si="5"/>
        <v>https://ia601606.us.archive.org/33/items/FinancialStatisticsOfStateAndLocalGovernmentsWealthDebtAndTaxation1932/Financial_statistics_of_state_and_local_governments_Wealth_debt_and_taxation_1932.pdf#page=148</v>
      </c>
    </row>
    <row r="122" spans="1:10" x14ac:dyDescent="0.25">
      <c r="A122" s="27" t="s">
        <v>698</v>
      </c>
      <c r="B122" s="27" t="str">
        <f t="shared" si="3"/>
        <v>Arkansas</v>
      </c>
      <c r="C122" s="27" t="str">
        <f t="shared" si="4"/>
        <v>Nevada</v>
      </c>
      <c r="F122">
        <v>33</v>
      </c>
      <c r="G122">
        <v>101</v>
      </c>
      <c r="H122">
        <v>1932</v>
      </c>
      <c r="I122">
        <v>148</v>
      </c>
      <c r="J122" s="27" t="str">
        <f t="shared" si="5"/>
        <v>https://ia601606.us.archive.org/33/items/FinancialStatisticsOfStateAndLocalGovernmentsWealthDebtAndTaxation1932/Financial_statistics_of_state_and_local_governments_Wealth_debt_and_taxation_1932.pdf#page=148</v>
      </c>
    </row>
    <row r="123" spans="1:10" x14ac:dyDescent="0.25">
      <c r="A123" s="27" t="s">
        <v>699</v>
      </c>
      <c r="B123" s="27" t="str">
        <f t="shared" si="3"/>
        <v>Arkansas</v>
      </c>
      <c r="C123" s="27" t="str">
        <f t="shared" si="4"/>
        <v>Newton</v>
      </c>
      <c r="F123">
        <v>19</v>
      </c>
      <c r="G123">
        <v>36</v>
      </c>
      <c r="H123">
        <v>1932</v>
      </c>
      <c r="I123">
        <v>148</v>
      </c>
      <c r="J123" s="27" t="str">
        <f t="shared" si="5"/>
        <v>https://ia601606.us.archive.org/33/items/FinancialStatisticsOfStateAndLocalGovernmentsWealthDebtAndTaxation1932/Financial_statistics_of_state_and_local_governments_Wealth_debt_and_taxation_1932.pdf#page=148</v>
      </c>
    </row>
    <row r="124" spans="1:10" x14ac:dyDescent="0.25">
      <c r="A124" s="27" t="s">
        <v>700</v>
      </c>
      <c r="B124" s="27" t="str">
        <f t="shared" si="3"/>
        <v>Arkansas</v>
      </c>
      <c r="C124" s="27" t="str">
        <f t="shared" si="4"/>
        <v>Ouachita</v>
      </c>
      <c r="D124">
        <v>7</v>
      </c>
      <c r="F124">
        <v>68</v>
      </c>
      <c r="G124">
        <v>256</v>
      </c>
      <c r="H124">
        <v>1932</v>
      </c>
      <c r="I124">
        <v>148</v>
      </c>
      <c r="J124" s="27" t="str">
        <f t="shared" si="5"/>
        <v>https://ia601606.us.archive.org/33/items/FinancialStatisticsOfStateAndLocalGovernmentsWealthDebtAndTaxation1932/Financial_statistics_of_state_and_local_governments_Wealth_debt_and_taxation_1932.pdf#page=148</v>
      </c>
    </row>
    <row r="125" spans="1:10" x14ac:dyDescent="0.25">
      <c r="A125" s="27" t="s">
        <v>701</v>
      </c>
      <c r="B125" s="27" t="str">
        <f t="shared" si="3"/>
        <v>Arkansas</v>
      </c>
      <c r="C125" s="27" t="str">
        <f t="shared" si="4"/>
        <v>Perry</v>
      </c>
      <c r="D125">
        <v>1</v>
      </c>
      <c r="F125">
        <v>14</v>
      </c>
      <c r="G125">
        <v>39</v>
      </c>
      <c r="H125">
        <v>1932</v>
      </c>
      <c r="I125">
        <v>148</v>
      </c>
      <c r="J125" s="27" t="str">
        <f t="shared" si="5"/>
        <v>https://ia601606.us.archive.org/33/items/FinancialStatisticsOfStateAndLocalGovernmentsWealthDebtAndTaxation1932/Financial_statistics_of_state_and_local_governments_Wealth_debt_and_taxation_1932.pdf#page=148</v>
      </c>
    </row>
    <row r="126" spans="1:10" x14ac:dyDescent="0.25">
      <c r="A126" s="27" t="s">
        <v>702</v>
      </c>
      <c r="B126" s="27" t="str">
        <f t="shared" si="3"/>
        <v>Arkansas</v>
      </c>
      <c r="C126" s="27" t="str">
        <f t="shared" si="4"/>
        <v>Phillips</v>
      </c>
      <c r="D126">
        <v>9</v>
      </c>
      <c r="E126">
        <v>6</v>
      </c>
      <c r="F126">
        <v>57</v>
      </c>
      <c r="G126">
        <v>177</v>
      </c>
      <c r="H126">
        <v>1932</v>
      </c>
      <c r="I126">
        <v>148</v>
      </c>
      <c r="J126" s="27" t="str">
        <f t="shared" si="5"/>
        <v>https://ia601606.us.archive.org/33/items/FinancialStatisticsOfStateAndLocalGovernmentsWealthDebtAndTaxation1932/Financial_statistics_of_state_and_local_governments_Wealth_debt_and_taxation_1932.pdf#page=148</v>
      </c>
    </row>
    <row r="127" spans="1:10" x14ac:dyDescent="0.25">
      <c r="A127" s="27" t="s">
        <v>703</v>
      </c>
      <c r="B127" s="27" t="str">
        <f t="shared" si="3"/>
        <v>Arkansas</v>
      </c>
      <c r="C127" s="27" t="str">
        <f t="shared" si="4"/>
        <v>Pike</v>
      </c>
      <c r="F127">
        <v>20</v>
      </c>
      <c r="G127">
        <v>60</v>
      </c>
      <c r="H127">
        <v>1932</v>
      </c>
      <c r="I127">
        <v>148</v>
      </c>
      <c r="J127" s="27" t="str">
        <f t="shared" si="5"/>
        <v>https://ia601606.us.archive.org/33/items/FinancialStatisticsOfStateAndLocalGovernmentsWealthDebtAndTaxation1932/Financial_statistics_of_state_and_local_governments_Wealth_debt_and_taxation_1932.pdf#page=148</v>
      </c>
    </row>
    <row r="128" spans="1:10" x14ac:dyDescent="0.25">
      <c r="A128" s="27" t="s">
        <v>704</v>
      </c>
      <c r="B128" s="27" t="str">
        <f t="shared" si="3"/>
        <v>Arkansas</v>
      </c>
      <c r="C128" s="27" t="str">
        <f t="shared" si="4"/>
        <v>Poinsett</v>
      </c>
      <c r="D128">
        <v>1</v>
      </c>
      <c r="F128">
        <v>52</v>
      </c>
      <c r="G128">
        <v>119</v>
      </c>
      <c r="H128">
        <v>1932</v>
      </c>
      <c r="I128">
        <v>149</v>
      </c>
      <c r="J128" s="27" t="str">
        <f t="shared" si="5"/>
        <v>https://ia601606.us.archive.org/33/items/FinancialStatisticsOfStateAndLocalGovernmentsWealthDebtAndTaxation1932/Financial_statistics_of_state_and_local_governments_Wealth_debt_and_taxation_1932.pdf#page=149</v>
      </c>
    </row>
    <row r="129" spans="1:10" x14ac:dyDescent="0.25">
      <c r="A129" s="27" t="s">
        <v>705</v>
      </c>
      <c r="B129" s="27" t="str">
        <f t="shared" si="3"/>
        <v>Arkansas</v>
      </c>
      <c r="C129" s="27" t="str">
        <f t="shared" si="4"/>
        <v>Polk</v>
      </c>
      <c r="D129">
        <v>1</v>
      </c>
      <c r="F129">
        <v>32</v>
      </c>
      <c r="G129">
        <v>91</v>
      </c>
      <c r="H129">
        <v>1932</v>
      </c>
      <c r="I129">
        <v>149</v>
      </c>
      <c r="J129" s="27" t="str">
        <f t="shared" si="5"/>
        <v>https://ia601606.us.archive.org/33/items/FinancialStatisticsOfStateAndLocalGovernmentsWealthDebtAndTaxation1932/Financial_statistics_of_state_and_local_governments_Wealth_debt_and_taxation_1932.pdf#page=149</v>
      </c>
    </row>
    <row r="130" spans="1:10" x14ac:dyDescent="0.25">
      <c r="A130" s="27" t="s">
        <v>706</v>
      </c>
      <c r="B130" s="27" t="str">
        <f t="shared" si="3"/>
        <v>Arkansas</v>
      </c>
      <c r="C130" s="27" t="str">
        <f t="shared" si="4"/>
        <v>Pope</v>
      </c>
      <c r="D130">
        <v>5</v>
      </c>
      <c r="F130">
        <v>45</v>
      </c>
      <c r="G130">
        <v>111</v>
      </c>
      <c r="H130">
        <v>1932</v>
      </c>
      <c r="I130">
        <v>149</v>
      </c>
      <c r="J130" s="27" t="str">
        <f t="shared" si="5"/>
        <v>https://ia601606.us.archive.org/33/items/FinancialStatisticsOfStateAndLocalGovernmentsWealthDebtAndTaxation1932/Financial_statistics_of_state_and_local_governments_Wealth_debt_and_taxation_1932.pdf#page=149</v>
      </c>
    </row>
    <row r="131" spans="1:10" x14ac:dyDescent="0.25">
      <c r="A131" s="27" t="s">
        <v>707</v>
      </c>
      <c r="B131" s="27" t="str">
        <f t="shared" ref="B131:B194" si="6">LEFT(A131,FIND(";",A131)-1)</f>
        <v>Arkansas</v>
      </c>
      <c r="C131" s="27" t="str">
        <f t="shared" ref="C131:C194" si="7">MID(A131,FIND(";",A131)+1,100)</f>
        <v>Prairie</v>
      </c>
      <c r="D131">
        <v>3</v>
      </c>
      <c r="F131">
        <v>25</v>
      </c>
      <c r="G131">
        <v>76</v>
      </c>
      <c r="H131">
        <v>1932</v>
      </c>
      <c r="I131">
        <v>149</v>
      </c>
      <c r="J131" s="27" t="str">
        <f t="shared" ref="J131:J194" si="8">"https://ia601606.us.archive.org/33/items/FinancialStatisticsOfStateAndLocalGovernmentsWealthDebtAndTaxation1932/Financial_statistics_of_state_and_local_governments_Wealth_debt_and_taxation_1932.pdf"&amp;"#page="&amp;I131</f>
        <v>https://ia601606.us.archive.org/33/items/FinancialStatisticsOfStateAndLocalGovernmentsWealthDebtAndTaxation1932/Financial_statistics_of_state_and_local_governments_Wealth_debt_and_taxation_1932.pdf#page=149</v>
      </c>
    </row>
    <row r="132" spans="1:10" x14ac:dyDescent="0.25">
      <c r="A132" s="27" t="s">
        <v>708</v>
      </c>
      <c r="B132" s="27" t="str">
        <f t="shared" si="6"/>
        <v>Arkansas</v>
      </c>
      <c r="C132" s="27" t="str">
        <f t="shared" si="7"/>
        <v>Pulaski</v>
      </c>
      <c r="D132">
        <v>19</v>
      </c>
      <c r="F132">
        <v>180</v>
      </c>
      <c r="G132">
        <v>1155</v>
      </c>
      <c r="H132">
        <v>1932</v>
      </c>
      <c r="I132">
        <v>149</v>
      </c>
      <c r="J132" s="27" t="str">
        <f t="shared" si="8"/>
        <v>https://ia601606.us.archive.org/33/items/FinancialStatisticsOfStateAndLocalGovernmentsWealthDebtAndTaxation1932/Financial_statistics_of_state_and_local_governments_Wealth_debt_and_taxation_1932.pdf#page=149</v>
      </c>
    </row>
    <row r="133" spans="1:10" x14ac:dyDescent="0.25">
      <c r="A133" s="27" t="s">
        <v>709</v>
      </c>
      <c r="B133" s="27" t="str">
        <f t="shared" si="6"/>
        <v>Arkansas</v>
      </c>
      <c r="C133" s="27" t="str">
        <f t="shared" si="7"/>
        <v>Randolph</v>
      </c>
      <c r="D133">
        <v>1</v>
      </c>
      <c r="F133">
        <v>36</v>
      </c>
      <c r="G133">
        <v>73</v>
      </c>
      <c r="H133">
        <v>1932</v>
      </c>
      <c r="I133">
        <v>150</v>
      </c>
      <c r="J133" s="27" t="str">
        <f t="shared" si="8"/>
        <v>https://ia601606.us.archive.org/33/items/FinancialStatisticsOfStateAndLocalGovernmentsWealthDebtAndTaxation1932/Financial_statistics_of_state_and_local_governments_Wealth_debt_and_taxation_1932.pdf#page=150</v>
      </c>
    </row>
    <row r="134" spans="1:10" x14ac:dyDescent="0.25">
      <c r="A134" s="27" t="s">
        <v>1747</v>
      </c>
      <c r="B134" s="27" t="str">
        <f t="shared" si="6"/>
        <v>Arkansas</v>
      </c>
      <c r="C134" s="27" t="str">
        <f t="shared" si="7"/>
        <v>St Francis</v>
      </c>
      <c r="D134">
        <v>1</v>
      </c>
      <c r="F134">
        <v>35</v>
      </c>
      <c r="G134">
        <v>120</v>
      </c>
      <c r="H134">
        <v>1932</v>
      </c>
      <c r="I134">
        <v>150</v>
      </c>
      <c r="J134" s="27" t="str">
        <f t="shared" si="8"/>
        <v>https://ia601606.us.archive.org/33/items/FinancialStatisticsOfStateAndLocalGovernmentsWealthDebtAndTaxation1932/Financial_statistics_of_state_and_local_governments_Wealth_debt_and_taxation_1932.pdf#page=150</v>
      </c>
    </row>
    <row r="135" spans="1:10" x14ac:dyDescent="0.25">
      <c r="A135" s="27" t="s">
        <v>710</v>
      </c>
      <c r="B135" s="27" t="str">
        <f t="shared" si="6"/>
        <v>Arkansas</v>
      </c>
      <c r="C135" s="27" t="str">
        <f t="shared" si="7"/>
        <v>Saline</v>
      </c>
      <c r="D135">
        <v>5</v>
      </c>
      <c r="F135">
        <v>28</v>
      </c>
      <c r="G135">
        <v>98</v>
      </c>
      <c r="H135">
        <v>1932</v>
      </c>
      <c r="I135">
        <v>150</v>
      </c>
      <c r="J135" s="27" t="str">
        <f t="shared" si="8"/>
        <v>https://ia601606.us.archive.org/33/items/FinancialStatisticsOfStateAndLocalGovernmentsWealthDebtAndTaxation1932/Financial_statistics_of_state_and_local_governments_Wealth_debt_and_taxation_1932.pdf#page=150</v>
      </c>
    </row>
    <row r="136" spans="1:10" x14ac:dyDescent="0.25">
      <c r="A136" s="27" t="s">
        <v>711</v>
      </c>
      <c r="B136" s="27" t="str">
        <f t="shared" si="6"/>
        <v>Arkansas</v>
      </c>
      <c r="C136" s="27" t="str">
        <f t="shared" si="7"/>
        <v>Scott</v>
      </c>
      <c r="F136">
        <v>27</v>
      </c>
      <c r="G136">
        <v>57</v>
      </c>
      <c r="H136">
        <v>1932</v>
      </c>
      <c r="I136">
        <v>150</v>
      </c>
      <c r="J136" s="27" t="str">
        <f t="shared" si="8"/>
        <v>https://ia601606.us.archive.org/33/items/FinancialStatisticsOfStateAndLocalGovernmentsWealthDebtAndTaxation1932/Financial_statistics_of_state_and_local_governments_Wealth_debt_and_taxation_1932.pdf#page=150</v>
      </c>
    </row>
    <row r="137" spans="1:10" x14ac:dyDescent="0.25">
      <c r="A137" s="27" t="s">
        <v>712</v>
      </c>
      <c r="B137" s="27" t="str">
        <f t="shared" si="6"/>
        <v>Arkansas</v>
      </c>
      <c r="C137" s="27" t="str">
        <f t="shared" si="7"/>
        <v>Searcy</v>
      </c>
      <c r="F137">
        <v>24</v>
      </c>
      <c r="G137">
        <v>29</v>
      </c>
      <c r="H137">
        <v>1932</v>
      </c>
      <c r="I137">
        <v>150</v>
      </c>
      <c r="J137" s="27" t="str">
        <f t="shared" si="8"/>
        <v>https://ia601606.us.archive.org/33/items/FinancialStatisticsOfStateAndLocalGovernmentsWealthDebtAndTaxation1932/Financial_statistics_of_state_and_local_governments_Wealth_debt_and_taxation_1932.pdf#page=150</v>
      </c>
    </row>
    <row r="138" spans="1:10" x14ac:dyDescent="0.25">
      <c r="A138" s="27" t="s">
        <v>713</v>
      </c>
      <c r="B138" s="27" t="str">
        <f t="shared" si="6"/>
        <v>Arkansas</v>
      </c>
      <c r="C138" s="27" t="str">
        <f t="shared" si="7"/>
        <v>Sebastian</v>
      </c>
      <c r="D138">
        <v>24</v>
      </c>
      <c r="F138">
        <v>111</v>
      </c>
      <c r="G138">
        <v>479</v>
      </c>
      <c r="H138">
        <v>1932</v>
      </c>
      <c r="I138">
        <v>150</v>
      </c>
      <c r="J138" s="27" t="str">
        <f t="shared" si="8"/>
        <v>https://ia601606.us.archive.org/33/items/FinancialStatisticsOfStateAndLocalGovernmentsWealthDebtAndTaxation1932/Financial_statistics_of_state_and_local_governments_Wealth_debt_and_taxation_1932.pdf#page=150</v>
      </c>
    </row>
    <row r="139" spans="1:10" x14ac:dyDescent="0.25">
      <c r="A139" s="27" t="s">
        <v>714</v>
      </c>
      <c r="B139" s="27" t="str">
        <f t="shared" si="6"/>
        <v>Arkansas</v>
      </c>
      <c r="C139" s="27" t="str">
        <f t="shared" si="7"/>
        <v>Sevier</v>
      </c>
      <c r="D139">
        <v>1</v>
      </c>
      <c r="E139">
        <v>1</v>
      </c>
      <c r="F139">
        <v>25</v>
      </c>
      <c r="G139">
        <v>88</v>
      </c>
      <c r="H139">
        <v>1932</v>
      </c>
      <c r="I139">
        <v>150</v>
      </c>
      <c r="J139" s="27" t="str">
        <f t="shared" si="8"/>
        <v>https://ia601606.us.archive.org/33/items/FinancialStatisticsOfStateAndLocalGovernmentsWealthDebtAndTaxation1932/Financial_statistics_of_state_and_local_governments_Wealth_debt_and_taxation_1932.pdf#page=150</v>
      </c>
    </row>
    <row r="140" spans="1:10" x14ac:dyDescent="0.25">
      <c r="A140" s="27" t="s">
        <v>715</v>
      </c>
      <c r="B140" s="27" t="str">
        <f t="shared" si="6"/>
        <v>Arkansas</v>
      </c>
      <c r="C140" s="27" t="str">
        <f t="shared" si="7"/>
        <v>Sharp</v>
      </c>
      <c r="F140">
        <v>13</v>
      </c>
      <c r="G140">
        <v>53</v>
      </c>
      <c r="H140">
        <v>1932</v>
      </c>
      <c r="I140">
        <v>150</v>
      </c>
      <c r="J140" s="27" t="str">
        <f t="shared" si="8"/>
        <v>https://ia601606.us.archive.org/33/items/FinancialStatisticsOfStateAndLocalGovernmentsWealthDebtAndTaxation1932/Financial_statistics_of_state_and_local_governments_Wealth_debt_and_taxation_1932.pdf#page=150</v>
      </c>
    </row>
    <row r="141" spans="1:10" x14ac:dyDescent="0.25">
      <c r="A141" s="27" t="s">
        <v>716</v>
      </c>
      <c r="B141" s="27" t="str">
        <f t="shared" si="6"/>
        <v>Arkansas</v>
      </c>
      <c r="C141" s="27" t="str">
        <f t="shared" si="7"/>
        <v>Stone</v>
      </c>
      <c r="D141">
        <v>1</v>
      </c>
      <c r="F141">
        <v>10</v>
      </c>
      <c r="G141">
        <v>15</v>
      </c>
      <c r="H141">
        <v>1932</v>
      </c>
      <c r="I141">
        <v>150</v>
      </c>
      <c r="J141" s="27" t="str">
        <f t="shared" si="8"/>
        <v>https://ia601606.us.archive.org/33/items/FinancialStatisticsOfStateAndLocalGovernmentsWealthDebtAndTaxation1932/Financial_statistics_of_state_and_local_governments_Wealth_debt_and_taxation_1932.pdf#page=150</v>
      </c>
    </row>
    <row r="142" spans="1:10" x14ac:dyDescent="0.25">
      <c r="A142" s="27" t="s">
        <v>717</v>
      </c>
      <c r="B142" s="27" t="str">
        <f t="shared" si="6"/>
        <v>Arkansas</v>
      </c>
      <c r="C142" s="27" t="str">
        <f t="shared" si="7"/>
        <v>Union</v>
      </c>
      <c r="D142">
        <v>5</v>
      </c>
      <c r="E142">
        <v>2</v>
      </c>
      <c r="F142">
        <v>107</v>
      </c>
      <c r="G142">
        <v>742</v>
      </c>
      <c r="H142">
        <v>1932</v>
      </c>
      <c r="I142">
        <v>151</v>
      </c>
      <c r="J142" s="27" t="str">
        <f t="shared" si="8"/>
        <v>https://ia601606.us.archive.org/33/items/FinancialStatisticsOfStateAndLocalGovernmentsWealthDebtAndTaxation1932/Financial_statistics_of_state_and_local_governments_Wealth_debt_and_taxation_1932.pdf#page=151</v>
      </c>
    </row>
    <row r="143" spans="1:10" x14ac:dyDescent="0.25">
      <c r="A143" s="27" t="s">
        <v>718</v>
      </c>
      <c r="B143" s="27" t="str">
        <f t="shared" si="6"/>
        <v>Arkansas</v>
      </c>
      <c r="C143" s="27" t="str">
        <f t="shared" si="7"/>
        <v>Van Buren</v>
      </c>
      <c r="F143">
        <v>3</v>
      </c>
      <c r="G143">
        <v>22</v>
      </c>
      <c r="H143">
        <v>1932</v>
      </c>
      <c r="I143">
        <v>151</v>
      </c>
      <c r="J143" s="27" t="str">
        <f t="shared" si="8"/>
        <v>https://ia601606.us.archive.org/33/items/FinancialStatisticsOfStateAndLocalGovernmentsWealthDebtAndTaxation1932/Financial_statistics_of_state_and_local_governments_Wealth_debt_and_taxation_1932.pdf#page=151</v>
      </c>
    </row>
    <row r="144" spans="1:10" x14ac:dyDescent="0.25">
      <c r="A144" s="27" t="s">
        <v>719</v>
      </c>
      <c r="B144" s="27" t="str">
        <f t="shared" si="6"/>
        <v>Arkansas</v>
      </c>
      <c r="C144" s="27" t="str">
        <f t="shared" si="7"/>
        <v>Washington</v>
      </c>
      <c r="D144">
        <v>1</v>
      </c>
      <c r="F144">
        <v>58</v>
      </c>
      <c r="G144">
        <v>252</v>
      </c>
      <c r="H144">
        <v>1932</v>
      </c>
      <c r="I144">
        <v>151</v>
      </c>
      <c r="J144" s="27" t="str">
        <f t="shared" si="8"/>
        <v>https://ia601606.us.archive.org/33/items/FinancialStatisticsOfStateAndLocalGovernmentsWealthDebtAndTaxation1932/Financial_statistics_of_state_and_local_governments_Wealth_debt_and_taxation_1932.pdf#page=151</v>
      </c>
    </row>
    <row r="145" spans="1:10" x14ac:dyDescent="0.25">
      <c r="A145" s="27" t="s">
        <v>720</v>
      </c>
      <c r="B145" s="27" t="str">
        <f t="shared" si="6"/>
        <v>Arkansas</v>
      </c>
      <c r="C145" s="27" t="str">
        <f t="shared" si="7"/>
        <v>White</v>
      </c>
      <c r="D145">
        <v>3</v>
      </c>
      <c r="E145">
        <v>1</v>
      </c>
      <c r="F145">
        <v>23</v>
      </c>
      <c r="G145">
        <v>162</v>
      </c>
      <c r="H145">
        <v>1932</v>
      </c>
      <c r="I145">
        <v>151</v>
      </c>
      <c r="J145" s="27" t="str">
        <f t="shared" si="8"/>
        <v>https://ia601606.us.archive.org/33/items/FinancialStatisticsOfStateAndLocalGovernmentsWealthDebtAndTaxation1932/Financial_statistics_of_state_and_local_governments_Wealth_debt_and_taxation_1932.pdf#page=151</v>
      </c>
    </row>
    <row r="146" spans="1:10" x14ac:dyDescent="0.25">
      <c r="A146" s="27" t="s">
        <v>721</v>
      </c>
      <c r="B146" s="27" t="str">
        <f t="shared" si="6"/>
        <v>Arkansas</v>
      </c>
      <c r="C146" s="27" t="str">
        <f t="shared" si="7"/>
        <v>Woodruff</v>
      </c>
      <c r="D146">
        <v>3</v>
      </c>
      <c r="F146">
        <v>33</v>
      </c>
      <c r="G146">
        <v>90</v>
      </c>
      <c r="H146">
        <v>1932</v>
      </c>
      <c r="I146">
        <v>151</v>
      </c>
      <c r="J146" s="27" t="str">
        <f t="shared" si="8"/>
        <v>https://ia601606.us.archive.org/33/items/FinancialStatisticsOfStateAndLocalGovernmentsWealthDebtAndTaxation1932/Financial_statistics_of_state_and_local_governments_Wealth_debt_and_taxation_1932.pdf#page=151</v>
      </c>
    </row>
    <row r="147" spans="1:10" x14ac:dyDescent="0.25">
      <c r="A147" s="27" t="s">
        <v>722</v>
      </c>
      <c r="B147" s="27" t="str">
        <f t="shared" si="6"/>
        <v>Arkansas</v>
      </c>
      <c r="C147" s="27" t="str">
        <f t="shared" si="7"/>
        <v>Yell</v>
      </c>
      <c r="D147">
        <v>2</v>
      </c>
      <c r="E147">
        <v>1</v>
      </c>
      <c r="F147">
        <v>43</v>
      </c>
      <c r="G147">
        <v>93</v>
      </c>
      <c r="H147">
        <v>1932</v>
      </c>
      <c r="I147">
        <v>151</v>
      </c>
      <c r="J147" s="27" t="str">
        <f t="shared" si="8"/>
        <v>https://ia601606.us.archive.org/33/items/FinancialStatisticsOfStateAndLocalGovernmentsWealthDebtAndTaxation1932/Financial_statistics_of_state_and_local_governments_Wealth_debt_and_taxation_1932.pdf#page=151</v>
      </c>
    </row>
    <row r="148" spans="1:10" x14ac:dyDescent="0.25">
      <c r="A148" s="27" t="s">
        <v>650</v>
      </c>
      <c r="B148" s="27" t="str">
        <f t="shared" si="6"/>
        <v/>
      </c>
      <c r="C148" s="27" t="str">
        <f t="shared" si="7"/>
        <v>MY TOTAL</v>
      </c>
      <c r="D148">
        <f>SUM(D73:D147)</f>
        <v>176</v>
      </c>
      <c r="E148">
        <f>SUM(E73:E147)</f>
        <v>27</v>
      </c>
      <c r="F148">
        <f>SUM(F73:F147)</f>
        <v>3088</v>
      </c>
      <c r="G148">
        <f>SUM(G73:G147)</f>
        <v>9679</v>
      </c>
      <c r="J148" s="27" t="str">
        <f t="shared" si="8"/>
        <v>https://ia601606.us.archive.org/33/items/FinancialStatisticsOfStateAndLocalGovernmentsWealthDebtAndTaxation1932/Financial_statistics_of_state_and_local_governments_Wealth_debt_and_taxation_1932.pdf#page=</v>
      </c>
    </row>
    <row r="149" spans="1:10" x14ac:dyDescent="0.25">
      <c r="A149" s="27" t="s">
        <v>651</v>
      </c>
      <c r="B149" s="27" t="str">
        <f t="shared" si="6"/>
        <v/>
      </c>
      <c r="C149" s="27" t="str">
        <f t="shared" si="7"/>
        <v>REPORTED TOTAL</v>
      </c>
      <c r="D149" t="s">
        <v>87</v>
      </c>
      <c r="F149" t="s">
        <v>88</v>
      </c>
      <c r="J149" s="27" t="str">
        <f t="shared" si="8"/>
        <v>https://ia601606.us.archive.org/33/items/FinancialStatisticsOfStateAndLocalGovernmentsWealthDebtAndTaxation1932/Financial_statistics_of_state_and_local_governments_Wealth_debt_and_taxation_1932.pdf#page=</v>
      </c>
    </row>
    <row r="150" spans="1:10" x14ac:dyDescent="0.25">
      <c r="A150" s="27" t="s">
        <v>1367</v>
      </c>
      <c r="B150" s="27" t="str">
        <f t="shared" si="6"/>
        <v/>
      </c>
      <c r="C150" s="27" t="str">
        <f t="shared" si="7"/>
        <v/>
      </c>
      <c r="D150" t="s">
        <v>60</v>
      </c>
      <c r="E150" t="s">
        <v>60</v>
      </c>
      <c r="F150" t="s">
        <v>60</v>
      </c>
      <c r="G150" t="s">
        <v>60</v>
      </c>
      <c r="J150" s="27" t="str">
        <f t="shared" si="8"/>
        <v>https://ia601606.us.archive.org/33/items/FinancialStatisticsOfStateAndLocalGovernmentsWealthDebtAndTaxation1932/Financial_statistics_of_state_and_local_governments_Wealth_debt_and_taxation_1932.pdf#page=</v>
      </c>
    </row>
    <row r="151" spans="1:10" x14ac:dyDescent="0.25">
      <c r="A151" s="27" t="s">
        <v>1367</v>
      </c>
      <c r="B151" s="27" t="str">
        <f t="shared" si="6"/>
        <v/>
      </c>
      <c r="C151" s="27" t="str">
        <f t="shared" si="7"/>
        <v/>
      </c>
      <c r="J151" s="27" t="str">
        <f t="shared" si="8"/>
        <v>https://ia601606.us.archive.org/33/items/FinancialStatisticsOfStateAndLocalGovernmentsWealthDebtAndTaxation1932/Financial_statistics_of_state_and_local_governments_Wealth_debt_and_taxation_1932.pdf#page=</v>
      </c>
    </row>
    <row r="152" spans="1:10" x14ac:dyDescent="0.25">
      <c r="A152" s="27" t="s">
        <v>723</v>
      </c>
      <c r="B152" s="27" t="str">
        <f t="shared" si="6"/>
        <v>Georgia</v>
      </c>
      <c r="C152" s="27" t="str">
        <f t="shared" si="7"/>
        <v>Appling</v>
      </c>
      <c r="D152">
        <v>1</v>
      </c>
      <c r="G152">
        <v>42</v>
      </c>
      <c r="H152">
        <v>1932</v>
      </c>
      <c r="I152">
        <v>345</v>
      </c>
      <c r="J152" s="27" t="str">
        <f t="shared" si="8"/>
        <v>https://ia601606.us.archive.org/33/items/FinancialStatisticsOfStateAndLocalGovernmentsWealthDebtAndTaxation1932/Financial_statistics_of_state_and_local_governments_Wealth_debt_and_taxation_1932.pdf#page=345</v>
      </c>
    </row>
    <row r="153" spans="1:10" x14ac:dyDescent="0.25">
      <c r="A153" s="27" t="s">
        <v>724</v>
      </c>
      <c r="B153" s="27" t="str">
        <f t="shared" si="6"/>
        <v>Georgia</v>
      </c>
      <c r="C153" s="27" t="str">
        <f t="shared" si="7"/>
        <v>Atkinson</v>
      </c>
      <c r="G153">
        <v>34</v>
      </c>
      <c r="H153">
        <v>1932</v>
      </c>
      <c r="I153">
        <v>345</v>
      </c>
      <c r="J153" s="27" t="str">
        <f t="shared" si="8"/>
        <v>https://ia601606.us.archive.org/33/items/FinancialStatisticsOfStateAndLocalGovernmentsWealthDebtAndTaxation1932/Financial_statistics_of_state_and_local_governments_Wealth_debt_and_taxation_1932.pdf#page=345</v>
      </c>
    </row>
    <row r="154" spans="1:10" x14ac:dyDescent="0.25">
      <c r="A154" s="27" t="s">
        <v>725</v>
      </c>
      <c r="B154" s="27" t="str">
        <f t="shared" si="6"/>
        <v>Georgia</v>
      </c>
      <c r="C154" s="27" t="str">
        <f t="shared" si="7"/>
        <v>Bacon</v>
      </c>
      <c r="G154">
        <v>38</v>
      </c>
      <c r="H154">
        <v>1932</v>
      </c>
      <c r="I154">
        <v>345</v>
      </c>
      <c r="J154" s="27" t="str">
        <f t="shared" si="8"/>
        <v>https://ia601606.us.archive.org/33/items/FinancialStatisticsOfStateAndLocalGovernmentsWealthDebtAndTaxation1932/Financial_statistics_of_state_and_local_governments_Wealth_debt_and_taxation_1932.pdf#page=345</v>
      </c>
    </row>
    <row r="155" spans="1:10" x14ac:dyDescent="0.25">
      <c r="A155" s="27" t="s">
        <v>726</v>
      </c>
      <c r="B155" s="27" t="str">
        <f t="shared" si="6"/>
        <v>Georgia</v>
      </c>
      <c r="C155" s="27" t="str">
        <f t="shared" si="7"/>
        <v>Baker</v>
      </c>
      <c r="G155">
        <v>30</v>
      </c>
      <c r="H155">
        <v>1932</v>
      </c>
      <c r="I155">
        <v>345</v>
      </c>
      <c r="J155" s="27" t="str">
        <f t="shared" si="8"/>
        <v>https://ia601606.us.archive.org/33/items/FinancialStatisticsOfStateAndLocalGovernmentsWealthDebtAndTaxation1932/Financial_statistics_of_state_and_local_governments_Wealth_debt_and_taxation_1932.pdf#page=345</v>
      </c>
    </row>
    <row r="156" spans="1:10" x14ac:dyDescent="0.25">
      <c r="A156" s="27" t="s">
        <v>727</v>
      </c>
      <c r="B156" s="27" t="str">
        <f t="shared" si="6"/>
        <v>Georgia</v>
      </c>
      <c r="C156" s="27" t="str">
        <f t="shared" si="7"/>
        <v>Baldwin</v>
      </c>
      <c r="D156">
        <v>3</v>
      </c>
      <c r="G156">
        <v>88</v>
      </c>
      <c r="H156">
        <v>1932</v>
      </c>
      <c r="I156">
        <v>346</v>
      </c>
      <c r="J156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57" spans="1:10" x14ac:dyDescent="0.25">
      <c r="A157" s="27" t="s">
        <v>728</v>
      </c>
      <c r="B157" s="27" t="str">
        <f t="shared" si="6"/>
        <v>Georgia</v>
      </c>
      <c r="C157" s="27" t="str">
        <f t="shared" si="7"/>
        <v>Banks</v>
      </c>
      <c r="G157">
        <v>33</v>
      </c>
      <c r="H157">
        <v>1932</v>
      </c>
      <c r="I157">
        <v>346</v>
      </c>
      <c r="J157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58" spans="1:10" x14ac:dyDescent="0.25">
      <c r="A158" s="27" t="s">
        <v>729</v>
      </c>
      <c r="B158" s="27" t="str">
        <f t="shared" si="6"/>
        <v>Georgia</v>
      </c>
      <c r="C158" s="27" t="str">
        <f t="shared" si="7"/>
        <v>Barrow</v>
      </c>
      <c r="G158">
        <v>64</v>
      </c>
      <c r="H158">
        <v>1932</v>
      </c>
      <c r="I158">
        <v>346</v>
      </c>
      <c r="J158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59" spans="1:10" x14ac:dyDescent="0.25">
      <c r="A159" s="27" t="s">
        <v>1778</v>
      </c>
      <c r="B159" s="27" t="str">
        <f t="shared" si="6"/>
        <v>Georgia</v>
      </c>
      <c r="C159" s="27" t="str">
        <f t="shared" si="7"/>
        <v>Bartow/Cass</v>
      </c>
      <c r="D159">
        <v>1</v>
      </c>
      <c r="G159">
        <v>121</v>
      </c>
      <c r="H159">
        <v>1932</v>
      </c>
      <c r="I159">
        <v>346</v>
      </c>
      <c r="J159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60" spans="1:10" x14ac:dyDescent="0.25">
      <c r="A160" s="27" t="s">
        <v>730</v>
      </c>
      <c r="B160" s="27" t="str">
        <f t="shared" si="6"/>
        <v>Georgia</v>
      </c>
      <c r="C160" s="27" t="str">
        <f t="shared" si="7"/>
        <v>Ben Hill</v>
      </c>
      <c r="D160">
        <v>1</v>
      </c>
      <c r="G160">
        <v>77</v>
      </c>
      <c r="H160">
        <v>1932</v>
      </c>
      <c r="I160">
        <v>346</v>
      </c>
      <c r="J160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61" spans="1:10" x14ac:dyDescent="0.25">
      <c r="A161" s="27" t="s">
        <v>731</v>
      </c>
      <c r="B161" s="27" t="str">
        <f t="shared" si="6"/>
        <v>Georgia</v>
      </c>
      <c r="C161" s="27" t="str">
        <f t="shared" si="7"/>
        <v>Berrien</v>
      </c>
      <c r="D161">
        <v>1</v>
      </c>
      <c r="G161">
        <v>61</v>
      </c>
      <c r="H161">
        <v>1932</v>
      </c>
      <c r="I161">
        <v>346</v>
      </c>
      <c r="J161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62" spans="1:10" x14ac:dyDescent="0.25">
      <c r="A162" s="27" t="s">
        <v>732</v>
      </c>
      <c r="B162" s="27" t="str">
        <f t="shared" si="6"/>
        <v>Georgia</v>
      </c>
      <c r="C162" s="27" t="str">
        <f t="shared" si="7"/>
        <v>Bibb</v>
      </c>
      <c r="D162">
        <v>20</v>
      </c>
      <c r="G162">
        <v>562</v>
      </c>
      <c r="H162">
        <v>1932</v>
      </c>
      <c r="I162">
        <v>346</v>
      </c>
      <c r="J162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63" spans="1:10" x14ac:dyDescent="0.25">
      <c r="A163" s="27" t="s">
        <v>733</v>
      </c>
      <c r="B163" s="27" t="str">
        <f t="shared" si="6"/>
        <v>Georgia</v>
      </c>
      <c r="C163" s="27" t="str">
        <f t="shared" si="7"/>
        <v>Bleckley</v>
      </c>
      <c r="D163">
        <v>1</v>
      </c>
      <c r="G163">
        <v>46</v>
      </c>
      <c r="H163">
        <v>1932</v>
      </c>
      <c r="I163">
        <v>346</v>
      </c>
      <c r="J163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64" spans="1:10" x14ac:dyDescent="0.25">
      <c r="A164" s="27" t="s">
        <v>734</v>
      </c>
      <c r="B164" s="27" t="str">
        <f t="shared" si="6"/>
        <v>Georgia</v>
      </c>
      <c r="C164" s="27" t="str">
        <f t="shared" si="7"/>
        <v>Brantley</v>
      </c>
      <c r="G164">
        <v>58</v>
      </c>
      <c r="H164">
        <v>1932</v>
      </c>
      <c r="I164">
        <v>346</v>
      </c>
      <c r="J164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65" spans="1:10" x14ac:dyDescent="0.25">
      <c r="A165" s="27" t="s">
        <v>735</v>
      </c>
      <c r="B165" s="27" t="str">
        <f t="shared" si="6"/>
        <v>Georgia</v>
      </c>
      <c r="C165" s="27" t="str">
        <f t="shared" si="7"/>
        <v>Brooks</v>
      </c>
      <c r="D165">
        <v>4</v>
      </c>
      <c r="G165">
        <v>106</v>
      </c>
      <c r="H165">
        <v>1932</v>
      </c>
      <c r="I165">
        <v>346</v>
      </c>
      <c r="J165" s="27" t="str">
        <f t="shared" si="8"/>
        <v>https://ia601606.us.archive.org/33/items/FinancialStatisticsOfStateAndLocalGovernmentsWealthDebtAndTaxation1932/Financial_statistics_of_state_and_local_governments_Wealth_debt_and_taxation_1932.pdf#page=346</v>
      </c>
    </row>
    <row r="166" spans="1:10" x14ac:dyDescent="0.25">
      <c r="A166" s="27" t="s">
        <v>736</v>
      </c>
      <c r="B166" s="27" t="str">
        <f t="shared" si="6"/>
        <v>Georgia</v>
      </c>
      <c r="C166" s="27" t="str">
        <f t="shared" si="7"/>
        <v>Bryan</v>
      </c>
      <c r="G166">
        <v>45</v>
      </c>
      <c r="H166">
        <v>1932</v>
      </c>
      <c r="I166">
        <v>347</v>
      </c>
      <c r="J166" s="27" t="str">
        <f t="shared" si="8"/>
        <v>https://ia601606.us.archive.org/33/items/FinancialStatisticsOfStateAndLocalGovernmentsWealthDebtAndTaxation1932/Financial_statistics_of_state_and_local_governments_Wealth_debt_and_taxation_1932.pdf#page=347</v>
      </c>
    </row>
    <row r="167" spans="1:10" x14ac:dyDescent="0.25">
      <c r="A167" s="27" t="s">
        <v>737</v>
      </c>
      <c r="B167" s="27" t="str">
        <f t="shared" si="6"/>
        <v>Georgia</v>
      </c>
      <c r="C167" s="27" t="str">
        <f t="shared" si="7"/>
        <v>Bulloch</v>
      </c>
      <c r="D167">
        <v>1</v>
      </c>
      <c r="G167">
        <v>136</v>
      </c>
      <c r="H167">
        <v>1932</v>
      </c>
      <c r="I167">
        <v>347</v>
      </c>
      <c r="J167" s="27" t="str">
        <f t="shared" si="8"/>
        <v>https://ia601606.us.archive.org/33/items/FinancialStatisticsOfStateAndLocalGovernmentsWealthDebtAndTaxation1932/Financial_statistics_of_state_and_local_governments_Wealth_debt_and_taxation_1932.pdf#page=347</v>
      </c>
    </row>
    <row r="168" spans="1:10" x14ac:dyDescent="0.25">
      <c r="A168" s="27" t="s">
        <v>738</v>
      </c>
      <c r="B168" s="27" t="str">
        <f t="shared" si="6"/>
        <v>Georgia</v>
      </c>
      <c r="C168" s="27" t="str">
        <f t="shared" si="7"/>
        <v>Burke</v>
      </c>
      <c r="D168">
        <v>2</v>
      </c>
      <c r="G168">
        <v>105</v>
      </c>
      <c r="H168">
        <v>1932</v>
      </c>
      <c r="I168">
        <v>347</v>
      </c>
      <c r="J168" s="27" t="str">
        <f t="shared" si="8"/>
        <v>https://ia601606.us.archive.org/33/items/FinancialStatisticsOfStateAndLocalGovernmentsWealthDebtAndTaxation1932/Financial_statistics_of_state_and_local_governments_Wealth_debt_and_taxation_1932.pdf#page=347</v>
      </c>
    </row>
    <row r="169" spans="1:10" x14ac:dyDescent="0.25">
      <c r="A169" s="27" t="s">
        <v>739</v>
      </c>
      <c r="B169" s="27" t="str">
        <f t="shared" si="6"/>
        <v>Georgia</v>
      </c>
      <c r="C169" s="27" t="str">
        <f t="shared" si="7"/>
        <v>Butts</v>
      </c>
      <c r="G169">
        <v>50</v>
      </c>
      <c r="H169">
        <v>1932</v>
      </c>
      <c r="I169">
        <v>347</v>
      </c>
      <c r="J169" s="27" t="str">
        <f t="shared" si="8"/>
        <v>https://ia601606.us.archive.org/33/items/FinancialStatisticsOfStateAndLocalGovernmentsWealthDebtAndTaxation1932/Financial_statistics_of_state_and_local_governments_Wealth_debt_and_taxation_1932.pdf#page=347</v>
      </c>
    </row>
    <row r="170" spans="1:10" x14ac:dyDescent="0.25">
      <c r="A170" s="27" t="s">
        <v>740</v>
      </c>
      <c r="B170" s="27" t="str">
        <f t="shared" si="6"/>
        <v>Georgia</v>
      </c>
      <c r="C170" s="27" t="str">
        <f t="shared" si="7"/>
        <v>Calhoun</v>
      </c>
      <c r="G170">
        <v>52</v>
      </c>
      <c r="H170">
        <v>1932</v>
      </c>
      <c r="I170">
        <v>347</v>
      </c>
      <c r="J170" s="27" t="str">
        <f t="shared" si="8"/>
        <v>https://ia601606.us.archive.org/33/items/FinancialStatisticsOfStateAndLocalGovernmentsWealthDebtAndTaxation1932/Financial_statistics_of_state_and_local_governments_Wealth_debt_and_taxation_1932.pdf#page=347</v>
      </c>
    </row>
    <row r="171" spans="1:10" x14ac:dyDescent="0.25">
      <c r="A171" s="27" t="s">
        <v>741</v>
      </c>
      <c r="B171" s="27" t="str">
        <f t="shared" si="6"/>
        <v>Georgia</v>
      </c>
      <c r="C171" s="27" t="str">
        <f t="shared" si="7"/>
        <v>Camden</v>
      </c>
      <c r="D171">
        <v>1</v>
      </c>
      <c r="G171">
        <v>41</v>
      </c>
      <c r="H171">
        <v>1932</v>
      </c>
      <c r="I171">
        <v>347</v>
      </c>
      <c r="J171" s="27" t="str">
        <f t="shared" si="8"/>
        <v>https://ia601606.us.archive.org/33/items/FinancialStatisticsOfStateAndLocalGovernmentsWealthDebtAndTaxation1932/Financial_statistics_of_state_and_local_governments_Wealth_debt_and_taxation_1932.pdf#page=347</v>
      </c>
    </row>
    <row r="172" spans="1:10" x14ac:dyDescent="0.25">
      <c r="A172" s="27" t="s">
        <v>742</v>
      </c>
      <c r="B172" s="27" t="str">
        <f t="shared" si="6"/>
        <v>Georgia</v>
      </c>
      <c r="C172" s="27" t="str">
        <f t="shared" si="7"/>
        <v>Campbell</v>
      </c>
      <c r="G172">
        <v>51</v>
      </c>
      <c r="H172">
        <v>1932</v>
      </c>
      <c r="I172">
        <v>348</v>
      </c>
      <c r="J172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73" spans="1:10" x14ac:dyDescent="0.25">
      <c r="A173" s="27" t="s">
        <v>743</v>
      </c>
      <c r="B173" s="27" t="str">
        <f t="shared" si="6"/>
        <v>Georgia</v>
      </c>
      <c r="C173" s="27" t="str">
        <f t="shared" si="7"/>
        <v>Candler</v>
      </c>
      <c r="G173">
        <v>59</v>
      </c>
      <c r="H173">
        <v>1932</v>
      </c>
      <c r="I173">
        <v>348</v>
      </c>
      <c r="J173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74" spans="1:10" x14ac:dyDescent="0.25">
      <c r="A174" s="27" t="s">
        <v>744</v>
      </c>
      <c r="B174" s="27" t="str">
        <f t="shared" si="6"/>
        <v>Georgia</v>
      </c>
      <c r="C174" s="27" t="str">
        <f t="shared" si="7"/>
        <v>Carroll</v>
      </c>
      <c r="D174">
        <v>1</v>
      </c>
      <c r="G174">
        <v>150</v>
      </c>
      <c r="H174">
        <v>1932</v>
      </c>
      <c r="I174">
        <v>348</v>
      </c>
      <c r="J174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75" spans="1:10" x14ac:dyDescent="0.25">
      <c r="A175" s="27" t="s">
        <v>745</v>
      </c>
      <c r="B175" s="27" t="str">
        <f t="shared" si="6"/>
        <v>Georgia</v>
      </c>
      <c r="C175" s="27" t="str">
        <f t="shared" si="7"/>
        <v>Catoosa</v>
      </c>
      <c r="G175">
        <v>32</v>
      </c>
      <c r="H175">
        <v>1932</v>
      </c>
      <c r="I175">
        <v>348</v>
      </c>
      <c r="J175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76" spans="1:10" x14ac:dyDescent="0.25">
      <c r="A176" s="27" t="s">
        <v>746</v>
      </c>
      <c r="B176" s="27" t="str">
        <f t="shared" si="6"/>
        <v>Georgia</v>
      </c>
      <c r="C176" s="27" t="str">
        <f t="shared" si="7"/>
        <v>Charlton</v>
      </c>
      <c r="G176">
        <v>50</v>
      </c>
      <c r="H176">
        <v>1932</v>
      </c>
      <c r="I176">
        <v>348</v>
      </c>
      <c r="J176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77" spans="1:10" x14ac:dyDescent="0.25">
      <c r="A177" s="27" t="s">
        <v>747</v>
      </c>
      <c r="B177" s="27" t="str">
        <f t="shared" si="6"/>
        <v>Georgia</v>
      </c>
      <c r="C177" s="27" t="str">
        <f t="shared" si="7"/>
        <v>Chatham</v>
      </c>
      <c r="D177">
        <v>66</v>
      </c>
      <c r="G177">
        <v>762</v>
      </c>
      <c r="H177">
        <v>1932</v>
      </c>
      <c r="I177">
        <v>348</v>
      </c>
      <c r="J177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78" spans="1:10" x14ac:dyDescent="0.25">
      <c r="A178" s="27" t="s">
        <v>748</v>
      </c>
      <c r="B178" s="27" t="str">
        <f t="shared" si="6"/>
        <v>Georgia</v>
      </c>
      <c r="C178" s="27" t="str">
        <f t="shared" si="7"/>
        <v>Chattahoochee</v>
      </c>
      <c r="G178">
        <v>19</v>
      </c>
      <c r="H178">
        <v>1932</v>
      </c>
      <c r="I178">
        <v>348</v>
      </c>
      <c r="J178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79" spans="1:10" x14ac:dyDescent="0.25">
      <c r="A179" s="27" t="s">
        <v>749</v>
      </c>
      <c r="B179" s="27" t="str">
        <f t="shared" si="6"/>
        <v>Georgia</v>
      </c>
      <c r="C179" s="27" t="str">
        <f t="shared" si="7"/>
        <v>Chattooga</v>
      </c>
      <c r="D179">
        <v>1</v>
      </c>
      <c r="G179">
        <v>55</v>
      </c>
      <c r="H179">
        <v>1932</v>
      </c>
      <c r="I179">
        <v>348</v>
      </c>
      <c r="J179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80" spans="1:10" x14ac:dyDescent="0.25">
      <c r="A180" s="27" t="s">
        <v>750</v>
      </c>
      <c r="B180" s="27" t="str">
        <f t="shared" si="6"/>
        <v>Georgia</v>
      </c>
      <c r="C180" s="27" t="str">
        <f t="shared" si="7"/>
        <v>Cherokee</v>
      </c>
      <c r="D180">
        <v>1</v>
      </c>
      <c r="G180">
        <v>104</v>
      </c>
      <c r="H180">
        <v>1932</v>
      </c>
      <c r="I180">
        <v>348</v>
      </c>
      <c r="J180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81" spans="1:10" x14ac:dyDescent="0.25">
      <c r="A181" s="27" t="s">
        <v>751</v>
      </c>
      <c r="B181" s="27" t="str">
        <f t="shared" si="6"/>
        <v>Georgia</v>
      </c>
      <c r="C181" s="27" t="str">
        <f t="shared" si="7"/>
        <v>Clarke</v>
      </c>
      <c r="D181">
        <v>21</v>
      </c>
      <c r="F181">
        <v>2</v>
      </c>
      <c r="G181">
        <v>292</v>
      </c>
      <c r="H181">
        <v>1932</v>
      </c>
      <c r="I181">
        <v>348</v>
      </c>
      <c r="J181" s="27" t="str">
        <f t="shared" si="8"/>
        <v>https://ia601606.us.archive.org/33/items/FinancialStatisticsOfStateAndLocalGovernmentsWealthDebtAndTaxation1932/Financial_statistics_of_state_and_local_governments_Wealth_debt_and_taxation_1932.pdf#page=348</v>
      </c>
    </row>
    <row r="182" spans="1:10" x14ac:dyDescent="0.25">
      <c r="A182" s="27" t="s">
        <v>752</v>
      </c>
      <c r="B182" s="27" t="str">
        <f t="shared" si="6"/>
        <v>Georgia</v>
      </c>
      <c r="C182" s="27" t="str">
        <f t="shared" si="7"/>
        <v>Clay</v>
      </c>
      <c r="G182">
        <v>29</v>
      </c>
      <c r="H182">
        <v>1932</v>
      </c>
      <c r="I182">
        <v>349</v>
      </c>
      <c r="J182" s="27" t="str">
        <f t="shared" si="8"/>
        <v>https://ia601606.us.archive.org/33/items/FinancialStatisticsOfStateAndLocalGovernmentsWealthDebtAndTaxation1932/Financial_statistics_of_state_and_local_governments_Wealth_debt_and_taxation_1932.pdf#page=349</v>
      </c>
    </row>
    <row r="183" spans="1:10" x14ac:dyDescent="0.25">
      <c r="A183" s="27" t="s">
        <v>753</v>
      </c>
      <c r="B183" s="27" t="str">
        <f t="shared" si="6"/>
        <v>Georgia</v>
      </c>
      <c r="C183" s="27" t="str">
        <f t="shared" si="7"/>
        <v>Clayton</v>
      </c>
      <c r="D183">
        <v>1</v>
      </c>
      <c r="G183">
        <v>86</v>
      </c>
      <c r="H183">
        <v>1932</v>
      </c>
      <c r="I183">
        <v>349</v>
      </c>
      <c r="J183" s="27" t="str">
        <f t="shared" si="8"/>
        <v>https://ia601606.us.archive.org/33/items/FinancialStatisticsOfStateAndLocalGovernmentsWealthDebtAndTaxation1932/Financial_statistics_of_state_and_local_governments_Wealth_debt_and_taxation_1932.pdf#page=349</v>
      </c>
    </row>
    <row r="184" spans="1:10" x14ac:dyDescent="0.25">
      <c r="A184" s="27" t="s">
        <v>754</v>
      </c>
      <c r="B184" s="27" t="str">
        <f t="shared" si="6"/>
        <v>Georgia</v>
      </c>
      <c r="C184" s="27" t="str">
        <f t="shared" si="7"/>
        <v>Clinch</v>
      </c>
      <c r="D184">
        <v>1</v>
      </c>
      <c r="G184">
        <v>34</v>
      </c>
      <c r="H184">
        <v>1932</v>
      </c>
      <c r="I184">
        <v>349</v>
      </c>
      <c r="J184" s="27" t="str">
        <f t="shared" si="8"/>
        <v>https://ia601606.us.archive.org/33/items/FinancialStatisticsOfStateAndLocalGovernmentsWealthDebtAndTaxation1932/Financial_statistics_of_state_and_local_governments_Wealth_debt_and_taxation_1932.pdf#page=349</v>
      </c>
    </row>
    <row r="185" spans="1:10" x14ac:dyDescent="0.25">
      <c r="A185" s="27" t="s">
        <v>755</v>
      </c>
      <c r="B185" s="27" t="str">
        <f t="shared" si="6"/>
        <v>Georgia</v>
      </c>
      <c r="C185" s="27" t="str">
        <f t="shared" si="7"/>
        <v>Cobb</v>
      </c>
      <c r="D185">
        <v>6</v>
      </c>
      <c r="G185">
        <v>254</v>
      </c>
      <c r="H185">
        <v>1932</v>
      </c>
      <c r="I185">
        <v>349</v>
      </c>
      <c r="J185" s="27" t="str">
        <f t="shared" si="8"/>
        <v>https://ia601606.us.archive.org/33/items/FinancialStatisticsOfStateAndLocalGovernmentsWealthDebtAndTaxation1932/Financial_statistics_of_state_and_local_governments_Wealth_debt_and_taxation_1932.pdf#page=349</v>
      </c>
    </row>
    <row r="186" spans="1:10" x14ac:dyDescent="0.25">
      <c r="A186" s="27" t="s">
        <v>756</v>
      </c>
      <c r="B186" s="27" t="str">
        <f t="shared" si="6"/>
        <v>Georgia</v>
      </c>
      <c r="C186" s="27" t="str">
        <f t="shared" si="7"/>
        <v>Coffee</v>
      </c>
      <c r="G186">
        <v>96</v>
      </c>
      <c r="H186">
        <v>1932</v>
      </c>
      <c r="I186">
        <v>349</v>
      </c>
      <c r="J186" s="27" t="str">
        <f t="shared" si="8"/>
        <v>https://ia601606.us.archive.org/33/items/FinancialStatisticsOfStateAndLocalGovernmentsWealthDebtAndTaxation1932/Financial_statistics_of_state_and_local_governments_Wealth_debt_and_taxation_1932.pdf#page=349</v>
      </c>
    </row>
    <row r="187" spans="1:10" x14ac:dyDescent="0.25">
      <c r="A187" s="27" t="s">
        <v>757</v>
      </c>
      <c r="B187" s="27" t="str">
        <f t="shared" si="6"/>
        <v>Georgia</v>
      </c>
      <c r="C187" s="27" t="str">
        <f t="shared" si="7"/>
        <v>Colquitt</v>
      </c>
      <c r="G187">
        <v>173</v>
      </c>
      <c r="H187">
        <v>1932</v>
      </c>
      <c r="I187">
        <v>349</v>
      </c>
      <c r="J187" s="27" t="str">
        <f t="shared" si="8"/>
        <v>https://ia601606.us.archive.org/33/items/FinancialStatisticsOfStateAndLocalGovernmentsWealthDebtAndTaxation1932/Financial_statistics_of_state_and_local_governments_Wealth_debt_and_taxation_1932.pdf#page=349</v>
      </c>
    </row>
    <row r="188" spans="1:10" x14ac:dyDescent="0.25">
      <c r="A188" s="27" t="s">
        <v>758</v>
      </c>
      <c r="B188" s="27" t="str">
        <f t="shared" si="6"/>
        <v>Georgia</v>
      </c>
      <c r="C188" s="27" t="str">
        <f t="shared" si="7"/>
        <v>Columbia</v>
      </c>
      <c r="D188">
        <v>1</v>
      </c>
      <c r="G188">
        <v>36</v>
      </c>
      <c r="H188">
        <v>1932</v>
      </c>
      <c r="I188">
        <v>350</v>
      </c>
      <c r="J188" s="27" t="str">
        <f t="shared" si="8"/>
        <v>https://ia601606.us.archive.org/33/items/FinancialStatisticsOfStateAndLocalGovernmentsWealthDebtAndTaxation1932/Financial_statistics_of_state_and_local_governments_Wealth_debt_and_taxation_1932.pdf#page=350</v>
      </c>
    </row>
    <row r="189" spans="1:10" x14ac:dyDescent="0.25">
      <c r="A189" s="27" t="s">
        <v>759</v>
      </c>
      <c r="B189" s="27" t="str">
        <f t="shared" si="6"/>
        <v>Georgia</v>
      </c>
      <c r="C189" s="27" t="str">
        <f t="shared" si="7"/>
        <v>Cook</v>
      </c>
      <c r="G189">
        <v>57</v>
      </c>
      <c r="H189">
        <v>1932</v>
      </c>
      <c r="I189">
        <v>350</v>
      </c>
      <c r="J189" s="27" t="str">
        <f t="shared" si="8"/>
        <v>https://ia601606.us.archive.org/33/items/FinancialStatisticsOfStateAndLocalGovernmentsWealthDebtAndTaxation1932/Financial_statistics_of_state_and_local_governments_Wealth_debt_and_taxation_1932.pdf#page=350</v>
      </c>
    </row>
    <row r="190" spans="1:10" x14ac:dyDescent="0.25">
      <c r="A190" s="27" t="s">
        <v>760</v>
      </c>
      <c r="B190" s="27" t="str">
        <f t="shared" si="6"/>
        <v>Georgia</v>
      </c>
      <c r="C190" s="27" t="str">
        <f t="shared" si="7"/>
        <v>Coweta</v>
      </c>
      <c r="D190">
        <v>2</v>
      </c>
      <c r="G190">
        <v>137</v>
      </c>
      <c r="H190">
        <v>1932</v>
      </c>
      <c r="I190">
        <v>350</v>
      </c>
      <c r="J190" s="27" t="str">
        <f t="shared" si="8"/>
        <v>https://ia601606.us.archive.org/33/items/FinancialStatisticsOfStateAndLocalGovernmentsWealthDebtAndTaxation1932/Financial_statistics_of_state_and_local_governments_Wealth_debt_and_taxation_1932.pdf#page=350</v>
      </c>
    </row>
    <row r="191" spans="1:10" x14ac:dyDescent="0.25">
      <c r="A191" s="27" t="s">
        <v>761</v>
      </c>
      <c r="B191" s="27" t="str">
        <f t="shared" si="6"/>
        <v>Georgia</v>
      </c>
      <c r="C191" s="27" t="str">
        <f t="shared" si="7"/>
        <v>Crawford</v>
      </c>
      <c r="G191">
        <v>30</v>
      </c>
      <c r="H191">
        <v>1932</v>
      </c>
      <c r="I191">
        <v>350</v>
      </c>
      <c r="J191" s="27" t="str">
        <f t="shared" si="8"/>
        <v>https://ia601606.us.archive.org/33/items/FinancialStatisticsOfStateAndLocalGovernmentsWealthDebtAndTaxation1932/Financial_statistics_of_state_and_local_governments_Wealth_debt_and_taxation_1932.pdf#page=350</v>
      </c>
    </row>
    <row r="192" spans="1:10" x14ac:dyDescent="0.25">
      <c r="A192" s="27" t="s">
        <v>762</v>
      </c>
      <c r="B192" s="27" t="str">
        <f t="shared" si="6"/>
        <v>Georgia</v>
      </c>
      <c r="C192" s="27" t="str">
        <f t="shared" si="7"/>
        <v>Crisp</v>
      </c>
      <c r="D192">
        <v>2</v>
      </c>
      <c r="G192">
        <v>80</v>
      </c>
      <c r="H192">
        <v>1932</v>
      </c>
      <c r="I192">
        <v>350</v>
      </c>
      <c r="J192" s="27" t="str">
        <f t="shared" si="8"/>
        <v>https://ia601606.us.archive.org/33/items/FinancialStatisticsOfStateAndLocalGovernmentsWealthDebtAndTaxation1932/Financial_statistics_of_state_and_local_governments_Wealth_debt_and_taxation_1932.pdf#page=350</v>
      </c>
    </row>
    <row r="193" spans="1:10" x14ac:dyDescent="0.25">
      <c r="A193" s="27" t="s">
        <v>763</v>
      </c>
      <c r="B193" s="27" t="str">
        <f t="shared" si="6"/>
        <v>Georgia</v>
      </c>
      <c r="C193" s="27" t="str">
        <f t="shared" si="7"/>
        <v>Dade</v>
      </c>
      <c r="G193">
        <v>22</v>
      </c>
      <c r="H193">
        <v>1932</v>
      </c>
      <c r="I193">
        <v>350</v>
      </c>
      <c r="J193" s="27" t="str">
        <f t="shared" si="8"/>
        <v>https://ia601606.us.archive.org/33/items/FinancialStatisticsOfStateAndLocalGovernmentsWealthDebtAndTaxation1932/Financial_statistics_of_state_and_local_governments_Wealth_debt_and_taxation_1932.pdf#page=350</v>
      </c>
    </row>
    <row r="194" spans="1:10" x14ac:dyDescent="0.25">
      <c r="A194" s="27" t="s">
        <v>764</v>
      </c>
      <c r="B194" s="27" t="str">
        <f t="shared" si="6"/>
        <v>Georgia</v>
      </c>
      <c r="C194" s="27" t="str">
        <f t="shared" si="7"/>
        <v>Dawson</v>
      </c>
      <c r="G194">
        <v>17</v>
      </c>
      <c r="H194">
        <v>1932</v>
      </c>
      <c r="I194">
        <v>350</v>
      </c>
      <c r="J194" s="27" t="str">
        <f t="shared" si="8"/>
        <v>https://ia601606.us.archive.org/33/items/FinancialStatisticsOfStateAndLocalGovernmentsWealthDebtAndTaxation1932/Financial_statistics_of_state_and_local_governments_Wealth_debt_and_taxation_1932.pdf#page=350</v>
      </c>
    </row>
    <row r="195" spans="1:10" x14ac:dyDescent="0.25">
      <c r="A195" s="27" t="s">
        <v>765</v>
      </c>
      <c r="B195" s="27" t="str">
        <f t="shared" ref="B195:B258" si="9">LEFT(A195,FIND(";",A195)-1)</f>
        <v>Georgia</v>
      </c>
      <c r="C195" s="27" t="str">
        <f t="shared" ref="C195:C258" si="10">MID(A195,FIND(";",A195)+1,100)</f>
        <v>Decatur</v>
      </c>
      <c r="D195">
        <v>5</v>
      </c>
      <c r="G195">
        <v>124</v>
      </c>
      <c r="H195">
        <v>1932</v>
      </c>
      <c r="I195">
        <v>350</v>
      </c>
      <c r="J195" s="27" t="str">
        <f t="shared" ref="J195:J258" si="11">"https://ia601606.us.archive.org/33/items/FinancialStatisticsOfStateAndLocalGovernmentsWealthDebtAndTaxation1932/Financial_statistics_of_state_and_local_governments_Wealth_debt_and_taxation_1932.pdf"&amp;"#page="&amp;I195</f>
        <v>https://ia601606.us.archive.org/33/items/FinancialStatisticsOfStateAndLocalGovernmentsWealthDebtAndTaxation1932/Financial_statistics_of_state_and_local_governments_Wealth_debt_and_taxation_1932.pdf#page=350</v>
      </c>
    </row>
    <row r="196" spans="1:10" x14ac:dyDescent="0.25">
      <c r="A196" s="27" t="s">
        <v>1779</v>
      </c>
      <c r="B196" s="27" t="str">
        <f t="shared" si="9"/>
        <v>Georgia</v>
      </c>
      <c r="C196" s="27" t="str">
        <f t="shared" si="10"/>
        <v>Dekalb</v>
      </c>
      <c r="D196">
        <v>12</v>
      </c>
      <c r="G196">
        <v>246</v>
      </c>
      <c r="H196">
        <v>1932</v>
      </c>
      <c r="I196">
        <v>350</v>
      </c>
      <c r="J196" s="27" t="str">
        <f t="shared" si="11"/>
        <v>https://ia601606.us.archive.org/33/items/FinancialStatisticsOfStateAndLocalGovernmentsWealthDebtAndTaxation1932/Financial_statistics_of_state_and_local_governments_Wealth_debt_and_taxation_1932.pdf#page=350</v>
      </c>
    </row>
    <row r="197" spans="1:10" x14ac:dyDescent="0.25">
      <c r="A197" s="27" t="s">
        <v>767</v>
      </c>
      <c r="B197" s="27" t="str">
        <f t="shared" si="9"/>
        <v>Georgia</v>
      </c>
      <c r="C197" s="27" t="str">
        <f t="shared" si="10"/>
        <v>Dodge</v>
      </c>
      <c r="D197">
        <v>2</v>
      </c>
      <c r="G197">
        <v>91</v>
      </c>
      <c r="H197">
        <v>1932</v>
      </c>
      <c r="I197">
        <v>350</v>
      </c>
      <c r="J197" s="27" t="str">
        <f t="shared" si="11"/>
        <v>https://ia601606.us.archive.org/33/items/FinancialStatisticsOfStateAndLocalGovernmentsWealthDebtAndTaxation1932/Financial_statistics_of_state_and_local_governments_Wealth_debt_and_taxation_1932.pdf#page=350</v>
      </c>
    </row>
    <row r="198" spans="1:10" x14ac:dyDescent="0.25">
      <c r="A198" s="27" t="s">
        <v>768</v>
      </c>
      <c r="B198" s="27" t="str">
        <f t="shared" si="9"/>
        <v>Georgia</v>
      </c>
      <c r="C198" s="27" t="str">
        <f t="shared" si="10"/>
        <v>Dooly</v>
      </c>
      <c r="G198">
        <v>110</v>
      </c>
      <c r="H198">
        <v>1932</v>
      </c>
      <c r="I198">
        <v>351</v>
      </c>
      <c r="J198" s="27" t="str">
        <f t="shared" si="11"/>
        <v>https://ia601606.us.archive.org/33/items/FinancialStatisticsOfStateAndLocalGovernmentsWealthDebtAndTaxation1932/Financial_statistics_of_state_and_local_governments_Wealth_debt_and_taxation_1932.pdf#page=351</v>
      </c>
    </row>
    <row r="199" spans="1:10" x14ac:dyDescent="0.25">
      <c r="A199" s="27" t="s">
        <v>769</v>
      </c>
      <c r="B199" s="27" t="str">
        <f t="shared" si="9"/>
        <v>Georgia</v>
      </c>
      <c r="C199" s="27" t="str">
        <f t="shared" si="10"/>
        <v>Dougherty</v>
      </c>
      <c r="D199">
        <v>16</v>
      </c>
      <c r="G199">
        <v>156</v>
      </c>
      <c r="H199">
        <v>1932</v>
      </c>
      <c r="I199">
        <v>351</v>
      </c>
      <c r="J199" s="27" t="str">
        <f t="shared" si="11"/>
        <v>https://ia601606.us.archive.org/33/items/FinancialStatisticsOfStateAndLocalGovernmentsWealthDebtAndTaxation1932/Financial_statistics_of_state_and_local_governments_Wealth_debt_and_taxation_1932.pdf#page=351</v>
      </c>
    </row>
    <row r="200" spans="1:10" x14ac:dyDescent="0.25">
      <c r="A200" s="27" t="s">
        <v>770</v>
      </c>
      <c r="B200" s="27" t="str">
        <f t="shared" si="9"/>
        <v>Georgia</v>
      </c>
      <c r="C200" s="27" t="str">
        <f t="shared" si="10"/>
        <v>Douglas</v>
      </c>
      <c r="G200">
        <v>34</v>
      </c>
      <c r="H200">
        <v>1932</v>
      </c>
      <c r="I200">
        <v>351</v>
      </c>
      <c r="J200" s="27" t="str">
        <f t="shared" si="11"/>
        <v>https://ia601606.us.archive.org/33/items/FinancialStatisticsOfStateAndLocalGovernmentsWealthDebtAndTaxation1932/Financial_statistics_of_state_and_local_governments_Wealth_debt_and_taxation_1932.pdf#page=351</v>
      </c>
    </row>
    <row r="201" spans="1:10" x14ac:dyDescent="0.25">
      <c r="A201" s="27" t="s">
        <v>771</v>
      </c>
      <c r="B201" s="27" t="str">
        <f t="shared" si="9"/>
        <v>Georgia</v>
      </c>
      <c r="C201" s="27" t="str">
        <f t="shared" si="10"/>
        <v>Early</v>
      </c>
      <c r="G201">
        <v>69</v>
      </c>
      <c r="H201">
        <v>1932</v>
      </c>
      <c r="I201">
        <v>351</v>
      </c>
      <c r="J201" s="27" t="str">
        <f t="shared" si="11"/>
        <v>https://ia601606.us.archive.org/33/items/FinancialStatisticsOfStateAndLocalGovernmentsWealthDebtAndTaxation1932/Financial_statistics_of_state_and_local_governments_Wealth_debt_and_taxation_1932.pdf#page=351</v>
      </c>
    </row>
    <row r="202" spans="1:10" x14ac:dyDescent="0.25">
      <c r="A202" s="27" t="s">
        <v>1714</v>
      </c>
      <c r="B202" s="27" t="str">
        <f t="shared" si="9"/>
        <v/>
      </c>
      <c r="C202" s="27" t="str">
        <f t="shared" si="10"/>
        <v>Echols</v>
      </c>
      <c r="G202">
        <v>14</v>
      </c>
      <c r="H202">
        <v>1932</v>
      </c>
      <c r="I202">
        <v>351</v>
      </c>
      <c r="J202" s="27" t="str">
        <f t="shared" si="11"/>
        <v>https://ia601606.us.archive.org/33/items/FinancialStatisticsOfStateAndLocalGovernmentsWealthDebtAndTaxation1932/Financial_statistics_of_state_and_local_governments_Wealth_debt_and_taxation_1932.pdf#page=351</v>
      </c>
    </row>
    <row r="203" spans="1:10" x14ac:dyDescent="0.25">
      <c r="A203" s="27" t="s">
        <v>773</v>
      </c>
      <c r="B203" s="27" t="str">
        <f t="shared" si="9"/>
        <v>Georgia</v>
      </c>
      <c r="C203" s="27" t="str">
        <f t="shared" si="10"/>
        <v>Effingham</v>
      </c>
      <c r="G203">
        <v>58</v>
      </c>
      <c r="H203">
        <v>1932</v>
      </c>
      <c r="I203">
        <v>351</v>
      </c>
      <c r="J203" s="27" t="str">
        <f t="shared" si="11"/>
        <v>https://ia601606.us.archive.org/33/items/FinancialStatisticsOfStateAndLocalGovernmentsWealthDebtAndTaxation1932/Financial_statistics_of_state_and_local_governments_Wealth_debt_and_taxation_1932.pdf#page=351</v>
      </c>
    </row>
    <row r="204" spans="1:10" x14ac:dyDescent="0.25">
      <c r="A204" s="27" t="s">
        <v>774</v>
      </c>
      <c r="B204" s="27" t="str">
        <f t="shared" si="9"/>
        <v>Georgia</v>
      </c>
      <c r="C204" s="27" t="str">
        <f t="shared" si="10"/>
        <v>Elbert</v>
      </c>
      <c r="G204">
        <v>117</v>
      </c>
      <c r="H204">
        <v>1932</v>
      </c>
      <c r="I204">
        <v>352</v>
      </c>
      <c r="J204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05" spans="1:10" x14ac:dyDescent="0.25">
      <c r="A205" s="27" t="s">
        <v>775</v>
      </c>
      <c r="B205" s="27" t="str">
        <f t="shared" si="9"/>
        <v>Georgia</v>
      </c>
      <c r="C205" s="27" t="str">
        <f t="shared" si="10"/>
        <v>Emanuel</v>
      </c>
      <c r="G205">
        <v>91</v>
      </c>
      <c r="H205">
        <v>1932</v>
      </c>
      <c r="I205">
        <v>352</v>
      </c>
      <c r="J205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06" spans="1:10" x14ac:dyDescent="0.25">
      <c r="A206" s="27" t="s">
        <v>776</v>
      </c>
      <c r="B206" s="27" t="str">
        <f t="shared" si="9"/>
        <v>Georgia</v>
      </c>
      <c r="C206" s="27" t="str">
        <f t="shared" si="10"/>
        <v>Evans</v>
      </c>
      <c r="G206">
        <v>35</v>
      </c>
      <c r="H206">
        <v>1932</v>
      </c>
      <c r="I206">
        <v>352</v>
      </c>
      <c r="J206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07" spans="1:10" x14ac:dyDescent="0.25">
      <c r="A207" s="27" t="s">
        <v>777</v>
      </c>
      <c r="B207" s="27" t="str">
        <f t="shared" si="9"/>
        <v>Georgia</v>
      </c>
      <c r="C207" s="27" t="str">
        <f t="shared" si="10"/>
        <v>Fannin</v>
      </c>
      <c r="G207">
        <v>48</v>
      </c>
      <c r="H207">
        <v>1932</v>
      </c>
      <c r="I207">
        <v>352</v>
      </c>
      <c r="J207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08" spans="1:10" x14ac:dyDescent="0.25">
      <c r="A208" s="27" t="s">
        <v>778</v>
      </c>
      <c r="B208" s="27" t="str">
        <f t="shared" si="9"/>
        <v>Georgia</v>
      </c>
      <c r="C208" s="27" t="str">
        <f t="shared" si="10"/>
        <v>Fayette</v>
      </c>
      <c r="D208">
        <v>1</v>
      </c>
      <c r="G208">
        <v>46</v>
      </c>
      <c r="H208">
        <v>1932</v>
      </c>
      <c r="I208">
        <v>352</v>
      </c>
      <c r="J208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09" spans="1:10" x14ac:dyDescent="0.25">
      <c r="A209" s="27" t="s">
        <v>779</v>
      </c>
      <c r="B209" s="27" t="str">
        <f t="shared" si="9"/>
        <v>Georgia</v>
      </c>
      <c r="C209" s="27" t="str">
        <f t="shared" si="10"/>
        <v>Floyd</v>
      </c>
      <c r="D209">
        <v>9</v>
      </c>
      <c r="G209">
        <v>209</v>
      </c>
      <c r="H209">
        <v>1932</v>
      </c>
      <c r="I209">
        <v>352</v>
      </c>
      <c r="J209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10" spans="1:10" x14ac:dyDescent="0.25">
      <c r="A210" s="27" t="s">
        <v>780</v>
      </c>
      <c r="B210" s="27" t="str">
        <f t="shared" si="9"/>
        <v>Georgia</v>
      </c>
      <c r="C210" s="27" t="str">
        <f t="shared" si="10"/>
        <v>Forsyth</v>
      </c>
      <c r="G210">
        <v>42</v>
      </c>
      <c r="H210">
        <v>1932</v>
      </c>
      <c r="I210">
        <v>352</v>
      </c>
      <c r="J210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11" spans="1:10" x14ac:dyDescent="0.25">
      <c r="A211" s="27" t="s">
        <v>781</v>
      </c>
      <c r="B211" s="27" t="str">
        <f t="shared" si="9"/>
        <v>Georgia</v>
      </c>
      <c r="C211" s="27" t="str">
        <f t="shared" si="10"/>
        <v>Franklin</v>
      </c>
      <c r="G211">
        <v>79</v>
      </c>
      <c r="H211">
        <v>1932</v>
      </c>
      <c r="I211">
        <v>352</v>
      </c>
      <c r="J211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12" spans="1:10" x14ac:dyDescent="0.25">
      <c r="A212" s="27" t="s">
        <v>782</v>
      </c>
      <c r="B212" s="27" t="str">
        <f t="shared" si="9"/>
        <v>Georgia</v>
      </c>
      <c r="C212" s="27" t="str">
        <f t="shared" si="10"/>
        <v>Fulton</v>
      </c>
      <c r="D212">
        <v>41</v>
      </c>
      <c r="G212">
        <v>721</v>
      </c>
      <c r="H212">
        <v>1932</v>
      </c>
      <c r="I212">
        <v>352</v>
      </c>
      <c r="J212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13" spans="1:10" x14ac:dyDescent="0.25">
      <c r="A213" s="27" t="s">
        <v>783</v>
      </c>
      <c r="B213" s="27" t="str">
        <f t="shared" si="9"/>
        <v>Georgia</v>
      </c>
      <c r="C213" s="27" t="str">
        <f t="shared" si="10"/>
        <v>Gilmer</v>
      </c>
      <c r="G213">
        <v>44</v>
      </c>
      <c r="H213">
        <v>1932</v>
      </c>
      <c r="I213">
        <v>352</v>
      </c>
      <c r="J213" s="27" t="str">
        <f t="shared" si="11"/>
        <v>https://ia601606.us.archive.org/33/items/FinancialStatisticsOfStateAndLocalGovernmentsWealthDebtAndTaxation1932/Financial_statistics_of_state_and_local_governments_Wealth_debt_and_taxation_1932.pdf#page=352</v>
      </c>
    </row>
    <row r="214" spans="1:10" x14ac:dyDescent="0.25">
      <c r="A214" s="27" t="s">
        <v>784</v>
      </c>
      <c r="B214" s="27" t="str">
        <f t="shared" si="9"/>
        <v>Georgia</v>
      </c>
      <c r="C214" s="27" t="str">
        <f t="shared" si="10"/>
        <v>Glascock</v>
      </c>
      <c r="G214">
        <v>20</v>
      </c>
      <c r="H214">
        <v>1932</v>
      </c>
      <c r="I214">
        <v>353</v>
      </c>
      <c r="J214" s="27" t="str">
        <f t="shared" si="11"/>
        <v>https://ia601606.us.archive.org/33/items/FinancialStatisticsOfStateAndLocalGovernmentsWealthDebtAndTaxation1932/Financial_statistics_of_state_and_local_governments_Wealth_debt_and_taxation_1932.pdf#page=353</v>
      </c>
    </row>
    <row r="215" spans="1:10" x14ac:dyDescent="0.25">
      <c r="A215" s="27" t="s">
        <v>785</v>
      </c>
      <c r="B215" s="27" t="str">
        <f t="shared" si="9"/>
        <v>Georgia</v>
      </c>
      <c r="C215" s="27" t="str">
        <f t="shared" si="10"/>
        <v>Glynn</v>
      </c>
      <c r="D215">
        <v>12</v>
      </c>
      <c r="G215">
        <v>129</v>
      </c>
      <c r="H215">
        <v>1932</v>
      </c>
      <c r="I215">
        <v>353</v>
      </c>
      <c r="J215" s="27" t="str">
        <f t="shared" si="11"/>
        <v>https://ia601606.us.archive.org/33/items/FinancialStatisticsOfStateAndLocalGovernmentsWealthDebtAndTaxation1932/Financial_statistics_of_state_and_local_governments_Wealth_debt_and_taxation_1932.pdf#page=353</v>
      </c>
    </row>
    <row r="216" spans="1:10" x14ac:dyDescent="0.25">
      <c r="A216" s="27" t="s">
        <v>786</v>
      </c>
      <c r="B216" s="27" t="str">
        <f t="shared" si="9"/>
        <v>Georgia</v>
      </c>
      <c r="C216" s="27" t="str">
        <f t="shared" si="10"/>
        <v>Gordon</v>
      </c>
      <c r="D216">
        <v>1</v>
      </c>
      <c r="G216">
        <v>97</v>
      </c>
      <c r="H216">
        <v>1932</v>
      </c>
      <c r="I216">
        <v>353</v>
      </c>
      <c r="J216" s="27" t="str">
        <f t="shared" si="11"/>
        <v>https://ia601606.us.archive.org/33/items/FinancialStatisticsOfStateAndLocalGovernmentsWealthDebtAndTaxation1932/Financial_statistics_of_state_and_local_governments_Wealth_debt_and_taxation_1932.pdf#page=353</v>
      </c>
    </row>
    <row r="217" spans="1:10" x14ac:dyDescent="0.25">
      <c r="A217" s="27" t="s">
        <v>787</v>
      </c>
      <c r="B217" s="27" t="str">
        <f t="shared" si="9"/>
        <v>Georgia</v>
      </c>
      <c r="C217" s="27" t="str">
        <f t="shared" si="10"/>
        <v>Grady</v>
      </c>
      <c r="G217">
        <v>70</v>
      </c>
      <c r="H217">
        <v>1932</v>
      </c>
      <c r="I217">
        <v>353</v>
      </c>
      <c r="J217" s="27" t="str">
        <f t="shared" si="11"/>
        <v>https://ia601606.us.archive.org/33/items/FinancialStatisticsOfStateAndLocalGovernmentsWealthDebtAndTaxation1932/Financial_statistics_of_state_and_local_governments_Wealth_debt_and_taxation_1932.pdf#page=353</v>
      </c>
    </row>
    <row r="218" spans="1:10" x14ac:dyDescent="0.25">
      <c r="A218" s="27" t="s">
        <v>788</v>
      </c>
      <c r="B218" s="27" t="str">
        <f t="shared" si="9"/>
        <v>Georgia</v>
      </c>
      <c r="C218" s="27" t="str">
        <f t="shared" si="10"/>
        <v>Greene</v>
      </c>
      <c r="G218">
        <v>64</v>
      </c>
      <c r="H218">
        <v>1932</v>
      </c>
      <c r="I218">
        <v>353</v>
      </c>
      <c r="J218" s="27" t="str">
        <f t="shared" si="11"/>
        <v>https://ia601606.us.archive.org/33/items/FinancialStatisticsOfStateAndLocalGovernmentsWealthDebtAndTaxation1932/Financial_statistics_of_state_and_local_governments_Wealth_debt_and_taxation_1932.pdf#page=353</v>
      </c>
    </row>
    <row r="219" spans="1:10" x14ac:dyDescent="0.25">
      <c r="A219" s="27" t="s">
        <v>789</v>
      </c>
      <c r="B219" s="27" t="str">
        <f t="shared" si="9"/>
        <v>Georgia</v>
      </c>
      <c r="C219" s="27" t="str">
        <f t="shared" si="10"/>
        <v>Gwinnett</v>
      </c>
      <c r="D219">
        <v>1</v>
      </c>
      <c r="G219">
        <v>142</v>
      </c>
      <c r="H219">
        <v>1932</v>
      </c>
      <c r="I219">
        <v>353</v>
      </c>
      <c r="J219" s="27" t="str">
        <f t="shared" si="11"/>
        <v>https://ia601606.us.archive.org/33/items/FinancialStatisticsOfStateAndLocalGovernmentsWealthDebtAndTaxation1932/Financial_statistics_of_state_and_local_governments_Wealth_debt_and_taxation_1932.pdf#page=353</v>
      </c>
    </row>
    <row r="220" spans="1:10" x14ac:dyDescent="0.25">
      <c r="A220" s="27" t="s">
        <v>790</v>
      </c>
      <c r="B220" s="27" t="str">
        <f t="shared" si="9"/>
        <v>Georgia</v>
      </c>
      <c r="C220" s="27" t="str">
        <f t="shared" si="10"/>
        <v>Habersham</v>
      </c>
      <c r="G220">
        <v>73</v>
      </c>
      <c r="H220">
        <v>1932</v>
      </c>
      <c r="I220">
        <v>354</v>
      </c>
      <c r="J220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21" spans="1:10" x14ac:dyDescent="0.25">
      <c r="A221" s="27" t="s">
        <v>791</v>
      </c>
      <c r="B221" s="27" t="str">
        <f t="shared" si="9"/>
        <v>Georgia</v>
      </c>
      <c r="C221" s="27" t="str">
        <f t="shared" si="10"/>
        <v>Hall</v>
      </c>
      <c r="D221">
        <v>4</v>
      </c>
      <c r="G221">
        <v>186</v>
      </c>
      <c r="H221">
        <v>1932</v>
      </c>
      <c r="I221">
        <v>354</v>
      </c>
      <c r="J221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22" spans="1:10" x14ac:dyDescent="0.25">
      <c r="A222" s="27" t="s">
        <v>792</v>
      </c>
      <c r="B222" s="27" t="str">
        <f t="shared" si="9"/>
        <v>Georgia</v>
      </c>
      <c r="C222" s="27" t="str">
        <f t="shared" si="10"/>
        <v>Hancock</v>
      </c>
      <c r="D222">
        <v>1</v>
      </c>
      <c r="G222">
        <v>65</v>
      </c>
      <c r="H222">
        <v>1932</v>
      </c>
      <c r="I222">
        <v>354</v>
      </c>
      <c r="J222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23" spans="1:10" x14ac:dyDescent="0.25">
      <c r="A223" s="27" t="s">
        <v>793</v>
      </c>
      <c r="B223" s="27" t="str">
        <f t="shared" si="9"/>
        <v>Georgia</v>
      </c>
      <c r="C223" s="27" t="str">
        <f t="shared" si="10"/>
        <v>Haralson</v>
      </c>
      <c r="D223">
        <v>1</v>
      </c>
      <c r="G223">
        <v>65</v>
      </c>
      <c r="H223">
        <v>1932</v>
      </c>
      <c r="I223">
        <v>354</v>
      </c>
      <c r="J223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24" spans="1:10" x14ac:dyDescent="0.25">
      <c r="A224" s="27" t="s">
        <v>794</v>
      </c>
      <c r="B224" s="27" t="str">
        <f t="shared" si="9"/>
        <v>Georgia</v>
      </c>
      <c r="C224" s="27" t="str">
        <f t="shared" si="10"/>
        <v>Harris</v>
      </c>
      <c r="D224">
        <v>1</v>
      </c>
      <c r="G224">
        <v>64</v>
      </c>
      <c r="H224">
        <v>1932</v>
      </c>
      <c r="I224">
        <v>354</v>
      </c>
      <c r="J224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25" spans="1:10" x14ac:dyDescent="0.25">
      <c r="A225" s="27" t="s">
        <v>795</v>
      </c>
      <c r="B225" s="27" t="str">
        <f t="shared" si="9"/>
        <v>Georgia</v>
      </c>
      <c r="C225" s="27" t="str">
        <f t="shared" si="10"/>
        <v>Hart</v>
      </c>
      <c r="D225">
        <v>1</v>
      </c>
      <c r="G225">
        <v>88</v>
      </c>
      <c r="H225">
        <v>1932</v>
      </c>
      <c r="I225">
        <v>354</v>
      </c>
      <c r="J225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26" spans="1:10" x14ac:dyDescent="0.25">
      <c r="A226" s="27" t="s">
        <v>796</v>
      </c>
      <c r="B226" s="27" t="str">
        <f t="shared" si="9"/>
        <v>Georgia</v>
      </c>
      <c r="C226" s="27" t="str">
        <f t="shared" si="10"/>
        <v>Heard</v>
      </c>
      <c r="G226">
        <v>40</v>
      </c>
      <c r="H226">
        <v>1932</v>
      </c>
      <c r="I226">
        <v>354</v>
      </c>
      <c r="J226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27" spans="1:10" x14ac:dyDescent="0.25">
      <c r="A227" s="27" t="s">
        <v>797</v>
      </c>
      <c r="B227" s="27" t="str">
        <f t="shared" si="9"/>
        <v>Georgia</v>
      </c>
      <c r="C227" s="27" t="str">
        <f t="shared" si="10"/>
        <v>Henry</v>
      </c>
      <c r="G227">
        <v>66</v>
      </c>
      <c r="H227">
        <v>1932</v>
      </c>
      <c r="I227">
        <v>354</v>
      </c>
      <c r="J227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28" spans="1:10" x14ac:dyDescent="0.25">
      <c r="A228" s="27" t="s">
        <v>798</v>
      </c>
      <c r="B228" s="27" t="str">
        <f t="shared" si="9"/>
        <v>Georgia</v>
      </c>
      <c r="C228" s="27" t="str">
        <f t="shared" si="10"/>
        <v>Houston</v>
      </c>
      <c r="G228">
        <v>71</v>
      </c>
      <c r="H228">
        <v>1932</v>
      </c>
      <c r="I228">
        <v>354</v>
      </c>
      <c r="J228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29" spans="1:10" x14ac:dyDescent="0.25">
      <c r="A229" s="27" t="s">
        <v>799</v>
      </c>
      <c r="B229" s="27" t="str">
        <f t="shared" si="9"/>
        <v>Georgia</v>
      </c>
      <c r="C229" s="27" t="str">
        <f t="shared" si="10"/>
        <v>Irwin</v>
      </c>
      <c r="G229">
        <v>56</v>
      </c>
      <c r="H229">
        <v>1932</v>
      </c>
      <c r="I229">
        <v>354</v>
      </c>
      <c r="J229" s="27" t="str">
        <f t="shared" si="11"/>
        <v>https://ia601606.us.archive.org/33/items/FinancialStatisticsOfStateAndLocalGovernmentsWealthDebtAndTaxation1932/Financial_statistics_of_state_and_local_governments_Wealth_debt_and_taxation_1932.pdf#page=354</v>
      </c>
    </row>
    <row r="230" spans="1:10" x14ac:dyDescent="0.25">
      <c r="A230" s="27" t="s">
        <v>800</v>
      </c>
      <c r="B230" s="27" t="str">
        <f t="shared" si="9"/>
        <v>Georgia</v>
      </c>
      <c r="C230" s="27" t="str">
        <f t="shared" si="10"/>
        <v>Jackson</v>
      </c>
      <c r="D230">
        <v>1</v>
      </c>
      <c r="G230">
        <v>129</v>
      </c>
      <c r="H230">
        <v>1932</v>
      </c>
      <c r="I230">
        <v>355</v>
      </c>
      <c r="J230" s="27" t="str">
        <f t="shared" si="11"/>
        <v>https://ia601606.us.archive.org/33/items/FinancialStatisticsOfStateAndLocalGovernmentsWealthDebtAndTaxation1932/Financial_statistics_of_state_and_local_governments_Wealth_debt_and_taxation_1932.pdf#page=355</v>
      </c>
    </row>
    <row r="231" spans="1:10" x14ac:dyDescent="0.25">
      <c r="A231" s="27" t="s">
        <v>801</v>
      </c>
      <c r="B231" s="27" t="str">
        <f t="shared" si="9"/>
        <v>Georgia</v>
      </c>
      <c r="C231" s="27" t="str">
        <f t="shared" si="10"/>
        <v>Jasper</v>
      </c>
      <c r="G231">
        <v>43</v>
      </c>
      <c r="H231">
        <v>1932</v>
      </c>
      <c r="I231">
        <v>355</v>
      </c>
      <c r="J231" s="27" t="str">
        <f t="shared" si="11"/>
        <v>https://ia601606.us.archive.org/33/items/FinancialStatisticsOfStateAndLocalGovernmentsWealthDebtAndTaxation1932/Financial_statistics_of_state_and_local_governments_Wealth_debt_and_taxation_1932.pdf#page=355</v>
      </c>
    </row>
    <row r="232" spans="1:10" x14ac:dyDescent="0.25">
      <c r="A232" s="27" t="s">
        <v>802</v>
      </c>
      <c r="B232" s="27" t="str">
        <f t="shared" si="9"/>
        <v>Georgia</v>
      </c>
      <c r="C232" s="27" t="str">
        <f t="shared" si="10"/>
        <v>Jeff Davis</v>
      </c>
      <c r="D232">
        <v>1</v>
      </c>
      <c r="G232">
        <v>41</v>
      </c>
      <c r="H232">
        <v>1932</v>
      </c>
      <c r="I232">
        <v>355</v>
      </c>
      <c r="J232" s="27" t="str">
        <f t="shared" si="11"/>
        <v>https://ia601606.us.archive.org/33/items/FinancialStatisticsOfStateAndLocalGovernmentsWealthDebtAndTaxation1932/Financial_statistics_of_state_and_local_governments_Wealth_debt_and_taxation_1932.pdf#page=355</v>
      </c>
    </row>
    <row r="233" spans="1:10" x14ac:dyDescent="0.25">
      <c r="A233" s="27" t="s">
        <v>803</v>
      </c>
      <c r="B233" s="27" t="str">
        <f t="shared" si="9"/>
        <v>Georgia</v>
      </c>
      <c r="C233" s="27" t="str">
        <f t="shared" si="10"/>
        <v>Jefferson</v>
      </c>
      <c r="D233">
        <v>3</v>
      </c>
      <c r="G233">
        <v>108</v>
      </c>
      <c r="H233">
        <v>1932</v>
      </c>
      <c r="I233">
        <v>355</v>
      </c>
      <c r="J233" s="27" t="str">
        <f t="shared" si="11"/>
        <v>https://ia601606.us.archive.org/33/items/FinancialStatisticsOfStateAndLocalGovernmentsWealthDebtAndTaxation1932/Financial_statistics_of_state_and_local_governments_Wealth_debt_and_taxation_1932.pdf#page=355</v>
      </c>
    </row>
    <row r="234" spans="1:10" x14ac:dyDescent="0.25">
      <c r="A234" s="27" t="s">
        <v>804</v>
      </c>
      <c r="B234" s="27" t="str">
        <f t="shared" si="9"/>
        <v>Georgia</v>
      </c>
      <c r="C234" s="27" t="str">
        <f t="shared" si="10"/>
        <v>Jenkins</v>
      </c>
      <c r="D234">
        <v>5</v>
      </c>
      <c r="G234">
        <v>71</v>
      </c>
      <c r="H234">
        <v>1932</v>
      </c>
      <c r="I234">
        <v>355</v>
      </c>
      <c r="J234" s="27" t="str">
        <f t="shared" si="11"/>
        <v>https://ia601606.us.archive.org/33/items/FinancialStatisticsOfStateAndLocalGovernmentsWealthDebtAndTaxation1932/Financial_statistics_of_state_and_local_governments_Wealth_debt_and_taxation_1932.pdf#page=355</v>
      </c>
    </row>
    <row r="235" spans="1:10" x14ac:dyDescent="0.25">
      <c r="A235" s="27" t="s">
        <v>805</v>
      </c>
      <c r="B235" s="27" t="str">
        <f t="shared" si="9"/>
        <v>Georgia</v>
      </c>
      <c r="C235" s="27" t="str">
        <f t="shared" si="10"/>
        <v>Johnson</v>
      </c>
      <c r="G235">
        <v>59</v>
      </c>
      <c r="H235">
        <v>1932</v>
      </c>
      <c r="I235">
        <v>355</v>
      </c>
      <c r="J235" s="27" t="str">
        <f t="shared" si="11"/>
        <v>https://ia601606.us.archive.org/33/items/FinancialStatisticsOfStateAndLocalGovernmentsWealthDebtAndTaxation1932/Financial_statistics_of_state_and_local_governments_Wealth_debt_and_taxation_1932.pdf#page=355</v>
      </c>
    </row>
    <row r="236" spans="1:10" x14ac:dyDescent="0.25">
      <c r="A236" s="27" t="s">
        <v>806</v>
      </c>
      <c r="B236" s="27" t="str">
        <f t="shared" si="9"/>
        <v>Georgia</v>
      </c>
      <c r="C236" s="27" t="str">
        <f t="shared" si="10"/>
        <v>Jones</v>
      </c>
      <c r="G236">
        <v>38</v>
      </c>
      <c r="H236">
        <v>1932</v>
      </c>
      <c r="I236">
        <v>356</v>
      </c>
      <c r="J236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37" spans="1:10" x14ac:dyDescent="0.25">
      <c r="A237" s="27" t="s">
        <v>807</v>
      </c>
      <c r="B237" s="27" t="str">
        <f t="shared" si="9"/>
        <v>Georgia</v>
      </c>
      <c r="C237" s="27" t="str">
        <f t="shared" si="10"/>
        <v>Lamar</v>
      </c>
      <c r="G237">
        <v>45</v>
      </c>
      <c r="H237">
        <v>1932</v>
      </c>
      <c r="I237">
        <v>356</v>
      </c>
      <c r="J237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38" spans="1:10" x14ac:dyDescent="0.25">
      <c r="A238" s="27" t="s">
        <v>808</v>
      </c>
      <c r="B238" s="27" t="str">
        <f t="shared" si="9"/>
        <v>Georgia</v>
      </c>
      <c r="C238" s="27" t="str">
        <f t="shared" si="10"/>
        <v>Lanier</v>
      </c>
      <c r="G238">
        <v>25</v>
      </c>
      <c r="H238">
        <v>1932</v>
      </c>
      <c r="I238">
        <v>356</v>
      </c>
      <c r="J238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39" spans="1:10" x14ac:dyDescent="0.25">
      <c r="A239" s="27" t="s">
        <v>809</v>
      </c>
      <c r="B239" s="27" t="str">
        <f t="shared" si="9"/>
        <v>Georgia</v>
      </c>
      <c r="C239" s="27" t="str">
        <f t="shared" si="10"/>
        <v>Laurens</v>
      </c>
      <c r="D239">
        <v>5</v>
      </c>
      <c r="G239">
        <v>145</v>
      </c>
      <c r="H239">
        <v>1932</v>
      </c>
      <c r="I239">
        <v>356</v>
      </c>
      <c r="J239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40" spans="1:10" x14ac:dyDescent="0.25">
      <c r="A240" s="27" t="s">
        <v>810</v>
      </c>
      <c r="B240" s="27" t="str">
        <f t="shared" si="9"/>
        <v>Georgia</v>
      </c>
      <c r="C240" s="27" t="str">
        <f t="shared" si="10"/>
        <v>Lee</v>
      </c>
      <c r="G240">
        <v>60</v>
      </c>
      <c r="H240">
        <v>1932</v>
      </c>
      <c r="I240">
        <v>356</v>
      </c>
      <c r="J240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41" spans="1:10" x14ac:dyDescent="0.25">
      <c r="A241" s="27" t="s">
        <v>811</v>
      </c>
      <c r="B241" s="27" t="str">
        <f t="shared" si="9"/>
        <v>Georgia</v>
      </c>
      <c r="C241" s="27" t="str">
        <f t="shared" si="10"/>
        <v>Liberty</v>
      </c>
      <c r="D241">
        <v>2</v>
      </c>
      <c r="G241">
        <v>34</v>
      </c>
      <c r="H241">
        <v>1932</v>
      </c>
      <c r="I241">
        <v>356</v>
      </c>
      <c r="J241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42" spans="1:10" x14ac:dyDescent="0.25">
      <c r="A242" s="27" t="s">
        <v>812</v>
      </c>
      <c r="B242" s="27" t="str">
        <f t="shared" si="9"/>
        <v>Georgia</v>
      </c>
      <c r="C242" s="27" t="str">
        <f t="shared" si="10"/>
        <v>Lincoln</v>
      </c>
      <c r="G242">
        <v>43</v>
      </c>
      <c r="H242">
        <v>1932</v>
      </c>
      <c r="I242">
        <v>356</v>
      </c>
      <c r="J242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43" spans="1:10" x14ac:dyDescent="0.25">
      <c r="A243" s="27" t="s">
        <v>813</v>
      </c>
      <c r="B243" s="27" t="str">
        <f t="shared" si="9"/>
        <v>Georgia</v>
      </c>
      <c r="C243" s="27" t="str">
        <f t="shared" si="10"/>
        <v>Long</v>
      </c>
      <c r="D243">
        <v>3</v>
      </c>
      <c r="G243">
        <v>21</v>
      </c>
      <c r="H243">
        <v>1932</v>
      </c>
      <c r="I243">
        <v>356</v>
      </c>
      <c r="J243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44" spans="1:10" x14ac:dyDescent="0.25">
      <c r="A244" s="27" t="s">
        <v>814</v>
      </c>
      <c r="B244" s="27" t="str">
        <f t="shared" si="9"/>
        <v>Georgia</v>
      </c>
      <c r="C244" s="27" t="str">
        <f t="shared" si="10"/>
        <v>Lowndes</v>
      </c>
      <c r="D244">
        <v>12</v>
      </c>
      <c r="G244">
        <v>232</v>
      </c>
      <c r="H244">
        <v>1932</v>
      </c>
      <c r="I244">
        <v>356</v>
      </c>
      <c r="J244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45" spans="1:10" x14ac:dyDescent="0.25">
      <c r="A245" s="27" t="s">
        <v>815</v>
      </c>
      <c r="B245" s="27" t="str">
        <f t="shared" si="9"/>
        <v>Georgia</v>
      </c>
      <c r="C245" s="27" t="str">
        <f t="shared" si="10"/>
        <v>Lumpkin</v>
      </c>
      <c r="G245">
        <v>21</v>
      </c>
      <c r="H245">
        <v>1932</v>
      </c>
      <c r="I245">
        <v>356</v>
      </c>
      <c r="J245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46" spans="1:10" x14ac:dyDescent="0.25">
      <c r="A246" s="27" t="s">
        <v>816</v>
      </c>
      <c r="B246" s="27" t="str">
        <f t="shared" si="9"/>
        <v>Georgia</v>
      </c>
      <c r="C246" s="27" t="str">
        <f t="shared" si="10"/>
        <v>McDuffie</v>
      </c>
      <c r="D246">
        <v>1</v>
      </c>
      <c r="G246">
        <v>51</v>
      </c>
      <c r="H246">
        <v>1932</v>
      </c>
      <c r="I246">
        <v>356</v>
      </c>
      <c r="J246" s="27" t="str">
        <f t="shared" si="11"/>
        <v>https://ia601606.us.archive.org/33/items/FinancialStatisticsOfStateAndLocalGovernmentsWealthDebtAndTaxation1932/Financial_statistics_of_state_and_local_governments_Wealth_debt_and_taxation_1932.pdf#page=356</v>
      </c>
    </row>
    <row r="247" spans="1:10" x14ac:dyDescent="0.25">
      <c r="A247" s="27" t="s">
        <v>817</v>
      </c>
      <c r="B247" s="27" t="str">
        <f t="shared" si="9"/>
        <v>Georgia</v>
      </c>
      <c r="C247" s="27" t="str">
        <f t="shared" si="10"/>
        <v>McIntosh</v>
      </c>
      <c r="G247">
        <v>37</v>
      </c>
      <c r="H247">
        <v>1932</v>
      </c>
      <c r="I247">
        <v>357</v>
      </c>
      <c r="J247" s="27" t="str">
        <f t="shared" si="11"/>
        <v>https://ia601606.us.archive.org/33/items/FinancialStatisticsOfStateAndLocalGovernmentsWealthDebtAndTaxation1932/Financial_statistics_of_state_and_local_governments_Wealth_debt_and_taxation_1932.pdf#page=357</v>
      </c>
    </row>
    <row r="248" spans="1:10" x14ac:dyDescent="0.25">
      <c r="A248" s="27" t="s">
        <v>818</v>
      </c>
      <c r="B248" s="27" t="str">
        <f t="shared" si="9"/>
        <v>Georgia</v>
      </c>
      <c r="C248" s="27" t="str">
        <f t="shared" si="10"/>
        <v>Macon</v>
      </c>
      <c r="G248">
        <v>63</v>
      </c>
      <c r="H248">
        <v>1932</v>
      </c>
      <c r="I248">
        <v>357</v>
      </c>
      <c r="J248" s="27" t="str">
        <f t="shared" si="11"/>
        <v>https://ia601606.us.archive.org/33/items/FinancialStatisticsOfStateAndLocalGovernmentsWealthDebtAndTaxation1932/Financial_statistics_of_state_and_local_governments_Wealth_debt_and_taxation_1932.pdf#page=357</v>
      </c>
    </row>
    <row r="249" spans="1:10" x14ac:dyDescent="0.25">
      <c r="A249" s="27" t="s">
        <v>819</v>
      </c>
      <c r="B249" s="27" t="str">
        <f t="shared" si="9"/>
        <v>Georgia</v>
      </c>
      <c r="C249" s="27" t="str">
        <f t="shared" si="10"/>
        <v>Madison</v>
      </c>
      <c r="G249">
        <v>68</v>
      </c>
      <c r="H249">
        <v>1932</v>
      </c>
      <c r="I249">
        <v>357</v>
      </c>
      <c r="J249" s="27" t="str">
        <f t="shared" si="11"/>
        <v>https://ia601606.us.archive.org/33/items/FinancialStatisticsOfStateAndLocalGovernmentsWealthDebtAndTaxation1932/Financial_statistics_of_state_and_local_governments_Wealth_debt_and_taxation_1932.pdf#page=357</v>
      </c>
    </row>
    <row r="250" spans="1:10" x14ac:dyDescent="0.25">
      <c r="A250" s="27" t="s">
        <v>820</v>
      </c>
      <c r="B250" s="27" t="str">
        <f t="shared" si="9"/>
        <v>Georgia</v>
      </c>
      <c r="C250" s="27" t="str">
        <f t="shared" si="10"/>
        <v>Marion</v>
      </c>
      <c r="D250">
        <v>1</v>
      </c>
      <c r="G250">
        <v>38</v>
      </c>
      <c r="H250">
        <v>1932</v>
      </c>
      <c r="I250">
        <v>357</v>
      </c>
      <c r="J250" s="27" t="str">
        <f t="shared" si="11"/>
        <v>https://ia601606.us.archive.org/33/items/FinancialStatisticsOfStateAndLocalGovernmentsWealthDebtAndTaxation1932/Financial_statistics_of_state_and_local_governments_Wealth_debt_and_taxation_1932.pdf#page=357</v>
      </c>
    </row>
    <row r="251" spans="1:10" x14ac:dyDescent="0.25">
      <c r="A251" s="27" t="s">
        <v>821</v>
      </c>
      <c r="B251" s="27" t="str">
        <f t="shared" si="9"/>
        <v>Georgia</v>
      </c>
      <c r="C251" s="27" t="str">
        <f t="shared" si="10"/>
        <v>Meriwether</v>
      </c>
      <c r="D251">
        <v>2</v>
      </c>
      <c r="G251">
        <v>117</v>
      </c>
      <c r="H251">
        <v>1932</v>
      </c>
      <c r="I251">
        <v>357</v>
      </c>
      <c r="J251" s="27" t="str">
        <f t="shared" si="11"/>
        <v>https://ia601606.us.archive.org/33/items/FinancialStatisticsOfStateAndLocalGovernmentsWealthDebtAndTaxation1932/Financial_statistics_of_state_and_local_governments_Wealth_debt_and_taxation_1932.pdf#page=357</v>
      </c>
    </row>
    <row r="252" spans="1:10" x14ac:dyDescent="0.25">
      <c r="A252" s="27" t="s">
        <v>822</v>
      </c>
      <c r="B252" s="27" t="str">
        <f t="shared" si="9"/>
        <v>Georgia</v>
      </c>
      <c r="C252" s="27" t="str">
        <f t="shared" si="10"/>
        <v>Miller</v>
      </c>
      <c r="G252">
        <v>34</v>
      </c>
      <c r="H252">
        <v>1932</v>
      </c>
      <c r="I252">
        <v>357</v>
      </c>
      <c r="J252" s="27" t="str">
        <f t="shared" si="11"/>
        <v>https://ia601606.us.archive.org/33/items/FinancialStatisticsOfStateAndLocalGovernmentsWealthDebtAndTaxation1932/Financial_statistics_of_state_and_local_governments_Wealth_debt_and_taxation_1932.pdf#page=357</v>
      </c>
    </row>
    <row r="253" spans="1:10" x14ac:dyDescent="0.25">
      <c r="A253" s="27" t="s">
        <v>823</v>
      </c>
      <c r="B253" s="27" t="str">
        <f t="shared" si="9"/>
        <v>Georgia</v>
      </c>
      <c r="C253" s="27" t="str">
        <f t="shared" si="10"/>
        <v>Milton</v>
      </c>
      <c r="G253">
        <v>24</v>
      </c>
      <c r="H253">
        <v>1932</v>
      </c>
      <c r="I253">
        <v>358</v>
      </c>
      <c r="J253" s="27" t="str">
        <f t="shared" si="11"/>
        <v>https://ia601606.us.archive.org/33/items/FinancialStatisticsOfStateAndLocalGovernmentsWealthDebtAndTaxation1932/Financial_statistics_of_state_and_local_governments_Wealth_debt_and_taxation_1932.pdf#page=358</v>
      </c>
    </row>
    <row r="254" spans="1:10" x14ac:dyDescent="0.25">
      <c r="A254" s="27" t="s">
        <v>824</v>
      </c>
      <c r="B254" s="27" t="str">
        <f t="shared" si="9"/>
        <v>Georgia</v>
      </c>
      <c r="C254" s="27" t="str">
        <f t="shared" si="10"/>
        <v>Mitchell</v>
      </c>
      <c r="D254">
        <v>1</v>
      </c>
      <c r="G254">
        <v>135</v>
      </c>
      <c r="H254">
        <v>1932</v>
      </c>
      <c r="I254">
        <v>358</v>
      </c>
      <c r="J254" s="27" t="str">
        <f t="shared" si="11"/>
        <v>https://ia601606.us.archive.org/33/items/FinancialStatisticsOfStateAndLocalGovernmentsWealthDebtAndTaxation1932/Financial_statistics_of_state_and_local_governments_Wealth_debt_and_taxation_1932.pdf#page=358</v>
      </c>
    </row>
    <row r="255" spans="1:10" x14ac:dyDescent="0.25">
      <c r="A255" s="27" t="s">
        <v>825</v>
      </c>
      <c r="B255" s="27" t="str">
        <f t="shared" si="9"/>
        <v>Georgia</v>
      </c>
      <c r="C255" s="27" t="str">
        <f t="shared" si="10"/>
        <v>Monroe</v>
      </c>
      <c r="D255">
        <v>3</v>
      </c>
      <c r="G255">
        <v>56</v>
      </c>
      <c r="H255">
        <v>1932</v>
      </c>
      <c r="I255">
        <v>358</v>
      </c>
      <c r="J255" s="27" t="str">
        <f t="shared" si="11"/>
        <v>https://ia601606.us.archive.org/33/items/FinancialStatisticsOfStateAndLocalGovernmentsWealthDebtAndTaxation1932/Financial_statistics_of_state_and_local_governments_Wealth_debt_and_taxation_1932.pdf#page=358</v>
      </c>
    </row>
    <row r="256" spans="1:10" x14ac:dyDescent="0.25">
      <c r="A256" s="27" t="s">
        <v>826</v>
      </c>
      <c r="B256" s="27" t="str">
        <f t="shared" si="9"/>
        <v>Georgia</v>
      </c>
      <c r="C256" s="27" t="str">
        <f t="shared" si="10"/>
        <v>Montgomery</v>
      </c>
      <c r="D256">
        <v>2</v>
      </c>
      <c r="G256">
        <v>45</v>
      </c>
      <c r="H256">
        <v>1932</v>
      </c>
      <c r="I256">
        <v>358</v>
      </c>
      <c r="J256" s="27" t="str">
        <f t="shared" si="11"/>
        <v>https://ia601606.us.archive.org/33/items/FinancialStatisticsOfStateAndLocalGovernmentsWealthDebtAndTaxation1932/Financial_statistics_of_state_and_local_governments_Wealth_debt_and_taxation_1932.pdf#page=358</v>
      </c>
    </row>
    <row r="257" spans="1:10" x14ac:dyDescent="0.25">
      <c r="A257" s="27" t="s">
        <v>827</v>
      </c>
      <c r="B257" s="27" t="str">
        <f t="shared" si="9"/>
        <v>Georgia</v>
      </c>
      <c r="C257" s="27" t="str">
        <f t="shared" si="10"/>
        <v>Morgan</v>
      </c>
      <c r="G257">
        <v>64</v>
      </c>
      <c r="H257">
        <v>1932</v>
      </c>
      <c r="I257">
        <v>358</v>
      </c>
      <c r="J257" s="27" t="str">
        <f t="shared" si="11"/>
        <v>https://ia601606.us.archive.org/33/items/FinancialStatisticsOfStateAndLocalGovernmentsWealthDebtAndTaxation1932/Financial_statistics_of_state_and_local_governments_Wealth_debt_and_taxation_1932.pdf#page=358</v>
      </c>
    </row>
    <row r="258" spans="1:10" x14ac:dyDescent="0.25">
      <c r="A258" s="27" t="s">
        <v>828</v>
      </c>
      <c r="B258" s="27" t="str">
        <f t="shared" si="9"/>
        <v>Georgia</v>
      </c>
      <c r="C258" s="27" t="str">
        <f t="shared" si="10"/>
        <v>Murray</v>
      </c>
      <c r="G258">
        <v>37</v>
      </c>
      <c r="H258">
        <v>1932</v>
      </c>
      <c r="I258">
        <v>358</v>
      </c>
      <c r="J258" s="27" t="str">
        <f t="shared" si="11"/>
        <v>https://ia601606.us.archive.org/33/items/FinancialStatisticsOfStateAndLocalGovernmentsWealthDebtAndTaxation1932/Financial_statistics_of_state_and_local_governments_Wealth_debt_and_taxation_1932.pdf#page=358</v>
      </c>
    </row>
    <row r="259" spans="1:10" x14ac:dyDescent="0.25">
      <c r="A259" s="27" t="s">
        <v>829</v>
      </c>
      <c r="B259" s="27" t="str">
        <f t="shared" ref="B259:B322" si="12">LEFT(A259,FIND(";",A259)-1)</f>
        <v>Georgia</v>
      </c>
      <c r="C259" s="27" t="str">
        <f t="shared" ref="C259:C322" si="13">MID(A259,FIND(";",A259)+1,100)</f>
        <v>Muscogee</v>
      </c>
      <c r="D259">
        <v>12</v>
      </c>
      <c r="G259">
        <v>64</v>
      </c>
      <c r="H259">
        <v>1932</v>
      </c>
      <c r="I259">
        <v>358</v>
      </c>
      <c r="J259" s="27" t="str">
        <f t="shared" ref="J259:J322" si="14">"https://ia601606.us.archive.org/33/items/FinancialStatisticsOfStateAndLocalGovernmentsWealthDebtAndTaxation1932/Financial_statistics_of_state_and_local_governments_Wealth_debt_and_taxation_1932.pdf"&amp;"#page="&amp;I259</f>
        <v>https://ia601606.us.archive.org/33/items/FinancialStatisticsOfStateAndLocalGovernmentsWealthDebtAndTaxation1932/Financial_statistics_of_state_and_local_governments_Wealth_debt_and_taxation_1932.pdf#page=358</v>
      </c>
    </row>
    <row r="260" spans="1:10" x14ac:dyDescent="0.25">
      <c r="A260" s="27" t="s">
        <v>830</v>
      </c>
      <c r="B260" s="27" t="str">
        <f t="shared" si="12"/>
        <v>Georgia</v>
      </c>
      <c r="C260" s="27" t="str">
        <f t="shared" si="13"/>
        <v>Newton</v>
      </c>
      <c r="D260">
        <v>1</v>
      </c>
      <c r="G260">
        <v>83</v>
      </c>
      <c r="H260">
        <v>1932</v>
      </c>
      <c r="I260">
        <v>358</v>
      </c>
      <c r="J260" s="27" t="str">
        <f t="shared" si="14"/>
        <v>https://ia601606.us.archive.org/33/items/FinancialStatisticsOfStateAndLocalGovernmentsWealthDebtAndTaxation1932/Financial_statistics_of_state_and_local_governments_Wealth_debt_and_taxation_1932.pdf#page=358</v>
      </c>
    </row>
    <row r="261" spans="1:10" x14ac:dyDescent="0.25">
      <c r="A261" s="27" t="s">
        <v>831</v>
      </c>
      <c r="B261" s="27" t="str">
        <f t="shared" si="12"/>
        <v>Georgia</v>
      </c>
      <c r="C261" s="27" t="str">
        <f t="shared" si="13"/>
        <v>Oconee</v>
      </c>
      <c r="G261">
        <v>25</v>
      </c>
      <c r="H261">
        <v>1932</v>
      </c>
      <c r="I261">
        <v>358</v>
      </c>
      <c r="J261" s="27" t="str">
        <f t="shared" si="14"/>
        <v>https://ia601606.us.archive.org/33/items/FinancialStatisticsOfStateAndLocalGovernmentsWealthDebtAndTaxation1932/Financial_statistics_of_state_and_local_governments_Wealth_debt_and_taxation_1932.pdf#page=358</v>
      </c>
    </row>
    <row r="262" spans="1:10" x14ac:dyDescent="0.25">
      <c r="A262" s="27" t="s">
        <v>832</v>
      </c>
      <c r="B262" s="27" t="str">
        <f t="shared" si="12"/>
        <v>Georgia</v>
      </c>
      <c r="C262" s="27" t="str">
        <f t="shared" si="13"/>
        <v>Oglethorpe</v>
      </c>
      <c r="G262">
        <v>57</v>
      </c>
      <c r="H262">
        <v>1932</v>
      </c>
      <c r="I262">
        <v>358</v>
      </c>
      <c r="J262" s="27" t="str">
        <f t="shared" si="14"/>
        <v>https://ia601606.us.archive.org/33/items/FinancialStatisticsOfStateAndLocalGovernmentsWealthDebtAndTaxation1932/Financial_statistics_of_state_and_local_governments_Wealth_debt_and_taxation_1932.pdf#page=358</v>
      </c>
    </row>
    <row r="263" spans="1:10" x14ac:dyDescent="0.25">
      <c r="A263" s="27" t="s">
        <v>833</v>
      </c>
      <c r="B263" s="27" t="str">
        <f t="shared" si="12"/>
        <v>Georgia</v>
      </c>
      <c r="C263" s="27" t="str">
        <f t="shared" si="13"/>
        <v>Paulding</v>
      </c>
      <c r="G263">
        <v>55</v>
      </c>
      <c r="H263">
        <v>1932</v>
      </c>
      <c r="I263">
        <v>359</v>
      </c>
      <c r="J263" s="27" t="str">
        <f t="shared" si="14"/>
        <v>https://ia601606.us.archive.org/33/items/FinancialStatisticsOfStateAndLocalGovernmentsWealthDebtAndTaxation1932/Financial_statistics_of_state_and_local_governments_Wealth_debt_and_taxation_1932.pdf#page=359</v>
      </c>
    </row>
    <row r="264" spans="1:10" x14ac:dyDescent="0.25">
      <c r="A264" s="27" t="s">
        <v>834</v>
      </c>
      <c r="B264" s="27" t="str">
        <f t="shared" si="12"/>
        <v>Georgia</v>
      </c>
      <c r="C264" s="27" t="str">
        <f t="shared" si="13"/>
        <v>Peach</v>
      </c>
      <c r="G264">
        <v>57</v>
      </c>
      <c r="H264">
        <v>1932</v>
      </c>
      <c r="I264">
        <v>359</v>
      </c>
      <c r="J264" s="27" t="str">
        <f t="shared" si="14"/>
        <v>https://ia601606.us.archive.org/33/items/FinancialStatisticsOfStateAndLocalGovernmentsWealthDebtAndTaxation1932/Financial_statistics_of_state_and_local_governments_Wealth_debt_and_taxation_1932.pdf#page=359</v>
      </c>
    </row>
    <row r="265" spans="1:10" x14ac:dyDescent="0.25">
      <c r="A265" s="27" t="s">
        <v>835</v>
      </c>
      <c r="B265" s="27" t="str">
        <f t="shared" si="12"/>
        <v>Georgia</v>
      </c>
      <c r="C265" s="27" t="str">
        <f t="shared" si="13"/>
        <v>Pickens</v>
      </c>
      <c r="D265">
        <v>1</v>
      </c>
      <c r="G265">
        <v>79</v>
      </c>
      <c r="H265">
        <v>1932</v>
      </c>
      <c r="I265">
        <v>359</v>
      </c>
      <c r="J265" s="27" t="str">
        <f t="shared" si="14"/>
        <v>https://ia601606.us.archive.org/33/items/FinancialStatisticsOfStateAndLocalGovernmentsWealthDebtAndTaxation1932/Financial_statistics_of_state_and_local_governments_Wealth_debt_and_taxation_1932.pdf#page=359</v>
      </c>
    </row>
    <row r="266" spans="1:10" x14ac:dyDescent="0.25">
      <c r="A266" s="27" t="s">
        <v>836</v>
      </c>
      <c r="B266" s="27" t="str">
        <f t="shared" si="12"/>
        <v>Georgia</v>
      </c>
      <c r="C266" s="27" t="str">
        <f t="shared" si="13"/>
        <v>Pierce</v>
      </c>
      <c r="G266">
        <v>62</v>
      </c>
      <c r="H266">
        <v>1932</v>
      </c>
      <c r="I266">
        <v>359</v>
      </c>
      <c r="J266" s="27" t="str">
        <f t="shared" si="14"/>
        <v>https://ia601606.us.archive.org/33/items/FinancialStatisticsOfStateAndLocalGovernmentsWealthDebtAndTaxation1932/Financial_statistics_of_state_and_local_governments_Wealth_debt_and_taxation_1932.pdf#page=359</v>
      </c>
    </row>
    <row r="267" spans="1:10" x14ac:dyDescent="0.25">
      <c r="A267" s="27" t="s">
        <v>837</v>
      </c>
      <c r="B267" s="27" t="str">
        <f t="shared" si="12"/>
        <v>Georgia</v>
      </c>
      <c r="C267" s="27" t="str">
        <f t="shared" si="13"/>
        <v>Pike</v>
      </c>
      <c r="D267">
        <v>1</v>
      </c>
      <c r="G267">
        <v>53</v>
      </c>
      <c r="H267">
        <v>1932</v>
      </c>
      <c r="I267">
        <v>359</v>
      </c>
      <c r="J267" s="27" t="str">
        <f t="shared" si="14"/>
        <v>https://ia601606.us.archive.org/33/items/FinancialStatisticsOfStateAndLocalGovernmentsWealthDebtAndTaxation1932/Financial_statistics_of_state_and_local_governments_Wealth_debt_and_taxation_1932.pdf#page=359</v>
      </c>
    </row>
    <row r="268" spans="1:10" x14ac:dyDescent="0.25">
      <c r="A268" s="27" t="s">
        <v>838</v>
      </c>
      <c r="B268" s="27" t="str">
        <f t="shared" si="12"/>
        <v>Georgia</v>
      </c>
      <c r="C268" s="27" t="str">
        <f t="shared" si="13"/>
        <v>Polk</v>
      </c>
      <c r="G268">
        <v>150</v>
      </c>
      <c r="H268">
        <v>1932</v>
      </c>
      <c r="I268">
        <v>359</v>
      </c>
      <c r="J268" s="27" t="str">
        <f t="shared" si="14"/>
        <v>https://ia601606.us.archive.org/33/items/FinancialStatisticsOfStateAndLocalGovernmentsWealthDebtAndTaxation1932/Financial_statistics_of_state_and_local_governments_Wealth_debt_and_taxation_1932.pdf#page=359</v>
      </c>
    </row>
    <row r="269" spans="1:10" x14ac:dyDescent="0.25">
      <c r="A269" s="27" t="s">
        <v>839</v>
      </c>
      <c r="B269" s="27" t="str">
        <f t="shared" si="12"/>
        <v>Georgia</v>
      </c>
      <c r="C269" s="27" t="str">
        <f t="shared" si="13"/>
        <v>Pulaski</v>
      </c>
      <c r="D269">
        <v>1</v>
      </c>
      <c r="G269">
        <v>56</v>
      </c>
      <c r="H269">
        <v>1932</v>
      </c>
      <c r="I269">
        <v>360</v>
      </c>
      <c r="J269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0" spans="1:10" x14ac:dyDescent="0.25">
      <c r="A270" s="27" t="s">
        <v>840</v>
      </c>
      <c r="B270" s="27" t="str">
        <f t="shared" si="12"/>
        <v>Georgia</v>
      </c>
      <c r="C270" s="27" t="str">
        <f t="shared" si="13"/>
        <v>Putnam</v>
      </c>
      <c r="G270">
        <v>48</v>
      </c>
      <c r="H270">
        <v>1932</v>
      </c>
      <c r="I270">
        <v>360</v>
      </c>
      <c r="J270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1" spans="1:10" x14ac:dyDescent="0.25">
      <c r="A271" s="27" t="s">
        <v>841</v>
      </c>
      <c r="B271" s="27" t="str">
        <f t="shared" si="12"/>
        <v>Georgia</v>
      </c>
      <c r="C271" s="27" t="str">
        <f t="shared" si="13"/>
        <v>Quitman</v>
      </c>
      <c r="G271">
        <v>13</v>
      </c>
      <c r="H271">
        <v>1932</v>
      </c>
      <c r="I271">
        <v>360</v>
      </c>
      <c r="J271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2" spans="1:10" x14ac:dyDescent="0.25">
      <c r="A272" s="27" t="s">
        <v>842</v>
      </c>
      <c r="B272" s="27" t="str">
        <f t="shared" si="12"/>
        <v>Georgia</v>
      </c>
      <c r="C272" s="27" t="str">
        <f t="shared" si="13"/>
        <v>Rabun</v>
      </c>
      <c r="G272">
        <v>21</v>
      </c>
      <c r="H272">
        <v>1932</v>
      </c>
      <c r="I272">
        <v>360</v>
      </c>
      <c r="J272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3" spans="1:10" x14ac:dyDescent="0.25">
      <c r="A273" s="27" t="s">
        <v>843</v>
      </c>
      <c r="B273" s="27" t="str">
        <f t="shared" si="12"/>
        <v>Georgia</v>
      </c>
      <c r="C273" s="27" t="str">
        <f t="shared" si="13"/>
        <v>Randolph</v>
      </c>
      <c r="G273">
        <v>77</v>
      </c>
      <c r="H273">
        <v>1932</v>
      </c>
      <c r="I273">
        <v>360</v>
      </c>
      <c r="J273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4" spans="1:10" x14ac:dyDescent="0.25">
      <c r="A274" s="27" t="s">
        <v>844</v>
      </c>
      <c r="B274" s="27" t="str">
        <f t="shared" si="12"/>
        <v>Georgia</v>
      </c>
      <c r="C274" s="27" t="str">
        <f t="shared" si="13"/>
        <v>Richmond</v>
      </c>
      <c r="E274">
        <v>3</v>
      </c>
      <c r="G274">
        <v>659</v>
      </c>
      <c r="H274">
        <v>1932</v>
      </c>
      <c r="I274">
        <v>360</v>
      </c>
      <c r="J274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5" spans="1:10" x14ac:dyDescent="0.25">
      <c r="A275" s="27" t="s">
        <v>845</v>
      </c>
      <c r="B275" s="27" t="str">
        <f t="shared" si="12"/>
        <v>Georgia</v>
      </c>
      <c r="C275" s="27" t="str">
        <f t="shared" si="13"/>
        <v>Rockdale</v>
      </c>
      <c r="G275">
        <v>33</v>
      </c>
      <c r="H275">
        <v>1932</v>
      </c>
      <c r="I275">
        <v>360</v>
      </c>
      <c r="J275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6" spans="1:10" x14ac:dyDescent="0.25">
      <c r="A276" s="27" t="s">
        <v>846</v>
      </c>
      <c r="B276" s="27" t="str">
        <f t="shared" si="12"/>
        <v>Georgia</v>
      </c>
      <c r="C276" s="27" t="str">
        <f t="shared" si="13"/>
        <v>Schley</v>
      </c>
      <c r="G276">
        <v>21</v>
      </c>
      <c r="H276">
        <v>1932</v>
      </c>
      <c r="I276">
        <v>360</v>
      </c>
      <c r="J276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7" spans="1:10" x14ac:dyDescent="0.25">
      <c r="A277" s="27" t="s">
        <v>847</v>
      </c>
      <c r="B277" s="27" t="str">
        <f t="shared" si="12"/>
        <v>Georgia</v>
      </c>
      <c r="C277" s="27" t="str">
        <f t="shared" si="13"/>
        <v>Screven</v>
      </c>
      <c r="D277">
        <v>1</v>
      </c>
      <c r="G277">
        <v>77</v>
      </c>
      <c r="H277">
        <v>1932</v>
      </c>
      <c r="I277">
        <v>360</v>
      </c>
      <c r="J277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8" spans="1:10" x14ac:dyDescent="0.25">
      <c r="A278" s="27" t="s">
        <v>848</v>
      </c>
      <c r="B278" s="27" t="str">
        <f t="shared" si="12"/>
        <v>Georgia</v>
      </c>
      <c r="C278" s="27" t="str">
        <f t="shared" si="13"/>
        <v>Seminole</v>
      </c>
      <c r="G278">
        <v>49</v>
      </c>
      <c r="H278">
        <v>1932</v>
      </c>
      <c r="I278">
        <v>360</v>
      </c>
      <c r="J278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79" spans="1:10" x14ac:dyDescent="0.25">
      <c r="A279" s="27" t="s">
        <v>849</v>
      </c>
      <c r="B279" s="27" t="str">
        <f t="shared" si="12"/>
        <v>Georgia</v>
      </c>
      <c r="C279" s="27" t="str">
        <f t="shared" si="13"/>
        <v>Spalding</v>
      </c>
      <c r="D279">
        <v>3</v>
      </c>
      <c r="G279">
        <v>137</v>
      </c>
      <c r="H279">
        <v>1932</v>
      </c>
      <c r="I279">
        <v>360</v>
      </c>
      <c r="J279" s="27" t="str">
        <f t="shared" si="14"/>
        <v>https://ia601606.us.archive.org/33/items/FinancialStatisticsOfStateAndLocalGovernmentsWealthDebtAndTaxation1932/Financial_statistics_of_state_and_local_governments_Wealth_debt_and_taxation_1932.pdf#page=360</v>
      </c>
    </row>
    <row r="280" spans="1:10" x14ac:dyDescent="0.25">
      <c r="A280" s="27" t="s">
        <v>850</v>
      </c>
      <c r="B280" s="27" t="str">
        <f t="shared" si="12"/>
        <v>Georgia</v>
      </c>
      <c r="C280" s="27" t="str">
        <f t="shared" si="13"/>
        <v>Stephens</v>
      </c>
      <c r="G280">
        <v>68</v>
      </c>
      <c r="H280">
        <v>1932</v>
      </c>
      <c r="I280">
        <v>361</v>
      </c>
      <c r="J280" s="27" t="str">
        <f t="shared" si="14"/>
        <v>https://ia601606.us.archive.org/33/items/FinancialStatisticsOfStateAndLocalGovernmentsWealthDebtAndTaxation1932/Financial_statistics_of_state_and_local_governments_Wealth_debt_and_taxation_1932.pdf#page=361</v>
      </c>
    </row>
    <row r="281" spans="1:10" x14ac:dyDescent="0.25">
      <c r="A281" s="27" t="s">
        <v>851</v>
      </c>
      <c r="B281" s="27" t="str">
        <f t="shared" si="12"/>
        <v>Georgia</v>
      </c>
      <c r="C281" s="27" t="str">
        <f t="shared" si="13"/>
        <v>Stewart</v>
      </c>
      <c r="G281">
        <v>63</v>
      </c>
      <c r="H281">
        <v>1932</v>
      </c>
      <c r="I281">
        <v>361</v>
      </c>
      <c r="J281" s="27" t="str">
        <f t="shared" si="14"/>
        <v>https://ia601606.us.archive.org/33/items/FinancialStatisticsOfStateAndLocalGovernmentsWealthDebtAndTaxation1932/Financial_statistics_of_state_and_local_governments_Wealth_debt_and_taxation_1932.pdf#page=361</v>
      </c>
    </row>
    <row r="282" spans="1:10" x14ac:dyDescent="0.25">
      <c r="A282" s="27" t="s">
        <v>852</v>
      </c>
      <c r="B282" s="27" t="str">
        <f t="shared" si="12"/>
        <v>Georgia</v>
      </c>
      <c r="C282" s="27" t="str">
        <f t="shared" si="13"/>
        <v>Sumter</v>
      </c>
      <c r="D282">
        <v>4</v>
      </c>
      <c r="G282">
        <v>122</v>
      </c>
      <c r="H282">
        <v>1932</v>
      </c>
      <c r="I282">
        <v>361</v>
      </c>
      <c r="J282" s="27" t="str">
        <f t="shared" si="14"/>
        <v>https://ia601606.us.archive.org/33/items/FinancialStatisticsOfStateAndLocalGovernmentsWealthDebtAndTaxation1932/Financial_statistics_of_state_and_local_governments_Wealth_debt_and_taxation_1932.pdf#page=361</v>
      </c>
    </row>
    <row r="283" spans="1:10" x14ac:dyDescent="0.25">
      <c r="A283" s="27" t="s">
        <v>853</v>
      </c>
      <c r="B283" s="27" t="str">
        <f t="shared" si="12"/>
        <v>Georgia</v>
      </c>
      <c r="C283" s="27" t="str">
        <f t="shared" si="13"/>
        <v>Talbot</v>
      </c>
      <c r="G283">
        <v>36</v>
      </c>
      <c r="H283">
        <v>1932</v>
      </c>
      <c r="I283">
        <v>361</v>
      </c>
      <c r="J283" s="27" t="str">
        <f t="shared" si="14"/>
        <v>https://ia601606.us.archive.org/33/items/FinancialStatisticsOfStateAndLocalGovernmentsWealthDebtAndTaxation1932/Financial_statistics_of_state_and_local_governments_Wealth_debt_and_taxation_1932.pdf#page=361</v>
      </c>
    </row>
    <row r="284" spans="1:10" x14ac:dyDescent="0.25">
      <c r="A284" s="27" t="s">
        <v>854</v>
      </c>
      <c r="B284" s="27" t="str">
        <f t="shared" si="12"/>
        <v>Georgia</v>
      </c>
      <c r="C284" s="27" t="str">
        <f t="shared" si="13"/>
        <v>Taliaferro</v>
      </c>
      <c r="D284">
        <v>1</v>
      </c>
      <c r="G284">
        <v>28</v>
      </c>
      <c r="H284">
        <v>1932</v>
      </c>
      <c r="I284">
        <v>361</v>
      </c>
      <c r="J284" s="27" t="str">
        <f t="shared" si="14"/>
        <v>https://ia601606.us.archive.org/33/items/FinancialStatisticsOfStateAndLocalGovernmentsWealthDebtAndTaxation1932/Financial_statistics_of_state_and_local_governments_Wealth_debt_and_taxation_1932.pdf#page=361</v>
      </c>
    </row>
    <row r="285" spans="1:10" x14ac:dyDescent="0.25">
      <c r="A285" s="27" t="s">
        <v>855</v>
      </c>
      <c r="B285" s="27" t="str">
        <f t="shared" si="12"/>
        <v>Georgia</v>
      </c>
      <c r="C285" s="27" t="str">
        <f t="shared" si="13"/>
        <v>Tattnall</v>
      </c>
      <c r="G285">
        <v>55</v>
      </c>
      <c r="H285">
        <v>1932</v>
      </c>
      <c r="I285">
        <v>361</v>
      </c>
      <c r="J285" s="27" t="str">
        <f t="shared" si="14"/>
        <v>https://ia601606.us.archive.org/33/items/FinancialStatisticsOfStateAndLocalGovernmentsWealthDebtAndTaxation1932/Financial_statistics_of_state_and_local_governments_Wealth_debt_and_taxation_1932.pdf#page=361</v>
      </c>
    </row>
    <row r="286" spans="1:10" x14ac:dyDescent="0.25">
      <c r="A286" s="27" t="s">
        <v>856</v>
      </c>
      <c r="B286" s="27" t="str">
        <f t="shared" si="12"/>
        <v>Georgia</v>
      </c>
      <c r="C286" s="27" t="str">
        <f t="shared" si="13"/>
        <v>Taylor</v>
      </c>
      <c r="G286">
        <v>56</v>
      </c>
      <c r="H286">
        <v>1932</v>
      </c>
      <c r="I286">
        <v>362</v>
      </c>
      <c r="J286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87" spans="1:10" x14ac:dyDescent="0.25">
      <c r="A287" s="27" t="s">
        <v>857</v>
      </c>
      <c r="B287" s="27" t="str">
        <f t="shared" si="12"/>
        <v>Georgia</v>
      </c>
      <c r="C287" s="27" t="str">
        <f t="shared" si="13"/>
        <v>Telfair</v>
      </c>
      <c r="D287">
        <v>1</v>
      </c>
      <c r="G287">
        <v>91</v>
      </c>
      <c r="H287">
        <v>1932</v>
      </c>
      <c r="I287">
        <v>362</v>
      </c>
      <c r="J287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88" spans="1:10" x14ac:dyDescent="0.25">
      <c r="A288" s="27" t="s">
        <v>858</v>
      </c>
      <c r="B288" s="27" t="str">
        <f t="shared" si="12"/>
        <v>Georgia</v>
      </c>
      <c r="C288" s="27" t="str">
        <f t="shared" si="13"/>
        <v>Terrell</v>
      </c>
      <c r="G288">
        <v>71</v>
      </c>
      <c r="H288">
        <v>1932</v>
      </c>
      <c r="I288">
        <v>362</v>
      </c>
      <c r="J288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89" spans="1:10" x14ac:dyDescent="0.25">
      <c r="A289" s="27" t="s">
        <v>859</v>
      </c>
      <c r="B289" s="27" t="str">
        <f t="shared" si="12"/>
        <v>Georgia</v>
      </c>
      <c r="C289" s="27" t="str">
        <f t="shared" si="13"/>
        <v>Thomas</v>
      </c>
      <c r="D289">
        <v>7</v>
      </c>
      <c r="G289">
        <v>231</v>
      </c>
      <c r="H289">
        <v>1932</v>
      </c>
      <c r="I289">
        <v>362</v>
      </c>
      <c r="J289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90" spans="1:10" x14ac:dyDescent="0.25">
      <c r="A290" s="27" t="s">
        <v>860</v>
      </c>
      <c r="B290" s="27" t="str">
        <f t="shared" si="12"/>
        <v>Georgia</v>
      </c>
      <c r="C290" s="27" t="str">
        <f t="shared" si="13"/>
        <v>Tift</v>
      </c>
      <c r="D290">
        <v>7</v>
      </c>
      <c r="G290">
        <v>86</v>
      </c>
      <c r="H290">
        <v>1932</v>
      </c>
      <c r="I290">
        <v>362</v>
      </c>
      <c r="J290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91" spans="1:10" x14ac:dyDescent="0.25">
      <c r="A291" s="27" t="s">
        <v>861</v>
      </c>
      <c r="B291" s="27" t="str">
        <f t="shared" si="12"/>
        <v>Georgia</v>
      </c>
      <c r="C291" s="27" t="str">
        <f t="shared" si="13"/>
        <v>Toombs</v>
      </c>
      <c r="D291">
        <v>1</v>
      </c>
      <c r="G291">
        <v>79</v>
      </c>
      <c r="H291">
        <v>1932</v>
      </c>
      <c r="I291">
        <v>362</v>
      </c>
      <c r="J291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92" spans="1:10" x14ac:dyDescent="0.25">
      <c r="A292" s="27" t="s">
        <v>862</v>
      </c>
      <c r="B292" s="27" t="str">
        <f t="shared" si="12"/>
        <v>Georgia</v>
      </c>
      <c r="C292" s="27" t="str">
        <f t="shared" si="13"/>
        <v>Towns</v>
      </c>
      <c r="G292">
        <v>24</v>
      </c>
      <c r="H292">
        <v>1932</v>
      </c>
      <c r="I292">
        <v>362</v>
      </c>
      <c r="J292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93" spans="1:10" x14ac:dyDescent="0.25">
      <c r="A293" s="27" t="s">
        <v>863</v>
      </c>
      <c r="B293" s="27" t="str">
        <f t="shared" si="12"/>
        <v>Georgia</v>
      </c>
      <c r="C293" s="27" t="str">
        <f t="shared" si="13"/>
        <v>Treutlen</v>
      </c>
      <c r="D293">
        <v>1</v>
      </c>
      <c r="G293">
        <v>31</v>
      </c>
      <c r="H293">
        <v>1932</v>
      </c>
      <c r="I293">
        <v>362</v>
      </c>
      <c r="J293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94" spans="1:10" x14ac:dyDescent="0.25">
      <c r="A294" s="27" t="s">
        <v>864</v>
      </c>
      <c r="B294" s="27" t="str">
        <f t="shared" si="12"/>
        <v>Georgia</v>
      </c>
      <c r="C294" s="27" t="str">
        <f t="shared" si="13"/>
        <v>Troup</v>
      </c>
      <c r="D294">
        <v>9</v>
      </c>
      <c r="G294">
        <v>249</v>
      </c>
      <c r="H294">
        <v>1932</v>
      </c>
      <c r="I294">
        <v>362</v>
      </c>
      <c r="J294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95" spans="1:10" x14ac:dyDescent="0.25">
      <c r="A295" s="27" t="s">
        <v>865</v>
      </c>
      <c r="B295" s="27" t="str">
        <f t="shared" si="12"/>
        <v>Georgia</v>
      </c>
      <c r="C295" s="27" t="str">
        <f t="shared" si="13"/>
        <v>Turner</v>
      </c>
      <c r="D295">
        <v>1</v>
      </c>
      <c r="G295">
        <v>58</v>
      </c>
      <c r="H295">
        <v>1932</v>
      </c>
      <c r="I295">
        <v>362</v>
      </c>
      <c r="J295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96" spans="1:10" x14ac:dyDescent="0.25">
      <c r="A296" s="27" t="s">
        <v>866</v>
      </c>
      <c r="B296" s="27" t="str">
        <f t="shared" si="12"/>
        <v>Georgia</v>
      </c>
      <c r="C296" s="27" t="str">
        <f t="shared" si="13"/>
        <v>Twiggs</v>
      </c>
      <c r="G296">
        <v>33</v>
      </c>
      <c r="H296">
        <v>1932</v>
      </c>
      <c r="I296">
        <v>362</v>
      </c>
      <c r="J296" s="27" t="str">
        <f t="shared" si="14"/>
        <v>https://ia601606.us.archive.org/33/items/FinancialStatisticsOfStateAndLocalGovernmentsWealthDebtAndTaxation1932/Financial_statistics_of_state_and_local_governments_Wealth_debt_and_taxation_1932.pdf#page=362</v>
      </c>
    </row>
    <row r="297" spans="1:10" x14ac:dyDescent="0.25">
      <c r="A297" s="27" t="s">
        <v>867</v>
      </c>
      <c r="B297" s="27" t="str">
        <f t="shared" si="12"/>
        <v>Georgia</v>
      </c>
      <c r="C297" s="27" t="str">
        <f t="shared" si="13"/>
        <v>Union</v>
      </c>
      <c r="G297">
        <v>28</v>
      </c>
      <c r="H297">
        <v>1932</v>
      </c>
      <c r="I297">
        <v>363</v>
      </c>
      <c r="J297" s="27" t="str">
        <f t="shared" si="14"/>
        <v>https://ia601606.us.archive.org/33/items/FinancialStatisticsOfStateAndLocalGovernmentsWealthDebtAndTaxation1932/Financial_statistics_of_state_and_local_governments_Wealth_debt_and_taxation_1932.pdf#page=363</v>
      </c>
    </row>
    <row r="298" spans="1:10" x14ac:dyDescent="0.25">
      <c r="A298" s="27" t="s">
        <v>868</v>
      </c>
      <c r="B298" s="27" t="str">
        <f t="shared" si="12"/>
        <v>Georgia</v>
      </c>
      <c r="C298" s="27" t="str">
        <f t="shared" si="13"/>
        <v>Upson</v>
      </c>
      <c r="D298">
        <v>1</v>
      </c>
      <c r="G298">
        <v>109</v>
      </c>
      <c r="H298">
        <v>1932</v>
      </c>
      <c r="I298">
        <v>363</v>
      </c>
      <c r="J298" s="27" t="str">
        <f t="shared" si="14"/>
        <v>https://ia601606.us.archive.org/33/items/FinancialStatisticsOfStateAndLocalGovernmentsWealthDebtAndTaxation1932/Financial_statistics_of_state_and_local_governments_Wealth_debt_and_taxation_1932.pdf#page=363</v>
      </c>
    </row>
    <row r="299" spans="1:10" x14ac:dyDescent="0.25">
      <c r="A299" s="27" t="s">
        <v>869</v>
      </c>
      <c r="B299" s="27" t="str">
        <f t="shared" si="12"/>
        <v>Georgia</v>
      </c>
      <c r="C299" s="27" t="str">
        <f t="shared" si="13"/>
        <v>Walker</v>
      </c>
      <c r="D299">
        <v>5</v>
      </c>
      <c r="G299">
        <v>132</v>
      </c>
      <c r="H299">
        <v>1932</v>
      </c>
      <c r="I299">
        <v>363</v>
      </c>
      <c r="J299" s="27" t="str">
        <f t="shared" si="14"/>
        <v>https://ia601606.us.archive.org/33/items/FinancialStatisticsOfStateAndLocalGovernmentsWealthDebtAndTaxation1932/Financial_statistics_of_state_and_local_governments_Wealth_debt_and_taxation_1932.pdf#page=363</v>
      </c>
    </row>
    <row r="300" spans="1:10" x14ac:dyDescent="0.25">
      <c r="A300" s="27" t="s">
        <v>870</v>
      </c>
      <c r="B300" s="27" t="str">
        <f t="shared" si="12"/>
        <v>Georgia</v>
      </c>
      <c r="C300" s="27" t="str">
        <f t="shared" si="13"/>
        <v>Walton</v>
      </c>
      <c r="G300">
        <v>87</v>
      </c>
      <c r="H300">
        <v>1932</v>
      </c>
      <c r="I300">
        <v>363</v>
      </c>
      <c r="J300" s="27" t="str">
        <f t="shared" si="14"/>
        <v>https://ia601606.us.archive.org/33/items/FinancialStatisticsOfStateAndLocalGovernmentsWealthDebtAndTaxation1932/Financial_statistics_of_state_and_local_governments_Wealth_debt_and_taxation_1932.pdf#page=363</v>
      </c>
    </row>
    <row r="301" spans="1:10" x14ac:dyDescent="0.25">
      <c r="A301" s="27" t="s">
        <v>871</v>
      </c>
      <c r="B301" s="27" t="str">
        <f t="shared" si="12"/>
        <v>Georgia</v>
      </c>
      <c r="C301" s="27" t="str">
        <f t="shared" si="13"/>
        <v>Ware</v>
      </c>
      <c r="D301">
        <v>1</v>
      </c>
      <c r="G301">
        <v>162</v>
      </c>
      <c r="H301">
        <v>1932</v>
      </c>
      <c r="I301">
        <v>363</v>
      </c>
      <c r="J301" s="27" t="str">
        <f t="shared" si="14"/>
        <v>https://ia601606.us.archive.org/33/items/FinancialStatisticsOfStateAndLocalGovernmentsWealthDebtAndTaxation1932/Financial_statistics_of_state_and_local_governments_Wealth_debt_and_taxation_1932.pdf#page=363</v>
      </c>
    </row>
    <row r="302" spans="1:10" x14ac:dyDescent="0.25">
      <c r="A302" s="27" t="s">
        <v>872</v>
      </c>
      <c r="B302" s="27" t="str">
        <f t="shared" si="12"/>
        <v>Georgia</v>
      </c>
      <c r="C302" s="27" t="str">
        <f t="shared" si="13"/>
        <v>Warren</v>
      </c>
      <c r="D302">
        <v>1</v>
      </c>
      <c r="G302">
        <v>51</v>
      </c>
      <c r="H302">
        <v>1932</v>
      </c>
      <c r="I302">
        <v>363</v>
      </c>
      <c r="J302" s="27" t="str">
        <f t="shared" si="14"/>
        <v>https://ia601606.us.archive.org/33/items/FinancialStatisticsOfStateAndLocalGovernmentsWealthDebtAndTaxation1932/Financial_statistics_of_state_and_local_governments_Wealth_debt_and_taxation_1932.pdf#page=363</v>
      </c>
    </row>
    <row r="303" spans="1:10" x14ac:dyDescent="0.25">
      <c r="A303" s="27" t="s">
        <v>873</v>
      </c>
      <c r="B303" s="27" t="str">
        <f t="shared" si="12"/>
        <v>Georgia</v>
      </c>
      <c r="C303" s="27" t="str">
        <f t="shared" si="13"/>
        <v>Washington</v>
      </c>
      <c r="D303">
        <v>3</v>
      </c>
      <c r="G303">
        <v>103</v>
      </c>
      <c r="H303">
        <v>1932</v>
      </c>
      <c r="I303">
        <v>364</v>
      </c>
      <c r="J303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04" spans="1:10" x14ac:dyDescent="0.25">
      <c r="A304" s="27" t="s">
        <v>874</v>
      </c>
      <c r="B304" s="27" t="str">
        <f t="shared" si="12"/>
        <v>Georgia</v>
      </c>
      <c r="C304" s="27" t="str">
        <f t="shared" si="13"/>
        <v>Wayne</v>
      </c>
      <c r="G304">
        <v>51</v>
      </c>
      <c r="H304">
        <v>1932</v>
      </c>
      <c r="I304">
        <v>364</v>
      </c>
      <c r="J304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05" spans="1:10" x14ac:dyDescent="0.25">
      <c r="A305" s="27" t="s">
        <v>875</v>
      </c>
      <c r="B305" s="27" t="str">
        <f t="shared" si="12"/>
        <v>Georgia</v>
      </c>
      <c r="C305" s="27" t="str">
        <f t="shared" si="13"/>
        <v>Webster</v>
      </c>
      <c r="G305">
        <v>33</v>
      </c>
      <c r="H305">
        <v>1932</v>
      </c>
      <c r="I305">
        <v>364</v>
      </c>
      <c r="J305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06" spans="1:10" x14ac:dyDescent="0.25">
      <c r="A306" s="27" t="s">
        <v>876</v>
      </c>
      <c r="B306" s="27" t="str">
        <f t="shared" si="12"/>
        <v>Georgia</v>
      </c>
      <c r="C306" s="27" t="str">
        <f t="shared" si="13"/>
        <v>Wheeler</v>
      </c>
      <c r="G306">
        <v>40</v>
      </c>
      <c r="H306">
        <v>1932</v>
      </c>
      <c r="I306">
        <v>364</v>
      </c>
      <c r="J306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07" spans="1:10" x14ac:dyDescent="0.25">
      <c r="A307" s="27" t="s">
        <v>877</v>
      </c>
      <c r="B307" s="27" t="str">
        <f t="shared" si="12"/>
        <v>Georgia</v>
      </c>
      <c r="C307" s="27" t="str">
        <f t="shared" si="13"/>
        <v>White</v>
      </c>
      <c r="G307">
        <v>23</v>
      </c>
      <c r="H307">
        <v>1932</v>
      </c>
      <c r="I307">
        <v>364</v>
      </c>
      <c r="J307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08" spans="1:10" x14ac:dyDescent="0.25">
      <c r="A308" s="27" t="s">
        <v>878</v>
      </c>
      <c r="B308" s="27" t="str">
        <f t="shared" si="12"/>
        <v>Georgia</v>
      </c>
      <c r="C308" s="27" t="str">
        <f t="shared" si="13"/>
        <v>Whitfield</v>
      </c>
      <c r="G308">
        <v>110</v>
      </c>
      <c r="H308">
        <v>1932</v>
      </c>
      <c r="I308">
        <v>364</v>
      </c>
      <c r="J308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09" spans="1:10" x14ac:dyDescent="0.25">
      <c r="A309" s="27" t="s">
        <v>879</v>
      </c>
      <c r="B309" s="27" t="str">
        <f t="shared" si="12"/>
        <v>Georgia</v>
      </c>
      <c r="C309" s="27" t="str">
        <f t="shared" si="13"/>
        <v>Wilcox</v>
      </c>
      <c r="D309">
        <v>1</v>
      </c>
      <c r="G309">
        <v>88</v>
      </c>
      <c r="H309">
        <v>1932</v>
      </c>
      <c r="I309">
        <v>364</v>
      </c>
      <c r="J309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10" spans="1:10" x14ac:dyDescent="0.25">
      <c r="A310" s="27" t="s">
        <v>880</v>
      </c>
      <c r="B310" s="27" t="str">
        <f t="shared" si="12"/>
        <v>Georgia</v>
      </c>
      <c r="C310" s="27" t="str">
        <f t="shared" si="13"/>
        <v>Wilkes</v>
      </c>
      <c r="G310">
        <v>81</v>
      </c>
      <c r="H310">
        <v>1932</v>
      </c>
      <c r="I310">
        <v>364</v>
      </c>
      <c r="J310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11" spans="1:10" x14ac:dyDescent="0.25">
      <c r="A311" s="27" t="s">
        <v>881</v>
      </c>
      <c r="B311" s="27" t="str">
        <f t="shared" si="12"/>
        <v>Georgia</v>
      </c>
      <c r="C311" s="27" t="str">
        <f t="shared" si="13"/>
        <v>Wilkinson</v>
      </c>
      <c r="G311">
        <v>43</v>
      </c>
      <c r="H311">
        <v>1932</v>
      </c>
      <c r="I311">
        <v>364</v>
      </c>
      <c r="J311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12" spans="1:10" x14ac:dyDescent="0.25">
      <c r="A312" s="27" t="s">
        <v>882</v>
      </c>
      <c r="B312" s="27" t="str">
        <f t="shared" si="12"/>
        <v>Georgia</v>
      </c>
      <c r="C312" s="27" t="str">
        <f t="shared" si="13"/>
        <v>Worth</v>
      </c>
      <c r="D312">
        <v>1</v>
      </c>
      <c r="G312">
        <v>69</v>
      </c>
      <c r="H312">
        <v>1932</v>
      </c>
      <c r="I312">
        <v>364</v>
      </c>
      <c r="J312" s="27" t="str">
        <f t="shared" si="14"/>
        <v>https://ia601606.us.archive.org/33/items/FinancialStatisticsOfStateAndLocalGovernmentsWealthDebtAndTaxation1932/Financial_statistics_of_state_and_local_governments_Wealth_debt_and_taxation_1932.pdf#page=364</v>
      </c>
    </row>
    <row r="313" spans="1:10" x14ac:dyDescent="0.25">
      <c r="A313" s="27" t="s">
        <v>650</v>
      </c>
      <c r="B313" s="27" t="str">
        <f t="shared" si="12"/>
        <v/>
      </c>
      <c r="C313" s="27" t="str">
        <f t="shared" si="13"/>
        <v>MY TOTAL</v>
      </c>
      <c r="D313">
        <f>SUM(D152:D312)</f>
        <v>354</v>
      </c>
      <c r="E313">
        <f>SUM(E152:E312)</f>
        <v>3</v>
      </c>
      <c r="F313">
        <f>SUM(F152:F312)</f>
        <v>2</v>
      </c>
      <c r="G313">
        <f>SUM(G152:G312)</f>
        <v>14395</v>
      </c>
      <c r="J313" s="27" t="str">
        <f t="shared" si="14"/>
        <v>https://ia601606.us.archive.org/33/items/FinancialStatisticsOfStateAndLocalGovernmentsWealthDebtAndTaxation1932/Financial_statistics_of_state_and_local_governments_Wealth_debt_and_taxation_1932.pdf#page=</v>
      </c>
    </row>
    <row r="314" spans="1:10" x14ac:dyDescent="0.25">
      <c r="A314" s="27" t="s">
        <v>651</v>
      </c>
      <c r="B314" s="27" t="str">
        <f t="shared" si="12"/>
        <v/>
      </c>
      <c r="C314" s="27" t="str">
        <f t="shared" si="13"/>
        <v>REPORTED TOTAL</v>
      </c>
      <c r="D314" t="s">
        <v>118</v>
      </c>
      <c r="F314" t="s">
        <v>119</v>
      </c>
      <c r="J314" s="27" t="str">
        <f t="shared" si="14"/>
        <v>https://ia601606.us.archive.org/33/items/FinancialStatisticsOfStateAndLocalGovernmentsWealthDebtAndTaxation1932/Financial_statistics_of_state_and_local_governments_Wealth_debt_and_taxation_1932.pdf#page=</v>
      </c>
    </row>
    <row r="315" spans="1:10" x14ac:dyDescent="0.25">
      <c r="A315" s="27" t="s">
        <v>1367</v>
      </c>
      <c r="B315" s="27" t="str">
        <f t="shared" si="12"/>
        <v/>
      </c>
      <c r="C315" s="27" t="str">
        <f t="shared" si="13"/>
        <v/>
      </c>
      <c r="D315" t="s">
        <v>60</v>
      </c>
      <c r="E315" t="s">
        <v>60</v>
      </c>
      <c r="F315" t="s">
        <v>60</v>
      </c>
      <c r="G315" t="s">
        <v>60</v>
      </c>
      <c r="J315" s="27" t="str">
        <f t="shared" si="14"/>
        <v>https://ia601606.us.archive.org/33/items/FinancialStatisticsOfStateAndLocalGovernmentsWealthDebtAndTaxation1932/Financial_statistics_of_state_and_local_governments_Wealth_debt_and_taxation_1932.pdf#page=</v>
      </c>
    </row>
    <row r="316" spans="1:10" x14ac:dyDescent="0.25">
      <c r="A316" s="27" t="s">
        <v>1367</v>
      </c>
      <c r="B316" s="27" t="str">
        <f t="shared" si="12"/>
        <v/>
      </c>
      <c r="C316" s="27" t="str">
        <f t="shared" si="13"/>
        <v/>
      </c>
      <c r="J316" s="27" t="str">
        <f t="shared" si="14"/>
        <v>https://ia601606.us.archive.org/33/items/FinancialStatisticsOfStateAndLocalGovernmentsWealthDebtAndTaxation1932/Financial_statistics_of_state_and_local_governments_Wealth_debt_and_taxation_1932.pdf#page=</v>
      </c>
    </row>
    <row r="317" spans="1:10" x14ac:dyDescent="0.25">
      <c r="A317" s="27" t="s">
        <v>883</v>
      </c>
      <c r="B317" s="27" t="str">
        <f t="shared" si="12"/>
        <v>Kentucky</v>
      </c>
      <c r="C317" s="27" t="str">
        <f t="shared" si="13"/>
        <v>Adair</v>
      </c>
      <c r="D317">
        <v>2</v>
      </c>
      <c r="G317">
        <v>67</v>
      </c>
      <c r="H317">
        <v>1932</v>
      </c>
      <c r="I317">
        <v>697</v>
      </c>
      <c r="J317" s="27" t="str">
        <f t="shared" si="14"/>
        <v>https://ia601606.us.archive.org/33/items/FinancialStatisticsOfStateAndLocalGovernmentsWealthDebtAndTaxation1932/Financial_statistics_of_state_and_local_governments_Wealth_debt_and_taxation_1932.pdf#page=697</v>
      </c>
    </row>
    <row r="318" spans="1:10" x14ac:dyDescent="0.25">
      <c r="A318" s="27" t="s">
        <v>884</v>
      </c>
      <c r="B318" s="27" t="str">
        <f t="shared" si="12"/>
        <v>Kentucky</v>
      </c>
      <c r="C318" s="27" t="str">
        <f t="shared" si="13"/>
        <v>Allen</v>
      </c>
      <c r="D318">
        <v>1</v>
      </c>
      <c r="G318">
        <v>88</v>
      </c>
      <c r="H318">
        <v>1932</v>
      </c>
      <c r="I318">
        <v>697</v>
      </c>
      <c r="J318" s="27" t="str">
        <f t="shared" si="14"/>
        <v>https://ia601606.us.archive.org/33/items/FinancialStatisticsOfStateAndLocalGovernmentsWealthDebtAndTaxation1932/Financial_statistics_of_state_and_local_governments_Wealth_debt_and_taxation_1932.pdf#page=697</v>
      </c>
    </row>
    <row r="319" spans="1:10" x14ac:dyDescent="0.25">
      <c r="A319" s="27" t="s">
        <v>885</v>
      </c>
      <c r="B319" s="27" t="str">
        <f t="shared" si="12"/>
        <v>Kentucky</v>
      </c>
      <c r="C319" s="27" t="str">
        <f t="shared" si="13"/>
        <v>Anderson</v>
      </c>
      <c r="D319">
        <v>1</v>
      </c>
      <c r="G319">
        <v>57</v>
      </c>
      <c r="H319">
        <v>1932</v>
      </c>
      <c r="I319">
        <v>697</v>
      </c>
      <c r="J319" s="27" t="str">
        <f t="shared" si="14"/>
        <v>https://ia601606.us.archive.org/33/items/FinancialStatisticsOfStateAndLocalGovernmentsWealthDebtAndTaxation1932/Financial_statistics_of_state_and_local_governments_Wealth_debt_and_taxation_1932.pdf#page=697</v>
      </c>
    </row>
    <row r="320" spans="1:10" x14ac:dyDescent="0.25">
      <c r="A320" s="27" t="s">
        <v>886</v>
      </c>
      <c r="B320" s="27" t="str">
        <f t="shared" si="12"/>
        <v>Kentucky</v>
      </c>
      <c r="C320" s="27" t="str">
        <f t="shared" si="13"/>
        <v>Ballard</v>
      </c>
      <c r="G320">
        <v>86</v>
      </c>
      <c r="H320">
        <v>1932</v>
      </c>
      <c r="I320">
        <v>697</v>
      </c>
      <c r="J320" s="27" t="str">
        <f t="shared" si="14"/>
        <v>https://ia601606.us.archive.org/33/items/FinancialStatisticsOfStateAndLocalGovernmentsWealthDebtAndTaxation1932/Financial_statistics_of_state_and_local_governments_Wealth_debt_and_taxation_1932.pdf#page=697</v>
      </c>
    </row>
    <row r="321" spans="1:10" x14ac:dyDescent="0.25">
      <c r="A321" s="27" t="s">
        <v>887</v>
      </c>
      <c r="B321" s="27" t="str">
        <f t="shared" si="12"/>
        <v>Kentucky</v>
      </c>
      <c r="C321" s="27" t="str">
        <f t="shared" si="13"/>
        <v>Barren</v>
      </c>
      <c r="D321">
        <v>2</v>
      </c>
      <c r="G321">
        <v>132</v>
      </c>
      <c r="H321">
        <v>1932</v>
      </c>
      <c r="I321">
        <v>698</v>
      </c>
      <c r="J321" s="27" t="str">
        <f t="shared" si="14"/>
        <v>https://ia601606.us.archive.org/33/items/FinancialStatisticsOfStateAndLocalGovernmentsWealthDebtAndTaxation1932/Financial_statistics_of_state_and_local_governments_Wealth_debt_and_taxation_1932.pdf#page=698</v>
      </c>
    </row>
    <row r="322" spans="1:10" x14ac:dyDescent="0.25">
      <c r="A322" s="27" t="s">
        <v>888</v>
      </c>
      <c r="B322" s="27" t="str">
        <f t="shared" si="12"/>
        <v>Kentucky</v>
      </c>
      <c r="C322" s="27" t="str">
        <f t="shared" si="13"/>
        <v>Bath</v>
      </c>
      <c r="D322">
        <v>1</v>
      </c>
      <c r="G322">
        <v>74</v>
      </c>
      <c r="H322">
        <v>1932</v>
      </c>
      <c r="I322">
        <v>698</v>
      </c>
      <c r="J322" s="27" t="str">
        <f t="shared" si="14"/>
        <v>https://ia601606.us.archive.org/33/items/FinancialStatisticsOfStateAndLocalGovernmentsWealthDebtAndTaxation1932/Financial_statistics_of_state_and_local_governments_Wealth_debt_and_taxation_1932.pdf#page=698</v>
      </c>
    </row>
    <row r="323" spans="1:10" x14ac:dyDescent="0.25">
      <c r="A323" s="27" t="s">
        <v>889</v>
      </c>
      <c r="B323" s="27" t="str">
        <f t="shared" ref="B323:B386" si="15">LEFT(A323,FIND(";",A323)-1)</f>
        <v>Kentucky</v>
      </c>
      <c r="C323" s="27" t="str">
        <f t="shared" ref="C323:C386" si="16">MID(A323,FIND(";",A323)+1,100)</f>
        <v>Bell</v>
      </c>
      <c r="D323">
        <v>3</v>
      </c>
      <c r="G323">
        <v>256</v>
      </c>
      <c r="H323">
        <v>1932</v>
      </c>
      <c r="I323">
        <v>698</v>
      </c>
      <c r="J323" s="27" t="str">
        <f t="shared" ref="J323:J386" si="17">"https://ia601606.us.archive.org/33/items/FinancialStatisticsOfStateAndLocalGovernmentsWealthDebtAndTaxation1932/Financial_statistics_of_state_and_local_governments_Wealth_debt_and_taxation_1932.pdf"&amp;"#page="&amp;I323</f>
        <v>https://ia601606.us.archive.org/33/items/FinancialStatisticsOfStateAndLocalGovernmentsWealthDebtAndTaxation1932/Financial_statistics_of_state_and_local_governments_Wealth_debt_and_taxation_1932.pdf#page=698</v>
      </c>
    </row>
    <row r="324" spans="1:10" x14ac:dyDescent="0.25">
      <c r="A324" s="27" t="s">
        <v>890</v>
      </c>
      <c r="B324" s="27" t="str">
        <f t="shared" si="15"/>
        <v>Kentucky</v>
      </c>
      <c r="C324" s="27" t="str">
        <f t="shared" si="16"/>
        <v>Boone</v>
      </c>
      <c r="D324">
        <v>2</v>
      </c>
      <c r="F324">
        <v>2</v>
      </c>
      <c r="G324">
        <v>85</v>
      </c>
      <c r="H324">
        <v>1932</v>
      </c>
      <c r="I324">
        <v>698</v>
      </c>
      <c r="J324" s="27" t="str">
        <f t="shared" si="17"/>
        <v>https://ia601606.us.archive.org/33/items/FinancialStatisticsOfStateAndLocalGovernmentsWealthDebtAndTaxation1932/Financial_statistics_of_state_and_local_governments_Wealth_debt_and_taxation_1932.pdf#page=698</v>
      </c>
    </row>
    <row r="325" spans="1:10" x14ac:dyDescent="0.25">
      <c r="A325" s="27" t="s">
        <v>891</v>
      </c>
      <c r="B325" s="27" t="str">
        <f t="shared" si="15"/>
        <v>Kentucky</v>
      </c>
      <c r="C325" s="27" t="str">
        <f t="shared" si="16"/>
        <v>Bourbon</v>
      </c>
      <c r="D325">
        <v>1</v>
      </c>
      <c r="G325">
        <v>103</v>
      </c>
      <c r="H325">
        <v>1932</v>
      </c>
      <c r="I325">
        <v>698</v>
      </c>
      <c r="J325" s="27" t="str">
        <f t="shared" si="17"/>
        <v>https://ia601606.us.archive.org/33/items/FinancialStatisticsOfStateAndLocalGovernmentsWealthDebtAndTaxation1932/Financial_statistics_of_state_and_local_governments_Wealth_debt_and_taxation_1932.pdf#page=698</v>
      </c>
    </row>
    <row r="326" spans="1:10" x14ac:dyDescent="0.25">
      <c r="A326" s="27" t="s">
        <v>892</v>
      </c>
      <c r="B326" s="27" t="str">
        <f t="shared" si="15"/>
        <v>Kentucky</v>
      </c>
      <c r="C326" s="27" t="str">
        <f t="shared" si="16"/>
        <v>Boyd</v>
      </c>
      <c r="D326">
        <v>6</v>
      </c>
      <c r="G326">
        <v>70</v>
      </c>
      <c r="H326">
        <v>1932</v>
      </c>
      <c r="I326">
        <v>698</v>
      </c>
      <c r="J326" s="27" t="str">
        <f t="shared" si="17"/>
        <v>https://ia601606.us.archive.org/33/items/FinancialStatisticsOfStateAndLocalGovernmentsWealthDebtAndTaxation1932/Financial_statistics_of_state_and_local_governments_Wealth_debt_and_taxation_1932.pdf#page=698</v>
      </c>
    </row>
    <row r="327" spans="1:10" x14ac:dyDescent="0.25">
      <c r="A327" s="27" t="s">
        <v>893</v>
      </c>
      <c r="B327" s="27" t="str">
        <f t="shared" si="15"/>
        <v>Kentucky</v>
      </c>
      <c r="C327" s="27" t="str">
        <f t="shared" si="16"/>
        <v>Boyle</v>
      </c>
      <c r="D327">
        <v>1</v>
      </c>
      <c r="G327">
        <v>164</v>
      </c>
      <c r="H327">
        <v>1932</v>
      </c>
      <c r="I327">
        <v>698</v>
      </c>
      <c r="J327" s="27" t="str">
        <f t="shared" si="17"/>
        <v>https://ia601606.us.archive.org/33/items/FinancialStatisticsOfStateAndLocalGovernmentsWealthDebtAndTaxation1932/Financial_statistics_of_state_and_local_governments_Wealth_debt_and_taxation_1932.pdf#page=698</v>
      </c>
    </row>
    <row r="328" spans="1:10" x14ac:dyDescent="0.25">
      <c r="A328" s="27" t="s">
        <v>894</v>
      </c>
      <c r="B328" s="27" t="str">
        <f t="shared" si="15"/>
        <v>Kentucky</v>
      </c>
      <c r="C328" s="27" t="str">
        <f t="shared" si="16"/>
        <v>Bracken</v>
      </c>
      <c r="G328">
        <v>78</v>
      </c>
      <c r="H328">
        <v>1932</v>
      </c>
      <c r="I328">
        <v>698</v>
      </c>
      <c r="J328" s="27" t="str">
        <f t="shared" si="17"/>
        <v>https://ia601606.us.archive.org/33/items/FinancialStatisticsOfStateAndLocalGovernmentsWealthDebtAndTaxation1932/Financial_statistics_of_state_and_local_governments_Wealth_debt_and_taxation_1932.pdf#page=698</v>
      </c>
    </row>
    <row r="329" spans="1:10" x14ac:dyDescent="0.25">
      <c r="A329" s="27" t="s">
        <v>895</v>
      </c>
      <c r="B329" s="27" t="str">
        <f t="shared" si="15"/>
        <v>Kentucky</v>
      </c>
      <c r="C329" s="27" t="str">
        <f t="shared" si="16"/>
        <v>Breathitt</v>
      </c>
      <c r="D329">
        <v>1</v>
      </c>
      <c r="G329">
        <v>100</v>
      </c>
      <c r="H329">
        <v>1932</v>
      </c>
      <c r="I329">
        <v>698</v>
      </c>
      <c r="J329" s="27" t="str">
        <f t="shared" si="17"/>
        <v>https://ia601606.us.archive.org/33/items/FinancialStatisticsOfStateAndLocalGovernmentsWealthDebtAndTaxation1932/Financial_statistics_of_state_and_local_governments_Wealth_debt_and_taxation_1932.pdf#page=698</v>
      </c>
    </row>
    <row r="330" spans="1:10" x14ac:dyDescent="0.25">
      <c r="A330" s="27" t="s">
        <v>896</v>
      </c>
      <c r="B330" s="27" t="str">
        <f t="shared" si="15"/>
        <v>Kentucky</v>
      </c>
      <c r="C330" s="27" t="str">
        <f t="shared" si="16"/>
        <v>Breckinridge</v>
      </c>
      <c r="D330">
        <v>1</v>
      </c>
      <c r="G330">
        <v>100</v>
      </c>
      <c r="H330">
        <v>1932</v>
      </c>
      <c r="I330">
        <v>698</v>
      </c>
      <c r="J330" s="27" t="str">
        <f t="shared" si="17"/>
        <v>https://ia601606.us.archive.org/33/items/FinancialStatisticsOfStateAndLocalGovernmentsWealthDebtAndTaxation1932/Financial_statistics_of_state_and_local_governments_Wealth_debt_and_taxation_1932.pdf#page=698</v>
      </c>
    </row>
    <row r="331" spans="1:10" x14ac:dyDescent="0.25">
      <c r="A331" s="27" t="s">
        <v>897</v>
      </c>
      <c r="B331" s="27" t="str">
        <f t="shared" si="15"/>
        <v>Kentucky</v>
      </c>
      <c r="C331" s="27" t="str">
        <f t="shared" si="16"/>
        <v>Bullitt</v>
      </c>
      <c r="G331">
        <v>59</v>
      </c>
      <c r="H331">
        <v>1932</v>
      </c>
      <c r="I331">
        <v>699</v>
      </c>
      <c r="J331" s="27" t="str">
        <f t="shared" si="17"/>
        <v>https://ia601606.us.archive.org/33/items/FinancialStatisticsOfStateAndLocalGovernmentsWealthDebtAndTaxation1932/Financial_statistics_of_state_and_local_governments_Wealth_debt_and_taxation_1932.pdf#page=699</v>
      </c>
    </row>
    <row r="332" spans="1:10" x14ac:dyDescent="0.25">
      <c r="A332" s="27" t="s">
        <v>898</v>
      </c>
      <c r="B332" s="27" t="str">
        <f t="shared" si="15"/>
        <v>Kentucky</v>
      </c>
      <c r="C332" s="27" t="str">
        <f t="shared" si="16"/>
        <v>Butler</v>
      </c>
      <c r="D332">
        <v>1</v>
      </c>
      <c r="G332">
        <v>57</v>
      </c>
      <c r="H332">
        <v>1932</v>
      </c>
      <c r="I332">
        <v>699</v>
      </c>
      <c r="J332" s="27" t="str">
        <f t="shared" si="17"/>
        <v>https://ia601606.us.archive.org/33/items/FinancialStatisticsOfStateAndLocalGovernmentsWealthDebtAndTaxation1932/Financial_statistics_of_state_and_local_governments_Wealth_debt_and_taxation_1932.pdf#page=699</v>
      </c>
    </row>
    <row r="333" spans="1:10" x14ac:dyDescent="0.25">
      <c r="A333" s="27" t="s">
        <v>899</v>
      </c>
      <c r="B333" s="27" t="str">
        <f t="shared" si="15"/>
        <v>Kentucky</v>
      </c>
      <c r="C333" s="27" t="str">
        <f t="shared" si="16"/>
        <v>Caldwell</v>
      </c>
      <c r="G333">
        <v>99</v>
      </c>
      <c r="H333">
        <v>1932</v>
      </c>
      <c r="I333">
        <v>699</v>
      </c>
      <c r="J333" s="27" t="str">
        <f t="shared" si="17"/>
        <v>https://ia601606.us.archive.org/33/items/FinancialStatisticsOfStateAndLocalGovernmentsWealthDebtAndTaxation1932/Financial_statistics_of_state_and_local_governments_Wealth_debt_and_taxation_1932.pdf#page=699</v>
      </c>
    </row>
    <row r="334" spans="1:10" x14ac:dyDescent="0.25">
      <c r="A334" s="27" t="s">
        <v>900</v>
      </c>
      <c r="B334" s="27" t="str">
        <f t="shared" si="15"/>
        <v>Kentucky</v>
      </c>
      <c r="C334" s="27" t="str">
        <f t="shared" si="16"/>
        <v>Calloway</v>
      </c>
      <c r="D334">
        <v>1</v>
      </c>
      <c r="G334">
        <v>105</v>
      </c>
      <c r="H334">
        <v>1932</v>
      </c>
      <c r="I334">
        <v>699</v>
      </c>
      <c r="J334" s="27" t="str">
        <f t="shared" si="17"/>
        <v>https://ia601606.us.archive.org/33/items/FinancialStatisticsOfStateAndLocalGovernmentsWealthDebtAndTaxation1932/Financial_statistics_of_state_and_local_governments_Wealth_debt_and_taxation_1932.pdf#page=699</v>
      </c>
    </row>
    <row r="335" spans="1:10" x14ac:dyDescent="0.25">
      <c r="A335" s="27" t="s">
        <v>901</v>
      </c>
      <c r="B335" s="27" t="str">
        <f t="shared" si="15"/>
        <v>Kentucky</v>
      </c>
      <c r="C335" s="27" t="str">
        <f t="shared" si="16"/>
        <v>Campbell</v>
      </c>
      <c r="D335">
        <v>7</v>
      </c>
      <c r="G335">
        <v>611</v>
      </c>
      <c r="H335">
        <v>1932</v>
      </c>
      <c r="I335">
        <v>699</v>
      </c>
      <c r="J335" s="27" t="str">
        <f t="shared" si="17"/>
        <v>https://ia601606.us.archive.org/33/items/FinancialStatisticsOfStateAndLocalGovernmentsWealthDebtAndTaxation1932/Financial_statistics_of_state_and_local_governments_Wealth_debt_and_taxation_1932.pdf#page=699</v>
      </c>
    </row>
    <row r="336" spans="1:10" x14ac:dyDescent="0.25">
      <c r="A336" s="27" t="s">
        <v>902</v>
      </c>
      <c r="B336" s="27" t="str">
        <f t="shared" si="15"/>
        <v>Kentucky</v>
      </c>
      <c r="C336" s="27" t="str">
        <f t="shared" si="16"/>
        <v>Carlisle</v>
      </c>
      <c r="D336">
        <v>1</v>
      </c>
      <c r="G336">
        <v>45</v>
      </c>
      <c r="H336">
        <v>1932</v>
      </c>
      <c r="I336">
        <v>700</v>
      </c>
      <c r="J336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37" spans="1:10" x14ac:dyDescent="0.25">
      <c r="A337" s="27" t="s">
        <v>903</v>
      </c>
      <c r="B337" s="27" t="str">
        <f t="shared" si="15"/>
        <v>Kentucky</v>
      </c>
      <c r="C337" s="27" t="str">
        <f t="shared" si="16"/>
        <v>Carroll</v>
      </c>
      <c r="G337">
        <v>63</v>
      </c>
      <c r="H337">
        <v>1932</v>
      </c>
      <c r="I337">
        <v>700</v>
      </c>
      <c r="J337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38" spans="1:10" x14ac:dyDescent="0.25">
      <c r="A338" s="27" t="s">
        <v>904</v>
      </c>
      <c r="B338" s="27" t="str">
        <f t="shared" si="15"/>
        <v>Kentucky</v>
      </c>
      <c r="C338" s="27" t="str">
        <f t="shared" si="16"/>
        <v>Carter</v>
      </c>
      <c r="D338">
        <v>1</v>
      </c>
      <c r="G338">
        <v>132</v>
      </c>
      <c r="H338">
        <v>1932</v>
      </c>
      <c r="I338">
        <v>700</v>
      </c>
      <c r="J338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39" spans="1:10" x14ac:dyDescent="0.25">
      <c r="A339" s="27" t="s">
        <v>905</v>
      </c>
      <c r="B339" s="27" t="str">
        <f t="shared" si="15"/>
        <v>Kentucky</v>
      </c>
      <c r="C339" s="27" t="str">
        <f t="shared" si="16"/>
        <v>Casey</v>
      </c>
      <c r="F339">
        <v>2</v>
      </c>
      <c r="G339">
        <v>79</v>
      </c>
      <c r="H339">
        <v>1932</v>
      </c>
      <c r="I339">
        <v>700</v>
      </c>
      <c r="J339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40" spans="1:10" x14ac:dyDescent="0.25">
      <c r="A340" s="27" t="s">
        <v>906</v>
      </c>
      <c r="B340" s="27" t="str">
        <f t="shared" si="15"/>
        <v>Kentucky</v>
      </c>
      <c r="C340" s="27" t="str">
        <f t="shared" si="16"/>
        <v>Christian</v>
      </c>
      <c r="D340">
        <v>1</v>
      </c>
      <c r="G340">
        <v>239</v>
      </c>
      <c r="H340">
        <v>1932</v>
      </c>
      <c r="I340">
        <v>700</v>
      </c>
      <c r="J340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41" spans="1:10" x14ac:dyDescent="0.25">
      <c r="A341" s="27" t="s">
        <v>907</v>
      </c>
      <c r="B341" s="27" t="str">
        <f t="shared" si="15"/>
        <v>Kentucky</v>
      </c>
      <c r="C341" s="27" t="str">
        <f t="shared" si="16"/>
        <v>Clark</v>
      </c>
      <c r="G341">
        <v>196</v>
      </c>
      <c r="H341">
        <v>1932</v>
      </c>
      <c r="I341">
        <v>700</v>
      </c>
      <c r="J341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42" spans="1:10" x14ac:dyDescent="0.25">
      <c r="A342" s="27" t="s">
        <v>908</v>
      </c>
      <c r="B342" s="27" t="str">
        <f t="shared" si="15"/>
        <v>Kentucky</v>
      </c>
      <c r="C342" s="27" t="str">
        <f t="shared" si="16"/>
        <v>Clay</v>
      </c>
      <c r="G342">
        <v>83</v>
      </c>
      <c r="H342">
        <v>1932</v>
      </c>
      <c r="I342">
        <v>700</v>
      </c>
      <c r="J342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43" spans="1:10" x14ac:dyDescent="0.25">
      <c r="A343" s="27" t="s">
        <v>909</v>
      </c>
      <c r="B343" s="27" t="str">
        <f t="shared" si="15"/>
        <v>Kentucky</v>
      </c>
      <c r="C343" s="27" t="str">
        <f t="shared" si="16"/>
        <v>Clinton</v>
      </c>
      <c r="G343">
        <v>36</v>
      </c>
      <c r="H343">
        <v>1932</v>
      </c>
      <c r="I343">
        <v>700</v>
      </c>
      <c r="J343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44" spans="1:10" x14ac:dyDescent="0.25">
      <c r="A344" s="27" t="s">
        <v>910</v>
      </c>
      <c r="B344" s="27" t="str">
        <f t="shared" si="15"/>
        <v>Kentucky</v>
      </c>
      <c r="C344" s="27" t="str">
        <f t="shared" si="16"/>
        <v>Crittenden</v>
      </c>
      <c r="D344">
        <v>1</v>
      </c>
      <c r="G344">
        <v>77</v>
      </c>
      <c r="H344">
        <v>1932</v>
      </c>
      <c r="I344">
        <v>700</v>
      </c>
      <c r="J344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45" spans="1:10" x14ac:dyDescent="0.25">
      <c r="A345" s="27" t="s">
        <v>911</v>
      </c>
      <c r="B345" s="27" t="str">
        <f t="shared" si="15"/>
        <v>Kentucky</v>
      </c>
      <c r="C345" s="27" t="str">
        <f t="shared" si="16"/>
        <v>Cumberland</v>
      </c>
      <c r="G345">
        <v>45</v>
      </c>
      <c r="H345">
        <v>1932</v>
      </c>
      <c r="I345">
        <v>700</v>
      </c>
      <c r="J345" s="27" t="str">
        <f t="shared" si="17"/>
        <v>https://ia601606.us.archive.org/33/items/FinancialStatisticsOfStateAndLocalGovernmentsWealthDebtAndTaxation1932/Financial_statistics_of_state_and_local_governments_Wealth_debt_and_taxation_1932.pdf#page=700</v>
      </c>
    </row>
    <row r="346" spans="1:10" x14ac:dyDescent="0.25">
      <c r="A346" s="27" t="s">
        <v>1748</v>
      </c>
      <c r="B346" s="27" t="str">
        <f t="shared" si="15"/>
        <v>Kentucky</v>
      </c>
      <c r="C346" s="27" t="str">
        <f t="shared" si="16"/>
        <v>Daviess</v>
      </c>
      <c r="D346">
        <v>6</v>
      </c>
      <c r="G346">
        <v>284</v>
      </c>
      <c r="H346">
        <v>1932</v>
      </c>
      <c r="I346">
        <v>701</v>
      </c>
      <c r="J346" s="27" t="str">
        <f t="shared" si="17"/>
        <v>https://ia601606.us.archive.org/33/items/FinancialStatisticsOfStateAndLocalGovernmentsWealthDebtAndTaxation1932/Financial_statistics_of_state_and_local_governments_Wealth_debt_and_taxation_1932.pdf#page=701</v>
      </c>
    </row>
    <row r="347" spans="1:10" x14ac:dyDescent="0.25">
      <c r="A347" s="27" t="s">
        <v>912</v>
      </c>
      <c r="B347" s="27" t="str">
        <f t="shared" si="15"/>
        <v>Kentucky</v>
      </c>
      <c r="C347" s="27" t="str">
        <f t="shared" si="16"/>
        <v>Edmonson</v>
      </c>
      <c r="G347">
        <v>60</v>
      </c>
      <c r="H347">
        <v>1932</v>
      </c>
      <c r="I347">
        <v>701</v>
      </c>
      <c r="J347" s="27" t="str">
        <f t="shared" si="17"/>
        <v>https://ia601606.us.archive.org/33/items/FinancialStatisticsOfStateAndLocalGovernmentsWealthDebtAndTaxation1932/Financial_statistics_of_state_and_local_governments_Wealth_debt_and_taxation_1932.pdf#page=701</v>
      </c>
    </row>
    <row r="348" spans="1:10" x14ac:dyDescent="0.25">
      <c r="A348" s="27" t="s">
        <v>913</v>
      </c>
      <c r="B348" s="27" t="str">
        <f t="shared" si="15"/>
        <v>Kentucky</v>
      </c>
      <c r="C348" s="27" t="str">
        <f t="shared" si="16"/>
        <v>Elliott</v>
      </c>
      <c r="F348">
        <v>1</v>
      </c>
      <c r="G348">
        <v>30</v>
      </c>
      <c r="H348">
        <v>1932</v>
      </c>
      <c r="I348">
        <v>701</v>
      </c>
      <c r="J348" s="27" t="str">
        <f t="shared" si="17"/>
        <v>https://ia601606.us.archive.org/33/items/FinancialStatisticsOfStateAndLocalGovernmentsWealthDebtAndTaxation1932/Financial_statistics_of_state_and_local_governments_Wealth_debt_and_taxation_1932.pdf#page=701</v>
      </c>
    </row>
    <row r="349" spans="1:10" x14ac:dyDescent="0.25">
      <c r="A349" s="27" t="s">
        <v>914</v>
      </c>
      <c r="B349" s="27" t="str">
        <f t="shared" si="15"/>
        <v>Kentucky</v>
      </c>
      <c r="C349" s="27" t="str">
        <f t="shared" si="16"/>
        <v>Estill</v>
      </c>
      <c r="D349">
        <v>2</v>
      </c>
      <c r="G349">
        <v>110</v>
      </c>
      <c r="H349">
        <v>1932</v>
      </c>
      <c r="I349">
        <v>701</v>
      </c>
      <c r="J349" s="27" t="str">
        <f t="shared" si="17"/>
        <v>https://ia601606.us.archive.org/33/items/FinancialStatisticsOfStateAndLocalGovernmentsWealthDebtAndTaxation1932/Financial_statistics_of_state_and_local_governments_Wealth_debt_and_taxation_1932.pdf#page=701</v>
      </c>
    </row>
    <row r="350" spans="1:10" x14ac:dyDescent="0.25">
      <c r="A350" s="27" t="s">
        <v>915</v>
      </c>
      <c r="B350" s="27" t="str">
        <f t="shared" si="15"/>
        <v>Kentucky</v>
      </c>
      <c r="C350" s="27" t="str">
        <f t="shared" si="16"/>
        <v>Fayette</v>
      </c>
      <c r="D350">
        <v>62</v>
      </c>
      <c r="G350">
        <v>211</v>
      </c>
      <c r="H350">
        <v>1932</v>
      </c>
      <c r="I350">
        <v>701</v>
      </c>
      <c r="J350" s="27" t="str">
        <f t="shared" si="17"/>
        <v>https://ia601606.us.archive.org/33/items/FinancialStatisticsOfStateAndLocalGovernmentsWealthDebtAndTaxation1932/Financial_statistics_of_state_and_local_governments_Wealth_debt_and_taxation_1932.pdf#page=701</v>
      </c>
    </row>
    <row r="351" spans="1:10" x14ac:dyDescent="0.25">
      <c r="A351" s="27" t="s">
        <v>916</v>
      </c>
      <c r="B351" s="27" t="str">
        <f t="shared" si="15"/>
        <v>Kentucky</v>
      </c>
      <c r="C351" s="27" t="str">
        <f t="shared" si="16"/>
        <v>Fleming</v>
      </c>
      <c r="G351">
        <v>85</v>
      </c>
      <c r="H351">
        <v>1932</v>
      </c>
      <c r="I351">
        <v>701</v>
      </c>
      <c r="J351" s="27" t="str">
        <f t="shared" si="17"/>
        <v>https://ia601606.us.archive.org/33/items/FinancialStatisticsOfStateAndLocalGovernmentsWealthDebtAndTaxation1932/Financial_statistics_of_state_and_local_governments_Wealth_debt_and_taxation_1932.pdf#page=701</v>
      </c>
    </row>
    <row r="352" spans="1:10" x14ac:dyDescent="0.25">
      <c r="A352" s="27" t="s">
        <v>917</v>
      </c>
      <c r="B352" s="27" t="str">
        <f t="shared" si="15"/>
        <v>Kentucky</v>
      </c>
      <c r="C352" s="27" t="str">
        <f t="shared" si="16"/>
        <v>Floyd</v>
      </c>
      <c r="D352">
        <v>1</v>
      </c>
      <c r="G352">
        <v>252</v>
      </c>
      <c r="H352">
        <v>1932</v>
      </c>
      <c r="I352">
        <v>702</v>
      </c>
      <c r="J352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53" spans="1:10" x14ac:dyDescent="0.25">
      <c r="A353" s="27" t="s">
        <v>918</v>
      </c>
      <c r="B353" s="27" t="str">
        <f t="shared" si="15"/>
        <v>Kentucky</v>
      </c>
      <c r="C353" s="27" t="str">
        <f t="shared" si="16"/>
        <v>Franklin</v>
      </c>
      <c r="G353">
        <v>160</v>
      </c>
      <c r="H353">
        <v>1932</v>
      </c>
      <c r="I353">
        <v>702</v>
      </c>
      <c r="J353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54" spans="1:10" x14ac:dyDescent="0.25">
      <c r="A354" s="27" t="s">
        <v>919</v>
      </c>
      <c r="B354" s="27" t="str">
        <f t="shared" si="15"/>
        <v>Kentucky</v>
      </c>
      <c r="C354" s="27" t="str">
        <f t="shared" si="16"/>
        <v>Fulton</v>
      </c>
      <c r="D354">
        <v>5</v>
      </c>
      <c r="G354">
        <v>118</v>
      </c>
      <c r="H354">
        <v>1932</v>
      </c>
      <c r="I354">
        <v>702</v>
      </c>
      <c r="J354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55" spans="1:10" x14ac:dyDescent="0.25">
      <c r="A355" s="27" t="s">
        <v>920</v>
      </c>
      <c r="B355" s="27" t="str">
        <f t="shared" si="15"/>
        <v>Kentucky</v>
      </c>
      <c r="C355" s="27" t="str">
        <f t="shared" si="16"/>
        <v>Gallatin</v>
      </c>
      <c r="G355">
        <v>31</v>
      </c>
      <c r="H355">
        <v>1932</v>
      </c>
      <c r="I355">
        <v>702</v>
      </c>
      <c r="J355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56" spans="1:10" x14ac:dyDescent="0.25">
      <c r="A356" s="27" t="s">
        <v>921</v>
      </c>
      <c r="B356" s="27" t="str">
        <f t="shared" si="15"/>
        <v>Kentucky</v>
      </c>
      <c r="C356" s="27" t="str">
        <f t="shared" si="16"/>
        <v>Garrard</v>
      </c>
      <c r="D356">
        <v>1</v>
      </c>
      <c r="G356">
        <v>100</v>
      </c>
      <c r="H356">
        <v>1932</v>
      </c>
      <c r="I356">
        <v>702</v>
      </c>
      <c r="J356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57" spans="1:10" x14ac:dyDescent="0.25">
      <c r="A357" s="27" t="s">
        <v>922</v>
      </c>
      <c r="B357" s="27" t="str">
        <f t="shared" si="15"/>
        <v>Kentucky</v>
      </c>
      <c r="C357" s="27" t="str">
        <f t="shared" si="16"/>
        <v>Grant</v>
      </c>
      <c r="D357">
        <v>1</v>
      </c>
      <c r="G357">
        <v>95</v>
      </c>
      <c r="H357">
        <v>1932</v>
      </c>
      <c r="I357">
        <v>702</v>
      </c>
      <c r="J357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58" spans="1:10" x14ac:dyDescent="0.25">
      <c r="A358" s="27" t="s">
        <v>923</v>
      </c>
      <c r="B358" s="27" t="str">
        <f t="shared" si="15"/>
        <v>Kentucky</v>
      </c>
      <c r="C358" s="27" t="str">
        <f t="shared" si="16"/>
        <v>Graves</v>
      </c>
      <c r="D358">
        <v>1</v>
      </c>
      <c r="G358">
        <v>226</v>
      </c>
      <c r="H358">
        <v>1932</v>
      </c>
      <c r="I358">
        <v>702</v>
      </c>
      <c r="J358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59" spans="1:10" x14ac:dyDescent="0.25">
      <c r="A359" s="27" t="s">
        <v>924</v>
      </c>
      <c r="B359" s="27" t="str">
        <f t="shared" si="15"/>
        <v>Kentucky</v>
      </c>
      <c r="C359" s="27" t="str">
        <f t="shared" si="16"/>
        <v>Grayson</v>
      </c>
      <c r="D359">
        <v>3</v>
      </c>
      <c r="G359">
        <v>97</v>
      </c>
      <c r="H359">
        <v>1932</v>
      </c>
      <c r="I359">
        <v>702</v>
      </c>
      <c r="J359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60" spans="1:10" x14ac:dyDescent="0.25">
      <c r="A360" s="27" t="s">
        <v>925</v>
      </c>
      <c r="B360" s="27" t="str">
        <f t="shared" si="15"/>
        <v>Kentucky</v>
      </c>
      <c r="C360" s="27" t="str">
        <f t="shared" si="16"/>
        <v>Green</v>
      </c>
      <c r="G360">
        <v>50</v>
      </c>
      <c r="H360">
        <v>1932</v>
      </c>
      <c r="I360">
        <v>702</v>
      </c>
      <c r="J360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61" spans="1:10" x14ac:dyDescent="0.25">
      <c r="A361" s="27" t="s">
        <v>926</v>
      </c>
      <c r="B361" s="27" t="str">
        <f t="shared" si="15"/>
        <v>Kentucky</v>
      </c>
      <c r="C361" s="27" t="str">
        <f t="shared" si="16"/>
        <v>Greenup</v>
      </c>
      <c r="D361">
        <v>3</v>
      </c>
      <c r="G361">
        <v>214</v>
      </c>
      <c r="H361">
        <v>1932</v>
      </c>
      <c r="I361">
        <v>702</v>
      </c>
      <c r="J361" s="27" t="str">
        <f t="shared" si="17"/>
        <v>https://ia601606.us.archive.org/33/items/FinancialStatisticsOfStateAndLocalGovernmentsWealthDebtAndTaxation1932/Financial_statistics_of_state_and_local_governments_Wealth_debt_and_taxation_1932.pdf#page=702</v>
      </c>
    </row>
    <row r="362" spans="1:10" x14ac:dyDescent="0.25">
      <c r="A362" s="27" t="s">
        <v>927</v>
      </c>
      <c r="B362" s="27" t="str">
        <f t="shared" si="15"/>
        <v>Kentucky</v>
      </c>
      <c r="C362" s="27" t="str">
        <f t="shared" si="16"/>
        <v>Hancock</v>
      </c>
      <c r="G362">
        <v>44</v>
      </c>
      <c r="H362">
        <v>1932</v>
      </c>
      <c r="I362">
        <v>703</v>
      </c>
      <c r="J362" s="27" t="str">
        <f t="shared" si="17"/>
        <v>https://ia601606.us.archive.org/33/items/FinancialStatisticsOfStateAndLocalGovernmentsWealthDebtAndTaxation1932/Financial_statistics_of_state_and_local_governments_Wealth_debt_and_taxation_1932.pdf#page=703</v>
      </c>
    </row>
    <row r="363" spans="1:10" x14ac:dyDescent="0.25">
      <c r="A363" s="27" t="s">
        <v>928</v>
      </c>
      <c r="B363" s="27" t="str">
        <f t="shared" si="15"/>
        <v>Kentucky</v>
      </c>
      <c r="C363" s="27" t="str">
        <f t="shared" si="16"/>
        <v>Hardin</v>
      </c>
      <c r="D363">
        <v>2</v>
      </c>
      <c r="G363">
        <v>157</v>
      </c>
      <c r="H363">
        <v>1932</v>
      </c>
      <c r="I363">
        <v>703</v>
      </c>
      <c r="J363" s="27" t="str">
        <f t="shared" si="17"/>
        <v>https://ia601606.us.archive.org/33/items/FinancialStatisticsOfStateAndLocalGovernmentsWealthDebtAndTaxation1932/Financial_statistics_of_state_and_local_governments_Wealth_debt_and_taxation_1932.pdf#page=703</v>
      </c>
    </row>
    <row r="364" spans="1:10" x14ac:dyDescent="0.25">
      <c r="A364" s="27" t="s">
        <v>929</v>
      </c>
      <c r="B364" s="27" t="str">
        <f t="shared" si="15"/>
        <v>Kentucky</v>
      </c>
      <c r="C364" s="27" t="str">
        <f t="shared" si="16"/>
        <v>Harlan</v>
      </c>
      <c r="D364">
        <v>2</v>
      </c>
      <c r="G364">
        <v>362</v>
      </c>
      <c r="H364">
        <v>1932</v>
      </c>
      <c r="I364">
        <v>703</v>
      </c>
      <c r="J364" s="27" t="str">
        <f t="shared" si="17"/>
        <v>https://ia601606.us.archive.org/33/items/FinancialStatisticsOfStateAndLocalGovernmentsWealthDebtAndTaxation1932/Financial_statistics_of_state_and_local_governments_Wealth_debt_and_taxation_1932.pdf#page=703</v>
      </c>
    </row>
    <row r="365" spans="1:10" x14ac:dyDescent="0.25">
      <c r="A365" s="27" t="s">
        <v>930</v>
      </c>
      <c r="B365" s="27" t="str">
        <f t="shared" si="15"/>
        <v>Kentucky</v>
      </c>
      <c r="C365" s="27" t="str">
        <f t="shared" si="16"/>
        <v>Harrison</v>
      </c>
      <c r="D365">
        <v>3</v>
      </c>
      <c r="G365">
        <v>147</v>
      </c>
      <c r="H365">
        <v>1932</v>
      </c>
      <c r="I365">
        <v>703</v>
      </c>
      <c r="J365" s="27" t="str">
        <f t="shared" si="17"/>
        <v>https://ia601606.us.archive.org/33/items/FinancialStatisticsOfStateAndLocalGovernmentsWealthDebtAndTaxation1932/Financial_statistics_of_state_and_local_governments_Wealth_debt_and_taxation_1932.pdf#page=703</v>
      </c>
    </row>
    <row r="366" spans="1:10" x14ac:dyDescent="0.25">
      <c r="A366" s="27" t="s">
        <v>931</v>
      </c>
      <c r="B366" s="27" t="str">
        <f t="shared" si="15"/>
        <v>Kentucky</v>
      </c>
      <c r="C366" s="27" t="str">
        <f t="shared" si="16"/>
        <v>Hart</v>
      </c>
      <c r="D366">
        <v>1</v>
      </c>
      <c r="G366">
        <v>96</v>
      </c>
      <c r="H366">
        <v>1932</v>
      </c>
      <c r="I366">
        <v>703</v>
      </c>
      <c r="J366" s="27" t="str">
        <f t="shared" si="17"/>
        <v>https://ia601606.us.archive.org/33/items/FinancialStatisticsOfStateAndLocalGovernmentsWealthDebtAndTaxation1932/Financial_statistics_of_state_and_local_governments_Wealth_debt_and_taxation_1932.pdf#page=703</v>
      </c>
    </row>
    <row r="367" spans="1:10" x14ac:dyDescent="0.25">
      <c r="A367" s="27" t="s">
        <v>932</v>
      </c>
      <c r="B367" s="27" t="str">
        <f t="shared" si="15"/>
        <v>Kentucky</v>
      </c>
      <c r="C367" s="27" t="str">
        <f t="shared" si="16"/>
        <v>Henderson</v>
      </c>
      <c r="D367">
        <v>5</v>
      </c>
      <c r="G367">
        <v>264</v>
      </c>
      <c r="H367">
        <v>1932</v>
      </c>
      <c r="I367">
        <v>703</v>
      </c>
      <c r="J367" s="27" t="str">
        <f t="shared" si="17"/>
        <v>https://ia601606.us.archive.org/33/items/FinancialStatisticsOfStateAndLocalGovernmentsWealthDebtAndTaxation1932/Financial_statistics_of_state_and_local_governments_Wealth_debt_and_taxation_1932.pdf#page=703</v>
      </c>
    </row>
    <row r="368" spans="1:10" x14ac:dyDescent="0.25">
      <c r="A368" s="27" t="s">
        <v>933</v>
      </c>
      <c r="B368" s="27" t="str">
        <f t="shared" si="15"/>
        <v>Kentucky</v>
      </c>
      <c r="C368" s="27" t="str">
        <f t="shared" si="16"/>
        <v>Henry</v>
      </c>
      <c r="G368">
        <v>99</v>
      </c>
      <c r="H368">
        <v>1932</v>
      </c>
      <c r="I368">
        <v>704</v>
      </c>
      <c r="J368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69" spans="1:10" x14ac:dyDescent="0.25">
      <c r="A369" s="27" t="s">
        <v>934</v>
      </c>
      <c r="B369" s="27" t="str">
        <f t="shared" si="15"/>
        <v>Kentucky</v>
      </c>
      <c r="C369" s="27" t="str">
        <f t="shared" si="16"/>
        <v>Hickman</v>
      </c>
      <c r="D369">
        <v>1</v>
      </c>
      <c r="G369">
        <v>62</v>
      </c>
      <c r="H369">
        <v>1932</v>
      </c>
      <c r="I369">
        <v>704</v>
      </c>
      <c r="J369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70" spans="1:10" x14ac:dyDescent="0.25">
      <c r="A370" s="27" t="s">
        <v>935</v>
      </c>
      <c r="B370" s="27" t="str">
        <f t="shared" si="15"/>
        <v>Kentucky</v>
      </c>
      <c r="C370" s="27" t="str">
        <f t="shared" si="16"/>
        <v>Hopkins</v>
      </c>
      <c r="D370">
        <v>4</v>
      </c>
      <c r="G370">
        <v>244</v>
      </c>
      <c r="H370">
        <v>1932</v>
      </c>
      <c r="I370">
        <v>704</v>
      </c>
      <c r="J370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71" spans="1:10" x14ac:dyDescent="0.25">
      <c r="A371" s="27" t="s">
        <v>936</v>
      </c>
      <c r="B371" s="27" t="str">
        <f t="shared" si="15"/>
        <v>Kentucky</v>
      </c>
      <c r="C371" s="27" t="str">
        <f t="shared" si="16"/>
        <v>Jackson</v>
      </c>
      <c r="G371">
        <v>46</v>
      </c>
      <c r="H371">
        <v>1932</v>
      </c>
      <c r="I371">
        <v>704</v>
      </c>
      <c r="J371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72" spans="1:10" x14ac:dyDescent="0.25">
      <c r="A372" s="27" t="s">
        <v>937</v>
      </c>
      <c r="B372" s="27" t="str">
        <f t="shared" si="15"/>
        <v>Kentucky</v>
      </c>
      <c r="C372" s="27" t="str">
        <f t="shared" si="16"/>
        <v>Jefferson</v>
      </c>
      <c r="D372">
        <v>301</v>
      </c>
      <c r="F372">
        <v>1</v>
      </c>
      <c r="G372">
        <v>396</v>
      </c>
      <c r="H372">
        <v>1932</v>
      </c>
      <c r="I372">
        <v>704</v>
      </c>
      <c r="J372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73" spans="1:10" x14ac:dyDescent="0.25">
      <c r="A373" s="27" t="s">
        <v>938</v>
      </c>
      <c r="B373" s="27" t="str">
        <f t="shared" si="15"/>
        <v>Kentucky</v>
      </c>
      <c r="C373" s="27" t="str">
        <f t="shared" si="16"/>
        <v>Jessamine</v>
      </c>
      <c r="D373">
        <v>1</v>
      </c>
      <c r="G373">
        <v>98</v>
      </c>
      <c r="H373">
        <v>1932</v>
      </c>
      <c r="I373">
        <v>704</v>
      </c>
      <c r="J373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74" spans="1:10" x14ac:dyDescent="0.25">
      <c r="A374" s="27" t="s">
        <v>939</v>
      </c>
      <c r="B374" s="27" t="str">
        <f t="shared" si="15"/>
        <v>Kentucky</v>
      </c>
      <c r="C374" s="27" t="str">
        <f t="shared" si="16"/>
        <v>Johnson</v>
      </c>
      <c r="G374">
        <v>153</v>
      </c>
      <c r="H374">
        <v>1932</v>
      </c>
      <c r="I374">
        <v>704</v>
      </c>
      <c r="J374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75" spans="1:10" x14ac:dyDescent="0.25">
      <c r="A375" s="27" t="s">
        <v>940</v>
      </c>
      <c r="B375" s="27" t="str">
        <f t="shared" si="15"/>
        <v>Kentucky</v>
      </c>
      <c r="C375" s="27" t="str">
        <f t="shared" si="16"/>
        <v>Kenton</v>
      </c>
      <c r="D375">
        <v>10</v>
      </c>
      <c r="G375">
        <v>830</v>
      </c>
      <c r="H375">
        <v>1932</v>
      </c>
      <c r="I375">
        <v>704</v>
      </c>
      <c r="J375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76" spans="1:10" x14ac:dyDescent="0.25">
      <c r="A376" s="27" t="s">
        <v>941</v>
      </c>
      <c r="B376" s="27" t="str">
        <f t="shared" si="15"/>
        <v>Kentucky</v>
      </c>
      <c r="C376" s="27" t="str">
        <f t="shared" si="16"/>
        <v>Knott</v>
      </c>
      <c r="D376">
        <v>3</v>
      </c>
      <c r="G376">
        <v>84</v>
      </c>
      <c r="H376">
        <v>1932</v>
      </c>
      <c r="I376">
        <v>704</v>
      </c>
      <c r="J376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77" spans="1:10" x14ac:dyDescent="0.25">
      <c r="A377" s="27" t="s">
        <v>942</v>
      </c>
      <c r="B377" s="27" t="str">
        <f t="shared" si="15"/>
        <v>Kentucky</v>
      </c>
      <c r="C377" s="27" t="str">
        <f t="shared" si="16"/>
        <v>Knox</v>
      </c>
      <c r="D377">
        <v>1</v>
      </c>
      <c r="G377">
        <v>117</v>
      </c>
      <c r="H377">
        <v>1932</v>
      </c>
      <c r="I377">
        <v>704</v>
      </c>
      <c r="J377" s="27" t="str">
        <f t="shared" si="17"/>
        <v>https://ia601606.us.archive.org/33/items/FinancialStatisticsOfStateAndLocalGovernmentsWealthDebtAndTaxation1932/Financial_statistics_of_state_and_local_governments_Wealth_debt_and_taxation_1932.pdf#page=704</v>
      </c>
    </row>
    <row r="378" spans="1:10" x14ac:dyDescent="0.25">
      <c r="A378" s="27" t="s">
        <v>943</v>
      </c>
      <c r="B378" s="27" t="str">
        <f t="shared" si="15"/>
        <v>Kentucky</v>
      </c>
      <c r="C378" s="27" t="str">
        <f t="shared" si="16"/>
        <v>Larue</v>
      </c>
      <c r="G378">
        <v>52</v>
      </c>
      <c r="H378">
        <v>1932</v>
      </c>
      <c r="I378">
        <v>705</v>
      </c>
      <c r="J378" s="27" t="str">
        <f t="shared" si="17"/>
        <v>https://ia601606.us.archive.org/33/items/FinancialStatisticsOfStateAndLocalGovernmentsWealthDebtAndTaxation1932/Financial_statistics_of_state_and_local_governments_Wealth_debt_and_taxation_1932.pdf#page=705</v>
      </c>
    </row>
    <row r="379" spans="1:10" x14ac:dyDescent="0.25">
      <c r="A379" s="27" t="s">
        <v>944</v>
      </c>
      <c r="B379" s="27" t="str">
        <f t="shared" si="15"/>
        <v>Kentucky</v>
      </c>
      <c r="C379" s="27" t="str">
        <f t="shared" si="16"/>
        <v>Laurel</v>
      </c>
      <c r="D379">
        <v>1</v>
      </c>
      <c r="G379">
        <v>114</v>
      </c>
      <c r="H379">
        <v>1932</v>
      </c>
      <c r="I379">
        <v>705</v>
      </c>
      <c r="J379" s="27" t="str">
        <f t="shared" si="17"/>
        <v>https://ia601606.us.archive.org/33/items/FinancialStatisticsOfStateAndLocalGovernmentsWealthDebtAndTaxation1932/Financial_statistics_of_state_and_local_governments_Wealth_debt_and_taxation_1932.pdf#page=705</v>
      </c>
    </row>
    <row r="380" spans="1:10" x14ac:dyDescent="0.25">
      <c r="A380" s="27" t="s">
        <v>945</v>
      </c>
      <c r="B380" s="27" t="str">
        <f t="shared" si="15"/>
        <v>Kentucky</v>
      </c>
      <c r="C380" s="27" t="str">
        <f t="shared" si="16"/>
        <v>Lawrence</v>
      </c>
      <c r="D380">
        <v>2</v>
      </c>
      <c r="G380">
        <v>105</v>
      </c>
      <c r="H380">
        <v>1932</v>
      </c>
      <c r="I380">
        <v>705</v>
      </c>
      <c r="J380" s="27" t="str">
        <f t="shared" si="17"/>
        <v>https://ia601606.us.archive.org/33/items/FinancialStatisticsOfStateAndLocalGovernmentsWealthDebtAndTaxation1932/Financial_statistics_of_state_and_local_governments_Wealth_debt_and_taxation_1932.pdf#page=705</v>
      </c>
    </row>
    <row r="381" spans="1:10" x14ac:dyDescent="0.25">
      <c r="A381" s="27" t="s">
        <v>946</v>
      </c>
      <c r="B381" s="27" t="str">
        <f t="shared" si="15"/>
        <v>Kentucky</v>
      </c>
      <c r="C381" s="27" t="str">
        <f t="shared" si="16"/>
        <v>Lee</v>
      </c>
      <c r="D381">
        <v>2</v>
      </c>
      <c r="G381">
        <v>75</v>
      </c>
      <c r="H381">
        <v>1932</v>
      </c>
      <c r="I381">
        <v>705</v>
      </c>
      <c r="J381" s="27" t="str">
        <f t="shared" si="17"/>
        <v>https://ia601606.us.archive.org/33/items/FinancialStatisticsOfStateAndLocalGovernmentsWealthDebtAndTaxation1932/Financial_statistics_of_state_and_local_governments_Wealth_debt_and_taxation_1932.pdf#page=705</v>
      </c>
    </row>
    <row r="382" spans="1:10" x14ac:dyDescent="0.25">
      <c r="A382" s="27" t="s">
        <v>947</v>
      </c>
      <c r="B382" s="27" t="str">
        <f t="shared" si="15"/>
        <v>Kentucky</v>
      </c>
      <c r="C382" s="27" t="str">
        <f t="shared" si="16"/>
        <v>Leslie</v>
      </c>
      <c r="D382">
        <v>1</v>
      </c>
      <c r="G382">
        <v>57</v>
      </c>
      <c r="H382">
        <v>1932</v>
      </c>
      <c r="I382">
        <v>705</v>
      </c>
      <c r="J382" s="27" t="str">
        <f t="shared" si="17"/>
        <v>https://ia601606.us.archive.org/33/items/FinancialStatisticsOfStateAndLocalGovernmentsWealthDebtAndTaxation1932/Financial_statistics_of_state_and_local_governments_Wealth_debt_and_taxation_1932.pdf#page=705</v>
      </c>
    </row>
    <row r="383" spans="1:10" x14ac:dyDescent="0.25">
      <c r="A383" s="27" t="s">
        <v>948</v>
      </c>
      <c r="B383" s="27" t="str">
        <f t="shared" si="15"/>
        <v>Kentucky</v>
      </c>
      <c r="C383" s="27" t="str">
        <f t="shared" si="16"/>
        <v>Letcher</v>
      </c>
      <c r="D383">
        <v>4</v>
      </c>
      <c r="G383">
        <v>221</v>
      </c>
      <c r="H383">
        <v>1932</v>
      </c>
      <c r="I383">
        <v>705</v>
      </c>
      <c r="J383" s="27" t="str">
        <f t="shared" si="17"/>
        <v>https://ia601606.us.archive.org/33/items/FinancialStatisticsOfStateAndLocalGovernmentsWealthDebtAndTaxation1932/Financial_statistics_of_state_and_local_governments_Wealth_debt_and_taxation_1932.pdf#page=705</v>
      </c>
    </row>
    <row r="384" spans="1:10" x14ac:dyDescent="0.25">
      <c r="A384" s="27" t="s">
        <v>949</v>
      </c>
      <c r="B384" s="27" t="str">
        <f t="shared" si="15"/>
        <v>Kentucky</v>
      </c>
      <c r="C384" s="27" t="str">
        <f t="shared" si="16"/>
        <v>Lewis</v>
      </c>
      <c r="G384">
        <v>89</v>
      </c>
      <c r="H384">
        <v>1932</v>
      </c>
      <c r="I384">
        <v>706</v>
      </c>
      <c r="J384" s="27" t="str">
        <f t="shared" si="17"/>
        <v>https://ia601606.us.archive.org/33/items/FinancialStatisticsOfStateAndLocalGovernmentsWealthDebtAndTaxation1932/Financial_statistics_of_state_and_local_governments_Wealth_debt_and_taxation_1932.pdf#page=706</v>
      </c>
    </row>
    <row r="385" spans="1:10" x14ac:dyDescent="0.25">
      <c r="A385" s="27" t="s">
        <v>950</v>
      </c>
      <c r="B385" s="27" t="str">
        <f t="shared" si="15"/>
        <v>Kentucky</v>
      </c>
      <c r="C385" s="27" t="str">
        <f t="shared" si="16"/>
        <v>Lincoln</v>
      </c>
      <c r="G385">
        <v>97</v>
      </c>
      <c r="H385">
        <v>1932</v>
      </c>
      <c r="I385">
        <v>706</v>
      </c>
      <c r="J385" s="27" t="str">
        <f t="shared" si="17"/>
        <v>https://ia601606.us.archive.org/33/items/FinancialStatisticsOfStateAndLocalGovernmentsWealthDebtAndTaxation1932/Financial_statistics_of_state_and_local_governments_Wealth_debt_and_taxation_1932.pdf#page=706</v>
      </c>
    </row>
    <row r="386" spans="1:10" x14ac:dyDescent="0.25">
      <c r="A386" s="27" t="s">
        <v>951</v>
      </c>
      <c r="B386" s="27" t="str">
        <f t="shared" si="15"/>
        <v>Kentucky</v>
      </c>
      <c r="C386" s="27" t="str">
        <f t="shared" si="16"/>
        <v>Livingston</v>
      </c>
      <c r="D386">
        <v>2</v>
      </c>
      <c r="G386">
        <v>49</v>
      </c>
      <c r="H386">
        <v>1932</v>
      </c>
      <c r="I386">
        <v>706</v>
      </c>
      <c r="J386" s="27" t="str">
        <f t="shared" si="17"/>
        <v>https://ia601606.us.archive.org/33/items/FinancialStatisticsOfStateAndLocalGovernmentsWealthDebtAndTaxation1932/Financial_statistics_of_state_and_local_governments_Wealth_debt_and_taxation_1932.pdf#page=706</v>
      </c>
    </row>
    <row r="387" spans="1:10" x14ac:dyDescent="0.25">
      <c r="A387" s="27" t="s">
        <v>952</v>
      </c>
      <c r="B387" s="27" t="str">
        <f t="shared" ref="B387:B450" si="18">LEFT(A387,FIND(";",A387)-1)</f>
        <v>Kentucky</v>
      </c>
      <c r="C387" s="27" t="str">
        <f t="shared" ref="C387:C450" si="19">MID(A387,FIND(";",A387)+1,100)</f>
        <v>Logan</v>
      </c>
      <c r="D387">
        <v>3</v>
      </c>
      <c r="G387">
        <v>128</v>
      </c>
      <c r="H387">
        <v>1932</v>
      </c>
      <c r="I387">
        <v>706</v>
      </c>
      <c r="J387" s="27" t="str">
        <f t="shared" ref="J387:J450" si="20">"https://ia601606.us.archive.org/33/items/FinancialStatisticsOfStateAndLocalGovernmentsWealthDebtAndTaxation1932/Financial_statistics_of_state_and_local_governments_Wealth_debt_and_taxation_1932.pdf"&amp;"#page="&amp;I387</f>
        <v>https://ia601606.us.archive.org/33/items/FinancialStatisticsOfStateAndLocalGovernmentsWealthDebtAndTaxation1932/Financial_statistics_of_state_and_local_governments_Wealth_debt_and_taxation_1932.pdf#page=706</v>
      </c>
    </row>
    <row r="388" spans="1:10" x14ac:dyDescent="0.25">
      <c r="A388" s="27" t="s">
        <v>953</v>
      </c>
      <c r="B388" s="27" t="str">
        <f t="shared" si="18"/>
        <v>Kentucky</v>
      </c>
      <c r="C388" s="27" t="str">
        <f t="shared" si="19"/>
        <v>Lyon</v>
      </c>
      <c r="G388">
        <v>40</v>
      </c>
      <c r="H388">
        <v>1932</v>
      </c>
      <c r="I388">
        <v>706</v>
      </c>
      <c r="J388" s="27" t="str">
        <f t="shared" si="20"/>
        <v>https://ia601606.us.archive.org/33/items/FinancialStatisticsOfStateAndLocalGovernmentsWealthDebtAndTaxation1932/Financial_statistics_of_state_and_local_governments_Wealth_debt_and_taxation_1932.pdf#page=706</v>
      </c>
    </row>
    <row r="389" spans="1:10" x14ac:dyDescent="0.25">
      <c r="A389" s="27" t="s">
        <v>954</v>
      </c>
      <c r="B389" s="27" t="str">
        <f t="shared" si="18"/>
        <v>Kentucky</v>
      </c>
      <c r="C389" s="27" t="str">
        <f t="shared" si="19"/>
        <v>McCracken</v>
      </c>
      <c r="D389">
        <v>1</v>
      </c>
      <c r="G389">
        <v>116</v>
      </c>
      <c r="H389">
        <v>1932</v>
      </c>
      <c r="I389">
        <v>706</v>
      </c>
      <c r="J389" s="27" t="str">
        <f t="shared" si="20"/>
        <v>https://ia601606.us.archive.org/33/items/FinancialStatisticsOfStateAndLocalGovernmentsWealthDebtAndTaxation1932/Financial_statistics_of_state_and_local_governments_Wealth_debt_and_taxation_1932.pdf#page=706</v>
      </c>
    </row>
    <row r="390" spans="1:10" x14ac:dyDescent="0.25">
      <c r="A390" s="27" t="s">
        <v>955</v>
      </c>
      <c r="B390" s="27" t="str">
        <f t="shared" si="18"/>
        <v>Kentucky</v>
      </c>
      <c r="C390" s="27" t="str">
        <f t="shared" si="19"/>
        <v>McCreary</v>
      </c>
      <c r="D390">
        <v>1</v>
      </c>
      <c r="G390">
        <v>100</v>
      </c>
      <c r="H390">
        <v>1932</v>
      </c>
      <c r="I390">
        <v>706</v>
      </c>
      <c r="J390" s="27" t="str">
        <f t="shared" si="20"/>
        <v>https://ia601606.us.archive.org/33/items/FinancialStatisticsOfStateAndLocalGovernmentsWealthDebtAndTaxation1932/Financial_statistics_of_state_and_local_governments_Wealth_debt_and_taxation_1932.pdf#page=706</v>
      </c>
    </row>
    <row r="391" spans="1:10" x14ac:dyDescent="0.25">
      <c r="A391" s="27" t="s">
        <v>956</v>
      </c>
      <c r="B391" s="27" t="str">
        <f t="shared" si="18"/>
        <v>Kentucky</v>
      </c>
      <c r="C391" s="27" t="str">
        <f t="shared" si="19"/>
        <v>McLean</v>
      </c>
      <c r="G391">
        <v>62</v>
      </c>
      <c r="H391">
        <v>1932</v>
      </c>
      <c r="I391">
        <v>706</v>
      </c>
      <c r="J391" s="27" t="str">
        <f t="shared" si="20"/>
        <v>https://ia601606.us.archive.org/33/items/FinancialStatisticsOfStateAndLocalGovernmentsWealthDebtAndTaxation1932/Financial_statistics_of_state_and_local_governments_Wealth_debt_and_taxation_1932.pdf#page=706</v>
      </c>
    </row>
    <row r="392" spans="1:10" x14ac:dyDescent="0.25">
      <c r="A392" s="27" t="s">
        <v>957</v>
      </c>
      <c r="B392" s="27" t="str">
        <f t="shared" si="18"/>
        <v>Kentucky</v>
      </c>
      <c r="C392" s="27" t="str">
        <f t="shared" si="19"/>
        <v>Madison</v>
      </c>
      <c r="D392">
        <v>4</v>
      </c>
      <c r="G392">
        <v>192</v>
      </c>
      <c r="H392">
        <v>1932</v>
      </c>
      <c r="I392">
        <v>706</v>
      </c>
      <c r="J392" s="27" t="str">
        <f t="shared" si="20"/>
        <v>https://ia601606.us.archive.org/33/items/FinancialStatisticsOfStateAndLocalGovernmentsWealthDebtAndTaxation1932/Financial_statistics_of_state_and_local_governments_Wealth_debt_and_taxation_1932.pdf#page=706</v>
      </c>
    </row>
    <row r="393" spans="1:10" x14ac:dyDescent="0.25">
      <c r="A393" s="27" t="s">
        <v>958</v>
      </c>
      <c r="B393" s="27" t="str">
        <f t="shared" si="18"/>
        <v>Kentucky</v>
      </c>
      <c r="C393" s="27" t="str">
        <f t="shared" si="19"/>
        <v>Magoffin</v>
      </c>
      <c r="G393">
        <v>72</v>
      </c>
      <c r="H393">
        <v>1932</v>
      </c>
      <c r="I393">
        <v>706</v>
      </c>
      <c r="J393" s="27" t="str">
        <f t="shared" si="20"/>
        <v>https://ia601606.us.archive.org/33/items/FinancialStatisticsOfStateAndLocalGovernmentsWealthDebtAndTaxation1932/Financial_statistics_of_state_and_local_governments_Wealth_debt_and_taxation_1932.pdf#page=706</v>
      </c>
    </row>
    <row r="394" spans="1:10" x14ac:dyDescent="0.25">
      <c r="A394" s="27" t="s">
        <v>959</v>
      </c>
      <c r="B394" s="27" t="str">
        <f t="shared" si="18"/>
        <v>Kentucky</v>
      </c>
      <c r="C394" s="27" t="str">
        <f t="shared" si="19"/>
        <v>Marion</v>
      </c>
      <c r="G394">
        <v>99</v>
      </c>
      <c r="H394">
        <v>1932</v>
      </c>
      <c r="I394">
        <v>707</v>
      </c>
      <c r="J394" s="27" t="str">
        <f t="shared" si="20"/>
        <v>https://ia601606.us.archive.org/33/items/FinancialStatisticsOfStateAndLocalGovernmentsWealthDebtAndTaxation1932/Financial_statistics_of_state_and_local_governments_Wealth_debt_and_taxation_1932.pdf#page=707</v>
      </c>
    </row>
    <row r="395" spans="1:10" x14ac:dyDescent="0.25">
      <c r="A395" s="27" t="s">
        <v>960</v>
      </c>
      <c r="B395" s="27" t="str">
        <f t="shared" si="18"/>
        <v>Kentucky</v>
      </c>
      <c r="C395" s="27" t="str">
        <f t="shared" si="19"/>
        <v>Marshall</v>
      </c>
      <c r="D395">
        <v>1</v>
      </c>
      <c r="G395">
        <v>83</v>
      </c>
      <c r="H395">
        <v>1932</v>
      </c>
      <c r="I395">
        <v>707</v>
      </c>
      <c r="J395" s="27" t="str">
        <f t="shared" si="20"/>
        <v>https://ia601606.us.archive.org/33/items/FinancialStatisticsOfStateAndLocalGovernmentsWealthDebtAndTaxation1932/Financial_statistics_of_state_and_local_governments_Wealth_debt_and_taxation_1932.pdf#page=707</v>
      </c>
    </row>
    <row r="396" spans="1:10" x14ac:dyDescent="0.25">
      <c r="A396" s="27" t="s">
        <v>961</v>
      </c>
      <c r="B396" s="27" t="str">
        <f t="shared" si="18"/>
        <v>Kentucky</v>
      </c>
      <c r="C396" s="27" t="str">
        <f t="shared" si="19"/>
        <v>Martin</v>
      </c>
      <c r="D396">
        <v>1</v>
      </c>
      <c r="G396">
        <v>57</v>
      </c>
      <c r="H396">
        <v>1932</v>
      </c>
      <c r="I396">
        <v>707</v>
      </c>
      <c r="J396" s="27" t="str">
        <f t="shared" si="20"/>
        <v>https://ia601606.us.archive.org/33/items/FinancialStatisticsOfStateAndLocalGovernmentsWealthDebtAndTaxation1932/Financial_statistics_of_state_and_local_governments_Wealth_debt_and_taxation_1932.pdf#page=707</v>
      </c>
    </row>
    <row r="397" spans="1:10" x14ac:dyDescent="0.25">
      <c r="A397" s="27" t="s">
        <v>962</v>
      </c>
      <c r="B397" s="27" t="str">
        <f t="shared" si="18"/>
        <v>Kentucky</v>
      </c>
      <c r="C397" s="27" t="str">
        <f t="shared" si="19"/>
        <v>Mason</v>
      </c>
      <c r="G397">
        <v>202</v>
      </c>
      <c r="H397">
        <v>1932</v>
      </c>
      <c r="I397">
        <v>707</v>
      </c>
      <c r="J397" s="27" t="str">
        <f t="shared" si="20"/>
        <v>https://ia601606.us.archive.org/33/items/FinancialStatisticsOfStateAndLocalGovernmentsWealthDebtAndTaxation1932/Financial_statistics_of_state_and_local_governments_Wealth_debt_and_taxation_1932.pdf#page=707</v>
      </c>
    </row>
    <row r="398" spans="1:10" x14ac:dyDescent="0.25">
      <c r="A398" s="27" t="s">
        <v>963</v>
      </c>
      <c r="B398" s="27" t="str">
        <f t="shared" si="18"/>
        <v>Kentucky</v>
      </c>
      <c r="C398" s="27" t="str">
        <f t="shared" si="19"/>
        <v>Meade</v>
      </c>
      <c r="D398">
        <v>1</v>
      </c>
      <c r="G398">
        <v>54</v>
      </c>
      <c r="H398">
        <v>1932</v>
      </c>
      <c r="I398">
        <v>707</v>
      </c>
      <c r="J398" s="27" t="str">
        <f t="shared" si="20"/>
        <v>https://ia601606.us.archive.org/33/items/FinancialStatisticsOfStateAndLocalGovernmentsWealthDebtAndTaxation1932/Financial_statistics_of_state_and_local_governments_Wealth_debt_and_taxation_1932.pdf#page=707</v>
      </c>
    </row>
    <row r="399" spans="1:10" x14ac:dyDescent="0.25">
      <c r="A399" s="27" t="s">
        <v>964</v>
      </c>
      <c r="B399" s="27" t="str">
        <f t="shared" si="18"/>
        <v>Kentucky</v>
      </c>
      <c r="C399" s="27" t="str">
        <f t="shared" si="19"/>
        <v>Menifee</v>
      </c>
      <c r="G399">
        <v>26</v>
      </c>
      <c r="H399">
        <v>1932</v>
      </c>
      <c r="I399">
        <v>707</v>
      </c>
      <c r="J399" s="27" t="str">
        <f t="shared" si="20"/>
        <v>https://ia601606.us.archive.org/33/items/FinancialStatisticsOfStateAndLocalGovernmentsWealthDebtAndTaxation1932/Financial_statistics_of_state_and_local_governments_Wealth_debt_and_taxation_1932.pdf#page=707</v>
      </c>
    </row>
    <row r="400" spans="1:10" x14ac:dyDescent="0.25">
      <c r="A400" s="27" t="s">
        <v>965</v>
      </c>
      <c r="B400" s="27" t="str">
        <f t="shared" si="18"/>
        <v>Kentucky</v>
      </c>
      <c r="C400" s="27" t="str">
        <f t="shared" si="19"/>
        <v>Mercer</v>
      </c>
      <c r="D400">
        <v>5</v>
      </c>
      <c r="G400">
        <v>119</v>
      </c>
      <c r="H400">
        <v>1932</v>
      </c>
      <c r="I400">
        <v>708</v>
      </c>
      <c r="J400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01" spans="1:10" x14ac:dyDescent="0.25">
      <c r="A401" s="27" t="s">
        <v>966</v>
      </c>
      <c r="B401" s="27" t="str">
        <f t="shared" si="18"/>
        <v>Kentucky</v>
      </c>
      <c r="C401" s="27" t="str">
        <f t="shared" si="19"/>
        <v>MetCalfe</v>
      </c>
      <c r="D401">
        <v>1</v>
      </c>
      <c r="G401">
        <v>40</v>
      </c>
      <c r="H401">
        <v>1932</v>
      </c>
      <c r="I401">
        <v>708</v>
      </c>
      <c r="J401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02" spans="1:10" x14ac:dyDescent="0.25">
      <c r="A402" s="27" t="s">
        <v>967</v>
      </c>
      <c r="B402" s="27" t="str">
        <f t="shared" si="18"/>
        <v>Kentucky</v>
      </c>
      <c r="C402" s="27" t="str">
        <f t="shared" si="19"/>
        <v>Monroe</v>
      </c>
      <c r="D402">
        <v>2</v>
      </c>
      <c r="G402">
        <v>61</v>
      </c>
      <c r="H402">
        <v>1932</v>
      </c>
      <c r="I402">
        <v>708</v>
      </c>
      <c r="J402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03" spans="1:10" x14ac:dyDescent="0.25">
      <c r="A403" s="27" t="s">
        <v>968</v>
      </c>
      <c r="B403" s="27" t="str">
        <f t="shared" si="18"/>
        <v>Kentucky</v>
      </c>
      <c r="C403" s="27" t="str">
        <f t="shared" si="19"/>
        <v>Montgomery</v>
      </c>
      <c r="G403">
        <v>99</v>
      </c>
      <c r="H403">
        <v>1932</v>
      </c>
      <c r="I403">
        <v>708</v>
      </c>
      <c r="J403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04" spans="1:10" x14ac:dyDescent="0.25">
      <c r="A404" s="27" t="s">
        <v>969</v>
      </c>
      <c r="B404" s="27" t="str">
        <f t="shared" si="18"/>
        <v>Kentucky</v>
      </c>
      <c r="C404" s="27" t="str">
        <f t="shared" si="19"/>
        <v>Morgan</v>
      </c>
      <c r="D404">
        <v>1</v>
      </c>
      <c r="G404">
        <v>61</v>
      </c>
      <c r="H404">
        <v>1932</v>
      </c>
      <c r="I404">
        <v>708</v>
      </c>
      <c r="J404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05" spans="1:10" x14ac:dyDescent="0.25">
      <c r="A405" s="27" t="s">
        <v>970</v>
      </c>
      <c r="B405" s="27" t="str">
        <f t="shared" si="18"/>
        <v>Kentucky</v>
      </c>
      <c r="C405" s="27" t="str">
        <f t="shared" si="19"/>
        <v>Muhlenberg</v>
      </c>
      <c r="D405">
        <v>5</v>
      </c>
      <c r="G405">
        <v>230</v>
      </c>
      <c r="H405">
        <v>1932</v>
      </c>
      <c r="I405">
        <v>708</v>
      </c>
      <c r="J405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06" spans="1:10" x14ac:dyDescent="0.25">
      <c r="A406" s="27" t="s">
        <v>971</v>
      </c>
      <c r="B406" s="27" t="str">
        <f t="shared" si="18"/>
        <v>Kentucky</v>
      </c>
      <c r="C406" s="27" t="str">
        <f t="shared" si="19"/>
        <v>Nelson</v>
      </c>
      <c r="D406">
        <v>1</v>
      </c>
      <c r="G406">
        <v>113</v>
      </c>
      <c r="H406">
        <v>1932</v>
      </c>
      <c r="I406">
        <v>708</v>
      </c>
      <c r="J406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07" spans="1:10" x14ac:dyDescent="0.25">
      <c r="A407" s="27" t="s">
        <v>972</v>
      </c>
      <c r="B407" s="27" t="str">
        <f t="shared" si="18"/>
        <v>Kentucky</v>
      </c>
      <c r="C407" s="27" t="str">
        <f t="shared" si="19"/>
        <v>Nicholas</v>
      </c>
      <c r="G407">
        <v>68</v>
      </c>
      <c r="H407">
        <v>1932</v>
      </c>
      <c r="I407">
        <v>708</v>
      </c>
      <c r="J407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08" spans="1:10" x14ac:dyDescent="0.25">
      <c r="A408" s="27" t="s">
        <v>973</v>
      </c>
      <c r="B408" s="27" t="str">
        <f t="shared" si="18"/>
        <v>Kentucky</v>
      </c>
      <c r="C408" s="27" t="str">
        <f t="shared" si="19"/>
        <v>Ohio</v>
      </c>
      <c r="G408">
        <v>155</v>
      </c>
      <c r="H408">
        <v>1932</v>
      </c>
      <c r="I408">
        <v>708</v>
      </c>
      <c r="J408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09" spans="1:10" x14ac:dyDescent="0.25">
      <c r="A409" s="27" t="s">
        <v>974</v>
      </c>
      <c r="B409" s="27" t="str">
        <f t="shared" si="18"/>
        <v>Kentucky</v>
      </c>
      <c r="C409" s="27" t="str">
        <f t="shared" si="19"/>
        <v>Oldham</v>
      </c>
      <c r="G409">
        <v>67</v>
      </c>
      <c r="H409">
        <v>1932</v>
      </c>
      <c r="I409">
        <v>708</v>
      </c>
      <c r="J409" s="27" t="str">
        <f t="shared" si="20"/>
        <v>https://ia601606.us.archive.org/33/items/FinancialStatisticsOfStateAndLocalGovernmentsWealthDebtAndTaxation1932/Financial_statistics_of_state_and_local_governments_Wealth_debt_and_taxation_1932.pdf#page=708</v>
      </c>
    </row>
    <row r="410" spans="1:10" x14ac:dyDescent="0.25">
      <c r="A410" s="27" t="s">
        <v>975</v>
      </c>
      <c r="B410" s="27" t="str">
        <f t="shared" si="18"/>
        <v>Kentucky</v>
      </c>
      <c r="C410" s="27" t="str">
        <f t="shared" si="19"/>
        <v>Owen</v>
      </c>
      <c r="G410">
        <v>71</v>
      </c>
      <c r="H410">
        <v>1932</v>
      </c>
      <c r="I410">
        <v>709</v>
      </c>
      <c r="J410" s="27" t="str">
        <f t="shared" si="20"/>
        <v>https://ia601606.us.archive.org/33/items/FinancialStatisticsOfStateAndLocalGovernmentsWealthDebtAndTaxation1932/Financial_statistics_of_state_and_local_governments_Wealth_debt_and_taxation_1932.pdf#page=709</v>
      </c>
    </row>
    <row r="411" spans="1:10" x14ac:dyDescent="0.25">
      <c r="A411" s="27" t="s">
        <v>976</v>
      </c>
      <c r="B411" s="27" t="str">
        <f t="shared" si="18"/>
        <v>Kentucky</v>
      </c>
      <c r="C411" s="27" t="str">
        <f t="shared" si="19"/>
        <v>Owsley</v>
      </c>
      <c r="D411">
        <v>1</v>
      </c>
      <c r="G411">
        <v>33</v>
      </c>
      <c r="H411">
        <v>1932</v>
      </c>
      <c r="I411">
        <v>709</v>
      </c>
      <c r="J411" s="27" t="str">
        <f t="shared" si="20"/>
        <v>https://ia601606.us.archive.org/33/items/FinancialStatisticsOfStateAndLocalGovernmentsWealthDebtAndTaxation1932/Financial_statistics_of_state_and_local_governments_Wealth_debt_and_taxation_1932.pdf#page=709</v>
      </c>
    </row>
    <row r="412" spans="1:10" x14ac:dyDescent="0.25">
      <c r="A412" s="27" t="s">
        <v>977</v>
      </c>
      <c r="B412" s="27" t="str">
        <f t="shared" si="18"/>
        <v>Kentucky</v>
      </c>
      <c r="C412" s="27" t="str">
        <f t="shared" si="19"/>
        <v>Pendleton</v>
      </c>
      <c r="D412">
        <v>1</v>
      </c>
      <c r="G412">
        <v>86</v>
      </c>
      <c r="H412">
        <v>1932</v>
      </c>
      <c r="I412">
        <v>709</v>
      </c>
      <c r="J412" s="27" t="str">
        <f t="shared" si="20"/>
        <v>https://ia601606.us.archive.org/33/items/FinancialStatisticsOfStateAndLocalGovernmentsWealthDebtAndTaxation1932/Financial_statistics_of_state_and_local_governments_Wealth_debt_and_taxation_1932.pdf#page=709</v>
      </c>
    </row>
    <row r="413" spans="1:10" x14ac:dyDescent="0.25">
      <c r="A413" s="27" t="s">
        <v>978</v>
      </c>
      <c r="B413" s="27" t="str">
        <f t="shared" si="18"/>
        <v>Kentucky</v>
      </c>
      <c r="C413" s="27" t="str">
        <f t="shared" si="19"/>
        <v>Perry</v>
      </c>
      <c r="D413">
        <v>3</v>
      </c>
      <c r="F413">
        <v>5</v>
      </c>
      <c r="G413">
        <v>205</v>
      </c>
      <c r="H413">
        <v>1932</v>
      </c>
      <c r="I413">
        <v>709</v>
      </c>
      <c r="J413" s="27" t="str">
        <f t="shared" si="20"/>
        <v>https://ia601606.us.archive.org/33/items/FinancialStatisticsOfStateAndLocalGovernmentsWealthDebtAndTaxation1932/Financial_statistics_of_state_and_local_governments_Wealth_debt_and_taxation_1932.pdf#page=709</v>
      </c>
    </row>
    <row r="414" spans="1:10" x14ac:dyDescent="0.25">
      <c r="A414" s="27" t="s">
        <v>979</v>
      </c>
      <c r="B414" s="27" t="str">
        <f t="shared" si="18"/>
        <v>Kentucky</v>
      </c>
      <c r="C414" s="27" t="str">
        <f t="shared" si="19"/>
        <v>Pike</v>
      </c>
      <c r="D414">
        <v>5</v>
      </c>
      <c r="G414">
        <v>367</v>
      </c>
      <c r="H414">
        <v>1932</v>
      </c>
      <c r="I414">
        <v>709</v>
      </c>
      <c r="J414" s="27" t="str">
        <f t="shared" si="20"/>
        <v>https://ia601606.us.archive.org/33/items/FinancialStatisticsOfStateAndLocalGovernmentsWealthDebtAndTaxation1932/Financial_statistics_of_state_and_local_governments_Wealth_debt_and_taxation_1932.pdf#page=709</v>
      </c>
    </row>
    <row r="415" spans="1:10" x14ac:dyDescent="0.25">
      <c r="A415" s="27" t="s">
        <v>980</v>
      </c>
      <c r="B415" s="27" t="str">
        <f t="shared" si="18"/>
        <v>Kentucky</v>
      </c>
      <c r="C415" s="27" t="str">
        <f t="shared" si="19"/>
        <v>Powell</v>
      </c>
      <c r="G415">
        <v>34</v>
      </c>
      <c r="H415">
        <v>1932</v>
      </c>
      <c r="I415">
        <v>709</v>
      </c>
      <c r="J415" s="27" t="str">
        <f t="shared" si="20"/>
        <v>https://ia601606.us.archive.org/33/items/FinancialStatisticsOfStateAndLocalGovernmentsWealthDebtAndTaxation1932/Financial_statistics_of_state_and_local_governments_Wealth_debt_and_taxation_1932.pdf#page=709</v>
      </c>
    </row>
    <row r="416" spans="1:10" x14ac:dyDescent="0.25">
      <c r="A416" s="27" t="s">
        <v>981</v>
      </c>
      <c r="B416" s="27" t="str">
        <f t="shared" si="18"/>
        <v>Kentucky</v>
      </c>
      <c r="C416" s="27" t="str">
        <f t="shared" si="19"/>
        <v>Pulaski</v>
      </c>
      <c r="D416">
        <v>2</v>
      </c>
      <c r="G416">
        <v>232</v>
      </c>
      <c r="H416">
        <v>1932</v>
      </c>
      <c r="I416">
        <v>710</v>
      </c>
      <c r="J416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17" spans="1:10" x14ac:dyDescent="0.25">
      <c r="A417" s="27" t="s">
        <v>982</v>
      </c>
      <c r="B417" s="27" t="str">
        <f t="shared" si="18"/>
        <v>Kentucky</v>
      </c>
      <c r="C417" s="27" t="str">
        <f t="shared" si="19"/>
        <v>Robertson</v>
      </c>
      <c r="G417">
        <v>20</v>
      </c>
      <c r="H417">
        <v>1932</v>
      </c>
      <c r="I417">
        <v>710</v>
      </c>
      <c r="J417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18" spans="1:10" x14ac:dyDescent="0.25">
      <c r="A418" s="27" t="s">
        <v>983</v>
      </c>
      <c r="B418" s="27" t="str">
        <f t="shared" si="18"/>
        <v>Kentucky</v>
      </c>
      <c r="C418" s="27" t="str">
        <f t="shared" si="19"/>
        <v>Rockcastle</v>
      </c>
      <c r="D418">
        <v>1</v>
      </c>
      <c r="G418">
        <v>78</v>
      </c>
      <c r="H418">
        <v>1932</v>
      </c>
      <c r="I418">
        <v>710</v>
      </c>
      <c r="J418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19" spans="1:10" x14ac:dyDescent="0.25">
      <c r="A419" s="27" t="s">
        <v>984</v>
      </c>
      <c r="B419" s="27" t="str">
        <f t="shared" si="18"/>
        <v>Kentucky</v>
      </c>
      <c r="C419" s="27" t="str">
        <f t="shared" si="19"/>
        <v>Rowan</v>
      </c>
      <c r="F419">
        <v>1</v>
      </c>
      <c r="G419">
        <v>62</v>
      </c>
      <c r="H419">
        <v>1932</v>
      </c>
      <c r="I419">
        <v>710</v>
      </c>
      <c r="J419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20" spans="1:10" x14ac:dyDescent="0.25">
      <c r="A420" s="27" t="s">
        <v>985</v>
      </c>
      <c r="B420" s="27" t="str">
        <f t="shared" si="18"/>
        <v>Kentucky</v>
      </c>
      <c r="C420" s="27" t="str">
        <f t="shared" si="19"/>
        <v>Russell</v>
      </c>
      <c r="D420">
        <v>3</v>
      </c>
      <c r="G420">
        <v>50</v>
      </c>
      <c r="H420">
        <v>1932</v>
      </c>
      <c r="I420">
        <v>710</v>
      </c>
      <c r="J420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21" spans="1:10" x14ac:dyDescent="0.25">
      <c r="A421" s="27" t="s">
        <v>986</v>
      </c>
      <c r="B421" s="27" t="str">
        <f t="shared" si="18"/>
        <v>Kentucky</v>
      </c>
      <c r="C421" s="27" t="str">
        <f t="shared" si="19"/>
        <v>Scott</v>
      </c>
      <c r="D421">
        <v>2</v>
      </c>
      <c r="G421">
        <v>145</v>
      </c>
      <c r="H421">
        <v>1932</v>
      </c>
      <c r="I421">
        <v>710</v>
      </c>
      <c r="J421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22" spans="1:10" x14ac:dyDescent="0.25">
      <c r="A422" s="27" t="s">
        <v>987</v>
      </c>
      <c r="B422" s="27" t="str">
        <f t="shared" si="18"/>
        <v>Kentucky</v>
      </c>
      <c r="C422" s="27" t="str">
        <f t="shared" si="19"/>
        <v>Shelby</v>
      </c>
      <c r="G422">
        <v>157</v>
      </c>
      <c r="H422">
        <v>1932</v>
      </c>
      <c r="I422">
        <v>710</v>
      </c>
      <c r="J422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23" spans="1:10" x14ac:dyDescent="0.25">
      <c r="A423" s="27" t="s">
        <v>988</v>
      </c>
      <c r="B423" s="27" t="str">
        <f t="shared" si="18"/>
        <v>Kentucky</v>
      </c>
      <c r="C423" s="27" t="str">
        <f t="shared" si="19"/>
        <v>Simpson</v>
      </c>
      <c r="G423">
        <v>75</v>
      </c>
      <c r="H423">
        <v>1932</v>
      </c>
      <c r="I423">
        <v>710</v>
      </c>
      <c r="J423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24" spans="1:10" x14ac:dyDescent="0.25">
      <c r="A424" s="27" t="s">
        <v>989</v>
      </c>
      <c r="B424" s="27" t="str">
        <f t="shared" si="18"/>
        <v>Kentucky</v>
      </c>
      <c r="C424" s="27" t="str">
        <f t="shared" si="19"/>
        <v>Spencer</v>
      </c>
      <c r="G424">
        <v>45</v>
      </c>
      <c r="H424">
        <v>1932</v>
      </c>
      <c r="I424">
        <v>710</v>
      </c>
      <c r="J424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25" spans="1:10" x14ac:dyDescent="0.25">
      <c r="A425" s="27" t="s">
        <v>990</v>
      </c>
      <c r="B425" s="27" t="str">
        <f t="shared" si="18"/>
        <v>Kentucky</v>
      </c>
      <c r="C425" s="27" t="str">
        <f t="shared" si="19"/>
        <v>Taylor</v>
      </c>
      <c r="G425">
        <v>62</v>
      </c>
      <c r="H425">
        <v>1932</v>
      </c>
      <c r="I425">
        <v>710</v>
      </c>
      <c r="J425" s="27" t="str">
        <f t="shared" si="20"/>
        <v>https://ia601606.us.archive.org/33/items/FinancialStatisticsOfStateAndLocalGovernmentsWealthDebtAndTaxation1932/Financial_statistics_of_state_and_local_governments_Wealth_debt_and_taxation_1932.pdf#page=710</v>
      </c>
    </row>
    <row r="426" spans="1:10" x14ac:dyDescent="0.25">
      <c r="A426" s="27" t="s">
        <v>991</v>
      </c>
      <c r="B426" s="27" t="str">
        <f t="shared" si="18"/>
        <v>Kentucky</v>
      </c>
      <c r="C426" s="27" t="str">
        <f t="shared" si="19"/>
        <v>Todd</v>
      </c>
      <c r="D426">
        <v>1</v>
      </c>
      <c r="G426">
        <v>73</v>
      </c>
      <c r="H426">
        <v>1932</v>
      </c>
      <c r="I426">
        <v>711</v>
      </c>
      <c r="J426" s="27" t="str">
        <f t="shared" si="20"/>
        <v>https://ia601606.us.archive.org/33/items/FinancialStatisticsOfStateAndLocalGovernmentsWealthDebtAndTaxation1932/Financial_statistics_of_state_and_local_governments_Wealth_debt_and_taxation_1932.pdf#page=711</v>
      </c>
    </row>
    <row r="427" spans="1:10" x14ac:dyDescent="0.25">
      <c r="A427" s="27" t="s">
        <v>1795</v>
      </c>
      <c r="B427" s="27" t="str">
        <f t="shared" si="18"/>
        <v>Kentucky</v>
      </c>
      <c r="C427" s="27" t="str">
        <f t="shared" si="19"/>
        <v>Trigg</v>
      </c>
      <c r="D427">
        <v>2</v>
      </c>
      <c r="G427">
        <v>67</v>
      </c>
      <c r="H427">
        <v>1932</v>
      </c>
      <c r="I427">
        <v>711</v>
      </c>
      <c r="J427" s="27" t="str">
        <f t="shared" si="20"/>
        <v>https://ia601606.us.archive.org/33/items/FinancialStatisticsOfStateAndLocalGovernmentsWealthDebtAndTaxation1932/Financial_statistics_of_state_and_local_governments_Wealth_debt_and_taxation_1932.pdf#page=711</v>
      </c>
    </row>
    <row r="428" spans="1:10" x14ac:dyDescent="0.25">
      <c r="A428" s="27" t="s">
        <v>992</v>
      </c>
      <c r="B428" s="27" t="str">
        <f t="shared" si="18"/>
        <v>Kentucky</v>
      </c>
      <c r="C428" s="27" t="str">
        <f t="shared" si="19"/>
        <v>Trimble</v>
      </c>
      <c r="D428">
        <v>1</v>
      </c>
      <c r="G428">
        <v>40</v>
      </c>
      <c r="H428">
        <v>1932</v>
      </c>
      <c r="I428">
        <v>711</v>
      </c>
      <c r="J428" s="27" t="str">
        <f t="shared" si="20"/>
        <v>https://ia601606.us.archive.org/33/items/FinancialStatisticsOfStateAndLocalGovernmentsWealthDebtAndTaxation1932/Financial_statistics_of_state_and_local_governments_Wealth_debt_and_taxation_1932.pdf#page=711</v>
      </c>
    </row>
    <row r="429" spans="1:10" x14ac:dyDescent="0.25">
      <c r="A429" s="27" t="s">
        <v>993</v>
      </c>
      <c r="B429" s="27" t="str">
        <f t="shared" si="18"/>
        <v>Kentucky</v>
      </c>
      <c r="C429" s="27" t="str">
        <f t="shared" si="19"/>
        <v>Union</v>
      </c>
      <c r="D429">
        <v>1</v>
      </c>
      <c r="F429">
        <v>3</v>
      </c>
      <c r="G429">
        <v>140</v>
      </c>
      <c r="H429">
        <v>1932</v>
      </c>
      <c r="I429">
        <v>711</v>
      </c>
      <c r="J429" s="27" t="str">
        <f t="shared" si="20"/>
        <v>https://ia601606.us.archive.org/33/items/FinancialStatisticsOfStateAndLocalGovernmentsWealthDebtAndTaxation1932/Financial_statistics_of_state_and_local_governments_Wealth_debt_and_taxation_1932.pdf#page=711</v>
      </c>
    </row>
    <row r="430" spans="1:10" x14ac:dyDescent="0.25">
      <c r="A430" s="27" t="s">
        <v>994</v>
      </c>
      <c r="B430" s="27" t="str">
        <f t="shared" si="18"/>
        <v>Kentucky</v>
      </c>
      <c r="C430" s="27" t="str">
        <f t="shared" si="19"/>
        <v>Warren</v>
      </c>
      <c r="D430">
        <v>1</v>
      </c>
      <c r="G430">
        <v>237</v>
      </c>
      <c r="H430">
        <v>1932</v>
      </c>
      <c r="I430">
        <v>711</v>
      </c>
      <c r="J430" s="27" t="str">
        <f t="shared" si="20"/>
        <v>https://ia601606.us.archive.org/33/items/FinancialStatisticsOfStateAndLocalGovernmentsWealthDebtAndTaxation1932/Financial_statistics_of_state_and_local_governments_Wealth_debt_and_taxation_1932.pdf#page=711</v>
      </c>
    </row>
    <row r="431" spans="1:10" x14ac:dyDescent="0.25">
      <c r="A431" s="27" t="s">
        <v>995</v>
      </c>
      <c r="B431" s="27" t="str">
        <f t="shared" si="18"/>
        <v>Kentucky</v>
      </c>
      <c r="C431" s="27" t="str">
        <f t="shared" si="19"/>
        <v>Washington</v>
      </c>
      <c r="D431">
        <v>1</v>
      </c>
      <c r="G431">
        <v>82</v>
      </c>
      <c r="H431">
        <v>1932</v>
      </c>
      <c r="I431">
        <v>711</v>
      </c>
      <c r="J431" s="27" t="str">
        <f t="shared" si="20"/>
        <v>https://ia601606.us.archive.org/33/items/FinancialStatisticsOfStateAndLocalGovernmentsWealthDebtAndTaxation1932/Financial_statistics_of_state_and_local_governments_Wealth_debt_and_taxation_1932.pdf#page=711</v>
      </c>
    </row>
    <row r="432" spans="1:10" x14ac:dyDescent="0.25">
      <c r="A432" s="27" t="s">
        <v>996</v>
      </c>
      <c r="B432" s="27" t="str">
        <f t="shared" si="18"/>
        <v>Kentucky</v>
      </c>
      <c r="C432" s="27" t="str">
        <f t="shared" si="19"/>
        <v>Wayne</v>
      </c>
      <c r="D432">
        <v>1</v>
      </c>
      <c r="G432">
        <v>78</v>
      </c>
      <c r="H432">
        <v>1932</v>
      </c>
      <c r="I432">
        <v>712</v>
      </c>
      <c r="J432" s="27" t="str">
        <f t="shared" si="20"/>
        <v>https://ia601606.us.archive.org/33/items/FinancialStatisticsOfStateAndLocalGovernmentsWealthDebtAndTaxation1932/Financial_statistics_of_state_and_local_governments_Wealth_debt_and_taxation_1932.pdf#page=712</v>
      </c>
    </row>
    <row r="433" spans="1:10" x14ac:dyDescent="0.25">
      <c r="A433" s="27" t="s">
        <v>997</v>
      </c>
      <c r="B433" s="27" t="str">
        <f t="shared" si="18"/>
        <v>Kentucky</v>
      </c>
      <c r="C433" s="27" t="str">
        <f t="shared" si="19"/>
        <v>Webster</v>
      </c>
      <c r="D433">
        <v>2</v>
      </c>
      <c r="G433">
        <v>142</v>
      </c>
      <c r="H433">
        <v>1932</v>
      </c>
      <c r="I433">
        <v>712</v>
      </c>
      <c r="J433" s="27" t="str">
        <f t="shared" si="20"/>
        <v>https://ia601606.us.archive.org/33/items/FinancialStatisticsOfStateAndLocalGovernmentsWealthDebtAndTaxation1932/Financial_statistics_of_state_and_local_governments_Wealth_debt_and_taxation_1932.pdf#page=712</v>
      </c>
    </row>
    <row r="434" spans="1:10" x14ac:dyDescent="0.25">
      <c r="A434" s="27" t="s">
        <v>998</v>
      </c>
      <c r="B434" s="27" t="str">
        <f t="shared" si="18"/>
        <v>Kentucky</v>
      </c>
      <c r="C434" s="27" t="str">
        <f t="shared" si="19"/>
        <v>Whitley</v>
      </c>
      <c r="D434">
        <v>1</v>
      </c>
      <c r="G434">
        <v>203</v>
      </c>
      <c r="H434">
        <v>1932</v>
      </c>
      <c r="I434">
        <v>712</v>
      </c>
      <c r="J434" s="27" t="str">
        <f t="shared" si="20"/>
        <v>https://ia601606.us.archive.org/33/items/FinancialStatisticsOfStateAndLocalGovernmentsWealthDebtAndTaxation1932/Financial_statistics_of_state_and_local_governments_Wealth_debt_and_taxation_1932.pdf#page=712</v>
      </c>
    </row>
    <row r="435" spans="1:10" x14ac:dyDescent="0.25">
      <c r="A435" s="27" t="s">
        <v>999</v>
      </c>
      <c r="B435" s="27" t="str">
        <f t="shared" si="18"/>
        <v>Kentucky</v>
      </c>
      <c r="C435" s="27" t="str">
        <f t="shared" si="19"/>
        <v>Wolfe</v>
      </c>
      <c r="G435">
        <v>39</v>
      </c>
      <c r="H435">
        <v>1932</v>
      </c>
      <c r="I435">
        <v>712</v>
      </c>
      <c r="J435" s="27" t="str">
        <f t="shared" si="20"/>
        <v>https://ia601606.us.archive.org/33/items/FinancialStatisticsOfStateAndLocalGovernmentsWealthDebtAndTaxation1932/Financial_statistics_of_state_and_local_governments_Wealth_debt_and_taxation_1932.pdf#page=712</v>
      </c>
    </row>
    <row r="436" spans="1:10" x14ac:dyDescent="0.25">
      <c r="A436" s="27" t="s">
        <v>1000</v>
      </c>
      <c r="B436" s="27" t="str">
        <f t="shared" si="18"/>
        <v>Kentucky</v>
      </c>
      <c r="C436" s="27" t="str">
        <f t="shared" si="19"/>
        <v>Woodford</v>
      </c>
      <c r="G436">
        <v>104</v>
      </c>
      <c r="H436">
        <v>1932</v>
      </c>
      <c r="I436">
        <v>712</v>
      </c>
      <c r="J436" s="27" t="str">
        <f t="shared" si="20"/>
        <v>https://ia601606.us.archive.org/33/items/FinancialStatisticsOfStateAndLocalGovernmentsWealthDebtAndTaxation1932/Financial_statistics_of_state_and_local_governments_Wealth_debt_and_taxation_1932.pdf#page=712</v>
      </c>
    </row>
    <row r="437" spans="1:10" x14ac:dyDescent="0.25">
      <c r="A437" s="27" t="s">
        <v>650</v>
      </c>
      <c r="B437" s="27" t="str">
        <f t="shared" si="18"/>
        <v/>
      </c>
      <c r="C437" s="27" t="str">
        <f t="shared" si="19"/>
        <v>MY TOTAL</v>
      </c>
      <c r="D437">
        <f>SUM(D317:D436)</f>
        <v>522</v>
      </c>
      <c r="E437">
        <f>SUM(E317:E436)</f>
        <v>0</v>
      </c>
      <c r="F437">
        <f>SUM(F317:F436)</f>
        <v>15</v>
      </c>
      <c r="G437">
        <f>SUM(G317:G436)</f>
        <v>14738</v>
      </c>
      <c r="J437" s="27" t="str">
        <f t="shared" si="20"/>
        <v>https://ia601606.us.archive.org/33/items/FinancialStatisticsOfStateAndLocalGovernmentsWealthDebtAndTaxation1932/Financial_statistics_of_state_and_local_governments_Wealth_debt_and_taxation_1932.pdf#page=</v>
      </c>
    </row>
    <row r="438" spans="1:10" x14ac:dyDescent="0.25">
      <c r="A438" s="27" t="s">
        <v>651</v>
      </c>
      <c r="B438" s="27" t="str">
        <f t="shared" si="18"/>
        <v/>
      </c>
      <c r="C438" s="27" t="str">
        <f t="shared" si="19"/>
        <v>REPORTED TOTAL</v>
      </c>
      <c r="D438" t="s">
        <v>149</v>
      </c>
      <c r="F438" t="s">
        <v>150</v>
      </c>
      <c r="J438" s="27" t="str">
        <f t="shared" si="20"/>
        <v>https://ia601606.us.archive.org/33/items/FinancialStatisticsOfStateAndLocalGovernmentsWealthDebtAndTaxation1932/Financial_statistics_of_state_and_local_governments_Wealth_debt_and_taxation_1932.pdf#page=</v>
      </c>
    </row>
    <row r="439" spans="1:10" x14ac:dyDescent="0.25">
      <c r="A439" s="27" t="s">
        <v>1367</v>
      </c>
      <c r="B439" s="27" t="str">
        <f t="shared" si="18"/>
        <v/>
      </c>
      <c r="C439" s="27" t="str">
        <f t="shared" si="19"/>
        <v/>
      </c>
      <c r="J439" s="27" t="str">
        <f t="shared" si="20"/>
        <v>https://ia601606.us.archive.org/33/items/FinancialStatisticsOfStateAndLocalGovernmentsWealthDebtAndTaxation1932/Financial_statistics_of_state_and_local_governments_Wealth_debt_and_taxation_1932.pdf#page=</v>
      </c>
    </row>
    <row r="440" spans="1:10" x14ac:dyDescent="0.25">
      <c r="A440" s="27" t="s">
        <v>1367</v>
      </c>
      <c r="B440" s="27" t="str">
        <f t="shared" si="18"/>
        <v/>
      </c>
      <c r="C440" s="27" t="str">
        <f t="shared" si="19"/>
        <v/>
      </c>
      <c r="J440" s="27" t="str">
        <f t="shared" si="20"/>
        <v>https://ia601606.us.archive.org/33/items/FinancialStatisticsOfStateAndLocalGovernmentsWealthDebtAndTaxation1932/Financial_statistics_of_state_and_local_governments_Wealth_debt_and_taxation_1932.pdf#page=</v>
      </c>
    </row>
    <row r="441" spans="1:10" x14ac:dyDescent="0.25">
      <c r="A441" s="27" t="s">
        <v>1001</v>
      </c>
      <c r="B441" s="27" t="str">
        <f t="shared" si="18"/>
        <v>Louisiana</v>
      </c>
      <c r="C441" s="27" t="str">
        <f t="shared" si="19"/>
        <v>Acadia</v>
      </c>
      <c r="D441">
        <v>1</v>
      </c>
      <c r="G441">
        <v>369</v>
      </c>
      <c r="H441">
        <v>1932</v>
      </c>
      <c r="I441">
        <v>753</v>
      </c>
      <c r="J441" s="27" t="str">
        <f t="shared" si="20"/>
        <v>https://ia601606.us.archive.org/33/items/FinancialStatisticsOfStateAndLocalGovernmentsWealthDebtAndTaxation1932/Financial_statistics_of_state_and_local_governments_Wealth_debt_and_taxation_1932.pdf#page=753</v>
      </c>
    </row>
    <row r="442" spans="1:10" x14ac:dyDescent="0.25">
      <c r="A442" s="27" t="s">
        <v>1002</v>
      </c>
      <c r="B442" s="27" t="str">
        <f t="shared" si="18"/>
        <v>Louisiana</v>
      </c>
      <c r="C442" s="27" t="str">
        <f t="shared" si="19"/>
        <v>Allen</v>
      </c>
      <c r="D442">
        <v>2</v>
      </c>
      <c r="G442">
        <v>198</v>
      </c>
      <c r="H442">
        <v>1932</v>
      </c>
      <c r="I442">
        <v>753</v>
      </c>
      <c r="J442" s="27" t="str">
        <f t="shared" si="20"/>
        <v>https://ia601606.us.archive.org/33/items/FinancialStatisticsOfStateAndLocalGovernmentsWealthDebtAndTaxation1932/Financial_statistics_of_state_and_local_governments_Wealth_debt_and_taxation_1932.pdf#page=753</v>
      </c>
    </row>
    <row r="443" spans="1:10" x14ac:dyDescent="0.25">
      <c r="A443" s="27" t="s">
        <v>1003</v>
      </c>
      <c r="B443" s="27" t="str">
        <f t="shared" si="18"/>
        <v>Louisiana</v>
      </c>
      <c r="C443" s="27" t="str">
        <f t="shared" si="19"/>
        <v>Ascension</v>
      </c>
      <c r="D443">
        <v>1</v>
      </c>
      <c r="G443">
        <v>101</v>
      </c>
      <c r="H443">
        <v>1932</v>
      </c>
      <c r="I443">
        <v>754</v>
      </c>
      <c r="J443" s="27" t="str">
        <f t="shared" si="20"/>
        <v>https://ia601606.us.archive.org/33/items/FinancialStatisticsOfStateAndLocalGovernmentsWealthDebtAndTaxation1932/Financial_statistics_of_state_and_local_governments_Wealth_debt_and_taxation_1932.pdf#page=754</v>
      </c>
    </row>
    <row r="444" spans="1:10" x14ac:dyDescent="0.25">
      <c r="A444" s="27" t="s">
        <v>1004</v>
      </c>
      <c r="B444" s="27" t="str">
        <f t="shared" si="18"/>
        <v>Louisiana</v>
      </c>
      <c r="C444" s="27" t="str">
        <f t="shared" si="19"/>
        <v>Assumption</v>
      </c>
      <c r="D444">
        <v>2</v>
      </c>
      <c r="G444">
        <v>75</v>
      </c>
      <c r="H444">
        <v>1932</v>
      </c>
      <c r="I444">
        <v>754</v>
      </c>
      <c r="J444" s="27" t="str">
        <f t="shared" si="20"/>
        <v>https://ia601606.us.archive.org/33/items/FinancialStatisticsOfStateAndLocalGovernmentsWealthDebtAndTaxation1932/Financial_statistics_of_state_and_local_governments_Wealth_debt_and_taxation_1932.pdf#page=754</v>
      </c>
    </row>
    <row r="445" spans="1:10" x14ac:dyDescent="0.25">
      <c r="A445" s="27" t="s">
        <v>1005</v>
      </c>
      <c r="B445" s="27" t="str">
        <f t="shared" si="18"/>
        <v>Louisiana</v>
      </c>
      <c r="C445" s="27" t="str">
        <f t="shared" si="19"/>
        <v>Avoyelles</v>
      </c>
      <c r="D445">
        <v>2</v>
      </c>
      <c r="G445">
        <v>183</v>
      </c>
      <c r="H445">
        <v>1932</v>
      </c>
      <c r="I445">
        <v>754</v>
      </c>
      <c r="J445" s="27" t="str">
        <f t="shared" si="20"/>
        <v>https://ia601606.us.archive.org/33/items/FinancialStatisticsOfStateAndLocalGovernmentsWealthDebtAndTaxation1932/Financial_statistics_of_state_and_local_governments_Wealth_debt_and_taxation_1932.pdf#page=754</v>
      </c>
    </row>
    <row r="446" spans="1:10" x14ac:dyDescent="0.25">
      <c r="A446" s="27" t="s">
        <v>1006</v>
      </c>
      <c r="B446" s="27" t="str">
        <f t="shared" si="18"/>
        <v>Louisiana</v>
      </c>
      <c r="C446" s="27" t="str">
        <f t="shared" si="19"/>
        <v>Beauregard</v>
      </c>
      <c r="D446">
        <v>1</v>
      </c>
      <c r="G446">
        <v>167</v>
      </c>
      <c r="H446">
        <v>1932</v>
      </c>
      <c r="I446">
        <v>754</v>
      </c>
      <c r="J446" s="27" t="str">
        <f t="shared" si="20"/>
        <v>https://ia601606.us.archive.org/33/items/FinancialStatisticsOfStateAndLocalGovernmentsWealthDebtAndTaxation1932/Financial_statistics_of_state_and_local_governments_Wealth_debt_and_taxation_1932.pdf#page=754</v>
      </c>
    </row>
    <row r="447" spans="1:10" x14ac:dyDescent="0.25">
      <c r="A447" s="27" t="s">
        <v>1007</v>
      </c>
      <c r="B447" s="27" t="str">
        <f t="shared" si="18"/>
        <v>Louisiana</v>
      </c>
      <c r="C447" s="27" t="str">
        <f t="shared" si="19"/>
        <v>Bienville</v>
      </c>
      <c r="G447">
        <v>187</v>
      </c>
      <c r="H447">
        <v>1932</v>
      </c>
      <c r="I447">
        <v>754</v>
      </c>
      <c r="J447" s="27" t="str">
        <f t="shared" si="20"/>
        <v>https://ia601606.us.archive.org/33/items/FinancialStatisticsOfStateAndLocalGovernmentsWealthDebtAndTaxation1932/Financial_statistics_of_state_and_local_governments_Wealth_debt_and_taxation_1932.pdf#page=754</v>
      </c>
    </row>
    <row r="448" spans="1:10" x14ac:dyDescent="0.25">
      <c r="A448" s="27" t="s">
        <v>1008</v>
      </c>
      <c r="B448" s="27" t="str">
        <f t="shared" si="18"/>
        <v>Louisiana</v>
      </c>
      <c r="C448" s="27" t="str">
        <f t="shared" si="19"/>
        <v>Bossier</v>
      </c>
      <c r="D448">
        <v>1</v>
      </c>
      <c r="F448">
        <v>1</v>
      </c>
      <c r="G448">
        <v>212</v>
      </c>
      <c r="H448">
        <v>1932</v>
      </c>
      <c r="I448">
        <v>754</v>
      </c>
      <c r="J448" s="27" t="str">
        <f t="shared" si="20"/>
        <v>https://ia601606.us.archive.org/33/items/FinancialStatisticsOfStateAndLocalGovernmentsWealthDebtAndTaxation1932/Financial_statistics_of_state_and_local_governments_Wealth_debt_and_taxation_1932.pdf#page=754</v>
      </c>
    </row>
    <row r="449" spans="1:10" x14ac:dyDescent="0.25">
      <c r="A449" s="27" t="s">
        <v>1009</v>
      </c>
      <c r="B449" s="27" t="str">
        <f t="shared" si="18"/>
        <v>Louisiana</v>
      </c>
      <c r="C449" s="27" t="str">
        <f t="shared" si="19"/>
        <v>Caddo</v>
      </c>
      <c r="D449">
        <v>25</v>
      </c>
      <c r="G449">
        <v>1080</v>
      </c>
      <c r="H449">
        <v>1932</v>
      </c>
      <c r="I449">
        <v>754</v>
      </c>
      <c r="J449" s="27" t="str">
        <f t="shared" si="20"/>
        <v>https://ia601606.us.archive.org/33/items/FinancialStatisticsOfStateAndLocalGovernmentsWealthDebtAndTaxation1932/Financial_statistics_of_state_and_local_governments_Wealth_debt_and_taxation_1932.pdf#page=754</v>
      </c>
    </row>
    <row r="450" spans="1:10" x14ac:dyDescent="0.25">
      <c r="A450" s="27" t="s">
        <v>1010</v>
      </c>
      <c r="B450" s="27" t="str">
        <f t="shared" si="18"/>
        <v>Louisiana</v>
      </c>
      <c r="C450" s="27" t="str">
        <f t="shared" si="19"/>
        <v>Calcasieu</v>
      </c>
      <c r="D450">
        <v>2</v>
      </c>
      <c r="G450">
        <v>426</v>
      </c>
      <c r="H450">
        <v>1932</v>
      </c>
      <c r="I450">
        <v>755</v>
      </c>
      <c r="J450" s="27" t="str">
        <f t="shared" si="20"/>
        <v>https://ia601606.us.archive.org/33/items/FinancialStatisticsOfStateAndLocalGovernmentsWealthDebtAndTaxation1932/Financial_statistics_of_state_and_local_governments_Wealth_debt_and_taxation_1932.pdf#page=755</v>
      </c>
    </row>
    <row r="451" spans="1:10" x14ac:dyDescent="0.25">
      <c r="A451" s="27" t="s">
        <v>1011</v>
      </c>
      <c r="B451" s="27" t="str">
        <f t="shared" ref="B451:B514" si="21">LEFT(A451,FIND(";",A451)-1)</f>
        <v>Louisiana</v>
      </c>
      <c r="C451" s="27" t="str">
        <f t="shared" ref="C451:C514" si="22">MID(A451,FIND(";",A451)+1,100)</f>
        <v>Caldwell</v>
      </c>
      <c r="D451">
        <v>2</v>
      </c>
      <c r="G451">
        <v>109</v>
      </c>
      <c r="H451">
        <v>1932</v>
      </c>
      <c r="I451">
        <v>755</v>
      </c>
      <c r="J451" s="27" t="str">
        <f t="shared" ref="J451:J514" si="23">"https://ia601606.us.archive.org/33/items/FinancialStatisticsOfStateAndLocalGovernmentsWealthDebtAndTaxation1932/Financial_statistics_of_state_and_local_governments_Wealth_debt_and_taxation_1932.pdf"&amp;"#page="&amp;I451</f>
        <v>https://ia601606.us.archive.org/33/items/FinancialStatisticsOfStateAndLocalGovernmentsWealthDebtAndTaxation1932/Financial_statistics_of_state_and_local_governments_Wealth_debt_and_taxation_1932.pdf#page=755</v>
      </c>
    </row>
    <row r="452" spans="1:10" x14ac:dyDescent="0.25">
      <c r="A452" s="27" t="s">
        <v>1012</v>
      </c>
      <c r="B452" s="27" t="str">
        <f t="shared" si="21"/>
        <v>Louisiana</v>
      </c>
      <c r="C452" s="27" t="str">
        <f t="shared" si="22"/>
        <v>Cameron</v>
      </c>
      <c r="G452">
        <v>59</v>
      </c>
      <c r="H452">
        <v>1932</v>
      </c>
      <c r="I452">
        <v>755</v>
      </c>
      <c r="J452" s="27" t="str">
        <f t="shared" si="23"/>
        <v>https://ia601606.us.archive.org/33/items/FinancialStatisticsOfStateAndLocalGovernmentsWealthDebtAndTaxation1932/Financial_statistics_of_state_and_local_governments_Wealth_debt_and_taxation_1932.pdf#page=755</v>
      </c>
    </row>
    <row r="453" spans="1:10" x14ac:dyDescent="0.25">
      <c r="A453" s="27" t="s">
        <v>1013</v>
      </c>
      <c r="B453" s="27" t="str">
        <f t="shared" si="21"/>
        <v>Louisiana</v>
      </c>
      <c r="C453" s="27" t="str">
        <f t="shared" si="22"/>
        <v>Catahoula</v>
      </c>
      <c r="D453">
        <v>2</v>
      </c>
      <c r="G453">
        <v>105</v>
      </c>
      <c r="H453">
        <v>1932</v>
      </c>
      <c r="I453">
        <v>755</v>
      </c>
      <c r="J453" s="27" t="str">
        <f t="shared" si="23"/>
        <v>https://ia601606.us.archive.org/33/items/FinancialStatisticsOfStateAndLocalGovernmentsWealthDebtAndTaxation1932/Financial_statistics_of_state_and_local_governments_Wealth_debt_and_taxation_1932.pdf#page=755</v>
      </c>
    </row>
    <row r="454" spans="1:10" x14ac:dyDescent="0.25">
      <c r="A454" s="27" t="s">
        <v>1014</v>
      </c>
      <c r="B454" s="27" t="str">
        <f t="shared" si="21"/>
        <v>Louisiana</v>
      </c>
      <c r="C454" s="27" t="str">
        <f t="shared" si="22"/>
        <v>Claiborne</v>
      </c>
      <c r="D454">
        <v>2</v>
      </c>
      <c r="G454">
        <v>332</v>
      </c>
      <c r="H454">
        <v>1932</v>
      </c>
      <c r="I454">
        <v>756</v>
      </c>
      <c r="J454" s="27" t="str">
        <f t="shared" si="23"/>
        <v>https://ia601606.us.archive.org/33/items/FinancialStatisticsOfStateAndLocalGovernmentsWealthDebtAndTaxation1932/Financial_statistics_of_state_and_local_governments_Wealth_debt_and_taxation_1932.pdf#page=756</v>
      </c>
    </row>
    <row r="455" spans="1:10" x14ac:dyDescent="0.25">
      <c r="A455" s="27" t="s">
        <v>1015</v>
      </c>
      <c r="B455" s="27" t="str">
        <f t="shared" si="21"/>
        <v>Louisiana</v>
      </c>
      <c r="C455" s="27" t="str">
        <f t="shared" si="22"/>
        <v>Concordia</v>
      </c>
      <c r="D455">
        <v>4</v>
      </c>
      <c r="G455">
        <v>83</v>
      </c>
      <c r="H455">
        <v>1932</v>
      </c>
      <c r="I455">
        <v>756</v>
      </c>
      <c r="J455" s="27" t="str">
        <f t="shared" si="23"/>
        <v>https://ia601606.us.archive.org/33/items/FinancialStatisticsOfStateAndLocalGovernmentsWealthDebtAndTaxation1932/Financial_statistics_of_state_and_local_governments_Wealth_debt_and_taxation_1932.pdf#page=756</v>
      </c>
    </row>
    <row r="456" spans="1:10" x14ac:dyDescent="0.25">
      <c r="A456" s="27" t="s">
        <v>1962</v>
      </c>
      <c r="B456" s="27" t="str">
        <f t="shared" si="21"/>
        <v>Louisiana</v>
      </c>
      <c r="C456" s="27" t="str">
        <f t="shared" si="22"/>
        <v>Desoto</v>
      </c>
      <c r="D456">
        <v>1</v>
      </c>
      <c r="G456">
        <v>203</v>
      </c>
      <c r="H456">
        <v>1932</v>
      </c>
      <c r="I456">
        <v>756</v>
      </c>
      <c r="J456" s="27" t="str">
        <f t="shared" si="23"/>
        <v>https://ia601606.us.archive.org/33/items/FinancialStatisticsOfStateAndLocalGovernmentsWealthDebtAndTaxation1932/Financial_statistics_of_state_and_local_governments_Wealth_debt_and_taxation_1932.pdf#page=756</v>
      </c>
    </row>
    <row r="457" spans="1:10" x14ac:dyDescent="0.25">
      <c r="A457" s="27" t="s">
        <v>1016</v>
      </c>
      <c r="B457" s="27" t="str">
        <f t="shared" si="21"/>
        <v>Louisiana</v>
      </c>
      <c r="C457" s="27" t="str">
        <f t="shared" si="22"/>
        <v>East Baton Rouge</v>
      </c>
      <c r="D457">
        <v>18</v>
      </c>
      <c r="G457">
        <v>450</v>
      </c>
      <c r="H457">
        <v>1932</v>
      </c>
      <c r="I457">
        <v>756</v>
      </c>
      <c r="J457" s="27" t="str">
        <f t="shared" si="23"/>
        <v>https://ia601606.us.archive.org/33/items/FinancialStatisticsOfStateAndLocalGovernmentsWealthDebtAndTaxation1932/Financial_statistics_of_state_and_local_governments_Wealth_debt_and_taxation_1932.pdf#page=756</v>
      </c>
    </row>
    <row r="458" spans="1:10" x14ac:dyDescent="0.25">
      <c r="A458" s="27" t="s">
        <v>1780</v>
      </c>
      <c r="B458" s="27" t="str">
        <f t="shared" si="21"/>
        <v>Louisiana</v>
      </c>
      <c r="C458" s="27" t="str">
        <f t="shared" si="22"/>
        <v>East Carroll/Carroll</v>
      </c>
      <c r="D458">
        <v>1</v>
      </c>
      <c r="G458">
        <v>48</v>
      </c>
      <c r="H458">
        <v>1932</v>
      </c>
      <c r="I458">
        <v>756</v>
      </c>
      <c r="J458" s="27" t="str">
        <f t="shared" si="23"/>
        <v>https://ia601606.us.archive.org/33/items/FinancialStatisticsOfStateAndLocalGovernmentsWealthDebtAndTaxation1932/Financial_statistics_of_state_and_local_governments_Wealth_debt_and_taxation_1932.pdf#page=756</v>
      </c>
    </row>
    <row r="459" spans="1:10" x14ac:dyDescent="0.25">
      <c r="A459" s="27" t="s">
        <v>1017</v>
      </c>
      <c r="B459" s="27" t="str">
        <f t="shared" si="21"/>
        <v>Louisiana</v>
      </c>
      <c r="C459" s="27" t="str">
        <f t="shared" si="22"/>
        <v>East Feliciana</v>
      </c>
      <c r="D459">
        <v>1</v>
      </c>
      <c r="G459">
        <v>92</v>
      </c>
      <c r="H459">
        <v>1932</v>
      </c>
      <c r="I459">
        <v>756</v>
      </c>
      <c r="J459" s="27" t="str">
        <f t="shared" si="23"/>
        <v>https://ia601606.us.archive.org/33/items/FinancialStatisticsOfStateAndLocalGovernmentsWealthDebtAndTaxation1932/Financial_statistics_of_state_and_local_governments_Wealth_debt_and_taxation_1932.pdf#page=756</v>
      </c>
    </row>
    <row r="460" spans="1:10" x14ac:dyDescent="0.25">
      <c r="A460" s="27" t="s">
        <v>1018</v>
      </c>
      <c r="B460" s="27" t="str">
        <f t="shared" si="21"/>
        <v>Louisiana</v>
      </c>
      <c r="C460" s="27" t="str">
        <f t="shared" si="22"/>
        <v>Evangeline</v>
      </c>
      <c r="G460">
        <v>161</v>
      </c>
      <c r="H460">
        <v>1932</v>
      </c>
      <c r="I460">
        <v>756</v>
      </c>
      <c r="J460" s="27" t="str">
        <f t="shared" si="23"/>
        <v>https://ia601606.us.archive.org/33/items/FinancialStatisticsOfStateAndLocalGovernmentsWealthDebtAndTaxation1932/Financial_statistics_of_state_and_local_governments_Wealth_debt_and_taxation_1932.pdf#page=756</v>
      </c>
    </row>
    <row r="461" spans="1:10" x14ac:dyDescent="0.25">
      <c r="A461" s="27" t="s">
        <v>1019</v>
      </c>
      <c r="B461" s="27" t="str">
        <f t="shared" si="21"/>
        <v>Louisiana</v>
      </c>
      <c r="C461" s="27" t="str">
        <f t="shared" si="22"/>
        <v>Franklin</v>
      </c>
      <c r="D461">
        <v>2</v>
      </c>
      <c r="G461">
        <v>177</v>
      </c>
      <c r="H461">
        <v>1932</v>
      </c>
      <c r="I461">
        <v>757</v>
      </c>
      <c r="J461" s="27" t="str">
        <f t="shared" si="23"/>
        <v>https://ia601606.us.archive.org/33/items/FinancialStatisticsOfStateAndLocalGovernmentsWealthDebtAndTaxation1932/Financial_statistics_of_state_and_local_governments_Wealth_debt_and_taxation_1932.pdf#page=757</v>
      </c>
    </row>
    <row r="462" spans="1:10" x14ac:dyDescent="0.25">
      <c r="A462" s="27" t="s">
        <v>1020</v>
      </c>
      <c r="B462" s="27" t="str">
        <f t="shared" si="21"/>
        <v>Louisiana</v>
      </c>
      <c r="C462" s="27" t="str">
        <f t="shared" si="22"/>
        <v>Grant</v>
      </c>
      <c r="G462">
        <v>169</v>
      </c>
      <c r="H462">
        <v>1932</v>
      </c>
      <c r="I462">
        <v>757</v>
      </c>
      <c r="J462" s="27" t="str">
        <f t="shared" si="23"/>
        <v>https://ia601606.us.archive.org/33/items/FinancialStatisticsOfStateAndLocalGovernmentsWealthDebtAndTaxation1932/Financial_statistics_of_state_and_local_governments_Wealth_debt_and_taxation_1932.pdf#page=757</v>
      </c>
    </row>
    <row r="463" spans="1:10" x14ac:dyDescent="0.25">
      <c r="A463" s="27" t="s">
        <v>1021</v>
      </c>
      <c r="B463" s="27" t="str">
        <f t="shared" si="21"/>
        <v>Louisiana</v>
      </c>
      <c r="C463" s="27" t="str">
        <f t="shared" si="22"/>
        <v>Iberia</v>
      </c>
      <c r="D463">
        <v>6</v>
      </c>
      <c r="F463">
        <v>1</v>
      </c>
      <c r="G463">
        <v>181</v>
      </c>
      <c r="H463">
        <v>1932</v>
      </c>
      <c r="I463">
        <v>757</v>
      </c>
      <c r="J463" s="27" t="str">
        <f t="shared" si="23"/>
        <v>https://ia601606.us.archive.org/33/items/FinancialStatisticsOfStateAndLocalGovernmentsWealthDebtAndTaxation1932/Financial_statistics_of_state_and_local_governments_Wealth_debt_and_taxation_1932.pdf#page=757</v>
      </c>
    </row>
    <row r="464" spans="1:10" x14ac:dyDescent="0.25">
      <c r="A464" s="27" t="s">
        <v>1022</v>
      </c>
      <c r="B464" s="27" t="str">
        <f t="shared" si="21"/>
        <v>Louisiana</v>
      </c>
      <c r="C464" s="27" t="str">
        <f t="shared" si="22"/>
        <v>Iberville</v>
      </c>
      <c r="D464">
        <v>4</v>
      </c>
      <c r="G464">
        <v>102</v>
      </c>
      <c r="H464">
        <v>1932</v>
      </c>
      <c r="I464">
        <v>757</v>
      </c>
      <c r="J464" s="27" t="str">
        <f t="shared" si="23"/>
        <v>https://ia601606.us.archive.org/33/items/FinancialStatisticsOfStateAndLocalGovernmentsWealthDebtAndTaxation1932/Financial_statistics_of_state_and_local_governments_Wealth_debt_and_taxation_1932.pdf#page=757</v>
      </c>
    </row>
    <row r="465" spans="1:11" x14ac:dyDescent="0.25">
      <c r="A465" s="27" t="s">
        <v>1023</v>
      </c>
      <c r="B465" s="27" t="str">
        <f t="shared" si="21"/>
        <v>Louisiana</v>
      </c>
      <c r="C465" s="27" t="str">
        <f t="shared" si="22"/>
        <v>Jackson</v>
      </c>
      <c r="G465">
        <v>131</v>
      </c>
      <c r="H465">
        <v>1932</v>
      </c>
      <c r="I465">
        <v>758</v>
      </c>
      <c r="J465" s="27" t="str">
        <f t="shared" si="23"/>
        <v>https://ia601606.us.archive.org/33/items/FinancialStatisticsOfStateAndLocalGovernmentsWealthDebtAndTaxation1932/Financial_statistics_of_state_and_local_governments_Wealth_debt_and_taxation_1932.pdf#page=758</v>
      </c>
    </row>
    <row r="466" spans="1:11" x14ac:dyDescent="0.25">
      <c r="A466" s="27" t="s">
        <v>1024</v>
      </c>
      <c r="B466" s="27" t="str">
        <f t="shared" si="21"/>
        <v>Louisiana</v>
      </c>
      <c r="C466" s="27" t="str">
        <f t="shared" si="22"/>
        <v>Jefferson</v>
      </c>
      <c r="D466">
        <v>2</v>
      </c>
      <c r="F466">
        <v>11</v>
      </c>
      <c r="G466">
        <v>256</v>
      </c>
      <c r="H466">
        <v>1932</v>
      </c>
      <c r="I466">
        <v>758</v>
      </c>
      <c r="J466" s="27" t="str">
        <f t="shared" si="23"/>
        <v>https://ia601606.us.archive.org/33/items/FinancialStatisticsOfStateAndLocalGovernmentsWealthDebtAndTaxation1932/Financial_statistics_of_state_and_local_governments_Wealth_debt_and_taxation_1932.pdf#page=758</v>
      </c>
    </row>
    <row r="467" spans="1:11" x14ac:dyDescent="0.25">
      <c r="A467" s="27" t="s">
        <v>1025</v>
      </c>
      <c r="B467" s="27" t="str">
        <f t="shared" si="21"/>
        <v>Louisiana</v>
      </c>
      <c r="C467" s="27" t="str">
        <f t="shared" si="22"/>
        <v>Jefferson Davis</v>
      </c>
      <c r="D467">
        <v>1</v>
      </c>
      <c r="G467">
        <v>221</v>
      </c>
      <c r="H467">
        <v>1932</v>
      </c>
      <c r="I467">
        <v>758</v>
      </c>
      <c r="J467" s="27" t="str">
        <f t="shared" si="23"/>
        <v>https://ia601606.us.archive.org/33/items/FinancialStatisticsOfStateAndLocalGovernmentsWealthDebtAndTaxation1932/Financial_statistics_of_state_and_local_governments_Wealth_debt_and_taxation_1932.pdf#page=758</v>
      </c>
    </row>
    <row r="468" spans="1:11" x14ac:dyDescent="0.25">
      <c r="A468" s="27" t="s">
        <v>1026</v>
      </c>
      <c r="B468" s="27" t="str">
        <f t="shared" si="21"/>
        <v>Louisiana</v>
      </c>
      <c r="C468" s="27" t="str">
        <f t="shared" si="22"/>
        <v>Lafayette</v>
      </c>
      <c r="D468">
        <v>3</v>
      </c>
      <c r="G468">
        <v>190</v>
      </c>
      <c r="H468">
        <v>1932</v>
      </c>
      <c r="I468">
        <v>758</v>
      </c>
      <c r="J468" s="27" t="str">
        <f t="shared" si="23"/>
        <v>https://ia601606.us.archive.org/33/items/FinancialStatisticsOfStateAndLocalGovernmentsWealthDebtAndTaxation1932/Financial_statistics_of_state_and_local_governments_Wealth_debt_and_taxation_1932.pdf#page=758</v>
      </c>
    </row>
    <row r="469" spans="1:11" x14ac:dyDescent="0.25">
      <c r="A469" s="27" t="s">
        <v>1027</v>
      </c>
      <c r="B469" s="27" t="str">
        <f t="shared" si="21"/>
        <v>Louisiana</v>
      </c>
      <c r="C469" s="27" t="str">
        <f t="shared" si="22"/>
        <v>Lafourche</v>
      </c>
      <c r="D469">
        <v>2</v>
      </c>
      <c r="G469">
        <v>187</v>
      </c>
      <c r="H469">
        <v>1932</v>
      </c>
      <c r="I469">
        <v>758</v>
      </c>
      <c r="J469" s="27" t="str">
        <f t="shared" si="23"/>
        <v>https://ia601606.us.archive.org/33/items/FinancialStatisticsOfStateAndLocalGovernmentsWealthDebtAndTaxation1932/Financial_statistics_of_state_and_local_governments_Wealth_debt_and_taxation_1932.pdf#page=758</v>
      </c>
    </row>
    <row r="470" spans="1:11" x14ac:dyDescent="0.25">
      <c r="A470" s="27" t="s">
        <v>1028</v>
      </c>
      <c r="B470" s="27" t="str">
        <f t="shared" si="21"/>
        <v>Louisiana</v>
      </c>
      <c r="C470" s="27" t="str">
        <f t="shared" si="22"/>
        <v>La Salle</v>
      </c>
      <c r="D470">
        <v>3</v>
      </c>
      <c r="G470">
        <v>119</v>
      </c>
      <c r="H470">
        <v>1932</v>
      </c>
      <c r="I470">
        <v>758</v>
      </c>
      <c r="J470" s="27" t="str">
        <f t="shared" si="23"/>
        <v>https://ia601606.us.archive.org/33/items/FinancialStatisticsOfStateAndLocalGovernmentsWealthDebtAndTaxation1932/Financial_statistics_of_state_and_local_governments_Wealth_debt_and_taxation_1932.pdf#page=758</v>
      </c>
    </row>
    <row r="471" spans="1:11" x14ac:dyDescent="0.25">
      <c r="A471" s="27" t="s">
        <v>1029</v>
      </c>
      <c r="B471" s="27" t="str">
        <f t="shared" si="21"/>
        <v>Louisiana</v>
      </c>
      <c r="C471" s="27" t="str">
        <f t="shared" si="22"/>
        <v>Lincoln</v>
      </c>
      <c r="D471">
        <v>2</v>
      </c>
      <c r="G471">
        <v>169</v>
      </c>
      <c r="H471">
        <v>1932</v>
      </c>
      <c r="I471">
        <v>758</v>
      </c>
      <c r="J471" s="27" t="str">
        <f t="shared" si="23"/>
        <v>https://ia601606.us.archive.org/33/items/FinancialStatisticsOfStateAndLocalGovernmentsWealthDebtAndTaxation1932/Financial_statistics_of_state_and_local_governments_Wealth_debt_and_taxation_1932.pdf#page=758</v>
      </c>
    </row>
    <row r="472" spans="1:11" x14ac:dyDescent="0.25">
      <c r="A472" s="27" t="s">
        <v>1030</v>
      </c>
      <c r="B472" s="27" t="str">
        <f t="shared" si="21"/>
        <v>Louisiana</v>
      </c>
      <c r="C472" s="27" t="str">
        <f t="shared" si="22"/>
        <v>Livingston</v>
      </c>
      <c r="D472">
        <v>1</v>
      </c>
      <c r="G472">
        <v>137</v>
      </c>
      <c r="H472">
        <v>1932</v>
      </c>
      <c r="I472">
        <v>759</v>
      </c>
      <c r="J472" s="27" t="str">
        <f t="shared" si="23"/>
        <v>https://ia601606.us.archive.org/33/items/FinancialStatisticsOfStateAndLocalGovernmentsWealthDebtAndTaxation1932/Financial_statistics_of_state_and_local_governments_Wealth_debt_and_taxation_1932.pdf#page=759</v>
      </c>
    </row>
    <row r="473" spans="1:11" x14ac:dyDescent="0.25">
      <c r="A473" s="27" t="s">
        <v>1031</v>
      </c>
      <c r="B473" s="27" t="str">
        <f t="shared" si="21"/>
        <v>Louisiana</v>
      </c>
      <c r="C473" s="27" t="str">
        <f t="shared" si="22"/>
        <v>Madison</v>
      </c>
      <c r="D473">
        <v>2</v>
      </c>
      <c r="G473">
        <v>79</v>
      </c>
      <c r="H473">
        <v>1932</v>
      </c>
      <c r="I473">
        <v>759</v>
      </c>
      <c r="J473" s="27" t="str">
        <f t="shared" si="23"/>
        <v>https://ia601606.us.archive.org/33/items/FinancialStatisticsOfStateAndLocalGovernmentsWealthDebtAndTaxation1932/Financial_statistics_of_state_and_local_governments_Wealth_debt_and_taxation_1932.pdf#page=759</v>
      </c>
    </row>
    <row r="474" spans="1:11" x14ac:dyDescent="0.25">
      <c r="A474" s="27" t="s">
        <v>1032</v>
      </c>
      <c r="B474" s="27" t="str">
        <f t="shared" si="21"/>
        <v>Louisiana</v>
      </c>
      <c r="C474" s="27" t="str">
        <f t="shared" si="22"/>
        <v>Morehouse</v>
      </c>
      <c r="D474">
        <v>3</v>
      </c>
      <c r="G474">
        <v>207</v>
      </c>
      <c r="H474">
        <v>1932</v>
      </c>
      <c r="I474">
        <v>759</v>
      </c>
      <c r="J474" s="27" t="str">
        <f t="shared" si="23"/>
        <v>https://ia601606.us.archive.org/33/items/FinancialStatisticsOfStateAndLocalGovernmentsWealthDebtAndTaxation1932/Financial_statistics_of_state_and_local_governments_Wealth_debt_and_taxation_1932.pdf#page=759</v>
      </c>
    </row>
    <row r="475" spans="1:11" x14ac:dyDescent="0.25">
      <c r="A475" s="27" t="s">
        <v>1033</v>
      </c>
      <c r="B475" s="27" t="str">
        <f t="shared" si="21"/>
        <v>Louisiana</v>
      </c>
      <c r="C475" s="27" t="str">
        <f t="shared" si="22"/>
        <v>Natchitoches</v>
      </c>
      <c r="D475">
        <v>6</v>
      </c>
      <c r="G475">
        <v>272</v>
      </c>
      <c r="H475">
        <v>1932</v>
      </c>
      <c r="I475">
        <v>759</v>
      </c>
      <c r="J475" s="27" t="str">
        <f t="shared" si="23"/>
        <v>https://ia601606.us.archive.org/33/items/FinancialStatisticsOfStateAndLocalGovernmentsWealthDebtAndTaxation1932/Financial_statistics_of_state_and_local_governments_Wealth_debt_and_taxation_1932.pdf#page=759</v>
      </c>
    </row>
    <row r="476" spans="1:11" x14ac:dyDescent="0.25">
      <c r="A476" s="27" t="s">
        <v>1034</v>
      </c>
      <c r="B476" s="27" t="str">
        <f t="shared" si="21"/>
        <v>Louisiana</v>
      </c>
      <c r="C476" s="27" t="str">
        <f t="shared" si="22"/>
        <v>Orleans</v>
      </c>
      <c r="D476" s="1">
        <v>1538</v>
      </c>
      <c r="G476" s="1">
        <v>4602</v>
      </c>
      <c r="H476">
        <v>1932</v>
      </c>
      <c r="I476">
        <v>760</v>
      </c>
      <c r="J476" s="27" t="str">
        <f t="shared" si="23"/>
        <v>https://ia601606.us.archive.org/33/items/FinancialStatisticsOfStateAndLocalGovernmentsWealthDebtAndTaxation1932/Financial_statistics_of_state_and_local_governments_Wealth_debt_and_taxation_1932.pdf#page=760</v>
      </c>
      <c r="K476" t="s">
        <v>321</v>
      </c>
    </row>
    <row r="477" spans="1:11" x14ac:dyDescent="0.25">
      <c r="A477" s="27" t="s">
        <v>1035</v>
      </c>
      <c r="B477" s="27" t="str">
        <f t="shared" si="21"/>
        <v>Louisiana</v>
      </c>
      <c r="C477" s="27" t="str">
        <f t="shared" si="22"/>
        <v>Ouachita</v>
      </c>
      <c r="D477">
        <v>9</v>
      </c>
      <c r="G477">
        <v>231</v>
      </c>
      <c r="H477">
        <v>1932</v>
      </c>
      <c r="I477">
        <v>760</v>
      </c>
      <c r="J477" s="27" t="str">
        <f t="shared" si="23"/>
        <v>https://ia601606.us.archive.org/33/items/FinancialStatisticsOfStateAndLocalGovernmentsWealthDebtAndTaxation1932/Financial_statistics_of_state_and_local_governments_Wealth_debt_and_taxation_1932.pdf#page=760</v>
      </c>
    </row>
    <row r="478" spans="1:11" x14ac:dyDescent="0.25">
      <c r="A478" s="27" t="s">
        <v>1036</v>
      </c>
      <c r="B478" s="27" t="str">
        <f t="shared" si="21"/>
        <v>Louisiana</v>
      </c>
      <c r="C478" s="27" t="str">
        <f t="shared" si="22"/>
        <v>Plaquemines</v>
      </c>
      <c r="D478">
        <v>1</v>
      </c>
      <c r="F478">
        <v>1</v>
      </c>
      <c r="G478">
        <v>73</v>
      </c>
      <c r="H478">
        <v>1932</v>
      </c>
      <c r="I478">
        <v>760</v>
      </c>
      <c r="J478" s="27" t="str">
        <f t="shared" si="23"/>
        <v>https://ia601606.us.archive.org/33/items/FinancialStatisticsOfStateAndLocalGovernmentsWealthDebtAndTaxation1932/Financial_statistics_of_state_and_local_governments_Wealth_debt_and_taxation_1932.pdf#page=760</v>
      </c>
    </row>
    <row r="479" spans="1:11" x14ac:dyDescent="0.25">
      <c r="A479" s="27" t="s">
        <v>1750</v>
      </c>
      <c r="B479" s="27" t="str">
        <f t="shared" si="21"/>
        <v>Louisiana</v>
      </c>
      <c r="C479" s="27" t="str">
        <f t="shared" si="22"/>
        <v>Pointe Coupee</v>
      </c>
      <c r="D479">
        <v>1</v>
      </c>
      <c r="G479">
        <v>123</v>
      </c>
      <c r="H479">
        <v>1932</v>
      </c>
      <c r="I479">
        <v>760</v>
      </c>
      <c r="J479" s="27" t="str">
        <f t="shared" si="23"/>
        <v>https://ia601606.us.archive.org/33/items/FinancialStatisticsOfStateAndLocalGovernmentsWealthDebtAndTaxation1932/Financial_statistics_of_state_and_local_governments_Wealth_debt_and_taxation_1932.pdf#page=760</v>
      </c>
    </row>
    <row r="480" spans="1:11" x14ac:dyDescent="0.25">
      <c r="A480" s="27" t="s">
        <v>1037</v>
      </c>
      <c r="B480" s="27" t="str">
        <f t="shared" si="21"/>
        <v>Louisiana</v>
      </c>
      <c r="C480" s="27" t="str">
        <f t="shared" si="22"/>
        <v>Rapides</v>
      </c>
      <c r="D480">
        <v>5</v>
      </c>
      <c r="G480">
        <v>546</v>
      </c>
      <c r="H480">
        <v>1932</v>
      </c>
      <c r="I480">
        <v>760</v>
      </c>
      <c r="J480" s="27" t="str">
        <f t="shared" si="23"/>
        <v>https://ia601606.us.archive.org/33/items/FinancialStatisticsOfStateAndLocalGovernmentsWealthDebtAndTaxation1932/Financial_statistics_of_state_and_local_governments_Wealth_debt_and_taxation_1932.pdf#page=760</v>
      </c>
    </row>
    <row r="481" spans="1:10" x14ac:dyDescent="0.25">
      <c r="A481" s="27" t="s">
        <v>1751</v>
      </c>
      <c r="B481" s="27" t="str">
        <f t="shared" si="21"/>
        <v>Louisiana</v>
      </c>
      <c r="C481" s="27" t="str">
        <f t="shared" si="22"/>
        <v>Red River</v>
      </c>
      <c r="G481">
        <v>107</v>
      </c>
      <c r="H481">
        <v>1932</v>
      </c>
      <c r="I481">
        <v>760</v>
      </c>
      <c r="J481" s="27" t="str">
        <f t="shared" si="23"/>
        <v>https://ia601606.us.archive.org/33/items/FinancialStatisticsOfStateAndLocalGovernmentsWealthDebtAndTaxation1932/Financial_statistics_of_state_and_local_governments_Wealth_debt_and_taxation_1932.pdf#page=760</v>
      </c>
    </row>
    <row r="482" spans="1:10" x14ac:dyDescent="0.25">
      <c r="A482" s="27" t="s">
        <v>1038</v>
      </c>
      <c r="B482" s="27" t="str">
        <f t="shared" si="21"/>
        <v>Louisiana</v>
      </c>
      <c r="C482" s="27" t="str">
        <f t="shared" si="22"/>
        <v>Richland</v>
      </c>
      <c r="D482">
        <v>2</v>
      </c>
      <c r="G482">
        <v>135</v>
      </c>
      <c r="H482">
        <v>1932</v>
      </c>
      <c r="I482">
        <v>760</v>
      </c>
      <c r="J482" s="27" t="str">
        <f t="shared" si="23"/>
        <v>https://ia601606.us.archive.org/33/items/FinancialStatisticsOfStateAndLocalGovernmentsWealthDebtAndTaxation1932/Financial_statistics_of_state_and_local_governments_Wealth_debt_and_taxation_1932.pdf#page=760</v>
      </c>
    </row>
    <row r="483" spans="1:10" x14ac:dyDescent="0.25">
      <c r="A483" s="27" t="s">
        <v>1039</v>
      </c>
      <c r="B483" s="27" t="str">
        <f t="shared" si="21"/>
        <v>Louisiana</v>
      </c>
      <c r="C483" s="27" t="str">
        <f t="shared" si="22"/>
        <v>Sabine</v>
      </c>
      <c r="D483">
        <v>1</v>
      </c>
      <c r="G483">
        <v>253</v>
      </c>
      <c r="H483">
        <v>1932</v>
      </c>
      <c r="I483">
        <v>761</v>
      </c>
      <c r="J483" s="27" t="str">
        <f t="shared" si="23"/>
        <v>https://ia601606.us.archive.org/33/items/FinancialStatisticsOfStateAndLocalGovernmentsWealthDebtAndTaxation1932/Financial_statistics_of_state_and_local_governments_Wealth_debt_and_taxation_1932.pdf#page=761</v>
      </c>
    </row>
    <row r="484" spans="1:10" x14ac:dyDescent="0.25">
      <c r="A484" s="27" t="s">
        <v>1781</v>
      </c>
      <c r="B484" s="27" t="str">
        <f t="shared" si="21"/>
        <v>Louisiana</v>
      </c>
      <c r="C484" s="27" t="str">
        <f t="shared" si="22"/>
        <v>St Bernard</v>
      </c>
      <c r="D484">
        <v>3</v>
      </c>
      <c r="G484">
        <v>55</v>
      </c>
      <c r="H484">
        <v>1932</v>
      </c>
      <c r="I484">
        <v>761</v>
      </c>
      <c r="J484" s="27" t="str">
        <f t="shared" si="23"/>
        <v>https://ia601606.us.archive.org/33/items/FinancialStatisticsOfStateAndLocalGovernmentsWealthDebtAndTaxation1932/Financial_statistics_of_state_and_local_governments_Wealth_debt_and_taxation_1932.pdf#page=761</v>
      </c>
    </row>
    <row r="485" spans="1:10" x14ac:dyDescent="0.25">
      <c r="A485" s="27" t="s">
        <v>1782</v>
      </c>
      <c r="B485" s="27" t="str">
        <f t="shared" si="21"/>
        <v>Louisiana</v>
      </c>
      <c r="C485" s="27" t="str">
        <f t="shared" si="22"/>
        <v>St Charles</v>
      </c>
      <c r="D485">
        <v>2</v>
      </c>
      <c r="F485">
        <v>3</v>
      </c>
      <c r="G485">
        <v>78</v>
      </c>
      <c r="H485">
        <v>1932</v>
      </c>
      <c r="I485">
        <v>761</v>
      </c>
      <c r="J485" s="27" t="str">
        <f t="shared" si="23"/>
        <v>https://ia601606.us.archive.org/33/items/FinancialStatisticsOfStateAndLocalGovernmentsWealthDebtAndTaxation1932/Financial_statistics_of_state_and_local_governments_Wealth_debt_and_taxation_1932.pdf#page=761</v>
      </c>
    </row>
    <row r="486" spans="1:10" x14ac:dyDescent="0.25">
      <c r="A486" s="27" t="s">
        <v>1783</v>
      </c>
      <c r="B486" s="27" t="str">
        <f t="shared" si="21"/>
        <v>Louisiana</v>
      </c>
      <c r="C486" s="27" t="str">
        <f t="shared" si="22"/>
        <v>St Helena</v>
      </c>
      <c r="G486">
        <v>66</v>
      </c>
      <c r="H486">
        <v>1932</v>
      </c>
      <c r="I486">
        <v>761</v>
      </c>
      <c r="J486" s="27" t="str">
        <f t="shared" si="23"/>
        <v>https://ia601606.us.archive.org/33/items/FinancialStatisticsOfStateAndLocalGovernmentsWealthDebtAndTaxation1932/Financial_statistics_of_state_and_local_governments_Wealth_debt_and_taxation_1932.pdf#page=761</v>
      </c>
    </row>
    <row r="487" spans="1:10" x14ac:dyDescent="0.25">
      <c r="A487" s="27" t="s">
        <v>1784</v>
      </c>
      <c r="B487" s="27" t="str">
        <f t="shared" si="21"/>
        <v>Louisiana</v>
      </c>
      <c r="C487" s="27" t="str">
        <f t="shared" si="22"/>
        <v>St James</v>
      </c>
      <c r="D487">
        <v>1</v>
      </c>
      <c r="F487">
        <v>1</v>
      </c>
      <c r="G487">
        <v>100</v>
      </c>
      <c r="H487">
        <v>1932</v>
      </c>
      <c r="I487">
        <v>762</v>
      </c>
      <c r="J487" s="27" t="str">
        <f t="shared" si="23"/>
        <v>https://ia601606.us.archive.org/33/items/FinancialStatisticsOfStateAndLocalGovernmentsWealthDebtAndTaxation1932/Financial_statistics_of_state_and_local_governments_Wealth_debt_and_taxation_1932.pdf#page=762</v>
      </c>
    </row>
    <row r="488" spans="1:10" x14ac:dyDescent="0.25">
      <c r="A488" s="27" t="s">
        <v>1785</v>
      </c>
      <c r="B488" s="27" t="str">
        <f t="shared" si="21"/>
        <v>Louisiana</v>
      </c>
      <c r="C488" s="27" t="str">
        <f t="shared" si="22"/>
        <v>St John the Baptist</v>
      </c>
      <c r="D488">
        <v>3</v>
      </c>
      <c r="F488">
        <v>6</v>
      </c>
      <c r="G488">
        <v>72</v>
      </c>
      <c r="H488">
        <v>1932</v>
      </c>
      <c r="I488">
        <v>762</v>
      </c>
      <c r="J488" s="27" t="str">
        <f t="shared" si="23"/>
        <v>https://ia601606.us.archive.org/33/items/FinancialStatisticsOfStateAndLocalGovernmentsWealthDebtAndTaxation1932/Financial_statistics_of_state_and_local_governments_Wealth_debt_and_taxation_1932.pdf#page=762</v>
      </c>
    </row>
    <row r="489" spans="1:10" x14ac:dyDescent="0.25">
      <c r="A489" s="27" t="s">
        <v>1786</v>
      </c>
      <c r="B489" s="27" t="str">
        <f t="shared" si="21"/>
        <v>Louisiana</v>
      </c>
      <c r="C489" s="27" t="str">
        <f t="shared" si="22"/>
        <v>St Landry</v>
      </c>
      <c r="D489">
        <v>2</v>
      </c>
      <c r="G489">
        <v>272</v>
      </c>
      <c r="H489">
        <v>1932</v>
      </c>
      <c r="I489">
        <v>762</v>
      </c>
      <c r="J489" s="27" t="str">
        <f t="shared" si="23"/>
        <v>https://ia601606.us.archive.org/33/items/FinancialStatisticsOfStateAndLocalGovernmentsWealthDebtAndTaxation1932/Financial_statistics_of_state_and_local_governments_Wealth_debt_and_taxation_1932.pdf#page=762</v>
      </c>
    </row>
    <row r="490" spans="1:10" x14ac:dyDescent="0.25">
      <c r="A490" s="27" t="s">
        <v>1787</v>
      </c>
      <c r="B490" s="27" t="str">
        <f t="shared" si="21"/>
        <v>Louisiana</v>
      </c>
      <c r="C490" s="27" t="str">
        <f t="shared" si="22"/>
        <v>St Martin</v>
      </c>
      <c r="D490">
        <v>2</v>
      </c>
      <c r="G490">
        <v>119</v>
      </c>
      <c r="H490">
        <v>1932</v>
      </c>
      <c r="I490">
        <v>762</v>
      </c>
      <c r="J490" s="27" t="str">
        <f t="shared" si="23"/>
        <v>https://ia601606.us.archive.org/33/items/FinancialStatisticsOfStateAndLocalGovernmentsWealthDebtAndTaxation1932/Financial_statistics_of_state_and_local_governments_Wealth_debt_and_taxation_1932.pdf#page=762</v>
      </c>
    </row>
    <row r="491" spans="1:10" x14ac:dyDescent="0.25">
      <c r="A491" s="27" t="s">
        <v>1788</v>
      </c>
      <c r="B491" s="27" t="str">
        <f t="shared" si="21"/>
        <v>Louisiana</v>
      </c>
      <c r="C491" s="27" t="str">
        <f t="shared" si="22"/>
        <v>St Mary</v>
      </c>
      <c r="D491">
        <v>4</v>
      </c>
      <c r="G491">
        <v>141</v>
      </c>
      <c r="H491">
        <v>1932</v>
      </c>
      <c r="I491">
        <v>762</v>
      </c>
      <c r="J491" s="27" t="str">
        <f t="shared" si="23"/>
        <v>https://ia601606.us.archive.org/33/items/FinancialStatisticsOfStateAndLocalGovernmentsWealthDebtAndTaxation1932/Financial_statistics_of_state_and_local_governments_Wealth_debt_and_taxation_1932.pdf#page=762</v>
      </c>
    </row>
    <row r="492" spans="1:10" x14ac:dyDescent="0.25">
      <c r="A492" s="27" t="s">
        <v>1789</v>
      </c>
      <c r="B492" s="27" t="str">
        <f t="shared" si="21"/>
        <v>Louisiana</v>
      </c>
      <c r="C492" s="27" t="str">
        <f t="shared" si="22"/>
        <v>St Tammany</v>
      </c>
      <c r="D492">
        <v>1</v>
      </c>
      <c r="F492">
        <v>1</v>
      </c>
      <c r="G492">
        <v>169</v>
      </c>
      <c r="H492">
        <v>1932</v>
      </c>
      <c r="I492">
        <v>762</v>
      </c>
      <c r="J492" s="27" t="str">
        <f t="shared" si="23"/>
        <v>https://ia601606.us.archive.org/33/items/FinancialStatisticsOfStateAndLocalGovernmentsWealthDebtAndTaxation1932/Financial_statistics_of_state_and_local_governments_Wealth_debt_and_taxation_1932.pdf#page=762</v>
      </c>
    </row>
    <row r="493" spans="1:10" x14ac:dyDescent="0.25">
      <c r="A493" s="27" t="s">
        <v>1040</v>
      </c>
      <c r="B493" s="27" t="str">
        <f t="shared" si="21"/>
        <v>Louisiana</v>
      </c>
      <c r="C493" s="27" t="str">
        <f t="shared" si="22"/>
        <v>Tangipahoa</v>
      </c>
      <c r="G493">
        <v>327</v>
      </c>
      <c r="H493">
        <v>1932</v>
      </c>
      <c r="I493">
        <v>762</v>
      </c>
      <c r="J493" s="27" t="str">
        <f t="shared" si="23"/>
        <v>https://ia601606.us.archive.org/33/items/FinancialStatisticsOfStateAndLocalGovernmentsWealthDebtAndTaxation1932/Financial_statistics_of_state_and_local_governments_Wealth_debt_and_taxation_1932.pdf#page=762</v>
      </c>
    </row>
    <row r="494" spans="1:10" x14ac:dyDescent="0.25">
      <c r="A494" s="27" t="s">
        <v>1041</v>
      </c>
      <c r="B494" s="27" t="str">
        <f t="shared" si="21"/>
        <v>Louisiana</v>
      </c>
      <c r="C494" s="27" t="str">
        <f t="shared" si="22"/>
        <v>Tensas</v>
      </c>
      <c r="D494">
        <v>1</v>
      </c>
      <c r="F494">
        <v>3</v>
      </c>
      <c r="G494">
        <v>71</v>
      </c>
      <c r="H494">
        <v>1932</v>
      </c>
      <c r="I494">
        <v>763</v>
      </c>
      <c r="J494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495" spans="1:10" x14ac:dyDescent="0.25">
      <c r="A495" s="27" t="s">
        <v>1042</v>
      </c>
      <c r="B495" s="27" t="str">
        <f t="shared" si="21"/>
        <v>Louisiana</v>
      </c>
      <c r="C495" s="27" t="str">
        <f t="shared" si="22"/>
        <v>Terrebonne</v>
      </c>
      <c r="D495">
        <v>2</v>
      </c>
      <c r="G495">
        <v>160</v>
      </c>
      <c r="H495">
        <v>1932</v>
      </c>
      <c r="I495">
        <v>763</v>
      </c>
      <c r="J495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496" spans="1:10" x14ac:dyDescent="0.25">
      <c r="A496" s="27" t="s">
        <v>1043</v>
      </c>
      <c r="B496" s="27" t="str">
        <f t="shared" si="21"/>
        <v>Louisiana</v>
      </c>
      <c r="C496" s="27" t="str">
        <f t="shared" si="22"/>
        <v>Union</v>
      </c>
      <c r="G496">
        <v>213</v>
      </c>
      <c r="H496">
        <v>1932</v>
      </c>
      <c r="I496">
        <v>763</v>
      </c>
      <c r="J496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497" spans="1:11" x14ac:dyDescent="0.25">
      <c r="A497" s="27" t="s">
        <v>1752</v>
      </c>
      <c r="B497" s="27" t="str">
        <f t="shared" si="21"/>
        <v>Louisiana</v>
      </c>
      <c r="C497" s="27" t="str">
        <f t="shared" si="22"/>
        <v>Vermilion</v>
      </c>
      <c r="G497">
        <v>216</v>
      </c>
      <c r="H497">
        <v>1932</v>
      </c>
      <c r="I497">
        <v>763</v>
      </c>
      <c r="J497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498" spans="1:11" x14ac:dyDescent="0.25">
      <c r="A498" s="27" t="s">
        <v>1044</v>
      </c>
      <c r="B498" s="27" t="str">
        <f t="shared" si="21"/>
        <v>Louisiana</v>
      </c>
      <c r="C498" s="27" t="str">
        <f t="shared" si="22"/>
        <v>Vernon</v>
      </c>
      <c r="D498">
        <v>1</v>
      </c>
      <c r="G498">
        <v>228</v>
      </c>
      <c r="H498">
        <v>1932</v>
      </c>
      <c r="I498">
        <v>763</v>
      </c>
      <c r="J498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499" spans="1:11" x14ac:dyDescent="0.25">
      <c r="A499" s="27" t="s">
        <v>1045</v>
      </c>
      <c r="B499" s="27" t="str">
        <f t="shared" si="21"/>
        <v>Louisiana</v>
      </c>
      <c r="C499" s="27" t="str">
        <f t="shared" si="22"/>
        <v>Washington</v>
      </c>
      <c r="D499">
        <v>2</v>
      </c>
      <c r="G499">
        <v>286</v>
      </c>
      <c r="H499">
        <v>1932</v>
      </c>
      <c r="I499">
        <v>763</v>
      </c>
      <c r="J499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500" spans="1:11" x14ac:dyDescent="0.25">
      <c r="A500" s="27" t="s">
        <v>1046</v>
      </c>
      <c r="B500" s="27" t="str">
        <f t="shared" si="21"/>
        <v>Louisiana</v>
      </c>
      <c r="C500" s="27" t="str">
        <f t="shared" si="22"/>
        <v>Webster</v>
      </c>
      <c r="D500">
        <v>2</v>
      </c>
      <c r="G500">
        <v>171</v>
      </c>
      <c r="H500">
        <v>1932</v>
      </c>
      <c r="I500">
        <v>763</v>
      </c>
      <c r="J500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501" spans="1:11" x14ac:dyDescent="0.25">
      <c r="A501" s="27" t="s">
        <v>1047</v>
      </c>
      <c r="B501" s="27" t="str">
        <f t="shared" si="21"/>
        <v>Louisiana</v>
      </c>
      <c r="C501" s="27" t="str">
        <f t="shared" si="22"/>
        <v>West Baton Rouge</v>
      </c>
      <c r="D501">
        <v>1</v>
      </c>
      <c r="G501">
        <v>69</v>
      </c>
      <c r="H501">
        <v>1932</v>
      </c>
      <c r="I501">
        <v>763</v>
      </c>
      <c r="J501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502" spans="1:11" x14ac:dyDescent="0.25">
      <c r="A502" s="27" t="s">
        <v>1048</v>
      </c>
      <c r="B502" s="27" t="str">
        <f t="shared" si="21"/>
        <v>Louisiana</v>
      </c>
      <c r="C502" s="27" t="str">
        <f t="shared" si="22"/>
        <v>West Carroll</v>
      </c>
      <c r="D502">
        <v>2</v>
      </c>
      <c r="G502">
        <v>98</v>
      </c>
      <c r="H502">
        <v>1932</v>
      </c>
      <c r="I502">
        <v>763</v>
      </c>
      <c r="J502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503" spans="1:11" x14ac:dyDescent="0.25">
      <c r="A503" s="27" t="s">
        <v>1049</v>
      </c>
      <c r="B503" s="27" t="str">
        <f t="shared" si="21"/>
        <v>Louisiana</v>
      </c>
      <c r="C503" s="27" t="str">
        <f t="shared" si="22"/>
        <v>West Feliciana</v>
      </c>
      <c r="G503">
        <v>29</v>
      </c>
      <c r="H503">
        <v>1932</v>
      </c>
      <c r="I503">
        <v>763</v>
      </c>
      <c r="J503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504" spans="1:11" x14ac:dyDescent="0.25">
      <c r="A504" s="27" t="s">
        <v>1050</v>
      </c>
      <c r="B504" s="27" t="str">
        <f t="shared" si="21"/>
        <v>Louisiana</v>
      </c>
      <c r="C504" s="27" t="str">
        <f t="shared" si="22"/>
        <v>Winn</v>
      </c>
      <c r="G504">
        <v>131</v>
      </c>
      <c r="H504">
        <v>1932</v>
      </c>
      <c r="I504">
        <v>763</v>
      </c>
      <c r="J504" s="27" t="str">
        <f t="shared" si="23"/>
        <v>https://ia601606.us.archive.org/33/items/FinancialStatisticsOfStateAndLocalGovernmentsWealthDebtAndTaxation1932/Financial_statistics_of_state_and_local_governments_Wealth_debt_and_taxation_1932.pdf#page=763</v>
      </c>
    </row>
    <row r="505" spans="1:11" x14ac:dyDescent="0.25">
      <c r="A505" s="27" t="s">
        <v>650</v>
      </c>
      <c r="B505" s="27" t="str">
        <f t="shared" si="21"/>
        <v/>
      </c>
      <c r="C505" s="27" t="str">
        <f t="shared" si="22"/>
        <v>MY TOTAL</v>
      </c>
      <c r="D505">
        <f>SUM(D441:D504)</f>
        <v>1691</v>
      </c>
      <c r="F505">
        <f>SUM(F441:F504)</f>
        <v>28</v>
      </c>
      <c r="G505">
        <f>SUM(G441:G504)</f>
        <v>16378</v>
      </c>
      <c r="J505" s="27"/>
      <c r="K505" t="s">
        <v>329</v>
      </c>
    </row>
    <row r="506" spans="1:11" x14ac:dyDescent="0.25">
      <c r="A506" s="27" t="s">
        <v>651</v>
      </c>
      <c r="B506" s="27" t="str">
        <f t="shared" si="21"/>
        <v/>
      </c>
      <c r="C506" s="27" t="str">
        <f t="shared" si="22"/>
        <v>REPORTED TOTAL</v>
      </c>
      <c r="D506" t="s">
        <v>169</v>
      </c>
      <c r="F506" t="s">
        <v>170</v>
      </c>
      <c r="J506" s="27"/>
    </row>
    <row r="507" spans="1:11" x14ac:dyDescent="0.25">
      <c r="A507" s="27" t="s">
        <v>1051</v>
      </c>
      <c r="B507" s="27" t="str">
        <f t="shared" si="21"/>
        <v>Mississippi</v>
      </c>
      <c r="C507" s="27" t="str">
        <f t="shared" si="22"/>
        <v>Adams</v>
      </c>
      <c r="D507" s="6">
        <v>7</v>
      </c>
      <c r="G507">
        <v>39</v>
      </c>
      <c r="H507">
        <v>1932</v>
      </c>
      <c r="I507">
        <v>962</v>
      </c>
      <c r="J507" s="27" t="str">
        <f t="shared" si="23"/>
        <v>https://ia601606.us.archive.org/33/items/FinancialStatisticsOfStateAndLocalGovernmentsWealthDebtAndTaxation1932/Financial_statistics_of_state_and_local_governments_Wealth_debt_and_taxation_1932.pdf#page=962</v>
      </c>
    </row>
    <row r="508" spans="1:11" x14ac:dyDescent="0.25">
      <c r="A508" s="27" t="s">
        <v>1052</v>
      </c>
      <c r="B508" s="27" t="str">
        <f t="shared" si="21"/>
        <v>Mississippi</v>
      </c>
      <c r="C508" s="27" t="str">
        <f t="shared" si="22"/>
        <v>Alcorn</v>
      </c>
      <c r="D508">
        <v>2</v>
      </c>
      <c r="F508">
        <v>12</v>
      </c>
      <c r="G508">
        <v>101</v>
      </c>
      <c r="H508">
        <v>1932</v>
      </c>
      <c r="I508">
        <v>962</v>
      </c>
      <c r="J508" s="27" t="str">
        <f t="shared" si="23"/>
        <v>https://ia601606.us.archive.org/33/items/FinancialStatisticsOfStateAndLocalGovernmentsWealthDebtAndTaxation1932/Financial_statistics_of_state_and_local_governments_Wealth_debt_and_taxation_1932.pdf#page=962</v>
      </c>
    </row>
    <row r="509" spans="1:11" x14ac:dyDescent="0.25">
      <c r="A509" s="27" t="s">
        <v>1053</v>
      </c>
      <c r="B509" s="27" t="str">
        <f t="shared" si="21"/>
        <v>Mississippi</v>
      </c>
      <c r="C509" s="27" t="str">
        <f t="shared" si="22"/>
        <v>Amite</v>
      </c>
      <c r="D509">
        <v>1</v>
      </c>
      <c r="F509">
        <v>15</v>
      </c>
      <c r="G509">
        <v>109</v>
      </c>
      <c r="H509">
        <v>1932</v>
      </c>
      <c r="I509">
        <v>962</v>
      </c>
      <c r="J509" s="27" t="str">
        <f t="shared" si="23"/>
        <v>https://ia601606.us.archive.org/33/items/FinancialStatisticsOfStateAndLocalGovernmentsWealthDebtAndTaxation1932/Financial_statistics_of_state_and_local_governments_Wealth_debt_and_taxation_1932.pdf#page=962</v>
      </c>
    </row>
    <row r="510" spans="1:11" x14ac:dyDescent="0.25">
      <c r="A510" s="27" t="s">
        <v>1054</v>
      </c>
      <c r="B510" s="27" t="str">
        <f t="shared" si="21"/>
        <v>Mississippi</v>
      </c>
      <c r="C510" s="27" t="str">
        <f t="shared" si="22"/>
        <v>Attala</v>
      </c>
      <c r="D510">
        <v>1</v>
      </c>
      <c r="F510">
        <v>9</v>
      </c>
      <c r="G510">
        <v>132</v>
      </c>
      <c r="H510">
        <v>1932</v>
      </c>
      <c r="I510">
        <v>962</v>
      </c>
      <c r="J510" s="27" t="str">
        <f t="shared" si="23"/>
        <v>https://ia601606.us.archive.org/33/items/FinancialStatisticsOfStateAndLocalGovernmentsWealthDebtAndTaxation1932/Financial_statistics_of_state_and_local_governments_Wealth_debt_and_taxation_1932.pdf#page=962</v>
      </c>
    </row>
    <row r="511" spans="1:11" x14ac:dyDescent="0.25">
      <c r="A511" s="27" t="s">
        <v>1055</v>
      </c>
      <c r="B511" s="27" t="str">
        <f t="shared" si="21"/>
        <v>Mississippi</v>
      </c>
      <c r="C511" s="27" t="str">
        <f t="shared" si="22"/>
        <v>Benton</v>
      </c>
      <c r="D511">
        <v>1</v>
      </c>
      <c r="G511">
        <v>57</v>
      </c>
      <c r="H511">
        <v>1932</v>
      </c>
      <c r="I511">
        <v>963</v>
      </c>
      <c r="J511" s="27" t="str">
        <f t="shared" si="23"/>
        <v>https://ia601606.us.archive.org/33/items/FinancialStatisticsOfStateAndLocalGovernmentsWealthDebtAndTaxation1932/Financial_statistics_of_state_and_local_governments_Wealth_debt_and_taxation_1932.pdf#page=963</v>
      </c>
    </row>
    <row r="512" spans="1:11" x14ac:dyDescent="0.25">
      <c r="A512" s="27" t="s">
        <v>1056</v>
      </c>
      <c r="B512" s="27" t="str">
        <f t="shared" si="21"/>
        <v>Mississippi</v>
      </c>
      <c r="C512" s="27" t="str">
        <f t="shared" si="22"/>
        <v>Bolivar</v>
      </c>
      <c r="D512">
        <v>18</v>
      </c>
      <c r="G512">
        <v>467</v>
      </c>
      <c r="H512">
        <v>1932</v>
      </c>
      <c r="I512">
        <v>963</v>
      </c>
      <c r="J512" s="27" t="str">
        <f t="shared" si="23"/>
        <v>https://ia601606.us.archive.org/33/items/FinancialStatisticsOfStateAndLocalGovernmentsWealthDebtAndTaxation1932/Financial_statistics_of_state_and_local_governments_Wealth_debt_and_taxation_1932.pdf#page=963</v>
      </c>
    </row>
    <row r="513" spans="1:10" x14ac:dyDescent="0.25">
      <c r="A513" s="27" t="s">
        <v>1057</v>
      </c>
      <c r="B513" s="27" t="str">
        <f t="shared" si="21"/>
        <v>Mississippi</v>
      </c>
      <c r="C513" s="27" t="str">
        <f t="shared" si="22"/>
        <v>Calhoun</v>
      </c>
      <c r="D513">
        <v>1</v>
      </c>
      <c r="F513">
        <v>6</v>
      </c>
      <c r="G513">
        <v>160</v>
      </c>
      <c r="H513">
        <v>1932</v>
      </c>
      <c r="I513">
        <v>963</v>
      </c>
      <c r="J513" s="27" t="str">
        <f t="shared" si="23"/>
        <v>https://ia601606.us.archive.org/33/items/FinancialStatisticsOfStateAndLocalGovernmentsWealthDebtAndTaxation1932/Financial_statistics_of_state_and_local_governments_Wealth_debt_and_taxation_1932.pdf#page=963</v>
      </c>
    </row>
    <row r="514" spans="1:10" x14ac:dyDescent="0.25">
      <c r="A514" s="27" t="s">
        <v>1058</v>
      </c>
      <c r="B514" s="27" t="str">
        <f t="shared" si="21"/>
        <v>Mississippi</v>
      </c>
      <c r="C514" s="27" t="str">
        <f t="shared" si="22"/>
        <v>Carroll</v>
      </c>
      <c r="D514">
        <v>1</v>
      </c>
      <c r="G514">
        <v>82</v>
      </c>
      <c r="H514">
        <v>1932</v>
      </c>
      <c r="I514">
        <v>963</v>
      </c>
      <c r="J514" s="27" t="str">
        <f t="shared" si="23"/>
        <v>https://ia601606.us.archive.org/33/items/FinancialStatisticsOfStateAndLocalGovernmentsWealthDebtAndTaxation1932/Financial_statistics_of_state_and_local_governments_Wealth_debt_and_taxation_1932.pdf#page=963</v>
      </c>
    </row>
    <row r="515" spans="1:10" x14ac:dyDescent="0.25">
      <c r="A515" s="27" t="s">
        <v>1059</v>
      </c>
      <c r="B515" s="27" t="str">
        <f t="shared" ref="B515:B578" si="24">LEFT(A515,FIND(";",A515)-1)</f>
        <v>Mississippi</v>
      </c>
      <c r="C515" s="27" t="str">
        <f t="shared" ref="C515:C578" si="25">MID(A515,FIND(";",A515)+1,100)</f>
        <v>Chickasaw</v>
      </c>
      <c r="D515">
        <v>1</v>
      </c>
      <c r="F515">
        <v>8</v>
      </c>
      <c r="G515">
        <v>75</v>
      </c>
      <c r="H515">
        <v>1932</v>
      </c>
      <c r="I515">
        <v>963</v>
      </c>
      <c r="J515" s="27" t="str">
        <f t="shared" ref="J515:J578" si="26">"https://ia601606.us.archive.org/33/items/FinancialStatisticsOfStateAndLocalGovernmentsWealthDebtAndTaxation1932/Financial_statistics_of_state_and_local_governments_Wealth_debt_and_taxation_1932.pdf"&amp;"#page="&amp;I515</f>
        <v>https://ia601606.us.archive.org/33/items/FinancialStatisticsOfStateAndLocalGovernmentsWealthDebtAndTaxation1932/Financial_statistics_of_state_and_local_governments_Wealth_debt_and_taxation_1932.pdf#page=963</v>
      </c>
    </row>
    <row r="516" spans="1:10" x14ac:dyDescent="0.25">
      <c r="A516" s="27" t="s">
        <v>1060</v>
      </c>
      <c r="B516" s="27" t="str">
        <f t="shared" si="24"/>
        <v>Mississippi</v>
      </c>
      <c r="C516" s="27" t="str">
        <f t="shared" si="25"/>
        <v>Choctaw</v>
      </c>
      <c r="D516">
        <v>1</v>
      </c>
      <c r="F516">
        <v>52</v>
      </c>
      <c r="G516">
        <v>150</v>
      </c>
      <c r="H516">
        <v>1932</v>
      </c>
      <c r="I516">
        <v>964</v>
      </c>
      <c r="J516" s="27" t="str">
        <f t="shared" si="26"/>
        <v>https://ia601606.us.archive.org/33/items/FinancialStatisticsOfStateAndLocalGovernmentsWealthDebtAndTaxation1932/Financial_statistics_of_state_and_local_governments_Wealth_debt_and_taxation_1932.pdf#page=964</v>
      </c>
    </row>
    <row r="517" spans="1:10" x14ac:dyDescent="0.25">
      <c r="A517" s="27" t="s">
        <v>1061</v>
      </c>
      <c r="B517" s="27" t="str">
        <f t="shared" si="24"/>
        <v>Mississippi</v>
      </c>
      <c r="C517" s="27" t="str">
        <f t="shared" si="25"/>
        <v>Claiborne</v>
      </c>
      <c r="D517">
        <v>1</v>
      </c>
      <c r="G517">
        <v>67</v>
      </c>
      <c r="H517">
        <v>1932</v>
      </c>
      <c r="I517">
        <v>964</v>
      </c>
      <c r="J517" s="27" t="str">
        <f t="shared" si="26"/>
        <v>https://ia601606.us.archive.org/33/items/FinancialStatisticsOfStateAndLocalGovernmentsWealthDebtAndTaxation1932/Financial_statistics_of_state_and_local_governments_Wealth_debt_and_taxation_1932.pdf#page=964</v>
      </c>
    </row>
    <row r="518" spans="1:10" x14ac:dyDescent="0.25">
      <c r="A518" s="27" t="s">
        <v>1062</v>
      </c>
      <c r="B518" s="27" t="str">
        <f t="shared" si="24"/>
        <v>Mississippi</v>
      </c>
      <c r="C518" s="27" t="str">
        <f t="shared" si="25"/>
        <v>Clarke</v>
      </c>
      <c r="D518">
        <v>4</v>
      </c>
      <c r="F518">
        <v>15</v>
      </c>
      <c r="G518">
        <v>150</v>
      </c>
      <c r="H518">
        <v>1932</v>
      </c>
      <c r="I518">
        <v>964</v>
      </c>
      <c r="J518" s="27" t="str">
        <f t="shared" si="26"/>
        <v>https://ia601606.us.archive.org/33/items/FinancialStatisticsOfStateAndLocalGovernmentsWealthDebtAndTaxation1932/Financial_statistics_of_state_and_local_governments_Wealth_debt_and_taxation_1932.pdf#page=964</v>
      </c>
    </row>
    <row r="519" spans="1:10" x14ac:dyDescent="0.25">
      <c r="A519" s="27" t="s">
        <v>1063</v>
      </c>
      <c r="B519" s="27" t="str">
        <f t="shared" si="24"/>
        <v>Mississippi</v>
      </c>
      <c r="C519" s="27" t="str">
        <f t="shared" si="25"/>
        <v>Clay</v>
      </c>
      <c r="D519">
        <v>1</v>
      </c>
      <c r="F519">
        <v>14</v>
      </c>
      <c r="G519">
        <v>66</v>
      </c>
      <c r="H519">
        <v>1932</v>
      </c>
      <c r="I519">
        <v>964</v>
      </c>
      <c r="J519" s="27" t="str">
        <f t="shared" si="26"/>
        <v>https://ia601606.us.archive.org/33/items/FinancialStatisticsOfStateAndLocalGovernmentsWealthDebtAndTaxation1932/Financial_statistics_of_state_and_local_governments_Wealth_debt_and_taxation_1932.pdf#page=964</v>
      </c>
    </row>
    <row r="520" spans="1:10" x14ac:dyDescent="0.25">
      <c r="A520" s="27" t="s">
        <v>1064</v>
      </c>
      <c r="B520" s="27" t="str">
        <f t="shared" si="24"/>
        <v>Mississippi</v>
      </c>
      <c r="C520" s="27" t="str">
        <f t="shared" si="25"/>
        <v>Coahoma</v>
      </c>
      <c r="D520">
        <v>13</v>
      </c>
      <c r="F520">
        <v>25</v>
      </c>
      <c r="G520">
        <v>176</v>
      </c>
      <c r="H520">
        <v>1932</v>
      </c>
      <c r="I520">
        <v>964</v>
      </c>
      <c r="J520" s="27" t="str">
        <f t="shared" si="26"/>
        <v>https://ia601606.us.archive.org/33/items/FinancialStatisticsOfStateAndLocalGovernmentsWealthDebtAndTaxation1932/Financial_statistics_of_state_and_local_governments_Wealth_debt_and_taxation_1932.pdf#page=964</v>
      </c>
    </row>
    <row r="521" spans="1:10" x14ac:dyDescent="0.25">
      <c r="A521" s="27" t="s">
        <v>1065</v>
      </c>
      <c r="B521" s="27" t="str">
        <f t="shared" si="24"/>
        <v>Mississippi</v>
      </c>
      <c r="C521" s="27" t="str">
        <f t="shared" si="25"/>
        <v>Copiah</v>
      </c>
      <c r="D521">
        <v>4</v>
      </c>
      <c r="F521">
        <v>28</v>
      </c>
      <c r="G521" s="1">
        <v>204</v>
      </c>
      <c r="H521">
        <v>1932</v>
      </c>
      <c r="I521">
        <v>964</v>
      </c>
      <c r="J521" s="27" t="str">
        <f t="shared" si="26"/>
        <v>https://ia601606.us.archive.org/33/items/FinancialStatisticsOfStateAndLocalGovernmentsWealthDebtAndTaxation1932/Financial_statistics_of_state_and_local_governments_Wealth_debt_and_taxation_1932.pdf#page=964</v>
      </c>
    </row>
    <row r="522" spans="1:10" x14ac:dyDescent="0.25">
      <c r="A522" s="27" t="s">
        <v>1066</v>
      </c>
      <c r="B522" s="27" t="str">
        <f t="shared" si="24"/>
        <v>Mississippi</v>
      </c>
      <c r="C522" s="27" t="str">
        <f t="shared" si="25"/>
        <v>Covington</v>
      </c>
      <c r="D522">
        <v>1</v>
      </c>
      <c r="F522">
        <v>1</v>
      </c>
      <c r="G522">
        <v>143</v>
      </c>
      <c r="H522">
        <v>1932</v>
      </c>
      <c r="I522">
        <v>964</v>
      </c>
      <c r="J522" s="27" t="str">
        <f t="shared" si="26"/>
        <v>https://ia601606.us.archive.org/33/items/FinancialStatisticsOfStateAndLocalGovernmentsWealthDebtAndTaxation1932/Financial_statistics_of_state_and_local_governments_Wealth_debt_and_taxation_1932.pdf#page=964</v>
      </c>
    </row>
    <row r="523" spans="1:10" x14ac:dyDescent="0.25">
      <c r="A523" s="27" t="s">
        <v>1964</v>
      </c>
      <c r="B523" s="27" t="str">
        <f t="shared" si="24"/>
        <v>Mississippi</v>
      </c>
      <c r="C523" s="27" t="str">
        <f t="shared" si="25"/>
        <v>Desoto</v>
      </c>
      <c r="D523">
        <v>2</v>
      </c>
      <c r="F523">
        <v>16</v>
      </c>
      <c r="G523">
        <v>143</v>
      </c>
      <c r="H523">
        <v>1932</v>
      </c>
      <c r="I523">
        <v>964</v>
      </c>
      <c r="J523" s="27" t="str">
        <f t="shared" si="26"/>
        <v>https://ia601606.us.archive.org/33/items/FinancialStatisticsOfStateAndLocalGovernmentsWealthDebtAndTaxation1932/Financial_statistics_of_state_and_local_governments_Wealth_debt_and_taxation_1932.pdf#page=964</v>
      </c>
    </row>
    <row r="524" spans="1:10" x14ac:dyDescent="0.25">
      <c r="A524" s="27" t="s">
        <v>1067</v>
      </c>
      <c r="B524" s="27" t="str">
        <f t="shared" si="24"/>
        <v>Mississippi</v>
      </c>
      <c r="C524" s="27" t="str">
        <f t="shared" si="25"/>
        <v>Forrest</v>
      </c>
      <c r="D524">
        <v>12</v>
      </c>
      <c r="F524">
        <v>18</v>
      </c>
      <c r="G524">
        <v>150</v>
      </c>
      <c r="H524">
        <v>1932</v>
      </c>
      <c r="I524">
        <v>964</v>
      </c>
      <c r="J524" s="27" t="str">
        <f t="shared" si="26"/>
        <v>https://ia601606.us.archive.org/33/items/FinancialStatisticsOfStateAndLocalGovernmentsWealthDebtAndTaxation1932/Financial_statistics_of_state_and_local_governments_Wealth_debt_and_taxation_1932.pdf#page=964</v>
      </c>
    </row>
    <row r="525" spans="1:10" x14ac:dyDescent="0.25">
      <c r="A525" s="27" t="s">
        <v>1068</v>
      </c>
      <c r="B525" s="27" t="str">
        <f t="shared" si="24"/>
        <v>Mississippi</v>
      </c>
      <c r="C525" s="27" t="str">
        <f t="shared" si="25"/>
        <v>Franklin</v>
      </c>
      <c r="D525">
        <v>1</v>
      </c>
      <c r="F525">
        <v>13</v>
      </c>
      <c r="G525">
        <v>76</v>
      </c>
      <c r="H525">
        <v>1932</v>
      </c>
      <c r="I525">
        <v>965</v>
      </c>
      <c r="J525" s="27" t="str">
        <f t="shared" si="26"/>
        <v>https://ia601606.us.archive.org/33/items/FinancialStatisticsOfStateAndLocalGovernmentsWealthDebtAndTaxation1932/Financial_statistics_of_state_and_local_governments_Wealth_debt_and_taxation_1932.pdf#page=965</v>
      </c>
    </row>
    <row r="526" spans="1:10" x14ac:dyDescent="0.25">
      <c r="A526" s="27" t="s">
        <v>1069</v>
      </c>
      <c r="B526" s="27" t="str">
        <f t="shared" si="24"/>
        <v>Mississippi</v>
      </c>
      <c r="C526" s="27" t="str">
        <f t="shared" si="25"/>
        <v>George</v>
      </c>
      <c r="D526">
        <v>1</v>
      </c>
      <c r="G526">
        <v>80</v>
      </c>
      <c r="H526">
        <v>1932</v>
      </c>
      <c r="I526">
        <v>965</v>
      </c>
      <c r="J526" s="27" t="str">
        <f t="shared" si="26"/>
        <v>https://ia601606.us.archive.org/33/items/FinancialStatisticsOfStateAndLocalGovernmentsWealthDebtAndTaxation1932/Financial_statistics_of_state_and_local_governments_Wealth_debt_and_taxation_1932.pdf#page=965</v>
      </c>
    </row>
    <row r="527" spans="1:10" x14ac:dyDescent="0.25">
      <c r="A527" s="27" t="s">
        <v>1070</v>
      </c>
      <c r="B527" s="27" t="str">
        <f t="shared" si="24"/>
        <v>Mississippi</v>
      </c>
      <c r="C527" s="27" t="str">
        <f t="shared" si="25"/>
        <v>Greene</v>
      </c>
      <c r="D527">
        <v>1</v>
      </c>
      <c r="F527">
        <v>13</v>
      </c>
      <c r="G527">
        <v>100</v>
      </c>
      <c r="H527">
        <v>1932</v>
      </c>
      <c r="I527">
        <v>965</v>
      </c>
      <c r="J527" s="27" t="str">
        <f t="shared" si="26"/>
        <v>https://ia601606.us.archive.org/33/items/FinancialStatisticsOfStateAndLocalGovernmentsWealthDebtAndTaxation1932/Financial_statistics_of_state_and_local_governments_Wealth_debt_and_taxation_1932.pdf#page=965</v>
      </c>
    </row>
    <row r="528" spans="1:10" x14ac:dyDescent="0.25">
      <c r="A528" s="27" t="s">
        <v>1071</v>
      </c>
      <c r="B528" s="27" t="str">
        <f t="shared" si="24"/>
        <v>Mississippi</v>
      </c>
      <c r="C528" s="27" t="str">
        <f t="shared" si="25"/>
        <v>Grenada</v>
      </c>
      <c r="D528">
        <v>2</v>
      </c>
      <c r="G528">
        <v>74</v>
      </c>
      <c r="H528">
        <v>1932</v>
      </c>
      <c r="I528">
        <v>965</v>
      </c>
      <c r="J528" s="27" t="str">
        <f t="shared" si="26"/>
        <v>https://ia601606.us.archive.org/33/items/FinancialStatisticsOfStateAndLocalGovernmentsWealthDebtAndTaxation1932/Financial_statistics_of_state_and_local_governments_Wealth_debt_and_taxation_1932.pdf#page=965</v>
      </c>
    </row>
    <row r="529" spans="1:10" x14ac:dyDescent="0.25">
      <c r="A529" s="27" t="s">
        <v>1072</v>
      </c>
      <c r="B529" s="27" t="str">
        <f t="shared" si="24"/>
        <v>Mississippi</v>
      </c>
      <c r="C529" s="27" t="str">
        <f t="shared" si="25"/>
        <v>Hancock</v>
      </c>
      <c r="D529">
        <v>8</v>
      </c>
      <c r="G529">
        <v>90</v>
      </c>
      <c r="H529">
        <v>1932</v>
      </c>
      <c r="I529">
        <v>965</v>
      </c>
      <c r="J529" s="27" t="str">
        <f t="shared" si="26"/>
        <v>https://ia601606.us.archive.org/33/items/FinancialStatisticsOfStateAndLocalGovernmentsWealthDebtAndTaxation1932/Financial_statistics_of_state_and_local_governments_Wealth_debt_and_taxation_1932.pdf#page=965</v>
      </c>
    </row>
    <row r="530" spans="1:10" x14ac:dyDescent="0.25">
      <c r="A530" s="27" t="s">
        <v>1073</v>
      </c>
      <c r="B530" s="27" t="str">
        <f t="shared" si="24"/>
        <v>Mississippi</v>
      </c>
      <c r="C530" s="27" t="str">
        <f t="shared" si="25"/>
        <v>Harrison</v>
      </c>
      <c r="D530">
        <v>20</v>
      </c>
      <c r="F530">
        <v>47</v>
      </c>
      <c r="G530">
        <v>131</v>
      </c>
      <c r="H530">
        <v>1932</v>
      </c>
      <c r="I530">
        <v>965</v>
      </c>
      <c r="J530" s="27" t="str">
        <f t="shared" si="26"/>
        <v>https://ia601606.us.archive.org/33/items/FinancialStatisticsOfStateAndLocalGovernmentsWealthDebtAndTaxation1932/Financial_statistics_of_state_and_local_governments_Wealth_debt_and_taxation_1932.pdf#page=965</v>
      </c>
    </row>
    <row r="531" spans="1:10" x14ac:dyDescent="0.25">
      <c r="A531" s="27" t="s">
        <v>1074</v>
      </c>
      <c r="B531" s="27" t="str">
        <f t="shared" si="24"/>
        <v>Mississippi</v>
      </c>
      <c r="C531" s="27" t="str">
        <f t="shared" si="25"/>
        <v>Hinds</v>
      </c>
      <c r="D531">
        <v>25</v>
      </c>
      <c r="F531">
        <v>62</v>
      </c>
      <c r="G531">
        <v>258</v>
      </c>
      <c r="H531">
        <v>1932</v>
      </c>
      <c r="I531">
        <v>966</v>
      </c>
      <c r="J531" s="27" t="str">
        <f t="shared" si="26"/>
        <v>https://ia601606.us.archive.org/33/items/FinancialStatisticsOfStateAndLocalGovernmentsWealthDebtAndTaxation1932/Financial_statistics_of_state_and_local_governments_Wealth_debt_and_taxation_1932.pdf#page=966</v>
      </c>
    </row>
    <row r="532" spans="1:10" x14ac:dyDescent="0.25">
      <c r="A532" s="27" t="s">
        <v>1075</v>
      </c>
      <c r="B532" s="27" t="str">
        <f t="shared" si="24"/>
        <v>Mississippi</v>
      </c>
      <c r="C532" s="27" t="str">
        <f t="shared" si="25"/>
        <v>Holmes</v>
      </c>
      <c r="D532">
        <v>9</v>
      </c>
      <c r="F532">
        <v>29</v>
      </c>
      <c r="G532">
        <v>219</v>
      </c>
      <c r="H532">
        <v>1932</v>
      </c>
      <c r="I532">
        <v>966</v>
      </c>
      <c r="J532" s="27" t="str">
        <f t="shared" si="26"/>
        <v>https://ia601606.us.archive.org/33/items/FinancialStatisticsOfStateAndLocalGovernmentsWealthDebtAndTaxation1932/Financial_statistics_of_state_and_local_governments_Wealth_debt_and_taxation_1932.pdf#page=966</v>
      </c>
    </row>
    <row r="533" spans="1:10" x14ac:dyDescent="0.25">
      <c r="A533" s="27" t="s">
        <v>1076</v>
      </c>
      <c r="B533" s="27" t="str">
        <f t="shared" si="24"/>
        <v>Mississippi</v>
      </c>
      <c r="C533" s="27" t="str">
        <f t="shared" si="25"/>
        <v>Humphreys</v>
      </c>
      <c r="D533">
        <v>5</v>
      </c>
      <c r="F533">
        <v>1</v>
      </c>
      <c r="G533">
        <v>169</v>
      </c>
      <c r="H533">
        <v>1932</v>
      </c>
      <c r="I533">
        <v>966</v>
      </c>
      <c r="J533" s="27" t="str">
        <f t="shared" si="26"/>
        <v>https://ia601606.us.archive.org/33/items/FinancialStatisticsOfStateAndLocalGovernmentsWealthDebtAndTaxation1932/Financial_statistics_of_state_and_local_governments_Wealth_debt_and_taxation_1932.pdf#page=966</v>
      </c>
    </row>
    <row r="534" spans="1:10" x14ac:dyDescent="0.25">
      <c r="A534" s="27" t="s">
        <v>1077</v>
      </c>
      <c r="B534" s="27" t="str">
        <f t="shared" si="24"/>
        <v>Mississippi</v>
      </c>
      <c r="C534" s="27" t="str">
        <f t="shared" si="25"/>
        <v>Issaquena</v>
      </c>
      <c r="D534">
        <v>2</v>
      </c>
      <c r="G534">
        <v>32</v>
      </c>
      <c r="H534">
        <v>1932</v>
      </c>
      <c r="I534">
        <v>966</v>
      </c>
      <c r="J534" s="27" t="str">
        <f t="shared" si="26"/>
        <v>https://ia601606.us.archive.org/33/items/FinancialStatisticsOfStateAndLocalGovernmentsWealthDebtAndTaxation1932/Financial_statistics_of_state_and_local_governments_Wealth_debt_and_taxation_1932.pdf#page=966</v>
      </c>
    </row>
    <row r="535" spans="1:10" x14ac:dyDescent="0.25">
      <c r="A535" s="27" t="s">
        <v>1078</v>
      </c>
      <c r="B535" s="27" t="str">
        <f t="shared" si="24"/>
        <v>Mississippi</v>
      </c>
      <c r="C535" s="27" t="str">
        <f t="shared" si="25"/>
        <v>Itawamba</v>
      </c>
      <c r="D535">
        <v>1</v>
      </c>
      <c r="F535">
        <v>13</v>
      </c>
      <c r="G535">
        <v>112</v>
      </c>
      <c r="H535">
        <v>1932</v>
      </c>
      <c r="I535">
        <v>966</v>
      </c>
      <c r="J535" s="27" t="str">
        <f t="shared" si="26"/>
        <v>https://ia601606.us.archive.org/33/items/FinancialStatisticsOfStateAndLocalGovernmentsWealthDebtAndTaxation1932/Financial_statistics_of_state_and_local_governments_Wealth_debt_and_taxation_1932.pdf#page=966</v>
      </c>
    </row>
    <row r="536" spans="1:10" x14ac:dyDescent="0.25">
      <c r="A536" s="27" t="s">
        <v>1079</v>
      </c>
      <c r="B536" s="27" t="str">
        <f t="shared" si="24"/>
        <v>Mississippi</v>
      </c>
      <c r="C536" s="27" t="str">
        <f t="shared" si="25"/>
        <v>Jackson</v>
      </c>
      <c r="D536">
        <v>19</v>
      </c>
      <c r="F536">
        <v>5</v>
      </c>
      <c r="G536">
        <v>66</v>
      </c>
      <c r="H536">
        <v>1932</v>
      </c>
      <c r="I536">
        <v>966</v>
      </c>
      <c r="J536" s="27" t="str">
        <f t="shared" si="26"/>
        <v>https://ia601606.us.archive.org/33/items/FinancialStatisticsOfStateAndLocalGovernmentsWealthDebtAndTaxation1932/Financial_statistics_of_state_and_local_governments_Wealth_debt_and_taxation_1932.pdf#page=966</v>
      </c>
    </row>
    <row r="537" spans="1:10" x14ac:dyDescent="0.25">
      <c r="A537" s="27" t="s">
        <v>1080</v>
      </c>
      <c r="B537" s="27" t="str">
        <f t="shared" si="24"/>
        <v>Mississippi</v>
      </c>
      <c r="C537" s="27" t="str">
        <f t="shared" si="25"/>
        <v>Jasper</v>
      </c>
      <c r="D537">
        <v>1</v>
      </c>
      <c r="F537">
        <v>7</v>
      </c>
      <c r="G537">
        <v>116</v>
      </c>
      <c r="H537">
        <v>1932</v>
      </c>
      <c r="I537">
        <v>966</v>
      </c>
      <c r="J537" s="27" t="str">
        <f t="shared" si="26"/>
        <v>https://ia601606.us.archive.org/33/items/FinancialStatisticsOfStateAndLocalGovernmentsWealthDebtAndTaxation1932/Financial_statistics_of_state_and_local_governments_Wealth_debt_and_taxation_1932.pdf#page=966</v>
      </c>
    </row>
    <row r="538" spans="1:10" x14ac:dyDescent="0.25">
      <c r="A538" s="27" t="s">
        <v>1081</v>
      </c>
      <c r="B538" s="27" t="str">
        <f t="shared" si="24"/>
        <v>Mississippi</v>
      </c>
      <c r="C538" s="27" t="str">
        <f t="shared" si="25"/>
        <v>Jefferson</v>
      </c>
      <c r="D538">
        <v>1</v>
      </c>
      <c r="F538">
        <v>12</v>
      </c>
      <c r="G538">
        <v>65</v>
      </c>
      <c r="H538">
        <v>1932</v>
      </c>
      <c r="I538">
        <v>966</v>
      </c>
      <c r="J538" s="27" t="str">
        <f t="shared" si="26"/>
        <v>https://ia601606.us.archive.org/33/items/FinancialStatisticsOfStateAndLocalGovernmentsWealthDebtAndTaxation1932/Financial_statistics_of_state_and_local_governments_Wealth_debt_and_taxation_1932.pdf#page=966</v>
      </c>
    </row>
    <row r="539" spans="1:10" x14ac:dyDescent="0.25">
      <c r="A539" s="27" t="s">
        <v>1082</v>
      </c>
      <c r="B539" s="27" t="str">
        <f t="shared" si="24"/>
        <v>Mississippi</v>
      </c>
      <c r="C539" s="27" t="str">
        <f t="shared" si="25"/>
        <v>Jefferson Davis</v>
      </c>
      <c r="D539">
        <v>1</v>
      </c>
      <c r="G539">
        <v>103</v>
      </c>
      <c r="H539">
        <v>1932</v>
      </c>
      <c r="I539">
        <v>966</v>
      </c>
      <c r="J539" s="27" t="str">
        <f t="shared" si="26"/>
        <v>https://ia601606.us.archive.org/33/items/FinancialStatisticsOfStateAndLocalGovernmentsWealthDebtAndTaxation1932/Financial_statistics_of_state_and_local_governments_Wealth_debt_and_taxation_1932.pdf#page=966</v>
      </c>
    </row>
    <row r="540" spans="1:10" x14ac:dyDescent="0.25">
      <c r="A540" s="27" t="s">
        <v>1083</v>
      </c>
      <c r="B540" s="27" t="str">
        <f t="shared" si="24"/>
        <v>Mississippi</v>
      </c>
      <c r="C540" s="27" t="str">
        <f t="shared" si="25"/>
        <v>Jones</v>
      </c>
      <c r="D540">
        <v>5</v>
      </c>
      <c r="F540">
        <v>70</v>
      </c>
      <c r="G540">
        <v>172</v>
      </c>
      <c r="H540">
        <v>1932</v>
      </c>
      <c r="I540">
        <v>967</v>
      </c>
      <c r="J540" s="27" t="str">
        <f t="shared" si="26"/>
        <v>https://ia601606.us.archive.org/33/items/FinancialStatisticsOfStateAndLocalGovernmentsWealthDebtAndTaxation1932/Financial_statistics_of_state_and_local_governments_Wealth_debt_and_taxation_1932.pdf#page=967</v>
      </c>
    </row>
    <row r="541" spans="1:10" x14ac:dyDescent="0.25">
      <c r="A541" s="27" t="s">
        <v>1084</v>
      </c>
      <c r="B541" s="27" t="str">
        <f t="shared" si="24"/>
        <v>Mississippi</v>
      </c>
      <c r="C541" s="27" t="str">
        <f t="shared" si="25"/>
        <v>Kemper</v>
      </c>
      <c r="D541">
        <v>1</v>
      </c>
      <c r="F541">
        <v>15</v>
      </c>
      <c r="G541">
        <v>83</v>
      </c>
      <c r="H541">
        <v>1932</v>
      </c>
      <c r="I541">
        <v>967</v>
      </c>
      <c r="J541" s="27" t="str">
        <f t="shared" si="26"/>
        <v>https://ia601606.us.archive.org/33/items/FinancialStatisticsOfStateAndLocalGovernmentsWealthDebtAndTaxation1932/Financial_statistics_of_state_and_local_governments_Wealth_debt_and_taxation_1932.pdf#page=967</v>
      </c>
    </row>
    <row r="542" spans="1:10" x14ac:dyDescent="0.25">
      <c r="A542" s="27" t="s">
        <v>1085</v>
      </c>
      <c r="B542" s="27" t="str">
        <f t="shared" si="24"/>
        <v>Mississippi</v>
      </c>
      <c r="C542" s="27" t="str">
        <f t="shared" si="25"/>
        <v>Lafayette</v>
      </c>
      <c r="D542">
        <v>1</v>
      </c>
      <c r="F542">
        <v>16</v>
      </c>
      <c r="G542">
        <v>148</v>
      </c>
      <c r="H542">
        <v>1932</v>
      </c>
      <c r="I542">
        <v>967</v>
      </c>
      <c r="J542" s="27" t="str">
        <f t="shared" si="26"/>
        <v>https://ia601606.us.archive.org/33/items/FinancialStatisticsOfStateAndLocalGovernmentsWealthDebtAndTaxation1932/Financial_statistics_of_state_and_local_governments_Wealth_debt_and_taxation_1932.pdf#page=967</v>
      </c>
    </row>
    <row r="543" spans="1:10" x14ac:dyDescent="0.25">
      <c r="A543" s="27" t="s">
        <v>1086</v>
      </c>
      <c r="B543" s="27" t="str">
        <f t="shared" si="24"/>
        <v>Mississippi</v>
      </c>
      <c r="C543" s="27" t="str">
        <f t="shared" si="25"/>
        <v>Lamar</v>
      </c>
      <c r="D543">
        <v>4</v>
      </c>
      <c r="F543">
        <v>13</v>
      </c>
      <c r="G543">
        <v>127</v>
      </c>
      <c r="H543">
        <v>1932</v>
      </c>
      <c r="I543">
        <v>967</v>
      </c>
      <c r="J543" s="27" t="str">
        <f t="shared" si="26"/>
        <v>https://ia601606.us.archive.org/33/items/FinancialStatisticsOfStateAndLocalGovernmentsWealthDebtAndTaxation1932/Financial_statistics_of_state_and_local_governments_Wealth_debt_and_taxation_1932.pdf#page=967</v>
      </c>
    </row>
    <row r="544" spans="1:10" x14ac:dyDescent="0.25">
      <c r="A544" s="27" t="s">
        <v>1087</v>
      </c>
      <c r="B544" s="27" t="str">
        <f t="shared" si="24"/>
        <v>Mississippi</v>
      </c>
      <c r="C544" s="27" t="str">
        <f t="shared" si="25"/>
        <v>Lauderdale</v>
      </c>
      <c r="D544">
        <v>32</v>
      </c>
      <c r="F544">
        <v>2</v>
      </c>
      <c r="G544" s="1">
        <v>202</v>
      </c>
      <c r="H544">
        <v>1932</v>
      </c>
      <c r="I544">
        <v>967</v>
      </c>
      <c r="J544" s="27" t="str">
        <f t="shared" si="26"/>
        <v>https://ia601606.us.archive.org/33/items/FinancialStatisticsOfStateAndLocalGovernmentsWealthDebtAndTaxation1932/Financial_statistics_of_state_and_local_governments_Wealth_debt_and_taxation_1932.pdf#page=967</v>
      </c>
    </row>
    <row r="545" spans="1:10" x14ac:dyDescent="0.25">
      <c r="A545" s="27" t="s">
        <v>1088</v>
      </c>
      <c r="B545" s="27" t="str">
        <f t="shared" si="24"/>
        <v>Mississippi</v>
      </c>
      <c r="C545" s="27" t="str">
        <f t="shared" si="25"/>
        <v>Lawrence</v>
      </c>
      <c r="D545">
        <v>1</v>
      </c>
      <c r="G545">
        <v>100</v>
      </c>
      <c r="H545">
        <v>1932</v>
      </c>
      <c r="I545">
        <v>967</v>
      </c>
      <c r="J545" s="27" t="str">
        <f t="shared" si="26"/>
        <v>https://ia601606.us.archive.org/33/items/FinancialStatisticsOfStateAndLocalGovernmentsWealthDebtAndTaxation1932/Financial_statistics_of_state_and_local_governments_Wealth_debt_and_taxation_1932.pdf#page=967</v>
      </c>
    </row>
    <row r="546" spans="1:10" x14ac:dyDescent="0.25">
      <c r="A546" s="27" t="s">
        <v>1089</v>
      </c>
      <c r="B546" s="27" t="str">
        <f t="shared" si="24"/>
        <v>Mississippi</v>
      </c>
      <c r="C546" s="27" t="str">
        <f t="shared" si="25"/>
        <v>Leake</v>
      </c>
      <c r="D546">
        <v>2</v>
      </c>
      <c r="F546">
        <v>16</v>
      </c>
      <c r="G546">
        <v>205</v>
      </c>
      <c r="H546">
        <v>1932</v>
      </c>
      <c r="I546">
        <v>968</v>
      </c>
      <c r="J546" s="27" t="str">
        <f t="shared" si="26"/>
        <v>https://ia601606.us.archive.org/33/items/FinancialStatisticsOfStateAndLocalGovernmentsWealthDebtAndTaxation1932/Financial_statistics_of_state_and_local_governments_Wealth_debt_and_taxation_1932.pdf#page=968</v>
      </c>
    </row>
    <row r="547" spans="1:10" x14ac:dyDescent="0.25">
      <c r="A547" s="27" t="s">
        <v>1090</v>
      </c>
      <c r="B547" s="27" t="str">
        <f t="shared" si="24"/>
        <v>Mississippi</v>
      </c>
      <c r="C547" s="27" t="str">
        <f t="shared" si="25"/>
        <v>Lee</v>
      </c>
      <c r="D547">
        <v>6</v>
      </c>
      <c r="G547">
        <v>125</v>
      </c>
      <c r="H547">
        <v>1932</v>
      </c>
      <c r="I547">
        <v>968</v>
      </c>
      <c r="J547" s="27" t="str">
        <f t="shared" si="26"/>
        <v>https://ia601606.us.archive.org/33/items/FinancialStatisticsOfStateAndLocalGovernmentsWealthDebtAndTaxation1932/Financial_statistics_of_state_and_local_governments_Wealth_debt_and_taxation_1932.pdf#page=968</v>
      </c>
    </row>
    <row r="548" spans="1:10" x14ac:dyDescent="0.25">
      <c r="A548" s="27" t="s">
        <v>1091</v>
      </c>
      <c r="B548" s="27" t="str">
        <f t="shared" si="24"/>
        <v>Mississippi</v>
      </c>
      <c r="C548" s="27" t="str">
        <f t="shared" si="25"/>
        <v>Leflore</v>
      </c>
      <c r="D548">
        <v>13</v>
      </c>
      <c r="F548">
        <v>24</v>
      </c>
      <c r="G548">
        <v>147</v>
      </c>
      <c r="H548">
        <v>1932</v>
      </c>
      <c r="I548">
        <v>968</v>
      </c>
      <c r="J548" s="27" t="str">
        <f t="shared" si="26"/>
        <v>https://ia601606.us.archive.org/33/items/FinancialStatisticsOfStateAndLocalGovernmentsWealthDebtAndTaxation1932/Financial_statistics_of_state_and_local_governments_Wealth_debt_and_taxation_1932.pdf#page=968</v>
      </c>
    </row>
    <row r="549" spans="1:10" x14ac:dyDescent="0.25">
      <c r="A549" s="27" t="s">
        <v>1092</v>
      </c>
      <c r="B549" s="27" t="str">
        <f t="shared" si="24"/>
        <v>Mississippi</v>
      </c>
      <c r="C549" s="27" t="str">
        <f t="shared" si="25"/>
        <v>Lincoln</v>
      </c>
      <c r="D549">
        <v>7</v>
      </c>
      <c r="F549">
        <v>22</v>
      </c>
      <c r="G549">
        <v>164</v>
      </c>
      <c r="H549">
        <v>1932</v>
      </c>
      <c r="I549">
        <v>968</v>
      </c>
      <c r="J549" s="27" t="str">
        <f t="shared" si="26"/>
        <v>https://ia601606.us.archive.org/33/items/FinancialStatisticsOfStateAndLocalGovernmentsWealthDebtAndTaxation1932/Financial_statistics_of_state_and_local_governments_Wealth_debt_and_taxation_1932.pdf#page=968</v>
      </c>
    </row>
    <row r="550" spans="1:10" x14ac:dyDescent="0.25">
      <c r="A550" s="27" t="s">
        <v>1093</v>
      </c>
      <c r="B550" s="27" t="str">
        <f t="shared" si="24"/>
        <v>Mississippi</v>
      </c>
      <c r="C550" s="27" t="str">
        <f t="shared" si="25"/>
        <v>Lowndes</v>
      </c>
      <c r="D550">
        <v>1</v>
      </c>
      <c r="G550">
        <v>143</v>
      </c>
      <c r="H550">
        <v>1932</v>
      </c>
      <c r="I550">
        <v>968</v>
      </c>
      <c r="J550" s="27" t="str">
        <f t="shared" si="26"/>
        <v>https://ia601606.us.archive.org/33/items/FinancialStatisticsOfStateAndLocalGovernmentsWealthDebtAndTaxation1932/Financial_statistics_of_state_and_local_governments_Wealth_debt_and_taxation_1932.pdf#page=968</v>
      </c>
    </row>
    <row r="551" spans="1:10" x14ac:dyDescent="0.25">
      <c r="A551" s="27" t="s">
        <v>1094</v>
      </c>
      <c r="B551" s="27" t="str">
        <f t="shared" si="24"/>
        <v>Mississippi</v>
      </c>
      <c r="C551" s="27" t="str">
        <f t="shared" si="25"/>
        <v>Madison</v>
      </c>
      <c r="D551">
        <v>3</v>
      </c>
      <c r="G551">
        <v>81</v>
      </c>
      <c r="H551">
        <v>1932</v>
      </c>
      <c r="I551">
        <v>968</v>
      </c>
      <c r="J551" s="27" t="str">
        <f t="shared" si="26"/>
        <v>https://ia601606.us.archive.org/33/items/FinancialStatisticsOfStateAndLocalGovernmentsWealthDebtAndTaxation1932/Financial_statistics_of_state_and_local_governments_Wealth_debt_and_taxation_1932.pdf#page=968</v>
      </c>
    </row>
    <row r="552" spans="1:10" x14ac:dyDescent="0.25">
      <c r="A552" s="27" t="s">
        <v>1095</v>
      </c>
      <c r="B552" s="27" t="str">
        <f t="shared" si="24"/>
        <v>Mississippi</v>
      </c>
      <c r="C552" s="27" t="str">
        <f t="shared" si="25"/>
        <v>Marion</v>
      </c>
      <c r="D552">
        <v>2</v>
      </c>
      <c r="F552">
        <v>1</v>
      </c>
      <c r="G552">
        <v>92</v>
      </c>
      <c r="H552">
        <v>1932</v>
      </c>
      <c r="I552">
        <v>968</v>
      </c>
      <c r="J552" s="27" t="str">
        <f t="shared" si="26"/>
        <v>https://ia601606.us.archive.org/33/items/FinancialStatisticsOfStateAndLocalGovernmentsWealthDebtAndTaxation1932/Financial_statistics_of_state_and_local_governments_Wealth_debt_and_taxation_1932.pdf#page=968</v>
      </c>
    </row>
    <row r="553" spans="1:10" x14ac:dyDescent="0.25">
      <c r="A553" s="27" t="s">
        <v>1096</v>
      </c>
      <c r="B553" s="27" t="str">
        <f t="shared" si="24"/>
        <v>Mississippi</v>
      </c>
      <c r="C553" s="27" t="str">
        <f t="shared" si="25"/>
        <v>Marshall</v>
      </c>
      <c r="D553">
        <v>1</v>
      </c>
      <c r="F553">
        <v>15</v>
      </c>
      <c r="G553" s="1">
        <v>102</v>
      </c>
      <c r="H553">
        <v>1932</v>
      </c>
      <c r="I553">
        <v>968</v>
      </c>
      <c r="J553" s="27" t="str">
        <f t="shared" si="26"/>
        <v>https://ia601606.us.archive.org/33/items/FinancialStatisticsOfStateAndLocalGovernmentsWealthDebtAndTaxation1932/Financial_statistics_of_state_and_local_governments_Wealth_debt_and_taxation_1932.pdf#page=968</v>
      </c>
    </row>
    <row r="554" spans="1:10" x14ac:dyDescent="0.25">
      <c r="A554" s="27" t="s">
        <v>1097</v>
      </c>
      <c r="B554" s="27" t="str">
        <f t="shared" si="24"/>
        <v>Mississippi</v>
      </c>
      <c r="C554" s="27" t="str">
        <f t="shared" si="25"/>
        <v>Monroe</v>
      </c>
      <c r="D554">
        <v>10</v>
      </c>
      <c r="G554">
        <v>140</v>
      </c>
      <c r="H554">
        <v>1932</v>
      </c>
      <c r="I554">
        <v>968</v>
      </c>
      <c r="J554" s="27" t="str">
        <f t="shared" si="26"/>
        <v>https://ia601606.us.archive.org/33/items/FinancialStatisticsOfStateAndLocalGovernmentsWealthDebtAndTaxation1932/Financial_statistics_of_state_and_local_governments_Wealth_debt_and_taxation_1932.pdf#page=968</v>
      </c>
    </row>
    <row r="555" spans="1:10" x14ac:dyDescent="0.25">
      <c r="A555" s="27" t="s">
        <v>1098</v>
      </c>
      <c r="B555" s="27" t="str">
        <f t="shared" si="24"/>
        <v>Mississippi</v>
      </c>
      <c r="C555" s="27" t="str">
        <f t="shared" si="25"/>
        <v>Montgomery</v>
      </c>
      <c r="D555">
        <v>1</v>
      </c>
      <c r="F555">
        <v>12</v>
      </c>
      <c r="G555">
        <v>55</v>
      </c>
      <c r="H555">
        <v>1932</v>
      </c>
      <c r="I555">
        <v>969</v>
      </c>
      <c r="J555" s="27" t="str">
        <f t="shared" si="26"/>
        <v>https://ia601606.us.archive.org/33/items/FinancialStatisticsOfStateAndLocalGovernmentsWealthDebtAndTaxation1932/Financial_statistics_of_state_and_local_governments_Wealth_debt_and_taxation_1932.pdf#page=969</v>
      </c>
    </row>
    <row r="556" spans="1:10" x14ac:dyDescent="0.25">
      <c r="A556" s="27" t="s">
        <v>1099</v>
      </c>
      <c r="B556" s="27" t="str">
        <f t="shared" si="24"/>
        <v>Mississippi</v>
      </c>
      <c r="C556" s="27" t="str">
        <f t="shared" si="25"/>
        <v>Neshoba</v>
      </c>
      <c r="D556">
        <v>1</v>
      </c>
      <c r="F556">
        <v>6</v>
      </c>
      <c r="G556">
        <v>174</v>
      </c>
      <c r="H556">
        <v>1932</v>
      </c>
      <c r="I556">
        <v>969</v>
      </c>
      <c r="J556" s="27" t="str">
        <f t="shared" si="26"/>
        <v>https://ia601606.us.archive.org/33/items/FinancialStatisticsOfStateAndLocalGovernmentsWealthDebtAndTaxation1932/Financial_statistics_of_state_and_local_governments_Wealth_debt_and_taxation_1932.pdf#page=969</v>
      </c>
    </row>
    <row r="557" spans="1:10" x14ac:dyDescent="0.25">
      <c r="A557" s="27" t="s">
        <v>1100</v>
      </c>
      <c r="B557" s="27" t="str">
        <f t="shared" si="24"/>
        <v>Mississippi</v>
      </c>
      <c r="C557" s="27" t="str">
        <f t="shared" si="25"/>
        <v>Newton</v>
      </c>
      <c r="D557">
        <v>1</v>
      </c>
      <c r="F557">
        <v>9</v>
      </c>
      <c r="G557">
        <v>139</v>
      </c>
      <c r="H557">
        <v>1932</v>
      </c>
      <c r="I557">
        <v>969</v>
      </c>
      <c r="J557" s="27" t="str">
        <f t="shared" si="26"/>
        <v>https://ia601606.us.archive.org/33/items/FinancialStatisticsOfStateAndLocalGovernmentsWealthDebtAndTaxation1932/Financial_statistics_of_state_and_local_governments_Wealth_debt_and_taxation_1932.pdf#page=969</v>
      </c>
    </row>
    <row r="558" spans="1:10" x14ac:dyDescent="0.25">
      <c r="A558" s="27" t="s">
        <v>1101</v>
      </c>
      <c r="B558" s="27" t="str">
        <f t="shared" si="24"/>
        <v>Mississippi</v>
      </c>
      <c r="C558" s="27" t="str">
        <f t="shared" si="25"/>
        <v>Noxubee</v>
      </c>
      <c r="D558">
        <v>1</v>
      </c>
      <c r="F558">
        <v>14</v>
      </c>
      <c r="G558">
        <v>94</v>
      </c>
      <c r="H558">
        <v>1932</v>
      </c>
      <c r="I558">
        <v>969</v>
      </c>
      <c r="J558" s="27" t="str">
        <f t="shared" si="26"/>
        <v>https://ia601606.us.archive.org/33/items/FinancialStatisticsOfStateAndLocalGovernmentsWealthDebtAndTaxation1932/Financial_statistics_of_state_and_local_governments_Wealth_debt_and_taxation_1932.pdf#page=969</v>
      </c>
    </row>
    <row r="559" spans="1:10" x14ac:dyDescent="0.25">
      <c r="A559" s="27" t="s">
        <v>1102</v>
      </c>
      <c r="B559" s="27" t="str">
        <f t="shared" si="24"/>
        <v>Mississippi</v>
      </c>
      <c r="C559" s="27" t="str">
        <f t="shared" si="25"/>
        <v>Oktibbeha</v>
      </c>
      <c r="D559">
        <v>1</v>
      </c>
      <c r="F559">
        <v>12</v>
      </c>
      <c r="G559">
        <v>61</v>
      </c>
      <c r="H559">
        <v>1932</v>
      </c>
      <c r="I559">
        <v>969</v>
      </c>
      <c r="J559" s="27" t="str">
        <f t="shared" si="26"/>
        <v>https://ia601606.us.archive.org/33/items/FinancialStatisticsOfStateAndLocalGovernmentsWealthDebtAndTaxation1932/Financial_statistics_of_state_and_local_governments_Wealth_debt_and_taxation_1932.pdf#page=969</v>
      </c>
    </row>
    <row r="560" spans="1:10" x14ac:dyDescent="0.25">
      <c r="A560" s="27" t="s">
        <v>1103</v>
      </c>
      <c r="B560" s="27" t="str">
        <f t="shared" si="24"/>
        <v>Mississippi</v>
      </c>
      <c r="C560" s="27" t="str">
        <f t="shared" si="25"/>
        <v>Panola</v>
      </c>
      <c r="D560">
        <v>1</v>
      </c>
      <c r="G560">
        <v>139</v>
      </c>
      <c r="H560">
        <v>1932</v>
      </c>
      <c r="I560">
        <v>970</v>
      </c>
      <c r="J560" s="27" t="str">
        <f t="shared" si="26"/>
        <v>https://ia601606.us.archive.org/33/items/FinancialStatisticsOfStateAndLocalGovernmentsWealthDebtAndTaxation1932/Financial_statistics_of_state_and_local_governments_Wealth_debt_and_taxation_1932.pdf#page=970</v>
      </c>
    </row>
    <row r="561" spans="1:10" x14ac:dyDescent="0.25">
      <c r="A561" s="27" t="s">
        <v>1104</v>
      </c>
      <c r="B561" s="27" t="str">
        <f t="shared" si="24"/>
        <v>Mississippi</v>
      </c>
      <c r="C561" s="27" t="str">
        <f t="shared" si="25"/>
        <v>Pearl River</v>
      </c>
      <c r="D561">
        <v>10</v>
      </c>
      <c r="F561">
        <v>33</v>
      </c>
      <c r="G561">
        <v>216</v>
      </c>
      <c r="H561">
        <v>1932</v>
      </c>
      <c r="I561">
        <v>970</v>
      </c>
      <c r="J561" s="27" t="str">
        <f t="shared" si="26"/>
        <v>https://ia601606.us.archive.org/33/items/FinancialStatisticsOfStateAndLocalGovernmentsWealthDebtAndTaxation1932/Financial_statistics_of_state_and_local_governments_Wealth_debt_and_taxation_1932.pdf#page=970</v>
      </c>
    </row>
    <row r="562" spans="1:10" x14ac:dyDescent="0.25">
      <c r="A562" s="27" t="s">
        <v>1105</v>
      </c>
      <c r="B562" s="27" t="str">
        <f t="shared" si="24"/>
        <v>Mississippi</v>
      </c>
      <c r="C562" s="27" t="str">
        <f t="shared" si="25"/>
        <v>Perry</v>
      </c>
      <c r="D562">
        <v>4</v>
      </c>
      <c r="G562">
        <v>84</v>
      </c>
      <c r="H562">
        <v>1932</v>
      </c>
      <c r="I562">
        <v>970</v>
      </c>
      <c r="J562" s="27" t="str">
        <f t="shared" si="26"/>
        <v>https://ia601606.us.archive.org/33/items/FinancialStatisticsOfStateAndLocalGovernmentsWealthDebtAndTaxation1932/Financial_statistics_of_state_and_local_governments_Wealth_debt_and_taxation_1932.pdf#page=970</v>
      </c>
    </row>
    <row r="563" spans="1:10" x14ac:dyDescent="0.25">
      <c r="A563" s="27" t="s">
        <v>1106</v>
      </c>
      <c r="B563" s="27" t="str">
        <f t="shared" si="24"/>
        <v>Mississippi</v>
      </c>
      <c r="C563" s="27" t="str">
        <f t="shared" si="25"/>
        <v>Pike</v>
      </c>
      <c r="D563">
        <v>10</v>
      </c>
      <c r="F563">
        <v>31</v>
      </c>
      <c r="G563">
        <v>94</v>
      </c>
      <c r="H563">
        <v>1932</v>
      </c>
      <c r="I563">
        <v>970</v>
      </c>
      <c r="J563" s="27" t="str">
        <f t="shared" si="26"/>
        <v>https://ia601606.us.archive.org/33/items/FinancialStatisticsOfStateAndLocalGovernmentsWealthDebtAndTaxation1932/Financial_statistics_of_state_and_local_governments_Wealth_debt_and_taxation_1932.pdf#page=970</v>
      </c>
    </row>
    <row r="564" spans="1:10" x14ac:dyDescent="0.25">
      <c r="A564" s="27" t="s">
        <v>1107</v>
      </c>
      <c r="B564" s="27" t="str">
        <f t="shared" si="24"/>
        <v>Mississippi</v>
      </c>
      <c r="C564" s="27" t="str">
        <f t="shared" si="25"/>
        <v>Pontotoc</v>
      </c>
      <c r="D564">
        <v>1</v>
      </c>
      <c r="G564">
        <v>80</v>
      </c>
      <c r="H564">
        <v>1932</v>
      </c>
      <c r="I564">
        <v>970</v>
      </c>
      <c r="J564" s="27" t="str">
        <f t="shared" si="26"/>
        <v>https://ia601606.us.archive.org/33/items/FinancialStatisticsOfStateAndLocalGovernmentsWealthDebtAndTaxation1932/Financial_statistics_of_state_and_local_governments_Wealth_debt_and_taxation_1932.pdf#page=970</v>
      </c>
    </row>
    <row r="565" spans="1:10" x14ac:dyDescent="0.25">
      <c r="A565" s="27" t="s">
        <v>1108</v>
      </c>
      <c r="B565" s="27" t="str">
        <f t="shared" si="24"/>
        <v>Mississippi</v>
      </c>
      <c r="C565" s="27" t="str">
        <f t="shared" si="25"/>
        <v>Prentiss</v>
      </c>
      <c r="D565">
        <v>1</v>
      </c>
      <c r="G565">
        <v>129</v>
      </c>
      <c r="H565">
        <v>1932</v>
      </c>
      <c r="I565">
        <v>970</v>
      </c>
      <c r="J565" s="27" t="str">
        <f t="shared" si="26"/>
        <v>https://ia601606.us.archive.org/33/items/FinancialStatisticsOfStateAndLocalGovernmentsWealthDebtAndTaxation1932/Financial_statistics_of_state_and_local_governments_Wealth_debt_and_taxation_1932.pdf#page=970</v>
      </c>
    </row>
    <row r="566" spans="1:10" x14ac:dyDescent="0.25">
      <c r="A566" s="27" t="s">
        <v>1109</v>
      </c>
      <c r="B566" s="27" t="str">
        <f t="shared" si="24"/>
        <v>Mississippi</v>
      </c>
      <c r="C566" s="27" t="str">
        <f t="shared" si="25"/>
        <v>Quitman</v>
      </c>
      <c r="D566">
        <v>3</v>
      </c>
      <c r="F566">
        <v>3</v>
      </c>
      <c r="G566">
        <v>123</v>
      </c>
      <c r="H566">
        <v>1932</v>
      </c>
      <c r="I566">
        <v>970</v>
      </c>
      <c r="J566" s="27" t="str">
        <f t="shared" si="26"/>
        <v>https://ia601606.us.archive.org/33/items/FinancialStatisticsOfStateAndLocalGovernmentsWealthDebtAndTaxation1932/Financial_statistics_of_state_and_local_governments_Wealth_debt_and_taxation_1932.pdf#page=970</v>
      </c>
    </row>
    <row r="567" spans="1:10" x14ac:dyDescent="0.25">
      <c r="A567" s="27" t="s">
        <v>1110</v>
      </c>
      <c r="B567" s="27" t="str">
        <f t="shared" si="24"/>
        <v>Mississippi</v>
      </c>
      <c r="C567" s="27" t="str">
        <f t="shared" si="25"/>
        <v>Rankin</v>
      </c>
      <c r="D567">
        <v>1</v>
      </c>
      <c r="F567">
        <v>9</v>
      </c>
      <c r="G567">
        <v>121</v>
      </c>
      <c r="H567">
        <v>1932</v>
      </c>
      <c r="I567">
        <v>970</v>
      </c>
      <c r="J567" s="27" t="str">
        <f t="shared" si="26"/>
        <v>https://ia601606.us.archive.org/33/items/FinancialStatisticsOfStateAndLocalGovernmentsWealthDebtAndTaxation1932/Financial_statistics_of_state_and_local_governments_Wealth_debt_and_taxation_1932.pdf#page=970</v>
      </c>
    </row>
    <row r="568" spans="1:10" x14ac:dyDescent="0.25">
      <c r="A568" s="27" t="s">
        <v>1111</v>
      </c>
      <c r="B568" s="27" t="str">
        <f t="shared" si="24"/>
        <v>Mississippi</v>
      </c>
      <c r="C568" s="27" t="str">
        <f t="shared" si="25"/>
        <v>Scott</v>
      </c>
      <c r="D568">
        <v>3</v>
      </c>
      <c r="F568">
        <v>3</v>
      </c>
      <c r="G568">
        <v>183</v>
      </c>
      <c r="H568">
        <v>1932</v>
      </c>
      <c r="I568">
        <v>970</v>
      </c>
      <c r="J568" s="27" t="str">
        <f t="shared" si="26"/>
        <v>https://ia601606.us.archive.org/33/items/FinancialStatisticsOfStateAndLocalGovernmentsWealthDebtAndTaxation1932/Financial_statistics_of_state_and_local_governments_Wealth_debt_and_taxation_1932.pdf#page=970</v>
      </c>
    </row>
    <row r="569" spans="1:10" x14ac:dyDescent="0.25">
      <c r="A569" s="27" t="s">
        <v>1112</v>
      </c>
      <c r="B569" s="27" t="str">
        <f t="shared" si="24"/>
        <v>Mississippi</v>
      </c>
      <c r="C569" s="27" t="str">
        <f t="shared" si="25"/>
        <v>Sharkey</v>
      </c>
      <c r="D569">
        <v>2</v>
      </c>
      <c r="G569">
        <v>89</v>
      </c>
      <c r="H569">
        <v>1932</v>
      </c>
      <c r="I569">
        <v>971</v>
      </c>
      <c r="J569" s="27" t="str">
        <f t="shared" si="26"/>
        <v>https://ia601606.us.archive.org/33/items/FinancialStatisticsOfStateAndLocalGovernmentsWealthDebtAndTaxation1932/Financial_statistics_of_state_and_local_governments_Wealth_debt_and_taxation_1932.pdf#page=971</v>
      </c>
    </row>
    <row r="570" spans="1:10" x14ac:dyDescent="0.25">
      <c r="A570" s="27" t="s">
        <v>1113</v>
      </c>
      <c r="B570" s="27" t="str">
        <f t="shared" si="24"/>
        <v>Mississippi</v>
      </c>
      <c r="C570" s="27" t="str">
        <f t="shared" si="25"/>
        <v>Simpson</v>
      </c>
      <c r="D570">
        <v>4</v>
      </c>
      <c r="F570">
        <v>9</v>
      </c>
      <c r="G570">
        <v>139</v>
      </c>
      <c r="H570">
        <v>1932</v>
      </c>
      <c r="I570">
        <v>971</v>
      </c>
      <c r="J570" s="27" t="str">
        <f t="shared" si="26"/>
        <v>https://ia601606.us.archive.org/33/items/FinancialStatisticsOfStateAndLocalGovernmentsWealthDebtAndTaxation1932/Financial_statistics_of_state_and_local_governments_Wealth_debt_and_taxation_1932.pdf#page=971</v>
      </c>
    </row>
    <row r="571" spans="1:10" x14ac:dyDescent="0.25">
      <c r="A571" s="27" t="s">
        <v>1114</v>
      </c>
      <c r="B571" s="27" t="str">
        <f t="shared" si="24"/>
        <v>Mississippi</v>
      </c>
      <c r="C571" s="27" t="str">
        <f t="shared" si="25"/>
        <v>Smith</v>
      </c>
      <c r="D571">
        <v>1</v>
      </c>
      <c r="F571">
        <v>11</v>
      </c>
      <c r="G571">
        <v>196</v>
      </c>
      <c r="H571">
        <v>1932</v>
      </c>
      <c r="I571">
        <v>971</v>
      </c>
      <c r="J571" s="27" t="str">
        <f t="shared" si="26"/>
        <v>https://ia601606.us.archive.org/33/items/FinancialStatisticsOfStateAndLocalGovernmentsWealthDebtAndTaxation1932/Financial_statistics_of_state_and_local_governments_Wealth_debt_and_taxation_1932.pdf#page=971</v>
      </c>
    </row>
    <row r="572" spans="1:10" x14ac:dyDescent="0.25">
      <c r="A572" s="27" t="s">
        <v>1115</v>
      </c>
      <c r="B572" s="27" t="str">
        <f t="shared" si="24"/>
        <v>Mississippi</v>
      </c>
      <c r="C572" s="27" t="str">
        <f t="shared" si="25"/>
        <v>Stone</v>
      </c>
      <c r="D572">
        <v>0</v>
      </c>
      <c r="F572">
        <v>12</v>
      </c>
      <c r="G572">
        <v>59</v>
      </c>
      <c r="H572">
        <v>1932</v>
      </c>
      <c r="I572">
        <v>971</v>
      </c>
      <c r="J572" s="27" t="str">
        <f t="shared" si="26"/>
        <v>https://ia601606.us.archive.org/33/items/FinancialStatisticsOfStateAndLocalGovernmentsWealthDebtAndTaxation1932/Financial_statistics_of_state_and_local_governments_Wealth_debt_and_taxation_1932.pdf#page=971</v>
      </c>
    </row>
    <row r="573" spans="1:10" x14ac:dyDescent="0.25">
      <c r="A573" s="27" t="s">
        <v>1116</v>
      </c>
      <c r="B573" s="27" t="str">
        <f t="shared" si="24"/>
        <v>Mississippi</v>
      </c>
      <c r="C573" s="27" t="str">
        <f t="shared" si="25"/>
        <v>Sunflower</v>
      </c>
      <c r="D573">
        <v>13</v>
      </c>
      <c r="F573">
        <v>38</v>
      </c>
      <c r="G573">
        <v>244</v>
      </c>
      <c r="H573">
        <v>1932</v>
      </c>
      <c r="I573">
        <v>971</v>
      </c>
      <c r="J573" s="27" t="str">
        <f t="shared" si="26"/>
        <v>https://ia601606.us.archive.org/33/items/FinancialStatisticsOfStateAndLocalGovernmentsWealthDebtAndTaxation1932/Financial_statistics_of_state_and_local_governments_Wealth_debt_and_taxation_1932.pdf#page=971</v>
      </c>
    </row>
    <row r="574" spans="1:10" x14ac:dyDescent="0.25">
      <c r="A574" s="27" t="s">
        <v>1117</v>
      </c>
      <c r="B574" s="27" t="str">
        <f t="shared" si="24"/>
        <v>Mississippi</v>
      </c>
      <c r="C574" s="27" t="str">
        <f t="shared" si="25"/>
        <v>Tallahatchie</v>
      </c>
      <c r="D574">
        <v>2</v>
      </c>
      <c r="F574">
        <v>20</v>
      </c>
      <c r="G574">
        <v>162</v>
      </c>
      <c r="H574">
        <v>1932</v>
      </c>
      <c r="I574">
        <v>971</v>
      </c>
      <c r="J574" s="27" t="str">
        <f t="shared" si="26"/>
        <v>https://ia601606.us.archive.org/33/items/FinancialStatisticsOfStateAndLocalGovernmentsWealthDebtAndTaxation1932/Financial_statistics_of_state_and_local_governments_Wealth_debt_and_taxation_1932.pdf#page=971</v>
      </c>
    </row>
    <row r="575" spans="1:10" x14ac:dyDescent="0.25">
      <c r="A575" s="27" t="s">
        <v>1118</v>
      </c>
      <c r="B575" s="27" t="str">
        <f t="shared" si="24"/>
        <v>Mississippi</v>
      </c>
      <c r="C575" s="27" t="str">
        <f t="shared" si="25"/>
        <v>Tate</v>
      </c>
      <c r="D575">
        <v>1</v>
      </c>
      <c r="F575">
        <v>29</v>
      </c>
      <c r="G575">
        <v>73</v>
      </c>
      <c r="H575">
        <v>1932</v>
      </c>
      <c r="I575">
        <v>972</v>
      </c>
      <c r="J575" s="27" t="str">
        <f t="shared" si="26"/>
        <v>https://ia601606.us.archive.org/33/items/FinancialStatisticsOfStateAndLocalGovernmentsWealthDebtAndTaxation1932/Financial_statistics_of_state_and_local_governments_Wealth_debt_and_taxation_1932.pdf#page=972</v>
      </c>
    </row>
    <row r="576" spans="1:10" x14ac:dyDescent="0.25">
      <c r="A576" s="27" t="s">
        <v>1119</v>
      </c>
      <c r="B576" s="27" t="str">
        <f t="shared" si="24"/>
        <v>Mississippi</v>
      </c>
      <c r="C576" s="27" t="str">
        <f t="shared" si="25"/>
        <v>Tippah</v>
      </c>
      <c r="D576">
        <v>1</v>
      </c>
      <c r="F576">
        <v>9</v>
      </c>
      <c r="G576">
        <v>115</v>
      </c>
      <c r="H576">
        <v>1932</v>
      </c>
      <c r="I576">
        <v>972</v>
      </c>
      <c r="J576" s="27" t="str">
        <f t="shared" si="26"/>
        <v>https://ia601606.us.archive.org/33/items/FinancialStatisticsOfStateAndLocalGovernmentsWealthDebtAndTaxation1932/Financial_statistics_of_state_and_local_governments_Wealth_debt_and_taxation_1932.pdf#page=972</v>
      </c>
    </row>
    <row r="577" spans="1:10" x14ac:dyDescent="0.25">
      <c r="A577" s="27" t="s">
        <v>1120</v>
      </c>
      <c r="B577" s="27" t="str">
        <f t="shared" si="24"/>
        <v>Mississippi</v>
      </c>
      <c r="C577" s="27" t="str">
        <f t="shared" si="25"/>
        <v>Tishomingo</v>
      </c>
      <c r="D577">
        <v>4</v>
      </c>
      <c r="F577">
        <v>6</v>
      </c>
      <c r="G577">
        <v>79</v>
      </c>
      <c r="H577">
        <v>1932</v>
      </c>
      <c r="I577">
        <v>972</v>
      </c>
      <c r="J577" s="27" t="str">
        <f t="shared" si="26"/>
        <v>https://ia601606.us.archive.org/33/items/FinancialStatisticsOfStateAndLocalGovernmentsWealthDebtAndTaxation1932/Financial_statistics_of_state_and_local_governments_Wealth_debt_and_taxation_1932.pdf#page=972</v>
      </c>
    </row>
    <row r="578" spans="1:10" x14ac:dyDescent="0.25">
      <c r="A578" s="27" t="s">
        <v>1121</v>
      </c>
      <c r="B578" s="27" t="str">
        <f t="shared" si="24"/>
        <v>Mississippi</v>
      </c>
      <c r="C578" s="27" t="str">
        <f t="shared" si="25"/>
        <v>Tunica</v>
      </c>
      <c r="D578">
        <v>3</v>
      </c>
      <c r="G578">
        <v>55</v>
      </c>
      <c r="H578">
        <v>1932</v>
      </c>
      <c r="I578">
        <v>972</v>
      </c>
      <c r="J578" s="27" t="str">
        <f t="shared" si="26"/>
        <v>https://ia601606.us.archive.org/33/items/FinancialStatisticsOfStateAndLocalGovernmentsWealthDebtAndTaxation1932/Financial_statistics_of_state_and_local_governments_Wealth_debt_and_taxation_1932.pdf#page=972</v>
      </c>
    </row>
    <row r="579" spans="1:10" x14ac:dyDescent="0.25">
      <c r="A579" s="27" t="s">
        <v>1122</v>
      </c>
      <c r="B579" s="27" t="str">
        <f t="shared" ref="B579:B642" si="27">LEFT(A579,FIND(";",A579)-1)</f>
        <v>Mississippi</v>
      </c>
      <c r="C579" s="27" t="str">
        <f t="shared" ref="C579:C642" si="28">MID(A579,FIND(";",A579)+1,100)</f>
        <v>Union</v>
      </c>
      <c r="D579">
        <v>4</v>
      </c>
      <c r="G579">
        <v>94</v>
      </c>
      <c r="H579">
        <v>1932</v>
      </c>
      <c r="I579">
        <v>972</v>
      </c>
      <c r="J579" s="27" t="str">
        <f t="shared" ref="J579:J642" si="29">"https://ia601606.us.archive.org/33/items/FinancialStatisticsOfStateAndLocalGovernmentsWealthDebtAndTaxation1932/Financial_statistics_of_state_and_local_governments_Wealth_debt_and_taxation_1932.pdf"&amp;"#page="&amp;I579</f>
        <v>https://ia601606.us.archive.org/33/items/FinancialStatisticsOfStateAndLocalGovernmentsWealthDebtAndTaxation1932/Financial_statistics_of_state_and_local_governments_Wealth_debt_and_taxation_1932.pdf#page=972</v>
      </c>
    </row>
    <row r="580" spans="1:10" x14ac:dyDescent="0.25">
      <c r="A580" s="27" t="s">
        <v>1123</v>
      </c>
      <c r="B580" s="27" t="str">
        <f t="shared" si="27"/>
        <v>Mississippi</v>
      </c>
      <c r="C580" s="27" t="str">
        <f t="shared" si="28"/>
        <v>Walthall</v>
      </c>
      <c r="D580">
        <v>2</v>
      </c>
      <c r="G580">
        <v>65</v>
      </c>
      <c r="H580">
        <v>1932</v>
      </c>
      <c r="I580">
        <v>972</v>
      </c>
      <c r="J580" s="27" t="str">
        <f t="shared" si="29"/>
        <v>https://ia601606.us.archive.org/33/items/FinancialStatisticsOfStateAndLocalGovernmentsWealthDebtAndTaxation1932/Financial_statistics_of_state_and_local_governments_Wealth_debt_and_taxation_1932.pdf#page=972</v>
      </c>
    </row>
    <row r="581" spans="1:10" x14ac:dyDescent="0.25">
      <c r="A581" s="27" t="s">
        <v>1124</v>
      </c>
      <c r="B581" s="27" t="str">
        <f t="shared" si="27"/>
        <v>Mississippi</v>
      </c>
      <c r="C581" s="27" t="str">
        <f t="shared" si="28"/>
        <v>Warren</v>
      </c>
      <c r="D581">
        <v>7</v>
      </c>
      <c r="G581">
        <v>88</v>
      </c>
      <c r="H581">
        <v>1932</v>
      </c>
      <c r="I581">
        <v>972</v>
      </c>
      <c r="J581" s="27" t="str">
        <f t="shared" si="29"/>
        <v>https://ia601606.us.archive.org/33/items/FinancialStatisticsOfStateAndLocalGovernmentsWealthDebtAndTaxation1932/Financial_statistics_of_state_and_local_governments_Wealth_debt_and_taxation_1932.pdf#page=972</v>
      </c>
    </row>
    <row r="582" spans="1:10" x14ac:dyDescent="0.25">
      <c r="A582" s="27" t="s">
        <v>1125</v>
      </c>
      <c r="B582" s="27" t="str">
        <f t="shared" si="27"/>
        <v>Mississippi</v>
      </c>
      <c r="C582" s="27" t="str">
        <f t="shared" si="28"/>
        <v>Washington</v>
      </c>
      <c r="D582">
        <v>7</v>
      </c>
      <c r="G582">
        <v>218</v>
      </c>
      <c r="H582">
        <v>1932</v>
      </c>
      <c r="I582">
        <v>972</v>
      </c>
      <c r="J582" s="27" t="str">
        <f t="shared" si="29"/>
        <v>https://ia601606.us.archive.org/33/items/FinancialStatisticsOfStateAndLocalGovernmentsWealthDebtAndTaxation1932/Financial_statistics_of_state_and_local_governments_Wealth_debt_and_taxation_1932.pdf#page=972</v>
      </c>
    </row>
    <row r="583" spans="1:10" x14ac:dyDescent="0.25">
      <c r="A583" s="27" t="s">
        <v>1126</v>
      </c>
      <c r="B583" s="27" t="str">
        <f t="shared" si="27"/>
        <v>Mississippi</v>
      </c>
      <c r="C583" s="27" t="str">
        <f t="shared" si="28"/>
        <v>Wayne</v>
      </c>
      <c r="D583">
        <v>1</v>
      </c>
      <c r="F583">
        <v>8</v>
      </c>
      <c r="G583">
        <v>54</v>
      </c>
      <c r="H583">
        <v>1932</v>
      </c>
      <c r="I583">
        <v>972</v>
      </c>
      <c r="J583" s="27" t="str">
        <f t="shared" si="29"/>
        <v>https://ia601606.us.archive.org/33/items/FinancialStatisticsOfStateAndLocalGovernmentsWealthDebtAndTaxation1932/Financial_statistics_of_state_and_local_governments_Wealth_debt_and_taxation_1932.pdf#page=972</v>
      </c>
    </row>
    <row r="584" spans="1:10" x14ac:dyDescent="0.25">
      <c r="A584" s="27" t="s">
        <v>1127</v>
      </c>
      <c r="B584" s="27" t="str">
        <f t="shared" si="27"/>
        <v>Mississippi</v>
      </c>
      <c r="C584" s="27" t="str">
        <f t="shared" si="28"/>
        <v>Webster</v>
      </c>
      <c r="D584">
        <v>1</v>
      </c>
      <c r="F584">
        <v>17</v>
      </c>
      <c r="G584">
        <v>92</v>
      </c>
      <c r="H584">
        <v>1932</v>
      </c>
      <c r="I584">
        <v>973</v>
      </c>
      <c r="J584" s="27" t="str">
        <f t="shared" si="29"/>
        <v>https://ia601606.us.archive.org/33/items/FinancialStatisticsOfStateAndLocalGovernmentsWealthDebtAndTaxation1932/Financial_statistics_of_state_and_local_governments_Wealth_debt_and_taxation_1932.pdf#page=973</v>
      </c>
    </row>
    <row r="585" spans="1:10" x14ac:dyDescent="0.25">
      <c r="A585" s="27" t="s">
        <v>1128</v>
      </c>
      <c r="B585" s="27" t="str">
        <f t="shared" si="27"/>
        <v>Mississippi</v>
      </c>
      <c r="C585" s="27" t="str">
        <f t="shared" si="28"/>
        <v>Wilkinson</v>
      </c>
      <c r="D585">
        <v>1</v>
      </c>
      <c r="F585">
        <v>11</v>
      </c>
      <c r="G585">
        <v>47</v>
      </c>
      <c r="H585">
        <v>1932</v>
      </c>
      <c r="I585">
        <v>973</v>
      </c>
      <c r="J585" s="27" t="str">
        <f t="shared" si="29"/>
        <v>https://ia601606.us.archive.org/33/items/FinancialStatisticsOfStateAndLocalGovernmentsWealthDebtAndTaxation1932/Financial_statistics_of_state_and_local_governments_Wealth_debt_and_taxation_1932.pdf#page=973</v>
      </c>
    </row>
    <row r="586" spans="1:10" x14ac:dyDescent="0.25">
      <c r="A586" s="27" t="s">
        <v>1129</v>
      </c>
      <c r="B586" s="27" t="str">
        <f t="shared" si="27"/>
        <v>Mississippi</v>
      </c>
      <c r="C586" s="27" t="str">
        <f t="shared" si="28"/>
        <v>Winston</v>
      </c>
      <c r="D586">
        <v>1</v>
      </c>
      <c r="F586">
        <v>8</v>
      </c>
      <c r="G586">
        <v>128</v>
      </c>
      <c r="H586">
        <v>1932</v>
      </c>
      <c r="I586">
        <v>973</v>
      </c>
      <c r="J586" s="27" t="str">
        <f t="shared" si="29"/>
        <v>https://ia601606.us.archive.org/33/items/FinancialStatisticsOfStateAndLocalGovernmentsWealthDebtAndTaxation1932/Financial_statistics_of_state_and_local_governments_Wealth_debt_and_taxation_1932.pdf#page=973</v>
      </c>
    </row>
    <row r="587" spans="1:10" x14ac:dyDescent="0.25">
      <c r="A587" s="27" t="s">
        <v>1130</v>
      </c>
      <c r="B587" s="27" t="str">
        <f t="shared" si="27"/>
        <v>Mississippi</v>
      </c>
      <c r="C587" s="27" t="str">
        <f t="shared" si="28"/>
        <v>Yalobusha</v>
      </c>
      <c r="D587">
        <v>2</v>
      </c>
      <c r="F587">
        <v>9</v>
      </c>
      <c r="G587">
        <v>148</v>
      </c>
      <c r="H587">
        <v>1932</v>
      </c>
      <c r="I587">
        <v>973</v>
      </c>
      <c r="J587" s="27" t="str">
        <f t="shared" si="29"/>
        <v>https://ia601606.us.archive.org/33/items/FinancialStatisticsOfStateAndLocalGovernmentsWealthDebtAndTaxation1932/Financial_statistics_of_state_and_local_governments_Wealth_debt_and_taxation_1932.pdf#page=973</v>
      </c>
    </row>
    <row r="588" spans="1:10" x14ac:dyDescent="0.25">
      <c r="A588" s="27" t="s">
        <v>1131</v>
      </c>
      <c r="B588" s="27" t="str">
        <f t="shared" si="27"/>
        <v>Mississippi</v>
      </c>
      <c r="C588" s="27" t="str">
        <f t="shared" si="28"/>
        <v>Yazoo</v>
      </c>
      <c r="D588">
        <v>11</v>
      </c>
      <c r="F588">
        <v>24</v>
      </c>
      <c r="G588">
        <v>178</v>
      </c>
      <c r="H588">
        <v>1932</v>
      </c>
      <c r="I588">
        <v>973</v>
      </c>
      <c r="J588" s="27" t="str">
        <f t="shared" si="29"/>
        <v>https://ia601606.us.archive.org/33/items/FinancialStatisticsOfStateAndLocalGovernmentsWealthDebtAndTaxation1932/Financial_statistics_of_state_and_local_governments_Wealth_debt_and_taxation_1932.pdf#page=973</v>
      </c>
    </row>
    <row r="589" spans="1:10" x14ac:dyDescent="0.25">
      <c r="A589" s="27" t="s">
        <v>650</v>
      </c>
      <c r="B589" s="27" t="str">
        <f t="shared" si="27"/>
        <v/>
      </c>
      <c r="C589" s="27" t="str">
        <f t="shared" si="28"/>
        <v>MY TOTAL</v>
      </c>
      <c r="D589">
        <f>SUM(D507:D588)</f>
        <v>365</v>
      </c>
      <c r="E589">
        <f>SUM(E507:E588)</f>
        <v>0</v>
      </c>
      <c r="F589">
        <f>SUM(F507:F588)</f>
        <v>958</v>
      </c>
      <c r="G589">
        <f>SUM(G507:G588)</f>
        <v>10208</v>
      </c>
      <c r="H589">
        <v>1932</v>
      </c>
      <c r="J589" s="27" t="str">
        <f t="shared" si="29"/>
        <v>https://ia601606.us.archive.org/33/items/FinancialStatisticsOfStateAndLocalGovernmentsWealthDebtAndTaxation1932/Financial_statistics_of_state_and_local_governments_Wealth_debt_and_taxation_1932.pdf#page=</v>
      </c>
    </row>
    <row r="590" spans="1:10" x14ac:dyDescent="0.25">
      <c r="A590" s="27" t="s">
        <v>651</v>
      </c>
      <c r="B590" s="27" t="str">
        <f t="shared" si="27"/>
        <v/>
      </c>
      <c r="C590" s="27" t="str">
        <f t="shared" si="28"/>
        <v>REPORTED TOTAL</v>
      </c>
      <c r="D590" t="s">
        <v>332</v>
      </c>
      <c r="F590" t="s">
        <v>333</v>
      </c>
      <c r="H590" t="s">
        <v>60</v>
      </c>
      <c r="I590">
        <v>962</v>
      </c>
      <c r="J590" s="27" t="str">
        <f t="shared" si="29"/>
        <v>https://ia601606.us.archive.org/33/items/FinancialStatisticsOfStateAndLocalGovernmentsWealthDebtAndTaxation1932/Financial_statistics_of_state_and_local_governments_Wealth_debt_and_taxation_1932.pdf#page=962</v>
      </c>
    </row>
    <row r="591" spans="1:10" x14ac:dyDescent="0.25">
      <c r="A591" s="27" t="s">
        <v>1367</v>
      </c>
      <c r="B591" s="27" t="str">
        <f t="shared" si="27"/>
        <v/>
      </c>
      <c r="C591" s="27" t="str">
        <f t="shared" si="28"/>
        <v/>
      </c>
      <c r="J591" s="27" t="str">
        <f t="shared" si="29"/>
        <v>https://ia601606.us.archive.org/33/items/FinancialStatisticsOfStateAndLocalGovernmentsWealthDebtAndTaxation1932/Financial_statistics_of_state_and_local_governments_Wealth_debt_and_taxation_1932.pdf#page=</v>
      </c>
    </row>
    <row r="592" spans="1:10" x14ac:dyDescent="0.25">
      <c r="A592" s="27" t="s">
        <v>1132</v>
      </c>
      <c r="B592" s="27" t="str">
        <f t="shared" si="27"/>
        <v>North Carolina</v>
      </c>
      <c r="C592" s="27" t="str">
        <f t="shared" si="28"/>
        <v>Alamance</v>
      </c>
      <c r="D592">
        <v>5</v>
      </c>
      <c r="F592">
        <v>419</v>
      </c>
      <c r="H592">
        <v>1932</v>
      </c>
      <c r="I592">
        <v>1289</v>
      </c>
      <c r="J592" s="27" t="str">
        <f t="shared" si="29"/>
        <v>https://ia601606.us.archive.org/33/items/FinancialStatisticsOfStateAndLocalGovernmentsWealthDebtAndTaxation1932/Financial_statistics_of_state_and_local_governments_Wealth_debt_and_taxation_1932.pdf#page=1289</v>
      </c>
    </row>
    <row r="593" spans="1:10" x14ac:dyDescent="0.25">
      <c r="A593" s="27" t="s">
        <v>1133</v>
      </c>
      <c r="B593" s="27" t="str">
        <f t="shared" si="27"/>
        <v>North Carolina</v>
      </c>
      <c r="C593" s="27" t="str">
        <f t="shared" si="28"/>
        <v>Alexander</v>
      </c>
      <c r="D593">
        <v>3</v>
      </c>
      <c r="F593">
        <v>115</v>
      </c>
      <c r="H593">
        <v>1932</v>
      </c>
      <c r="I593">
        <v>1289</v>
      </c>
      <c r="J593" s="27" t="str">
        <f t="shared" si="29"/>
        <v>https://ia601606.us.archive.org/33/items/FinancialStatisticsOfStateAndLocalGovernmentsWealthDebtAndTaxation1932/Financial_statistics_of_state_and_local_governments_Wealth_debt_and_taxation_1932.pdf#page=1289</v>
      </c>
    </row>
    <row r="594" spans="1:10" x14ac:dyDescent="0.25">
      <c r="A594" s="27" t="s">
        <v>1134</v>
      </c>
      <c r="B594" s="27" t="str">
        <f t="shared" si="27"/>
        <v>North Carolina</v>
      </c>
      <c r="C594" s="27" t="str">
        <f t="shared" si="28"/>
        <v>Alleghany</v>
      </c>
      <c r="D594">
        <v>1</v>
      </c>
      <c r="F594">
        <v>16</v>
      </c>
      <c r="H594">
        <v>1932</v>
      </c>
      <c r="I594">
        <v>1289</v>
      </c>
      <c r="J594" s="27" t="str">
        <f t="shared" si="29"/>
        <v>https://ia601606.us.archive.org/33/items/FinancialStatisticsOfStateAndLocalGovernmentsWealthDebtAndTaxation1932/Financial_statistics_of_state_and_local_governments_Wealth_debt_and_taxation_1932.pdf#page=1289</v>
      </c>
    </row>
    <row r="595" spans="1:10" x14ac:dyDescent="0.25">
      <c r="A595" s="27" t="s">
        <v>1135</v>
      </c>
      <c r="B595" s="27" t="str">
        <f t="shared" si="27"/>
        <v>North Carolina</v>
      </c>
      <c r="C595" s="27" t="str">
        <f t="shared" si="28"/>
        <v>Anson</v>
      </c>
      <c r="D595">
        <v>2</v>
      </c>
      <c r="F595">
        <v>233</v>
      </c>
      <c r="H595">
        <v>1932</v>
      </c>
      <c r="I595">
        <v>1289</v>
      </c>
      <c r="J595" s="27" t="str">
        <f t="shared" si="29"/>
        <v>https://ia601606.us.archive.org/33/items/FinancialStatisticsOfStateAndLocalGovernmentsWealthDebtAndTaxation1932/Financial_statistics_of_state_and_local_governments_Wealth_debt_and_taxation_1932.pdf#page=1289</v>
      </c>
    </row>
    <row r="596" spans="1:10" x14ac:dyDescent="0.25">
      <c r="A596" s="27" t="s">
        <v>1136</v>
      </c>
      <c r="B596" s="27" t="str">
        <f t="shared" si="27"/>
        <v>North Carolina</v>
      </c>
      <c r="C596" s="27" t="str">
        <f t="shared" si="28"/>
        <v>Ashe</v>
      </c>
      <c r="D596">
        <v>1</v>
      </c>
      <c r="F596">
        <v>39</v>
      </c>
      <c r="H596">
        <v>1932</v>
      </c>
      <c r="I596">
        <v>1289</v>
      </c>
      <c r="J596" s="27" t="str">
        <f t="shared" si="29"/>
        <v>https://ia601606.us.archive.org/33/items/FinancialStatisticsOfStateAndLocalGovernmentsWealthDebtAndTaxation1932/Financial_statistics_of_state_and_local_governments_Wealth_debt_and_taxation_1932.pdf#page=1289</v>
      </c>
    </row>
    <row r="597" spans="1:10" x14ac:dyDescent="0.25">
      <c r="A597" s="27" t="s">
        <v>1137</v>
      </c>
      <c r="B597" s="27" t="str">
        <f t="shared" si="27"/>
        <v>North Carolina</v>
      </c>
      <c r="C597" s="27" t="str">
        <f t="shared" si="28"/>
        <v>Avery</v>
      </c>
      <c r="D597">
        <v>2</v>
      </c>
      <c r="F597">
        <v>100</v>
      </c>
      <c r="H597">
        <v>1932</v>
      </c>
      <c r="I597">
        <v>1290</v>
      </c>
      <c r="J597" s="27" t="str">
        <f t="shared" si="29"/>
        <v>https://ia601606.us.archive.org/33/items/FinancialStatisticsOfStateAndLocalGovernmentsWealthDebtAndTaxation1932/Financial_statistics_of_state_and_local_governments_Wealth_debt_and_taxation_1932.pdf#page=1290</v>
      </c>
    </row>
    <row r="598" spans="1:10" x14ac:dyDescent="0.25">
      <c r="A598" s="27" t="s">
        <v>1138</v>
      </c>
      <c r="B598" s="27" t="str">
        <f t="shared" si="27"/>
        <v>North Carolina</v>
      </c>
      <c r="C598" s="27" t="str">
        <f t="shared" si="28"/>
        <v>Beaufort</v>
      </c>
      <c r="D598">
        <v>7</v>
      </c>
      <c r="F598">
        <v>287</v>
      </c>
      <c r="H598">
        <v>1932</v>
      </c>
      <c r="I598">
        <v>1290</v>
      </c>
      <c r="J598" s="27" t="str">
        <f t="shared" si="29"/>
        <v>https://ia601606.us.archive.org/33/items/FinancialStatisticsOfStateAndLocalGovernmentsWealthDebtAndTaxation1932/Financial_statistics_of_state_and_local_governments_Wealth_debt_and_taxation_1932.pdf#page=1290</v>
      </c>
    </row>
    <row r="599" spans="1:10" x14ac:dyDescent="0.25">
      <c r="A599" s="27" t="s">
        <v>1139</v>
      </c>
      <c r="B599" s="27" t="str">
        <f t="shared" si="27"/>
        <v>North Carolina</v>
      </c>
      <c r="C599" s="27" t="str">
        <f t="shared" si="28"/>
        <v>Bertie</v>
      </c>
      <c r="D599">
        <v>3</v>
      </c>
      <c r="F599">
        <v>191</v>
      </c>
      <c r="H599">
        <v>1932</v>
      </c>
      <c r="I599">
        <v>1290</v>
      </c>
      <c r="J599" s="27" t="str">
        <f t="shared" si="29"/>
        <v>https://ia601606.us.archive.org/33/items/FinancialStatisticsOfStateAndLocalGovernmentsWealthDebtAndTaxation1932/Financial_statistics_of_state_and_local_governments_Wealth_debt_and_taxation_1932.pdf#page=1290</v>
      </c>
    </row>
    <row r="600" spans="1:10" x14ac:dyDescent="0.25">
      <c r="A600" s="27" t="s">
        <v>1140</v>
      </c>
      <c r="B600" s="27" t="str">
        <f t="shared" si="27"/>
        <v>North Carolina</v>
      </c>
      <c r="C600" s="27" t="str">
        <f t="shared" si="28"/>
        <v>Bladen</v>
      </c>
      <c r="D600">
        <v>9</v>
      </c>
      <c r="F600">
        <v>176</v>
      </c>
      <c r="H600">
        <v>1932</v>
      </c>
      <c r="I600">
        <v>1290</v>
      </c>
      <c r="J600" s="27" t="str">
        <f t="shared" si="29"/>
        <v>https://ia601606.us.archive.org/33/items/FinancialStatisticsOfStateAndLocalGovernmentsWealthDebtAndTaxation1932/Financial_statistics_of_state_and_local_governments_Wealth_debt_and_taxation_1932.pdf#page=1290</v>
      </c>
    </row>
    <row r="601" spans="1:10" x14ac:dyDescent="0.25">
      <c r="A601" s="27" t="s">
        <v>1141</v>
      </c>
      <c r="B601" s="27" t="str">
        <f t="shared" si="27"/>
        <v>North Carolina</v>
      </c>
      <c r="C601" s="27" t="str">
        <f t="shared" si="28"/>
        <v>Brunswick</v>
      </c>
      <c r="D601">
        <v>2</v>
      </c>
      <c r="F601">
        <v>128</v>
      </c>
      <c r="H601">
        <v>1932</v>
      </c>
      <c r="I601">
        <v>1290</v>
      </c>
      <c r="J601" s="27" t="str">
        <f t="shared" si="29"/>
        <v>https://ia601606.us.archive.org/33/items/FinancialStatisticsOfStateAndLocalGovernmentsWealthDebtAndTaxation1932/Financial_statistics_of_state_and_local_governments_Wealth_debt_and_taxation_1932.pdf#page=1290</v>
      </c>
    </row>
    <row r="602" spans="1:10" x14ac:dyDescent="0.25">
      <c r="A602" s="27" t="s">
        <v>1142</v>
      </c>
      <c r="B602" s="27" t="str">
        <f t="shared" si="27"/>
        <v>North Carolina</v>
      </c>
      <c r="C602" s="27" t="str">
        <f t="shared" si="28"/>
        <v>Buncombe</v>
      </c>
      <c r="D602">
        <v>113</v>
      </c>
      <c r="F602">
        <v>1208</v>
      </c>
      <c r="H602">
        <v>1932</v>
      </c>
      <c r="I602">
        <v>1290</v>
      </c>
      <c r="J602" s="27" t="str">
        <f t="shared" si="29"/>
        <v>https://ia601606.us.archive.org/33/items/FinancialStatisticsOfStateAndLocalGovernmentsWealthDebtAndTaxation1932/Financial_statistics_of_state_and_local_governments_Wealth_debt_and_taxation_1932.pdf#page=1290</v>
      </c>
    </row>
    <row r="603" spans="1:10" x14ac:dyDescent="0.25">
      <c r="A603" s="27" t="s">
        <v>1143</v>
      </c>
      <c r="B603" s="27" t="str">
        <f t="shared" si="27"/>
        <v>North Carolina</v>
      </c>
      <c r="C603" s="27" t="str">
        <f t="shared" si="28"/>
        <v>Burke</v>
      </c>
      <c r="D603">
        <v>7</v>
      </c>
      <c r="F603">
        <v>225</v>
      </c>
      <c r="H603">
        <v>1932</v>
      </c>
      <c r="I603">
        <v>1290</v>
      </c>
      <c r="J603" s="27" t="str">
        <f t="shared" si="29"/>
        <v>https://ia601606.us.archive.org/33/items/FinancialStatisticsOfStateAndLocalGovernmentsWealthDebtAndTaxation1932/Financial_statistics_of_state_and_local_governments_Wealth_debt_and_taxation_1932.pdf#page=1290</v>
      </c>
    </row>
    <row r="604" spans="1:10" x14ac:dyDescent="0.25">
      <c r="A604" s="27" t="s">
        <v>1144</v>
      </c>
      <c r="B604" s="27" t="str">
        <f t="shared" si="27"/>
        <v>North Carolina</v>
      </c>
      <c r="C604" s="27" t="str">
        <f t="shared" si="28"/>
        <v>Cabarrus</v>
      </c>
      <c r="D604">
        <v>8</v>
      </c>
      <c r="F604">
        <v>324</v>
      </c>
      <c r="H604">
        <v>1932</v>
      </c>
      <c r="I604">
        <v>1290</v>
      </c>
      <c r="J604" s="27" t="str">
        <f t="shared" si="29"/>
        <v>https://ia601606.us.archive.org/33/items/FinancialStatisticsOfStateAndLocalGovernmentsWealthDebtAndTaxation1932/Financial_statistics_of_state_and_local_governments_Wealth_debt_and_taxation_1932.pdf#page=1290</v>
      </c>
    </row>
    <row r="605" spans="1:10" x14ac:dyDescent="0.25">
      <c r="A605" s="27" t="s">
        <v>1145</v>
      </c>
      <c r="B605" s="27" t="str">
        <f t="shared" si="27"/>
        <v>North Carolina</v>
      </c>
      <c r="C605" s="27" t="str">
        <f t="shared" si="28"/>
        <v>Caldwell</v>
      </c>
      <c r="D605">
        <v>6</v>
      </c>
      <c r="F605">
        <v>249</v>
      </c>
      <c r="H605">
        <v>1932</v>
      </c>
      <c r="I605">
        <v>1290</v>
      </c>
      <c r="J605" s="27" t="str">
        <f t="shared" si="29"/>
        <v>https://ia601606.us.archive.org/33/items/FinancialStatisticsOfStateAndLocalGovernmentsWealthDebtAndTaxation1932/Financial_statistics_of_state_and_local_governments_Wealth_debt_and_taxation_1932.pdf#page=1290</v>
      </c>
    </row>
    <row r="606" spans="1:10" x14ac:dyDescent="0.25">
      <c r="A606" s="27" t="s">
        <v>1146</v>
      </c>
      <c r="B606" s="27" t="str">
        <f t="shared" si="27"/>
        <v>North Carolina</v>
      </c>
      <c r="C606" s="27" t="str">
        <f t="shared" si="28"/>
        <v>Camden</v>
      </c>
      <c r="D606">
        <v>1</v>
      </c>
      <c r="F606">
        <v>55</v>
      </c>
      <c r="H606">
        <v>1932</v>
      </c>
      <c r="I606">
        <v>1291</v>
      </c>
      <c r="J606" s="27" t="str">
        <f t="shared" si="29"/>
        <v>https://ia601606.us.archive.org/33/items/FinancialStatisticsOfStateAndLocalGovernmentsWealthDebtAndTaxation1932/Financial_statistics_of_state_and_local_governments_Wealth_debt_and_taxation_1932.pdf#page=1291</v>
      </c>
    </row>
    <row r="607" spans="1:10" x14ac:dyDescent="0.25">
      <c r="A607" s="27" t="s">
        <v>1147</v>
      </c>
      <c r="B607" s="27" t="str">
        <f t="shared" si="27"/>
        <v>North Carolina</v>
      </c>
      <c r="C607" s="27" t="str">
        <f t="shared" si="28"/>
        <v>Carteret</v>
      </c>
      <c r="D607">
        <v>1</v>
      </c>
      <c r="F607">
        <v>182</v>
      </c>
      <c r="H607">
        <v>1932</v>
      </c>
      <c r="I607">
        <v>1291</v>
      </c>
      <c r="J607" s="27" t="str">
        <f t="shared" si="29"/>
        <v>https://ia601606.us.archive.org/33/items/FinancialStatisticsOfStateAndLocalGovernmentsWealthDebtAndTaxation1932/Financial_statistics_of_state_and_local_governments_Wealth_debt_and_taxation_1932.pdf#page=1291</v>
      </c>
    </row>
    <row r="608" spans="1:10" x14ac:dyDescent="0.25">
      <c r="A608" s="27" t="s">
        <v>1148</v>
      </c>
      <c r="B608" s="27" t="str">
        <f t="shared" si="27"/>
        <v>North Carolina</v>
      </c>
      <c r="C608" s="27" t="str">
        <f t="shared" si="28"/>
        <v>Caswell</v>
      </c>
      <c r="D608">
        <v>1</v>
      </c>
      <c r="F608">
        <v>158</v>
      </c>
      <c r="H608">
        <v>1932</v>
      </c>
      <c r="I608">
        <v>1291</v>
      </c>
      <c r="J608" s="27" t="str">
        <f t="shared" si="29"/>
        <v>https://ia601606.us.archive.org/33/items/FinancialStatisticsOfStateAndLocalGovernmentsWealthDebtAndTaxation1932/Financial_statistics_of_state_and_local_governments_Wealth_debt_and_taxation_1932.pdf#page=1291</v>
      </c>
    </row>
    <row r="609" spans="1:10" x14ac:dyDescent="0.25">
      <c r="A609" s="27" t="s">
        <v>1149</v>
      </c>
      <c r="B609" s="27" t="str">
        <f t="shared" si="27"/>
        <v>North Carolina</v>
      </c>
      <c r="C609" s="27" t="str">
        <f t="shared" si="28"/>
        <v>Catawba</v>
      </c>
      <c r="D609">
        <v>13</v>
      </c>
      <c r="F609">
        <v>311</v>
      </c>
      <c r="H609">
        <v>1932</v>
      </c>
      <c r="I609">
        <v>1291</v>
      </c>
      <c r="J609" s="27" t="str">
        <f t="shared" si="29"/>
        <v>https://ia601606.us.archive.org/33/items/FinancialStatisticsOfStateAndLocalGovernmentsWealthDebtAndTaxation1932/Financial_statistics_of_state_and_local_governments_Wealth_debt_and_taxation_1932.pdf#page=1291</v>
      </c>
    </row>
    <row r="610" spans="1:10" x14ac:dyDescent="0.25">
      <c r="A610" s="27" t="s">
        <v>1150</v>
      </c>
      <c r="B610" s="27" t="str">
        <f t="shared" si="27"/>
        <v>North Carolina</v>
      </c>
      <c r="C610" s="27" t="str">
        <f t="shared" si="28"/>
        <v>Chatham</v>
      </c>
      <c r="D610">
        <v>1</v>
      </c>
      <c r="F610">
        <v>180</v>
      </c>
      <c r="H610">
        <v>1932</v>
      </c>
      <c r="I610">
        <v>1291</v>
      </c>
      <c r="J610" s="27" t="str">
        <f t="shared" si="29"/>
        <v>https://ia601606.us.archive.org/33/items/FinancialStatisticsOfStateAndLocalGovernmentsWealthDebtAndTaxation1932/Financial_statistics_of_state_and_local_governments_Wealth_debt_and_taxation_1932.pdf#page=1291</v>
      </c>
    </row>
    <row r="611" spans="1:10" x14ac:dyDescent="0.25">
      <c r="A611" s="27" t="s">
        <v>1151</v>
      </c>
      <c r="B611" s="27" t="str">
        <f t="shared" si="27"/>
        <v>North Carolina</v>
      </c>
      <c r="C611" s="27" t="str">
        <f t="shared" si="28"/>
        <v>Cherokee</v>
      </c>
      <c r="D611">
        <v>4</v>
      </c>
      <c r="F611">
        <v>124</v>
      </c>
      <c r="H611">
        <v>1932</v>
      </c>
      <c r="I611">
        <v>1291</v>
      </c>
      <c r="J611" s="27" t="str">
        <f t="shared" si="29"/>
        <v>https://ia601606.us.archive.org/33/items/FinancialStatisticsOfStateAndLocalGovernmentsWealthDebtAndTaxation1932/Financial_statistics_of_state_and_local_governments_Wealth_debt_and_taxation_1932.pdf#page=1291</v>
      </c>
    </row>
    <row r="612" spans="1:10" x14ac:dyDescent="0.25">
      <c r="A612" s="27" t="s">
        <v>1152</v>
      </c>
      <c r="B612" s="27" t="str">
        <f t="shared" si="27"/>
        <v>North Carolina</v>
      </c>
      <c r="C612" s="27" t="str">
        <f t="shared" si="28"/>
        <v>Chowan</v>
      </c>
      <c r="D612">
        <v>2</v>
      </c>
      <c r="F612">
        <v>81</v>
      </c>
      <c r="H612">
        <v>1932</v>
      </c>
      <c r="I612">
        <v>1292</v>
      </c>
      <c r="J612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13" spans="1:10" x14ac:dyDescent="0.25">
      <c r="A613" s="27" t="s">
        <v>1153</v>
      </c>
      <c r="B613" s="27" t="str">
        <f t="shared" si="27"/>
        <v>North Carolina</v>
      </c>
      <c r="C613" s="27" t="str">
        <f t="shared" si="28"/>
        <v>Clay</v>
      </c>
      <c r="D613">
        <v>1</v>
      </c>
      <c r="F613">
        <v>15</v>
      </c>
      <c r="H613">
        <v>1932</v>
      </c>
      <c r="I613">
        <v>1292</v>
      </c>
      <c r="J613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14" spans="1:10" x14ac:dyDescent="0.25">
      <c r="A614" s="27" t="s">
        <v>1154</v>
      </c>
      <c r="B614" s="27" t="str">
        <f t="shared" si="27"/>
        <v>North Carolina</v>
      </c>
      <c r="C614" s="27" t="str">
        <f t="shared" si="28"/>
        <v>Cleveland</v>
      </c>
      <c r="D614">
        <v>4</v>
      </c>
      <c r="F614">
        <v>406</v>
      </c>
      <c r="H614">
        <v>1932</v>
      </c>
      <c r="I614">
        <v>1292</v>
      </c>
      <c r="J614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15" spans="1:10" x14ac:dyDescent="0.25">
      <c r="A615" s="27" t="s">
        <v>1155</v>
      </c>
      <c r="B615" s="27" t="str">
        <f t="shared" si="27"/>
        <v>North Carolina</v>
      </c>
      <c r="C615" s="27" t="str">
        <f t="shared" si="28"/>
        <v>Columbus</v>
      </c>
      <c r="D615">
        <v>6</v>
      </c>
      <c r="F615">
        <v>343</v>
      </c>
      <c r="H615">
        <v>1932</v>
      </c>
      <c r="I615">
        <v>1292</v>
      </c>
      <c r="J615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16" spans="1:10" x14ac:dyDescent="0.25">
      <c r="A616" s="27" t="s">
        <v>1156</v>
      </c>
      <c r="B616" s="27" t="str">
        <f t="shared" si="27"/>
        <v>North Carolina</v>
      </c>
      <c r="C616" s="27" t="str">
        <f t="shared" si="28"/>
        <v>Craven</v>
      </c>
      <c r="D616">
        <v>6</v>
      </c>
      <c r="F616">
        <v>294</v>
      </c>
      <c r="H616">
        <v>1932</v>
      </c>
      <c r="I616">
        <v>1292</v>
      </c>
      <c r="J616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17" spans="1:10" x14ac:dyDescent="0.25">
      <c r="A617" s="27" t="s">
        <v>1157</v>
      </c>
      <c r="B617" s="27" t="str">
        <f t="shared" si="27"/>
        <v>North Carolina</v>
      </c>
      <c r="C617" s="27" t="str">
        <f t="shared" si="28"/>
        <v>Cumberland</v>
      </c>
      <c r="D617">
        <v>18</v>
      </c>
      <c r="F617">
        <v>321</v>
      </c>
      <c r="H617">
        <v>1932</v>
      </c>
      <c r="I617">
        <v>1292</v>
      </c>
      <c r="J617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18" spans="1:10" x14ac:dyDescent="0.25">
      <c r="A618" s="27" t="s">
        <v>1158</v>
      </c>
      <c r="B618" s="27" t="str">
        <f t="shared" si="27"/>
        <v>North Carolina</v>
      </c>
      <c r="C618" s="27" t="str">
        <f t="shared" si="28"/>
        <v>Currituck</v>
      </c>
      <c r="D618">
        <v>1</v>
      </c>
      <c r="F618">
        <v>81</v>
      </c>
      <c r="H618">
        <v>1932</v>
      </c>
      <c r="I618">
        <v>1292</v>
      </c>
      <c r="J618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19" spans="1:10" x14ac:dyDescent="0.25">
      <c r="A619" s="27" t="s">
        <v>1159</v>
      </c>
      <c r="B619" s="27" t="str">
        <f t="shared" si="27"/>
        <v>North Carolina</v>
      </c>
      <c r="C619" s="27" t="str">
        <f t="shared" si="28"/>
        <v>Dare</v>
      </c>
      <c r="D619">
        <v>2</v>
      </c>
      <c r="F619">
        <v>64</v>
      </c>
      <c r="H619">
        <v>1932</v>
      </c>
      <c r="I619">
        <v>1292</v>
      </c>
      <c r="J619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20" spans="1:10" x14ac:dyDescent="0.25">
      <c r="A620" s="27" t="s">
        <v>1160</v>
      </c>
      <c r="B620" s="27" t="str">
        <f t="shared" si="27"/>
        <v>North Carolina</v>
      </c>
      <c r="C620" s="27" t="str">
        <f t="shared" si="28"/>
        <v>Davidson</v>
      </c>
      <c r="D620">
        <v>8</v>
      </c>
      <c r="F620">
        <v>491</v>
      </c>
      <c r="H620">
        <v>1932</v>
      </c>
      <c r="I620">
        <v>1292</v>
      </c>
      <c r="J620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21" spans="1:10" x14ac:dyDescent="0.25">
      <c r="A621" s="27" t="s">
        <v>1161</v>
      </c>
      <c r="B621" s="27" t="str">
        <f t="shared" si="27"/>
        <v>North Carolina</v>
      </c>
      <c r="C621" s="27" t="str">
        <f t="shared" si="28"/>
        <v>Davie</v>
      </c>
      <c r="D621">
        <v>2</v>
      </c>
      <c r="F621">
        <v>130</v>
      </c>
      <c r="H621">
        <v>1932</v>
      </c>
      <c r="I621">
        <v>1292</v>
      </c>
      <c r="J621" s="27" t="str">
        <f t="shared" si="29"/>
        <v>https://ia601606.us.archive.org/33/items/FinancialStatisticsOfStateAndLocalGovernmentsWealthDebtAndTaxation1932/Financial_statistics_of_state_and_local_governments_Wealth_debt_and_taxation_1932.pdf#page=1292</v>
      </c>
    </row>
    <row r="622" spans="1:10" x14ac:dyDescent="0.25">
      <c r="A622" s="27" t="s">
        <v>1162</v>
      </c>
      <c r="B622" s="27" t="str">
        <f t="shared" si="27"/>
        <v>North Carolina</v>
      </c>
      <c r="C622" s="27" t="str">
        <f t="shared" si="28"/>
        <v>Duplin</v>
      </c>
      <c r="D622">
        <v>2</v>
      </c>
      <c r="F622">
        <v>271</v>
      </c>
      <c r="H622">
        <v>1932</v>
      </c>
      <c r="I622">
        <v>1293</v>
      </c>
      <c r="J622" s="27" t="str">
        <f t="shared" si="29"/>
        <v>https://ia601606.us.archive.org/33/items/FinancialStatisticsOfStateAndLocalGovernmentsWealthDebtAndTaxation1932/Financial_statistics_of_state_and_local_governments_Wealth_debt_and_taxation_1932.pdf#page=1293</v>
      </c>
    </row>
    <row r="623" spans="1:10" x14ac:dyDescent="0.25">
      <c r="A623" s="27" t="s">
        <v>1163</v>
      </c>
      <c r="B623" s="27" t="str">
        <f t="shared" si="27"/>
        <v>North Carolina</v>
      </c>
      <c r="C623" s="27" t="str">
        <f t="shared" si="28"/>
        <v>Durham</v>
      </c>
      <c r="D623">
        <v>116</v>
      </c>
      <c r="F623">
        <v>851</v>
      </c>
      <c r="H623">
        <v>1932</v>
      </c>
      <c r="I623">
        <v>1293</v>
      </c>
      <c r="J623" s="27" t="str">
        <f t="shared" si="29"/>
        <v>https://ia601606.us.archive.org/33/items/FinancialStatisticsOfStateAndLocalGovernmentsWealthDebtAndTaxation1932/Financial_statistics_of_state_and_local_governments_Wealth_debt_and_taxation_1932.pdf#page=1293</v>
      </c>
    </row>
    <row r="624" spans="1:10" x14ac:dyDescent="0.25">
      <c r="A624" s="27" t="s">
        <v>1164</v>
      </c>
      <c r="B624" s="27" t="str">
        <f t="shared" si="27"/>
        <v>North Carolina</v>
      </c>
      <c r="C624" s="27" t="str">
        <f t="shared" si="28"/>
        <v>Edgecombe</v>
      </c>
      <c r="D624">
        <v>6</v>
      </c>
      <c r="F624">
        <v>263</v>
      </c>
      <c r="H624">
        <v>1932</v>
      </c>
      <c r="I624">
        <v>1293</v>
      </c>
      <c r="J624" s="27" t="str">
        <f t="shared" si="29"/>
        <v>https://ia601606.us.archive.org/33/items/FinancialStatisticsOfStateAndLocalGovernmentsWealthDebtAndTaxation1932/Financial_statistics_of_state_and_local_governments_Wealth_debt_and_taxation_1932.pdf#page=1293</v>
      </c>
    </row>
    <row r="625" spans="1:10" x14ac:dyDescent="0.25">
      <c r="A625" s="27" t="s">
        <v>1165</v>
      </c>
      <c r="B625" s="27" t="str">
        <f t="shared" si="27"/>
        <v>North Carolina</v>
      </c>
      <c r="C625" s="27" t="str">
        <f t="shared" si="28"/>
        <v>Forsyth</v>
      </c>
      <c r="D625">
        <v>295</v>
      </c>
      <c r="F625">
        <v>1160</v>
      </c>
      <c r="H625">
        <v>1932</v>
      </c>
      <c r="I625">
        <v>1293</v>
      </c>
      <c r="J625" s="27" t="str">
        <f t="shared" si="29"/>
        <v>https://ia601606.us.archive.org/33/items/FinancialStatisticsOfStateAndLocalGovernmentsWealthDebtAndTaxation1932/Financial_statistics_of_state_and_local_governments_Wealth_debt_and_taxation_1932.pdf#page=1293</v>
      </c>
    </row>
    <row r="626" spans="1:10" x14ac:dyDescent="0.25">
      <c r="A626" s="27" t="s">
        <v>1166</v>
      </c>
      <c r="B626" s="27" t="str">
        <f t="shared" si="27"/>
        <v>North Carolina</v>
      </c>
      <c r="C626" s="27" t="str">
        <f t="shared" si="28"/>
        <v>Franklin</v>
      </c>
      <c r="D626">
        <v>9</v>
      </c>
      <c r="F626">
        <v>214</v>
      </c>
      <c r="H626">
        <v>1932</v>
      </c>
      <c r="I626">
        <v>1293</v>
      </c>
      <c r="J626" s="27" t="str">
        <f t="shared" si="29"/>
        <v>https://ia601606.us.archive.org/33/items/FinancialStatisticsOfStateAndLocalGovernmentsWealthDebtAndTaxation1932/Financial_statistics_of_state_and_local_governments_Wealth_debt_and_taxation_1932.pdf#page=1293</v>
      </c>
    </row>
    <row r="627" spans="1:10" x14ac:dyDescent="0.25">
      <c r="A627" s="27" t="s">
        <v>1167</v>
      </c>
      <c r="B627" s="27" t="str">
        <f t="shared" si="27"/>
        <v>North Carolina</v>
      </c>
      <c r="C627" s="27" t="str">
        <f t="shared" si="28"/>
        <v>Gaston</v>
      </c>
      <c r="D627">
        <v>42</v>
      </c>
      <c r="F627">
        <v>749</v>
      </c>
      <c r="H627">
        <v>1932</v>
      </c>
      <c r="I627">
        <v>1294</v>
      </c>
      <c r="J627" s="27" t="str">
        <f t="shared" si="29"/>
        <v>https://ia601606.us.archive.org/33/items/FinancialStatisticsOfStateAndLocalGovernmentsWealthDebtAndTaxation1932/Financial_statistics_of_state_and_local_governments_Wealth_debt_and_taxation_1932.pdf#page=1294</v>
      </c>
    </row>
    <row r="628" spans="1:10" x14ac:dyDescent="0.25">
      <c r="A628" s="27" t="s">
        <v>1168</v>
      </c>
      <c r="B628" s="27" t="str">
        <f t="shared" si="27"/>
        <v>North Carolina</v>
      </c>
      <c r="C628" s="27" t="str">
        <f t="shared" si="28"/>
        <v>Gates</v>
      </c>
      <c r="D628">
        <v>2</v>
      </c>
      <c r="F628">
        <v>98</v>
      </c>
      <c r="H628">
        <v>1932</v>
      </c>
      <c r="I628">
        <v>1294</v>
      </c>
      <c r="J628" s="27" t="str">
        <f t="shared" si="29"/>
        <v>https://ia601606.us.archive.org/33/items/FinancialStatisticsOfStateAndLocalGovernmentsWealthDebtAndTaxation1932/Financial_statistics_of_state_and_local_governments_Wealth_debt_and_taxation_1932.pdf#page=1294</v>
      </c>
    </row>
    <row r="629" spans="1:10" x14ac:dyDescent="0.25">
      <c r="A629" s="27" t="s">
        <v>1169</v>
      </c>
      <c r="B629" s="27" t="str">
        <f t="shared" si="27"/>
        <v>North Carolina</v>
      </c>
      <c r="C629" s="27" t="str">
        <f t="shared" si="28"/>
        <v>Graham</v>
      </c>
      <c r="F629">
        <v>59</v>
      </c>
      <c r="H629">
        <v>1932</v>
      </c>
      <c r="I629">
        <v>1294</v>
      </c>
      <c r="J629" s="27" t="str">
        <f t="shared" si="29"/>
        <v>https://ia601606.us.archive.org/33/items/FinancialStatisticsOfStateAndLocalGovernmentsWealthDebtAndTaxation1932/Financial_statistics_of_state_and_local_governments_Wealth_debt_and_taxation_1932.pdf#page=1294</v>
      </c>
    </row>
    <row r="630" spans="1:10" x14ac:dyDescent="0.25">
      <c r="A630" s="27" t="s">
        <v>1170</v>
      </c>
      <c r="B630" s="27" t="str">
        <f t="shared" si="27"/>
        <v>North Carolina</v>
      </c>
      <c r="C630" s="27" t="str">
        <f t="shared" si="28"/>
        <v>Granville</v>
      </c>
      <c r="D630">
        <v>5</v>
      </c>
      <c r="F630">
        <v>214</v>
      </c>
      <c r="H630">
        <v>1932</v>
      </c>
      <c r="I630">
        <v>1294</v>
      </c>
      <c r="J630" s="27" t="str">
        <f t="shared" si="29"/>
        <v>https://ia601606.us.archive.org/33/items/FinancialStatisticsOfStateAndLocalGovernmentsWealthDebtAndTaxation1932/Financial_statistics_of_state_and_local_governments_Wealth_debt_and_taxation_1932.pdf#page=1294</v>
      </c>
    </row>
    <row r="631" spans="1:10" x14ac:dyDescent="0.25">
      <c r="A631" s="27" t="s">
        <v>1171</v>
      </c>
      <c r="B631" s="27" t="str">
        <f t="shared" si="27"/>
        <v>North Carolina</v>
      </c>
      <c r="C631" s="27" t="str">
        <f t="shared" si="28"/>
        <v>Greene</v>
      </c>
      <c r="D631">
        <v>5</v>
      </c>
      <c r="F631">
        <v>147</v>
      </c>
      <c r="H631">
        <v>1932</v>
      </c>
      <c r="I631">
        <v>1294</v>
      </c>
      <c r="J631" s="27" t="str">
        <f t="shared" si="29"/>
        <v>https://ia601606.us.archive.org/33/items/FinancialStatisticsOfStateAndLocalGovernmentsWealthDebtAndTaxation1932/Financial_statistics_of_state_and_local_governments_Wealth_debt_and_taxation_1932.pdf#page=1294</v>
      </c>
    </row>
    <row r="632" spans="1:10" x14ac:dyDescent="0.25">
      <c r="A632" s="27" t="s">
        <v>1172</v>
      </c>
      <c r="B632" s="27" t="str">
        <f t="shared" si="27"/>
        <v>North Carolina</v>
      </c>
      <c r="C632" s="27" t="str">
        <f t="shared" si="28"/>
        <v>Guilford</v>
      </c>
      <c r="D632">
        <v>190</v>
      </c>
      <c r="F632">
        <v>1553</v>
      </c>
      <c r="H632">
        <v>1932</v>
      </c>
      <c r="I632">
        <v>1294</v>
      </c>
      <c r="J632" s="27" t="str">
        <f t="shared" si="29"/>
        <v>https://ia601606.us.archive.org/33/items/FinancialStatisticsOfStateAndLocalGovernmentsWealthDebtAndTaxation1932/Financial_statistics_of_state_and_local_governments_Wealth_debt_and_taxation_1932.pdf#page=1294</v>
      </c>
    </row>
    <row r="633" spans="1:10" x14ac:dyDescent="0.25">
      <c r="A633" s="27" t="s">
        <v>1173</v>
      </c>
      <c r="B633" s="27" t="str">
        <f t="shared" si="27"/>
        <v>North Carolina</v>
      </c>
      <c r="C633" s="27" t="str">
        <f t="shared" si="28"/>
        <v>Halifax</v>
      </c>
      <c r="D633">
        <v>9</v>
      </c>
      <c r="F633">
        <v>381</v>
      </c>
      <c r="H633">
        <v>1932</v>
      </c>
      <c r="I633">
        <v>1294</v>
      </c>
      <c r="J633" s="27" t="str">
        <f t="shared" si="29"/>
        <v>https://ia601606.us.archive.org/33/items/FinancialStatisticsOfStateAndLocalGovernmentsWealthDebtAndTaxation1932/Financial_statistics_of_state_and_local_governments_Wealth_debt_and_taxation_1932.pdf#page=1294</v>
      </c>
    </row>
    <row r="634" spans="1:10" x14ac:dyDescent="0.25">
      <c r="A634" s="27" t="s">
        <v>1174</v>
      </c>
      <c r="B634" s="27" t="str">
        <f t="shared" si="27"/>
        <v>North Carolina</v>
      </c>
      <c r="C634" s="27" t="str">
        <f t="shared" si="28"/>
        <v>Harnett</v>
      </c>
      <c r="D634">
        <v>7</v>
      </c>
      <c r="F634">
        <v>311</v>
      </c>
      <c r="H634">
        <v>1932</v>
      </c>
      <c r="I634">
        <v>1294</v>
      </c>
      <c r="J634" s="27" t="str">
        <f t="shared" si="29"/>
        <v>https://ia601606.us.archive.org/33/items/FinancialStatisticsOfStateAndLocalGovernmentsWealthDebtAndTaxation1932/Financial_statistics_of_state_and_local_governments_Wealth_debt_and_taxation_1932.pdf#page=1294</v>
      </c>
    </row>
    <row r="635" spans="1:10" x14ac:dyDescent="0.25">
      <c r="A635" s="27" t="s">
        <v>1175</v>
      </c>
      <c r="B635" s="27" t="str">
        <f t="shared" si="27"/>
        <v>North Carolina</v>
      </c>
      <c r="C635" s="27" t="str">
        <f t="shared" si="28"/>
        <v>Haywood</v>
      </c>
      <c r="D635">
        <v>3</v>
      </c>
      <c r="F635">
        <v>259</v>
      </c>
      <c r="H635">
        <v>1932</v>
      </c>
      <c r="I635">
        <v>1294</v>
      </c>
      <c r="J635" s="27" t="str">
        <f t="shared" si="29"/>
        <v>https://ia601606.us.archive.org/33/items/FinancialStatisticsOfStateAndLocalGovernmentsWealthDebtAndTaxation1932/Financial_statistics_of_state_and_local_governments_Wealth_debt_and_taxation_1932.pdf#page=1294</v>
      </c>
    </row>
    <row r="636" spans="1:10" x14ac:dyDescent="0.25">
      <c r="A636" s="27" t="s">
        <v>1176</v>
      </c>
      <c r="B636" s="27" t="str">
        <f t="shared" si="27"/>
        <v>North Carolina</v>
      </c>
      <c r="C636" s="27" t="str">
        <f t="shared" si="28"/>
        <v>Henderson</v>
      </c>
      <c r="D636">
        <v>18</v>
      </c>
      <c r="F636">
        <v>259</v>
      </c>
      <c r="H636">
        <v>1932</v>
      </c>
      <c r="I636">
        <v>1295</v>
      </c>
      <c r="J636" s="27" t="str">
        <f t="shared" si="29"/>
        <v>https://ia601606.us.archive.org/33/items/FinancialStatisticsOfStateAndLocalGovernmentsWealthDebtAndTaxation1932/Financial_statistics_of_state_and_local_governments_Wealth_debt_and_taxation_1932.pdf#page=1295</v>
      </c>
    </row>
    <row r="637" spans="1:10" x14ac:dyDescent="0.25">
      <c r="A637" s="27" t="s">
        <v>1177</v>
      </c>
      <c r="B637" s="27" t="str">
        <f t="shared" si="27"/>
        <v>North Carolina</v>
      </c>
      <c r="C637" s="27" t="str">
        <f t="shared" si="28"/>
        <v>Hertford</v>
      </c>
      <c r="D637">
        <v>1</v>
      </c>
      <c r="F637">
        <v>146</v>
      </c>
      <c r="H637">
        <v>1932</v>
      </c>
      <c r="I637">
        <v>1295</v>
      </c>
      <c r="J637" s="27" t="str">
        <f t="shared" si="29"/>
        <v>https://ia601606.us.archive.org/33/items/FinancialStatisticsOfStateAndLocalGovernmentsWealthDebtAndTaxation1932/Financial_statistics_of_state_and_local_governments_Wealth_debt_and_taxation_1932.pdf#page=1295</v>
      </c>
    </row>
    <row r="638" spans="1:10" x14ac:dyDescent="0.25">
      <c r="A638" s="27" t="s">
        <v>1178</v>
      </c>
      <c r="B638" s="27" t="str">
        <f t="shared" si="27"/>
        <v>North Carolina</v>
      </c>
      <c r="C638" s="27" t="str">
        <f t="shared" si="28"/>
        <v>Hoke</v>
      </c>
      <c r="D638">
        <v>3</v>
      </c>
      <c r="F638">
        <v>81</v>
      </c>
      <c r="H638">
        <v>1932</v>
      </c>
      <c r="I638">
        <v>1295</v>
      </c>
      <c r="J638" s="27" t="str">
        <f t="shared" si="29"/>
        <v>https://ia601606.us.archive.org/33/items/FinancialStatisticsOfStateAndLocalGovernmentsWealthDebtAndTaxation1932/Financial_statistics_of_state_and_local_governments_Wealth_debt_and_taxation_1932.pdf#page=1295</v>
      </c>
    </row>
    <row r="639" spans="1:10" x14ac:dyDescent="0.25">
      <c r="A639" s="27" t="s">
        <v>1179</v>
      </c>
      <c r="B639" s="27" t="str">
        <f t="shared" si="27"/>
        <v>North Carolina</v>
      </c>
      <c r="C639" s="27" t="str">
        <f t="shared" si="28"/>
        <v>Hyde</v>
      </c>
      <c r="D639">
        <v>1</v>
      </c>
      <c r="F639">
        <v>91</v>
      </c>
      <c r="H639">
        <v>1932</v>
      </c>
      <c r="I639">
        <v>1295</v>
      </c>
      <c r="J639" s="27" t="str">
        <f t="shared" si="29"/>
        <v>https://ia601606.us.archive.org/33/items/FinancialStatisticsOfStateAndLocalGovernmentsWealthDebtAndTaxation1932/Financial_statistics_of_state_and_local_governments_Wealth_debt_and_taxation_1932.pdf#page=1295</v>
      </c>
    </row>
    <row r="640" spans="1:10" x14ac:dyDescent="0.25">
      <c r="A640" s="27" t="s">
        <v>1180</v>
      </c>
      <c r="B640" s="27" t="str">
        <f t="shared" si="27"/>
        <v>North Carolina</v>
      </c>
      <c r="C640" s="27" t="str">
        <f t="shared" si="28"/>
        <v>Iredell</v>
      </c>
      <c r="D640">
        <v>7</v>
      </c>
      <c r="F640">
        <v>393</v>
      </c>
      <c r="H640">
        <v>1932</v>
      </c>
      <c r="I640">
        <v>1295</v>
      </c>
      <c r="J640" s="27" t="str">
        <f t="shared" si="29"/>
        <v>https://ia601606.us.archive.org/33/items/FinancialStatisticsOfStateAndLocalGovernmentsWealthDebtAndTaxation1932/Financial_statistics_of_state_and_local_governments_Wealth_debt_and_taxation_1932.pdf#page=1295</v>
      </c>
    </row>
    <row r="641" spans="1:10" x14ac:dyDescent="0.25">
      <c r="A641" s="27" t="s">
        <v>1181</v>
      </c>
      <c r="B641" s="27" t="str">
        <f t="shared" si="27"/>
        <v>North Carolina</v>
      </c>
      <c r="C641" s="27" t="str">
        <f t="shared" si="28"/>
        <v>Jackson</v>
      </c>
      <c r="D641">
        <v>2</v>
      </c>
      <c r="F641">
        <v>126</v>
      </c>
      <c r="H641">
        <v>1932</v>
      </c>
      <c r="I641">
        <v>1296</v>
      </c>
      <c r="J641" s="27" t="str">
        <f t="shared" si="29"/>
        <v>https://ia601606.us.archive.org/33/items/FinancialStatisticsOfStateAndLocalGovernmentsWealthDebtAndTaxation1932/Financial_statistics_of_state_and_local_governments_Wealth_debt_and_taxation_1932.pdf#page=1296</v>
      </c>
    </row>
    <row r="642" spans="1:10" x14ac:dyDescent="0.25">
      <c r="A642" s="27" t="s">
        <v>1182</v>
      </c>
      <c r="B642" s="27" t="str">
        <f t="shared" si="27"/>
        <v>North Carolina</v>
      </c>
      <c r="C642" s="27" t="str">
        <f t="shared" si="28"/>
        <v>Johnston</v>
      </c>
      <c r="D642">
        <v>4</v>
      </c>
      <c r="F642">
        <v>476</v>
      </c>
      <c r="H642">
        <v>1932</v>
      </c>
      <c r="I642">
        <v>1296</v>
      </c>
      <c r="J642" s="27" t="str">
        <f t="shared" si="29"/>
        <v>https://ia601606.us.archive.org/33/items/FinancialStatisticsOfStateAndLocalGovernmentsWealthDebtAndTaxation1932/Financial_statistics_of_state_and_local_governments_Wealth_debt_and_taxation_1932.pdf#page=1296</v>
      </c>
    </row>
    <row r="643" spans="1:10" x14ac:dyDescent="0.25">
      <c r="A643" s="27" t="s">
        <v>1183</v>
      </c>
      <c r="B643" s="27" t="str">
        <f t="shared" ref="B643:B706" si="30">LEFT(A643,FIND(";",A643)-1)</f>
        <v>North Carolina</v>
      </c>
      <c r="C643" s="27" t="str">
        <f t="shared" ref="C643:C706" si="31">MID(A643,FIND(";",A643)+1,100)</f>
        <v>Jones</v>
      </c>
      <c r="F643">
        <v>91</v>
      </c>
      <c r="H643">
        <v>1932</v>
      </c>
      <c r="I643">
        <v>1296</v>
      </c>
      <c r="J643" s="27" t="str">
        <f t="shared" ref="J643:J706" si="32">"https://ia601606.us.archive.org/33/items/FinancialStatisticsOfStateAndLocalGovernmentsWealthDebtAndTaxation1932/Financial_statistics_of_state_and_local_governments_Wealth_debt_and_taxation_1932.pdf"&amp;"#page="&amp;I643</f>
        <v>https://ia601606.us.archive.org/33/items/FinancialStatisticsOfStateAndLocalGovernmentsWealthDebtAndTaxation1932/Financial_statistics_of_state_and_local_governments_Wealth_debt_and_taxation_1932.pdf#page=1296</v>
      </c>
    </row>
    <row r="644" spans="1:10" x14ac:dyDescent="0.25">
      <c r="A644" s="27" t="s">
        <v>1184</v>
      </c>
      <c r="B644" s="27" t="str">
        <f t="shared" si="30"/>
        <v>North Carolina</v>
      </c>
      <c r="C644" s="27" t="str">
        <f t="shared" si="31"/>
        <v>Lee</v>
      </c>
      <c r="D644">
        <v>2</v>
      </c>
      <c r="F644">
        <v>153</v>
      </c>
      <c r="H644">
        <v>1932</v>
      </c>
      <c r="I644">
        <v>1296</v>
      </c>
      <c r="J644" s="27" t="str">
        <f t="shared" si="32"/>
        <v>https://ia601606.us.archive.org/33/items/FinancialStatisticsOfStateAndLocalGovernmentsWealthDebtAndTaxation1932/Financial_statistics_of_state_and_local_governments_Wealth_debt_and_taxation_1932.pdf#page=1296</v>
      </c>
    </row>
    <row r="645" spans="1:10" x14ac:dyDescent="0.25">
      <c r="A645" s="27" t="s">
        <v>1185</v>
      </c>
      <c r="B645" s="27" t="str">
        <f t="shared" si="30"/>
        <v>North Carolina</v>
      </c>
      <c r="C645" s="27" t="str">
        <f t="shared" si="31"/>
        <v>Lenoir</v>
      </c>
      <c r="D645">
        <v>9</v>
      </c>
      <c r="F645">
        <v>306</v>
      </c>
      <c r="H645">
        <v>1932</v>
      </c>
      <c r="I645">
        <v>1296</v>
      </c>
      <c r="J645" s="27" t="str">
        <f t="shared" si="32"/>
        <v>https://ia601606.us.archive.org/33/items/FinancialStatisticsOfStateAndLocalGovernmentsWealthDebtAndTaxation1932/Financial_statistics_of_state_and_local_governments_Wealth_debt_and_taxation_1932.pdf#page=1296</v>
      </c>
    </row>
    <row r="646" spans="1:10" x14ac:dyDescent="0.25">
      <c r="A646" s="27" t="s">
        <v>1186</v>
      </c>
      <c r="B646" s="27" t="str">
        <f t="shared" si="30"/>
        <v>North Carolina</v>
      </c>
      <c r="C646" s="27" t="str">
        <f t="shared" si="31"/>
        <v>Lincoln</v>
      </c>
      <c r="D646">
        <v>2</v>
      </c>
      <c r="F646">
        <v>184</v>
      </c>
      <c r="H646">
        <v>1932</v>
      </c>
      <c r="I646">
        <v>1296</v>
      </c>
      <c r="J646" s="27" t="str">
        <f t="shared" si="32"/>
        <v>https://ia601606.us.archive.org/33/items/FinancialStatisticsOfStateAndLocalGovernmentsWealthDebtAndTaxation1932/Financial_statistics_of_state_and_local_governments_Wealth_debt_and_taxation_1932.pdf#page=1296</v>
      </c>
    </row>
    <row r="647" spans="1:10" x14ac:dyDescent="0.25">
      <c r="A647" s="27" t="s">
        <v>1187</v>
      </c>
      <c r="B647" s="27" t="str">
        <f t="shared" si="30"/>
        <v>North Carolina</v>
      </c>
      <c r="C647" s="27" t="str">
        <f t="shared" si="31"/>
        <v>McDowell</v>
      </c>
      <c r="D647">
        <v>2</v>
      </c>
      <c r="F647">
        <v>205</v>
      </c>
      <c r="H647">
        <v>1932</v>
      </c>
      <c r="I647">
        <v>1296</v>
      </c>
      <c r="J647" s="27" t="str">
        <f t="shared" si="32"/>
        <v>https://ia601606.us.archive.org/33/items/FinancialStatisticsOfStateAndLocalGovernmentsWealthDebtAndTaxation1932/Financial_statistics_of_state_and_local_governments_Wealth_debt_and_taxation_1932.pdf#page=1296</v>
      </c>
    </row>
    <row r="648" spans="1:10" x14ac:dyDescent="0.25">
      <c r="A648" s="27" t="s">
        <v>1188</v>
      </c>
      <c r="B648" s="27" t="str">
        <f t="shared" si="30"/>
        <v>North Carolina</v>
      </c>
      <c r="C648" s="27" t="str">
        <f t="shared" si="31"/>
        <v>Macon</v>
      </c>
      <c r="D648">
        <v>2</v>
      </c>
      <c r="F648">
        <v>50</v>
      </c>
      <c r="H648">
        <v>1932</v>
      </c>
      <c r="I648">
        <v>1296</v>
      </c>
      <c r="J648" s="27" t="str">
        <f t="shared" si="32"/>
        <v>https://ia601606.us.archive.org/33/items/FinancialStatisticsOfStateAndLocalGovernmentsWealthDebtAndTaxation1932/Financial_statistics_of_state_and_local_governments_Wealth_debt_and_taxation_1932.pdf#page=1296</v>
      </c>
    </row>
    <row r="649" spans="1:10" x14ac:dyDescent="0.25">
      <c r="A649" s="27" t="s">
        <v>1189</v>
      </c>
      <c r="B649" s="27" t="str">
        <f t="shared" si="30"/>
        <v>North Carolina</v>
      </c>
      <c r="C649" s="27" t="str">
        <f t="shared" si="31"/>
        <v>Madison</v>
      </c>
      <c r="D649">
        <v>2</v>
      </c>
      <c r="F649">
        <v>177</v>
      </c>
      <c r="H649">
        <v>1932</v>
      </c>
      <c r="I649">
        <v>1296</v>
      </c>
      <c r="J649" s="27" t="str">
        <f t="shared" si="32"/>
        <v>https://ia601606.us.archive.org/33/items/FinancialStatisticsOfStateAndLocalGovernmentsWealthDebtAndTaxation1932/Financial_statistics_of_state_and_local_governments_Wealth_debt_and_taxation_1932.pdf#page=1296</v>
      </c>
    </row>
    <row r="650" spans="1:10" x14ac:dyDescent="0.25">
      <c r="A650" s="27" t="s">
        <v>1190</v>
      </c>
      <c r="B650" s="27" t="str">
        <f t="shared" si="30"/>
        <v>North Carolina</v>
      </c>
      <c r="C650" s="27" t="str">
        <f t="shared" si="31"/>
        <v>Martin</v>
      </c>
      <c r="D650">
        <v>4</v>
      </c>
      <c r="F650">
        <v>177</v>
      </c>
      <c r="H650">
        <v>1932</v>
      </c>
      <c r="I650">
        <v>1297</v>
      </c>
      <c r="J650" s="27" t="str">
        <f t="shared" si="32"/>
        <v>https://ia601606.us.archive.org/33/items/FinancialStatisticsOfStateAndLocalGovernmentsWealthDebtAndTaxation1932/Financial_statistics_of_state_and_local_governments_Wealth_debt_and_taxation_1932.pdf#page=1297</v>
      </c>
    </row>
    <row r="651" spans="1:10" x14ac:dyDescent="0.25">
      <c r="A651" s="27" t="s">
        <v>1191</v>
      </c>
      <c r="B651" s="27" t="str">
        <f t="shared" si="30"/>
        <v>North Carolina</v>
      </c>
      <c r="C651" s="27" t="str">
        <f t="shared" si="31"/>
        <v>Mecklenburg</v>
      </c>
      <c r="D651">
        <v>235</v>
      </c>
      <c r="F651">
        <v>1300</v>
      </c>
      <c r="H651">
        <v>1932</v>
      </c>
      <c r="I651">
        <v>1297</v>
      </c>
      <c r="J651" s="27" t="str">
        <f t="shared" si="32"/>
        <v>https://ia601606.us.archive.org/33/items/FinancialStatisticsOfStateAndLocalGovernmentsWealthDebtAndTaxation1932/Financial_statistics_of_state_and_local_governments_Wealth_debt_and_taxation_1932.pdf#page=1297</v>
      </c>
    </row>
    <row r="652" spans="1:10" x14ac:dyDescent="0.25">
      <c r="A652" s="27" t="s">
        <v>1192</v>
      </c>
      <c r="B652" s="27" t="str">
        <f t="shared" si="30"/>
        <v>North Carolina</v>
      </c>
      <c r="C652" s="27" t="str">
        <f t="shared" si="31"/>
        <v>Mitchell</v>
      </c>
      <c r="D652">
        <v>1</v>
      </c>
      <c r="F652">
        <v>97</v>
      </c>
      <c r="H652">
        <v>1932</v>
      </c>
      <c r="I652">
        <v>1297</v>
      </c>
      <c r="J652" s="27" t="str">
        <f t="shared" si="32"/>
        <v>https://ia601606.us.archive.org/33/items/FinancialStatisticsOfStateAndLocalGovernmentsWealthDebtAndTaxation1932/Financial_statistics_of_state_and_local_governments_Wealth_debt_and_taxation_1932.pdf#page=1297</v>
      </c>
    </row>
    <row r="653" spans="1:10" x14ac:dyDescent="0.25">
      <c r="A653" s="27" t="s">
        <v>1193</v>
      </c>
      <c r="B653" s="27" t="str">
        <f t="shared" si="30"/>
        <v>North Carolina</v>
      </c>
      <c r="C653" s="27" t="str">
        <f t="shared" si="31"/>
        <v>Montgomery</v>
      </c>
      <c r="D653">
        <v>1</v>
      </c>
      <c r="F653">
        <v>169</v>
      </c>
      <c r="H653">
        <v>1932</v>
      </c>
      <c r="I653">
        <v>1297</v>
      </c>
      <c r="J653" s="27" t="str">
        <f t="shared" si="32"/>
        <v>https://ia601606.us.archive.org/33/items/FinancialStatisticsOfStateAndLocalGovernmentsWealthDebtAndTaxation1932/Financial_statistics_of_state_and_local_governments_Wealth_debt_and_taxation_1932.pdf#page=1297</v>
      </c>
    </row>
    <row r="654" spans="1:10" x14ac:dyDescent="0.25">
      <c r="A654" s="27" t="s">
        <v>1194</v>
      </c>
      <c r="B654" s="27" t="str">
        <f t="shared" si="30"/>
        <v>North Carolina</v>
      </c>
      <c r="C654" s="27" t="str">
        <f t="shared" si="31"/>
        <v>Moore</v>
      </c>
      <c r="D654">
        <v>5</v>
      </c>
      <c r="F654">
        <v>249</v>
      </c>
      <c r="H654">
        <v>1932</v>
      </c>
      <c r="I654">
        <v>1297</v>
      </c>
      <c r="J654" s="27" t="str">
        <f t="shared" si="32"/>
        <v>https://ia601606.us.archive.org/33/items/FinancialStatisticsOfStateAndLocalGovernmentsWealthDebtAndTaxation1932/Financial_statistics_of_state_and_local_governments_Wealth_debt_and_taxation_1932.pdf#page=1297</v>
      </c>
    </row>
    <row r="655" spans="1:10" x14ac:dyDescent="0.25">
      <c r="A655" s="27" t="s">
        <v>1195</v>
      </c>
      <c r="B655" s="27" t="str">
        <f t="shared" si="30"/>
        <v>North Carolina</v>
      </c>
      <c r="C655" s="27" t="str">
        <f t="shared" si="31"/>
        <v>Nash</v>
      </c>
      <c r="D655">
        <v>44</v>
      </c>
      <c r="F655">
        <v>496</v>
      </c>
      <c r="H655">
        <v>1932</v>
      </c>
      <c r="I655">
        <v>1298</v>
      </c>
      <c r="J655" s="27" t="str">
        <f t="shared" si="32"/>
        <v>https://ia601606.us.archive.org/33/items/FinancialStatisticsOfStateAndLocalGovernmentsWealthDebtAndTaxation1932/Financial_statistics_of_state_and_local_governments_Wealth_debt_and_taxation_1932.pdf#page=1298</v>
      </c>
    </row>
    <row r="656" spans="1:10" x14ac:dyDescent="0.25">
      <c r="A656" s="27" t="s">
        <v>1196</v>
      </c>
      <c r="B656" s="27" t="str">
        <f t="shared" si="30"/>
        <v>North Carolina</v>
      </c>
      <c r="C656" s="27" t="str">
        <f t="shared" si="31"/>
        <v>New Hanover</v>
      </c>
      <c r="D656">
        <v>126</v>
      </c>
      <c r="F656">
        <v>432</v>
      </c>
      <c r="H656">
        <v>1932</v>
      </c>
      <c r="I656">
        <v>1298</v>
      </c>
      <c r="J656" s="27" t="str">
        <f t="shared" si="32"/>
        <v>https://ia601606.us.archive.org/33/items/FinancialStatisticsOfStateAndLocalGovernmentsWealthDebtAndTaxation1932/Financial_statistics_of_state_and_local_governments_Wealth_debt_and_taxation_1932.pdf#page=1298</v>
      </c>
    </row>
    <row r="657" spans="1:10" x14ac:dyDescent="0.25">
      <c r="A657" s="27" t="s">
        <v>1197</v>
      </c>
      <c r="B657" s="27" t="str">
        <f t="shared" si="30"/>
        <v>North Carolina</v>
      </c>
      <c r="C657" s="27" t="str">
        <f t="shared" si="31"/>
        <v>Northampton</v>
      </c>
      <c r="D657">
        <v>3</v>
      </c>
      <c r="F657">
        <v>181</v>
      </c>
      <c r="H657">
        <v>1932</v>
      </c>
      <c r="I657">
        <v>1298</v>
      </c>
      <c r="J657" s="27" t="str">
        <f t="shared" si="32"/>
        <v>https://ia601606.us.archive.org/33/items/FinancialStatisticsOfStateAndLocalGovernmentsWealthDebtAndTaxation1932/Financial_statistics_of_state_and_local_governments_Wealth_debt_and_taxation_1932.pdf#page=1298</v>
      </c>
    </row>
    <row r="658" spans="1:10" x14ac:dyDescent="0.25">
      <c r="A658" s="27" t="s">
        <v>1754</v>
      </c>
      <c r="B658" s="27" t="str">
        <f t="shared" si="30"/>
        <v>North Carolina</v>
      </c>
      <c r="C658" s="27" t="str">
        <f t="shared" si="31"/>
        <v>Onslow</v>
      </c>
      <c r="D658">
        <v>1</v>
      </c>
      <c r="F658">
        <v>136</v>
      </c>
      <c r="H658">
        <v>1932</v>
      </c>
      <c r="I658">
        <v>1298</v>
      </c>
      <c r="J658" s="27" t="str">
        <f t="shared" si="32"/>
        <v>https://ia601606.us.archive.org/33/items/FinancialStatisticsOfStateAndLocalGovernmentsWealthDebtAndTaxation1932/Financial_statistics_of_state_and_local_governments_Wealth_debt_and_taxation_1932.pdf#page=1298</v>
      </c>
    </row>
    <row r="659" spans="1:10" x14ac:dyDescent="0.25">
      <c r="A659" s="27" t="s">
        <v>1198</v>
      </c>
      <c r="B659" s="27" t="str">
        <f t="shared" si="30"/>
        <v>North Carolina</v>
      </c>
      <c r="C659" s="27" t="str">
        <f t="shared" si="31"/>
        <v>Orange</v>
      </c>
      <c r="D659">
        <v>5</v>
      </c>
      <c r="F659">
        <v>185</v>
      </c>
      <c r="H659">
        <v>1932</v>
      </c>
      <c r="I659">
        <v>1298</v>
      </c>
      <c r="J659" s="27" t="str">
        <f t="shared" si="32"/>
        <v>https://ia601606.us.archive.org/33/items/FinancialStatisticsOfStateAndLocalGovernmentsWealthDebtAndTaxation1932/Financial_statistics_of_state_and_local_governments_Wealth_debt_and_taxation_1932.pdf#page=1298</v>
      </c>
    </row>
    <row r="660" spans="1:10" x14ac:dyDescent="0.25">
      <c r="A660" s="27" t="s">
        <v>1199</v>
      </c>
      <c r="B660" s="27" t="str">
        <f t="shared" si="30"/>
        <v>North Carolina</v>
      </c>
      <c r="C660" s="27" t="str">
        <f t="shared" si="31"/>
        <v>Pamlico</v>
      </c>
      <c r="D660">
        <v>3</v>
      </c>
      <c r="F660">
        <v>79</v>
      </c>
      <c r="H660">
        <v>1932</v>
      </c>
      <c r="I660">
        <v>1298</v>
      </c>
      <c r="J660" s="27" t="str">
        <f t="shared" si="32"/>
        <v>https://ia601606.us.archive.org/33/items/FinancialStatisticsOfStateAndLocalGovernmentsWealthDebtAndTaxation1932/Financial_statistics_of_state_and_local_governments_Wealth_debt_and_taxation_1932.pdf#page=1298</v>
      </c>
    </row>
    <row r="661" spans="1:10" x14ac:dyDescent="0.25">
      <c r="A661" s="27" t="s">
        <v>1200</v>
      </c>
      <c r="B661" s="27" t="str">
        <f t="shared" si="30"/>
        <v>North Carolina</v>
      </c>
      <c r="C661" s="27" t="str">
        <f t="shared" si="31"/>
        <v>Pasquotank</v>
      </c>
      <c r="D661">
        <v>1</v>
      </c>
      <c r="F661">
        <v>197</v>
      </c>
      <c r="H661">
        <v>1932</v>
      </c>
      <c r="I661">
        <v>1298</v>
      </c>
      <c r="J661" s="27" t="str">
        <f t="shared" si="32"/>
        <v>https://ia601606.us.archive.org/33/items/FinancialStatisticsOfStateAndLocalGovernmentsWealthDebtAndTaxation1932/Financial_statistics_of_state_and_local_governments_Wealth_debt_and_taxation_1932.pdf#page=1298</v>
      </c>
    </row>
    <row r="662" spans="1:10" x14ac:dyDescent="0.25">
      <c r="A662" s="27" t="s">
        <v>1201</v>
      </c>
      <c r="B662" s="27" t="str">
        <f t="shared" si="30"/>
        <v>North Carolina</v>
      </c>
      <c r="C662" s="27" t="str">
        <f t="shared" si="31"/>
        <v>Pender</v>
      </c>
      <c r="D662">
        <v>1</v>
      </c>
      <c r="F662">
        <v>135</v>
      </c>
      <c r="H662">
        <v>1932</v>
      </c>
      <c r="I662">
        <v>1298</v>
      </c>
      <c r="J662" s="27" t="str">
        <f t="shared" si="32"/>
        <v>https://ia601606.us.archive.org/33/items/FinancialStatisticsOfStateAndLocalGovernmentsWealthDebtAndTaxation1932/Financial_statistics_of_state_and_local_governments_Wealth_debt_and_taxation_1932.pdf#page=1298</v>
      </c>
    </row>
    <row r="663" spans="1:10" x14ac:dyDescent="0.25">
      <c r="A663" s="27" t="s">
        <v>1202</v>
      </c>
      <c r="B663" s="27" t="str">
        <f t="shared" si="30"/>
        <v>North Carolina</v>
      </c>
      <c r="C663" s="27" t="str">
        <f t="shared" si="31"/>
        <v>Perquimans</v>
      </c>
      <c r="D663">
        <v>1</v>
      </c>
      <c r="F663">
        <v>93</v>
      </c>
      <c r="H663">
        <v>1932</v>
      </c>
      <c r="I663">
        <v>1298</v>
      </c>
      <c r="J663" s="27" t="str">
        <f t="shared" si="32"/>
        <v>https://ia601606.us.archive.org/33/items/FinancialStatisticsOfStateAndLocalGovernmentsWealthDebtAndTaxation1932/Financial_statistics_of_state_and_local_governments_Wealth_debt_and_taxation_1932.pdf#page=1298</v>
      </c>
    </row>
    <row r="664" spans="1:10" x14ac:dyDescent="0.25">
      <c r="A664" s="27" t="s">
        <v>1203</v>
      </c>
      <c r="B664" s="27" t="str">
        <f t="shared" si="30"/>
        <v>North Carolina</v>
      </c>
      <c r="C664" s="27" t="str">
        <f t="shared" si="31"/>
        <v>Person</v>
      </c>
      <c r="D664">
        <v>6</v>
      </c>
      <c r="F664">
        <v>169</v>
      </c>
      <c r="H664">
        <v>1932</v>
      </c>
      <c r="I664">
        <v>1299</v>
      </c>
      <c r="J664" s="27" t="str">
        <f t="shared" si="32"/>
        <v>https://ia601606.us.archive.org/33/items/FinancialStatisticsOfStateAndLocalGovernmentsWealthDebtAndTaxation1932/Financial_statistics_of_state_and_local_governments_Wealth_debt_and_taxation_1932.pdf#page=1299</v>
      </c>
    </row>
    <row r="665" spans="1:10" x14ac:dyDescent="0.25">
      <c r="A665" s="27" t="s">
        <v>1204</v>
      </c>
      <c r="B665" s="27" t="str">
        <f t="shared" si="30"/>
        <v>North Carolina</v>
      </c>
      <c r="C665" s="27" t="str">
        <f t="shared" si="31"/>
        <v>Pitt</v>
      </c>
      <c r="D665">
        <v>11</v>
      </c>
      <c r="F665">
        <v>434</v>
      </c>
      <c r="H665">
        <v>1932</v>
      </c>
      <c r="I665">
        <v>1299</v>
      </c>
      <c r="J665" s="27" t="str">
        <f t="shared" si="32"/>
        <v>https://ia601606.us.archive.org/33/items/FinancialStatisticsOfStateAndLocalGovernmentsWealthDebtAndTaxation1932/Financial_statistics_of_state_and_local_governments_Wealth_debt_and_taxation_1932.pdf#page=1299</v>
      </c>
    </row>
    <row r="666" spans="1:10" x14ac:dyDescent="0.25">
      <c r="A666" s="27" t="s">
        <v>1205</v>
      </c>
      <c r="B666" s="27" t="str">
        <f t="shared" si="30"/>
        <v>North Carolina</v>
      </c>
      <c r="C666" s="27" t="str">
        <f t="shared" si="31"/>
        <v>Polk</v>
      </c>
      <c r="D666">
        <v>1</v>
      </c>
      <c r="F666">
        <v>110</v>
      </c>
      <c r="H666">
        <v>1932</v>
      </c>
      <c r="I666">
        <v>1299</v>
      </c>
      <c r="J666" s="27" t="str">
        <f t="shared" si="32"/>
        <v>https://ia601606.us.archive.org/33/items/FinancialStatisticsOfStateAndLocalGovernmentsWealthDebtAndTaxation1932/Financial_statistics_of_state_and_local_governments_Wealth_debt_and_taxation_1932.pdf#page=1299</v>
      </c>
    </row>
    <row r="667" spans="1:10" x14ac:dyDescent="0.25">
      <c r="A667" s="27" t="s">
        <v>1206</v>
      </c>
      <c r="B667" s="27" t="str">
        <f t="shared" si="30"/>
        <v>North Carolina</v>
      </c>
      <c r="C667" s="27" t="str">
        <f t="shared" si="31"/>
        <v>Randolph</v>
      </c>
      <c r="D667">
        <v>4</v>
      </c>
      <c r="F667">
        <v>234</v>
      </c>
      <c r="H667">
        <v>1932</v>
      </c>
      <c r="I667">
        <v>1299</v>
      </c>
      <c r="J667" s="27" t="str">
        <f t="shared" si="32"/>
        <v>https://ia601606.us.archive.org/33/items/FinancialStatisticsOfStateAndLocalGovernmentsWealthDebtAndTaxation1932/Financial_statistics_of_state_and_local_governments_Wealth_debt_and_taxation_1932.pdf#page=1299</v>
      </c>
    </row>
    <row r="668" spans="1:10" x14ac:dyDescent="0.25">
      <c r="A668" s="27" t="s">
        <v>1207</v>
      </c>
      <c r="B668" s="27" t="str">
        <f t="shared" si="30"/>
        <v>North Carolina</v>
      </c>
      <c r="C668" s="27" t="str">
        <f t="shared" si="31"/>
        <v>Richmond</v>
      </c>
      <c r="D668">
        <v>1</v>
      </c>
      <c r="F668">
        <v>171</v>
      </c>
      <c r="H668">
        <v>1932</v>
      </c>
      <c r="I668">
        <v>1299</v>
      </c>
      <c r="J668" s="27" t="str">
        <f t="shared" si="32"/>
        <v>https://ia601606.us.archive.org/33/items/FinancialStatisticsOfStateAndLocalGovernmentsWealthDebtAndTaxation1932/Financial_statistics_of_state_and_local_governments_Wealth_debt_and_taxation_1932.pdf#page=1299</v>
      </c>
    </row>
    <row r="669" spans="1:10" x14ac:dyDescent="0.25">
      <c r="A669" s="27" t="s">
        <v>1208</v>
      </c>
      <c r="B669" s="27" t="str">
        <f t="shared" si="30"/>
        <v>North Carolina</v>
      </c>
      <c r="C669" s="27" t="str">
        <f t="shared" si="31"/>
        <v>Robeson</v>
      </c>
      <c r="D669">
        <v>14</v>
      </c>
      <c r="F669">
        <v>480</v>
      </c>
      <c r="H669">
        <v>1932</v>
      </c>
      <c r="I669">
        <v>1299</v>
      </c>
      <c r="J669" s="27" t="str">
        <f t="shared" si="32"/>
        <v>https://ia601606.us.archive.org/33/items/FinancialStatisticsOfStateAndLocalGovernmentsWealthDebtAndTaxation1932/Financial_statistics_of_state_and_local_governments_Wealth_debt_and_taxation_1932.pdf#page=1299</v>
      </c>
    </row>
    <row r="670" spans="1:10" x14ac:dyDescent="0.25">
      <c r="A670" s="27" t="s">
        <v>1209</v>
      </c>
      <c r="B670" s="27" t="str">
        <f t="shared" si="30"/>
        <v>North Carolina</v>
      </c>
      <c r="C670" s="27" t="str">
        <f t="shared" si="31"/>
        <v>Rockingham</v>
      </c>
      <c r="D670">
        <v>4</v>
      </c>
      <c r="F670">
        <v>445</v>
      </c>
      <c r="H670">
        <v>1932</v>
      </c>
      <c r="I670">
        <v>1300</v>
      </c>
      <c r="J670" s="27" t="str">
        <f t="shared" si="32"/>
        <v>https://ia601606.us.archive.org/33/items/FinancialStatisticsOfStateAndLocalGovernmentsWealthDebtAndTaxation1932/Financial_statistics_of_state_and_local_governments_Wealth_debt_and_taxation_1932.pdf#page=1300</v>
      </c>
    </row>
    <row r="671" spans="1:10" x14ac:dyDescent="0.25">
      <c r="A671" s="27" t="s">
        <v>1210</v>
      </c>
      <c r="B671" s="27" t="str">
        <f t="shared" si="30"/>
        <v>North Carolina</v>
      </c>
      <c r="C671" s="27" t="str">
        <f t="shared" si="31"/>
        <v>Rowan</v>
      </c>
      <c r="D671">
        <v>43</v>
      </c>
      <c r="F671">
        <v>560</v>
      </c>
      <c r="H671">
        <v>1932</v>
      </c>
      <c r="I671">
        <v>1300</v>
      </c>
      <c r="J671" s="27" t="str">
        <f t="shared" si="32"/>
        <v>https://ia601606.us.archive.org/33/items/FinancialStatisticsOfStateAndLocalGovernmentsWealthDebtAndTaxation1932/Financial_statistics_of_state_and_local_governments_Wealth_debt_and_taxation_1932.pdf#page=1300</v>
      </c>
    </row>
    <row r="672" spans="1:10" x14ac:dyDescent="0.25">
      <c r="A672" s="27" t="s">
        <v>1755</v>
      </c>
      <c r="B672" s="27" t="str">
        <f t="shared" si="30"/>
        <v>North Carolina</v>
      </c>
      <c r="C672" s="27" t="str">
        <f t="shared" si="31"/>
        <v>Rutherford</v>
      </c>
      <c r="D672">
        <v>7</v>
      </c>
      <c r="F672">
        <v>387</v>
      </c>
      <c r="H672">
        <v>1932</v>
      </c>
      <c r="I672">
        <v>1300</v>
      </c>
      <c r="J672" s="27" t="str">
        <f t="shared" si="32"/>
        <v>https://ia601606.us.archive.org/33/items/FinancialStatisticsOfStateAndLocalGovernmentsWealthDebtAndTaxation1932/Financial_statistics_of_state_and_local_governments_Wealth_debt_and_taxation_1932.pdf#page=1300</v>
      </c>
    </row>
    <row r="673" spans="1:10" x14ac:dyDescent="0.25">
      <c r="A673" s="27" t="s">
        <v>1211</v>
      </c>
      <c r="B673" s="27" t="str">
        <f t="shared" si="30"/>
        <v>North Carolina</v>
      </c>
      <c r="C673" s="27" t="str">
        <f t="shared" si="31"/>
        <v>Sampson</v>
      </c>
      <c r="D673">
        <v>4</v>
      </c>
      <c r="F673">
        <v>332</v>
      </c>
      <c r="H673">
        <v>1932</v>
      </c>
      <c r="I673">
        <v>1300</v>
      </c>
      <c r="J673" s="27" t="str">
        <f t="shared" si="32"/>
        <v>https://ia601606.us.archive.org/33/items/FinancialStatisticsOfStateAndLocalGovernmentsWealthDebtAndTaxation1932/Financial_statistics_of_state_and_local_governments_Wealth_debt_and_taxation_1932.pdf#page=1300</v>
      </c>
    </row>
    <row r="674" spans="1:10" x14ac:dyDescent="0.25">
      <c r="A674" s="27" t="s">
        <v>1212</v>
      </c>
      <c r="B674" s="27" t="str">
        <f t="shared" si="30"/>
        <v>North Carolina</v>
      </c>
      <c r="C674" s="27" t="str">
        <f t="shared" si="31"/>
        <v>Scotland</v>
      </c>
      <c r="D674">
        <v>4</v>
      </c>
      <c r="F674">
        <v>130</v>
      </c>
      <c r="H674">
        <v>1932</v>
      </c>
      <c r="I674">
        <v>1300</v>
      </c>
      <c r="J674" s="27" t="str">
        <f t="shared" si="32"/>
        <v>https://ia601606.us.archive.org/33/items/FinancialStatisticsOfStateAndLocalGovernmentsWealthDebtAndTaxation1932/Financial_statistics_of_state_and_local_governments_Wealth_debt_and_taxation_1932.pdf#page=1300</v>
      </c>
    </row>
    <row r="675" spans="1:10" x14ac:dyDescent="0.25">
      <c r="A675" s="27" t="s">
        <v>1213</v>
      </c>
      <c r="B675" s="27" t="str">
        <f t="shared" si="30"/>
        <v>North Carolina</v>
      </c>
      <c r="C675" s="27" t="str">
        <f t="shared" si="31"/>
        <v>Stanly</v>
      </c>
      <c r="D675">
        <v>13</v>
      </c>
      <c r="F675">
        <v>241</v>
      </c>
      <c r="H675">
        <v>1932</v>
      </c>
      <c r="I675">
        <v>1300</v>
      </c>
      <c r="J675" s="27" t="str">
        <f t="shared" si="32"/>
        <v>https://ia601606.us.archive.org/33/items/FinancialStatisticsOfStateAndLocalGovernmentsWealthDebtAndTaxation1932/Financial_statistics_of_state_and_local_governments_Wealth_debt_and_taxation_1932.pdf#page=1300</v>
      </c>
    </row>
    <row r="676" spans="1:10" x14ac:dyDescent="0.25">
      <c r="A676" s="27" t="s">
        <v>1214</v>
      </c>
      <c r="B676" s="27" t="str">
        <f t="shared" si="30"/>
        <v>North Carolina</v>
      </c>
      <c r="C676" s="27" t="str">
        <f t="shared" si="31"/>
        <v>Stokes</v>
      </c>
      <c r="D676">
        <v>1</v>
      </c>
      <c r="F676">
        <v>147</v>
      </c>
      <c r="H676">
        <v>1932</v>
      </c>
      <c r="I676">
        <v>1300</v>
      </c>
      <c r="J676" s="27" t="str">
        <f t="shared" si="32"/>
        <v>https://ia601606.us.archive.org/33/items/FinancialStatisticsOfStateAndLocalGovernmentsWealthDebtAndTaxation1932/Financial_statistics_of_state_and_local_governments_Wealth_debt_and_taxation_1932.pdf#page=1300</v>
      </c>
    </row>
    <row r="677" spans="1:10" x14ac:dyDescent="0.25">
      <c r="A677" s="27" t="s">
        <v>1215</v>
      </c>
      <c r="B677" s="27" t="str">
        <f t="shared" si="30"/>
        <v>North Carolina</v>
      </c>
      <c r="C677" s="27" t="str">
        <f t="shared" si="31"/>
        <v>Surry</v>
      </c>
      <c r="D677">
        <v>4</v>
      </c>
      <c r="F677">
        <v>337</v>
      </c>
      <c r="H677">
        <v>1932</v>
      </c>
      <c r="I677">
        <v>1300</v>
      </c>
      <c r="J677" s="27" t="str">
        <f t="shared" si="32"/>
        <v>https://ia601606.us.archive.org/33/items/FinancialStatisticsOfStateAndLocalGovernmentsWealthDebtAndTaxation1932/Financial_statistics_of_state_and_local_governments_Wealth_debt_and_taxation_1932.pdf#page=1300</v>
      </c>
    </row>
    <row r="678" spans="1:10" x14ac:dyDescent="0.25">
      <c r="A678" s="27" t="s">
        <v>1216</v>
      </c>
      <c r="B678" s="27" t="str">
        <f t="shared" si="30"/>
        <v>North Carolina</v>
      </c>
      <c r="C678" s="27" t="str">
        <f t="shared" si="31"/>
        <v>Swain</v>
      </c>
      <c r="D678">
        <v>8</v>
      </c>
      <c r="F678">
        <v>34</v>
      </c>
      <c r="H678">
        <v>1932</v>
      </c>
      <c r="I678">
        <v>1300</v>
      </c>
      <c r="J678" s="27" t="str">
        <f t="shared" si="32"/>
        <v>https://ia601606.us.archive.org/33/items/FinancialStatisticsOfStateAndLocalGovernmentsWealthDebtAndTaxation1932/Financial_statistics_of_state_and_local_governments_Wealth_debt_and_taxation_1932.pdf#page=1300</v>
      </c>
    </row>
    <row r="679" spans="1:10" x14ac:dyDescent="0.25">
      <c r="A679" s="27" t="s">
        <v>1217</v>
      </c>
      <c r="B679" s="27" t="str">
        <f t="shared" si="30"/>
        <v>North Carolina</v>
      </c>
      <c r="C679" s="27" t="str">
        <f t="shared" si="31"/>
        <v>Transylvania</v>
      </c>
      <c r="D679">
        <v>1</v>
      </c>
      <c r="F679">
        <v>123</v>
      </c>
      <c r="H679">
        <v>1932</v>
      </c>
      <c r="I679">
        <v>1301</v>
      </c>
      <c r="J679" s="27" t="str">
        <f t="shared" si="32"/>
        <v>https://ia601606.us.archive.org/33/items/FinancialStatisticsOfStateAndLocalGovernmentsWealthDebtAndTaxation1932/Financial_statistics_of_state_and_local_governments_Wealth_debt_and_taxation_1932.pdf#page=1301</v>
      </c>
    </row>
    <row r="680" spans="1:10" x14ac:dyDescent="0.25">
      <c r="A680" s="27" t="s">
        <v>1218</v>
      </c>
      <c r="B680" s="27" t="str">
        <f t="shared" si="30"/>
        <v>North Carolina</v>
      </c>
      <c r="C680" s="27" t="str">
        <f t="shared" si="31"/>
        <v>Tyrrell</v>
      </c>
      <c r="F680">
        <v>48</v>
      </c>
      <c r="H680">
        <v>1932</v>
      </c>
      <c r="I680">
        <v>1301</v>
      </c>
      <c r="J680" s="27" t="str">
        <f t="shared" si="32"/>
        <v>https://ia601606.us.archive.org/33/items/FinancialStatisticsOfStateAndLocalGovernmentsWealthDebtAndTaxation1932/Financial_statistics_of_state_and_local_governments_Wealth_debt_and_taxation_1932.pdf#page=1301</v>
      </c>
    </row>
    <row r="681" spans="1:10" x14ac:dyDescent="0.25">
      <c r="A681" s="27" t="s">
        <v>1219</v>
      </c>
      <c r="B681" s="27" t="str">
        <f t="shared" si="30"/>
        <v>North Carolina</v>
      </c>
      <c r="C681" s="27" t="str">
        <f t="shared" si="31"/>
        <v>Union</v>
      </c>
      <c r="D681">
        <v>11</v>
      </c>
      <c r="F681">
        <v>337</v>
      </c>
      <c r="H681">
        <v>1932</v>
      </c>
      <c r="I681">
        <v>1301</v>
      </c>
      <c r="J681" s="27" t="str">
        <f t="shared" si="32"/>
        <v>https://ia601606.us.archive.org/33/items/FinancialStatisticsOfStateAndLocalGovernmentsWealthDebtAndTaxation1932/Financial_statistics_of_state_and_local_governments_Wealth_debt_and_taxation_1932.pdf#page=1301</v>
      </c>
    </row>
    <row r="682" spans="1:10" x14ac:dyDescent="0.25">
      <c r="A682" s="27" t="s">
        <v>1220</v>
      </c>
      <c r="B682" s="27" t="str">
        <f t="shared" si="30"/>
        <v>North Carolina</v>
      </c>
      <c r="C682" s="27" t="str">
        <f t="shared" si="31"/>
        <v>Vance</v>
      </c>
      <c r="D682">
        <v>9</v>
      </c>
      <c r="F682">
        <v>239</v>
      </c>
      <c r="H682">
        <v>1932</v>
      </c>
      <c r="I682">
        <v>1301</v>
      </c>
      <c r="J682" s="27" t="str">
        <f t="shared" si="32"/>
        <v>https://ia601606.us.archive.org/33/items/FinancialStatisticsOfStateAndLocalGovernmentsWealthDebtAndTaxation1932/Financial_statistics_of_state_and_local_governments_Wealth_debt_and_taxation_1932.pdf#page=1301</v>
      </c>
    </row>
    <row r="683" spans="1:10" x14ac:dyDescent="0.25">
      <c r="A683" s="27" t="s">
        <v>1221</v>
      </c>
      <c r="B683" s="27" t="str">
        <f t="shared" si="30"/>
        <v>North Carolina</v>
      </c>
      <c r="C683" s="27" t="str">
        <f t="shared" si="31"/>
        <v>Wake</v>
      </c>
      <c r="D683">
        <v>114</v>
      </c>
      <c r="F683">
        <v>1266</v>
      </c>
      <c r="H683">
        <v>1932</v>
      </c>
      <c r="I683">
        <v>1301</v>
      </c>
      <c r="J683" s="27" t="str">
        <f t="shared" si="32"/>
        <v>https://ia601606.us.archive.org/33/items/FinancialStatisticsOfStateAndLocalGovernmentsWealthDebtAndTaxation1932/Financial_statistics_of_state_and_local_governments_Wealth_debt_and_taxation_1932.pdf#page=1301</v>
      </c>
    </row>
    <row r="684" spans="1:10" x14ac:dyDescent="0.25">
      <c r="A684" s="27" t="s">
        <v>1222</v>
      </c>
      <c r="B684" s="27" t="str">
        <f t="shared" si="30"/>
        <v>North Carolina</v>
      </c>
      <c r="C684" s="27" t="str">
        <f t="shared" si="31"/>
        <v>Warren</v>
      </c>
      <c r="D684">
        <v>1</v>
      </c>
      <c r="F684">
        <v>56</v>
      </c>
      <c r="H684">
        <v>1932</v>
      </c>
      <c r="I684">
        <v>1302</v>
      </c>
      <c r="J684" s="27" t="str">
        <f t="shared" si="32"/>
        <v>https://ia601606.us.archive.org/33/items/FinancialStatisticsOfStateAndLocalGovernmentsWealthDebtAndTaxation1932/Financial_statistics_of_state_and_local_governments_Wealth_debt_and_taxation_1932.pdf#page=1302</v>
      </c>
    </row>
    <row r="685" spans="1:10" x14ac:dyDescent="0.25">
      <c r="A685" s="27" t="s">
        <v>1223</v>
      </c>
      <c r="B685" s="27" t="str">
        <f t="shared" si="30"/>
        <v>North Carolina</v>
      </c>
      <c r="C685" s="27" t="str">
        <f t="shared" si="31"/>
        <v>Washington</v>
      </c>
      <c r="D685">
        <v>1</v>
      </c>
      <c r="F685">
        <v>98</v>
      </c>
      <c r="H685">
        <v>1932</v>
      </c>
      <c r="I685">
        <v>1302</v>
      </c>
      <c r="J685" s="27" t="str">
        <f t="shared" si="32"/>
        <v>https://ia601606.us.archive.org/33/items/FinancialStatisticsOfStateAndLocalGovernmentsWealthDebtAndTaxation1932/Financial_statistics_of_state_and_local_governments_Wealth_debt_and_taxation_1932.pdf#page=1302</v>
      </c>
    </row>
    <row r="686" spans="1:10" x14ac:dyDescent="0.25">
      <c r="A686" s="27" t="s">
        <v>1756</v>
      </c>
      <c r="B686" s="27" t="str">
        <f t="shared" si="30"/>
        <v>North Carolina</v>
      </c>
      <c r="C686" s="27" t="str">
        <f t="shared" si="31"/>
        <v>Watauga</v>
      </c>
      <c r="D686">
        <v>1</v>
      </c>
      <c r="F686">
        <v>110</v>
      </c>
      <c r="H686">
        <v>1932</v>
      </c>
      <c r="I686">
        <v>1302</v>
      </c>
      <c r="J686" s="27" t="str">
        <f t="shared" si="32"/>
        <v>https://ia601606.us.archive.org/33/items/FinancialStatisticsOfStateAndLocalGovernmentsWealthDebtAndTaxation1932/Financial_statistics_of_state_and_local_governments_Wealth_debt_and_taxation_1932.pdf#page=1302</v>
      </c>
    </row>
    <row r="687" spans="1:10" x14ac:dyDescent="0.25">
      <c r="A687" s="27" t="s">
        <v>1224</v>
      </c>
      <c r="B687" s="27" t="str">
        <f t="shared" si="30"/>
        <v>North Carolina</v>
      </c>
      <c r="C687" s="27" t="str">
        <f t="shared" si="31"/>
        <v>Wayne</v>
      </c>
      <c r="D687">
        <v>21</v>
      </c>
      <c r="F687">
        <v>370</v>
      </c>
      <c r="H687">
        <v>1932</v>
      </c>
      <c r="I687">
        <v>1302</v>
      </c>
      <c r="J687" s="27" t="str">
        <f t="shared" si="32"/>
        <v>https://ia601606.us.archive.org/33/items/FinancialStatisticsOfStateAndLocalGovernmentsWealthDebtAndTaxation1932/Financial_statistics_of_state_and_local_governments_Wealth_debt_and_taxation_1932.pdf#page=1302</v>
      </c>
    </row>
    <row r="688" spans="1:10" x14ac:dyDescent="0.25">
      <c r="A688" s="27" t="s">
        <v>1225</v>
      </c>
      <c r="B688" s="27" t="str">
        <f t="shared" si="30"/>
        <v>North Carolina</v>
      </c>
      <c r="C688" s="27" t="str">
        <f t="shared" si="31"/>
        <v>Wilkes</v>
      </c>
      <c r="D688">
        <v>6</v>
      </c>
      <c r="F688">
        <v>254</v>
      </c>
      <c r="H688">
        <v>1932</v>
      </c>
      <c r="I688">
        <v>1302</v>
      </c>
      <c r="J688" s="27" t="str">
        <f t="shared" si="32"/>
        <v>https://ia601606.us.archive.org/33/items/FinancialStatisticsOfStateAndLocalGovernmentsWealthDebtAndTaxation1932/Financial_statistics_of_state_and_local_governments_Wealth_debt_and_taxation_1932.pdf#page=1302</v>
      </c>
    </row>
    <row r="689" spans="1:11" x14ac:dyDescent="0.25">
      <c r="A689" s="27" t="s">
        <v>1226</v>
      </c>
      <c r="B689" s="27" t="str">
        <f t="shared" si="30"/>
        <v>North Carolina</v>
      </c>
      <c r="C689" s="27" t="str">
        <f t="shared" si="31"/>
        <v>Wilson</v>
      </c>
      <c r="D689">
        <v>6</v>
      </c>
      <c r="F689">
        <v>393</v>
      </c>
      <c r="H689">
        <v>1932</v>
      </c>
      <c r="I689">
        <v>1302</v>
      </c>
      <c r="J689" s="27" t="str">
        <f t="shared" si="32"/>
        <v>https://ia601606.us.archive.org/33/items/FinancialStatisticsOfStateAndLocalGovernmentsWealthDebtAndTaxation1932/Financial_statistics_of_state_and_local_governments_Wealth_debt_and_taxation_1932.pdf#page=1302</v>
      </c>
    </row>
    <row r="690" spans="1:11" x14ac:dyDescent="0.25">
      <c r="A690" s="27" t="s">
        <v>1227</v>
      </c>
      <c r="B690" s="27" t="str">
        <f t="shared" si="30"/>
        <v>North Carolina</v>
      </c>
      <c r="C690" s="27" t="str">
        <f t="shared" si="31"/>
        <v>Yadkin</v>
      </c>
      <c r="D690">
        <v>1</v>
      </c>
      <c r="F690">
        <v>116</v>
      </c>
      <c r="H690">
        <v>1932</v>
      </c>
      <c r="I690">
        <v>1302</v>
      </c>
      <c r="J690" s="27" t="str">
        <f t="shared" si="32"/>
        <v>https://ia601606.us.archive.org/33/items/FinancialStatisticsOfStateAndLocalGovernmentsWealthDebtAndTaxation1932/Financial_statistics_of_state_and_local_governments_Wealth_debt_and_taxation_1932.pdf#page=1302</v>
      </c>
    </row>
    <row r="691" spans="1:11" x14ac:dyDescent="0.25">
      <c r="A691" s="27" t="s">
        <v>1228</v>
      </c>
      <c r="B691" s="27" t="str">
        <f t="shared" si="30"/>
        <v>North Carolina</v>
      </c>
      <c r="C691" s="27" t="str">
        <f t="shared" si="31"/>
        <v>Yancey</v>
      </c>
      <c r="D691">
        <v>1</v>
      </c>
      <c r="F691">
        <v>106</v>
      </c>
      <c r="H691">
        <v>1932</v>
      </c>
      <c r="I691">
        <v>1302</v>
      </c>
      <c r="J691" s="27" t="str">
        <f t="shared" si="32"/>
        <v>https://ia601606.us.archive.org/33/items/FinancialStatisticsOfStateAndLocalGovernmentsWealthDebtAndTaxation1932/Financial_statistics_of_state_and_local_governments_Wealth_debt_and_taxation_1932.pdf#page=1302</v>
      </c>
    </row>
    <row r="692" spans="1:11" x14ac:dyDescent="0.25">
      <c r="A692" s="27" t="s">
        <v>1715</v>
      </c>
      <c r="B692" s="27" t="str">
        <f t="shared" si="30"/>
        <v>North Carolina</v>
      </c>
      <c r="C692" s="27" t="str">
        <f t="shared" si="31"/>
        <v>MY TOTAL</v>
      </c>
      <c r="D692">
        <f>SUM(D592:D691)</f>
        <v>1715</v>
      </c>
      <c r="E692">
        <f>SUM(E592:E691)</f>
        <v>0</v>
      </c>
      <c r="F692">
        <f>SUM(F592:F691)</f>
        <v>27867</v>
      </c>
      <c r="G692">
        <f>SUM(G592:G691)</f>
        <v>0</v>
      </c>
      <c r="J692" s="27"/>
    </row>
    <row r="693" spans="1:11" x14ac:dyDescent="0.25">
      <c r="A693" s="27" t="s">
        <v>1716</v>
      </c>
      <c r="B693" s="27" t="str">
        <f t="shared" si="30"/>
        <v>North Carolina</v>
      </c>
      <c r="C693" s="27" t="str">
        <f t="shared" si="31"/>
        <v>REPORTED TOTAL</v>
      </c>
      <c r="D693" t="s">
        <v>336</v>
      </c>
      <c r="F693" t="s">
        <v>335</v>
      </c>
      <c r="J693" s="27"/>
      <c r="K693" t="s">
        <v>337</v>
      </c>
    </row>
    <row r="694" spans="1:11" x14ac:dyDescent="0.25">
      <c r="A694" s="27" t="s">
        <v>1367</v>
      </c>
      <c r="B694" s="27" t="str">
        <f t="shared" si="30"/>
        <v/>
      </c>
      <c r="C694" s="27" t="str">
        <f t="shared" si="31"/>
        <v/>
      </c>
      <c r="J694" s="27"/>
    </row>
    <row r="695" spans="1:11" x14ac:dyDescent="0.25">
      <c r="A695" s="27" t="s">
        <v>1229</v>
      </c>
      <c r="B695" s="27" t="str">
        <f t="shared" si="30"/>
        <v>South Carolina</v>
      </c>
      <c r="C695" s="27" t="str">
        <f t="shared" si="31"/>
        <v>Abbeville</v>
      </c>
      <c r="D695">
        <v>1</v>
      </c>
      <c r="G695">
        <v>121</v>
      </c>
      <c r="H695">
        <v>1932</v>
      </c>
      <c r="I695">
        <v>1583</v>
      </c>
      <c r="J695" s="27" t="str">
        <f t="shared" si="32"/>
        <v>https://ia601606.us.archive.org/33/items/FinancialStatisticsOfStateAndLocalGovernmentsWealthDebtAndTaxation1932/Financial_statistics_of_state_and_local_governments_Wealth_debt_and_taxation_1932.pdf#page=1583</v>
      </c>
    </row>
    <row r="696" spans="1:11" x14ac:dyDescent="0.25">
      <c r="A696" s="27" t="s">
        <v>1230</v>
      </c>
      <c r="B696" s="27" t="str">
        <f t="shared" si="30"/>
        <v>South Carolina</v>
      </c>
      <c r="C696" s="27" t="str">
        <f t="shared" si="31"/>
        <v>Aiken</v>
      </c>
      <c r="D696">
        <v>9</v>
      </c>
      <c r="G696">
        <v>241</v>
      </c>
      <c r="H696">
        <v>1932</v>
      </c>
      <c r="I696">
        <v>1583</v>
      </c>
      <c r="J696" s="27" t="str">
        <f t="shared" si="32"/>
        <v>https://ia601606.us.archive.org/33/items/FinancialStatisticsOfStateAndLocalGovernmentsWealthDebtAndTaxation1932/Financial_statistics_of_state_and_local_governments_Wealth_debt_and_taxation_1932.pdf#page=1583</v>
      </c>
    </row>
    <row r="697" spans="1:11" x14ac:dyDescent="0.25">
      <c r="A697" s="27" t="s">
        <v>1231</v>
      </c>
      <c r="B697" s="27" t="str">
        <f t="shared" si="30"/>
        <v>South Carolina</v>
      </c>
      <c r="C697" s="27" t="str">
        <f t="shared" si="31"/>
        <v>Allendale</v>
      </c>
      <c r="G697">
        <v>57</v>
      </c>
      <c r="H697">
        <v>1932</v>
      </c>
      <c r="I697">
        <v>1583</v>
      </c>
      <c r="J697" s="27" t="str">
        <f t="shared" si="32"/>
        <v>https://ia601606.us.archive.org/33/items/FinancialStatisticsOfStateAndLocalGovernmentsWealthDebtAndTaxation1932/Financial_statistics_of_state_and_local_governments_Wealth_debt_and_taxation_1932.pdf#page=1583</v>
      </c>
    </row>
    <row r="698" spans="1:11" x14ac:dyDescent="0.25">
      <c r="A698" s="27" t="s">
        <v>1232</v>
      </c>
      <c r="B698" s="27" t="str">
        <f t="shared" si="30"/>
        <v>South Carolina</v>
      </c>
      <c r="C698" s="27" t="str">
        <f t="shared" si="31"/>
        <v>Anderson</v>
      </c>
      <c r="D698">
        <v>7</v>
      </c>
      <c r="G698">
        <v>593</v>
      </c>
      <c r="H698">
        <v>1932</v>
      </c>
      <c r="I698">
        <v>1583</v>
      </c>
      <c r="J698" s="27" t="str">
        <f t="shared" si="32"/>
        <v>https://ia601606.us.archive.org/33/items/FinancialStatisticsOfStateAndLocalGovernmentsWealthDebtAndTaxation1932/Financial_statistics_of_state_and_local_governments_Wealth_debt_and_taxation_1932.pdf#page=1583</v>
      </c>
    </row>
    <row r="699" spans="1:11" x14ac:dyDescent="0.25">
      <c r="A699" s="27" t="s">
        <v>1233</v>
      </c>
      <c r="B699" s="27" t="str">
        <f t="shared" si="30"/>
        <v>South Carolina</v>
      </c>
      <c r="C699" s="27" t="str">
        <f t="shared" si="31"/>
        <v>Bamberg</v>
      </c>
      <c r="D699">
        <v>1</v>
      </c>
      <c r="G699">
        <v>109</v>
      </c>
      <c r="H699">
        <v>1932</v>
      </c>
      <c r="I699">
        <v>1584</v>
      </c>
      <c r="J699" s="27" t="str">
        <f t="shared" si="32"/>
        <v>https://ia601606.us.archive.org/33/items/FinancialStatisticsOfStateAndLocalGovernmentsWealthDebtAndTaxation1932/Financial_statistics_of_state_and_local_governments_Wealth_debt_and_taxation_1932.pdf#page=1584</v>
      </c>
    </row>
    <row r="700" spans="1:11" x14ac:dyDescent="0.25">
      <c r="A700" s="27" t="s">
        <v>1234</v>
      </c>
      <c r="B700" s="27" t="str">
        <f t="shared" si="30"/>
        <v>South Carolina</v>
      </c>
      <c r="C700" s="27" t="str">
        <f t="shared" si="31"/>
        <v>Barnwell</v>
      </c>
      <c r="D700">
        <v>1</v>
      </c>
      <c r="G700">
        <v>109</v>
      </c>
      <c r="H700">
        <v>1932</v>
      </c>
      <c r="I700">
        <v>1584</v>
      </c>
      <c r="J700" s="27" t="str">
        <f t="shared" si="32"/>
        <v>https://ia601606.us.archive.org/33/items/FinancialStatisticsOfStateAndLocalGovernmentsWealthDebtAndTaxation1932/Financial_statistics_of_state_and_local_governments_Wealth_debt_and_taxation_1932.pdf#page=1584</v>
      </c>
    </row>
    <row r="701" spans="1:11" x14ac:dyDescent="0.25">
      <c r="A701" s="27" t="s">
        <v>1235</v>
      </c>
      <c r="B701" s="27" t="str">
        <f t="shared" si="30"/>
        <v>South Carolina</v>
      </c>
      <c r="C701" s="27" t="str">
        <f t="shared" si="31"/>
        <v>Beaufort</v>
      </c>
      <c r="D701">
        <v>4</v>
      </c>
      <c r="G701">
        <v>87</v>
      </c>
      <c r="H701">
        <v>1932</v>
      </c>
      <c r="I701">
        <v>1584</v>
      </c>
      <c r="J701" s="27" t="str">
        <f t="shared" si="32"/>
        <v>https://ia601606.us.archive.org/33/items/FinancialStatisticsOfStateAndLocalGovernmentsWealthDebtAndTaxation1932/Financial_statistics_of_state_and_local_governments_Wealth_debt_and_taxation_1932.pdf#page=1584</v>
      </c>
    </row>
    <row r="702" spans="1:11" x14ac:dyDescent="0.25">
      <c r="A702" s="27" t="s">
        <v>1236</v>
      </c>
      <c r="B702" s="27" t="str">
        <f t="shared" si="30"/>
        <v>South Carolina</v>
      </c>
      <c r="C702" s="27" t="str">
        <f t="shared" si="31"/>
        <v>Berkeley</v>
      </c>
      <c r="D702">
        <v>3</v>
      </c>
      <c r="G702">
        <v>156</v>
      </c>
      <c r="H702">
        <v>1932</v>
      </c>
      <c r="I702">
        <v>1584</v>
      </c>
      <c r="J702" s="27" t="str">
        <f t="shared" si="32"/>
        <v>https://ia601606.us.archive.org/33/items/FinancialStatisticsOfStateAndLocalGovernmentsWealthDebtAndTaxation1932/Financial_statistics_of_state_and_local_governments_Wealth_debt_and_taxation_1932.pdf#page=1584</v>
      </c>
    </row>
    <row r="703" spans="1:11" x14ac:dyDescent="0.25">
      <c r="A703" s="27" t="s">
        <v>1237</v>
      </c>
      <c r="B703" s="27" t="str">
        <f t="shared" si="30"/>
        <v>South Carolina</v>
      </c>
      <c r="C703" s="27" t="str">
        <f t="shared" si="31"/>
        <v>Calhoun</v>
      </c>
      <c r="D703">
        <v>1</v>
      </c>
      <c r="G703">
        <v>69</v>
      </c>
      <c r="H703">
        <v>1932</v>
      </c>
      <c r="I703">
        <v>1584</v>
      </c>
      <c r="J703" s="27" t="str">
        <f t="shared" si="32"/>
        <v>https://ia601606.us.archive.org/33/items/FinancialStatisticsOfStateAndLocalGovernmentsWealthDebtAndTaxation1932/Financial_statistics_of_state_and_local_governments_Wealth_debt_and_taxation_1932.pdf#page=1584</v>
      </c>
    </row>
    <row r="704" spans="1:11" x14ac:dyDescent="0.25">
      <c r="A704" s="27" t="s">
        <v>1238</v>
      </c>
      <c r="B704" s="27" t="str">
        <f t="shared" si="30"/>
        <v>South Carolina</v>
      </c>
      <c r="C704" s="27" t="str">
        <f t="shared" si="31"/>
        <v>Charleston</v>
      </c>
      <c r="D704">
        <v>28</v>
      </c>
      <c r="F704">
        <v>20</v>
      </c>
      <c r="G704">
        <v>529</v>
      </c>
      <c r="H704">
        <v>1932</v>
      </c>
      <c r="I704">
        <v>1584</v>
      </c>
      <c r="J704" s="27" t="str">
        <f t="shared" si="32"/>
        <v>https://ia601606.us.archive.org/33/items/FinancialStatisticsOfStateAndLocalGovernmentsWealthDebtAndTaxation1932/Financial_statistics_of_state_and_local_governments_Wealth_debt_and_taxation_1932.pdf#page=1584</v>
      </c>
    </row>
    <row r="705" spans="1:10" x14ac:dyDescent="0.25">
      <c r="A705" s="27" t="s">
        <v>1239</v>
      </c>
      <c r="B705" s="27" t="str">
        <f t="shared" si="30"/>
        <v>South Carolina</v>
      </c>
      <c r="C705" s="27" t="str">
        <f t="shared" si="31"/>
        <v>Cherokee</v>
      </c>
      <c r="D705">
        <v>4</v>
      </c>
      <c r="F705" t="s">
        <v>341</v>
      </c>
      <c r="G705">
        <v>189</v>
      </c>
      <c r="H705">
        <v>1932</v>
      </c>
      <c r="I705">
        <v>1584</v>
      </c>
      <c r="J705" s="27" t="str">
        <f t="shared" si="32"/>
        <v>https://ia601606.us.archive.org/33/items/FinancialStatisticsOfStateAndLocalGovernmentsWealthDebtAndTaxation1932/Financial_statistics_of_state_and_local_governments_Wealth_debt_and_taxation_1932.pdf#page=1584</v>
      </c>
    </row>
    <row r="706" spans="1:10" x14ac:dyDescent="0.25">
      <c r="A706" s="27" t="s">
        <v>1240</v>
      </c>
      <c r="B706" s="27" t="str">
        <f t="shared" si="30"/>
        <v>South Carolina</v>
      </c>
      <c r="C706" s="27" t="str">
        <f t="shared" si="31"/>
        <v>Chester</v>
      </c>
      <c r="D706">
        <v>1</v>
      </c>
      <c r="G706">
        <v>206</v>
      </c>
      <c r="H706">
        <v>1932</v>
      </c>
      <c r="I706">
        <v>1584</v>
      </c>
      <c r="J706" s="27" t="str">
        <f t="shared" si="32"/>
        <v>https://ia601606.us.archive.org/33/items/FinancialStatisticsOfStateAndLocalGovernmentsWealthDebtAndTaxation1932/Financial_statistics_of_state_and_local_governments_Wealth_debt_and_taxation_1932.pdf#page=1584</v>
      </c>
    </row>
    <row r="707" spans="1:10" x14ac:dyDescent="0.25">
      <c r="A707" s="27" t="s">
        <v>1757</v>
      </c>
      <c r="B707" s="27" t="str">
        <f t="shared" ref="B707:B770" si="33">LEFT(A707,FIND(";",A707)-1)</f>
        <v>South Carolina</v>
      </c>
      <c r="C707" s="27" t="str">
        <f t="shared" ref="C707:C770" si="34">MID(A707,FIND(";",A707)+1,100)</f>
        <v>Chesterfield</v>
      </c>
      <c r="D707">
        <v>3</v>
      </c>
      <c r="G707">
        <v>188</v>
      </c>
      <c r="H707">
        <v>1932</v>
      </c>
      <c r="I707">
        <v>1584</v>
      </c>
      <c r="J707" s="27" t="str">
        <f t="shared" ref="J707:J770" si="35">"https://ia601606.us.archive.org/33/items/FinancialStatisticsOfStateAndLocalGovernmentsWealthDebtAndTaxation1932/Financial_statistics_of_state_and_local_governments_Wealth_debt_and_taxation_1932.pdf"&amp;"#page="&amp;I707</f>
        <v>https://ia601606.us.archive.org/33/items/FinancialStatisticsOfStateAndLocalGovernmentsWealthDebtAndTaxation1932/Financial_statistics_of_state_and_local_governments_Wealth_debt_and_taxation_1932.pdf#page=1584</v>
      </c>
    </row>
    <row r="708" spans="1:10" x14ac:dyDescent="0.25">
      <c r="A708" s="27" t="s">
        <v>1241</v>
      </c>
      <c r="B708" s="27" t="str">
        <f t="shared" si="33"/>
        <v>South Carolina</v>
      </c>
      <c r="C708" s="27" t="str">
        <f t="shared" si="34"/>
        <v>Clarendon</v>
      </c>
      <c r="D708">
        <v>1</v>
      </c>
      <c r="G708">
        <v>67</v>
      </c>
      <c r="H708">
        <v>1932</v>
      </c>
      <c r="I708">
        <v>1585</v>
      </c>
      <c r="J708" s="27" t="str">
        <f t="shared" si="35"/>
        <v>https://ia601606.us.archive.org/33/items/FinancialStatisticsOfStateAndLocalGovernmentsWealthDebtAndTaxation1932/Financial_statistics_of_state_and_local_governments_Wealth_debt_and_taxation_1932.pdf#page=1585</v>
      </c>
    </row>
    <row r="709" spans="1:10" x14ac:dyDescent="0.25">
      <c r="A709" s="27" t="s">
        <v>1242</v>
      </c>
      <c r="B709" s="27" t="str">
        <f t="shared" si="33"/>
        <v>South Carolina</v>
      </c>
      <c r="C709" s="27" t="str">
        <f t="shared" si="34"/>
        <v>Colleton</v>
      </c>
      <c r="D709">
        <v>1</v>
      </c>
      <c r="G709">
        <v>169</v>
      </c>
      <c r="H709">
        <v>1932</v>
      </c>
      <c r="I709">
        <v>1585</v>
      </c>
      <c r="J709" s="27" t="str">
        <f t="shared" si="35"/>
        <v>https://ia601606.us.archive.org/33/items/FinancialStatisticsOfStateAndLocalGovernmentsWealthDebtAndTaxation1932/Financial_statistics_of_state_and_local_governments_Wealth_debt_and_taxation_1932.pdf#page=1585</v>
      </c>
    </row>
    <row r="710" spans="1:10" x14ac:dyDescent="0.25">
      <c r="A710" s="27" t="s">
        <v>1243</v>
      </c>
      <c r="B710" s="27" t="str">
        <f t="shared" si="33"/>
        <v>South Carolina</v>
      </c>
      <c r="C710" s="27" t="str">
        <f t="shared" si="34"/>
        <v>Darlington</v>
      </c>
      <c r="D710">
        <v>3</v>
      </c>
      <c r="G710">
        <v>252</v>
      </c>
      <c r="H710">
        <v>1932</v>
      </c>
      <c r="I710">
        <v>1585</v>
      </c>
      <c r="J710" s="27" t="str">
        <f t="shared" si="35"/>
        <v>https://ia601606.us.archive.org/33/items/FinancialStatisticsOfStateAndLocalGovernmentsWealthDebtAndTaxation1932/Financial_statistics_of_state_and_local_governments_Wealth_debt_and_taxation_1932.pdf#page=1585</v>
      </c>
    </row>
    <row r="711" spans="1:10" x14ac:dyDescent="0.25">
      <c r="A711" s="27" t="s">
        <v>1244</v>
      </c>
      <c r="B711" s="27" t="str">
        <f t="shared" si="33"/>
        <v>South Carolina</v>
      </c>
      <c r="C711" s="27" t="str">
        <f t="shared" si="34"/>
        <v>Dillon</v>
      </c>
      <c r="D711">
        <v>2</v>
      </c>
      <c r="G711">
        <v>140</v>
      </c>
      <c r="H711">
        <v>1932</v>
      </c>
      <c r="I711">
        <v>1585</v>
      </c>
      <c r="J711" s="27" t="str">
        <f t="shared" si="35"/>
        <v>https://ia601606.us.archive.org/33/items/FinancialStatisticsOfStateAndLocalGovernmentsWealthDebtAndTaxation1932/Financial_statistics_of_state_and_local_governments_Wealth_debt_and_taxation_1932.pdf#page=1585</v>
      </c>
    </row>
    <row r="712" spans="1:10" x14ac:dyDescent="0.25">
      <c r="A712" s="27" t="s">
        <v>1245</v>
      </c>
      <c r="B712" s="27" t="str">
        <f t="shared" si="33"/>
        <v>South Carolina</v>
      </c>
      <c r="C712" s="27" t="str">
        <f t="shared" si="34"/>
        <v>Dorchester</v>
      </c>
      <c r="D712">
        <v>3</v>
      </c>
      <c r="G712">
        <v>78</v>
      </c>
      <c r="H712">
        <v>1932</v>
      </c>
      <c r="I712">
        <v>1586</v>
      </c>
      <c r="J712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13" spans="1:10" x14ac:dyDescent="0.25">
      <c r="A713" s="27" t="s">
        <v>1246</v>
      </c>
      <c r="B713" s="27" t="str">
        <f t="shared" si="33"/>
        <v>South Carolina</v>
      </c>
      <c r="C713" s="27" t="str">
        <f t="shared" si="34"/>
        <v>Edgefield</v>
      </c>
      <c r="D713">
        <v>1</v>
      </c>
      <c r="G713">
        <v>92</v>
      </c>
      <c r="H713">
        <v>1932</v>
      </c>
      <c r="I713">
        <v>1586</v>
      </c>
      <c r="J713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14" spans="1:10" x14ac:dyDescent="0.25">
      <c r="A714" s="27" t="s">
        <v>1247</v>
      </c>
      <c r="B714" s="27" t="str">
        <f t="shared" si="33"/>
        <v>South Carolina</v>
      </c>
      <c r="C714" s="27" t="str">
        <f t="shared" si="34"/>
        <v>Fairfield</v>
      </c>
      <c r="D714">
        <v>4</v>
      </c>
      <c r="G714">
        <v>162</v>
      </c>
      <c r="H714">
        <v>1932</v>
      </c>
      <c r="I714">
        <v>1586</v>
      </c>
      <c r="J714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15" spans="1:10" x14ac:dyDescent="0.25">
      <c r="A715" s="27" t="s">
        <v>1248</v>
      </c>
      <c r="B715" s="27" t="str">
        <f t="shared" si="33"/>
        <v>South Carolina</v>
      </c>
      <c r="C715" s="27" t="str">
        <f t="shared" si="34"/>
        <v>Florence</v>
      </c>
      <c r="D715">
        <v>5</v>
      </c>
      <c r="G715">
        <v>378</v>
      </c>
      <c r="H715">
        <v>1932</v>
      </c>
      <c r="I715">
        <v>1586</v>
      </c>
      <c r="J715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16" spans="1:10" x14ac:dyDescent="0.25">
      <c r="A716" s="27" t="s">
        <v>1249</v>
      </c>
      <c r="B716" s="27" t="str">
        <f t="shared" si="33"/>
        <v>South Carolina</v>
      </c>
      <c r="C716" s="27" t="str">
        <f t="shared" si="34"/>
        <v>Georgetown</v>
      </c>
      <c r="D716">
        <v>2</v>
      </c>
      <c r="G716">
        <v>135</v>
      </c>
      <c r="H716">
        <v>1932</v>
      </c>
      <c r="I716">
        <v>1586</v>
      </c>
      <c r="J716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17" spans="1:10" x14ac:dyDescent="0.25">
      <c r="A717" s="27" t="s">
        <v>1250</v>
      </c>
      <c r="B717" s="27" t="str">
        <f t="shared" si="33"/>
        <v>South Carolina</v>
      </c>
      <c r="C717" s="27" t="str">
        <f t="shared" si="34"/>
        <v>Greenville</v>
      </c>
      <c r="D717">
        <v>33</v>
      </c>
      <c r="G717">
        <v>1116</v>
      </c>
      <c r="H717">
        <v>1932</v>
      </c>
      <c r="I717">
        <v>1586</v>
      </c>
      <c r="J717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18" spans="1:10" x14ac:dyDescent="0.25">
      <c r="A718" s="27" t="s">
        <v>1758</v>
      </c>
      <c r="B718" s="27" t="str">
        <f t="shared" si="33"/>
        <v>South Carolina</v>
      </c>
      <c r="C718" s="27" t="str">
        <f t="shared" si="34"/>
        <v>Greenwood</v>
      </c>
      <c r="D718">
        <v>4</v>
      </c>
      <c r="F718">
        <v>5</v>
      </c>
      <c r="G718">
        <v>232</v>
      </c>
      <c r="H718">
        <v>1932</v>
      </c>
      <c r="I718">
        <v>1586</v>
      </c>
      <c r="J718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19" spans="1:10" x14ac:dyDescent="0.25">
      <c r="A719" s="27" t="s">
        <v>1251</v>
      </c>
      <c r="B719" s="27" t="str">
        <f t="shared" si="33"/>
        <v>South Carolina</v>
      </c>
      <c r="C719" s="27" t="str">
        <f t="shared" si="34"/>
        <v>Hampton</v>
      </c>
      <c r="D719">
        <v>1</v>
      </c>
      <c r="G719">
        <v>74</v>
      </c>
      <c r="H719">
        <v>1932</v>
      </c>
      <c r="I719">
        <v>1586</v>
      </c>
      <c r="J719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20" spans="1:10" x14ac:dyDescent="0.25">
      <c r="A720" s="27" t="s">
        <v>1252</v>
      </c>
      <c r="B720" s="27" t="str">
        <f t="shared" si="33"/>
        <v>South Carolina</v>
      </c>
      <c r="C720" s="27" t="str">
        <f t="shared" si="34"/>
        <v>Horry</v>
      </c>
      <c r="D720">
        <v>3</v>
      </c>
      <c r="G720">
        <v>266</v>
      </c>
      <c r="H720">
        <v>1932</v>
      </c>
      <c r="I720">
        <v>1586</v>
      </c>
      <c r="J720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21" spans="1:10" x14ac:dyDescent="0.25">
      <c r="A721" s="27" t="s">
        <v>1253</v>
      </c>
      <c r="B721" s="27" t="str">
        <f t="shared" si="33"/>
        <v>South Carolina</v>
      </c>
      <c r="C721" s="27" t="str">
        <f t="shared" si="34"/>
        <v>Jasper</v>
      </c>
      <c r="G721">
        <v>85</v>
      </c>
      <c r="H721">
        <v>1932</v>
      </c>
      <c r="I721">
        <v>1586</v>
      </c>
      <c r="J721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22" spans="1:10" x14ac:dyDescent="0.25">
      <c r="A722" s="27" t="s">
        <v>1254</v>
      </c>
      <c r="B722" s="27" t="str">
        <f t="shared" si="33"/>
        <v>South Carolina</v>
      </c>
      <c r="C722" s="27" t="str">
        <f t="shared" si="34"/>
        <v>Kershaw</v>
      </c>
      <c r="D722">
        <v>2</v>
      </c>
      <c r="G722">
        <v>204</v>
      </c>
      <c r="H722">
        <v>1932</v>
      </c>
      <c r="I722">
        <v>1586</v>
      </c>
      <c r="J722" s="27" t="str">
        <f t="shared" si="35"/>
        <v>https://ia601606.us.archive.org/33/items/FinancialStatisticsOfStateAndLocalGovernmentsWealthDebtAndTaxation1932/Financial_statistics_of_state_and_local_governments_Wealth_debt_and_taxation_1932.pdf#page=1586</v>
      </c>
    </row>
    <row r="723" spans="1:10" x14ac:dyDescent="0.25">
      <c r="A723" s="27" t="s">
        <v>1255</v>
      </c>
      <c r="B723" s="27" t="str">
        <f t="shared" si="33"/>
        <v>South Carolina</v>
      </c>
      <c r="C723" s="27" t="str">
        <f t="shared" si="34"/>
        <v>Lancaster</v>
      </c>
      <c r="G723">
        <v>70</v>
      </c>
      <c r="H723">
        <v>1932</v>
      </c>
      <c r="I723">
        <v>1587</v>
      </c>
      <c r="J723" s="27" t="str">
        <f t="shared" si="35"/>
        <v>https://ia601606.us.archive.org/33/items/FinancialStatisticsOfStateAndLocalGovernmentsWealthDebtAndTaxation1932/Financial_statistics_of_state_and_local_governments_Wealth_debt_and_taxation_1932.pdf#page=1587</v>
      </c>
    </row>
    <row r="724" spans="1:10" x14ac:dyDescent="0.25">
      <c r="A724" s="27" t="s">
        <v>1256</v>
      </c>
      <c r="B724" s="27" t="str">
        <f t="shared" si="33"/>
        <v>South Carolina</v>
      </c>
      <c r="C724" s="27" t="str">
        <f t="shared" si="34"/>
        <v>Laurens</v>
      </c>
      <c r="D724">
        <v>5</v>
      </c>
      <c r="G724">
        <v>247</v>
      </c>
      <c r="H724">
        <v>1932</v>
      </c>
      <c r="I724">
        <v>1587</v>
      </c>
      <c r="J724" s="27" t="str">
        <f t="shared" si="35"/>
        <v>https://ia601606.us.archive.org/33/items/FinancialStatisticsOfStateAndLocalGovernmentsWealthDebtAndTaxation1932/Financial_statistics_of_state_and_local_governments_Wealth_debt_and_taxation_1932.pdf#page=1587</v>
      </c>
    </row>
    <row r="725" spans="1:10" x14ac:dyDescent="0.25">
      <c r="A725" s="27" t="s">
        <v>1257</v>
      </c>
      <c r="B725" s="27" t="str">
        <f t="shared" si="33"/>
        <v>South Carolina</v>
      </c>
      <c r="C725" s="27" t="str">
        <f t="shared" si="34"/>
        <v>Lee</v>
      </c>
      <c r="D725">
        <v>3</v>
      </c>
      <c r="G725">
        <v>114</v>
      </c>
      <c r="H725">
        <v>1932</v>
      </c>
      <c r="I725">
        <v>1587</v>
      </c>
      <c r="J725" s="27" t="str">
        <f t="shared" si="35"/>
        <v>https://ia601606.us.archive.org/33/items/FinancialStatisticsOfStateAndLocalGovernmentsWealthDebtAndTaxation1932/Financial_statistics_of_state_and_local_governments_Wealth_debt_and_taxation_1932.pdf#page=1587</v>
      </c>
    </row>
    <row r="726" spans="1:10" x14ac:dyDescent="0.25">
      <c r="A726" s="27" t="s">
        <v>1258</v>
      </c>
      <c r="B726" s="27" t="str">
        <f t="shared" si="33"/>
        <v>South Carolina</v>
      </c>
      <c r="C726" s="27" t="str">
        <f t="shared" si="34"/>
        <v>Lexington</v>
      </c>
      <c r="D726">
        <v>2</v>
      </c>
      <c r="G726">
        <v>298</v>
      </c>
      <c r="H726">
        <v>1932</v>
      </c>
      <c r="I726">
        <v>1587</v>
      </c>
      <c r="J726" s="27" t="str">
        <f t="shared" si="35"/>
        <v>https://ia601606.us.archive.org/33/items/FinancialStatisticsOfStateAndLocalGovernmentsWealthDebtAndTaxation1932/Financial_statistics_of_state_and_local_governments_Wealth_debt_and_taxation_1932.pdf#page=1587</v>
      </c>
    </row>
    <row r="727" spans="1:10" x14ac:dyDescent="0.25">
      <c r="A727" s="27" t="s">
        <v>1259</v>
      </c>
      <c r="B727" s="27" t="str">
        <f t="shared" si="33"/>
        <v>South Carolina</v>
      </c>
      <c r="C727" s="27" t="str">
        <f t="shared" si="34"/>
        <v>McCormick</v>
      </c>
      <c r="G727">
        <v>40</v>
      </c>
      <c r="H727">
        <v>1932</v>
      </c>
      <c r="I727">
        <v>1587</v>
      </c>
      <c r="J727" s="27" t="str">
        <f t="shared" si="35"/>
        <v>https://ia601606.us.archive.org/33/items/FinancialStatisticsOfStateAndLocalGovernmentsWealthDebtAndTaxation1932/Financial_statistics_of_state_and_local_governments_Wealth_debt_and_taxation_1932.pdf#page=1587</v>
      </c>
    </row>
    <row r="728" spans="1:10" x14ac:dyDescent="0.25">
      <c r="A728" s="27" t="s">
        <v>1260</v>
      </c>
      <c r="B728" s="27" t="str">
        <f t="shared" si="33"/>
        <v>South Carolina</v>
      </c>
      <c r="C728" s="27" t="str">
        <f t="shared" si="34"/>
        <v>Marion</v>
      </c>
      <c r="D728">
        <v>2</v>
      </c>
      <c r="G728">
        <v>172</v>
      </c>
      <c r="H728">
        <v>1932</v>
      </c>
      <c r="I728">
        <v>1587</v>
      </c>
      <c r="J728" s="27" t="str">
        <f t="shared" si="35"/>
        <v>https://ia601606.us.archive.org/33/items/FinancialStatisticsOfStateAndLocalGovernmentsWealthDebtAndTaxation1932/Financial_statistics_of_state_and_local_governments_Wealth_debt_and_taxation_1932.pdf#page=1587</v>
      </c>
    </row>
    <row r="729" spans="1:10" x14ac:dyDescent="0.25">
      <c r="A729" s="27" t="s">
        <v>1261</v>
      </c>
      <c r="B729" s="27" t="str">
        <f t="shared" si="33"/>
        <v>South Carolina</v>
      </c>
      <c r="C729" s="27" t="str">
        <f t="shared" si="34"/>
        <v>Marlboro</v>
      </c>
      <c r="D729">
        <v>3</v>
      </c>
      <c r="G729">
        <v>127</v>
      </c>
      <c r="H729">
        <v>1932</v>
      </c>
      <c r="I729">
        <v>1588</v>
      </c>
      <c r="J729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0" spans="1:10" x14ac:dyDescent="0.25">
      <c r="A730" s="27" t="s">
        <v>1262</v>
      </c>
      <c r="B730" s="27" t="str">
        <f t="shared" si="33"/>
        <v>South Carolina</v>
      </c>
      <c r="C730" s="27" t="str">
        <f t="shared" si="34"/>
        <v>Newberry</v>
      </c>
      <c r="D730">
        <v>8</v>
      </c>
      <c r="G730">
        <v>264</v>
      </c>
      <c r="H730">
        <v>1932</v>
      </c>
      <c r="I730">
        <v>1588</v>
      </c>
      <c r="J730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1" spans="1:10" x14ac:dyDescent="0.25">
      <c r="A731" s="27" t="s">
        <v>1263</v>
      </c>
      <c r="B731" s="27" t="str">
        <f t="shared" si="33"/>
        <v>South Carolina</v>
      </c>
      <c r="C731" s="27" t="str">
        <f t="shared" si="34"/>
        <v>Oconee</v>
      </c>
      <c r="D731">
        <v>1</v>
      </c>
      <c r="G731">
        <v>292</v>
      </c>
      <c r="H731">
        <v>1932</v>
      </c>
      <c r="I731">
        <v>1588</v>
      </c>
      <c r="J731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2" spans="1:10" x14ac:dyDescent="0.25">
      <c r="A732" s="27" t="s">
        <v>1264</v>
      </c>
      <c r="B732" s="27" t="str">
        <f t="shared" si="33"/>
        <v>South Carolina</v>
      </c>
      <c r="C732" s="27" t="str">
        <f t="shared" si="34"/>
        <v>Orangeburg</v>
      </c>
      <c r="D732">
        <v>7</v>
      </c>
      <c r="G732">
        <v>307</v>
      </c>
      <c r="H732">
        <v>1932</v>
      </c>
      <c r="I732">
        <v>1588</v>
      </c>
      <c r="J732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3" spans="1:10" x14ac:dyDescent="0.25">
      <c r="A733" s="27" t="s">
        <v>1265</v>
      </c>
      <c r="B733" s="27" t="str">
        <f t="shared" si="33"/>
        <v>South Carolina</v>
      </c>
      <c r="C733" s="27" t="str">
        <f t="shared" si="34"/>
        <v>Pickens</v>
      </c>
      <c r="D733">
        <v>2</v>
      </c>
      <c r="G733">
        <v>291</v>
      </c>
      <c r="H733">
        <v>1932</v>
      </c>
      <c r="I733">
        <v>1588</v>
      </c>
      <c r="J733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4" spans="1:10" x14ac:dyDescent="0.25">
      <c r="A734" s="27" t="s">
        <v>1266</v>
      </c>
      <c r="B734" s="27" t="str">
        <f t="shared" si="33"/>
        <v>South Carolina</v>
      </c>
      <c r="C734" s="27" t="str">
        <f t="shared" si="34"/>
        <v>Richland</v>
      </c>
      <c r="D734">
        <v>12</v>
      </c>
      <c r="G734">
        <v>730</v>
      </c>
      <c r="H734">
        <v>1932</v>
      </c>
      <c r="I734">
        <v>1588</v>
      </c>
      <c r="J734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5" spans="1:10" x14ac:dyDescent="0.25">
      <c r="A735" s="27" t="s">
        <v>1267</v>
      </c>
      <c r="B735" s="27" t="str">
        <f t="shared" si="33"/>
        <v>South Carolina</v>
      </c>
      <c r="C735" s="27" t="str">
        <f t="shared" si="34"/>
        <v>Saluda</v>
      </c>
      <c r="D735">
        <v>8</v>
      </c>
      <c r="G735">
        <v>87</v>
      </c>
      <c r="H735">
        <v>1932</v>
      </c>
      <c r="I735">
        <v>1588</v>
      </c>
      <c r="J735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6" spans="1:10" x14ac:dyDescent="0.25">
      <c r="A736" s="27" t="s">
        <v>1268</v>
      </c>
      <c r="B736" s="27" t="str">
        <f t="shared" si="33"/>
        <v>South Carolina</v>
      </c>
      <c r="C736" s="27" t="str">
        <f t="shared" si="34"/>
        <v>Spartanburg</v>
      </c>
      <c r="D736">
        <v>78</v>
      </c>
      <c r="G736">
        <v>721</v>
      </c>
      <c r="H736">
        <v>1932</v>
      </c>
      <c r="I736">
        <v>1588</v>
      </c>
      <c r="J736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7" spans="1:10" x14ac:dyDescent="0.25">
      <c r="A737" s="27" t="s">
        <v>1269</v>
      </c>
      <c r="B737" s="27" t="str">
        <f t="shared" si="33"/>
        <v>South Carolina</v>
      </c>
      <c r="C737" s="27" t="str">
        <f t="shared" si="34"/>
        <v>Sumter</v>
      </c>
      <c r="D737">
        <v>2</v>
      </c>
      <c r="G737">
        <v>238</v>
      </c>
      <c r="H737">
        <v>1932</v>
      </c>
      <c r="I737">
        <v>1588</v>
      </c>
      <c r="J737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8" spans="1:10" x14ac:dyDescent="0.25">
      <c r="A738" s="27" t="s">
        <v>1270</v>
      </c>
      <c r="B738" s="27" t="str">
        <f t="shared" si="33"/>
        <v>South Carolina</v>
      </c>
      <c r="C738" s="27" t="str">
        <f t="shared" si="34"/>
        <v>Union</v>
      </c>
      <c r="G738">
        <v>260</v>
      </c>
      <c r="H738">
        <v>1932</v>
      </c>
      <c r="I738">
        <v>1588</v>
      </c>
      <c r="J738" s="27" t="str">
        <f t="shared" si="35"/>
        <v>https://ia601606.us.archive.org/33/items/FinancialStatisticsOfStateAndLocalGovernmentsWealthDebtAndTaxation1932/Financial_statistics_of_state_and_local_governments_Wealth_debt_and_taxation_1932.pdf#page=1588</v>
      </c>
    </row>
    <row r="739" spans="1:10" x14ac:dyDescent="0.25">
      <c r="A739" s="27" t="s">
        <v>1717</v>
      </c>
      <c r="B739" s="27" t="str">
        <f t="shared" si="33"/>
        <v>South Carolina</v>
      </c>
      <c r="C739" s="27" t="str">
        <f t="shared" si="34"/>
        <v>WilliamsBurg</v>
      </c>
      <c r="D739">
        <v>1</v>
      </c>
      <c r="G739">
        <v>161</v>
      </c>
      <c r="H739">
        <v>1932</v>
      </c>
      <c r="I739">
        <v>1589</v>
      </c>
      <c r="J739" s="27" t="str">
        <f t="shared" si="35"/>
        <v>https://ia601606.us.archive.org/33/items/FinancialStatisticsOfStateAndLocalGovernmentsWealthDebtAndTaxation1932/Financial_statistics_of_state_and_local_governments_Wealth_debt_and_taxation_1932.pdf#page=1589</v>
      </c>
    </row>
    <row r="740" spans="1:10" x14ac:dyDescent="0.25">
      <c r="A740" s="27" t="s">
        <v>1272</v>
      </c>
      <c r="B740" s="27" t="str">
        <f t="shared" si="33"/>
        <v>South Carolina</v>
      </c>
      <c r="C740" s="27" t="str">
        <f t="shared" si="34"/>
        <v>York</v>
      </c>
      <c r="D740">
        <v>2</v>
      </c>
      <c r="G740">
        <v>390</v>
      </c>
      <c r="H740">
        <v>1932</v>
      </c>
      <c r="I740">
        <v>1589</v>
      </c>
      <c r="J740" s="27" t="str">
        <f t="shared" si="35"/>
        <v>https://ia601606.us.archive.org/33/items/FinancialStatisticsOfStateAndLocalGovernmentsWealthDebtAndTaxation1932/Financial_statistics_of_state_and_local_governments_Wealth_debt_and_taxation_1932.pdf#page=1589</v>
      </c>
    </row>
    <row r="741" spans="1:10" x14ac:dyDescent="0.25">
      <c r="A741" s="27" t="s">
        <v>1718</v>
      </c>
      <c r="B741" s="27" t="str">
        <f t="shared" si="33"/>
        <v>South Carolina</v>
      </c>
      <c r="C741" s="27" t="str">
        <f t="shared" si="34"/>
        <v>My Total</v>
      </c>
      <c r="D741">
        <f>SUM(D695:D740)</f>
        <v>264</v>
      </c>
      <c r="E741">
        <f>SUM(E695:E740)</f>
        <v>0</v>
      </c>
      <c r="F741">
        <f>SUM(F695:F740)</f>
        <v>25</v>
      </c>
      <c r="G741">
        <f>SUM(G695:G740)</f>
        <v>10913</v>
      </c>
      <c r="J741" s="27" t="str">
        <f t="shared" si="35"/>
        <v>https://ia601606.us.archive.org/33/items/FinancialStatisticsOfStateAndLocalGovernmentsWealthDebtAndTaxation1932/Financial_statistics_of_state_and_local_governments_Wealth_debt_and_taxation_1932.pdf#page=</v>
      </c>
    </row>
    <row r="742" spans="1:10" x14ac:dyDescent="0.25">
      <c r="A742" s="27" t="s">
        <v>1719</v>
      </c>
      <c r="B742" s="27" t="str">
        <f t="shared" si="33"/>
        <v>South Carolina</v>
      </c>
      <c r="C742" s="27" t="str">
        <f t="shared" si="34"/>
        <v>Reported Total</v>
      </c>
      <c r="D742" t="s">
        <v>339</v>
      </c>
      <c r="G742" t="s">
        <v>340</v>
      </c>
      <c r="J742" s="27" t="str">
        <f t="shared" si="35"/>
        <v>https://ia601606.us.archive.org/33/items/FinancialStatisticsOfStateAndLocalGovernmentsWealthDebtAndTaxation1932/Financial_statistics_of_state_and_local_governments_Wealth_debt_and_taxation_1932.pdf#page=</v>
      </c>
    </row>
    <row r="743" spans="1:10" x14ac:dyDescent="0.25">
      <c r="A743" s="27" t="s">
        <v>1367</v>
      </c>
      <c r="B743" s="27" t="str">
        <f t="shared" si="33"/>
        <v/>
      </c>
      <c r="C743" s="27" t="str">
        <f t="shared" si="34"/>
        <v/>
      </c>
      <c r="J743" s="27" t="str">
        <f t="shared" si="35"/>
        <v>https://ia601606.us.archive.org/33/items/FinancialStatisticsOfStateAndLocalGovernmentsWealthDebtAndTaxation1932/Financial_statistics_of_state_and_local_governments_Wealth_debt_and_taxation_1932.pdf#page=</v>
      </c>
    </row>
    <row r="744" spans="1:10" x14ac:dyDescent="0.25">
      <c r="A744" s="27" t="s">
        <v>1275</v>
      </c>
      <c r="B744" s="27" t="str">
        <f t="shared" si="33"/>
        <v>Tennessee</v>
      </c>
      <c r="C744" s="27" t="str">
        <f t="shared" si="34"/>
        <v>Anderson</v>
      </c>
      <c r="F744">
        <v>20</v>
      </c>
      <c r="G744">
        <v>129</v>
      </c>
      <c r="H744">
        <v>1932</v>
      </c>
      <c r="I744">
        <v>1657</v>
      </c>
      <c r="J744" s="27" t="str">
        <f t="shared" si="35"/>
        <v>https://ia601606.us.archive.org/33/items/FinancialStatisticsOfStateAndLocalGovernmentsWealthDebtAndTaxation1932/Financial_statistics_of_state_and_local_governments_Wealth_debt_and_taxation_1932.pdf#page=1657</v>
      </c>
    </row>
    <row r="745" spans="1:10" x14ac:dyDescent="0.25">
      <c r="A745" s="27" t="s">
        <v>1276</v>
      </c>
      <c r="B745" s="27" t="str">
        <f t="shared" si="33"/>
        <v>Tennessee</v>
      </c>
      <c r="C745" s="27" t="str">
        <f t="shared" si="34"/>
        <v>Bedford</v>
      </c>
      <c r="D745">
        <v>2</v>
      </c>
      <c r="F745">
        <v>31</v>
      </c>
      <c r="G745">
        <v>102</v>
      </c>
      <c r="H745">
        <v>1932</v>
      </c>
      <c r="I745">
        <v>1657</v>
      </c>
      <c r="J745" s="27" t="str">
        <f t="shared" si="35"/>
        <v>https://ia601606.us.archive.org/33/items/FinancialStatisticsOfStateAndLocalGovernmentsWealthDebtAndTaxation1932/Financial_statistics_of_state_and_local_governments_Wealth_debt_and_taxation_1932.pdf#page=1657</v>
      </c>
    </row>
    <row r="746" spans="1:10" x14ac:dyDescent="0.25">
      <c r="A746" s="27" t="s">
        <v>1277</v>
      </c>
      <c r="B746" s="27" t="str">
        <f t="shared" si="33"/>
        <v>Tennessee</v>
      </c>
      <c r="C746" s="27" t="str">
        <f t="shared" si="34"/>
        <v>Benton</v>
      </c>
      <c r="D746">
        <v>1</v>
      </c>
      <c r="F746">
        <v>5</v>
      </c>
      <c r="G746">
        <v>76</v>
      </c>
      <c r="H746">
        <v>1932</v>
      </c>
      <c r="I746">
        <v>1657</v>
      </c>
      <c r="J746" s="27" t="str">
        <f t="shared" si="35"/>
        <v>https://ia601606.us.archive.org/33/items/FinancialStatisticsOfStateAndLocalGovernmentsWealthDebtAndTaxation1932/Financial_statistics_of_state_and_local_governments_Wealth_debt_and_taxation_1932.pdf#page=1657</v>
      </c>
    </row>
    <row r="747" spans="1:10" x14ac:dyDescent="0.25">
      <c r="A747" s="27" t="s">
        <v>1759</v>
      </c>
      <c r="B747" s="27" t="str">
        <f t="shared" si="33"/>
        <v>Tennessee</v>
      </c>
      <c r="C747" s="27" t="str">
        <f t="shared" si="34"/>
        <v>Bledsoe</v>
      </c>
      <c r="D747">
        <v>1</v>
      </c>
      <c r="G747">
        <v>28</v>
      </c>
      <c r="H747">
        <v>1932</v>
      </c>
      <c r="I747">
        <v>1657</v>
      </c>
      <c r="J747" s="27" t="str">
        <f t="shared" si="35"/>
        <v>https://ia601606.us.archive.org/33/items/FinancialStatisticsOfStateAndLocalGovernmentsWealthDebtAndTaxation1932/Financial_statistics_of_state_and_local_governments_Wealth_debt_and_taxation_1932.pdf#page=1657</v>
      </c>
    </row>
    <row r="748" spans="1:10" x14ac:dyDescent="0.25">
      <c r="A748" s="27" t="s">
        <v>1278</v>
      </c>
      <c r="B748" s="27" t="str">
        <f t="shared" si="33"/>
        <v>Tennessee</v>
      </c>
      <c r="C748" s="27" t="str">
        <f t="shared" si="34"/>
        <v>Blount</v>
      </c>
      <c r="D748">
        <v>3</v>
      </c>
      <c r="G748">
        <v>189</v>
      </c>
      <c r="H748">
        <v>1932</v>
      </c>
      <c r="I748">
        <v>1658</v>
      </c>
      <c r="J748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49" spans="1:10" x14ac:dyDescent="0.25">
      <c r="A749" s="27" t="s">
        <v>1279</v>
      </c>
      <c r="B749" s="27" t="str">
        <f t="shared" si="33"/>
        <v>Tennessee</v>
      </c>
      <c r="C749" s="27" t="str">
        <f t="shared" si="34"/>
        <v>Bradley</v>
      </c>
      <c r="D749">
        <v>5</v>
      </c>
      <c r="F749">
        <v>55</v>
      </c>
      <c r="G749">
        <v>154</v>
      </c>
      <c r="H749">
        <v>1932</v>
      </c>
      <c r="I749">
        <v>1658</v>
      </c>
      <c r="J749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0" spans="1:10" x14ac:dyDescent="0.25">
      <c r="A750" s="27" t="s">
        <v>1280</v>
      </c>
      <c r="B750" s="27" t="str">
        <f t="shared" si="33"/>
        <v>Tennessee</v>
      </c>
      <c r="C750" s="27" t="str">
        <f t="shared" si="34"/>
        <v>Campbell</v>
      </c>
      <c r="D750">
        <v>2</v>
      </c>
      <c r="G750">
        <v>207</v>
      </c>
      <c r="H750">
        <v>1932</v>
      </c>
      <c r="I750">
        <v>1658</v>
      </c>
      <c r="J750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1" spans="1:10" x14ac:dyDescent="0.25">
      <c r="A751" s="27" t="s">
        <v>1281</v>
      </c>
      <c r="B751" s="27" t="str">
        <f t="shared" si="33"/>
        <v>Tennessee</v>
      </c>
      <c r="C751" s="27" t="str">
        <f t="shared" si="34"/>
        <v>Cannon</v>
      </c>
      <c r="G751">
        <v>75</v>
      </c>
      <c r="H751">
        <v>1932</v>
      </c>
      <c r="I751">
        <v>1658</v>
      </c>
      <c r="J751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2" spans="1:10" x14ac:dyDescent="0.25">
      <c r="A752" s="27" t="s">
        <v>1282</v>
      </c>
      <c r="B752" s="27" t="str">
        <f t="shared" si="33"/>
        <v>Tennessee</v>
      </c>
      <c r="C752" s="27" t="str">
        <f t="shared" si="34"/>
        <v>Carroll</v>
      </c>
      <c r="D752">
        <v>2</v>
      </c>
      <c r="F752">
        <v>6</v>
      </c>
      <c r="G752">
        <v>187</v>
      </c>
      <c r="H752">
        <v>1932</v>
      </c>
      <c r="I752">
        <v>1658</v>
      </c>
      <c r="J752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3" spans="1:10" x14ac:dyDescent="0.25">
      <c r="A753" s="27" t="s">
        <v>1283</v>
      </c>
      <c r="B753" s="27" t="str">
        <f t="shared" si="33"/>
        <v>Tennessee</v>
      </c>
      <c r="C753" s="27" t="str">
        <f t="shared" si="34"/>
        <v>Carter</v>
      </c>
      <c r="D753">
        <v>3</v>
      </c>
      <c r="F753">
        <v>33</v>
      </c>
      <c r="G753">
        <v>188</v>
      </c>
      <c r="H753">
        <v>1932</v>
      </c>
      <c r="I753">
        <v>1658</v>
      </c>
      <c r="J753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4" spans="1:10" x14ac:dyDescent="0.25">
      <c r="A754" s="27" t="s">
        <v>1284</v>
      </c>
      <c r="B754" s="27" t="str">
        <f t="shared" si="33"/>
        <v>Tennessee</v>
      </c>
      <c r="C754" s="27" t="str">
        <f t="shared" si="34"/>
        <v>Cheatham</v>
      </c>
      <c r="G754">
        <v>69</v>
      </c>
      <c r="H754">
        <v>1932</v>
      </c>
      <c r="I754">
        <v>1658</v>
      </c>
      <c r="J754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5" spans="1:10" x14ac:dyDescent="0.25">
      <c r="A755" s="27" t="s">
        <v>1285</v>
      </c>
      <c r="B755" s="27" t="str">
        <f t="shared" si="33"/>
        <v>Tennessee</v>
      </c>
      <c r="C755" s="27" t="str">
        <f t="shared" si="34"/>
        <v>Chester</v>
      </c>
      <c r="G755">
        <v>52</v>
      </c>
      <c r="H755">
        <v>1932</v>
      </c>
      <c r="I755">
        <v>1658</v>
      </c>
      <c r="J755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6" spans="1:10" x14ac:dyDescent="0.25">
      <c r="A756" s="27" t="s">
        <v>1286</v>
      </c>
      <c r="B756" s="27" t="str">
        <f t="shared" si="33"/>
        <v>Tennessee</v>
      </c>
      <c r="C756" s="27" t="str">
        <f t="shared" si="34"/>
        <v>Claiborne</v>
      </c>
      <c r="G756">
        <v>154</v>
      </c>
      <c r="H756">
        <v>1932</v>
      </c>
      <c r="I756">
        <v>1658</v>
      </c>
      <c r="J756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7" spans="1:10" x14ac:dyDescent="0.25">
      <c r="A757" s="27" t="s">
        <v>1287</v>
      </c>
      <c r="B757" s="27" t="str">
        <f t="shared" si="33"/>
        <v>Tennessee</v>
      </c>
      <c r="C757" s="27" t="str">
        <f t="shared" si="34"/>
        <v>Clay</v>
      </c>
      <c r="G757">
        <v>57</v>
      </c>
      <c r="H757">
        <v>1932</v>
      </c>
      <c r="I757">
        <v>1658</v>
      </c>
      <c r="J757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8" spans="1:10" x14ac:dyDescent="0.25">
      <c r="A758" s="27" t="s">
        <v>1288</v>
      </c>
      <c r="B758" s="27" t="str">
        <f t="shared" si="33"/>
        <v>Tennessee</v>
      </c>
      <c r="C758" s="27" t="str">
        <f t="shared" si="34"/>
        <v>Cocke</v>
      </c>
      <c r="D758">
        <v>1</v>
      </c>
      <c r="F758">
        <v>18</v>
      </c>
      <c r="G758">
        <v>131</v>
      </c>
      <c r="H758">
        <v>1932</v>
      </c>
      <c r="I758">
        <v>1658</v>
      </c>
      <c r="J758" s="27" t="str">
        <f t="shared" si="35"/>
        <v>https://ia601606.us.archive.org/33/items/FinancialStatisticsOfStateAndLocalGovernmentsWealthDebtAndTaxation1932/Financial_statistics_of_state_and_local_governments_Wealth_debt_and_taxation_1932.pdf#page=1658</v>
      </c>
    </row>
    <row r="759" spans="1:10" x14ac:dyDescent="0.25">
      <c r="A759" s="27" t="s">
        <v>1289</v>
      </c>
      <c r="B759" s="27" t="str">
        <f t="shared" si="33"/>
        <v>Tennessee</v>
      </c>
      <c r="C759" s="27" t="str">
        <f t="shared" si="34"/>
        <v>Coffee</v>
      </c>
      <c r="F759">
        <v>33</v>
      </c>
      <c r="G759">
        <v>105</v>
      </c>
      <c r="H759">
        <v>1932</v>
      </c>
      <c r="I759">
        <v>1659</v>
      </c>
      <c r="J759" s="27" t="str">
        <f t="shared" si="35"/>
        <v>https://ia601606.us.archive.org/33/items/FinancialStatisticsOfStateAndLocalGovernmentsWealthDebtAndTaxation1932/Financial_statistics_of_state_and_local_governments_Wealth_debt_and_taxation_1932.pdf#page=1659</v>
      </c>
    </row>
    <row r="760" spans="1:10" x14ac:dyDescent="0.25">
      <c r="A760" s="27" t="s">
        <v>1290</v>
      </c>
      <c r="B760" s="27" t="str">
        <f t="shared" si="33"/>
        <v>Tennessee</v>
      </c>
      <c r="C760" s="27" t="str">
        <f t="shared" si="34"/>
        <v>Crockett</v>
      </c>
      <c r="F760">
        <v>24</v>
      </c>
      <c r="G760">
        <v>64</v>
      </c>
      <c r="H760">
        <v>1932</v>
      </c>
      <c r="I760">
        <v>1659</v>
      </c>
      <c r="J760" s="27" t="str">
        <f t="shared" si="35"/>
        <v>https://ia601606.us.archive.org/33/items/FinancialStatisticsOfStateAndLocalGovernmentsWealthDebtAndTaxation1932/Financial_statistics_of_state_and_local_governments_Wealth_debt_and_taxation_1932.pdf#page=1659</v>
      </c>
    </row>
    <row r="761" spans="1:10" x14ac:dyDescent="0.25">
      <c r="A761" s="27" t="s">
        <v>1291</v>
      </c>
      <c r="B761" s="27" t="str">
        <f t="shared" si="33"/>
        <v>Tennessee</v>
      </c>
      <c r="C761" s="27" t="str">
        <f t="shared" si="34"/>
        <v>Cumberland</v>
      </c>
      <c r="D761">
        <v>1</v>
      </c>
      <c r="F761">
        <v>7</v>
      </c>
      <c r="G761">
        <v>74</v>
      </c>
      <c r="H761">
        <v>1932</v>
      </c>
      <c r="I761">
        <v>1659</v>
      </c>
      <c r="J761" s="27" t="str">
        <f t="shared" si="35"/>
        <v>https://ia601606.us.archive.org/33/items/FinancialStatisticsOfStateAndLocalGovernmentsWealthDebtAndTaxation1932/Financial_statistics_of_state_and_local_governments_Wealth_debt_and_taxation_1932.pdf#page=1659</v>
      </c>
    </row>
    <row r="762" spans="1:10" x14ac:dyDescent="0.25">
      <c r="A762" s="27" t="s">
        <v>1292</v>
      </c>
      <c r="B762" s="27" t="str">
        <f t="shared" si="33"/>
        <v>Tennessee</v>
      </c>
      <c r="C762" s="27" t="str">
        <f t="shared" si="34"/>
        <v>Davidson</v>
      </c>
      <c r="D762">
        <v>37</v>
      </c>
      <c r="G762">
        <v>1157</v>
      </c>
      <c r="H762">
        <v>1932</v>
      </c>
      <c r="I762">
        <v>1659</v>
      </c>
      <c r="J762" s="27" t="str">
        <f t="shared" si="35"/>
        <v>https://ia601606.us.archive.org/33/items/FinancialStatisticsOfStateAndLocalGovernmentsWealthDebtAndTaxation1932/Financial_statistics_of_state_and_local_governments_Wealth_debt_and_taxation_1932.pdf#page=1659</v>
      </c>
    </row>
    <row r="763" spans="1:10" x14ac:dyDescent="0.25">
      <c r="A763" s="27" t="s">
        <v>1293</v>
      </c>
      <c r="B763" s="27" t="str">
        <f t="shared" si="33"/>
        <v>Tennessee</v>
      </c>
      <c r="C763" s="27" t="str">
        <f t="shared" si="34"/>
        <v>Decatur</v>
      </c>
      <c r="G763">
        <v>78</v>
      </c>
      <c r="H763">
        <v>1932</v>
      </c>
      <c r="I763">
        <v>1659</v>
      </c>
      <c r="J763" s="27" t="str">
        <f t="shared" si="35"/>
        <v>https://ia601606.us.archive.org/33/items/FinancialStatisticsOfStateAndLocalGovernmentsWealthDebtAndTaxation1932/Financial_statistics_of_state_and_local_governments_Wealth_debt_and_taxation_1932.pdf#page=1659</v>
      </c>
    </row>
    <row r="764" spans="1:10" x14ac:dyDescent="0.25">
      <c r="A764" s="27" t="s">
        <v>1760</v>
      </c>
      <c r="B764" s="27" t="str">
        <f t="shared" si="33"/>
        <v>Tennessee</v>
      </c>
      <c r="C764" s="27" t="str">
        <f t="shared" si="34"/>
        <v>DeKalb</v>
      </c>
      <c r="D764">
        <v>1</v>
      </c>
      <c r="G764">
        <v>89</v>
      </c>
      <c r="H764">
        <v>1932</v>
      </c>
      <c r="I764">
        <v>1659</v>
      </c>
      <c r="J764" s="27" t="str">
        <f t="shared" si="35"/>
        <v>https://ia601606.us.archive.org/33/items/FinancialStatisticsOfStateAndLocalGovernmentsWealthDebtAndTaxation1932/Financial_statistics_of_state_and_local_governments_Wealth_debt_and_taxation_1932.pdf#page=1659</v>
      </c>
    </row>
    <row r="765" spans="1:10" x14ac:dyDescent="0.25">
      <c r="A765" s="27" t="s">
        <v>1294</v>
      </c>
      <c r="B765" s="27" t="str">
        <f t="shared" si="33"/>
        <v>Tennessee</v>
      </c>
      <c r="C765" s="27" t="str">
        <f t="shared" si="34"/>
        <v>Dickson</v>
      </c>
      <c r="D765">
        <v>2</v>
      </c>
      <c r="G765">
        <v>117</v>
      </c>
      <c r="H765">
        <v>1932</v>
      </c>
      <c r="I765">
        <v>1660</v>
      </c>
      <c r="J765" s="27" t="str">
        <f t="shared" si="35"/>
        <v>https://ia601606.us.archive.org/33/items/FinancialStatisticsOfStateAndLocalGovernmentsWealthDebtAndTaxation1932/Financial_statistics_of_state_and_local_governments_Wealth_debt_and_taxation_1932.pdf#page=1660</v>
      </c>
    </row>
    <row r="766" spans="1:10" x14ac:dyDescent="0.25">
      <c r="A766" s="27" t="s">
        <v>1295</v>
      </c>
      <c r="B766" s="27" t="str">
        <f t="shared" si="33"/>
        <v>Tennessee</v>
      </c>
      <c r="C766" s="27" t="str">
        <f t="shared" si="34"/>
        <v>Dyer</v>
      </c>
      <c r="D766">
        <v>3</v>
      </c>
      <c r="F766">
        <v>26</v>
      </c>
      <c r="G766">
        <v>147</v>
      </c>
      <c r="H766">
        <v>1932</v>
      </c>
      <c r="I766">
        <v>1660</v>
      </c>
      <c r="J766" s="27" t="str">
        <f t="shared" si="35"/>
        <v>https://ia601606.us.archive.org/33/items/FinancialStatisticsOfStateAndLocalGovernmentsWealthDebtAndTaxation1932/Financial_statistics_of_state_and_local_governments_Wealth_debt_and_taxation_1932.pdf#page=1660</v>
      </c>
    </row>
    <row r="767" spans="1:10" x14ac:dyDescent="0.25">
      <c r="A767" s="27" t="s">
        <v>1296</v>
      </c>
      <c r="B767" s="27" t="str">
        <f t="shared" si="33"/>
        <v>Tennessee</v>
      </c>
      <c r="C767" s="27" t="str">
        <f t="shared" si="34"/>
        <v>Fayette</v>
      </c>
      <c r="D767">
        <v>1</v>
      </c>
      <c r="G767">
        <v>126</v>
      </c>
      <c r="H767">
        <v>1932</v>
      </c>
      <c r="I767">
        <v>1660</v>
      </c>
      <c r="J767" s="27" t="str">
        <f t="shared" si="35"/>
        <v>https://ia601606.us.archive.org/33/items/FinancialStatisticsOfStateAndLocalGovernmentsWealthDebtAndTaxation1932/Financial_statistics_of_state_and_local_governments_Wealth_debt_and_taxation_1932.pdf#page=1660</v>
      </c>
    </row>
    <row r="768" spans="1:10" x14ac:dyDescent="0.25">
      <c r="A768" s="27" t="s">
        <v>1297</v>
      </c>
      <c r="B768" s="27" t="str">
        <f t="shared" si="33"/>
        <v>Tennessee</v>
      </c>
      <c r="C768" s="27" t="str">
        <f t="shared" si="34"/>
        <v>Fentress</v>
      </c>
      <c r="D768">
        <v>3</v>
      </c>
      <c r="G768">
        <v>67</v>
      </c>
      <c r="H768">
        <v>1932</v>
      </c>
      <c r="I768">
        <v>1660</v>
      </c>
      <c r="J768" s="27" t="str">
        <f t="shared" si="35"/>
        <v>https://ia601606.us.archive.org/33/items/FinancialStatisticsOfStateAndLocalGovernmentsWealthDebtAndTaxation1932/Financial_statistics_of_state_and_local_governments_Wealth_debt_and_taxation_1932.pdf#page=1660</v>
      </c>
    </row>
    <row r="769" spans="1:10" x14ac:dyDescent="0.25">
      <c r="A769" s="27" t="s">
        <v>1298</v>
      </c>
      <c r="B769" s="27" t="str">
        <f t="shared" si="33"/>
        <v>Tennessee</v>
      </c>
      <c r="C769" s="27" t="str">
        <f t="shared" si="34"/>
        <v>Franklin</v>
      </c>
      <c r="D769">
        <v>2</v>
      </c>
      <c r="G769">
        <v>111</v>
      </c>
      <c r="H769">
        <v>1932</v>
      </c>
      <c r="I769">
        <v>1660</v>
      </c>
      <c r="J769" s="27" t="str">
        <f t="shared" si="35"/>
        <v>https://ia601606.us.archive.org/33/items/FinancialStatisticsOfStateAndLocalGovernmentsWealthDebtAndTaxation1932/Financial_statistics_of_state_and_local_governments_Wealth_debt_and_taxation_1932.pdf#page=1660</v>
      </c>
    </row>
    <row r="770" spans="1:10" x14ac:dyDescent="0.25">
      <c r="A770" s="27" t="s">
        <v>1299</v>
      </c>
      <c r="B770" s="27" t="str">
        <f t="shared" si="33"/>
        <v>Tennessee</v>
      </c>
      <c r="C770" s="27" t="str">
        <f t="shared" si="34"/>
        <v>Gibson</v>
      </c>
      <c r="D770">
        <v>3</v>
      </c>
      <c r="F770">
        <v>3</v>
      </c>
      <c r="G770">
        <v>250</v>
      </c>
      <c r="H770">
        <v>1932</v>
      </c>
      <c r="I770">
        <v>1660</v>
      </c>
      <c r="J770" s="27" t="str">
        <f t="shared" si="35"/>
        <v>https://ia601606.us.archive.org/33/items/FinancialStatisticsOfStateAndLocalGovernmentsWealthDebtAndTaxation1932/Financial_statistics_of_state_and_local_governments_Wealth_debt_and_taxation_1932.pdf#page=1660</v>
      </c>
    </row>
    <row r="771" spans="1:10" x14ac:dyDescent="0.25">
      <c r="A771" s="27" t="s">
        <v>1300</v>
      </c>
      <c r="B771" s="27" t="str">
        <f t="shared" ref="B771:B834" si="36">LEFT(A771,FIND(";",A771)-1)</f>
        <v>Tennessee</v>
      </c>
      <c r="C771" s="27" t="str">
        <f t="shared" ref="C771:C834" si="37">MID(A771,FIND(";",A771)+1,100)</f>
        <v>Giles</v>
      </c>
      <c r="D771">
        <v>4</v>
      </c>
      <c r="F771">
        <v>21</v>
      </c>
      <c r="G771">
        <v>157</v>
      </c>
      <c r="H771">
        <v>1932</v>
      </c>
      <c r="I771">
        <v>1660</v>
      </c>
      <c r="J771" s="27" t="str">
        <f t="shared" ref="J771:J834" si="38">"https://ia601606.us.archive.org/33/items/FinancialStatisticsOfStateAndLocalGovernmentsWealthDebtAndTaxation1932/Financial_statistics_of_state_and_local_governments_Wealth_debt_and_taxation_1932.pdf"&amp;"#page="&amp;I771</f>
        <v>https://ia601606.us.archive.org/33/items/FinancialStatisticsOfStateAndLocalGovernmentsWealthDebtAndTaxation1932/Financial_statistics_of_state_and_local_governments_Wealth_debt_and_taxation_1932.pdf#page=1660</v>
      </c>
    </row>
    <row r="772" spans="1:10" x14ac:dyDescent="0.25">
      <c r="A772" s="27" t="s">
        <v>1761</v>
      </c>
      <c r="B772" s="27" t="str">
        <f t="shared" si="36"/>
        <v>Tennessee</v>
      </c>
      <c r="C772" s="27" t="str">
        <f t="shared" si="37"/>
        <v>Grainger</v>
      </c>
      <c r="G772">
        <v>74</v>
      </c>
      <c r="H772">
        <v>1932</v>
      </c>
      <c r="I772">
        <v>1660</v>
      </c>
      <c r="J772" s="27" t="str">
        <f t="shared" si="38"/>
        <v>https://ia601606.us.archive.org/33/items/FinancialStatisticsOfStateAndLocalGovernmentsWealthDebtAndTaxation1932/Financial_statistics_of_state_and_local_governments_Wealth_debt_and_taxation_1932.pdf#page=1660</v>
      </c>
    </row>
    <row r="773" spans="1:10" x14ac:dyDescent="0.25">
      <c r="A773" s="27" t="s">
        <v>1301</v>
      </c>
      <c r="B773" s="27" t="str">
        <f t="shared" si="36"/>
        <v>Tennessee</v>
      </c>
      <c r="C773" s="27" t="str">
        <f t="shared" si="37"/>
        <v>Greene</v>
      </c>
      <c r="D773">
        <v>10</v>
      </c>
      <c r="F773">
        <v>35</v>
      </c>
      <c r="G773">
        <v>216</v>
      </c>
      <c r="H773">
        <v>1932</v>
      </c>
      <c r="I773">
        <v>1660</v>
      </c>
      <c r="J773" s="27" t="str">
        <f t="shared" si="38"/>
        <v>https://ia601606.us.archive.org/33/items/FinancialStatisticsOfStateAndLocalGovernmentsWealthDebtAndTaxation1932/Financial_statistics_of_state_and_local_governments_Wealth_debt_and_taxation_1932.pdf#page=1660</v>
      </c>
    </row>
    <row r="774" spans="1:10" x14ac:dyDescent="0.25">
      <c r="A774" s="27" t="s">
        <v>1302</v>
      </c>
      <c r="B774" s="27" t="str">
        <f t="shared" si="36"/>
        <v>Tennessee</v>
      </c>
      <c r="C774" s="27" t="str">
        <f t="shared" si="37"/>
        <v>Grundy</v>
      </c>
      <c r="G774">
        <v>72</v>
      </c>
      <c r="H774">
        <v>1932</v>
      </c>
      <c r="I774">
        <v>1660</v>
      </c>
      <c r="J774" s="27" t="str">
        <f t="shared" si="38"/>
        <v>https://ia601606.us.archive.org/33/items/FinancialStatisticsOfStateAndLocalGovernmentsWealthDebtAndTaxation1932/Financial_statistics_of_state_and_local_governments_Wealth_debt_and_taxation_1932.pdf#page=1660</v>
      </c>
    </row>
    <row r="775" spans="1:10" x14ac:dyDescent="0.25">
      <c r="A775" s="27" t="s">
        <v>1303</v>
      </c>
      <c r="B775" s="27" t="str">
        <f t="shared" si="36"/>
        <v>Tennessee</v>
      </c>
      <c r="C775" s="27" t="str">
        <f t="shared" si="37"/>
        <v>Hamblen</v>
      </c>
      <c r="D775">
        <v>1</v>
      </c>
      <c r="F775">
        <v>71</v>
      </c>
      <c r="G775">
        <v>88</v>
      </c>
      <c r="H775">
        <v>1932</v>
      </c>
      <c r="I775">
        <v>1660</v>
      </c>
      <c r="J775" s="27" t="str">
        <f t="shared" si="38"/>
        <v>https://ia601606.us.archive.org/33/items/FinancialStatisticsOfStateAndLocalGovernmentsWealthDebtAndTaxation1932/Financial_statistics_of_state_and_local_governments_Wealth_debt_and_taxation_1932.pdf#page=1660</v>
      </c>
    </row>
    <row r="776" spans="1:10" x14ac:dyDescent="0.25">
      <c r="A776" s="27" t="s">
        <v>1304</v>
      </c>
      <c r="B776" s="27" t="str">
        <f t="shared" si="36"/>
        <v>Tennessee</v>
      </c>
      <c r="C776" s="27" t="str">
        <f t="shared" si="37"/>
        <v>Hamilton</v>
      </c>
      <c r="D776">
        <v>63</v>
      </c>
      <c r="G776">
        <v>1106</v>
      </c>
      <c r="H776">
        <v>1932</v>
      </c>
      <c r="I776">
        <v>1661</v>
      </c>
      <c r="J776" s="27" t="str">
        <f t="shared" si="38"/>
        <v>https://ia601606.us.archive.org/33/items/FinancialStatisticsOfStateAndLocalGovernmentsWealthDebtAndTaxation1932/Financial_statistics_of_state_and_local_governments_Wealth_debt_and_taxation_1932.pdf#page=1661</v>
      </c>
    </row>
    <row r="777" spans="1:10" x14ac:dyDescent="0.25">
      <c r="A777" s="27" t="s">
        <v>1305</v>
      </c>
      <c r="B777" s="27" t="str">
        <f t="shared" si="36"/>
        <v>Tennessee</v>
      </c>
      <c r="C777" s="27" t="str">
        <f t="shared" si="37"/>
        <v>Hancock</v>
      </c>
      <c r="G777">
        <v>50</v>
      </c>
      <c r="H777">
        <v>1932</v>
      </c>
      <c r="I777">
        <v>1661</v>
      </c>
      <c r="J777" s="27" t="str">
        <f t="shared" si="38"/>
        <v>https://ia601606.us.archive.org/33/items/FinancialStatisticsOfStateAndLocalGovernmentsWealthDebtAndTaxation1932/Financial_statistics_of_state_and_local_governments_Wealth_debt_and_taxation_1932.pdf#page=1661</v>
      </c>
    </row>
    <row r="778" spans="1:10" x14ac:dyDescent="0.25">
      <c r="A778" s="27" t="s">
        <v>1306</v>
      </c>
      <c r="B778" s="27" t="str">
        <f t="shared" si="36"/>
        <v>Tennessee</v>
      </c>
      <c r="C778" s="27" t="str">
        <f t="shared" si="37"/>
        <v>Hardeman</v>
      </c>
      <c r="D778">
        <v>3</v>
      </c>
      <c r="G778">
        <v>158</v>
      </c>
      <c r="H778">
        <v>1932</v>
      </c>
      <c r="I778">
        <v>1661</v>
      </c>
      <c r="J778" s="27" t="str">
        <f t="shared" si="38"/>
        <v>https://ia601606.us.archive.org/33/items/FinancialStatisticsOfStateAndLocalGovernmentsWealthDebtAndTaxation1932/Financial_statistics_of_state_and_local_governments_Wealth_debt_and_taxation_1932.pdf#page=1661</v>
      </c>
    </row>
    <row r="779" spans="1:10" x14ac:dyDescent="0.25">
      <c r="A779" s="27" t="s">
        <v>1307</v>
      </c>
      <c r="B779" s="27" t="str">
        <f t="shared" si="36"/>
        <v>Tennessee</v>
      </c>
      <c r="C779" s="27" t="str">
        <f t="shared" si="37"/>
        <v>Hardin</v>
      </c>
      <c r="F779">
        <v>4</v>
      </c>
      <c r="G779">
        <v>102</v>
      </c>
      <c r="H779">
        <v>1932</v>
      </c>
      <c r="I779">
        <v>1661</v>
      </c>
      <c r="J779" s="27" t="str">
        <f t="shared" si="38"/>
        <v>https://ia601606.us.archive.org/33/items/FinancialStatisticsOfStateAndLocalGovernmentsWealthDebtAndTaxation1932/Financial_statistics_of_state_and_local_governments_Wealth_debt_and_taxation_1932.pdf#page=1661</v>
      </c>
    </row>
    <row r="780" spans="1:10" x14ac:dyDescent="0.25">
      <c r="A780" s="27" t="s">
        <v>1308</v>
      </c>
      <c r="B780" s="27" t="str">
        <f t="shared" si="36"/>
        <v>Tennessee</v>
      </c>
      <c r="C780" s="27" t="str">
        <f t="shared" si="37"/>
        <v>Hawkins</v>
      </c>
      <c r="D780">
        <v>1</v>
      </c>
      <c r="F780">
        <v>14</v>
      </c>
      <c r="G780">
        <v>144</v>
      </c>
      <c r="H780">
        <v>1932</v>
      </c>
      <c r="I780">
        <v>1661</v>
      </c>
      <c r="J780" s="27" t="str">
        <f t="shared" si="38"/>
        <v>https://ia601606.us.archive.org/33/items/FinancialStatisticsOfStateAndLocalGovernmentsWealthDebtAndTaxation1932/Financial_statistics_of_state_and_local_governments_Wealth_debt_and_taxation_1932.pdf#page=1661</v>
      </c>
    </row>
    <row r="781" spans="1:10" x14ac:dyDescent="0.25">
      <c r="A781" s="27" t="s">
        <v>1309</v>
      </c>
      <c r="B781" s="27" t="str">
        <f t="shared" si="36"/>
        <v>Tennessee</v>
      </c>
      <c r="C781" s="27" t="str">
        <f t="shared" si="37"/>
        <v>Haywood</v>
      </c>
      <c r="D781">
        <v>4</v>
      </c>
      <c r="F781">
        <v>30</v>
      </c>
      <c r="G781">
        <v>98</v>
      </c>
      <c r="H781">
        <v>1932</v>
      </c>
      <c r="I781">
        <v>1661</v>
      </c>
      <c r="J781" s="27" t="str">
        <f t="shared" si="38"/>
        <v>https://ia601606.us.archive.org/33/items/FinancialStatisticsOfStateAndLocalGovernmentsWealthDebtAndTaxation1932/Financial_statistics_of_state_and_local_governments_Wealth_debt_and_taxation_1932.pdf#page=1661</v>
      </c>
    </row>
    <row r="782" spans="1:10" x14ac:dyDescent="0.25">
      <c r="A782" s="27" t="s">
        <v>1310</v>
      </c>
      <c r="B782" s="27" t="str">
        <f t="shared" si="36"/>
        <v>Tennessee</v>
      </c>
      <c r="C782" s="27" t="str">
        <f t="shared" si="37"/>
        <v>Henderson</v>
      </c>
      <c r="F782">
        <v>11</v>
      </c>
      <c r="G782">
        <v>111</v>
      </c>
      <c r="H782">
        <v>1932</v>
      </c>
      <c r="I782">
        <v>1662</v>
      </c>
      <c r="J782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83" spans="1:10" x14ac:dyDescent="0.25">
      <c r="A783" s="27" t="s">
        <v>1311</v>
      </c>
      <c r="B783" s="27" t="str">
        <f t="shared" si="36"/>
        <v>Tennessee</v>
      </c>
      <c r="C783" s="27" t="str">
        <f t="shared" si="37"/>
        <v>Henry</v>
      </c>
      <c r="D783">
        <v>10</v>
      </c>
      <c r="F783">
        <v>56</v>
      </c>
      <c r="G783">
        <v>154</v>
      </c>
      <c r="H783">
        <v>1932</v>
      </c>
      <c r="I783">
        <v>1662</v>
      </c>
      <c r="J783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84" spans="1:10" x14ac:dyDescent="0.25">
      <c r="A784" s="27" t="s">
        <v>1312</v>
      </c>
      <c r="B784" s="27" t="str">
        <f t="shared" si="36"/>
        <v>Tennessee</v>
      </c>
      <c r="C784" s="27" t="str">
        <f t="shared" si="37"/>
        <v>Hickman</v>
      </c>
      <c r="D784">
        <v>2</v>
      </c>
      <c r="G784">
        <v>101</v>
      </c>
      <c r="H784">
        <v>1932</v>
      </c>
      <c r="I784">
        <v>1662</v>
      </c>
      <c r="J784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85" spans="1:10" x14ac:dyDescent="0.25">
      <c r="A785" s="27" t="s">
        <v>1313</v>
      </c>
      <c r="B785" s="27" t="str">
        <f t="shared" si="36"/>
        <v>Tennessee</v>
      </c>
      <c r="C785" s="27" t="str">
        <f t="shared" si="37"/>
        <v>Houston</v>
      </c>
      <c r="G785">
        <v>40</v>
      </c>
      <c r="H785">
        <v>1932</v>
      </c>
      <c r="I785">
        <v>1662</v>
      </c>
      <c r="J785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86" spans="1:10" x14ac:dyDescent="0.25">
      <c r="A786" s="27" t="s">
        <v>1314</v>
      </c>
      <c r="B786" s="27" t="str">
        <f t="shared" si="36"/>
        <v>Tennessee</v>
      </c>
      <c r="C786" s="27" t="str">
        <f t="shared" si="37"/>
        <v>Humphreys</v>
      </c>
      <c r="D786">
        <v>1</v>
      </c>
      <c r="F786">
        <v>6</v>
      </c>
      <c r="G786">
        <v>112</v>
      </c>
      <c r="H786">
        <v>1932</v>
      </c>
      <c r="I786">
        <v>1662</v>
      </c>
      <c r="J786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87" spans="1:10" x14ac:dyDescent="0.25">
      <c r="A787" s="27" t="s">
        <v>1315</v>
      </c>
      <c r="B787" s="27" t="str">
        <f t="shared" si="36"/>
        <v>Tennessee</v>
      </c>
      <c r="C787" s="27" t="str">
        <f t="shared" si="37"/>
        <v>Jackson</v>
      </c>
      <c r="G787">
        <v>76</v>
      </c>
      <c r="H787">
        <v>1932</v>
      </c>
      <c r="I787">
        <v>1662</v>
      </c>
      <c r="J787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88" spans="1:10" x14ac:dyDescent="0.25">
      <c r="A788" s="27" t="s">
        <v>1317</v>
      </c>
      <c r="B788" s="27" t="str">
        <f t="shared" si="36"/>
        <v>Tennessee</v>
      </c>
      <c r="C788" s="27" t="str">
        <f t="shared" si="37"/>
        <v>Jefferson</v>
      </c>
      <c r="D788">
        <v>2</v>
      </c>
      <c r="G788">
        <v>156</v>
      </c>
      <c r="H788">
        <v>1932</v>
      </c>
      <c r="I788">
        <v>1662</v>
      </c>
      <c r="J788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89" spans="1:10" x14ac:dyDescent="0.25">
      <c r="A789" s="27" t="s">
        <v>1318</v>
      </c>
      <c r="B789" s="27" t="str">
        <f t="shared" si="36"/>
        <v>Tennessee</v>
      </c>
      <c r="C789" s="27" t="str">
        <f t="shared" si="37"/>
        <v>Johnson</v>
      </c>
      <c r="D789">
        <v>1</v>
      </c>
      <c r="G789">
        <v>76</v>
      </c>
      <c r="H789">
        <v>1932</v>
      </c>
      <c r="I789">
        <v>1662</v>
      </c>
      <c r="J789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90" spans="1:10" x14ac:dyDescent="0.25">
      <c r="A790" s="27" t="s">
        <v>1319</v>
      </c>
      <c r="B790" s="27" t="str">
        <f t="shared" si="36"/>
        <v>Tennessee</v>
      </c>
      <c r="C790" s="27" t="str">
        <f t="shared" si="37"/>
        <v>Knox</v>
      </c>
      <c r="D790">
        <v>30</v>
      </c>
      <c r="G790">
        <v>649</v>
      </c>
      <c r="H790">
        <v>1932</v>
      </c>
      <c r="I790">
        <v>1662</v>
      </c>
      <c r="J790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91" spans="1:10" x14ac:dyDescent="0.25">
      <c r="A791" s="27" t="s">
        <v>1320</v>
      </c>
      <c r="B791" s="27" t="str">
        <f t="shared" si="36"/>
        <v>Tennessee</v>
      </c>
      <c r="C791" s="27" t="str">
        <f t="shared" si="37"/>
        <v>Lake</v>
      </c>
      <c r="D791">
        <v>2</v>
      </c>
      <c r="G791">
        <v>59</v>
      </c>
      <c r="H791">
        <v>1932</v>
      </c>
      <c r="I791">
        <v>1662</v>
      </c>
      <c r="J791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92" spans="1:10" x14ac:dyDescent="0.25">
      <c r="A792" s="27" t="s">
        <v>1321</v>
      </c>
      <c r="B792" s="27" t="str">
        <f t="shared" si="36"/>
        <v>Tennessee</v>
      </c>
      <c r="C792" s="27" t="str">
        <f t="shared" si="37"/>
        <v>Lauderdale</v>
      </c>
      <c r="D792">
        <v>5</v>
      </c>
      <c r="G792">
        <v>126</v>
      </c>
      <c r="H792">
        <v>1932</v>
      </c>
      <c r="I792">
        <v>1662</v>
      </c>
      <c r="J792" s="27" t="str">
        <f t="shared" si="38"/>
        <v>https://ia601606.us.archive.org/33/items/FinancialStatisticsOfStateAndLocalGovernmentsWealthDebtAndTaxation1932/Financial_statistics_of_state_and_local_governments_Wealth_debt_and_taxation_1932.pdf#page=1662</v>
      </c>
    </row>
    <row r="793" spans="1:10" x14ac:dyDescent="0.25">
      <c r="A793" s="27" t="s">
        <v>1322</v>
      </c>
      <c r="B793" s="27" t="str">
        <f t="shared" si="36"/>
        <v>Tennessee</v>
      </c>
      <c r="C793" s="27" t="str">
        <f t="shared" si="37"/>
        <v>Lawrence</v>
      </c>
      <c r="G793">
        <v>180</v>
      </c>
      <c r="H793">
        <v>1932</v>
      </c>
      <c r="I793">
        <v>1663</v>
      </c>
      <c r="J793" s="27" t="str">
        <f t="shared" si="38"/>
        <v>https://ia601606.us.archive.org/33/items/FinancialStatisticsOfStateAndLocalGovernmentsWealthDebtAndTaxation1932/Financial_statistics_of_state_and_local_governments_Wealth_debt_and_taxation_1932.pdf#page=1663</v>
      </c>
    </row>
    <row r="794" spans="1:10" x14ac:dyDescent="0.25">
      <c r="A794" s="27" t="s">
        <v>1323</v>
      </c>
      <c r="B794" s="27" t="str">
        <f t="shared" si="36"/>
        <v>Tennessee</v>
      </c>
      <c r="C794" s="27" t="str">
        <f t="shared" si="37"/>
        <v>Lewis</v>
      </c>
      <c r="G794">
        <v>40</v>
      </c>
      <c r="H794">
        <v>1932</v>
      </c>
      <c r="I794">
        <v>1663</v>
      </c>
      <c r="J794" s="27" t="str">
        <f t="shared" si="38"/>
        <v>https://ia601606.us.archive.org/33/items/FinancialStatisticsOfStateAndLocalGovernmentsWealthDebtAndTaxation1932/Financial_statistics_of_state_and_local_governments_Wealth_debt_and_taxation_1932.pdf#page=1663</v>
      </c>
    </row>
    <row r="795" spans="1:10" x14ac:dyDescent="0.25">
      <c r="A795" s="27" t="s">
        <v>1324</v>
      </c>
      <c r="B795" s="27" t="str">
        <f t="shared" si="36"/>
        <v>Tennessee</v>
      </c>
      <c r="C795" s="27" t="str">
        <f t="shared" si="37"/>
        <v>Lincoln</v>
      </c>
      <c r="D795">
        <v>4</v>
      </c>
      <c r="F795">
        <v>17</v>
      </c>
      <c r="G795">
        <v>141</v>
      </c>
      <c r="H795">
        <v>1932</v>
      </c>
      <c r="I795">
        <v>1663</v>
      </c>
      <c r="J795" s="27" t="str">
        <f t="shared" si="38"/>
        <v>https://ia601606.us.archive.org/33/items/FinancialStatisticsOfStateAndLocalGovernmentsWealthDebtAndTaxation1932/Financial_statistics_of_state_and_local_governments_Wealth_debt_and_taxation_1932.pdf#page=1663</v>
      </c>
    </row>
    <row r="796" spans="1:10" x14ac:dyDescent="0.25">
      <c r="A796" s="27" t="s">
        <v>1325</v>
      </c>
      <c r="B796" s="27" t="str">
        <f t="shared" si="36"/>
        <v>Tennessee</v>
      </c>
      <c r="C796" s="27" t="str">
        <f t="shared" si="37"/>
        <v>Loudon</v>
      </c>
      <c r="D796">
        <v>3</v>
      </c>
      <c r="F796">
        <v>62</v>
      </c>
      <c r="G796">
        <v>100</v>
      </c>
      <c r="H796">
        <v>1932</v>
      </c>
      <c r="I796">
        <v>1663</v>
      </c>
      <c r="J796" s="27" t="str">
        <f t="shared" si="38"/>
        <v>https://ia601606.us.archive.org/33/items/FinancialStatisticsOfStateAndLocalGovernmentsWealthDebtAndTaxation1932/Financial_statistics_of_state_and_local_governments_Wealth_debt_and_taxation_1932.pdf#page=1663</v>
      </c>
    </row>
    <row r="797" spans="1:10" x14ac:dyDescent="0.25">
      <c r="A797" s="27" t="s">
        <v>1326</v>
      </c>
      <c r="B797" s="27" t="str">
        <f t="shared" si="36"/>
        <v>Tennessee</v>
      </c>
      <c r="C797" s="27" t="str">
        <f t="shared" si="37"/>
        <v>McMinn</v>
      </c>
      <c r="D797">
        <v>1</v>
      </c>
      <c r="F797">
        <v>57</v>
      </c>
      <c r="G797">
        <v>225</v>
      </c>
      <c r="H797">
        <v>1932</v>
      </c>
      <c r="I797">
        <v>1663</v>
      </c>
      <c r="J797" s="27" t="str">
        <f t="shared" si="38"/>
        <v>https://ia601606.us.archive.org/33/items/FinancialStatisticsOfStateAndLocalGovernmentsWealthDebtAndTaxation1932/Financial_statistics_of_state_and_local_governments_Wealth_debt_and_taxation_1932.pdf#page=1663</v>
      </c>
    </row>
    <row r="798" spans="1:10" x14ac:dyDescent="0.25">
      <c r="A798" s="27" t="s">
        <v>1327</v>
      </c>
      <c r="B798" s="27" t="str">
        <f t="shared" si="36"/>
        <v>Tennessee</v>
      </c>
      <c r="C798" s="27" t="str">
        <f t="shared" si="37"/>
        <v>McNairy</v>
      </c>
      <c r="D798">
        <v>1</v>
      </c>
      <c r="G798">
        <v>127</v>
      </c>
      <c r="H798">
        <v>1932</v>
      </c>
      <c r="I798">
        <v>1663</v>
      </c>
      <c r="J798" s="27" t="str">
        <f t="shared" si="38"/>
        <v>https://ia601606.us.archive.org/33/items/FinancialStatisticsOfStateAndLocalGovernmentsWealthDebtAndTaxation1932/Financial_statistics_of_state_and_local_governments_Wealth_debt_and_taxation_1932.pdf#page=1663</v>
      </c>
    </row>
    <row r="799" spans="1:10" x14ac:dyDescent="0.25">
      <c r="A799" s="27" t="s">
        <v>1328</v>
      </c>
      <c r="B799" s="27" t="str">
        <f t="shared" si="36"/>
        <v>Tennessee</v>
      </c>
      <c r="C799" s="27" t="str">
        <f t="shared" si="37"/>
        <v>Macon</v>
      </c>
      <c r="D799">
        <v>2</v>
      </c>
      <c r="G799">
        <v>60</v>
      </c>
      <c r="H799">
        <v>1932</v>
      </c>
      <c r="I799">
        <v>1663</v>
      </c>
      <c r="J799" s="27" t="str">
        <f t="shared" si="38"/>
        <v>https://ia601606.us.archive.org/33/items/FinancialStatisticsOfStateAndLocalGovernmentsWealthDebtAndTaxation1932/Financial_statistics_of_state_and_local_governments_Wealth_debt_and_taxation_1932.pdf#page=1663</v>
      </c>
    </row>
    <row r="800" spans="1:10" x14ac:dyDescent="0.25">
      <c r="A800" s="27" t="s">
        <v>1329</v>
      </c>
      <c r="B800" s="27" t="str">
        <f t="shared" si="36"/>
        <v>Tennessee</v>
      </c>
      <c r="C800" s="27" t="str">
        <f t="shared" si="37"/>
        <v>Madison</v>
      </c>
      <c r="D800">
        <v>1</v>
      </c>
      <c r="G800">
        <v>199</v>
      </c>
      <c r="H800">
        <v>1932</v>
      </c>
      <c r="I800">
        <v>1664</v>
      </c>
      <c r="J800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01" spans="1:10" x14ac:dyDescent="0.25">
      <c r="A801" s="27" t="s">
        <v>1330</v>
      </c>
      <c r="B801" s="27" t="str">
        <f t="shared" si="36"/>
        <v>Tennessee</v>
      </c>
      <c r="C801" s="27" t="str">
        <f t="shared" si="37"/>
        <v>Marion</v>
      </c>
      <c r="D801">
        <v>1</v>
      </c>
      <c r="F801">
        <v>44</v>
      </c>
      <c r="G801">
        <v>114</v>
      </c>
      <c r="H801">
        <v>1932</v>
      </c>
      <c r="I801">
        <v>1664</v>
      </c>
      <c r="J801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02" spans="1:10" x14ac:dyDescent="0.25">
      <c r="A802" s="27" t="s">
        <v>1331</v>
      </c>
      <c r="B802" s="27" t="str">
        <f t="shared" si="36"/>
        <v>Tennessee</v>
      </c>
      <c r="C802" s="27" t="str">
        <f t="shared" si="37"/>
        <v>Marshall</v>
      </c>
      <c r="D802">
        <v>1</v>
      </c>
      <c r="G802">
        <v>122</v>
      </c>
      <c r="H802">
        <v>1932</v>
      </c>
      <c r="I802">
        <v>1664</v>
      </c>
      <c r="J802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03" spans="1:10" x14ac:dyDescent="0.25">
      <c r="A803" s="27" t="s">
        <v>1332</v>
      </c>
      <c r="B803" s="27" t="str">
        <f t="shared" si="36"/>
        <v>Tennessee</v>
      </c>
      <c r="C803" s="27" t="str">
        <f t="shared" si="37"/>
        <v>Maury</v>
      </c>
      <c r="D803">
        <v>4</v>
      </c>
      <c r="F803">
        <v>69</v>
      </c>
      <c r="G803">
        <v>201</v>
      </c>
      <c r="H803">
        <v>1932</v>
      </c>
      <c r="I803">
        <v>1664</v>
      </c>
      <c r="J803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04" spans="1:10" x14ac:dyDescent="0.25">
      <c r="A804" s="27" t="s">
        <v>1333</v>
      </c>
      <c r="B804" s="27" t="str">
        <f t="shared" si="36"/>
        <v>Tennessee</v>
      </c>
      <c r="C804" s="27" t="str">
        <f t="shared" si="37"/>
        <v>Meigs</v>
      </c>
      <c r="D804">
        <v>1</v>
      </c>
      <c r="G804">
        <v>34</v>
      </c>
      <c r="H804">
        <v>1932</v>
      </c>
      <c r="I804">
        <v>1664</v>
      </c>
      <c r="J804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05" spans="1:10" x14ac:dyDescent="0.25">
      <c r="A805" s="27" t="s">
        <v>1334</v>
      </c>
      <c r="B805" s="27" t="str">
        <f t="shared" si="36"/>
        <v>Tennessee</v>
      </c>
      <c r="C805" s="27" t="str">
        <f t="shared" si="37"/>
        <v>Monroe</v>
      </c>
      <c r="D805">
        <v>5</v>
      </c>
      <c r="F805">
        <v>22</v>
      </c>
      <c r="G805">
        <v>114</v>
      </c>
      <c r="H805">
        <v>1932</v>
      </c>
      <c r="I805">
        <v>1664</v>
      </c>
      <c r="J805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06" spans="1:10" x14ac:dyDescent="0.25">
      <c r="A806" s="27" t="s">
        <v>1335</v>
      </c>
      <c r="B806" s="27" t="str">
        <f t="shared" si="36"/>
        <v>Tennessee</v>
      </c>
      <c r="C806" s="27" t="str">
        <f t="shared" si="37"/>
        <v>Montgomery</v>
      </c>
      <c r="D806">
        <v>2</v>
      </c>
      <c r="G806">
        <v>139</v>
      </c>
      <c r="H806">
        <v>1932</v>
      </c>
      <c r="I806">
        <v>1664</v>
      </c>
      <c r="J806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07" spans="1:10" x14ac:dyDescent="0.25">
      <c r="A807" s="27" t="s">
        <v>1336</v>
      </c>
      <c r="B807" s="27" t="str">
        <f t="shared" si="36"/>
        <v>Tennessee</v>
      </c>
      <c r="C807" s="27" t="str">
        <f t="shared" si="37"/>
        <v>Moore</v>
      </c>
      <c r="F807">
        <v>5</v>
      </c>
      <c r="G807">
        <v>19</v>
      </c>
      <c r="H807">
        <v>1932</v>
      </c>
      <c r="I807">
        <v>1664</v>
      </c>
      <c r="J807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08" spans="1:10" x14ac:dyDescent="0.25">
      <c r="A808" s="27" t="s">
        <v>1337</v>
      </c>
      <c r="B808" s="27" t="str">
        <f t="shared" si="36"/>
        <v>Tennessee</v>
      </c>
      <c r="C808" s="27" t="str">
        <f t="shared" si="37"/>
        <v>Morgan</v>
      </c>
      <c r="G808">
        <v>91</v>
      </c>
      <c r="H808">
        <v>1932</v>
      </c>
      <c r="I808">
        <v>1664</v>
      </c>
      <c r="J808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09" spans="1:10" x14ac:dyDescent="0.25">
      <c r="A809" s="27" t="s">
        <v>1338</v>
      </c>
      <c r="B809" s="27" t="str">
        <f t="shared" si="36"/>
        <v>Tennessee</v>
      </c>
      <c r="C809" s="27" t="str">
        <f t="shared" si="37"/>
        <v>Obion</v>
      </c>
      <c r="D809">
        <v>4</v>
      </c>
      <c r="F809">
        <v>104</v>
      </c>
      <c r="G809">
        <v>140</v>
      </c>
      <c r="H809">
        <v>1932</v>
      </c>
      <c r="I809">
        <v>1664</v>
      </c>
      <c r="J809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10" spans="1:10" x14ac:dyDescent="0.25">
      <c r="A810" s="27" t="s">
        <v>1339</v>
      </c>
      <c r="B810" s="27" t="str">
        <f t="shared" si="36"/>
        <v>Tennessee</v>
      </c>
      <c r="C810" s="27" t="str">
        <f t="shared" si="37"/>
        <v>Overton</v>
      </c>
      <c r="D810">
        <v>2</v>
      </c>
      <c r="G810">
        <v>109</v>
      </c>
      <c r="H810">
        <v>1932</v>
      </c>
      <c r="I810">
        <v>1664</v>
      </c>
      <c r="J810" s="27" t="str">
        <f t="shared" si="38"/>
        <v>https://ia601606.us.archive.org/33/items/FinancialStatisticsOfStateAndLocalGovernmentsWealthDebtAndTaxation1932/Financial_statistics_of_state_and_local_governments_Wealth_debt_and_taxation_1932.pdf#page=1664</v>
      </c>
    </row>
    <row r="811" spans="1:10" x14ac:dyDescent="0.25">
      <c r="A811" s="27" t="s">
        <v>1340</v>
      </c>
      <c r="B811" s="27" t="str">
        <f t="shared" si="36"/>
        <v>Tennessee</v>
      </c>
      <c r="C811" s="27" t="str">
        <f t="shared" si="37"/>
        <v>Perry</v>
      </c>
      <c r="G811">
        <v>50</v>
      </c>
      <c r="H811">
        <v>1932</v>
      </c>
      <c r="I811">
        <v>1665</v>
      </c>
      <c r="J811" s="27" t="str">
        <f t="shared" si="38"/>
        <v>https://ia601606.us.archive.org/33/items/FinancialStatisticsOfStateAndLocalGovernmentsWealthDebtAndTaxation1932/Financial_statistics_of_state_and_local_governments_Wealth_debt_and_taxation_1932.pdf#page=1665</v>
      </c>
    </row>
    <row r="812" spans="1:10" x14ac:dyDescent="0.25">
      <c r="A812" s="27" t="s">
        <v>1341</v>
      </c>
      <c r="B812" s="27" t="str">
        <f t="shared" si="36"/>
        <v>Tennessee</v>
      </c>
      <c r="C812" s="27" t="str">
        <f t="shared" si="37"/>
        <v>Pickett</v>
      </c>
      <c r="G812">
        <v>24</v>
      </c>
      <c r="H812">
        <v>1932</v>
      </c>
      <c r="I812">
        <v>1665</v>
      </c>
      <c r="J812" s="27" t="str">
        <f t="shared" si="38"/>
        <v>https://ia601606.us.archive.org/33/items/FinancialStatisticsOfStateAndLocalGovernmentsWealthDebtAndTaxation1932/Financial_statistics_of_state_and_local_governments_Wealth_debt_and_taxation_1932.pdf#page=1665</v>
      </c>
    </row>
    <row r="813" spans="1:10" x14ac:dyDescent="0.25">
      <c r="A813" s="27" t="s">
        <v>1342</v>
      </c>
      <c r="B813" s="27" t="str">
        <f t="shared" si="36"/>
        <v>Tennessee</v>
      </c>
      <c r="C813" s="27" t="str">
        <f t="shared" si="37"/>
        <v>Polk</v>
      </c>
      <c r="D813">
        <v>9</v>
      </c>
      <c r="G813">
        <v>178</v>
      </c>
      <c r="H813">
        <v>1932</v>
      </c>
      <c r="I813">
        <v>1665</v>
      </c>
      <c r="J813" s="27" t="str">
        <f t="shared" si="38"/>
        <v>https://ia601606.us.archive.org/33/items/FinancialStatisticsOfStateAndLocalGovernmentsWealthDebtAndTaxation1932/Financial_statistics_of_state_and_local_governments_Wealth_debt_and_taxation_1932.pdf#page=1665</v>
      </c>
    </row>
    <row r="814" spans="1:10" x14ac:dyDescent="0.25">
      <c r="A814" s="27" t="s">
        <v>1343</v>
      </c>
      <c r="B814" s="27" t="str">
        <f t="shared" si="36"/>
        <v>Tennessee</v>
      </c>
      <c r="C814" s="27" t="str">
        <f t="shared" si="37"/>
        <v>Putnam</v>
      </c>
      <c r="D814">
        <v>2</v>
      </c>
      <c r="G814">
        <v>166</v>
      </c>
      <c r="H814">
        <v>1932</v>
      </c>
      <c r="I814">
        <v>1665</v>
      </c>
      <c r="J814" s="27" t="str">
        <f t="shared" si="38"/>
        <v>https://ia601606.us.archive.org/33/items/FinancialStatisticsOfStateAndLocalGovernmentsWealthDebtAndTaxation1932/Financial_statistics_of_state_and_local_governments_Wealth_debt_and_taxation_1932.pdf#page=1665</v>
      </c>
    </row>
    <row r="815" spans="1:10" x14ac:dyDescent="0.25">
      <c r="A815" s="27" t="s">
        <v>1344</v>
      </c>
      <c r="B815" s="27" t="str">
        <f t="shared" si="36"/>
        <v>Tennessee</v>
      </c>
      <c r="C815" s="27" t="str">
        <f t="shared" si="37"/>
        <v>Rhea</v>
      </c>
      <c r="D815">
        <v>1</v>
      </c>
      <c r="F815">
        <v>4</v>
      </c>
      <c r="G815">
        <v>86</v>
      </c>
      <c r="H815">
        <v>1932</v>
      </c>
      <c r="I815">
        <v>1665</v>
      </c>
      <c r="J815" s="27" t="str">
        <f t="shared" si="38"/>
        <v>https://ia601606.us.archive.org/33/items/FinancialStatisticsOfStateAndLocalGovernmentsWealthDebtAndTaxation1932/Financial_statistics_of_state_and_local_governments_Wealth_debt_and_taxation_1932.pdf#page=1665</v>
      </c>
    </row>
    <row r="816" spans="1:10" x14ac:dyDescent="0.25">
      <c r="A816" s="27" t="s">
        <v>1345</v>
      </c>
      <c r="B816" s="27" t="str">
        <f t="shared" si="36"/>
        <v>Tennessee</v>
      </c>
      <c r="C816" s="27" t="str">
        <f t="shared" si="37"/>
        <v>Roane</v>
      </c>
      <c r="D816">
        <v>5</v>
      </c>
      <c r="F816">
        <v>79</v>
      </c>
      <c r="G816">
        <v>176</v>
      </c>
      <c r="H816">
        <v>1932</v>
      </c>
      <c r="I816">
        <v>1665</v>
      </c>
      <c r="J816" s="27" t="str">
        <f t="shared" si="38"/>
        <v>https://ia601606.us.archive.org/33/items/FinancialStatisticsOfStateAndLocalGovernmentsWealthDebtAndTaxation1932/Financial_statistics_of_state_and_local_governments_Wealth_debt_and_taxation_1932.pdf#page=1665</v>
      </c>
    </row>
    <row r="817" spans="1:10" x14ac:dyDescent="0.25">
      <c r="A817" s="27" t="s">
        <v>1346</v>
      </c>
      <c r="B817" s="27" t="str">
        <f t="shared" si="36"/>
        <v>Tennessee</v>
      </c>
      <c r="C817" s="27" t="str">
        <f t="shared" si="37"/>
        <v>Robertson</v>
      </c>
      <c r="D817">
        <v>3</v>
      </c>
      <c r="G817">
        <v>136</v>
      </c>
      <c r="H817">
        <v>1932</v>
      </c>
      <c r="I817">
        <v>1665</v>
      </c>
      <c r="J817" s="27" t="str">
        <f t="shared" si="38"/>
        <v>https://ia601606.us.archive.org/33/items/FinancialStatisticsOfStateAndLocalGovernmentsWealthDebtAndTaxation1932/Financial_statistics_of_state_and_local_governments_Wealth_debt_and_taxation_1932.pdf#page=1665</v>
      </c>
    </row>
    <row r="818" spans="1:10" x14ac:dyDescent="0.25">
      <c r="A818" s="27" t="s">
        <v>1347</v>
      </c>
      <c r="B818" s="27" t="str">
        <f t="shared" si="36"/>
        <v>Tennessee</v>
      </c>
      <c r="C818" s="27" t="str">
        <f t="shared" si="37"/>
        <v>Rutherford</v>
      </c>
      <c r="D818">
        <v>12</v>
      </c>
      <c r="F818">
        <v>22</v>
      </c>
      <c r="G818">
        <v>175</v>
      </c>
      <c r="H818">
        <v>1932</v>
      </c>
      <c r="I818">
        <v>1666</v>
      </c>
      <c r="J818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19" spans="1:10" x14ac:dyDescent="0.25">
      <c r="A819" s="27" t="s">
        <v>1348</v>
      </c>
      <c r="B819" s="27" t="str">
        <f t="shared" si="36"/>
        <v>Tennessee</v>
      </c>
      <c r="C819" s="27" t="str">
        <f t="shared" si="37"/>
        <v>Scott</v>
      </c>
      <c r="D819">
        <v>3</v>
      </c>
      <c r="F819">
        <v>9</v>
      </c>
      <c r="G819">
        <v>109</v>
      </c>
      <c r="H819">
        <v>1932</v>
      </c>
      <c r="I819">
        <v>1666</v>
      </c>
      <c r="J819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0" spans="1:10" x14ac:dyDescent="0.25">
      <c r="A820" s="27" t="s">
        <v>1762</v>
      </c>
      <c r="B820" s="27" t="str">
        <f t="shared" si="36"/>
        <v>Tennessee</v>
      </c>
      <c r="C820" s="27" t="str">
        <f t="shared" si="37"/>
        <v>Sequatchie</v>
      </c>
      <c r="D820">
        <v>1</v>
      </c>
      <c r="F820">
        <v>8</v>
      </c>
      <c r="G820">
        <v>28</v>
      </c>
      <c r="H820">
        <v>1932</v>
      </c>
      <c r="I820">
        <v>1666</v>
      </c>
      <c r="J820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1" spans="1:10" x14ac:dyDescent="0.25">
      <c r="A821" s="27" t="s">
        <v>1349</v>
      </c>
      <c r="B821" s="27" t="str">
        <f t="shared" si="36"/>
        <v>Tennessee</v>
      </c>
      <c r="C821" s="27" t="str">
        <f t="shared" si="37"/>
        <v>Sevier</v>
      </c>
      <c r="D821">
        <v>2</v>
      </c>
      <c r="G821">
        <v>130</v>
      </c>
      <c r="H821">
        <v>1932</v>
      </c>
      <c r="I821">
        <v>1666</v>
      </c>
      <c r="J821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2" spans="1:10" x14ac:dyDescent="0.25">
      <c r="A822" s="27" t="s">
        <v>1350</v>
      </c>
      <c r="B822" s="27" t="str">
        <f t="shared" si="36"/>
        <v>Tennessee</v>
      </c>
      <c r="C822" s="27" t="str">
        <f t="shared" si="37"/>
        <v>Shelby</v>
      </c>
      <c r="D822">
        <v>238</v>
      </c>
      <c r="G822">
        <v>1331</v>
      </c>
      <c r="H822">
        <v>1932</v>
      </c>
      <c r="I822">
        <v>1666</v>
      </c>
      <c r="J822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3" spans="1:10" x14ac:dyDescent="0.25">
      <c r="A823" s="27" t="s">
        <v>1351</v>
      </c>
      <c r="B823" s="27" t="str">
        <f t="shared" si="36"/>
        <v>Tennessee</v>
      </c>
      <c r="C823" s="27" t="str">
        <f t="shared" si="37"/>
        <v>Smith</v>
      </c>
      <c r="D823">
        <v>2</v>
      </c>
      <c r="F823">
        <v>6</v>
      </c>
      <c r="G823">
        <v>123</v>
      </c>
      <c r="H823">
        <v>1932</v>
      </c>
      <c r="I823">
        <v>1666</v>
      </c>
      <c r="J823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4" spans="1:10" x14ac:dyDescent="0.25">
      <c r="A824" s="27" t="s">
        <v>1352</v>
      </c>
      <c r="B824" s="27" t="str">
        <f t="shared" si="36"/>
        <v>Tennessee</v>
      </c>
      <c r="C824" s="27" t="str">
        <f t="shared" si="37"/>
        <v>Stewart</v>
      </c>
      <c r="G824">
        <v>73</v>
      </c>
      <c r="H824">
        <v>1932</v>
      </c>
      <c r="I824">
        <v>1666</v>
      </c>
      <c r="J824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5" spans="1:10" x14ac:dyDescent="0.25">
      <c r="A825" s="27" t="s">
        <v>1353</v>
      </c>
      <c r="B825" s="27" t="str">
        <f t="shared" si="36"/>
        <v>Tennessee</v>
      </c>
      <c r="C825" s="27" t="str">
        <f t="shared" si="37"/>
        <v>Sullivan</v>
      </c>
      <c r="D825">
        <v>19</v>
      </c>
      <c r="G825">
        <v>253</v>
      </c>
      <c r="H825">
        <v>1932</v>
      </c>
      <c r="I825">
        <v>1666</v>
      </c>
      <c r="J825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6" spans="1:10" x14ac:dyDescent="0.25">
      <c r="A826" s="27" t="s">
        <v>1354</v>
      </c>
      <c r="B826" s="27" t="str">
        <f t="shared" si="36"/>
        <v>Tennessee</v>
      </c>
      <c r="C826" s="27" t="str">
        <f t="shared" si="37"/>
        <v>Sumner</v>
      </c>
      <c r="D826">
        <v>6</v>
      </c>
      <c r="F826">
        <v>10</v>
      </c>
      <c r="G826">
        <v>163</v>
      </c>
      <c r="H826">
        <v>1932</v>
      </c>
      <c r="I826">
        <v>1666</v>
      </c>
      <c r="J826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7" spans="1:10" x14ac:dyDescent="0.25">
      <c r="A827" s="27" t="s">
        <v>1355</v>
      </c>
      <c r="B827" s="27" t="str">
        <f t="shared" si="36"/>
        <v>Tennessee</v>
      </c>
      <c r="C827" s="27" t="str">
        <f t="shared" si="37"/>
        <v>Tipton</v>
      </c>
      <c r="D827">
        <v>4</v>
      </c>
      <c r="F827">
        <v>23</v>
      </c>
      <c r="G827">
        <v>136</v>
      </c>
      <c r="H827">
        <v>1932</v>
      </c>
      <c r="I827">
        <v>1666</v>
      </c>
      <c r="J827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8" spans="1:10" x14ac:dyDescent="0.25">
      <c r="A828" s="27" t="s">
        <v>1356</v>
      </c>
      <c r="B828" s="27" t="str">
        <f t="shared" si="36"/>
        <v>Tennessee</v>
      </c>
      <c r="C828" s="27" t="str">
        <f t="shared" si="37"/>
        <v>Trousdale</v>
      </c>
      <c r="G828">
        <v>40</v>
      </c>
      <c r="H828">
        <v>1932</v>
      </c>
      <c r="I828">
        <v>1666</v>
      </c>
      <c r="J828" s="27" t="str">
        <f t="shared" si="38"/>
        <v>https://ia601606.us.archive.org/33/items/FinancialStatisticsOfStateAndLocalGovernmentsWealthDebtAndTaxation1932/Financial_statistics_of_state_and_local_governments_Wealth_debt_and_taxation_1932.pdf#page=1666</v>
      </c>
    </row>
    <row r="829" spans="1:10" x14ac:dyDescent="0.25">
      <c r="A829" s="27" t="s">
        <v>1357</v>
      </c>
      <c r="B829" s="27" t="str">
        <f t="shared" si="36"/>
        <v>Tennessee</v>
      </c>
      <c r="C829" s="27" t="str">
        <f t="shared" si="37"/>
        <v>Unicoi</v>
      </c>
      <c r="F829">
        <v>12</v>
      </c>
      <c r="G829">
        <v>110</v>
      </c>
      <c r="H829">
        <v>1932</v>
      </c>
      <c r="I829">
        <v>1667</v>
      </c>
      <c r="J829" s="27" t="str">
        <f t="shared" si="38"/>
        <v>https://ia601606.us.archive.org/33/items/FinancialStatisticsOfStateAndLocalGovernmentsWealthDebtAndTaxation1932/Financial_statistics_of_state_and_local_governments_Wealth_debt_and_taxation_1932.pdf#page=1667</v>
      </c>
    </row>
    <row r="830" spans="1:10" x14ac:dyDescent="0.25">
      <c r="A830" s="27" t="s">
        <v>1358</v>
      </c>
      <c r="B830" s="27" t="str">
        <f t="shared" si="36"/>
        <v>Tennessee</v>
      </c>
      <c r="C830" s="27" t="str">
        <f t="shared" si="37"/>
        <v>Union</v>
      </c>
      <c r="G830">
        <v>59</v>
      </c>
      <c r="H830">
        <v>1932</v>
      </c>
      <c r="I830">
        <v>1667</v>
      </c>
      <c r="J830" s="27" t="str">
        <f t="shared" si="38"/>
        <v>https://ia601606.us.archive.org/33/items/FinancialStatisticsOfStateAndLocalGovernmentsWealthDebtAndTaxation1932/Financial_statistics_of_state_and_local_governments_Wealth_debt_and_taxation_1932.pdf#page=1667</v>
      </c>
    </row>
    <row r="831" spans="1:10" x14ac:dyDescent="0.25">
      <c r="A831" s="27" t="s">
        <v>1359</v>
      </c>
      <c r="B831" s="27" t="str">
        <f t="shared" si="36"/>
        <v>Tennessee</v>
      </c>
      <c r="C831" s="27" t="str">
        <f t="shared" si="37"/>
        <v>Van Buren</v>
      </c>
      <c r="G831">
        <v>29</v>
      </c>
      <c r="H831">
        <v>1932</v>
      </c>
      <c r="I831">
        <v>1667</v>
      </c>
      <c r="J831" s="27" t="str">
        <f t="shared" si="38"/>
        <v>https://ia601606.us.archive.org/33/items/FinancialStatisticsOfStateAndLocalGovernmentsWealthDebtAndTaxation1932/Financial_statistics_of_state_and_local_governments_Wealth_debt_and_taxation_1932.pdf#page=1667</v>
      </c>
    </row>
    <row r="832" spans="1:10" x14ac:dyDescent="0.25">
      <c r="A832" s="27" t="s">
        <v>1360</v>
      </c>
      <c r="B832" s="27" t="str">
        <f t="shared" si="36"/>
        <v>Tennessee</v>
      </c>
      <c r="C832" s="27" t="str">
        <f t="shared" si="37"/>
        <v>Warren</v>
      </c>
      <c r="D832">
        <v>1</v>
      </c>
      <c r="F832">
        <v>21</v>
      </c>
      <c r="G832">
        <v>103</v>
      </c>
      <c r="H832">
        <v>1932</v>
      </c>
      <c r="I832">
        <v>1667</v>
      </c>
      <c r="J832" s="27" t="str">
        <f t="shared" si="38"/>
        <v>https://ia601606.us.archive.org/33/items/FinancialStatisticsOfStateAndLocalGovernmentsWealthDebtAndTaxation1932/Financial_statistics_of_state_and_local_governments_Wealth_debt_and_taxation_1932.pdf#page=1667</v>
      </c>
    </row>
    <row r="833" spans="1:11" x14ac:dyDescent="0.25">
      <c r="A833" s="27" t="s">
        <v>1361</v>
      </c>
      <c r="B833" s="27" t="str">
        <f t="shared" si="36"/>
        <v>Tennessee</v>
      </c>
      <c r="C833" s="27" t="str">
        <f t="shared" si="37"/>
        <v>Washington</v>
      </c>
      <c r="D833">
        <v>1</v>
      </c>
      <c r="F833">
        <v>19</v>
      </c>
      <c r="G833">
        <v>178</v>
      </c>
      <c r="H833">
        <v>1932</v>
      </c>
      <c r="I833">
        <v>1667</v>
      </c>
      <c r="J833" s="27" t="str">
        <f t="shared" si="38"/>
        <v>https://ia601606.us.archive.org/33/items/FinancialStatisticsOfStateAndLocalGovernmentsWealthDebtAndTaxation1932/Financial_statistics_of_state_and_local_governments_Wealth_debt_and_taxation_1932.pdf#page=1667</v>
      </c>
    </row>
    <row r="834" spans="1:11" x14ac:dyDescent="0.25">
      <c r="A834" s="27" t="s">
        <v>1362</v>
      </c>
      <c r="B834" s="27" t="str">
        <f t="shared" si="36"/>
        <v>Tennessee</v>
      </c>
      <c r="C834" s="27" t="str">
        <f t="shared" si="37"/>
        <v>Wayne</v>
      </c>
      <c r="G834">
        <v>83</v>
      </c>
      <c r="H834">
        <v>1932</v>
      </c>
      <c r="I834">
        <v>1667</v>
      </c>
      <c r="J834" s="27" t="str">
        <f t="shared" si="38"/>
        <v>https://ia601606.us.archive.org/33/items/FinancialStatisticsOfStateAndLocalGovernmentsWealthDebtAndTaxation1932/Financial_statistics_of_state_and_local_governments_Wealth_debt_and_taxation_1932.pdf#page=1667</v>
      </c>
    </row>
    <row r="835" spans="1:11" x14ac:dyDescent="0.25">
      <c r="A835" s="27" t="s">
        <v>1363</v>
      </c>
      <c r="B835" s="27" t="str">
        <f t="shared" ref="B835:B898" si="39">LEFT(A835,FIND(";",A835)-1)</f>
        <v>Tennessee</v>
      </c>
      <c r="C835" s="27" t="str">
        <f t="shared" ref="C835:C898" si="40">MID(A835,FIND(";",A835)+1,100)</f>
        <v>Weakley</v>
      </c>
      <c r="D835">
        <v>5</v>
      </c>
      <c r="F835">
        <v>75</v>
      </c>
      <c r="G835">
        <v>127</v>
      </c>
      <c r="H835">
        <v>1932</v>
      </c>
      <c r="I835">
        <v>1667</v>
      </c>
      <c r="J835" s="27" t="str">
        <f t="shared" ref="J835:J898" si="41">"https://ia601606.us.archive.org/33/items/FinancialStatisticsOfStateAndLocalGovernmentsWealthDebtAndTaxation1932/Financial_statistics_of_state_and_local_governments_Wealth_debt_and_taxation_1932.pdf"&amp;"#page="&amp;I835</f>
        <v>https://ia601606.us.archive.org/33/items/FinancialStatisticsOfStateAndLocalGovernmentsWealthDebtAndTaxation1932/Financial_statistics_of_state_and_local_governments_Wealth_debt_and_taxation_1932.pdf#page=1667</v>
      </c>
    </row>
    <row r="836" spans="1:11" x14ac:dyDescent="0.25">
      <c r="A836" s="27" t="s">
        <v>1364</v>
      </c>
      <c r="B836" s="27" t="str">
        <f t="shared" si="39"/>
        <v>Tennessee</v>
      </c>
      <c r="C836" s="27" t="str">
        <f t="shared" si="40"/>
        <v>White</v>
      </c>
      <c r="D836">
        <v>2</v>
      </c>
      <c r="F836">
        <v>22</v>
      </c>
      <c r="G836">
        <v>84</v>
      </c>
      <c r="H836">
        <v>1932</v>
      </c>
      <c r="I836">
        <v>1668</v>
      </c>
      <c r="J836" s="27" t="str">
        <f t="shared" si="41"/>
        <v>https://ia601606.us.archive.org/33/items/FinancialStatisticsOfStateAndLocalGovernmentsWealthDebtAndTaxation1932/Financial_statistics_of_state_and_local_governments_Wealth_debt_and_taxation_1932.pdf#page=1668</v>
      </c>
    </row>
    <row r="837" spans="1:11" x14ac:dyDescent="0.25">
      <c r="A837" s="27" t="s">
        <v>1365</v>
      </c>
      <c r="B837" s="27" t="str">
        <f t="shared" si="39"/>
        <v>Tennessee</v>
      </c>
      <c r="C837" s="27" t="str">
        <f t="shared" si="40"/>
        <v>Williamson</v>
      </c>
      <c r="D837">
        <v>11</v>
      </c>
      <c r="F837">
        <v>24</v>
      </c>
      <c r="G837">
        <v>108</v>
      </c>
      <c r="H837">
        <v>1932</v>
      </c>
      <c r="I837">
        <v>1668</v>
      </c>
      <c r="J837" s="27" t="str">
        <f t="shared" si="41"/>
        <v>https://ia601606.us.archive.org/33/items/FinancialStatisticsOfStateAndLocalGovernmentsWealthDebtAndTaxation1932/Financial_statistics_of_state_and_local_governments_Wealth_debt_and_taxation_1932.pdf#page=1668</v>
      </c>
    </row>
    <row r="838" spans="1:11" x14ac:dyDescent="0.25">
      <c r="A838" s="27" t="s">
        <v>1366</v>
      </c>
      <c r="B838" s="27" t="str">
        <f t="shared" si="39"/>
        <v>Tennessee</v>
      </c>
      <c r="C838" s="27" t="str">
        <f t="shared" si="40"/>
        <v>Wilson</v>
      </c>
      <c r="D838">
        <v>4</v>
      </c>
      <c r="F838">
        <v>54</v>
      </c>
      <c r="G838">
        <v>131</v>
      </c>
      <c r="H838">
        <v>1932</v>
      </c>
      <c r="I838">
        <v>1668</v>
      </c>
      <c r="J838" s="27" t="str">
        <f t="shared" si="41"/>
        <v>https://ia601606.us.archive.org/33/items/FinancialStatisticsOfStateAndLocalGovernmentsWealthDebtAndTaxation1932/Financial_statistics_of_state_and_local_governments_Wealth_debt_and_taxation_1932.pdf#page=1668</v>
      </c>
    </row>
    <row r="839" spans="1:11" x14ac:dyDescent="0.25">
      <c r="A839" s="27" t="s">
        <v>1273</v>
      </c>
      <c r="B839" s="27" t="str">
        <f t="shared" si="39"/>
        <v/>
      </c>
      <c r="C839" s="27" t="str">
        <f t="shared" si="40"/>
        <v>My Total</v>
      </c>
      <c r="D839">
        <f>SUM(D744:D838)</f>
        <v>575</v>
      </c>
      <c r="E839">
        <f>SUM(E744:E838)</f>
        <v>0</v>
      </c>
      <c r="F839">
        <f>SUM(F744:F838)</f>
        <v>1277</v>
      </c>
      <c r="G839">
        <f>SUM(G744:G838)</f>
        <v>14652</v>
      </c>
      <c r="J839" s="27" t="str">
        <f t="shared" si="41"/>
        <v>https://ia601606.us.archive.org/33/items/FinancialStatisticsOfStateAndLocalGovernmentsWealthDebtAndTaxation1932/Financial_statistics_of_state_and_local_governments_Wealth_debt_and_taxation_1932.pdf#page=</v>
      </c>
      <c r="K839" t="s">
        <v>345</v>
      </c>
    </row>
    <row r="840" spans="1:11" x14ac:dyDescent="0.25">
      <c r="A840" s="27" t="s">
        <v>1274</v>
      </c>
      <c r="B840" s="27" t="str">
        <f t="shared" si="39"/>
        <v/>
      </c>
      <c r="C840" s="27" t="str">
        <f t="shared" si="40"/>
        <v>Reported Total</v>
      </c>
      <c r="D840" t="s">
        <v>342</v>
      </c>
      <c r="E840" t="s">
        <v>343</v>
      </c>
      <c r="G840" t="s">
        <v>344</v>
      </c>
      <c r="J840" s="27" t="str">
        <f t="shared" si="41"/>
        <v>https://ia601606.us.archive.org/33/items/FinancialStatisticsOfStateAndLocalGovernmentsWealthDebtAndTaxation1932/Financial_statistics_of_state_and_local_governments_Wealth_debt_and_taxation_1932.pdf#page=</v>
      </c>
    </row>
    <row r="841" spans="1:11" x14ac:dyDescent="0.25">
      <c r="A841" s="27" t="s">
        <v>1367</v>
      </c>
      <c r="B841" s="27" t="str">
        <f t="shared" si="39"/>
        <v/>
      </c>
      <c r="C841" s="27" t="str">
        <f t="shared" si="40"/>
        <v/>
      </c>
      <c r="J841" s="27" t="str">
        <f t="shared" si="41"/>
        <v>https://ia601606.us.archive.org/33/items/FinancialStatisticsOfStateAndLocalGovernmentsWealthDebtAndTaxation1932/Financial_statistics_of_state_and_local_governments_Wealth_debt_and_taxation_1932.pdf#page=</v>
      </c>
    </row>
    <row r="842" spans="1:11" x14ac:dyDescent="0.25">
      <c r="A842" s="27" t="s">
        <v>1368</v>
      </c>
      <c r="B842" s="27" t="str">
        <f t="shared" si="39"/>
        <v>Texas</v>
      </c>
      <c r="C842" s="27" t="str">
        <f t="shared" si="40"/>
        <v>Anderson</v>
      </c>
      <c r="D842">
        <v>3</v>
      </c>
      <c r="G842">
        <v>320</v>
      </c>
      <c r="H842">
        <v>1932</v>
      </c>
      <c r="I842">
        <v>1728</v>
      </c>
      <c r="J842" s="27" t="str">
        <f t="shared" si="41"/>
        <v>https://ia601606.us.archive.org/33/items/FinancialStatisticsOfStateAndLocalGovernmentsWealthDebtAndTaxation1932/Financial_statistics_of_state_and_local_governments_Wealth_debt_and_taxation_1932.pdf#page=1728</v>
      </c>
    </row>
    <row r="843" spans="1:11" x14ac:dyDescent="0.25">
      <c r="A843" s="27" t="s">
        <v>1369</v>
      </c>
      <c r="B843" s="27" t="str">
        <f t="shared" si="39"/>
        <v>Texas</v>
      </c>
      <c r="C843" s="27" t="str">
        <f t="shared" si="40"/>
        <v>Andrews</v>
      </c>
      <c r="D843">
        <v>1</v>
      </c>
      <c r="G843">
        <v>23</v>
      </c>
      <c r="H843">
        <v>1932</v>
      </c>
      <c r="I843">
        <v>1728</v>
      </c>
      <c r="J843" s="27" t="str">
        <f t="shared" si="41"/>
        <v>https://ia601606.us.archive.org/33/items/FinancialStatisticsOfStateAndLocalGovernmentsWealthDebtAndTaxation1932/Financial_statistics_of_state_and_local_governments_Wealth_debt_and_taxation_1932.pdf#page=1728</v>
      </c>
    </row>
    <row r="844" spans="1:11" x14ac:dyDescent="0.25">
      <c r="A844" s="27" t="s">
        <v>1370</v>
      </c>
      <c r="B844" s="27" t="str">
        <f t="shared" si="39"/>
        <v>Texas</v>
      </c>
      <c r="C844" s="27" t="str">
        <f t="shared" si="40"/>
        <v>Angelina</v>
      </c>
      <c r="G844">
        <v>255</v>
      </c>
      <c r="H844">
        <v>1932</v>
      </c>
      <c r="I844">
        <v>1728</v>
      </c>
      <c r="J844" s="27" t="str">
        <f t="shared" si="41"/>
        <v>https://ia601606.us.archive.org/33/items/FinancialStatisticsOfStateAndLocalGovernmentsWealthDebtAndTaxation1932/Financial_statistics_of_state_and_local_governments_Wealth_debt_and_taxation_1932.pdf#page=1728</v>
      </c>
    </row>
    <row r="845" spans="1:11" x14ac:dyDescent="0.25">
      <c r="A845" s="27" t="s">
        <v>1371</v>
      </c>
      <c r="B845" s="27" t="str">
        <f t="shared" si="39"/>
        <v>Texas</v>
      </c>
      <c r="C845" s="27" t="str">
        <f t="shared" si="40"/>
        <v>Aransas</v>
      </c>
      <c r="G845">
        <v>16</v>
      </c>
      <c r="H845">
        <v>1932</v>
      </c>
      <c r="I845">
        <v>1728</v>
      </c>
      <c r="J845" s="27" t="str">
        <f t="shared" si="41"/>
        <v>https://ia601606.us.archive.org/33/items/FinancialStatisticsOfStateAndLocalGovernmentsWealthDebtAndTaxation1932/Financial_statistics_of_state_and_local_governments_Wealth_debt_and_taxation_1932.pdf#page=1728</v>
      </c>
    </row>
    <row r="846" spans="1:11" x14ac:dyDescent="0.25">
      <c r="A846" s="27" t="s">
        <v>1372</v>
      </c>
      <c r="B846" s="27" t="str">
        <f t="shared" si="39"/>
        <v>Texas</v>
      </c>
      <c r="C846" s="27" t="str">
        <f t="shared" si="40"/>
        <v>Archer</v>
      </c>
      <c r="G846">
        <v>153</v>
      </c>
      <c r="H846">
        <v>1932</v>
      </c>
      <c r="I846">
        <v>1729</v>
      </c>
      <c r="J846" s="27" t="str">
        <f t="shared" si="41"/>
        <v>https://ia601606.us.archive.org/33/items/FinancialStatisticsOfStateAndLocalGovernmentsWealthDebtAndTaxation1932/Financial_statistics_of_state_and_local_governments_Wealth_debt_and_taxation_1932.pdf#page=1729</v>
      </c>
    </row>
    <row r="847" spans="1:11" x14ac:dyDescent="0.25">
      <c r="A847" s="27" t="s">
        <v>1373</v>
      </c>
      <c r="B847" s="27" t="str">
        <f t="shared" si="39"/>
        <v>Texas</v>
      </c>
      <c r="C847" s="27" t="str">
        <f t="shared" si="40"/>
        <v>Armstrong</v>
      </c>
      <c r="G847">
        <v>60</v>
      </c>
      <c r="H847">
        <v>1932</v>
      </c>
      <c r="I847">
        <v>1729</v>
      </c>
      <c r="J847" s="27" t="str">
        <f t="shared" si="41"/>
        <v>https://ia601606.us.archive.org/33/items/FinancialStatisticsOfStateAndLocalGovernmentsWealthDebtAndTaxation1932/Financial_statistics_of_state_and_local_governments_Wealth_debt_and_taxation_1932.pdf#page=1729</v>
      </c>
    </row>
    <row r="848" spans="1:11" x14ac:dyDescent="0.25">
      <c r="A848" s="27" t="s">
        <v>1374</v>
      </c>
      <c r="B848" s="27" t="str">
        <f t="shared" si="39"/>
        <v>Texas</v>
      </c>
      <c r="C848" s="27" t="str">
        <f t="shared" si="40"/>
        <v>Atascosa</v>
      </c>
      <c r="G848">
        <v>153</v>
      </c>
      <c r="H848">
        <v>1932</v>
      </c>
      <c r="I848">
        <v>1729</v>
      </c>
      <c r="J848" s="27" t="str">
        <f t="shared" si="41"/>
        <v>https://ia601606.us.archive.org/33/items/FinancialStatisticsOfStateAndLocalGovernmentsWealthDebtAndTaxation1932/Financial_statistics_of_state_and_local_governments_Wealth_debt_and_taxation_1932.pdf#page=1729</v>
      </c>
    </row>
    <row r="849" spans="1:10" x14ac:dyDescent="0.25">
      <c r="A849" s="27" t="s">
        <v>1375</v>
      </c>
      <c r="B849" s="27" t="str">
        <f t="shared" si="39"/>
        <v>Texas</v>
      </c>
      <c r="C849" s="27" t="str">
        <f t="shared" si="40"/>
        <v>Austin</v>
      </c>
      <c r="D849">
        <v>1</v>
      </c>
      <c r="G849">
        <v>129</v>
      </c>
      <c r="H849">
        <v>1932</v>
      </c>
      <c r="I849">
        <v>1729</v>
      </c>
      <c r="J849" s="27" t="str">
        <f t="shared" si="41"/>
        <v>https://ia601606.us.archive.org/33/items/FinancialStatisticsOfStateAndLocalGovernmentsWealthDebtAndTaxation1932/Financial_statistics_of_state_and_local_governments_Wealth_debt_and_taxation_1932.pdf#page=1729</v>
      </c>
    </row>
    <row r="850" spans="1:10" x14ac:dyDescent="0.25">
      <c r="A850" s="27" t="s">
        <v>1376</v>
      </c>
      <c r="B850" s="27" t="str">
        <f t="shared" si="39"/>
        <v>Texas</v>
      </c>
      <c r="C850" s="27" t="str">
        <f t="shared" si="40"/>
        <v>Bailey</v>
      </c>
      <c r="G850">
        <v>93</v>
      </c>
      <c r="H850">
        <v>1932</v>
      </c>
      <c r="I850">
        <v>1729</v>
      </c>
      <c r="J850" s="27" t="str">
        <f t="shared" si="41"/>
        <v>https://ia601606.us.archive.org/33/items/FinancialStatisticsOfStateAndLocalGovernmentsWealthDebtAndTaxation1932/Financial_statistics_of_state_and_local_governments_Wealth_debt_and_taxation_1932.pdf#page=1729</v>
      </c>
    </row>
    <row r="851" spans="1:10" x14ac:dyDescent="0.25">
      <c r="A851" s="27" t="s">
        <v>1377</v>
      </c>
      <c r="B851" s="27" t="str">
        <f t="shared" si="39"/>
        <v>Texas</v>
      </c>
      <c r="C851" s="27" t="str">
        <f t="shared" si="40"/>
        <v>Bandera</v>
      </c>
      <c r="G851">
        <v>35</v>
      </c>
      <c r="H851">
        <v>1932</v>
      </c>
      <c r="I851">
        <v>1730</v>
      </c>
      <c r="J851" s="27" t="str">
        <f t="shared" si="41"/>
        <v>https://ia601606.us.archive.org/33/items/FinancialStatisticsOfStateAndLocalGovernmentsWealthDebtAndTaxation1932/Financial_statistics_of_state_and_local_governments_Wealth_debt_and_taxation_1932.pdf#page=1730</v>
      </c>
    </row>
    <row r="852" spans="1:10" x14ac:dyDescent="0.25">
      <c r="A852" s="27" t="s">
        <v>1378</v>
      </c>
      <c r="B852" s="27" t="str">
        <f t="shared" si="39"/>
        <v>Texas</v>
      </c>
      <c r="C852" s="27" t="str">
        <f t="shared" si="40"/>
        <v>Bastrop</v>
      </c>
      <c r="D852">
        <v>1</v>
      </c>
      <c r="G852">
        <v>164</v>
      </c>
      <c r="H852">
        <v>1932</v>
      </c>
      <c r="I852">
        <v>1730</v>
      </c>
      <c r="J852" s="27" t="str">
        <f t="shared" si="41"/>
        <v>https://ia601606.us.archive.org/33/items/FinancialStatisticsOfStateAndLocalGovernmentsWealthDebtAndTaxation1932/Financial_statistics_of_state_and_local_governments_Wealth_debt_and_taxation_1932.pdf#page=1730</v>
      </c>
    </row>
    <row r="853" spans="1:10" x14ac:dyDescent="0.25">
      <c r="A853" s="27" t="s">
        <v>1379</v>
      </c>
      <c r="B853" s="27" t="str">
        <f t="shared" si="39"/>
        <v>Texas</v>
      </c>
      <c r="C853" s="27" t="str">
        <f t="shared" si="40"/>
        <v>Baylor</v>
      </c>
      <c r="D853">
        <v>1</v>
      </c>
      <c r="G853">
        <v>115</v>
      </c>
      <c r="H853">
        <v>1932</v>
      </c>
      <c r="I853">
        <v>1730</v>
      </c>
      <c r="J853" s="27" t="str">
        <f t="shared" si="41"/>
        <v>https://ia601606.us.archive.org/33/items/FinancialStatisticsOfStateAndLocalGovernmentsWealthDebtAndTaxation1932/Financial_statistics_of_state_and_local_governments_Wealth_debt_and_taxation_1932.pdf#page=1730</v>
      </c>
    </row>
    <row r="854" spans="1:10" x14ac:dyDescent="0.25">
      <c r="A854" s="27" t="s">
        <v>1380</v>
      </c>
      <c r="B854" s="27" t="str">
        <f t="shared" si="39"/>
        <v>Texas</v>
      </c>
      <c r="C854" s="27" t="str">
        <f t="shared" si="40"/>
        <v>Bee</v>
      </c>
      <c r="G854">
        <v>119</v>
      </c>
      <c r="H854">
        <v>1932</v>
      </c>
      <c r="I854">
        <v>1730</v>
      </c>
      <c r="J854" s="27" t="str">
        <f t="shared" si="41"/>
        <v>https://ia601606.us.archive.org/33/items/FinancialStatisticsOfStateAndLocalGovernmentsWealthDebtAndTaxation1932/Financial_statistics_of_state_and_local_governments_Wealth_debt_and_taxation_1932.pdf#page=1730</v>
      </c>
    </row>
    <row r="855" spans="1:10" x14ac:dyDescent="0.25">
      <c r="A855" s="27" t="s">
        <v>1381</v>
      </c>
      <c r="B855" s="27" t="str">
        <f t="shared" si="39"/>
        <v>Texas</v>
      </c>
      <c r="C855" s="27" t="str">
        <f t="shared" si="40"/>
        <v>Bell</v>
      </c>
      <c r="D855">
        <v>1</v>
      </c>
      <c r="G855">
        <v>485</v>
      </c>
      <c r="H855">
        <v>1932</v>
      </c>
      <c r="I855">
        <v>1730</v>
      </c>
      <c r="J855" s="27" t="str">
        <f t="shared" si="41"/>
        <v>https://ia601606.us.archive.org/33/items/FinancialStatisticsOfStateAndLocalGovernmentsWealthDebtAndTaxation1932/Financial_statistics_of_state_and_local_governments_Wealth_debt_and_taxation_1932.pdf#page=1730</v>
      </c>
    </row>
    <row r="856" spans="1:10" x14ac:dyDescent="0.25">
      <c r="A856" s="27" t="s">
        <v>1382</v>
      </c>
      <c r="B856" s="27" t="str">
        <f t="shared" si="39"/>
        <v>Texas</v>
      </c>
      <c r="C856" s="27" t="str">
        <f t="shared" si="40"/>
        <v>Bexar</v>
      </c>
      <c r="D856">
        <v>13</v>
      </c>
      <c r="G856">
        <v>3186</v>
      </c>
      <c r="H856">
        <v>1932</v>
      </c>
      <c r="I856">
        <v>1730</v>
      </c>
      <c r="J856" s="27" t="str">
        <f t="shared" si="41"/>
        <v>https://ia601606.us.archive.org/33/items/FinancialStatisticsOfStateAndLocalGovernmentsWealthDebtAndTaxation1932/Financial_statistics_of_state_and_local_governments_Wealth_debt_and_taxation_1932.pdf#page=1730</v>
      </c>
    </row>
    <row r="857" spans="1:10" x14ac:dyDescent="0.25">
      <c r="A857" s="27" t="s">
        <v>1383</v>
      </c>
      <c r="B857" s="27" t="str">
        <f t="shared" si="39"/>
        <v>Texas</v>
      </c>
      <c r="C857" s="27" t="str">
        <f t="shared" si="40"/>
        <v>Blanco</v>
      </c>
      <c r="G857">
        <v>27</v>
      </c>
      <c r="H857">
        <v>1932</v>
      </c>
      <c r="I857">
        <v>1730</v>
      </c>
      <c r="J857" s="27" t="str">
        <f t="shared" si="41"/>
        <v>https://ia601606.us.archive.org/33/items/FinancialStatisticsOfStateAndLocalGovernmentsWealthDebtAndTaxation1932/Financial_statistics_of_state_and_local_governments_Wealth_debt_and_taxation_1932.pdf#page=1730</v>
      </c>
    </row>
    <row r="858" spans="1:10" x14ac:dyDescent="0.25">
      <c r="A858" s="27" t="s">
        <v>1384</v>
      </c>
      <c r="B858" s="27" t="str">
        <f t="shared" si="39"/>
        <v>Texas</v>
      </c>
      <c r="C858" s="27" t="str">
        <f t="shared" si="40"/>
        <v>Borden</v>
      </c>
      <c r="G858">
        <v>38</v>
      </c>
      <c r="H858">
        <v>1932</v>
      </c>
      <c r="I858">
        <v>1730</v>
      </c>
      <c r="J858" s="27" t="str">
        <f t="shared" si="41"/>
        <v>https://ia601606.us.archive.org/33/items/FinancialStatisticsOfStateAndLocalGovernmentsWealthDebtAndTaxation1932/Financial_statistics_of_state_and_local_governments_Wealth_debt_and_taxation_1932.pdf#page=1730</v>
      </c>
    </row>
    <row r="859" spans="1:10" x14ac:dyDescent="0.25">
      <c r="A859" s="27" t="s">
        <v>1385</v>
      </c>
      <c r="B859" s="27" t="str">
        <f t="shared" si="39"/>
        <v>Texas</v>
      </c>
      <c r="C859" s="27" t="str">
        <f t="shared" si="40"/>
        <v>Bosque</v>
      </c>
      <c r="G859">
        <v>165</v>
      </c>
      <c r="H859">
        <v>1932</v>
      </c>
      <c r="I859">
        <v>1730</v>
      </c>
      <c r="J859" s="27" t="str">
        <f t="shared" si="41"/>
        <v>https://ia601606.us.archive.org/33/items/FinancialStatisticsOfStateAndLocalGovernmentsWealthDebtAndTaxation1932/Financial_statistics_of_state_and_local_governments_Wealth_debt_and_taxation_1932.pdf#page=1730</v>
      </c>
    </row>
    <row r="860" spans="1:10" x14ac:dyDescent="0.25">
      <c r="A860" s="27" t="s">
        <v>1386</v>
      </c>
      <c r="B860" s="27" t="str">
        <f t="shared" si="39"/>
        <v>Texas</v>
      </c>
      <c r="C860" s="27" t="str">
        <f t="shared" si="40"/>
        <v>Bowie</v>
      </c>
      <c r="G860">
        <v>441</v>
      </c>
      <c r="H860">
        <v>1932</v>
      </c>
      <c r="I860">
        <v>1731</v>
      </c>
      <c r="J860" s="27" t="str">
        <f t="shared" si="41"/>
        <v>https://ia601606.us.archive.org/33/items/FinancialStatisticsOfStateAndLocalGovernmentsWealthDebtAndTaxation1932/Financial_statistics_of_state_and_local_governments_Wealth_debt_and_taxation_1932.pdf#page=1731</v>
      </c>
    </row>
    <row r="861" spans="1:10" x14ac:dyDescent="0.25">
      <c r="A861" s="27" t="s">
        <v>1387</v>
      </c>
      <c r="B861" s="27" t="str">
        <f t="shared" si="39"/>
        <v>Texas</v>
      </c>
      <c r="C861" s="27" t="str">
        <f t="shared" si="40"/>
        <v>Brazoria</v>
      </c>
      <c r="D861">
        <v>1</v>
      </c>
      <c r="F861">
        <v>1</v>
      </c>
      <c r="G861">
        <v>326</v>
      </c>
      <c r="H861">
        <v>1932</v>
      </c>
      <c r="I861">
        <v>1731</v>
      </c>
      <c r="J861" s="27" t="str">
        <f t="shared" si="41"/>
        <v>https://ia601606.us.archive.org/33/items/FinancialStatisticsOfStateAndLocalGovernmentsWealthDebtAndTaxation1932/Financial_statistics_of_state_and_local_governments_Wealth_debt_and_taxation_1932.pdf#page=1731</v>
      </c>
    </row>
    <row r="862" spans="1:10" x14ac:dyDescent="0.25">
      <c r="A862" s="27" t="s">
        <v>1388</v>
      </c>
      <c r="B862" s="27" t="str">
        <f t="shared" si="39"/>
        <v>Texas</v>
      </c>
      <c r="C862" s="27" t="str">
        <f t="shared" si="40"/>
        <v>Brazos</v>
      </c>
      <c r="D862">
        <v>2</v>
      </c>
      <c r="G862">
        <v>195</v>
      </c>
      <c r="H862">
        <v>1932</v>
      </c>
      <c r="I862">
        <v>1731</v>
      </c>
      <c r="J862" s="27" t="str">
        <f t="shared" si="41"/>
        <v>https://ia601606.us.archive.org/33/items/FinancialStatisticsOfStateAndLocalGovernmentsWealthDebtAndTaxation1932/Financial_statistics_of_state_and_local_governments_Wealth_debt_and_taxation_1932.pdf#page=1731</v>
      </c>
    </row>
    <row r="863" spans="1:10" x14ac:dyDescent="0.25">
      <c r="A863" s="27" t="s">
        <v>1389</v>
      </c>
      <c r="B863" s="27" t="str">
        <f t="shared" si="39"/>
        <v>Texas</v>
      </c>
      <c r="C863" s="27" t="str">
        <f t="shared" si="40"/>
        <v>Brewster</v>
      </c>
      <c r="D863">
        <v>1</v>
      </c>
      <c r="F863">
        <v>1</v>
      </c>
      <c r="G863">
        <v>62</v>
      </c>
      <c r="H863">
        <v>1932</v>
      </c>
      <c r="I863">
        <v>1731</v>
      </c>
      <c r="J863" s="27" t="str">
        <f t="shared" si="41"/>
        <v>https://ia601606.us.archive.org/33/items/FinancialStatisticsOfStateAndLocalGovernmentsWealthDebtAndTaxation1932/Financial_statistics_of_state_and_local_governments_Wealth_debt_and_taxation_1932.pdf#page=1731</v>
      </c>
    </row>
    <row r="864" spans="1:10" x14ac:dyDescent="0.25">
      <c r="A864" s="27" t="s">
        <v>1390</v>
      </c>
      <c r="B864" s="27" t="str">
        <f t="shared" si="39"/>
        <v>Texas</v>
      </c>
      <c r="C864" s="27" t="str">
        <f t="shared" si="40"/>
        <v>Briscoe</v>
      </c>
      <c r="G864">
        <v>65</v>
      </c>
      <c r="H864">
        <v>1932</v>
      </c>
      <c r="I864">
        <v>1731</v>
      </c>
      <c r="J864" s="27" t="str">
        <f t="shared" si="41"/>
        <v>https://ia601606.us.archive.org/33/items/FinancialStatisticsOfStateAndLocalGovernmentsWealthDebtAndTaxation1932/Financial_statistics_of_state_and_local_governments_Wealth_debt_and_taxation_1932.pdf#page=1731</v>
      </c>
    </row>
    <row r="865" spans="1:10" x14ac:dyDescent="0.25">
      <c r="A865" s="27" t="s">
        <v>1391</v>
      </c>
      <c r="B865" s="27" t="str">
        <f t="shared" si="39"/>
        <v>Texas</v>
      </c>
      <c r="C865" s="27" t="str">
        <f t="shared" si="40"/>
        <v>Brooks</v>
      </c>
      <c r="G865">
        <v>44</v>
      </c>
      <c r="H865">
        <v>1932</v>
      </c>
      <c r="I865">
        <v>1732</v>
      </c>
      <c r="J865" s="27" t="str">
        <f t="shared" si="41"/>
        <v>https://ia601606.us.archive.org/33/items/FinancialStatisticsOfStateAndLocalGovernmentsWealthDebtAndTaxation1932/Financial_statistics_of_state_and_local_governments_Wealth_debt_and_taxation_1932.pdf#page=1732</v>
      </c>
    </row>
    <row r="866" spans="1:10" x14ac:dyDescent="0.25">
      <c r="A866" s="27" t="s">
        <v>1392</v>
      </c>
      <c r="B866" s="27" t="str">
        <f t="shared" si="39"/>
        <v>Texas</v>
      </c>
      <c r="C866" s="27" t="str">
        <f t="shared" si="40"/>
        <v>Brown</v>
      </c>
      <c r="D866">
        <v>1</v>
      </c>
      <c r="G866">
        <v>278</v>
      </c>
      <c r="H866">
        <v>1932</v>
      </c>
      <c r="I866">
        <v>1732</v>
      </c>
      <c r="J866" s="27" t="str">
        <f t="shared" si="41"/>
        <v>https://ia601606.us.archive.org/33/items/FinancialStatisticsOfStateAndLocalGovernmentsWealthDebtAndTaxation1932/Financial_statistics_of_state_and_local_governments_Wealth_debt_and_taxation_1932.pdf#page=1732</v>
      </c>
    </row>
    <row r="867" spans="1:10" x14ac:dyDescent="0.25">
      <c r="A867" s="27" t="s">
        <v>1393</v>
      </c>
      <c r="B867" s="27" t="str">
        <f t="shared" si="39"/>
        <v>Texas</v>
      </c>
      <c r="C867" s="27" t="str">
        <f t="shared" si="40"/>
        <v>Burleson</v>
      </c>
      <c r="D867">
        <v>1</v>
      </c>
      <c r="G867">
        <v>151</v>
      </c>
      <c r="H867">
        <v>1932</v>
      </c>
      <c r="I867">
        <v>1732</v>
      </c>
      <c r="J867" s="27" t="str">
        <f t="shared" si="41"/>
        <v>https://ia601606.us.archive.org/33/items/FinancialStatisticsOfStateAndLocalGovernmentsWealthDebtAndTaxation1932/Financial_statistics_of_state_and_local_governments_Wealth_debt_and_taxation_1932.pdf#page=1732</v>
      </c>
    </row>
    <row r="868" spans="1:10" x14ac:dyDescent="0.25">
      <c r="A868" s="27" t="s">
        <v>1394</v>
      </c>
      <c r="B868" s="27" t="str">
        <f t="shared" si="39"/>
        <v>Texas</v>
      </c>
      <c r="C868" s="27" t="str">
        <f t="shared" si="40"/>
        <v>Burnet</v>
      </c>
      <c r="G868">
        <v>91</v>
      </c>
      <c r="H868">
        <v>1932</v>
      </c>
      <c r="I868">
        <v>1732</v>
      </c>
      <c r="J868" s="27" t="str">
        <f t="shared" si="41"/>
        <v>https://ia601606.us.archive.org/33/items/FinancialStatisticsOfStateAndLocalGovernmentsWealthDebtAndTaxation1932/Financial_statistics_of_state_and_local_governments_Wealth_debt_and_taxation_1932.pdf#page=1732</v>
      </c>
    </row>
    <row r="869" spans="1:10" x14ac:dyDescent="0.25">
      <c r="A869" s="27" t="s">
        <v>1395</v>
      </c>
      <c r="B869" s="27" t="str">
        <f t="shared" si="39"/>
        <v>Texas</v>
      </c>
      <c r="C869" s="27" t="str">
        <f t="shared" si="40"/>
        <v>Caldwell</v>
      </c>
      <c r="D869">
        <v>3</v>
      </c>
      <c r="F869">
        <v>1</v>
      </c>
      <c r="G869">
        <v>235</v>
      </c>
      <c r="H869">
        <v>1932</v>
      </c>
      <c r="I869">
        <v>1732</v>
      </c>
      <c r="J869" s="27" t="str">
        <f t="shared" si="41"/>
        <v>https://ia601606.us.archive.org/33/items/FinancialStatisticsOfStateAndLocalGovernmentsWealthDebtAndTaxation1932/Financial_statistics_of_state_and_local_governments_Wealth_debt_and_taxation_1932.pdf#page=1732</v>
      </c>
    </row>
    <row r="870" spans="1:10" x14ac:dyDescent="0.25">
      <c r="A870" s="27" t="s">
        <v>1396</v>
      </c>
      <c r="B870" s="27" t="str">
        <f t="shared" si="39"/>
        <v>Texas</v>
      </c>
      <c r="C870" s="27" t="str">
        <f t="shared" si="40"/>
        <v>Calhoun</v>
      </c>
      <c r="F870">
        <v>1</v>
      </c>
      <c r="G870">
        <v>52</v>
      </c>
      <c r="H870">
        <v>1932</v>
      </c>
      <c r="I870">
        <v>1732</v>
      </c>
      <c r="J870" s="27" t="str">
        <f t="shared" si="41"/>
        <v>https://ia601606.us.archive.org/33/items/FinancialStatisticsOfStateAndLocalGovernmentsWealthDebtAndTaxation1932/Financial_statistics_of_state_and_local_governments_Wealth_debt_and_taxation_1932.pdf#page=1732</v>
      </c>
    </row>
    <row r="871" spans="1:10" x14ac:dyDescent="0.25">
      <c r="A871" s="27" t="s">
        <v>1397</v>
      </c>
      <c r="B871" s="27" t="str">
        <f t="shared" si="39"/>
        <v>Texas</v>
      </c>
      <c r="C871" s="27" t="str">
        <f t="shared" si="40"/>
        <v>Callahan</v>
      </c>
      <c r="D871">
        <v>1</v>
      </c>
      <c r="F871">
        <v>3</v>
      </c>
      <c r="G871">
        <v>146</v>
      </c>
      <c r="H871">
        <v>1932</v>
      </c>
      <c r="I871">
        <v>1732</v>
      </c>
      <c r="J871" s="27" t="str">
        <f t="shared" si="41"/>
        <v>https://ia601606.us.archive.org/33/items/FinancialStatisticsOfStateAndLocalGovernmentsWealthDebtAndTaxation1932/Financial_statistics_of_state_and_local_governments_Wealth_debt_and_taxation_1932.pdf#page=1732</v>
      </c>
    </row>
    <row r="872" spans="1:10" x14ac:dyDescent="0.25">
      <c r="A872" s="27" t="s">
        <v>1398</v>
      </c>
      <c r="B872" s="27" t="str">
        <f t="shared" si="39"/>
        <v>Texas</v>
      </c>
      <c r="C872" s="27" t="str">
        <f t="shared" si="40"/>
        <v>Cameron</v>
      </c>
      <c r="D872">
        <v>33</v>
      </c>
      <c r="G872">
        <v>826</v>
      </c>
      <c r="H872">
        <v>1932</v>
      </c>
      <c r="I872">
        <v>1732</v>
      </c>
      <c r="J872" s="27" t="str">
        <f t="shared" si="41"/>
        <v>https://ia601606.us.archive.org/33/items/FinancialStatisticsOfStateAndLocalGovernmentsWealthDebtAndTaxation1932/Financial_statistics_of_state_and_local_governments_Wealth_debt_and_taxation_1932.pdf#page=1732</v>
      </c>
    </row>
    <row r="873" spans="1:10" x14ac:dyDescent="0.25">
      <c r="A873" s="27" t="s">
        <v>1399</v>
      </c>
      <c r="B873" s="27" t="str">
        <f t="shared" si="39"/>
        <v>Texas</v>
      </c>
      <c r="C873" s="27" t="str">
        <f t="shared" si="40"/>
        <v>Camp</v>
      </c>
      <c r="G873">
        <v>108</v>
      </c>
      <c r="H873">
        <v>1932</v>
      </c>
      <c r="I873">
        <v>1732</v>
      </c>
      <c r="J873" s="27" t="str">
        <f t="shared" si="41"/>
        <v>https://ia601606.us.archive.org/33/items/FinancialStatisticsOfStateAndLocalGovernmentsWealthDebtAndTaxation1932/Financial_statistics_of_state_and_local_governments_Wealth_debt_and_taxation_1932.pdf#page=1732</v>
      </c>
    </row>
    <row r="874" spans="1:10" x14ac:dyDescent="0.25">
      <c r="A874" s="27" t="s">
        <v>1400</v>
      </c>
      <c r="B874" s="27" t="str">
        <f t="shared" si="39"/>
        <v>Texas</v>
      </c>
      <c r="C874" s="27" t="str">
        <f t="shared" si="40"/>
        <v>Carson</v>
      </c>
      <c r="D874">
        <v>1</v>
      </c>
      <c r="G874">
        <v>161</v>
      </c>
      <c r="H874">
        <v>1932</v>
      </c>
      <c r="I874">
        <v>1733</v>
      </c>
      <c r="J874" s="27" t="str">
        <f t="shared" si="41"/>
        <v>https://ia601606.us.archive.org/33/items/FinancialStatisticsOfStateAndLocalGovernmentsWealthDebtAndTaxation1932/Financial_statistics_of_state_and_local_governments_Wealth_debt_and_taxation_1932.pdf#page=1733</v>
      </c>
    </row>
    <row r="875" spans="1:10" x14ac:dyDescent="0.25">
      <c r="A875" s="27" t="s">
        <v>1790</v>
      </c>
      <c r="B875" s="27" t="str">
        <f t="shared" si="39"/>
        <v>Texas</v>
      </c>
      <c r="C875" s="27" t="str">
        <f t="shared" si="40"/>
        <v>Cass/Davis</v>
      </c>
      <c r="G875">
        <v>203</v>
      </c>
      <c r="H875">
        <v>1932</v>
      </c>
      <c r="I875">
        <v>1733</v>
      </c>
      <c r="J875" s="27" t="str">
        <f t="shared" si="41"/>
        <v>https://ia601606.us.archive.org/33/items/FinancialStatisticsOfStateAndLocalGovernmentsWealthDebtAndTaxation1932/Financial_statistics_of_state_and_local_governments_Wealth_debt_and_taxation_1932.pdf#page=1733</v>
      </c>
    </row>
    <row r="876" spans="1:10" x14ac:dyDescent="0.25">
      <c r="A876" s="27" t="s">
        <v>1401</v>
      </c>
      <c r="B876" s="27" t="str">
        <f t="shared" si="39"/>
        <v>Texas</v>
      </c>
      <c r="C876" s="27" t="str">
        <f t="shared" si="40"/>
        <v>Castro</v>
      </c>
      <c r="D876">
        <v>1</v>
      </c>
      <c r="G876">
        <v>69</v>
      </c>
      <c r="H876">
        <v>1932</v>
      </c>
      <c r="I876">
        <v>1733</v>
      </c>
      <c r="J876" s="27" t="str">
        <f t="shared" si="41"/>
        <v>https://ia601606.us.archive.org/33/items/FinancialStatisticsOfStateAndLocalGovernmentsWealthDebtAndTaxation1932/Financial_statistics_of_state_and_local_governments_Wealth_debt_and_taxation_1932.pdf#page=1733</v>
      </c>
    </row>
    <row r="877" spans="1:10" x14ac:dyDescent="0.25">
      <c r="A877" s="27" t="s">
        <v>1402</v>
      </c>
      <c r="B877" s="27" t="str">
        <f t="shared" si="39"/>
        <v>Texas</v>
      </c>
      <c r="C877" s="27" t="str">
        <f t="shared" si="40"/>
        <v>Chambers</v>
      </c>
      <c r="F877">
        <v>1</v>
      </c>
      <c r="G877">
        <v>74</v>
      </c>
      <c r="H877">
        <v>1932</v>
      </c>
      <c r="I877">
        <v>1733</v>
      </c>
      <c r="J877" s="27" t="str">
        <f t="shared" si="41"/>
        <v>https://ia601606.us.archive.org/33/items/FinancialStatisticsOfStateAndLocalGovernmentsWealthDebtAndTaxation1932/Financial_statistics_of_state_and_local_governments_Wealth_debt_and_taxation_1932.pdf#page=1733</v>
      </c>
    </row>
    <row r="878" spans="1:10" x14ac:dyDescent="0.25">
      <c r="A878" s="27" t="s">
        <v>1403</v>
      </c>
      <c r="B878" s="27" t="str">
        <f t="shared" si="39"/>
        <v>Texas</v>
      </c>
      <c r="C878" s="27" t="str">
        <f t="shared" si="40"/>
        <v>Cherokee</v>
      </c>
      <c r="G878">
        <v>351</v>
      </c>
      <c r="H878">
        <v>1932</v>
      </c>
      <c r="I878">
        <v>1733</v>
      </c>
      <c r="J878" s="27" t="str">
        <f t="shared" si="41"/>
        <v>https://ia601606.us.archive.org/33/items/FinancialStatisticsOfStateAndLocalGovernmentsWealthDebtAndTaxation1932/Financial_statistics_of_state_and_local_governments_Wealth_debt_and_taxation_1932.pdf#page=1733</v>
      </c>
    </row>
    <row r="879" spans="1:10" x14ac:dyDescent="0.25">
      <c r="A879" s="27" t="s">
        <v>1404</v>
      </c>
      <c r="B879" s="27" t="str">
        <f t="shared" si="39"/>
        <v>Texas</v>
      </c>
      <c r="C879" s="27" t="str">
        <f t="shared" si="40"/>
        <v>Childress</v>
      </c>
      <c r="G879">
        <v>160</v>
      </c>
      <c r="H879">
        <v>1932</v>
      </c>
      <c r="I879">
        <v>1733</v>
      </c>
      <c r="J879" s="27" t="str">
        <f t="shared" si="41"/>
        <v>https://ia601606.us.archive.org/33/items/FinancialStatisticsOfStateAndLocalGovernmentsWealthDebtAndTaxation1932/Financial_statistics_of_state_and_local_governments_Wealth_debt_and_taxation_1932.pdf#page=1733</v>
      </c>
    </row>
    <row r="880" spans="1:10" x14ac:dyDescent="0.25">
      <c r="A880" s="27" t="s">
        <v>1405</v>
      </c>
      <c r="B880" s="27" t="str">
        <f t="shared" si="39"/>
        <v>Texas</v>
      </c>
      <c r="C880" s="27" t="str">
        <f t="shared" si="40"/>
        <v>Clay</v>
      </c>
      <c r="D880">
        <v>3</v>
      </c>
      <c r="G880">
        <v>168</v>
      </c>
      <c r="H880">
        <v>1932</v>
      </c>
      <c r="I880">
        <v>1734</v>
      </c>
      <c r="J880" s="27" t="str">
        <f t="shared" si="41"/>
        <v>https://ia601606.us.archive.org/33/items/FinancialStatisticsOfStateAndLocalGovernmentsWealthDebtAndTaxation1932/Financial_statistics_of_state_and_local_governments_Wealth_debt_and_taxation_1932.pdf#page=1734</v>
      </c>
    </row>
    <row r="881" spans="1:10" x14ac:dyDescent="0.25">
      <c r="A881" s="27" t="s">
        <v>1791</v>
      </c>
      <c r="B881" s="27" t="str">
        <f t="shared" si="39"/>
        <v>Texas</v>
      </c>
      <c r="C881" s="27" t="str">
        <f t="shared" si="40"/>
        <v>Cochran</v>
      </c>
      <c r="G881">
        <v>39</v>
      </c>
      <c r="H881">
        <v>1932</v>
      </c>
      <c r="I881">
        <v>1734</v>
      </c>
      <c r="J881" s="27" t="str">
        <f t="shared" si="41"/>
        <v>https://ia601606.us.archive.org/33/items/FinancialStatisticsOfStateAndLocalGovernmentsWealthDebtAndTaxation1932/Financial_statistics_of_state_and_local_governments_Wealth_debt_and_taxation_1932.pdf#page=1734</v>
      </c>
    </row>
    <row r="882" spans="1:10" x14ac:dyDescent="0.25">
      <c r="A882" s="27" t="s">
        <v>1406</v>
      </c>
      <c r="B882" s="27" t="str">
        <f t="shared" si="39"/>
        <v>Texas</v>
      </c>
      <c r="C882" s="27" t="str">
        <f t="shared" si="40"/>
        <v>Coke</v>
      </c>
      <c r="G882">
        <v>57</v>
      </c>
      <c r="H882">
        <v>1932</v>
      </c>
      <c r="I882">
        <v>1734</v>
      </c>
      <c r="J882" s="27" t="str">
        <f t="shared" si="41"/>
        <v>https://ia601606.us.archive.org/33/items/FinancialStatisticsOfStateAndLocalGovernmentsWealthDebtAndTaxation1932/Financial_statistics_of_state_and_local_governments_Wealth_debt_and_taxation_1932.pdf#page=1734</v>
      </c>
    </row>
    <row r="883" spans="1:10" x14ac:dyDescent="0.25">
      <c r="A883" s="27" t="s">
        <v>1407</v>
      </c>
      <c r="B883" s="27" t="str">
        <f t="shared" si="39"/>
        <v>Texas</v>
      </c>
      <c r="C883" s="27" t="str">
        <f t="shared" si="40"/>
        <v>Coleman</v>
      </c>
      <c r="F883">
        <v>4</v>
      </c>
      <c r="G883">
        <v>228</v>
      </c>
      <c r="H883">
        <v>1932</v>
      </c>
      <c r="I883">
        <v>1734</v>
      </c>
      <c r="J883" s="27" t="str">
        <f t="shared" si="41"/>
        <v>https://ia601606.us.archive.org/33/items/FinancialStatisticsOfStateAndLocalGovernmentsWealthDebtAndTaxation1932/Financial_statistics_of_state_and_local_governments_Wealth_debt_and_taxation_1932.pdf#page=1734</v>
      </c>
    </row>
    <row r="884" spans="1:10" x14ac:dyDescent="0.25">
      <c r="A884" s="27" t="s">
        <v>1408</v>
      </c>
      <c r="B884" s="27" t="str">
        <f t="shared" si="39"/>
        <v>Texas</v>
      </c>
      <c r="C884" s="27" t="str">
        <f t="shared" si="40"/>
        <v>Collin</v>
      </c>
      <c r="D884">
        <v>3</v>
      </c>
      <c r="F884">
        <v>1</v>
      </c>
      <c r="G884">
        <v>449</v>
      </c>
      <c r="H884">
        <v>1932</v>
      </c>
      <c r="I884">
        <v>1734</v>
      </c>
      <c r="J884" s="27" t="str">
        <f t="shared" si="41"/>
        <v>https://ia601606.us.archive.org/33/items/FinancialStatisticsOfStateAndLocalGovernmentsWealthDebtAndTaxation1932/Financial_statistics_of_state_and_local_governments_Wealth_debt_and_taxation_1932.pdf#page=1734</v>
      </c>
    </row>
    <row r="885" spans="1:10" x14ac:dyDescent="0.25">
      <c r="A885" s="27" t="s">
        <v>1409</v>
      </c>
      <c r="B885" s="27" t="str">
        <f t="shared" si="39"/>
        <v>Texas</v>
      </c>
      <c r="C885" s="27" t="str">
        <f t="shared" si="40"/>
        <v>Collingsworth</v>
      </c>
      <c r="D885">
        <v>2</v>
      </c>
      <c r="G885">
        <v>155</v>
      </c>
      <c r="H885">
        <v>1932</v>
      </c>
      <c r="I885">
        <v>1734</v>
      </c>
      <c r="J885" s="27" t="str">
        <f t="shared" si="41"/>
        <v>https://ia601606.us.archive.org/33/items/FinancialStatisticsOfStateAndLocalGovernmentsWealthDebtAndTaxation1932/Financial_statistics_of_state_and_local_governments_Wealth_debt_and_taxation_1932.pdf#page=1734</v>
      </c>
    </row>
    <row r="886" spans="1:10" x14ac:dyDescent="0.25">
      <c r="A886" s="27" t="s">
        <v>1410</v>
      </c>
      <c r="B886" s="27" t="str">
        <f t="shared" si="39"/>
        <v>Texas</v>
      </c>
      <c r="C886" s="27" t="str">
        <f t="shared" si="40"/>
        <v>Colorado</v>
      </c>
      <c r="G886">
        <v>150</v>
      </c>
      <c r="H886">
        <v>1932</v>
      </c>
      <c r="I886">
        <v>1734</v>
      </c>
      <c r="J886" s="27" t="str">
        <f t="shared" si="41"/>
        <v>https://ia601606.us.archive.org/33/items/FinancialStatisticsOfStateAndLocalGovernmentsWealthDebtAndTaxation1932/Financial_statistics_of_state_and_local_governments_Wealth_debt_and_taxation_1932.pdf#page=1734</v>
      </c>
    </row>
    <row r="887" spans="1:10" x14ac:dyDescent="0.25">
      <c r="A887" s="27" t="s">
        <v>1411</v>
      </c>
      <c r="B887" s="27" t="str">
        <f t="shared" si="39"/>
        <v>Texas</v>
      </c>
      <c r="C887" s="27" t="str">
        <f t="shared" si="40"/>
        <v>Comal</v>
      </c>
      <c r="D887">
        <v>1</v>
      </c>
      <c r="G887">
        <v>83</v>
      </c>
      <c r="H887">
        <v>1932</v>
      </c>
      <c r="I887">
        <v>1734</v>
      </c>
      <c r="J887" s="27" t="str">
        <f t="shared" si="41"/>
        <v>https://ia601606.us.archive.org/33/items/FinancialStatisticsOfStateAndLocalGovernmentsWealthDebtAndTaxation1932/Financial_statistics_of_state_and_local_governments_Wealth_debt_and_taxation_1932.pdf#page=1734</v>
      </c>
    </row>
    <row r="888" spans="1:10" x14ac:dyDescent="0.25">
      <c r="A888" s="27" t="s">
        <v>1412</v>
      </c>
      <c r="B888" s="27" t="str">
        <f t="shared" si="39"/>
        <v>Texas</v>
      </c>
      <c r="C888" s="27" t="str">
        <f t="shared" si="40"/>
        <v>Comanche</v>
      </c>
      <c r="D888">
        <v>2</v>
      </c>
      <c r="F888">
        <v>3</v>
      </c>
      <c r="G888">
        <v>214</v>
      </c>
      <c r="H888">
        <v>1932</v>
      </c>
      <c r="I888">
        <v>1734</v>
      </c>
      <c r="J888" s="27" t="str">
        <f t="shared" si="41"/>
        <v>https://ia601606.us.archive.org/33/items/FinancialStatisticsOfStateAndLocalGovernmentsWealthDebtAndTaxation1932/Financial_statistics_of_state_and_local_governments_Wealth_debt_and_taxation_1932.pdf#page=1734</v>
      </c>
    </row>
    <row r="889" spans="1:10" x14ac:dyDescent="0.25">
      <c r="A889" s="27" t="s">
        <v>1413</v>
      </c>
      <c r="B889" s="27" t="str">
        <f t="shared" si="39"/>
        <v>Texas</v>
      </c>
      <c r="C889" s="27" t="str">
        <f t="shared" si="40"/>
        <v>Concho</v>
      </c>
      <c r="G889">
        <v>86</v>
      </c>
      <c r="H889">
        <v>1932</v>
      </c>
      <c r="I889">
        <v>1735</v>
      </c>
      <c r="J889" s="27" t="str">
        <f t="shared" si="41"/>
        <v>https://ia601606.us.archive.org/33/items/FinancialStatisticsOfStateAndLocalGovernmentsWealthDebtAndTaxation1932/Financial_statistics_of_state_and_local_governments_Wealth_debt_and_taxation_1932.pdf#page=1735</v>
      </c>
    </row>
    <row r="890" spans="1:10" x14ac:dyDescent="0.25">
      <c r="A890" s="27" t="s">
        <v>1414</v>
      </c>
      <c r="B890" s="27" t="str">
        <f t="shared" si="39"/>
        <v>Texas</v>
      </c>
      <c r="C890" s="27" t="str">
        <f t="shared" si="40"/>
        <v>Cooke</v>
      </c>
      <c r="D890">
        <v>3</v>
      </c>
      <c r="G890">
        <v>269</v>
      </c>
      <c r="H890">
        <v>1932</v>
      </c>
      <c r="I890">
        <v>1735</v>
      </c>
      <c r="J890" s="27" t="str">
        <f t="shared" si="41"/>
        <v>https://ia601606.us.archive.org/33/items/FinancialStatisticsOfStateAndLocalGovernmentsWealthDebtAndTaxation1932/Financial_statistics_of_state_and_local_governments_Wealth_debt_and_taxation_1932.pdf#page=1735</v>
      </c>
    </row>
    <row r="891" spans="1:10" x14ac:dyDescent="0.25">
      <c r="A891" s="27" t="s">
        <v>1415</v>
      </c>
      <c r="B891" s="27" t="str">
        <f t="shared" si="39"/>
        <v>Texas</v>
      </c>
      <c r="C891" s="27" t="str">
        <f t="shared" si="40"/>
        <v>Coryell</v>
      </c>
      <c r="G891">
        <v>201</v>
      </c>
      <c r="H891">
        <v>1932</v>
      </c>
      <c r="I891">
        <v>1735</v>
      </c>
      <c r="J891" s="27" t="str">
        <f t="shared" si="41"/>
        <v>https://ia601606.us.archive.org/33/items/FinancialStatisticsOfStateAndLocalGovernmentsWealthDebtAndTaxation1932/Financial_statistics_of_state_and_local_governments_Wealth_debt_and_taxation_1932.pdf#page=1735</v>
      </c>
    </row>
    <row r="892" spans="1:10" x14ac:dyDescent="0.25">
      <c r="A892" s="27" t="s">
        <v>1416</v>
      </c>
      <c r="B892" s="27" t="str">
        <f t="shared" si="39"/>
        <v>Texas</v>
      </c>
      <c r="C892" s="27" t="str">
        <f t="shared" si="40"/>
        <v>Cottle</v>
      </c>
      <c r="D892">
        <v>1</v>
      </c>
      <c r="G892">
        <v>91</v>
      </c>
      <c r="H892">
        <v>1932</v>
      </c>
      <c r="I892">
        <v>1735</v>
      </c>
      <c r="J892" s="27" t="str">
        <f t="shared" si="41"/>
        <v>https://ia601606.us.archive.org/33/items/FinancialStatisticsOfStateAndLocalGovernmentsWealthDebtAndTaxation1932/Financial_statistics_of_state_and_local_governments_Wealth_debt_and_taxation_1932.pdf#page=1735</v>
      </c>
    </row>
    <row r="893" spans="1:10" x14ac:dyDescent="0.25">
      <c r="A893" s="27" t="s">
        <v>1417</v>
      </c>
      <c r="B893" s="27" t="str">
        <f t="shared" si="39"/>
        <v>Texas</v>
      </c>
      <c r="C893" s="27" t="str">
        <f t="shared" si="40"/>
        <v>Crane</v>
      </c>
      <c r="G893">
        <v>45</v>
      </c>
      <c r="H893">
        <v>1932</v>
      </c>
      <c r="I893">
        <v>1735</v>
      </c>
      <c r="J893" s="27" t="str">
        <f t="shared" si="41"/>
        <v>https://ia601606.us.archive.org/33/items/FinancialStatisticsOfStateAndLocalGovernmentsWealthDebtAndTaxation1932/Financial_statistics_of_state_and_local_governments_Wealth_debt_and_taxation_1932.pdf#page=1735</v>
      </c>
    </row>
    <row r="894" spans="1:10" x14ac:dyDescent="0.25">
      <c r="A894" s="27" t="s">
        <v>1418</v>
      </c>
      <c r="B894" s="27" t="str">
        <f t="shared" si="39"/>
        <v>Texas</v>
      </c>
      <c r="C894" s="27" t="str">
        <f t="shared" si="40"/>
        <v>Crockett</v>
      </c>
      <c r="D894">
        <v>6</v>
      </c>
      <c r="G894">
        <v>37</v>
      </c>
      <c r="H894">
        <v>1932</v>
      </c>
      <c r="I894">
        <v>1735</v>
      </c>
      <c r="J894" s="27" t="str">
        <f t="shared" si="41"/>
        <v>https://ia601606.us.archive.org/33/items/FinancialStatisticsOfStateAndLocalGovernmentsWealthDebtAndTaxation1932/Financial_statistics_of_state_and_local_governments_Wealth_debt_and_taxation_1932.pdf#page=1735</v>
      </c>
    </row>
    <row r="895" spans="1:10" x14ac:dyDescent="0.25">
      <c r="A895" s="27" t="s">
        <v>1419</v>
      </c>
      <c r="B895" s="27" t="str">
        <f t="shared" si="39"/>
        <v>Texas</v>
      </c>
      <c r="C895" s="27" t="str">
        <f t="shared" si="40"/>
        <v>Crosby</v>
      </c>
      <c r="D895">
        <v>1</v>
      </c>
      <c r="G895">
        <v>141</v>
      </c>
      <c r="H895">
        <v>1932</v>
      </c>
      <c r="I895">
        <v>1736</v>
      </c>
      <c r="J895" s="27" t="str">
        <f t="shared" si="41"/>
        <v>https://ia601606.us.archive.org/33/items/FinancialStatisticsOfStateAndLocalGovernmentsWealthDebtAndTaxation1932/Financial_statistics_of_state_and_local_governments_Wealth_debt_and_taxation_1932.pdf#page=1736</v>
      </c>
    </row>
    <row r="896" spans="1:10" x14ac:dyDescent="0.25">
      <c r="A896" s="27" t="s">
        <v>1420</v>
      </c>
      <c r="B896" s="27" t="str">
        <f t="shared" si="39"/>
        <v>Texas</v>
      </c>
      <c r="C896" s="27" t="str">
        <f t="shared" si="40"/>
        <v>Culberson</v>
      </c>
      <c r="D896">
        <v>1</v>
      </c>
      <c r="G896">
        <v>16</v>
      </c>
      <c r="H896">
        <v>1932</v>
      </c>
      <c r="I896">
        <v>1736</v>
      </c>
      <c r="J896" s="27" t="str">
        <f t="shared" si="41"/>
        <v>https://ia601606.us.archive.org/33/items/FinancialStatisticsOfStateAndLocalGovernmentsWealthDebtAndTaxation1932/Financial_statistics_of_state_and_local_governments_Wealth_debt_and_taxation_1932.pdf#page=1736</v>
      </c>
    </row>
    <row r="897" spans="1:10" x14ac:dyDescent="0.25">
      <c r="A897" s="27" t="s">
        <v>1421</v>
      </c>
      <c r="B897" s="27" t="str">
        <f t="shared" si="39"/>
        <v>Texas</v>
      </c>
      <c r="C897" s="27" t="str">
        <f t="shared" si="40"/>
        <v>Dallam</v>
      </c>
      <c r="G897">
        <v>123</v>
      </c>
      <c r="H897">
        <v>1932</v>
      </c>
      <c r="I897">
        <v>1736</v>
      </c>
      <c r="J897" s="27" t="str">
        <f t="shared" si="41"/>
        <v>https://ia601606.us.archive.org/33/items/FinancialStatisticsOfStateAndLocalGovernmentsWealthDebtAndTaxation1932/Financial_statistics_of_state_and_local_governments_Wealth_debt_and_taxation_1932.pdf#page=1736</v>
      </c>
    </row>
    <row r="898" spans="1:10" x14ac:dyDescent="0.25">
      <c r="A898" s="27" t="s">
        <v>1422</v>
      </c>
      <c r="B898" s="27" t="str">
        <f t="shared" si="39"/>
        <v>Texas</v>
      </c>
      <c r="C898" s="27" t="str">
        <f t="shared" si="40"/>
        <v>Dallas</v>
      </c>
      <c r="D898">
        <v>18</v>
      </c>
      <c r="G898">
        <v>692</v>
      </c>
      <c r="H898">
        <v>1932</v>
      </c>
      <c r="I898">
        <v>1736</v>
      </c>
      <c r="J898" s="27" t="str">
        <f t="shared" si="41"/>
        <v>https://ia601606.us.archive.org/33/items/FinancialStatisticsOfStateAndLocalGovernmentsWealthDebtAndTaxation1932/Financial_statistics_of_state_and_local_governments_Wealth_debt_and_taxation_1932.pdf#page=1736</v>
      </c>
    </row>
    <row r="899" spans="1:10" x14ac:dyDescent="0.25">
      <c r="A899" s="27" t="s">
        <v>1423</v>
      </c>
      <c r="B899" s="27" t="str">
        <f t="shared" ref="B899:B962" si="42">LEFT(A899,FIND(";",A899)-1)</f>
        <v>Texas</v>
      </c>
      <c r="C899" s="27" t="str">
        <f t="shared" ref="C899:C962" si="43">MID(A899,FIND(";",A899)+1,100)</f>
        <v>Dawson</v>
      </c>
      <c r="D899">
        <v>1</v>
      </c>
      <c r="G899">
        <v>139</v>
      </c>
      <c r="H899">
        <v>1932</v>
      </c>
      <c r="I899">
        <v>1736</v>
      </c>
      <c r="J899" s="27" t="str">
        <f t="shared" ref="J899:J962" si="44">"https://ia601606.us.archive.org/33/items/FinancialStatisticsOfStateAndLocalGovernmentsWealthDebtAndTaxation1932/Financial_statistics_of_state_and_local_governments_Wealth_debt_and_taxation_1932.pdf"&amp;"#page="&amp;I899</f>
        <v>https://ia601606.us.archive.org/33/items/FinancialStatisticsOfStateAndLocalGovernmentsWealthDebtAndTaxation1932/Financial_statistics_of_state_and_local_governments_Wealth_debt_and_taxation_1932.pdf#page=1736</v>
      </c>
    </row>
    <row r="900" spans="1:10" x14ac:dyDescent="0.25">
      <c r="A900" s="27" t="s">
        <v>1424</v>
      </c>
      <c r="B900" s="27" t="str">
        <f t="shared" si="42"/>
        <v>Texas</v>
      </c>
      <c r="C900" s="27" t="str">
        <f t="shared" si="43"/>
        <v>Deaf Smith</v>
      </c>
      <c r="G900">
        <v>99</v>
      </c>
      <c r="H900">
        <v>1932</v>
      </c>
      <c r="I900">
        <v>1736</v>
      </c>
      <c r="J900" s="27" t="str">
        <f t="shared" si="44"/>
        <v>https://ia601606.us.archive.org/33/items/FinancialStatisticsOfStateAndLocalGovernmentsWealthDebtAndTaxation1932/Financial_statistics_of_state_and_local_governments_Wealth_debt_and_taxation_1932.pdf#page=1736</v>
      </c>
    </row>
    <row r="901" spans="1:10" x14ac:dyDescent="0.25">
      <c r="A901" s="27" t="s">
        <v>1425</v>
      </c>
      <c r="B901" s="27" t="str">
        <f t="shared" si="42"/>
        <v>Texas</v>
      </c>
      <c r="C901" s="27" t="str">
        <f t="shared" si="43"/>
        <v>Delta</v>
      </c>
      <c r="D901">
        <v>1</v>
      </c>
      <c r="F901">
        <v>4</v>
      </c>
      <c r="G901">
        <v>130</v>
      </c>
      <c r="H901">
        <v>1932</v>
      </c>
      <c r="I901">
        <v>1736</v>
      </c>
      <c r="J901" s="27" t="str">
        <f t="shared" si="44"/>
        <v>https://ia601606.us.archive.org/33/items/FinancialStatisticsOfStateAndLocalGovernmentsWealthDebtAndTaxation1932/Financial_statistics_of_state_and_local_governments_Wealth_debt_and_taxation_1932.pdf#page=1736</v>
      </c>
    </row>
    <row r="902" spans="1:10" x14ac:dyDescent="0.25">
      <c r="A902" s="27" t="s">
        <v>1426</v>
      </c>
      <c r="B902" s="27" t="str">
        <f t="shared" si="42"/>
        <v>Texas</v>
      </c>
      <c r="C902" s="27" t="str">
        <f t="shared" si="43"/>
        <v>Denton</v>
      </c>
      <c r="D902">
        <v>4</v>
      </c>
      <c r="F902">
        <v>1</v>
      </c>
      <c r="G902">
        <v>333</v>
      </c>
      <c r="H902">
        <v>1932</v>
      </c>
      <c r="I902">
        <v>1736</v>
      </c>
      <c r="J902" s="27" t="str">
        <f t="shared" si="44"/>
        <v>https://ia601606.us.archive.org/33/items/FinancialStatisticsOfStateAndLocalGovernmentsWealthDebtAndTaxation1932/Financial_statistics_of_state_and_local_governments_Wealth_debt_and_taxation_1932.pdf#page=1736</v>
      </c>
    </row>
    <row r="903" spans="1:10" x14ac:dyDescent="0.25">
      <c r="A903" s="27" t="s">
        <v>1427</v>
      </c>
      <c r="B903" s="27" t="str">
        <f t="shared" si="42"/>
        <v>Texas</v>
      </c>
      <c r="C903" s="27" t="str">
        <f t="shared" si="43"/>
        <v>DeWitt</v>
      </c>
      <c r="D903">
        <v>1</v>
      </c>
      <c r="G903">
        <v>241</v>
      </c>
      <c r="H903">
        <v>1932</v>
      </c>
      <c r="I903">
        <v>1736</v>
      </c>
      <c r="J903" s="27" t="str">
        <f t="shared" si="44"/>
        <v>https://ia601606.us.archive.org/33/items/FinancialStatisticsOfStateAndLocalGovernmentsWealthDebtAndTaxation1932/Financial_statistics_of_state_and_local_governments_Wealth_debt_and_taxation_1932.pdf#page=1736</v>
      </c>
    </row>
    <row r="904" spans="1:10" x14ac:dyDescent="0.25">
      <c r="A904" s="27" t="s">
        <v>1428</v>
      </c>
      <c r="B904" s="27" t="str">
        <f t="shared" si="42"/>
        <v>Texas</v>
      </c>
      <c r="C904" s="27" t="str">
        <f t="shared" si="43"/>
        <v>Dickens</v>
      </c>
      <c r="D904">
        <v>1</v>
      </c>
      <c r="G904">
        <v>115</v>
      </c>
      <c r="H904">
        <v>1932</v>
      </c>
      <c r="I904">
        <v>1736</v>
      </c>
      <c r="J904" s="27" t="str">
        <f t="shared" si="44"/>
        <v>https://ia601606.us.archive.org/33/items/FinancialStatisticsOfStateAndLocalGovernmentsWealthDebtAndTaxation1932/Financial_statistics_of_state_and_local_governments_Wealth_debt_and_taxation_1932.pdf#page=1736</v>
      </c>
    </row>
    <row r="905" spans="1:10" x14ac:dyDescent="0.25">
      <c r="A905" s="27" t="s">
        <v>1429</v>
      </c>
      <c r="B905" s="27" t="str">
        <f t="shared" si="42"/>
        <v>Texas</v>
      </c>
      <c r="C905" s="27" t="str">
        <f t="shared" si="43"/>
        <v>Dimmit</v>
      </c>
      <c r="D905">
        <v>2</v>
      </c>
      <c r="G905">
        <v>99</v>
      </c>
      <c r="H905">
        <v>1932</v>
      </c>
      <c r="I905">
        <v>1737</v>
      </c>
      <c r="J905" s="27" t="str">
        <f t="shared" si="44"/>
        <v>https://ia601606.us.archive.org/33/items/FinancialStatisticsOfStateAndLocalGovernmentsWealthDebtAndTaxation1932/Financial_statistics_of_state_and_local_governments_Wealth_debt_and_taxation_1932.pdf#page=1737</v>
      </c>
    </row>
    <row r="906" spans="1:10" x14ac:dyDescent="0.25">
      <c r="A906" s="27" t="s">
        <v>1430</v>
      </c>
      <c r="B906" s="27" t="str">
        <f t="shared" si="42"/>
        <v>Texas</v>
      </c>
      <c r="C906" s="27" t="str">
        <f t="shared" si="43"/>
        <v>Donley</v>
      </c>
      <c r="G906">
        <v>118</v>
      </c>
      <c r="H906">
        <v>1932</v>
      </c>
      <c r="I906">
        <v>1737</v>
      </c>
      <c r="J906" s="27" t="str">
        <f t="shared" si="44"/>
        <v>https://ia601606.us.archive.org/33/items/FinancialStatisticsOfStateAndLocalGovernmentsWealthDebtAndTaxation1932/Financial_statistics_of_state_and_local_governments_Wealth_debt_and_taxation_1932.pdf#page=1737</v>
      </c>
    </row>
    <row r="907" spans="1:10" x14ac:dyDescent="0.25">
      <c r="A907" s="27" t="s">
        <v>1431</v>
      </c>
      <c r="B907" s="27" t="str">
        <f t="shared" si="42"/>
        <v>Texas</v>
      </c>
      <c r="C907" s="27" t="str">
        <f t="shared" si="43"/>
        <v>Duval</v>
      </c>
      <c r="D907">
        <v>1</v>
      </c>
      <c r="G907">
        <v>112</v>
      </c>
      <c r="H907">
        <v>1932</v>
      </c>
      <c r="I907">
        <v>1737</v>
      </c>
      <c r="J907" s="27" t="str">
        <f t="shared" si="44"/>
        <v>https://ia601606.us.archive.org/33/items/FinancialStatisticsOfStateAndLocalGovernmentsWealthDebtAndTaxation1932/Financial_statistics_of_state_and_local_governments_Wealth_debt_and_taxation_1932.pdf#page=1737</v>
      </c>
    </row>
    <row r="908" spans="1:10" x14ac:dyDescent="0.25">
      <c r="A908" s="27" t="s">
        <v>1432</v>
      </c>
      <c r="B908" s="27" t="str">
        <f t="shared" si="42"/>
        <v>Texas</v>
      </c>
      <c r="C908" s="27" t="str">
        <f t="shared" si="43"/>
        <v>Eastland</v>
      </c>
      <c r="G908">
        <v>343</v>
      </c>
      <c r="H908">
        <v>1932</v>
      </c>
      <c r="I908">
        <v>1737</v>
      </c>
      <c r="J908" s="27" t="str">
        <f t="shared" si="44"/>
        <v>https://ia601606.us.archive.org/33/items/FinancialStatisticsOfStateAndLocalGovernmentsWealthDebtAndTaxation1932/Financial_statistics_of_state_and_local_governments_Wealth_debt_and_taxation_1932.pdf#page=1737</v>
      </c>
    </row>
    <row r="909" spans="1:10" x14ac:dyDescent="0.25">
      <c r="A909" s="27" t="s">
        <v>1433</v>
      </c>
      <c r="B909" s="27" t="str">
        <f t="shared" si="42"/>
        <v>Texas</v>
      </c>
      <c r="C909" s="27" t="str">
        <f t="shared" si="43"/>
        <v>Ector</v>
      </c>
      <c r="G909">
        <v>34</v>
      </c>
      <c r="H909">
        <v>1932</v>
      </c>
      <c r="I909">
        <v>1737</v>
      </c>
      <c r="J909" s="27" t="str">
        <f t="shared" si="44"/>
        <v>https://ia601606.us.archive.org/33/items/FinancialStatisticsOfStateAndLocalGovernmentsWealthDebtAndTaxation1932/Financial_statistics_of_state_and_local_governments_Wealth_debt_and_taxation_1932.pdf#page=1737</v>
      </c>
    </row>
    <row r="910" spans="1:10" x14ac:dyDescent="0.25">
      <c r="A910" s="27" t="s">
        <v>1434</v>
      </c>
      <c r="B910" s="27" t="str">
        <f t="shared" si="42"/>
        <v>Texas</v>
      </c>
      <c r="C910" s="27" t="str">
        <f t="shared" si="43"/>
        <v>Edwards</v>
      </c>
      <c r="G910">
        <v>41</v>
      </c>
      <c r="H910">
        <v>1932</v>
      </c>
      <c r="I910">
        <v>1737</v>
      </c>
      <c r="J910" s="27" t="str">
        <f t="shared" si="44"/>
        <v>https://ia601606.us.archive.org/33/items/FinancialStatisticsOfStateAndLocalGovernmentsWealthDebtAndTaxation1932/Financial_statistics_of_state_and_local_governments_Wealth_debt_and_taxation_1932.pdf#page=1737</v>
      </c>
    </row>
    <row r="911" spans="1:10" x14ac:dyDescent="0.25">
      <c r="A911" s="27" t="s">
        <v>1436</v>
      </c>
      <c r="B911" s="27" t="str">
        <f t="shared" si="42"/>
        <v>Texas</v>
      </c>
      <c r="C911" s="27" t="str">
        <f t="shared" si="43"/>
        <v>Ellis</v>
      </c>
      <c r="D911">
        <v>1</v>
      </c>
      <c r="G911">
        <v>498</v>
      </c>
      <c r="H911">
        <v>1932</v>
      </c>
      <c r="I911">
        <v>1738</v>
      </c>
      <c r="J911" s="27" t="str">
        <f t="shared" si="44"/>
        <v>https://ia601606.us.archive.org/33/items/FinancialStatisticsOfStateAndLocalGovernmentsWealthDebtAndTaxation1932/Financial_statistics_of_state_and_local_governments_Wealth_debt_and_taxation_1932.pdf#page=1738</v>
      </c>
    </row>
    <row r="912" spans="1:10" x14ac:dyDescent="0.25">
      <c r="A912" s="27" t="s">
        <v>1435</v>
      </c>
      <c r="B912" s="27" t="str">
        <f t="shared" si="42"/>
        <v>Texas</v>
      </c>
      <c r="C912" s="27" t="str">
        <f t="shared" si="43"/>
        <v>El Paso</v>
      </c>
      <c r="D912">
        <v>20</v>
      </c>
      <c r="F912">
        <v>5</v>
      </c>
      <c r="G912">
        <v>216</v>
      </c>
      <c r="H912">
        <v>1932</v>
      </c>
      <c r="I912">
        <v>1738</v>
      </c>
      <c r="J912" s="27" t="str">
        <f t="shared" si="44"/>
        <v>https://ia601606.us.archive.org/33/items/FinancialStatisticsOfStateAndLocalGovernmentsWealthDebtAndTaxation1932/Financial_statistics_of_state_and_local_governments_Wealth_debt_and_taxation_1932.pdf#page=1738</v>
      </c>
    </row>
    <row r="913" spans="1:10" x14ac:dyDescent="0.25">
      <c r="A913" s="27" t="s">
        <v>1437</v>
      </c>
      <c r="B913" s="27" t="str">
        <f t="shared" si="42"/>
        <v>Texas</v>
      </c>
      <c r="C913" s="27" t="str">
        <f t="shared" si="43"/>
        <v>Erath</v>
      </c>
      <c r="D913">
        <v>2</v>
      </c>
      <c r="G913">
        <v>225</v>
      </c>
      <c r="H913">
        <v>1932</v>
      </c>
      <c r="I913">
        <v>1738</v>
      </c>
      <c r="J913" s="27" t="str">
        <f t="shared" si="44"/>
        <v>https://ia601606.us.archive.org/33/items/FinancialStatisticsOfStateAndLocalGovernmentsWealthDebtAndTaxation1932/Financial_statistics_of_state_and_local_governments_Wealth_debt_and_taxation_1932.pdf#page=1738</v>
      </c>
    </row>
    <row r="914" spans="1:10" x14ac:dyDescent="0.25">
      <c r="A914" s="27" t="s">
        <v>1438</v>
      </c>
      <c r="B914" s="27" t="str">
        <f t="shared" si="42"/>
        <v>Texas</v>
      </c>
      <c r="C914" s="27" t="str">
        <f t="shared" si="43"/>
        <v>Falls</v>
      </c>
      <c r="D914">
        <v>2</v>
      </c>
      <c r="F914">
        <v>1</v>
      </c>
      <c r="G914">
        <v>297</v>
      </c>
      <c r="H914">
        <v>1932</v>
      </c>
      <c r="I914">
        <v>1738</v>
      </c>
      <c r="J914" s="27" t="str">
        <f t="shared" si="44"/>
        <v>https://ia601606.us.archive.org/33/items/FinancialStatisticsOfStateAndLocalGovernmentsWealthDebtAndTaxation1932/Financial_statistics_of_state_and_local_governments_Wealth_debt_and_taxation_1932.pdf#page=1738</v>
      </c>
    </row>
    <row r="915" spans="1:10" x14ac:dyDescent="0.25">
      <c r="A915" s="27" t="s">
        <v>1439</v>
      </c>
      <c r="B915" s="27" t="str">
        <f t="shared" si="42"/>
        <v>Texas</v>
      </c>
      <c r="C915" s="27" t="str">
        <f t="shared" si="43"/>
        <v>Fannin</v>
      </c>
      <c r="D915">
        <v>2</v>
      </c>
      <c r="F915">
        <v>1</v>
      </c>
      <c r="G915">
        <v>359</v>
      </c>
      <c r="H915">
        <v>1932</v>
      </c>
      <c r="I915">
        <v>1738</v>
      </c>
      <c r="J915" s="27" t="str">
        <f t="shared" si="44"/>
        <v>https://ia601606.us.archive.org/33/items/FinancialStatisticsOfStateAndLocalGovernmentsWealthDebtAndTaxation1932/Financial_statistics_of_state_and_local_governments_Wealth_debt_and_taxation_1932.pdf#page=1738</v>
      </c>
    </row>
    <row r="916" spans="1:10" x14ac:dyDescent="0.25">
      <c r="A916" s="27" t="s">
        <v>1440</v>
      </c>
      <c r="B916" s="27" t="str">
        <f t="shared" si="42"/>
        <v>Texas</v>
      </c>
      <c r="C916" s="27" t="str">
        <f t="shared" si="43"/>
        <v>Fayette</v>
      </c>
      <c r="D916">
        <v>5</v>
      </c>
      <c r="G916">
        <v>198</v>
      </c>
      <c r="H916">
        <v>1932</v>
      </c>
      <c r="I916">
        <v>1738</v>
      </c>
      <c r="J916" s="27" t="str">
        <f t="shared" si="44"/>
        <v>https://ia601606.us.archive.org/33/items/FinancialStatisticsOfStateAndLocalGovernmentsWealthDebtAndTaxation1932/Financial_statistics_of_state_and_local_governments_Wealth_debt_and_taxation_1932.pdf#page=1738</v>
      </c>
    </row>
    <row r="917" spans="1:10" x14ac:dyDescent="0.25">
      <c r="A917" s="27" t="s">
        <v>1441</v>
      </c>
      <c r="B917" s="27" t="str">
        <f t="shared" si="42"/>
        <v>Texas</v>
      </c>
      <c r="C917" s="27" t="str">
        <f t="shared" si="43"/>
        <v>Fisher</v>
      </c>
      <c r="D917">
        <v>1</v>
      </c>
      <c r="G917">
        <v>107</v>
      </c>
      <c r="H917">
        <v>1932</v>
      </c>
      <c r="I917">
        <v>1738</v>
      </c>
      <c r="J917" s="27" t="str">
        <f t="shared" si="44"/>
        <v>https://ia601606.us.archive.org/33/items/FinancialStatisticsOfStateAndLocalGovernmentsWealthDebtAndTaxation1932/Financial_statistics_of_state_and_local_governments_Wealth_debt_and_taxation_1932.pdf#page=1738</v>
      </c>
    </row>
    <row r="918" spans="1:10" x14ac:dyDescent="0.25">
      <c r="A918" s="27" t="s">
        <v>1442</v>
      </c>
      <c r="B918" s="27" t="str">
        <f t="shared" si="42"/>
        <v>Texas</v>
      </c>
      <c r="C918" s="27" t="str">
        <f t="shared" si="43"/>
        <v>Floyd</v>
      </c>
      <c r="G918">
        <v>157</v>
      </c>
      <c r="H918">
        <v>1932</v>
      </c>
      <c r="I918">
        <v>1738</v>
      </c>
      <c r="J918" s="27" t="str">
        <f t="shared" si="44"/>
        <v>https://ia601606.us.archive.org/33/items/FinancialStatisticsOfStateAndLocalGovernmentsWealthDebtAndTaxation1932/Financial_statistics_of_state_and_local_governments_Wealth_debt_and_taxation_1932.pdf#page=1738</v>
      </c>
    </row>
    <row r="919" spans="1:10" x14ac:dyDescent="0.25">
      <c r="A919" s="27" t="s">
        <v>1443</v>
      </c>
      <c r="B919" s="27" t="str">
        <f t="shared" si="42"/>
        <v>Texas</v>
      </c>
      <c r="C919" s="27" t="str">
        <f t="shared" si="43"/>
        <v>Foard</v>
      </c>
      <c r="D919">
        <v>4</v>
      </c>
      <c r="G919">
        <v>71</v>
      </c>
      <c r="H919">
        <v>1932</v>
      </c>
      <c r="I919">
        <v>1738</v>
      </c>
      <c r="J919" s="27" t="str">
        <f t="shared" si="44"/>
        <v>https://ia601606.us.archive.org/33/items/FinancialStatisticsOfStateAndLocalGovernmentsWealthDebtAndTaxation1932/Financial_statistics_of_state_and_local_governments_Wealth_debt_and_taxation_1932.pdf#page=1738</v>
      </c>
    </row>
    <row r="920" spans="1:10" x14ac:dyDescent="0.25">
      <c r="A920" s="27" t="s">
        <v>1444</v>
      </c>
      <c r="B920" s="27" t="str">
        <f t="shared" si="42"/>
        <v>Texas</v>
      </c>
      <c r="C920" s="27" t="str">
        <f t="shared" si="43"/>
        <v>Fort Bend</v>
      </c>
      <c r="G920">
        <v>262</v>
      </c>
      <c r="H920">
        <v>1932</v>
      </c>
      <c r="I920">
        <v>1739</v>
      </c>
      <c r="J920" s="27" t="str">
        <f t="shared" si="44"/>
        <v>https://ia601606.us.archive.org/33/items/FinancialStatisticsOfStateAndLocalGovernmentsWealthDebtAndTaxation1932/Financial_statistics_of_state_and_local_governments_Wealth_debt_and_taxation_1932.pdf#page=1739</v>
      </c>
    </row>
    <row r="921" spans="1:10" x14ac:dyDescent="0.25">
      <c r="A921" s="27" t="s">
        <v>1445</v>
      </c>
      <c r="B921" s="27" t="str">
        <f t="shared" si="42"/>
        <v>Texas</v>
      </c>
      <c r="C921" s="27" t="str">
        <f t="shared" si="43"/>
        <v>Franklin</v>
      </c>
      <c r="D921">
        <v>1</v>
      </c>
      <c r="G921">
        <v>68</v>
      </c>
      <c r="H921">
        <v>1932</v>
      </c>
      <c r="I921">
        <v>1739</v>
      </c>
      <c r="J921" s="27" t="str">
        <f t="shared" si="44"/>
        <v>https://ia601606.us.archive.org/33/items/FinancialStatisticsOfStateAndLocalGovernmentsWealthDebtAndTaxation1932/Financial_statistics_of_state_and_local_governments_Wealth_debt_and_taxation_1932.pdf#page=1739</v>
      </c>
    </row>
    <row r="922" spans="1:10" x14ac:dyDescent="0.25">
      <c r="A922" s="27" t="s">
        <v>1763</v>
      </c>
      <c r="B922" s="27" t="str">
        <f t="shared" si="42"/>
        <v>Texas</v>
      </c>
      <c r="C922" s="27" t="str">
        <f t="shared" si="43"/>
        <v>Freestone</v>
      </c>
      <c r="D922">
        <v>1</v>
      </c>
      <c r="F922">
        <v>4</v>
      </c>
      <c r="G922">
        <v>185</v>
      </c>
      <c r="H922">
        <v>1932</v>
      </c>
      <c r="I922">
        <v>1739</v>
      </c>
      <c r="J922" s="27" t="str">
        <f t="shared" si="44"/>
        <v>https://ia601606.us.archive.org/33/items/FinancialStatisticsOfStateAndLocalGovernmentsWealthDebtAndTaxation1932/Financial_statistics_of_state_and_local_governments_Wealth_debt_and_taxation_1932.pdf#page=1739</v>
      </c>
    </row>
    <row r="923" spans="1:10" x14ac:dyDescent="0.25">
      <c r="A923" s="27" t="s">
        <v>1446</v>
      </c>
      <c r="B923" s="27" t="str">
        <f t="shared" si="42"/>
        <v>Texas</v>
      </c>
      <c r="C923" s="27" t="str">
        <f t="shared" si="43"/>
        <v>Frio</v>
      </c>
      <c r="D923">
        <v>1</v>
      </c>
      <c r="G923">
        <v>103</v>
      </c>
      <c r="H923">
        <v>1932</v>
      </c>
      <c r="I923">
        <v>1739</v>
      </c>
      <c r="J923" s="27" t="str">
        <f t="shared" si="44"/>
        <v>https://ia601606.us.archive.org/33/items/FinancialStatisticsOfStateAndLocalGovernmentsWealthDebtAndTaxation1932/Financial_statistics_of_state_and_local_governments_Wealth_debt_and_taxation_1932.pdf#page=1739</v>
      </c>
    </row>
    <row r="924" spans="1:10" x14ac:dyDescent="0.25">
      <c r="A924" s="27" t="s">
        <v>1447</v>
      </c>
      <c r="B924" s="27" t="str">
        <f t="shared" si="42"/>
        <v>Texas</v>
      </c>
      <c r="C924" s="27" t="str">
        <f t="shared" si="43"/>
        <v>Gaines</v>
      </c>
      <c r="G924">
        <v>24</v>
      </c>
      <c r="H924">
        <v>1932</v>
      </c>
      <c r="I924">
        <v>1739</v>
      </c>
      <c r="J924" s="27" t="str">
        <f t="shared" si="44"/>
        <v>https://ia601606.us.archive.org/33/items/FinancialStatisticsOfStateAndLocalGovernmentsWealthDebtAndTaxation1932/Financial_statistics_of_state_and_local_governments_Wealth_debt_and_taxation_1932.pdf#page=1739</v>
      </c>
    </row>
    <row r="925" spans="1:10" x14ac:dyDescent="0.25">
      <c r="A925" s="27" t="s">
        <v>1448</v>
      </c>
      <c r="B925" s="27" t="str">
        <f t="shared" si="42"/>
        <v>Texas</v>
      </c>
      <c r="C925" s="27" t="str">
        <f t="shared" si="43"/>
        <v>Galveston</v>
      </c>
      <c r="D925">
        <v>5</v>
      </c>
      <c r="G925">
        <v>145</v>
      </c>
      <c r="H925">
        <v>1932</v>
      </c>
      <c r="I925">
        <v>1740</v>
      </c>
      <c r="J925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26" spans="1:10" x14ac:dyDescent="0.25">
      <c r="A926" s="27" t="s">
        <v>1449</v>
      </c>
      <c r="B926" s="27" t="str">
        <f t="shared" si="42"/>
        <v>Texas</v>
      </c>
      <c r="C926" s="27" t="str">
        <f t="shared" si="43"/>
        <v>Garza</v>
      </c>
      <c r="D926">
        <v>1</v>
      </c>
      <c r="G926">
        <v>85</v>
      </c>
      <c r="H926">
        <v>1932</v>
      </c>
      <c r="I926">
        <v>1740</v>
      </c>
      <c r="J926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27" spans="1:10" x14ac:dyDescent="0.25">
      <c r="A927" s="27" t="s">
        <v>1450</v>
      </c>
      <c r="B927" s="27" t="str">
        <f t="shared" si="42"/>
        <v>Texas</v>
      </c>
      <c r="C927" s="27" t="str">
        <f t="shared" si="43"/>
        <v>Gillespie</v>
      </c>
      <c r="F927">
        <v>1</v>
      </c>
      <c r="G927">
        <v>73</v>
      </c>
      <c r="H927">
        <v>1932</v>
      </c>
      <c r="I927">
        <v>1740</v>
      </c>
      <c r="J927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28" spans="1:10" x14ac:dyDescent="0.25">
      <c r="A928" s="27" t="s">
        <v>1451</v>
      </c>
      <c r="B928" s="27" t="str">
        <f t="shared" si="42"/>
        <v>Texas</v>
      </c>
      <c r="C928" s="27" t="str">
        <f t="shared" si="43"/>
        <v>Glasscock</v>
      </c>
      <c r="G928">
        <v>36</v>
      </c>
      <c r="H928">
        <v>1932</v>
      </c>
      <c r="I928">
        <v>1740</v>
      </c>
      <c r="J928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29" spans="1:10" x14ac:dyDescent="0.25">
      <c r="A929" s="27" t="s">
        <v>1452</v>
      </c>
      <c r="B929" s="27" t="str">
        <f t="shared" si="42"/>
        <v>Texas</v>
      </c>
      <c r="C929" s="27" t="str">
        <f t="shared" si="43"/>
        <v>Goliad</v>
      </c>
      <c r="D929">
        <v>1</v>
      </c>
      <c r="G929">
        <v>75</v>
      </c>
      <c r="H929">
        <v>1932</v>
      </c>
      <c r="I929">
        <v>1740</v>
      </c>
      <c r="J929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30" spans="1:10" x14ac:dyDescent="0.25">
      <c r="A930" s="27" t="s">
        <v>1453</v>
      </c>
      <c r="B930" s="27" t="str">
        <f t="shared" si="42"/>
        <v>Texas</v>
      </c>
      <c r="C930" s="27" t="str">
        <f t="shared" si="43"/>
        <v>Gonzales</v>
      </c>
      <c r="D930">
        <v>1</v>
      </c>
      <c r="G930">
        <v>215</v>
      </c>
      <c r="H930">
        <v>1932</v>
      </c>
      <c r="I930">
        <v>1740</v>
      </c>
      <c r="J930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31" spans="1:10" x14ac:dyDescent="0.25">
      <c r="A931" s="27" t="s">
        <v>1454</v>
      </c>
      <c r="B931" s="27" t="str">
        <f t="shared" si="42"/>
        <v>Texas</v>
      </c>
      <c r="C931" s="27" t="str">
        <f t="shared" si="43"/>
        <v>Gray</v>
      </c>
      <c r="G931">
        <v>305</v>
      </c>
      <c r="H931">
        <v>1932</v>
      </c>
      <c r="I931">
        <v>1740</v>
      </c>
      <c r="J931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32" spans="1:10" x14ac:dyDescent="0.25">
      <c r="A932" s="27" t="s">
        <v>1455</v>
      </c>
      <c r="B932" s="27" t="str">
        <f t="shared" si="42"/>
        <v>Texas</v>
      </c>
      <c r="C932" s="27" t="str">
        <f t="shared" si="43"/>
        <v>Grayson</v>
      </c>
      <c r="D932">
        <v>2</v>
      </c>
      <c r="G932">
        <v>636</v>
      </c>
      <c r="H932">
        <v>1932</v>
      </c>
      <c r="I932">
        <v>1740</v>
      </c>
      <c r="J932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33" spans="1:10" x14ac:dyDescent="0.25">
      <c r="A933" s="27" t="s">
        <v>1456</v>
      </c>
      <c r="B933" s="27" t="str">
        <f t="shared" si="42"/>
        <v>Texas</v>
      </c>
      <c r="C933" s="27" t="str">
        <f t="shared" si="43"/>
        <v>Gregg</v>
      </c>
      <c r="D933">
        <v>5</v>
      </c>
      <c r="F933">
        <v>2</v>
      </c>
      <c r="G933">
        <v>158</v>
      </c>
      <c r="H933">
        <v>1932</v>
      </c>
      <c r="I933">
        <v>1740</v>
      </c>
      <c r="J933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34" spans="1:10" x14ac:dyDescent="0.25">
      <c r="A934" s="27" t="s">
        <v>1457</v>
      </c>
      <c r="B934" s="27" t="str">
        <f t="shared" si="42"/>
        <v>Texas</v>
      </c>
      <c r="C934" s="27" t="str">
        <f t="shared" si="43"/>
        <v>Grimes</v>
      </c>
      <c r="D934">
        <v>1</v>
      </c>
      <c r="G934">
        <v>185</v>
      </c>
      <c r="H934">
        <v>1932</v>
      </c>
      <c r="I934">
        <v>1740</v>
      </c>
      <c r="J934" s="27" t="str">
        <f t="shared" si="44"/>
        <v>https://ia601606.us.archive.org/33/items/FinancialStatisticsOfStateAndLocalGovernmentsWealthDebtAndTaxation1932/Financial_statistics_of_state_and_local_governments_Wealth_debt_and_taxation_1932.pdf#page=1740</v>
      </c>
    </row>
    <row r="935" spans="1:10" x14ac:dyDescent="0.25">
      <c r="A935" s="27" t="s">
        <v>1764</v>
      </c>
      <c r="B935" s="27" t="str">
        <f t="shared" si="42"/>
        <v>Texas</v>
      </c>
      <c r="C935" s="27" t="str">
        <f t="shared" si="43"/>
        <v>Guadalupe</v>
      </c>
      <c r="G935">
        <v>172</v>
      </c>
      <c r="H935">
        <v>1932</v>
      </c>
      <c r="I935">
        <v>1741</v>
      </c>
      <c r="J935" s="27" t="str">
        <f t="shared" si="44"/>
        <v>https://ia601606.us.archive.org/33/items/FinancialStatisticsOfStateAndLocalGovernmentsWealthDebtAndTaxation1932/Financial_statistics_of_state_and_local_governments_Wealth_debt_and_taxation_1932.pdf#page=1741</v>
      </c>
    </row>
    <row r="936" spans="1:10" x14ac:dyDescent="0.25">
      <c r="A936" s="27" t="s">
        <v>1458</v>
      </c>
      <c r="B936" s="27" t="str">
        <f t="shared" si="42"/>
        <v>Texas</v>
      </c>
      <c r="C936" s="27" t="str">
        <f t="shared" si="43"/>
        <v>Hale</v>
      </c>
      <c r="G936">
        <v>273</v>
      </c>
      <c r="H936">
        <v>1932</v>
      </c>
      <c r="I936">
        <v>1741</v>
      </c>
      <c r="J936" s="27" t="str">
        <f t="shared" si="44"/>
        <v>https://ia601606.us.archive.org/33/items/FinancialStatisticsOfStateAndLocalGovernmentsWealthDebtAndTaxation1932/Financial_statistics_of_state_and_local_governments_Wealth_debt_and_taxation_1932.pdf#page=1741</v>
      </c>
    </row>
    <row r="937" spans="1:10" x14ac:dyDescent="0.25">
      <c r="A937" s="27" t="s">
        <v>1459</v>
      </c>
      <c r="B937" s="27" t="str">
        <f t="shared" si="42"/>
        <v>Texas</v>
      </c>
      <c r="C937" s="27" t="str">
        <f t="shared" si="43"/>
        <v>Hall</v>
      </c>
      <c r="D937">
        <v>2</v>
      </c>
      <c r="G937">
        <v>188</v>
      </c>
      <c r="H937">
        <v>1932</v>
      </c>
      <c r="I937">
        <v>1741</v>
      </c>
      <c r="J937" s="27" t="str">
        <f t="shared" si="44"/>
        <v>https://ia601606.us.archive.org/33/items/FinancialStatisticsOfStateAndLocalGovernmentsWealthDebtAndTaxation1932/Financial_statistics_of_state_and_local_governments_Wealth_debt_and_taxation_1932.pdf#page=1741</v>
      </c>
    </row>
    <row r="938" spans="1:10" x14ac:dyDescent="0.25">
      <c r="A938" s="27" t="s">
        <v>1460</v>
      </c>
      <c r="B938" s="27" t="str">
        <f t="shared" si="42"/>
        <v>Texas</v>
      </c>
      <c r="C938" s="27" t="str">
        <f t="shared" si="43"/>
        <v>Hamilton</v>
      </c>
      <c r="F938">
        <v>2</v>
      </c>
      <c r="G938">
        <v>138</v>
      </c>
      <c r="H938">
        <v>1932</v>
      </c>
      <c r="I938">
        <v>1741</v>
      </c>
      <c r="J938" s="27" t="str">
        <f t="shared" si="44"/>
        <v>https://ia601606.us.archive.org/33/items/FinancialStatisticsOfStateAndLocalGovernmentsWealthDebtAndTaxation1932/Financial_statistics_of_state_and_local_governments_Wealth_debt_and_taxation_1932.pdf#page=1741</v>
      </c>
    </row>
    <row r="939" spans="1:10" x14ac:dyDescent="0.25">
      <c r="A939" s="27" t="s">
        <v>1461</v>
      </c>
      <c r="B939" s="27" t="str">
        <f t="shared" si="42"/>
        <v>Texas</v>
      </c>
      <c r="C939" s="27" t="str">
        <f t="shared" si="43"/>
        <v>Hansford</v>
      </c>
      <c r="D939">
        <v>1</v>
      </c>
      <c r="G939">
        <v>70</v>
      </c>
      <c r="H939">
        <v>1932</v>
      </c>
      <c r="I939">
        <v>1741</v>
      </c>
      <c r="J939" s="27" t="str">
        <f t="shared" si="44"/>
        <v>https://ia601606.us.archive.org/33/items/FinancialStatisticsOfStateAndLocalGovernmentsWealthDebtAndTaxation1932/Financial_statistics_of_state_and_local_governments_Wealth_debt_and_taxation_1932.pdf#page=1741</v>
      </c>
    </row>
    <row r="940" spans="1:10" x14ac:dyDescent="0.25">
      <c r="A940" s="27" t="s">
        <v>1462</v>
      </c>
      <c r="B940" s="27" t="str">
        <f t="shared" si="42"/>
        <v>Texas</v>
      </c>
      <c r="C940" s="27" t="str">
        <f t="shared" si="43"/>
        <v>Hardeman</v>
      </c>
      <c r="D940">
        <v>1</v>
      </c>
      <c r="G940">
        <v>165</v>
      </c>
      <c r="H940">
        <v>1932</v>
      </c>
      <c r="I940">
        <v>1741</v>
      </c>
      <c r="J940" s="27" t="str">
        <f t="shared" si="44"/>
        <v>https://ia601606.us.archive.org/33/items/FinancialStatisticsOfStateAndLocalGovernmentsWealthDebtAndTaxation1932/Financial_statistics_of_state_and_local_governments_Wealth_debt_and_taxation_1932.pdf#page=1741</v>
      </c>
    </row>
    <row r="941" spans="1:10" x14ac:dyDescent="0.25">
      <c r="A941" s="27" t="s">
        <v>1463</v>
      </c>
      <c r="B941" s="27" t="str">
        <f t="shared" si="42"/>
        <v>Texas</v>
      </c>
      <c r="C941" s="27" t="str">
        <f t="shared" si="43"/>
        <v>Hardin</v>
      </c>
      <c r="D941">
        <v>1</v>
      </c>
      <c r="G941">
        <v>201</v>
      </c>
      <c r="H941">
        <v>1932</v>
      </c>
      <c r="I941">
        <v>1742</v>
      </c>
      <c r="J941" s="27" t="str">
        <f t="shared" si="44"/>
        <v>https://ia601606.us.archive.org/33/items/FinancialStatisticsOfStateAndLocalGovernmentsWealthDebtAndTaxation1932/Financial_statistics_of_state_and_local_governments_Wealth_debt_and_taxation_1932.pdf#page=1742</v>
      </c>
    </row>
    <row r="942" spans="1:10" x14ac:dyDescent="0.25">
      <c r="A942" s="27" t="s">
        <v>1464</v>
      </c>
      <c r="B942" s="27" t="str">
        <f t="shared" si="42"/>
        <v>Texas</v>
      </c>
      <c r="C942" s="27" t="str">
        <f t="shared" si="43"/>
        <v>Harris</v>
      </c>
      <c r="D942">
        <v>20</v>
      </c>
      <c r="F942">
        <v>1</v>
      </c>
      <c r="G942">
        <v>4919</v>
      </c>
      <c r="H942">
        <v>1932</v>
      </c>
      <c r="I942">
        <v>1742</v>
      </c>
      <c r="J942" s="27" t="str">
        <f t="shared" si="44"/>
        <v>https://ia601606.us.archive.org/33/items/FinancialStatisticsOfStateAndLocalGovernmentsWealthDebtAndTaxation1932/Financial_statistics_of_state_and_local_governments_Wealth_debt_and_taxation_1932.pdf#page=1742</v>
      </c>
    </row>
    <row r="943" spans="1:10" x14ac:dyDescent="0.25">
      <c r="A943" s="27" t="s">
        <v>1465</v>
      </c>
      <c r="B943" s="27" t="str">
        <f t="shared" si="42"/>
        <v>Texas</v>
      </c>
      <c r="C943" s="27" t="str">
        <f t="shared" si="43"/>
        <v>Harrison</v>
      </c>
      <c r="G943">
        <v>306</v>
      </c>
      <c r="H943">
        <v>1932</v>
      </c>
      <c r="I943">
        <v>1742</v>
      </c>
      <c r="J943" s="27" t="str">
        <f t="shared" si="44"/>
        <v>https://ia601606.us.archive.org/33/items/FinancialStatisticsOfStateAndLocalGovernmentsWealthDebtAndTaxation1932/Financial_statistics_of_state_and_local_governments_Wealth_debt_and_taxation_1932.pdf#page=1742</v>
      </c>
    </row>
    <row r="944" spans="1:10" x14ac:dyDescent="0.25">
      <c r="A944" s="27" t="s">
        <v>1466</v>
      </c>
      <c r="B944" s="27" t="str">
        <f t="shared" si="42"/>
        <v>Texas</v>
      </c>
      <c r="C944" s="27" t="str">
        <f t="shared" si="43"/>
        <v>Hartley</v>
      </c>
      <c r="H944">
        <v>1932</v>
      </c>
      <c r="I944">
        <v>1742</v>
      </c>
      <c r="J944" s="27" t="str">
        <f t="shared" si="44"/>
        <v>https://ia601606.us.archive.org/33/items/FinancialStatisticsOfStateAndLocalGovernmentsWealthDebtAndTaxation1932/Financial_statistics_of_state_and_local_governments_Wealth_debt_and_taxation_1932.pdf#page=1742</v>
      </c>
    </row>
    <row r="945" spans="1:10" x14ac:dyDescent="0.25">
      <c r="A945" s="27" t="s">
        <v>1467</v>
      </c>
      <c r="B945" s="27" t="str">
        <f t="shared" si="42"/>
        <v>Texas</v>
      </c>
      <c r="C945" s="27" t="str">
        <f t="shared" si="43"/>
        <v>Haskell</v>
      </c>
      <c r="G945">
        <v>172</v>
      </c>
      <c r="H945">
        <v>1932</v>
      </c>
      <c r="I945">
        <v>1742</v>
      </c>
      <c r="J945" s="27" t="str">
        <f t="shared" si="44"/>
        <v>https://ia601606.us.archive.org/33/items/FinancialStatisticsOfStateAndLocalGovernmentsWealthDebtAndTaxation1932/Financial_statistics_of_state_and_local_governments_Wealth_debt_and_taxation_1932.pdf#page=1742</v>
      </c>
    </row>
    <row r="946" spans="1:10" x14ac:dyDescent="0.25">
      <c r="A946" s="27" t="s">
        <v>1468</v>
      </c>
      <c r="B946" s="27" t="str">
        <f t="shared" si="42"/>
        <v>Texas</v>
      </c>
      <c r="C946" s="27" t="str">
        <f t="shared" si="43"/>
        <v>Hays</v>
      </c>
      <c r="D946">
        <v>1</v>
      </c>
      <c r="G946">
        <v>130</v>
      </c>
      <c r="H946">
        <v>1932</v>
      </c>
      <c r="I946">
        <v>1742</v>
      </c>
      <c r="J946" s="27" t="str">
        <f t="shared" si="44"/>
        <v>https://ia601606.us.archive.org/33/items/FinancialStatisticsOfStateAndLocalGovernmentsWealthDebtAndTaxation1932/Financial_statistics_of_state_and_local_governments_Wealth_debt_and_taxation_1932.pdf#page=1742</v>
      </c>
    </row>
    <row r="947" spans="1:10" x14ac:dyDescent="0.25">
      <c r="A947" s="27" t="s">
        <v>1469</v>
      </c>
      <c r="B947" s="27" t="str">
        <f t="shared" si="42"/>
        <v>Texas</v>
      </c>
      <c r="C947" s="27" t="str">
        <f t="shared" si="43"/>
        <v>Hemphill</v>
      </c>
      <c r="F947">
        <v>1</v>
      </c>
      <c r="G947">
        <v>63</v>
      </c>
      <c r="H947">
        <v>1932</v>
      </c>
      <c r="I947">
        <v>1742</v>
      </c>
      <c r="J947" s="27" t="str">
        <f t="shared" si="44"/>
        <v>https://ia601606.us.archive.org/33/items/FinancialStatisticsOfStateAndLocalGovernmentsWealthDebtAndTaxation1932/Financial_statistics_of_state_and_local_governments_Wealth_debt_and_taxation_1932.pdf#page=1742</v>
      </c>
    </row>
    <row r="948" spans="1:10" x14ac:dyDescent="0.25">
      <c r="A948" s="27" t="s">
        <v>1470</v>
      </c>
      <c r="B948" s="27" t="str">
        <f t="shared" si="42"/>
        <v>Texas</v>
      </c>
      <c r="C948" s="27" t="str">
        <f t="shared" si="43"/>
        <v>Henderson</v>
      </c>
      <c r="D948">
        <v>4</v>
      </c>
      <c r="F948">
        <v>1</v>
      </c>
      <c r="G948">
        <v>221</v>
      </c>
      <c r="H948">
        <v>1932</v>
      </c>
      <c r="I948">
        <v>1742</v>
      </c>
      <c r="J948" s="27" t="str">
        <f t="shared" si="44"/>
        <v>https://ia601606.us.archive.org/33/items/FinancialStatisticsOfStateAndLocalGovernmentsWealthDebtAndTaxation1932/Financial_statistics_of_state_and_local_governments_Wealth_debt_and_taxation_1932.pdf#page=1742</v>
      </c>
    </row>
    <row r="949" spans="1:10" x14ac:dyDescent="0.25">
      <c r="A949" s="27" t="s">
        <v>1471</v>
      </c>
      <c r="B949" s="27" t="str">
        <f t="shared" si="42"/>
        <v>Texas</v>
      </c>
      <c r="C949" s="27" t="str">
        <f t="shared" si="43"/>
        <v>Hidalgo</v>
      </c>
      <c r="D949">
        <v>5</v>
      </c>
      <c r="G949">
        <v>883</v>
      </c>
      <c r="H949">
        <v>1932</v>
      </c>
      <c r="I949">
        <v>1742</v>
      </c>
      <c r="J949" s="27" t="str">
        <f t="shared" si="44"/>
        <v>https://ia601606.us.archive.org/33/items/FinancialStatisticsOfStateAndLocalGovernmentsWealthDebtAndTaxation1932/Financial_statistics_of_state_and_local_governments_Wealth_debt_and_taxation_1932.pdf#page=1742</v>
      </c>
    </row>
    <row r="950" spans="1:10" x14ac:dyDescent="0.25">
      <c r="A950" s="27" t="s">
        <v>1472</v>
      </c>
      <c r="B950" s="27" t="str">
        <f t="shared" si="42"/>
        <v>Texas</v>
      </c>
      <c r="C950" s="27" t="str">
        <f t="shared" si="43"/>
        <v>Hill</v>
      </c>
      <c r="D950">
        <v>2</v>
      </c>
      <c r="F950">
        <v>3</v>
      </c>
      <c r="G950">
        <v>393</v>
      </c>
      <c r="H950">
        <v>1932</v>
      </c>
      <c r="I950">
        <v>1743</v>
      </c>
      <c r="J950" s="27" t="str">
        <f t="shared" si="44"/>
        <v>https://ia601606.us.archive.org/33/items/FinancialStatisticsOfStateAndLocalGovernmentsWealthDebtAndTaxation1932/Financial_statistics_of_state_and_local_governments_Wealth_debt_and_taxation_1932.pdf#page=1743</v>
      </c>
    </row>
    <row r="951" spans="1:10" x14ac:dyDescent="0.25">
      <c r="A951" s="27" t="s">
        <v>1473</v>
      </c>
      <c r="B951" s="27" t="str">
        <f t="shared" si="42"/>
        <v>Texas</v>
      </c>
      <c r="C951" s="27" t="str">
        <f t="shared" si="43"/>
        <v>Hockley</v>
      </c>
      <c r="D951">
        <v>1</v>
      </c>
      <c r="G951">
        <v>172</v>
      </c>
      <c r="H951">
        <v>1932</v>
      </c>
      <c r="I951">
        <v>1743</v>
      </c>
      <c r="J951" s="27" t="str">
        <f t="shared" si="44"/>
        <v>https://ia601606.us.archive.org/33/items/FinancialStatisticsOfStateAndLocalGovernmentsWealthDebtAndTaxation1932/Financial_statistics_of_state_and_local_governments_Wealth_debt_and_taxation_1932.pdf#page=1743</v>
      </c>
    </row>
    <row r="952" spans="1:10" x14ac:dyDescent="0.25">
      <c r="A952" s="27" t="s">
        <v>1474</v>
      </c>
      <c r="B952" s="27" t="str">
        <f t="shared" si="42"/>
        <v>Texas</v>
      </c>
      <c r="C952" s="27" t="str">
        <f t="shared" si="43"/>
        <v>Hood</v>
      </c>
      <c r="G952">
        <v>70</v>
      </c>
      <c r="H952">
        <v>1932</v>
      </c>
      <c r="I952">
        <v>1743</v>
      </c>
      <c r="J952" s="27" t="str">
        <f t="shared" si="44"/>
        <v>https://ia601606.us.archive.org/33/items/FinancialStatisticsOfStateAndLocalGovernmentsWealthDebtAndTaxation1932/Financial_statistics_of_state_and_local_governments_Wealth_debt_and_taxation_1932.pdf#page=1743</v>
      </c>
    </row>
    <row r="953" spans="1:10" x14ac:dyDescent="0.25">
      <c r="A953" s="27" t="s">
        <v>1475</v>
      </c>
      <c r="B953" s="27" t="str">
        <f t="shared" si="42"/>
        <v>Texas</v>
      </c>
      <c r="C953" s="27" t="str">
        <f t="shared" si="43"/>
        <v>Hopkins</v>
      </c>
      <c r="D953">
        <v>3</v>
      </c>
      <c r="F953">
        <v>1</v>
      </c>
      <c r="G953">
        <v>254</v>
      </c>
      <c r="H953">
        <v>1932</v>
      </c>
      <c r="I953">
        <v>1743</v>
      </c>
      <c r="J953" s="27" t="str">
        <f t="shared" si="44"/>
        <v>https://ia601606.us.archive.org/33/items/FinancialStatisticsOfStateAndLocalGovernmentsWealthDebtAndTaxation1932/Financial_statistics_of_state_and_local_governments_Wealth_debt_and_taxation_1932.pdf#page=1743</v>
      </c>
    </row>
    <row r="954" spans="1:10" x14ac:dyDescent="0.25">
      <c r="A954" s="27" t="s">
        <v>1476</v>
      </c>
      <c r="B954" s="27" t="str">
        <f t="shared" si="42"/>
        <v>Texas</v>
      </c>
      <c r="C954" s="27" t="str">
        <f t="shared" si="43"/>
        <v>Houston</v>
      </c>
      <c r="D954">
        <v>1</v>
      </c>
      <c r="G954">
        <v>281</v>
      </c>
      <c r="H954">
        <v>1932</v>
      </c>
      <c r="I954">
        <v>1743</v>
      </c>
      <c r="J954" s="27" t="str">
        <f t="shared" si="44"/>
        <v>https://ia601606.us.archive.org/33/items/FinancialStatisticsOfStateAndLocalGovernmentsWealthDebtAndTaxation1932/Financial_statistics_of_state_and_local_governments_Wealth_debt_and_taxation_1932.pdf#page=1743</v>
      </c>
    </row>
    <row r="955" spans="1:10" x14ac:dyDescent="0.25">
      <c r="A955" s="27" t="s">
        <v>1477</v>
      </c>
      <c r="B955" s="27" t="str">
        <f t="shared" si="42"/>
        <v>Texas</v>
      </c>
      <c r="C955" s="27" t="str">
        <f t="shared" si="43"/>
        <v>Howard</v>
      </c>
      <c r="D955">
        <v>2</v>
      </c>
      <c r="G955">
        <v>228</v>
      </c>
      <c r="H955">
        <v>1932</v>
      </c>
      <c r="I955">
        <v>1744</v>
      </c>
      <c r="J955" s="27" t="str">
        <f t="shared" si="44"/>
        <v>https://ia601606.us.archive.org/33/items/FinancialStatisticsOfStateAndLocalGovernmentsWealthDebtAndTaxation1932/Financial_statistics_of_state_and_local_governments_Wealth_debt_and_taxation_1932.pdf#page=1744</v>
      </c>
    </row>
    <row r="956" spans="1:10" x14ac:dyDescent="0.25">
      <c r="A956" s="27" t="s">
        <v>1478</v>
      </c>
      <c r="B956" s="27" t="str">
        <f t="shared" si="42"/>
        <v>Texas</v>
      </c>
      <c r="C956" s="27" t="str">
        <f t="shared" si="43"/>
        <v>Hudspeth</v>
      </c>
      <c r="D956">
        <v>1</v>
      </c>
      <c r="G956">
        <v>32</v>
      </c>
      <c r="H956">
        <v>1932</v>
      </c>
      <c r="I956">
        <v>1744</v>
      </c>
      <c r="J956" s="27" t="str">
        <f t="shared" si="44"/>
        <v>https://ia601606.us.archive.org/33/items/FinancialStatisticsOfStateAndLocalGovernmentsWealthDebtAndTaxation1932/Financial_statistics_of_state_and_local_governments_Wealth_debt_and_taxation_1932.pdf#page=1744</v>
      </c>
    </row>
    <row r="957" spans="1:10" x14ac:dyDescent="0.25">
      <c r="A957" s="27" t="s">
        <v>1479</v>
      </c>
      <c r="B957" s="27" t="str">
        <f t="shared" si="42"/>
        <v>Texas</v>
      </c>
      <c r="C957" s="27" t="str">
        <f t="shared" si="43"/>
        <v>Hunt</v>
      </c>
      <c r="G957">
        <v>444</v>
      </c>
      <c r="H957">
        <v>1932</v>
      </c>
      <c r="I957">
        <v>1744</v>
      </c>
      <c r="J957" s="27" t="str">
        <f t="shared" si="44"/>
        <v>https://ia601606.us.archive.org/33/items/FinancialStatisticsOfStateAndLocalGovernmentsWealthDebtAndTaxation1932/Financial_statistics_of_state_and_local_governments_Wealth_debt_and_taxation_1932.pdf#page=1744</v>
      </c>
    </row>
    <row r="958" spans="1:10" x14ac:dyDescent="0.25">
      <c r="A958" s="27" t="s">
        <v>1480</v>
      </c>
      <c r="B958" s="27" t="str">
        <f t="shared" si="42"/>
        <v>Texas</v>
      </c>
      <c r="C958" s="27" t="str">
        <f t="shared" si="43"/>
        <v>Hutchinson</v>
      </c>
      <c r="D958">
        <v>1</v>
      </c>
      <c r="G958">
        <v>205</v>
      </c>
      <c r="H958">
        <v>1932</v>
      </c>
      <c r="I958">
        <v>1744</v>
      </c>
      <c r="J958" s="27" t="str">
        <f t="shared" si="44"/>
        <v>https://ia601606.us.archive.org/33/items/FinancialStatisticsOfStateAndLocalGovernmentsWealthDebtAndTaxation1932/Financial_statistics_of_state_and_local_governments_Wealth_debt_and_taxation_1932.pdf#page=1744</v>
      </c>
    </row>
    <row r="959" spans="1:10" x14ac:dyDescent="0.25">
      <c r="A959" s="27" t="s">
        <v>1481</v>
      </c>
      <c r="B959" s="27" t="str">
        <f t="shared" si="42"/>
        <v>Texas</v>
      </c>
      <c r="C959" s="27" t="str">
        <f t="shared" si="43"/>
        <v>Irion</v>
      </c>
      <c r="G959">
        <v>42</v>
      </c>
      <c r="H959">
        <v>1932</v>
      </c>
      <c r="I959">
        <v>1744</v>
      </c>
      <c r="J959" s="27" t="str">
        <f t="shared" si="44"/>
        <v>https://ia601606.us.archive.org/33/items/FinancialStatisticsOfStateAndLocalGovernmentsWealthDebtAndTaxation1932/Financial_statistics_of_state_and_local_governments_Wealth_debt_and_taxation_1932.pdf#page=1744</v>
      </c>
    </row>
    <row r="960" spans="1:10" x14ac:dyDescent="0.25">
      <c r="A960" s="27" t="s">
        <v>1482</v>
      </c>
      <c r="B960" s="27" t="str">
        <f t="shared" si="42"/>
        <v>Texas</v>
      </c>
      <c r="C960" s="27" t="str">
        <f t="shared" si="43"/>
        <v>Jack</v>
      </c>
      <c r="D960">
        <v>1</v>
      </c>
      <c r="G960">
        <v>128</v>
      </c>
      <c r="H960">
        <v>1932</v>
      </c>
      <c r="I960">
        <v>1744</v>
      </c>
      <c r="J960" s="27" t="str">
        <f t="shared" si="44"/>
        <v>https://ia601606.us.archive.org/33/items/FinancialStatisticsOfStateAndLocalGovernmentsWealthDebtAndTaxation1932/Financial_statistics_of_state_and_local_governments_Wealth_debt_and_taxation_1932.pdf#page=1744</v>
      </c>
    </row>
    <row r="961" spans="1:10" x14ac:dyDescent="0.25">
      <c r="A961" s="27" t="s">
        <v>1483</v>
      </c>
      <c r="B961" s="27" t="str">
        <f t="shared" si="42"/>
        <v>Texas</v>
      </c>
      <c r="C961" s="27" t="str">
        <f t="shared" si="43"/>
        <v>Jackson</v>
      </c>
      <c r="D961">
        <v>1</v>
      </c>
      <c r="G961">
        <v>121</v>
      </c>
      <c r="H961">
        <v>1932</v>
      </c>
      <c r="I961">
        <v>1744</v>
      </c>
      <c r="J961" s="27" t="str">
        <f t="shared" si="44"/>
        <v>https://ia601606.us.archive.org/33/items/FinancialStatisticsOfStateAndLocalGovernmentsWealthDebtAndTaxation1932/Financial_statistics_of_state_and_local_governments_Wealth_debt_and_taxation_1932.pdf#page=1744</v>
      </c>
    </row>
    <row r="962" spans="1:10" x14ac:dyDescent="0.25">
      <c r="A962" s="27" t="s">
        <v>1484</v>
      </c>
      <c r="B962" s="27" t="str">
        <f t="shared" si="42"/>
        <v>Texas</v>
      </c>
      <c r="C962" s="27" t="str">
        <f t="shared" si="43"/>
        <v>Jasper</v>
      </c>
      <c r="D962">
        <v>1</v>
      </c>
      <c r="G962">
        <v>231</v>
      </c>
      <c r="H962">
        <v>1932</v>
      </c>
      <c r="I962">
        <v>1744</v>
      </c>
      <c r="J962" s="27" t="str">
        <f t="shared" si="44"/>
        <v>https://ia601606.us.archive.org/33/items/FinancialStatisticsOfStateAndLocalGovernmentsWealthDebtAndTaxation1932/Financial_statistics_of_state_and_local_governments_Wealth_debt_and_taxation_1932.pdf#page=1744</v>
      </c>
    </row>
    <row r="963" spans="1:10" x14ac:dyDescent="0.25">
      <c r="A963" s="27" t="s">
        <v>1485</v>
      </c>
      <c r="B963" s="27" t="str">
        <f t="shared" ref="B963:B1026" si="45">LEFT(A963,FIND(";",A963)-1)</f>
        <v>Texas</v>
      </c>
      <c r="C963" s="27" t="str">
        <f t="shared" ref="C963:C1026" si="46">MID(A963,FIND(";",A963)+1,100)</f>
        <v>Jeff Davis</v>
      </c>
      <c r="D963">
        <v>1</v>
      </c>
      <c r="G963">
        <v>25</v>
      </c>
      <c r="H963">
        <v>1932</v>
      </c>
      <c r="I963">
        <v>1744</v>
      </c>
      <c r="J963" s="27" t="str">
        <f t="shared" ref="J963:J1026" si="47">"https://ia601606.us.archive.org/33/items/FinancialStatisticsOfStateAndLocalGovernmentsWealthDebtAndTaxation1932/Financial_statistics_of_state_and_local_governments_Wealth_debt_and_taxation_1932.pdf"&amp;"#page="&amp;I963</f>
        <v>https://ia601606.us.archive.org/33/items/FinancialStatisticsOfStateAndLocalGovernmentsWealthDebtAndTaxation1932/Financial_statistics_of_state_and_local_governments_Wealth_debt_and_taxation_1932.pdf#page=1744</v>
      </c>
    </row>
    <row r="964" spans="1:10" x14ac:dyDescent="0.25">
      <c r="A964" s="27" t="s">
        <v>1486</v>
      </c>
      <c r="B964" s="27" t="str">
        <f t="shared" si="45"/>
        <v>Texas</v>
      </c>
      <c r="C964" s="27" t="str">
        <f t="shared" si="46"/>
        <v>Jefferson</v>
      </c>
      <c r="D964">
        <v>25</v>
      </c>
      <c r="G964">
        <v>1180</v>
      </c>
      <c r="H964">
        <v>1932</v>
      </c>
      <c r="I964">
        <v>1744</v>
      </c>
      <c r="J964" s="27" t="str">
        <f t="shared" si="47"/>
        <v>https://ia601606.us.archive.org/33/items/FinancialStatisticsOfStateAndLocalGovernmentsWealthDebtAndTaxation1932/Financial_statistics_of_state_and_local_governments_Wealth_debt_and_taxation_1932.pdf#page=1744</v>
      </c>
    </row>
    <row r="965" spans="1:10" x14ac:dyDescent="0.25">
      <c r="A965" s="27" t="s">
        <v>1487</v>
      </c>
      <c r="B965" s="27" t="str">
        <f t="shared" si="45"/>
        <v>Texas</v>
      </c>
      <c r="C965" s="27" t="str">
        <f t="shared" si="46"/>
        <v>Jim Hogg</v>
      </c>
      <c r="D965">
        <v>1</v>
      </c>
      <c r="F965">
        <v>1</v>
      </c>
      <c r="G965">
        <v>35</v>
      </c>
      <c r="H965">
        <v>1932</v>
      </c>
      <c r="I965">
        <v>1745</v>
      </c>
      <c r="J965" s="27" t="str">
        <f t="shared" si="47"/>
        <v>https://ia601606.us.archive.org/33/items/FinancialStatisticsOfStateAndLocalGovernmentsWealthDebtAndTaxation1932/Financial_statistics_of_state_and_local_governments_Wealth_debt_and_taxation_1932.pdf#page=1745</v>
      </c>
    </row>
    <row r="966" spans="1:10" x14ac:dyDescent="0.25">
      <c r="A966" s="27" t="s">
        <v>1488</v>
      </c>
      <c r="B966" s="27" t="str">
        <f t="shared" si="45"/>
        <v>Texas</v>
      </c>
      <c r="C966" s="27" t="str">
        <f t="shared" si="46"/>
        <v>Jim Wells</v>
      </c>
      <c r="D966">
        <v>1</v>
      </c>
      <c r="G966">
        <v>123</v>
      </c>
      <c r="H966">
        <v>1932</v>
      </c>
      <c r="I966">
        <v>1745</v>
      </c>
      <c r="J966" s="27" t="str">
        <f t="shared" si="47"/>
        <v>https://ia601606.us.archive.org/33/items/FinancialStatisticsOfStateAndLocalGovernmentsWealthDebtAndTaxation1932/Financial_statistics_of_state_and_local_governments_Wealth_debt_and_taxation_1932.pdf#page=1745</v>
      </c>
    </row>
    <row r="967" spans="1:10" x14ac:dyDescent="0.25">
      <c r="A967" s="27" t="s">
        <v>1489</v>
      </c>
      <c r="B967" s="27" t="str">
        <f t="shared" si="45"/>
        <v>Texas</v>
      </c>
      <c r="C967" s="27" t="str">
        <f t="shared" si="46"/>
        <v>Johnson</v>
      </c>
      <c r="D967">
        <v>2</v>
      </c>
      <c r="G967">
        <v>319</v>
      </c>
      <c r="H967">
        <v>1932</v>
      </c>
      <c r="I967">
        <v>1745</v>
      </c>
      <c r="J967" s="27" t="str">
        <f t="shared" si="47"/>
        <v>https://ia601606.us.archive.org/33/items/FinancialStatisticsOfStateAndLocalGovernmentsWealthDebtAndTaxation1932/Financial_statistics_of_state_and_local_governments_Wealth_debt_and_taxation_1932.pdf#page=1745</v>
      </c>
    </row>
    <row r="968" spans="1:10" x14ac:dyDescent="0.25">
      <c r="A968" s="27" t="s">
        <v>1490</v>
      </c>
      <c r="B968" s="27" t="str">
        <f t="shared" si="45"/>
        <v>Texas</v>
      </c>
      <c r="C968" s="27" t="str">
        <f t="shared" si="46"/>
        <v>Jones</v>
      </c>
      <c r="D968">
        <v>3</v>
      </c>
      <c r="G968">
        <v>242</v>
      </c>
      <c r="H968">
        <v>1932</v>
      </c>
      <c r="I968">
        <v>1745</v>
      </c>
      <c r="J968" s="27" t="str">
        <f t="shared" si="47"/>
        <v>https://ia601606.us.archive.org/33/items/FinancialStatisticsOfStateAndLocalGovernmentsWealthDebtAndTaxation1932/Financial_statistics_of_state_and_local_governments_Wealth_debt_and_taxation_1932.pdf#page=1745</v>
      </c>
    </row>
    <row r="969" spans="1:10" x14ac:dyDescent="0.25">
      <c r="A969" s="27" t="s">
        <v>1491</v>
      </c>
      <c r="B969" s="27" t="str">
        <f t="shared" si="45"/>
        <v>Texas</v>
      </c>
      <c r="C969" s="27" t="str">
        <f t="shared" si="46"/>
        <v>Karnes</v>
      </c>
      <c r="D969">
        <v>1</v>
      </c>
      <c r="F969">
        <v>1</v>
      </c>
      <c r="G969">
        <v>168</v>
      </c>
      <c r="H969">
        <v>1932</v>
      </c>
      <c r="I969">
        <v>1745</v>
      </c>
      <c r="J969" s="27" t="str">
        <f t="shared" si="47"/>
        <v>https://ia601606.us.archive.org/33/items/FinancialStatisticsOfStateAndLocalGovernmentsWealthDebtAndTaxation1932/Financial_statistics_of_state_and_local_governments_Wealth_debt_and_taxation_1932.pdf#page=1745</v>
      </c>
    </row>
    <row r="970" spans="1:10" x14ac:dyDescent="0.25">
      <c r="A970" s="27" t="s">
        <v>1492</v>
      </c>
      <c r="B970" s="27" t="str">
        <f t="shared" si="45"/>
        <v>Texas</v>
      </c>
      <c r="C970" s="27" t="str">
        <f t="shared" si="46"/>
        <v>Kaufman</v>
      </c>
      <c r="D970">
        <v>1</v>
      </c>
      <c r="F970">
        <v>3</v>
      </c>
      <c r="G970">
        <v>319</v>
      </c>
      <c r="H970">
        <v>1932</v>
      </c>
      <c r="I970">
        <v>1745</v>
      </c>
      <c r="J970" s="27" t="str">
        <f t="shared" si="47"/>
        <v>https://ia601606.us.archive.org/33/items/FinancialStatisticsOfStateAndLocalGovernmentsWealthDebtAndTaxation1932/Financial_statistics_of_state_and_local_governments_Wealth_debt_and_taxation_1932.pdf#page=1745</v>
      </c>
    </row>
    <row r="971" spans="1:10" x14ac:dyDescent="0.25">
      <c r="A971" s="27" t="s">
        <v>1493</v>
      </c>
      <c r="B971" s="27" t="str">
        <f t="shared" si="45"/>
        <v>Texas</v>
      </c>
      <c r="C971" s="27" t="str">
        <f t="shared" si="46"/>
        <v>Kendall</v>
      </c>
      <c r="G971">
        <v>39</v>
      </c>
      <c r="H971">
        <v>1932</v>
      </c>
      <c r="I971">
        <v>1746</v>
      </c>
      <c r="J971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72" spans="1:10" x14ac:dyDescent="0.25">
      <c r="A972" s="27" t="s">
        <v>1494</v>
      </c>
      <c r="B972" s="27" t="str">
        <f t="shared" si="45"/>
        <v>Texas</v>
      </c>
      <c r="C972" s="27" t="str">
        <f t="shared" si="46"/>
        <v>Kenedy</v>
      </c>
      <c r="D972">
        <v>1</v>
      </c>
      <c r="G972">
        <v>2</v>
      </c>
      <c r="H972">
        <v>1932</v>
      </c>
      <c r="I972">
        <v>1746</v>
      </c>
      <c r="J972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73" spans="1:10" x14ac:dyDescent="0.25">
      <c r="A973" s="27" t="s">
        <v>1495</v>
      </c>
      <c r="B973" s="27" t="str">
        <f t="shared" si="45"/>
        <v>Texas</v>
      </c>
      <c r="C973" s="27" t="str">
        <f t="shared" si="46"/>
        <v>Kent</v>
      </c>
      <c r="D973">
        <v>1</v>
      </c>
      <c r="G973">
        <v>46</v>
      </c>
      <c r="H973">
        <v>1932</v>
      </c>
      <c r="I973">
        <v>1746</v>
      </c>
      <c r="J973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74" spans="1:10" x14ac:dyDescent="0.25">
      <c r="A974" s="27" t="s">
        <v>1496</v>
      </c>
      <c r="B974" s="27" t="str">
        <f t="shared" si="45"/>
        <v>Texas</v>
      </c>
      <c r="C974" s="27" t="str">
        <f t="shared" si="46"/>
        <v>Kerr</v>
      </c>
      <c r="D974">
        <v>2</v>
      </c>
      <c r="G974">
        <v>87</v>
      </c>
      <c r="H974">
        <v>1932</v>
      </c>
      <c r="I974">
        <v>1746</v>
      </c>
      <c r="J974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75" spans="1:10" x14ac:dyDescent="0.25">
      <c r="A975" s="27" t="s">
        <v>1497</v>
      </c>
      <c r="B975" s="27" t="str">
        <f t="shared" si="45"/>
        <v>Texas</v>
      </c>
      <c r="C975" s="27" t="str">
        <f t="shared" si="46"/>
        <v>Kimble</v>
      </c>
      <c r="D975">
        <v>1</v>
      </c>
      <c r="F975">
        <v>1</v>
      </c>
      <c r="G975">
        <v>37</v>
      </c>
      <c r="H975">
        <v>1932</v>
      </c>
      <c r="I975">
        <v>1746</v>
      </c>
      <c r="J975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76" spans="1:10" x14ac:dyDescent="0.25">
      <c r="A976" s="27" t="s">
        <v>1498</v>
      </c>
      <c r="B976" s="27" t="str">
        <f t="shared" si="45"/>
        <v>Texas</v>
      </c>
      <c r="C976" s="27" t="str">
        <f t="shared" si="46"/>
        <v>King</v>
      </c>
      <c r="G976">
        <v>21</v>
      </c>
      <c r="H976">
        <v>1932</v>
      </c>
      <c r="I976">
        <v>1746</v>
      </c>
      <c r="J976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77" spans="1:10" x14ac:dyDescent="0.25">
      <c r="A977" s="27" t="s">
        <v>1499</v>
      </c>
      <c r="B977" s="27" t="str">
        <f t="shared" si="45"/>
        <v>Texas</v>
      </c>
      <c r="C977" s="27" t="str">
        <f t="shared" si="46"/>
        <v>Kinney</v>
      </c>
      <c r="D977">
        <v>1</v>
      </c>
      <c r="G977">
        <v>31</v>
      </c>
      <c r="H977">
        <v>1932</v>
      </c>
      <c r="I977">
        <v>1746</v>
      </c>
      <c r="J977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78" spans="1:10" x14ac:dyDescent="0.25">
      <c r="A978" s="27" t="s">
        <v>1500</v>
      </c>
      <c r="B978" s="27" t="str">
        <f t="shared" si="45"/>
        <v>Texas</v>
      </c>
      <c r="C978" s="27" t="str">
        <f t="shared" si="46"/>
        <v>Kleberg</v>
      </c>
      <c r="D978">
        <v>1</v>
      </c>
      <c r="G978">
        <v>99</v>
      </c>
      <c r="H978">
        <v>1932</v>
      </c>
      <c r="I978">
        <v>1746</v>
      </c>
      <c r="J978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79" spans="1:10" x14ac:dyDescent="0.25">
      <c r="A979" s="27" t="s">
        <v>1501</v>
      </c>
      <c r="B979" s="27" t="str">
        <f t="shared" si="45"/>
        <v>Texas</v>
      </c>
      <c r="C979" s="27" t="str">
        <f t="shared" si="46"/>
        <v>Knox</v>
      </c>
      <c r="D979">
        <v>1</v>
      </c>
      <c r="F979">
        <v>1</v>
      </c>
      <c r="G979">
        <v>134</v>
      </c>
      <c r="H979">
        <v>1932</v>
      </c>
      <c r="I979">
        <v>1746</v>
      </c>
      <c r="J979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80" spans="1:10" x14ac:dyDescent="0.25">
      <c r="A980" s="27" t="s">
        <v>1502</v>
      </c>
      <c r="B980" s="27" t="str">
        <f t="shared" si="45"/>
        <v>Texas</v>
      </c>
      <c r="C980" s="27" t="str">
        <f t="shared" si="46"/>
        <v>Lamar</v>
      </c>
      <c r="D980">
        <v>2</v>
      </c>
      <c r="G980">
        <v>412</v>
      </c>
      <c r="H980">
        <v>1932</v>
      </c>
      <c r="I980">
        <v>1746</v>
      </c>
      <c r="J980" s="27" t="str">
        <f t="shared" si="47"/>
        <v>https://ia601606.us.archive.org/33/items/FinancialStatisticsOfStateAndLocalGovernmentsWealthDebtAndTaxation1932/Financial_statistics_of_state_and_local_governments_Wealth_debt_and_taxation_1932.pdf#page=1746</v>
      </c>
    </row>
    <row r="981" spans="1:10" x14ac:dyDescent="0.25">
      <c r="A981" s="27" t="s">
        <v>1503</v>
      </c>
      <c r="B981" s="27" t="str">
        <f t="shared" si="45"/>
        <v>Texas</v>
      </c>
      <c r="C981" s="27" t="str">
        <f t="shared" si="46"/>
        <v>Lamb</v>
      </c>
      <c r="D981">
        <v>1</v>
      </c>
      <c r="G981">
        <v>248</v>
      </c>
      <c r="H981">
        <v>1932</v>
      </c>
      <c r="I981">
        <v>1747</v>
      </c>
      <c r="J981" s="27" t="str">
        <f t="shared" si="47"/>
        <v>https://ia601606.us.archive.org/33/items/FinancialStatisticsOfStateAndLocalGovernmentsWealthDebtAndTaxation1932/Financial_statistics_of_state_and_local_governments_Wealth_debt_and_taxation_1932.pdf#page=1747</v>
      </c>
    </row>
    <row r="982" spans="1:10" x14ac:dyDescent="0.25">
      <c r="A982" s="27" t="s">
        <v>1504</v>
      </c>
      <c r="B982" s="27" t="str">
        <f t="shared" si="45"/>
        <v>Texas</v>
      </c>
      <c r="C982" s="27" t="str">
        <f t="shared" si="46"/>
        <v>Lampasas</v>
      </c>
      <c r="D982">
        <v>1</v>
      </c>
      <c r="G982">
        <v>83</v>
      </c>
      <c r="H982">
        <v>1932</v>
      </c>
      <c r="I982">
        <v>1747</v>
      </c>
      <c r="J982" s="27" t="str">
        <f t="shared" si="47"/>
        <v>https://ia601606.us.archive.org/33/items/FinancialStatisticsOfStateAndLocalGovernmentsWealthDebtAndTaxation1932/Financial_statistics_of_state_and_local_governments_Wealth_debt_and_taxation_1932.pdf#page=1747</v>
      </c>
    </row>
    <row r="983" spans="1:10" x14ac:dyDescent="0.25">
      <c r="A983" s="27" t="s">
        <v>1505</v>
      </c>
      <c r="B983" s="27" t="str">
        <f t="shared" si="45"/>
        <v>Texas</v>
      </c>
      <c r="C983" s="27" t="str">
        <f t="shared" si="46"/>
        <v>La Salle</v>
      </c>
      <c r="H983">
        <v>1932</v>
      </c>
      <c r="I983">
        <v>1747</v>
      </c>
      <c r="J983" s="27" t="str">
        <f t="shared" si="47"/>
        <v>https://ia601606.us.archive.org/33/items/FinancialStatisticsOfStateAndLocalGovernmentsWealthDebtAndTaxation1932/Financial_statistics_of_state_and_local_governments_Wealth_debt_and_taxation_1932.pdf#page=1747</v>
      </c>
    </row>
    <row r="984" spans="1:10" x14ac:dyDescent="0.25">
      <c r="A984" s="27" t="s">
        <v>1506</v>
      </c>
      <c r="B984" s="27" t="str">
        <f t="shared" si="45"/>
        <v>Texas</v>
      </c>
      <c r="C984" s="27" t="str">
        <f t="shared" si="46"/>
        <v>Lavaca</v>
      </c>
      <c r="F984">
        <v>3</v>
      </c>
      <c r="G984">
        <v>156</v>
      </c>
      <c r="H984">
        <v>1932</v>
      </c>
      <c r="I984">
        <v>1747</v>
      </c>
      <c r="J984" s="27" t="str">
        <f t="shared" si="47"/>
        <v>https://ia601606.us.archive.org/33/items/FinancialStatisticsOfStateAndLocalGovernmentsWealthDebtAndTaxation1932/Financial_statistics_of_state_and_local_governments_Wealth_debt_and_taxation_1932.pdf#page=1747</v>
      </c>
    </row>
    <row r="985" spans="1:10" x14ac:dyDescent="0.25">
      <c r="A985" s="27" t="s">
        <v>1507</v>
      </c>
      <c r="B985" s="27" t="str">
        <f t="shared" si="45"/>
        <v>Texas</v>
      </c>
      <c r="C985" s="27" t="str">
        <f t="shared" si="46"/>
        <v>Lee</v>
      </c>
      <c r="G985">
        <v>108</v>
      </c>
      <c r="H985">
        <v>1932</v>
      </c>
      <c r="I985">
        <v>1747</v>
      </c>
      <c r="J985" s="27" t="str">
        <f t="shared" si="47"/>
        <v>https://ia601606.us.archive.org/33/items/FinancialStatisticsOfStateAndLocalGovernmentsWealthDebtAndTaxation1932/Financial_statistics_of_state_and_local_governments_Wealth_debt_and_taxation_1932.pdf#page=1747</v>
      </c>
    </row>
    <row r="986" spans="1:10" x14ac:dyDescent="0.25">
      <c r="A986" s="27" t="s">
        <v>1508</v>
      </c>
      <c r="B986" s="27" t="str">
        <f t="shared" si="45"/>
        <v>Texas</v>
      </c>
      <c r="C986" s="27" t="str">
        <f t="shared" si="46"/>
        <v>Leon</v>
      </c>
      <c r="G986">
        <v>150</v>
      </c>
      <c r="H986">
        <v>1932</v>
      </c>
      <c r="I986">
        <v>1748</v>
      </c>
      <c r="J986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87" spans="1:10" x14ac:dyDescent="0.25">
      <c r="A987" s="27" t="s">
        <v>1509</v>
      </c>
      <c r="B987" s="27" t="str">
        <f t="shared" si="45"/>
        <v>Texas</v>
      </c>
      <c r="C987" s="27" t="str">
        <f t="shared" si="46"/>
        <v>Liberty</v>
      </c>
      <c r="D987">
        <v>3</v>
      </c>
      <c r="F987">
        <v>1</v>
      </c>
      <c r="G987">
        <v>222</v>
      </c>
      <c r="H987">
        <v>1932</v>
      </c>
      <c r="I987">
        <v>1748</v>
      </c>
      <c r="J987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88" spans="1:10" x14ac:dyDescent="0.25">
      <c r="A988" s="27" t="s">
        <v>1510</v>
      </c>
      <c r="B988" s="27" t="str">
        <f t="shared" si="45"/>
        <v>Texas</v>
      </c>
      <c r="C988" s="27" t="str">
        <f t="shared" si="46"/>
        <v>Limestone</v>
      </c>
      <c r="D988">
        <v>2</v>
      </c>
      <c r="G988">
        <v>394</v>
      </c>
      <c r="H988">
        <v>1932</v>
      </c>
      <c r="I988">
        <v>1748</v>
      </c>
      <c r="J988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89" spans="1:10" x14ac:dyDescent="0.25">
      <c r="A989" s="27" t="s">
        <v>1511</v>
      </c>
      <c r="B989" s="27" t="str">
        <f t="shared" si="45"/>
        <v>Texas</v>
      </c>
      <c r="C989" s="27" t="str">
        <f t="shared" si="46"/>
        <v>Lipscomb</v>
      </c>
      <c r="G989">
        <v>77</v>
      </c>
      <c r="H989">
        <v>1932</v>
      </c>
      <c r="I989">
        <v>1748</v>
      </c>
      <c r="J989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90" spans="1:10" x14ac:dyDescent="0.25">
      <c r="A990" s="27" t="s">
        <v>1512</v>
      </c>
      <c r="B990" s="27" t="str">
        <f t="shared" si="45"/>
        <v>Texas</v>
      </c>
      <c r="C990" s="27" t="str">
        <f t="shared" si="46"/>
        <v>Live Oak</v>
      </c>
      <c r="D990">
        <v>1</v>
      </c>
      <c r="G990">
        <v>91</v>
      </c>
      <c r="H990">
        <v>1932</v>
      </c>
      <c r="I990">
        <v>1748</v>
      </c>
      <c r="J990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91" spans="1:10" x14ac:dyDescent="0.25">
      <c r="A991" s="27" t="s">
        <v>1513</v>
      </c>
      <c r="B991" s="27" t="str">
        <f t="shared" si="45"/>
        <v>Texas</v>
      </c>
      <c r="C991" s="27" t="str">
        <f t="shared" si="46"/>
        <v>Llano</v>
      </c>
      <c r="D991">
        <v>1</v>
      </c>
      <c r="G991">
        <v>53</v>
      </c>
      <c r="H991">
        <v>1932</v>
      </c>
      <c r="I991">
        <v>1748</v>
      </c>
      <c r="J991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92" spans="1:10" x14ac:dyDescent="0.25">
      <c r="A992" s="27" t="s">
        <v>1514</v>
      </c>
      <c r="B992" s="27" t="str">
        <f t="shared" si="45"/>
        <v>Texas</v>
      </c>
      <c r="C992" s="27" t="str">
        <f t="shared" si="46"/>
        <v>Loving</v>
      </c>
      <c r="G992">
        <v>2</v>
      </c>
      <c r="H992">
        <v>1932</v>
      </c>
      <c r="I992">
        <v>1748</v>
      </c>
      <c r="J992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93" spans="1:10" x14ac:dyDescent="0.25">
      <c r="A993" s="27" t="s">
        <v>1515</v>
      </c>
      <c r="B993" s="27" t="str">
        <f t="shared" si="45"/>
        <v>Texas</v>
      </c>
      <c r="C993" s="27" t="str">
        <f t="shared" si="46"/>
        <v>Lubbock</v>
      </c>
      <c r="D993">
        <v>3</v>
      </c>
      <c r="G993">
        <v>480</v>
      </c>
      <c r="H993">
        <v>1932</v>
      </c>
      <c r="I993">
        <v>1748</v>
      </c>
      <c r="J993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94" spans="1:10" x14ac:dyDescent="0.25">
      <c r="A994" s="27" t="s">
        <v>1516</v>
      </c>
      <c r="B994" s="27" t="str">
        <f t="shared" si="45"/>
        <v>Texas</v>
      </c>
      <c r="C994" s="27" t="str">
        <f t="shared" si="46"/>
        <v>Lynn</v>
      </c>
      <c r="D994">
        <v>1</v>
      </c>
      <c r="G994">
        <v>142</v>
      </c>
      <c r="H994">
        <v>1932</v>
      </c>
      <c r="I994">
        <v>1748</v>
      </c>
      <c r="J994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95" spans="1:10" x14ac:dyDescent="0.25">
      <c r="A995" s="27" t="s">
        <v>1517</v>
      </c>
      <c r="B995" s="27" t="str">
        <f t="shared" si="45"/>
        <v>Texas</v>
      </c>
      <c r="C995" s="27" t="str">
        <f t="shared" si="46"/>
        <v>McCulloch</v>
      </c>
      <c r="D995">
        <v>2</v>
      </c>
      <c r="G995">
        <v>169</v>
      </c>
      <c r="H995">
        <v>1932</v>
      </c>
      <c r="I995">
        <v>1748</v>
      </c>
      <c r="J995" s="27" t="str">
        <f t="shared" si="47"/>
        <v>https://ia601606.us.archive.org/33/items/FinancialStatisticsOfStateAndLocalGovernmentsWealthDebtAndTaxation1932/Financial_statistics_of_state_and_local_governments_Wealth_debt_and_taxation_1932.pdf#page=1748</v>
      </c>
    </row>
    <row r="996" spans="1:10" x14ac:dyDescent="0.25">
      <c r="A996" s="27" t="s">
        <v>1518</v>
      </c>
      <c r="B996" s="27" t="str">
        <f t="shared" si="45"/>
        <v>Texas</v>
      </c>
      <c r="C996" s="27" t="str">
        <f t="shared" si="46"/>
        <v>McLennan</v>
      </c>
      <c r="D996">
        <v>3</v>
      </c>
      <c r="G996">
        <v>411</v>
      </c>
      <c r="H996">
        <v>1932</v>
      </c>
      <c r="I996">
        <v>1749</v>
      </c>
      <c r="J996" s="27" t="str">
        <f t="shared" si="47"/>
        <v>https://ia601606.us.archive.org/33/items/FinancialStatisticsOfStateAndLocalGovernmentsWealthDebtAndTaxation1932/Financial_statistics_of_state_and_local_governments_Wealth_debt_and_taxation_1932.pdf#page=1749</v>
      </c>
    </row>
    <row r="997" spans="1:10" x14ac:dyDescent="0.25">
      <c r="A997" s="27" t="s">
        <v>1519</v>
      </c>
      <c r="B997" s="27" t="str">
        <f t="shared" si="45"/>
        <v>Texas</v>
      </c>
      <c r="C997" s="27" t="str">
        <f t="shared" si="46"/>
        <v>McMullen</v>
      </c>
      <c r="F997">
        <v>5</v>
      </c>
      <c r="G997">
        <v>7</v>
      </c>
      <c r="H997">
        <v>1932</v>
      </c>
      <c r="I997">
        <v>1749</v>
      </c>
      <c r="J997" s="27" t="str">
        <f t="shared" si="47"/>
        <v>https://ia601606.us.archive.org/33/items/FinancialStatisticsOfStateAndLocalGovernmentsWealthDebtAndTaxation1932/Financial_statistics_of_state_and_local_governments_Wealth_debt_and_taxation_1932.pdf#page=1749</v>
      </c>
    </row>
    <row r="998" spans="1:10" x14ac:dyDescent="0.25">
      <c r="A998" s="27" t="s">
        <v>1520</v>
      </c>
      <c r="B998" s="27" t="str">
        <f t="shared" si="45"/>
        <v>Texas</v>
      </c>
      <c r="C998" s="27" t="str">
        <f t="shared" si="46"/>
        <v>Madison</v>
      </c>
      <c r="F998">
        <v>4</v>
      </c>
      <c r="G998">
        <v>94</v>
      </c>
      <c r="H998">
        <v>1932</v>
      </c>
      <c r="I998">
        <v>1749</v>
      </c>
      <c r="J998" s="27" t="str">
        <f t="shared" si="47"/>
        <v>https://ia601606.us.archive.org/33/items/FinancialStatisticsOfStateAndLocalGovernmentsWealthDebtAndTaxation1932/Financial_statistics_of_state_and_local_governments_Wealth_debt_and_taxation_1932.pdf#page=1749</v>
      </c>
    </row>
    <row r="999" spans="1:10" x14ac:dyDescent="0.25">
      <c r="A999" s="27" t="s">
        <v>1521</v>
      </c>
      <c r="B999" s="27" t="str">
        <f t="shared" si="45"/>
        <v>Texas</v>
      </c>
      <c r="C999" s="27" t="str">
        <f t="shared" si="46"/>
        <v>Marion</v>
      </c>
      <c r="D999">
        <v>2</v>
      </c>
      <c r="G999">
        <v>68</v>
      </c>
      <c r="H999">
        <v>1932</v>
      </c>
      <c r="I999">
        <v>1749</v>
      </c>
      <c r="J999" s="27" t="str">
        <f t="shared" si="47"/>
        <v>https://ia601606.us.archive.org/33/items/FinancialStatisticsOfStateAndLocalGovernmentsWealthDebtAndTaxation1932/Financial_statistics_of_state_and_local_governments_Wealth_debt_and_taxation_1932.pdf#page=1749</v>
      </c>
    </row>
    <row r="1000" spans="1:10" x14ac:dyDescent="0.25">
      <c r="A1000" s="27" t="s">
        <v>1522</v>
      </c>
      <c r="B1000" s="27" t="str">
        <f t="shared" si="45"/>
        <v>Texas</v>
      </c>
      <c r="C1000" s="27" t="str">
        <f t="shared" si="46"/>
        <v>Martin</v>
      </c>
      <c r="G1000">
        <v>68</v>
      </c>
      <c r="H1000">
        <v>1932</v>
      </c>
      <c r="I1000">
        <v>1749</v>
      </c>
      <c r="J1000" s="27" t="str">
        <f t="shared" si="47"/>
        <v>https://ia601606.us.archive.org/33/items/FinancialStatisticsOfStateAndLocalGovernmentsWealthDebtAndTaxation1932/Financial_statistics_of_state_and_local_governments_Wealth_debt_and_taxation_1932.pdf#page=1749</v>
      </c>
    </row>
    <row r="1001" spans="1:10" x14ac:dyDescent="0.25">
      <c r="A1001" s="27" t="s">
        <v>1523</v>
      </c>
      <c r="B1001" s="27" t="str">
        <f t="shared" si="45"/>
        <v>Texas</v>
      </c>
      <c r="C1001" s="27" t="str">
        <f t="shared" si="46"/>
        <v>Mason</v>
      </c>
      <c r="G1001">
        <v>57</v>
      </c>
      <c r="H1001">
        <v>1932</v>
      </c>
      <c r="I1001">
        <v>1749</v>
      </c>
      <c r="J1001" s="27" t="str">
        <f t="shared" si="47"/>
        <v>https://ia601606.us.archive.org/33/items/FinancialStatisticsOfStateAndLocalGovernmentsWealthDebtAndTaxation1932/Financial_statistics_of_state_and_local_governments_Wealth_debt_and_taxation_1932.pdf#page=1749</v>
      </c>
    </row>
    <row r="1002" spans="1:10" x14ac:dyDescent="0.25">
      <c r="A1002" s="27" t="s">
        <v>1524</v>
      </c>
      <c r="B1002" s="27" t="str">
        <f t="shared" si="45"/>
        <v>Texas</v>
      </c>
      <c r="C1002" s="27" t="str">
        <f t="shared" si="46"/>
        <v>Matagorda</v>
      </c>
      <c r="D1002">
        <v>4</v>
      </c>
      <c r="G1002">
        <v>218</v>
      </c>
      <c r="H1002">
        <v>1932</v>
      </c>
      <c r="I1002">
        <v>1750</v>
      </c>
      <c r="J1002" s="27" t="str">
        <f t="shared" si="47"/>
        <v>https://ia601606.us.archive.org/33/items/FinancialStatisticsOfStateAndLocalGovernmentsWealthDebtAndTaxation1932/Financial_statistics_of_state_and_local_governments_Wealth_debt_and_taxation_1932.pdf#page=1750</v>
      </c>
    </row>
    <row r="1003" spans="1:10" x14ac:dyDescent="0.25">
      <c r="A1003" s="27" t="s">
        <v>1525</v>
      </c>
      <c r="B1003" s="27" t="str">
        <f t="shared" si="45"/>
        <v>Texas</v>
      </c>
      <c r="C1003" s="27" t="str">
        <f t="shared" si="46"/>
        <v>Maverick</v>
      </c>
      <c r="D1003">
        <v>3</v>
      </c>
      <c r="G1003">
        <v>62</v>
      </c>
      <c r="H1003">
        <v>1932</v>
      </c>
      <c r="I1003">
        <v>1750</v>
      </c>
      <c r="J1003" s="27" t="str">
        <f t="shared" si="47"/>
        <v>https://ia601606.us.archive.org/33/items/FinancialStatisticsOfStateAndLocalGovernmentsWealthDebtAndTaxation1932/Financial_statistics_of_state_and_local_governments_Wealth_debt_and_taxation_1932.pdf#page=1750</v>
      </c>
    </row>
    <row r="1004" spans="1:10" x14ac:dyDescent="0.25">
      <c r="A1004" s="27" t="s">
        <v>1526</v>
      </c>
      <c r="B1004" s="27" t="str">
        <f t="shared" si="45"/>
        <v>Texas</v>
      </c>
      <c r="C1004" s="27" t="str">
        <f t="shared" si="46"/>
        <v>Medina</v>
      </c>
      <c r="D1004">
        <v>2</v>
      </c>
      <c r="G1004">
        <v>122</v>
      </c>
      <c r="H1004">
        <v>1932</v>
      </c>
      <c r="I1004">
        <v>1750</v>
      </c>
      <c r="J1004" s="27" t="str">
        <f t="shared" si="47"/>
        <v>https://ia601606.us.archive.org/33/items/FinancialStatisticsOfStateAndLocalGovernmentsWealthDebtAndTaxation1932/Financial_statistics_of_state_and_local_governments_Wealth_debt_and_taxation_1932.pdf#page=1750</v>
      </c>
    </row>
    <row r="1005" spans="1:10" x14ac:dyDescent="0.25">
      <c r="A1005" s="27" t="s">
        <v>1527</v>
      </c>
      <c r="B1005" s="27" t="str">
        <f t="shared" si="45"/>
        <v>Texas</v>
      </c>
      <c r="C1005" s="27" t="str">
        <f t="shared" si="46"/>
        <v>Menard</v>
      </c>
      <c r="D1005">
        <v>1</v>
      </c>
      <c r="F1005">
        <v>1</v>
      </c>
      <c r="G1005">
        <v>39</v>
      </c>
      <c r="H1005">
        <v>1932</v>
      </c>
      <c r="I1005">
        <v>1750</v>
      </c>
      <c r="J1005" s="27" t="str">
        <f t="shared" si="47"/>
        <v>https://ia601606.us.archive.org/33/items/FinancialStatisticsOfStateAndLocalGovernmentsWealthDebtAndTaxation1932/Financial_statistics_of_state_and_local_governments_Wealth_debt_and_taxation_1932.pdf#page=1750</v>
      </c>
    </row>
    <row r="1006" spans="1:10" x14ac:dyDescent="0.25">
      <c r="A1006" s="27" t="s">
        <v>1528</v>
      </c>
      <c r="B1006" s="27" t="str">
        <f t="shared" si="45"/>
        <v>Texas</v>
      </c>
      <c r="C1006" s="27" t="str">
        <f t="shared" si="46"/>
        <v>Midland</v>
      </c>
      <c r="G1006">
        <v>106</v>
      </c>
      <c r="H1006">
        <v>1932</v>
      </c>
      <c r="I1006">
        <v>1750</v>
      </c>
      <c r="J1006" s="27" t="str">
        <f t="shared" si="47"/>
        <v>https://ia601606.us.archive.org/33/items/FinancialStatisticsOfStateAndLocalGovernmentsWealthDebtAndTaxation1932/Financial_statistics_of_state_and_local_governments_Wealth_debt_and_taxation_1932.pdf#page=1750</v>
      </c>
    </row>
    <row r="1007" spans="1:10" x14ac:dyDescent="0.25">
      <c r="A1007" s="27" t="s">
        <v>1529</v>
      </c>
      <c r="B1007" s="27" t="str">
        <f t="shared" si="45"/>
        <v>Texas</v>
      </c>
      <c r="C1007" s="27" t="str">
        <f t="shared" si="46"/>
        <v>Milam</v>
      </c>
      <c r="D1007">
        <v>3</v>
      </c>
      <c r="G1007">
        <v>1</v>
      </c>
      <c r="H1007">
        <v>1932</v>
      </c>
      <c r="I1007">
        <v>1750</v>
      </c>
      <c r="J1007" s="27" t="str">
        <f t="shared" si="47"/>
        <v>https://ia601606.us.archive.org/33/items/FinancialStatisticsOfStateAndLocalGovernmentsWealthDebtAndTaxation1932/Financial_statistics_of_state_and_local_governments_Wealth_debt_and_taxation_1932.pdf#page=1750</v>
      </c>
    </row>
    <row r="1008" spans="1:10" x14ac:dyDescent="0.25">
      <c r="A1008" s="27" t="s">
        <v>1530</v>
      </c>
      <c r="B1008" s="27" t="str">
        <f t="shared" si="45"/>
        <v>Texas</v>
      </c>
      <c r="C1008" s="27" t="str">
        <f t="shared" si="46"/>
        <v>Mills</v>
      </c>
      <c r="G1008">
        <v>80</v>
      </c>
      <c r="H1008">
        <v>1932</v>
      </c>
      <c r="I1008">
        <v>1750</v>
      </c>
      <c r="J1008" s="27" t="str">
        <f t="shared" si="47"/>
        <v>https://ia601606.us.archive.org/33/items/FinancialStatisticsOfStateAndLocalGovernmentsWealthDebtAndTaxation1932/Financial_statistics_of_state_and_local_governments_Wealth_debt_and_taxation_1932.pdf#page=1750</v>
      </c>
    </row>
    <row r="1009" spans="1:10" x14ac:dyDescent="0.25">
      <c r="A1009" s="27" t="s">
        <v>1531</v>
      </c>
      <c r="B1009" s="27" t="str">
        <f t="shared" si="45"/>
        <v>Texas</v>
      </c>
      <c r="C1009" s="27" t="str">
        <f t="shared" si="46"/>
        <v>Mitchell</v>
      </c>
      <c r="G1009">
        <v>161</v>
      </c>
      <c r="H1009">
        <v>1932</v>
      </c>
      <c r="I1009">
        <v>1750</v>
      </c>
      <c r="J1009" s="27" t="str">
        <f t="shared" si="47"/>
        <v>https://ia601606.us.archive.org/33/items/FinancialStatisticsOfStateAndLocalGovernmentsWealthDebtAndTaxation1932/Financial_statistics_of_state_and_local_governments_Wealth_debt_and_taxation_1932.pdf#page=1750</v>
      </c>
    </row>
    <row r="1010" spans="1:10" x14ac:dyDescent="0.25">
      <c r="A1010" s="27" t="s">
        <v>1532</v>
      </c>
      <c r="B1010" s="27" t="str">
        <f t="shared" si="45"/>
        <v>Texas</v>
      </c>
      <c r="C1010" s="27" t="str">
        <f t="shared" si="46"/>
        <v>Montague</v>
      </c>
      <c r="D1010">
        <v>1</v>
      </c>
      <c r="F1010">
        <v>3</v>
      </c>
      <c r="G1010">
        <v>231</v>
      </c>
      <c r="H1010">
        <v>1932</v>
      </c>
      <c r="I1010">
        <v>1750</v>
      </c>
      <c r="J1010" s="27" t="str">
        <f t="shared" si="47"/>
        <v>https://ia601606.us.archive.org/33/items/FinancialStatisticsOfStateAndLocalGovernmentsWealthDebtAndTaxation1932/Financial_statistics_of_state_and_local_governments_Wealth_debt_and_taxation_1932.pdf#page=1750</v>
      </c>
    </row>
    <row r="1011" spans="1:10" x14ac:dyDescent="0.25">
      <c r="A1011" s="27" t="s">
        <v>1533</v>
      </c>
      <c r="B1011" s="27" t="str">
        <f t="shared" si="45"/>
        <v>Texas</v>
      </c>
      <c r="C1011" s="27" t="str">
        <f t="shared" si="46"/>
        <v>Montgomery</v>
      </c>
      <c r="G1011">
        <v>134</v>
      </c>
      <c r="H1011">
        <v>1932</v>
      </c>
      <c r="I1011">
        <v>1751</v>
      </c>
      <c r="J1011" s="27" t="str">
        <f t="shared" si="47"/>
        <v>https://ia601606.us.archive.org/33/items/FinancialStatisticsOfStateAndLocalGovernmentsWealthDebtAndTaxation1932/Financial_statistics_of_state_and_local_governments_Wealth_debt_and_taxation_1932.pdf#page=1751</v>
      </c>
    </row>
    <row r="1012" spans="1:10" x14ac:dyDescent="0.25">
      <c r="A1012" s="27" t="s">
        <v>1534</v>
      </c>
      <c r="B1012" s="27" t="str">
        <f t="shared" si="45"/>
        <v>Texas</v>
      </c>
      <c r="C1012" s="27" t="str">
        <f t="shared" si="46"/>
        <v>Moore</v>
      </c>
      <c r="G1012">
        <v>40</v>
      </c>
      <c r="H1012">
        <v>1932</v>
      </c>
      <c r="I1012">
        <v>1751</v>
      </c>
      <c r="J1012" s="27" t="str">
        <f t="shared" si="47"/>
        <v>https://ia601606.us.archive.org/33/items/FinancialStatisticsOfStateAndLocalGovernmentsWealthDebtAndTaxation1932/Financial_statistics_of_state_and_local_governments_Wealth_debt_and_taxation_1932.pdf#page=1751</v>
      </c>
    </row>
    <row r="1013" spans="1:10" x14ac:dyDescent="0.25">
      <c r="A1013" s="27" t="s">
        <v>1535</v>
      </c>
      <c r="B1013" s="27" t="str">
        <f t="shared" si="45"/>
        <v>Texas</v>
      </c>
      <c r="C1013" s="27" t="str">
        <f t="shared" si="46"/>
        <v>Morris</v>
      </c>
      <c r="D1013">
        <v>1</v>
      </c>
      <c r="G1013">
        <v>78</v>
      </c>
      <c r="H1013">
        <v>1932</v>
      </c>
      <c r="I1013">
        <v>1751</v>
      </c>
      <c r="J1013" s="27" t="str">
        <f t="shared" si="47"/>
        <v>https://ia601606.us.archive.org/33/items/FinancialStatisticsOfStateAndLocalGovernmentsWealthDebtAndTaxation1932/Financial_statistics_of_state_and_local_governments_Wealth_debt_and_taxation_1932.pdf#page=1751</v>
      </c>
    </row>
    <row r="1014" spans="1:10" x14ac:dyDescent="0.25">
      <c r="A1014" s="27" t="s">
        <v>1536</v>
      </c>
      <c r="B1014" s="27" t="str">
        <f t="shared" si="45"/>
        <v>Texas</v>
      </c>
      <c r="C1014" s="27" t="str">
        <f t="shared" si="46"/>
        <v>Motley</v>
      </c>
      <c r="G1014">
        <v>66</v>
      </c>
      <c r="H1014">
        <v>1932</v>
      </c>
      <c r="I1014">
        <v>1751</v>
      </c>
      <c r="J1014" s="27" t="str">
        <f t="shared" si="47"/>
        <v>https://ia601606.us.archive.org/33/items/FinancialStatisticsOfStateAndLocalGovernmentsWealthDebtAndTaxation1932/Financial_statistics_of_state_and_local_governments_Wealth_debt_and_taxation_1932.pdf#page=1751</v>
      </c>
    </row>
    <row r="1015" spans="1:10" x14ac:dyDescent="0.25">
      <c r="A1015" s="27" t="s">
        <v>1537</v>
      </c>
      <c r="B1015" s="27" t="str">
        <f t="shared" si="45"/>
        <v>Texas</v>
      </c>
      <c r="C1015" s="27" t="str">
        <f t="shared" si="46"/>
        <v>Nacogdoches</v>
      </c>
      <c r="D1015">
        <v>2</v>
      </c>
      <c r="F1015">
        <v>1</v>
      </c>
      <c r="G1015">
        <v>262</v>
      </c>
      <c r="H1015">
        <v>1932</v>
      </c>
      <c r="I1015">
        <v>1751</v>
      </c>
      <c r="J1015" s="27" t="str">
        <f t="shared" si="47"/>
        <v>https://ia601606.us.archive.org/33/items/FinancialStatisticsOfStateAndLocalGovernmentsWealthDebtAndTaxation1932/Financial_statistics_of_state_and_local_governments_Wealth_debt_and_taxation_1932.pdf#page=1751</v>
      </c>
    </row>
    <row r="1016" spans="1:10" x14ac:dyDescent="0.25">
      <c r="A1016" s="27" t="s">
        <v>1538</v>
      </c>
      <c r="B1016" s="27" t="str">
        <f t="shared" si="45"/>
        <v>Texas</v>
      </c>
      <c r="C1016" s="27" t="str">
        <f t="shared" si="46"/>
        <v>Navarro</v>
      </c>
      <c r="D1016">
        <v>3</v>
      </c>
      <c r="G1016">
        <v>538</v>
      </c>
      <c r="H1016">
        <v>1932</v>
      </c>
      <c r="I1016">
        <v>1751</v>
      </c>
      <c r="J1016" s="27" t="str">
        <f t="shared" si="47"/>
        <v>https://ia601606.us.archive.org/33/items/FinancialStatisticsOfStateAndLocalGovernmentsWealthDebtAndTaxation1932/Financial_statistics_of_state_and_local_governments_Wealth_debt_and_taxation_1932.pdf#page=1751</v>
      </c>
    </row>
    <row r="1017" spans="1:10" x14ac:dyDescent="0.25">
      <c r="A1017" s="27" t="s">
        <v>1539</v>
      </c>
      <c r="B1017" s="27" t="str">
        <f t="shared" si="45"/>
        <v>Texas</v>
      </c>
      <c r="C1017" s="27" t="str">
        <f t="shared" si="46"/>
        <v>Newton</v>
      </c>
      <c r="D1017">
        <v>1</v>
      </c>
      <c r="G1017">
        <v>115</v>
      </c>
      <c r="H1017">
        <v>1932</v>
      </c>
      <c r="I1017">
        <v>1752</v>
      </c>
      <c r="J1017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18" spans="1:10" x14ac:dyDescent="0.25">
      <c r="A1018" s="27" t="s">
        <v>1540</v>
      </c>
      <c r="B1018" s="27" t="str">
        <f t="shared" si="45"/>
        <v>Texas</v>
      </c>
      <c r="C1018" s="27" t="str">
        <f t="shared" si="46"/>
        <v>Nolan</v>
      </c>
      <c r="D1018">
        <v>5</v>
      </c>
      <c r="G1018">
        <v>228</v>
      </c>
      <c r="H1018">
        <v>1932</v>
      </c>
      <c r="I1018">
        <v>1752</v>
      </c>
      <c r="J1018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19" spans="1:10" x14ac:dyDescent="0.25">
      <c r="A1019" s="27" t="s">
        <v>1541</v>
      </c>
      <c r="B1019" s="27" t="str">
        <f t="shared" si="45"/>
        <v>Texas</v>
      </c>
      <c r="C1019" s="27" t="str">
        <f t="shared" si="46"/>
        <v>Nueces</v>
      </c>
      <c r="D1019">
        <v>2</v>
      </c>
      <c r="G1019">
        <v>472</v>
      </c>
      <c r="H1019">
        <v>1932</v>
      </c>
      <c r="I1019">
        <v>1752</v>
      </c>
      <c r="J1019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20" spans="1:10" x14ac:dyDescent="0.25">
      <c r="A1020" s="27" t="s">
        <v>1542</v>
      </c>
      <c r="B1020" s="27" t="str">
        <f t="shared" si="45"/>
        <v>Texas</v>
      </c>
      <c r="C1020" s="27" t="str">
        <f t="shared" si="46"/>
        <v>Ochiltree</v>
      </c>
      <c r="G1020">
        <v>102</v>
      </c>
      <c r="H1020">
        <v>1932</v>
      </c>
      <c r="I1020">
        <v>1752</v>
      </c>
      <c r="J1020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21" spans="1:10" x14ac:dyDescent="0.25">
      <c r="A1021" s="27" t="s">
        <v>1543</v>
      </c>
      <c r="B1021" s="27" t="str">
        <f t="shared" si="45"/>
        <v>Texas</v>
      </c>
      <c r="C1021" s="27" t="str">
        <f t="shared" si="46"/>
        <v>Oldham</v>
      </c>
      <c r="G1021">
        <v>49</v>
      </c>
      <c r="H1021">
        <v>1932</v>
      </c>
      <c r="I1021">
        <v>1752</v>
      </c>
      <c r="J1021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22" spans="1:10" x14ac:dyDescent="0.25">
      <c r="A1022" s="27" t="s">
        <v>1544</v>
      </c>
      <c r="B1022" s="27" t="str">
        <f t="shared" si="45"/>
        <v>Texas</v>
      </c>
      <c r="C1022" s="27" t="str">
        <f t="shared" si="46"/>
        <v>Orange</v>
      </c>
      <c r="D1022">
        <v>1</v>
      </c>
      <c r="G1022">
        <v>171</v>
      </c>
      <c r="H1022">
        <v>1932</v>
      </c>
      <c r="I1022">
        <v>1752</v>
      </c>
      <c r="J1022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23" spans="1:10" x14ac:dyDescent="0.25">
      <c r="A1023" s="27" t="s">
        <v>1545</v>
      </c>
      <c r="B1023" s="27" t="str">
        <f t="shared" si="45"/>
        <v>Texas</v>
      </c>
      <c r="C1023" s="27" t="str">
        <f t="shared" si="46"/>
        <v>Palo Pinto</v>
      </c>
      <c r="D1023">
        <v>1</v>
      </c>
      <c r="G1023">
        <v>212</v>
      </c>
      <c r="H1023">
        <v>1932</v>
      </c>
      <c r="I1023">
        <v>1752</v>
      </c>
      <c r="J1023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24" spans="1:10" x14ac:dyDescent="0.25">
      <c r="A1024" s="27" t="s">
        <v>1546</v>
      </c>
      <c r="B1024" s="27" t="str">
        <f t="shared" si="45"/>
        <v>Texas</v>
      </c>
      <c r="C1024" s="27" t="str">
        <f t="shared" si="46"/>
        <v>Panola</v>
      </c>
      <c r="F1024">
        <v>1</v>
      </c>
      <c r="G1024">
        <v>163</v>
      </c>
      <c r="H1024">
        <v>1932</v>
      </c>
      <c r="I1024">
        <v>1752</v>
      </c>
      <c r="J1024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25" spans="1:10" x14ac:dyDescent="0.25">
      <c r="A1025" s="27" t="s">
        <v>1547</v>
      </c>
      <c r="B1025" s="27" t="str">
        <f t="shared" si="45"/>
        <v>Texas</v>
      </c>
      <c r="C1025" s="27" t="str">
        <f t="shared" si="46"/>
        <v>Parker</v>
      </c>
      <c r="D1025">
        <v>1</v>
      </c>
      <c r="G1025">
        <v>200</v>
      </c>
      <c r="H1025">
        <v>1932</v>
      </c>
      <c r="I1025">
        <v>1752</v>
      </c>
      <c r="J1025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26" spans="1:10" x14ac:dyDescent="0.25">
      <c r="A1026" s="27" t="s">
        <v>1548</v>
      </c>
      <c r="B1026" s="27" t="str">
        <f t="shared" si="45"/>
        <v>Texas</v>
      </c>
      <c r="C1026" s="27" t="str">
        <f t="shared" si="46"/>
        <v>Parmer</v>
      </c>
      <c r="D1026">
        <v>1</v>
      </c>
      <c r="G1026">
        <v>127</v>
      </c>
      <c r="H1026">
        <v>1932</v>
      </c>
      <c r="I1026">
        <v>1752</v>
      </c>
      <c r="J1026" s="27" t="str">
        <f t="shared" si="47"/>
        <v>https://ia601606.us.archive.org/33/items/FinancialStatisticsOfStateAndLocalGovernmentsWealthDebtAndTaxation1932/Financial_statistics_of_state_and_local_governments_Wealth_debt_and_taxation_1932.pdf#page=1752</v>
      </c>
    </row>
    <row r="1027" spans="1:10" x14ac:dyDescent="0.25">
      <c r="A1027" s="27" t="s">
        <v>1549</v>
      </c>
      <c r="B1027" s="27" t="str">
        <f t="shared" ref="B1027:B1090" si="48">LEFT(A1027,FIND(";",A1027)-1)</f>
        <v>Texas</v>
      </c>
      <c r="C1027" s="27" t="str">
        <f t="shared" ref="C1027:C1090" si="49">MID(A1027,FIND(";",A1027)+1,100)</f>
        <v>Pecos</v>
      </c>
      <c r="D1027">
        <v>4</v>
      </c>
      <c r="F1027">
        <v>1</v>
      </c>
      <c r="G1027">
        <v>174</v>
      </c>
      <c r="H1027">
        <v>1932</v>
      </c>
      <c r="I1027">
        <v>1753</v>
      </c>
      <c r="J1027" s="27" t="str">
        <f t="shared" ref="J1027:J1090" si="50">"https://ia601606.us.archive.org/33/items/FinancialStatisticsOfStateAndLocalGovernmentsWealthDebtAndTaxation1932/Financial_statistics_of_state_and_local_governments_Wealth_debt_and_taxation_1932.pdf"&amp;"#page="&amp;I1027</f>
        <v>https://ia601606.us.archive.org/33/items/FinancialStatisticsOfStateAndLocalGovernmentsWealthDebtAndTaxation1932/Financial_statistics_of_state_and_local_governments_Wealth_debt_and_taxation_1932.pdf#page=1753</v>
      </c>
    </row>
    <row r="1028" spans="1:10" x14ac:dyDescent="0.25">
      <c r="A1028" s="27" t="s">
        <v>1550</v>
      </c>
      <c r="B1028" s="27" t="str">
        <f t="shared" si="48"/>
        <v>Texas</v>
      </c>
      <c r="C1028" s="27" t="str">
        <f t="shared" si="49"/>
        <v>Polk</v>
      </c>
      <c r="G1028">
        <v>164</v>
      </c>
      <c r="H1028">
        <v>1932</v>
      </c>
      <c r="I1028">
        <v>1753</v>
      </c>
      <c r="J1028" s="27" t="str">
        <f t="shared" si="50"/>
        <v>https://ia601606.us.archive.org/33/items/FinancialStatisticsOfStateAndLocalGovernmentsWealthDebtAndTaxation1932/Financial_statistics_of_state_and_local_governments_Wealth_debt_and_taxation_1932.pdf#page=1753</v>
      </c>
    </row>
    <row r="1029" spans="1:10" x14ac:dyDescent="0.25">
      <c r="A1029" s="27" t="s">
        <v>1551</v>
      </c>
      <c r="B1029" s="27" t="str">
        <f t="shared" si="48"/>
        <v>Texas</v>
      </c>
      <c r="C1029" s="27" t="str">
        <f t="shared" si="49"/>
        <v>Potter</v>
      </c>
      <c r="D1029">
        <v>18</v>
      </c>
      <c r="G1029">
        <v>663</v>
      </c>
      <c r="H1029">
        <v>1932</v>
      </c>
      <c r="I1029">
        <v>1753</v>
      </c>
      <c r="J1029" s="27" t="str">
        <f t="shared" si="50"/>
        <v>https://ia601606.us.archive.org/33/items/FinancialStatisticsOfStateAndLocalGovernmentsWealthDebtAndTaxation1932/Financial_statistics_of_state_and_local_governments_Wealth_debt_and_taxation_1932.pdf#page=1753</v>
      </c>
    </row>
    <row r="1030" spans="1:10" x14ac:dyDescent="0.25">
      <c r="A1030" s="27" t="s">
        <v>1552</v>
      </c>
      <c r="B1030" s="27" t="str">
        <f t="shared" si="48"/>
        <v>Texas</v>
      </c>
      <c r="C1030" s="27" t="str">
        <f t="shared" si="49"/>
        <v>Presidio</v>
      </c>
      <c r="D1030">
        <v>1</v>
      </c>
      <c r="G1030">
        <v>73</v>
      </c>
      <c r="H1030">
        <v>1932</v>
      </c>
      <c r="I1030">
        <v>1753</v>
      </c>
      <c r="J1030" s="27" t="str">
        <f t="shared" si="50"/>
        <v>https://ia601606.us.archive.org/33/items/FinancialStatisticsOfStateAndLocalGovernmentsWealthDebtAndTaxation1932/Financial_statistics_of_state_and_local_governments_Wealth_debt_and_taxation_1932.pdf#page=1753</v>
      </c>
    </row>
    <row r="1031" spans="1:10" x14ac:dyDescent="0.25">
      <c r="A1031" s="27" t="s">
        <v>1553</v>
      </c>
      <c r="B1031" s="27" t="str">
        <f t="shared" si="48"/>
        <v>Texas</v>
      </c>
      <c r="C1031" s="27" t="str">
        <f t="shared" si="49"/>
        <v>Rains</v>
      </c>
      <c r="F1031">
        <v>1</v>
      </c>
      <c r="G1031">
        <v>63</v>
      </c>
      <c r="H1031">
        <v>1932</v>
      </c>
      <c r="I1031">
        <v>1753</v>
      </c>
      <c r="J1031" s="27" t="str">
        <f t="shared" si="50"/>
        <v>https://ia601606.us.archive.org/33/items/FinancialStatisticsOfStateAndLocalGovernmentsWealthDebtAndTaxation1932/Financial_statistics_of_state_and_local_governments_Wealth_debt_and_taxation_1932.pdf#page=1753</v>
      </c>
    </row>
    <row r="1032" spans="1:10" x14ac:dyDescent="0.25">
      <c r="A1032" s="27" t="s">
        <v>1554</v>
      </c>
      <c r="B1032" s="27" t="str">
        <f t="shared" si="48"/>
        <v>Texas</v>
      </c>
      <c r="C1032" s="27" t="str">
        <f t="shared" si="49"/>
        <v>Randall</v>
      </c>
      <c r="D1032">
        <v>1</v>
      </c>
      <c r="G1032">
        <v>82</v>
      </c>
      <c r="H1032">
        <v>1932</v>
      </c>
      <c r="I1032">
        <v>1753</v>
      </c>
      <c r="J1032" s="27" t="str">
        <f t="shared" si="50"/>
        <v>https://ia601606.us.archive.org/33/items/FinancialStatisticsOfStateAndLocalGovernmentsWealthDebtAndTaxation1932/Financial_statistics_of_state_and_local_governments_Wealth_debt_and_taxation_1932.pdf#page=1753</v>
      </c>
    </row>
    <row r="1033" spans="1:10" x14ac:dyDescent="0.25">
      <c r="A1033" s="27" t="s">
        <v>1555</v>
      </c>
      <c r="B1033" s="27" t="str">
        <f t="shared" si="48"/>
        <v>Texas</v>
      </c>
      <c r="C1033" s="27" t="str">
        <f t="shared" si="49"/>
        <v>Reagan</v>
      </c>
      <c r="D1033">
        <v>1</v>
      </c>
      <c r="G1033">
        <v>89</v>
      </c>
      <c r="H1033">
        <v>1932</v>
      </c>
      <c r="I1033">
        <v>1754</v>
      </c>
      <c r="J1033" s="27" t="str">
        <f t="shared" si="50"/>
        <v>https://ia601606.us.archive.org/33/items/FinancialStatisticsOfStateAndLocalGovernmentsWealthDebtAndTaxation1932/Financial_statistics_of_state_and_local_governments_Wealth_debt_and_taxation_1932.pdf#page=1754</v>
      </c>
    </row>
    <row r="1034" spans="1:10" x14ac:dyDescent="0.25">
      <c r="A1034" s="27" t="s">
        <v>1556</v>
      </c>
      <c r="B1034" s="27" t="str">
        <f t="shared" si="48"/>
        <v>Texas</v>
      </c>
      <c r="C1034" s="27" t="str">
        <f t="shared" si="49"/>
        <v>Real</v>
      </c>
      <c r="D1034">
        <v>1</v>
      </c>
      <c r="G1034">
        <v>21</v>
      </c>
      <c r="H1034">
        <v>1932</v>
      </c>
      <c r="I1034">
        <v>1754</v>
      </c>
      <c r="J1034" s="27" t="str">
        <f t="shared" si="50"/>
        <v>https://ia601606.us.archive.org/33/items/FinancialStatisticsOfStateAndLocalGovernmentsWealthDebtAndTaxation1932/Financial_statistics_of_state_and_local_governments_Wealth_debt_and_taxation_1932.pdf#page=1754</v>
      </c>
    </row>
    <row r="1035" spans="1:10" x14ac:dyDescent="0.25">
      <c r="A1035" s="27" t="s">
        <v>1557</v>
      </c>
      <c r="B1035" s="27" t="str">
        <f t="shared" si="48"/>
        <v>Texas</v>
      </c>
      <c r="C1035" s="27" t="str">
        <f t="shared" si="49"/>
        <v>Red River</v>
      </c>
      <c r="D1035">
        <v>4</v>
      </c>
      <c r="G1035">
        <v>223</v>
      </c>
      <c r="H1035">
        <v>1932</v>
      </c>
      <c r="I1035">
        <v>1754</v>
      </c>
      <c r="J1035" s="27" t="str">
        <f t="shared" si="50"/>
        <v>https://ia601606.us.archive.org/33/items/FinancialStatisticsOfStateAndLocalGovernmentsWealthDebtAndTaxation1932/Financial_statistics_of_state_and_local_governments_Wealth_debt_and_taxation_1932.pdf#page=1754</v>
      </c>
    </row>
    <row r="1036" spans="1:10" x14ac:dyDescent="0.25">
      <c r="A1036" s="27" t="s">
        <v>1558</v>
      </c>
      <c r="B1036" s="27" t="str">
        <f t="shared" si="48"/>
        <v>Texas</v>
      </c>
      <c r="C1036" s="27" t="str">
        <f t="shared" si="49"/>
        <v>Reeves</v>
      </c>
      <c r="G1036">
        <v>73</v>
      </c>
      <c r="H1036">
        <v>1932</v>
      </c>
      <c r="I1036">
        <v>1754</v>
      </c>
      <c r="J1036" s="27" t="str">
        <f t="shared" si="50"/>
        <v>https://ia601606.us.archive.org/33/items/FinancialStatisticsOfStateAndLocalGovernmentsWealthDebtAndTaxation1932/Financial_statistics_of_state_and_local_governments_Wealth_debt_and_taxation_1932.pdf#page=1754</v>
      </c>
    </row>
    <row r="1037" spans="1:10" x14ac:dyDescent="0.25">
      <c r="A1037" s="27" t="s">
        <v>1559</v>
      </c>
      <c r="B1037" s="27" t="str">
        <f t="shared" si="48"/>
        <v>Texas</v>
      </c>
      <c r="C1037" s="27" t="str">
        <f t="shared" si="49"/>
        <v>Refugio</v>
      </c>
      <c r="D1037">
        <v>1</v>
      </c>
      <c r="G1037">
        <v>66</v>
      </c>
      <c r="H1037">
        <v>1932</v>
      </c>
      <c r="I1037">
        <v>1754</v>
      </c>
      <c r="J1037" s="27" t="str">
        <f t="shared" si="50"/>
        <v>https://ia601606.us.archive.org/33/items/FinancialStatisticsOfStateAndLocalGovernmentsWealthDebtAndTaxation1932/Financial_statistics_of_state_and_local_governments_Wealth_debt_and_taxation_1932.pdf#page=1754</v>
      </c>
    </row>
    <row r="1038" spans="1:10" x14ac:dyDescent="0.25">
      <c r="A1038" s="27" t="s">
        <v>1560</v>
      </c>
      <c r="B1038" s="27" t="str">
        <f t="shared" si="48"/>
        <v>Texas</v>
      </c>
      <c r="C1038" s="27" t="str">
        <f t="shared" si="49"/>
        <v>Roberts</v>
      </c>
      <c r="F1038">
        <v>1</v>
      </c>
      <c r="G1038">
        <v>35</v>
      </c>
      <c r="H1038">
        <v>1932</v>
      </c>
      <c r="I1038">
        <v>1754</v>
      </c>
      <c r="J1038" s="27" t="str">
        <f t="shared" si="50"/>
        <v>https://ia601606.us.archive.org/33/items/FinancialStatisticsOfStateAndLocalGovernmentsWealthDebtAndTaxation1932/Financial_statistics_of_state_and_local_governments_Wealth_debt_and_taxation_1932.pdf#page=1754</v>
      </c>
    </row>
    <row r="1039" spans="1:10" x14ac:dyDescent="0.25">
      <c r="A1039" s="27" t="s">
        <v>1561</v>
      </c>
      <c r="B1039" s="27" t="str">
        <f t="shared" si="48"/>
        <v>Texas</v>
      </c>
      <c r="C1039" s="27" t="str">
        <f t="shared" si="49"/>
        <v>Robertson</v>
      </c>
      <c r="G1039">
        <v>207</v>
      </c>
      <c r="H1039">
        <v>1932</v>
      </c>
      <c r="I1039">
        <v>1754</v>
      </c>
      <c r="J1039" s="27" t="str">
        <f t="shared" si="50"/>
        <v>https://ia601606.us.archive.org/33/items/FinancialStatisticsOfStateAndLocalGovernmentsWealthDebtAndTaxation1932/Financial_statistics_of_state_and_local_governments_Wealth_debt_and_taxation_1932.pdf#page=1754</v>
      </c>
    </row>
    <row r="1040" spans="1:10" x14ac:dyDescent="0.25">
      <c r="A1040" s="27" t="s">
        <v>1562</v>
      </c>
      <c r="B1040" s="27" t="str">
        <f t="shared" si="48"/>
        <v>Texas</v>
      </c>
      <c r="C1040" s="27" t="str">
        <f t="shared" si="49"/>
        <v>Rockwall</v>
      </c>
      <c r="D1040">
        <v>1</v>
      </c>
      <c r="F1040">
        <v>1</v>
      </c>
      <c r="G1040">
        <v>66</v>
      </c>
      <c r="H1040">
        <v>1932</v>
      </c>
      <c r="I1040">
        <v>1754</v>
      </c>
      <c r="J1040" s="27" t="str">
        <f t="shared" si="50"/>
        <v>https://ia601606.us.archive.org/33/items/FinancialStatisticsOfStateAndLocalGovernmentsWealthDebtAndTaxation1932/Financial_statistics_of_state_and_local_governments_Wealth_debt_and_taxation_1932.pdf#page=1754</v>
      </c>
    </row>
    <row r="1041" spans="1:10" x14ac:dyDescent="0.25">
      <c r="A1041" s="27" t="s">
        <v>1563</v>
      </c>
      <c r="B1041" s="27" t="str">
        <f t="shared" si="48"/>
        <v>Texas</v>
      </c>
      <c r="C1041" s="27" t="str">
        <f t="shared" si="49"/>
        <v>Runnels</v>
      </c>
      <c r="D1041">
        <v>2</v>
      </c>
      <c r="G1041">
        <v>237</v>
      </c>
      <c r="H1041">
        <v>1932</v>
      </c>
      <c r="I1041">
        <v>1754</v>
      </c>
      <c r="J1041" s="27" t="str">
        <f t="shared" si="50"/>
        <v>https://ia601606.us.archive.org/33/items/FinancialStatisticsOfStateAndLocalGovernmentsWealthDebtAndTaxation1932/Financial_statistics_of_state_and_local_governments_Wealth_debt_and_taxation_1932.pdf#page=1754</v>
      </c>
    </row>
    <row r="1042" spans="1:10" x14ac:dyDescent="0.25">
      <c r="A1042" s="27" t="s">
        <v>1564</v>
      </c>
      <c r="B1042" s="27" t="str">
        <f t="shared" si="48"/>
        <v>Texas</v>
      </c>
      <c r="C1042" s="27" t="str">
        <f t="shared" si="49"/>
        <v>Rusk</v>
      </c>
      <c r="D1042">
        <v>1</v>
      </c>
      <c r="G1042">
        <v>262</v>
      </c>
      <c r="H1042">
        <v>1932</v>
      </c>
      <c r="I1042">
        <v>1755</v>
      </c>
      <c r="J1042" s="27" t="str">
        <f t="shared" si="50"/>
        <v>https://ia601606.us.archive.org/33/items/FinancialStatisticsOfStateAndLocalGovernmentsWealthDebtAndTaxation1932/Financial_statistics_of_state_and_local_governments_Wealth_debt_and_taxation_1932.pdf#page=1755</v>
      </c>
    </row>
    <row r="1043" spans="1:10" x14ac:dyDescent="0.25">
      <c r="A1043" s="27" t="s">
        <v>1565</v>
      </c>
      <c r="B1043" s="27" t="str">
        <f t="shared" si="48"/>
        <v>Texas</v>
      </c>
      <c r="C1043" s="27" t="str">
        <f t="shared" si="49"/>
        <v>Sabine</v>
      </c>
      <c r="D1043">
        <v>1</v>
      </c>
      <c r="G1043">
        <v>106</v>
      </c>
      <c r="H1043">
        <v>1932</v>
      </c>
      <c r="I1043">
        <v>1755</v>
      </c>
      <c r="J1043" s="27" t="str">
        <f t="shared" si="50"/>
        <v>https://ia601606.us.archive.org/33/items/FinancialStatisticsOfStateAndLocalGovernmentsWealthDebtAndTaxation1932/Financial_statistics_of_state_and_local_governments_Wealth_debt_and_taxation_1932.pdf#page=1755</v>
      </c>
    </row>
    <row r="1044" spans="1:10" x14ac:dyDescent="0.25">
      <c r="A1044" s="27" t="s">
        <v>1566</v>
      </c>
      <c r="B1044" s="27" t="str">
        <f t="shared" si="48"/>
        <v>Texas</v>
      </c>
      <c r="C1044" s="27" t="str">
        <f t="shared" si="49"/>
        <v>San Augustine</v>
      </c>
      <c r="F1044">
        <v>2</v>
      </c>
      <c r="G1044">
        <v>96</v>
      </c>
      <c r="H1044">
        <v>1932</v>
      </c>
      <c r="I1044">
        <v>1755</v>
      </c>
      <c r="J1044" s="27" t="str">
        <f t="shared" si="50"/>
        <v>https://ia601606.us.archive.org/33/items/FinancialStatisticsOfStateAndLocalGovernmentsWealthDebtAndTaxation1932/Financial_statistics_of_state_and_local_governments_Wealth_debt_and_taxation_1932.pdf#page=1755</v>
      </c>
    </row>
    <row r="1045" spans="1:10" x14ac:dyDescent="0.25">
      <c r="A1045" s="27" t="s">
        <v>1567</v>
      </c>
      <c r="B1045" s="27" t="str">
        <f t="shared" si="48"/>
        <v>Texas</v>
      </c>
      <c r="C1045" s="27" t="str">
        <f t="shared" si="49"/>
        <v>San Jacinto</v>
      </c>
      <c r="G1045">
        <v>67</v>
      </c>
      <c r="H1045">
        <v>1932</v>
      </c>
      <c r="I1045">
        <v>1755</v>
      </c>
      <c r="J1045" s="27" t="str">
        <f t="shared" si="50"/>
        <v>https://ia601606.us.archive.org/33/items/FinancialStatisticsOfStateAndLocalGovernmentsWealthDebtAndTaxation1932/Financial_statistics_of_state_and_local_governments_Wealth_debt_and_taxation_1932.pdf#page=1755</v>
      </c>
    </row>
    <row r="1046" spans="1:10" x14ac:dyDescent="0.25">
      <c r="A1046" s="27" t="s">
        <v>1568</v>
      </c>
      <c r="B1046" s="27" t="str">
        <f t="shared" si="48"/>
        <v>Texas</v>
      </c>
      <c r="C1046" s="27" t="str">
        <f t="shared" si="49"/>
        <v>San Patricio</v>
      </c>
      <c r="D1046">
        <v>1</v>
      </c>
      <c r="G1046">
        <v>211</v>
      </c>
      <c r="H1046">
        <v>1932</v>
      </c>
      <c r="I1046">
        <v>1755</v>
      </c>
      <c r="J1046" s="27" t="str">
        <f t="shared" si="50"/>
        <v>https://ia601606.us.archive.org/33/items/FinancialStatisticsOfStateAndLocalGovernmentsWealthDebtAndTaxation1932/Financial_statistics_of_state_and_local_governments_Wealth_debt_and_taxation_1932.pdf#page=1755</v>
      </c>
    </row>
    <row r="1047" spans="1:10" x14ac:dyDescent="0.25">
      <c r="A1047" s="27" t="s">
        <v>1569</v>
      </c>
      <c r="B1047" s="27" t="str">
        <f t="shared" si="48"/>
        <v>Texas</v>
      </c>
      <c r="C1047" s="27" t="str">
        <f t="shared" si="49"/>
        <v>San Saba</v>
      </c>
      <c r="D1047">
        <v>1</v>
      </c>
      <c r="F1047">
        <v>1</v>
      </c>
      <c r="G1047">
        <v>109</v>
      </c>
      <c r="H1047">
        <v>1932</v>
      </c>
      <c r="I1047">
        <v>1756</v>
      </c>
      <c r="J1047" s="27" t="str">
        <f t="shared" si="50"/>
        <v>https://ia601606.us.archive.org/33/items/FinancialStatisticsOfStateAndLocalGovernmentsWealthDebtAndTaxation1932/Financial_statistics_of_state_and_local_governments_Wealth_debt_and_taxation_1932.pdf#page=1756</v>
      </c>
    </row>
    <row r="1048" spans="1:10" x14ac:dyDescent="0.25">
      <c r="A1048" s="27" t="s">
        <v>1570</v>
      </c>
      <c r="B1048" s="27" t="str">
        <f t="shared" si="48"/>
        <v>Texas</v>
      </c>
      <c r="C1048" s="27" t="str">
        <f t="shared" si="49"/>
        <v>Schleicher</v>
      </c>
      <c r="G1048">
        <v>43</v>
      </c>
      <c r="H1048">
        <v>1932</v>
      </c>
      <c r="I1048">
        <v>1756</v>
      </c>
      <c r="J1048" s="27" t="str">
        <f t="shared" si="50"/>
        <v>https://ia601606.us.archive.org/33/items/FinancialStatisticsOfStateAndLocalGovernmentsWealthDebtAndTaxation1932/Financial_statistics_of_state_and_local_governments_Wealth_debt_and_taxation_1932.pdf#page=1756</v>
      </c>
    </row>
    <row r="1049" spans="1:10" x14ac:dyDescent="0.25">
      <c r="A1049" s="27" t="s">
        <v>1571</v>
      </c>
      <c r="B1049" s="27" t="str">
        <f t="shared" si="48"/>
        <v>Texas</v>
      </c>
      <c r="C1049" s="27" t="str">
        <f t="shared" si="49"/>
        <v>Scurry</v>
      </c>
      <c r="D1049">
        <v>1</v>
      </c>
      <c r="G1049">
        <v>134</v>
      </c>
      <c r="H1049">
        <v>1932</v>
      </c>
      <c r="I1049">
        <v>1756</v>
      </c>
      <c r="J1049" s="27" t="str">
        <f t="shared" si="50"/>
        <v>https://ia601606.us.archive.org/33/items/FinancialStatisticsOfStateAndLocalGovernmentsWealthDebtAndTaxation1932/Financial_statistics_of_state_and_local_governments_Wealth_debt_and_taxation_1932.pdf#page=1756</v>
      </c>
    </row>
    <row r="1050" spans="1:10" x14ac:dyDescent="0.25">
      <c r="A1050" s="27" t="s">
        <v>1572</v>
      </c>
      <c r="B1050" s="27" t="str">
        <f t="shared" si="48"/>
        <v>Texas</v>
      </c>
      <c r="C1050" s="27" t="str">
        <f t="shared" si="49"/>
        <v>Shackelford</v>
      </c>
      <c r="D1050">
        <v>2</v>
      </c>
      <c r="G1050">
        <v>99</v>
      </c>
      <c r="H1050">
        <v>1932</v>
      </c>
      <c r="I1050">
        <v>1756</v>
      </c>
      <c r="J1050" s="27" t="str">
        <f t="shared" si="50"/>
        <v>https://ia601606.us.archive.org/33/items/FinancialStatisticsOfStateAndLocalGovernmentsWealthDebtAndTaxation1932/Financial_statistics_of_state_and_local_governments_Wealth_debt_and_taxation_1932.pdf#page=1756</v>
      </c>
    </row>
    <row r="1051" spans="1:10" x14ac:dyDescent="0.25">
      <c r="A1051" s="27" t="s">
        <v>1573</v>
      </c>
      <c r="B1051" s="27" t="str">
        <f t="shared" si="48"/>
        <v>Texas</v>
      </c>
      <c r="C1051" s="27" t="str">
        <f t="shared" si="49"/>
        <v>Shelby</v>
      </c>
      <c r="F1051">
        <v>1</v>
      </c>
      <c r="G1051">
        <v>223</v>
      </c>
      <c r="H1051">
        <v>1932</v>
      </c>
      <c r="I1051">
        <v>1756</v>
      </c>
      <c r="J1051" s="27" t="str">
        <f t="shared" si="50"/>
        <v>https://ia601606.us.archive.org/33/items/FinancialStatisticsOfStateAndLocalGovernmentsWealthDebtAndTaxation1932/Financial_statistics_of_state_and_local_governments_Wealth_debt_and_taxation_1932.pdf#page=1756</v>
      </c>
    </row>
    <row r="1052" spans="1:10" x14ac:dyDescent="0.25">
      <c r="A1052" s="27" t="s">
        <v>1574</v>
      </c>
      <c r="B1052" s="27" t="str">
        <f t="shared" si="48"/>
        <v>Texas</v>
      </c>
      <c r="C1052" s="27" t="str">
        <f t="shared" si="49"/>
        <v>Sherman</v>
      </c>
      <c r="G1052">
        <v>54</v>
      </c>
      <c r="H1052">
        <v>1932</v>
      </c>
      <c r="I1052">
        <v>1756</v>
      </c>
      <c r="J1052" s="27" t="str">
        <f t="shared" si="50"/>
        <v>https://ia601606.us.archive.org/33/items/FinancialStatisticsOfStateAndLocalGovernmentsWealthDebtAndTaxation1932/Financial_statistics_of_state_and_local_governments_Wealth_debt_and_taxation_1932.pdf#page=1756</v>
      </c>
    </row>
    <row r="1053" spans="1:10" x14ac:dyDescent="0.25">
      <c r="A1053" s="27" t="s">
        <v>1575</v>
      </c>
      <c r="B1053" s="27" t="str">
        <f t="shared" si="48"/>
        <v>Texas</v>
      </c>
      <c r="C1053" s="27" t="str">
        <f t="shared" si="49"/>
        <v>Smith</v>
      </c>
      <c r="D1053">
        <v>1</v>
      </c>
      <c r="G1053">
        <v>468</v>
      </c>
      <c r="H1053">
        <v>1932</v>
      </c>
      <c r="I1053">
        <v>1756</v>
      </c>
      <c r="J1053" s="27" t="str">
        <f t="shared" si="50"/>
        <v>https://ia601606.us.archive.org/33/items/FinancialStatisticsOfStateAndLocalGovernmentsWealthDebtAndTaxation1932/Financial_statistics_of_state_and_local_governments_Wealth_debt_and_taxation_1932.pdf#page=1756</v>
      </c>
    </row>
    <row r="1054" spans="1:10" x14ac:dyDescent="0.25">
      <c r="A1054" s="27" t="s">
        <v>1576</v>
      </c>
      <c r="B1054" s="27" t="str">
        <f t="shared" si="48"/>
        <v>Texas</v>
      </c>
      <c r="C1054" s="27" t="str">
        <f t="shared" si="49"/>
        <v>Somervell</v>
      </c>
      <c r="F1054">
        <v>1</v>
      </c>
      <c r="G1054">
        <v>24</v>
      </c>
      <c r="H1054">
        <v>1932</v>
      </c>
      <c r="I1054">
        <v>1756</v>
      </c>
      <c r="J1054" s="27" t="str">
        <f t="shared" si="50"/>
        <v>https://ia601606.us.archive.org/33/items/FinancialStatisticsOfStateAndLocalGovernmentsWealthDebtAndTaxation1932/Financial_statistics_of_state_and_local_governments_Wealth_debt_and_taxation_1932.pdf#page=1756</v>
      </c>
    </row>
    <row r="1055" spans="1:10" x14ac:dyDescent="0.25">
      <c r="A1055" s="27" t="s">
        <v>1577</v>
      </c>
      <c r="B1055" s="27" t="str">
        <f t="shared" si="48"/>
        <v>Texas</v>
      </c>
      <c r="C1055" s="27" t="str">
        <f t="shared" si="49"/>
        <v>Starr</v>
      </c>
      <c r="G1055">
        <v>70</v>
      </c>
      <c r="H1055">
        <v>1932</v>
      </c>
      <c r="I1055">
        <v>1756</v>
      </c>
      <c r="J1055" s="27" t="str">
        <f t="shared" si="50"/>
        <v>https://ia601606.us.archive.org/33/items/FinancialStatisticsOfStateAndLocalGovernmentsWealthDebtAndTaxation1932/Financial_statistics_of_state_and_local_governments_Wealth_debt_and_taxation_1932.pdf#page=1756</v>
      </c>
    </row>
    <row r="1056" spans="1:10" x14ac:dyDescent="0.25">
      <c r="A1056" s="27" t="s">
        <v>1792</v>
      </c>
      <c r="B1056" s="27" t="str">
        <f t="shared" si="48"/>
        <v>Texas</v>
      </c>
      <c r="C1056" s="27" t="str">
        <f t="shared" si="49"/>
        <v>Stephens/Buchanan</v>
      </c>
      <c r="D1056">
        <v>1</v>
      </c>
      <c r="G1056">
        <v>195</v>
      </c>
      <c r="H1056">
        <v>1932</v>
      </c>
      <c r="I1056">
        <v>1757</v>
      </c>
      <c r="J1056" s="27" t="str">
        <f t="shared" si="50"/>
        <v>https://ia601606.us.archive.org/33/items/FinancialStatisticsOfStateAndLocalGovernmentsWealthDebtAndTaxation1932/Financial_statistics_of_state_and_local_governments_Wealth_debt_and_taxation_1932.pdf#page=1757</v>
      </c>
    </row>
    <row r="1057" spans="1:10" x14ac:dyDescent="0.25">
      <c r="A1057" s="27" t="s">
        <v>1578</v>
      </c>
      <c r="B1057" s="27" t="str">
        <f t="shared" si="48"/>
        <v>Texas</v>
      </c>
      <c r="C1057" s="27" t="str">
        <f t="shared" si="49"/>
        <v>Sterling</v>
      </c>
      <c r="G1057">
        <v>24</v>
      </c>
      <c r="H1057">
        <v>1932</v>
      </c>
      <c r="I1057">
        <v>1757</v>
      </c>
      <c r="J1057" s="27" t="str">
        <f t="shared" si="50"/>
        <v>https://ia601606.us.archive.org/33/items/FinancialStatisticsOfStateAndLocalGovernmentsWealthDebtAndTaxation1932/Financial_statistics_of_state_and_local_governments_Wealth_debt_and_taxation_1932.pdf#page=1757</v>
      </c>
    </row>
    <row r="1058" spans="1:10" x14ac:dyDescent="0.25">
      <c r="A1058" s="27" t="s">
        <v>1579</v>
      </c>
      <c r="B1058" s="27" t="str">
        <f t="shared" si="48"/>
        <v>Texas</v>
      </c>
      <c r="C1058" s="27" t="str">
        <f t="shared" si="49"/>
        <v>Stonewall</v>
      </c>
      <c r="G1058">
        <v>77</v>
      </c>
      <c r="H1058">
        <v>1932</v>
      </c>
      <c r="I1058">
        <v>1757</v>
      </c>
      <c r="J1058" s="27" t="str">
        <f t="shared" si="50"/>
        <v>https://ia601606.us.archive.org/33/items/FinancialStatisticsOfStateAndLocalGovernmentsWealthDebtAndTaxation1932/Financial_statistics_of_state_and_local_governments_Wealth_debt_and_taxation_1932.pdf#page=1757</v>
      </c>
    </row>
    <row r="1059" spans="1:10" x14ac:dyDescent="0.25">
      <c r="A1059" s="27" t="s">
        <v>1580</v>
      </c>
      <c r="B1059" s="27" t="str">
        <f t="shared" si="48"/>
        <v>Texas</v>
      </c>
      <c r="C1059" s="27" t="str">
        <f t="shared" si="49"/>
        <v>Sutton</v>
      </c>
      <c r="G1059">
        <v>34</v>
      </c>
      <c r="H1059">
        <v>1932</v>
      </c>
      <c r="I1059">
        <v>1757</v>
      </c>
      <c r="J1059" s="27" t="str">
        <f t="shared" si="50"/>
        <v>https://ia601606.us.archive.org/33/items/FinancialStatisticsOfStateAndLocalGovernmentsWealthDebtAndTaxation1932/Financial_statistics_of_state_and_local_governments_Wealth_debt_and_taxation_1932.pdf#page=1757</v>
      </c>
    </row>
    <row r="1060" spans="1:10" x14ac:dyDescent="0.25">
      <c r="A1060" s="27" t="s">
        <v>1581</v>
      </c>
      <c r="B1060" s="27" t="str">
        <f t="shared" si="48"/>
        <v>Texas</v>
      </c>
      <c r="C1060" s="27" t="str">
        <f t="shared" si="49"/>
        <v>Swisher</v>
      </c>
      <c r="D1060">
        <v>1</v>
      </c>
      <c r="G1060">
        <v>121</v>
      </c>
      <c r="H1060">
        <v>1932</v>
      </c>
      <c r="I1060">
        <v>1757</v>
      </c>
      <c r="J1060" s="27" t="str">
        <f t="shared" si="50"/>
        <v>https://ia601606.us.archive.org/33/items/FinancialStatisticsOfStateAndLocalGovernmentsWealthDebtAndTaxation1932/Financial_statistics_of_state_and_local_governments_Wealth_debt_and_taxation_1932.pdf#page=1757</v>
      </c>
    </row>
    <row r="1061" spans="1:10" x14ac:dyDescent="0.25">
      <c r="A1061" s="27" t="s">
        <v>1582</v>
      </c>
      <c r="B1061" s="27" t="str">
        <f t="shared" si="48"/>
        <v>Texas</v>
      </c>
      <c r="C1061" s="27" t="str">
        <f t="shared" si="49"/>
        <v>Tarrant</v>
      </c>
      <c r="D1061">
        <v>37</v>
      </c>
      <c r="F1061">
        <v>8</v>
      </c>
      <c r="G1061" s="7">
        <v>2340</v>
      </c>
      <c r="H1061">
        <v>1932</v>
      </c>
      <c r="I1061">
        <v>1757</v>
      </c>
      <c r="J1061" s="27" t="str">
        <f t="shared" si="50"/>
        <v>https://ia601606.us.archive.org/33/items/FinancialStatisticsOfStateAndLocalGovernmentsWealthDebtAndTaxation1932/Financial_statistics_of_state_and_local_governments_Wealth_debt_and_taxation_1932.pdf#page=1757</v>
      </c>
    </row>
    <row r="1062" spans="1:10" x14ac:dyDescent="0.25">
      <c r="A1062" s="27" t="s">
        <v>1583</v>
      </c>
      <c r="B1062" s="27" t="str">
        <f t="shared" si="48"/>
        <v>Texas</v>
      </c>
      <c r="C1062" s="27" t="str">
        <f t="shared" si="49"/>
        <v>Taylor</v>
      </c>
      <c r="D1062">
        <v>4</v>
      </c>
      <c r="G1062">
        <v>427</v>
      </c>
      <c r="H1062">
        <v>1932</v>
      </c>
      <c r="I1062">
        <v>1758</v>
      </c>
      <c r="J1062" s="27" t="str">
        <f t="shared" si="50"/>
        <v>https://ia601606.us.archive.org/33/items/FinancialStatisticsOfStateAndLocalGovernmentsWealthDebtAndTaxation1932/Financial_statistics_of_state_and_local_governments_Wealth_debt_and_taxation_1932.pdf#page=1758</v>
      </c>
    </row>
    <row r="1063" spans="1:10" x14ac:dyDescent="0.25">
      <c r="A1063" s="27" t="s">
        <v>1584</v>
      </c>
      <c r="B1063" s="27" t="str">
        <f t="shared" si="48"/>
        <v>Texas</v>
      </c>
      <c r="C1063" s="27" t="str">
        <f t="shared" si="49"/>
        <v>Terrell</v>
      </c>
      <c r="G1063">
        <v>36</v>
      </c>
      <c r="H1063">
        <v>1932</v>
      </c>
      <c r="I1063">
        <v>1758</v>
      </c>
      <c r="J1063" s="27" t="str">
        <f t="shared" si="50"/>
        <v>https://ia601606.us.archive.org/33/items/FinancialStatisticsOfStateAndLocalGovernmentsWealthDebtAndTaxation1932/Financial_statistics_of_state_and_local_governments_Wealth_debt_and_taxation_1932.pdf#page=1758</v>
      </c>
    </row>
    <row r="1064" spans="1:10" x14ac:dyDescent="0.25">
      <c r="A1064" s="27" t="s">
        <v>1585</v>
      </c>
      <c r="B1064" s="27" t="str">
        <f t="shared" si="48"/>
        <v>Texas</v>
      </c>
      <c r="C1064" s="27" t="str">
        <f t="shared" si="49"/>
        <v>Terry</v>
      </c>
      <c r="D1064">
        <v>1</v>
      </c>
      <c r="G1064">
        <v>105</v>
      </c>
      <c r="H1064">
        <v>1932</v>
      </c>
      <c r="I1064">
        <v>1758</v>
      </c>
      <c r="J1064" s="27" t="str">
        <f t="shared" si="50"/>
        <v>https://ia601606.us.archive.org/33/items/FinancialStatisticsOfStateAndLocalGovernmentsWealthDebtAndTaxation1932/Financial_statistics_of_state_and_local_governments_Wealth_debt_and_taxation_1932.pdf#page=1758</v>
      </c>
    </row>
    <row r="1065" spans="1:10" x14ac:dyDescent="0.25">
      <c r="A1065" s="27" t="s">
        <v>1586</v>
      </c>
      <c r="B1065" s="27" t="str">
        <f t="shared" si="48"/>
        <v>Texas</v>
      </c>
      <c r="C1065" s="27" t="str">
        <f t="shared" si="49"/>
        <v>Throckmorton</v>
      </c>
      <c r="G1065">
        <v>79</v>
      </c>
      <c r="H1065">
        <v>1932</v>
      </c>
      <c r="I1065">
        <v>1758</v>
      </c>
      <c r="J1065" s="27" t="str">
        <f t="shared" si="50"/>
        <v>https://ia601606.us.archive.org/33/items/FinancialStatisticsOfStateAndLocalGovernmentsWealthDebtAndTaxation1932/Financial_statistics_of_state_and_local_governments_Wealth_debt_and_taxation_1932.pdf#page=1758</v>
      </c>
    </row>
    <row r="1066" spans="1:10" x14ac:dyDescent="0.25">
      <c r="A1066" s="27" t="s">
        <v>1587</v>
      </c>
      <c r="B1066" s="27" t="str">
        <f t="shared" si="48"/>
        <v>Texas</v>
      </c>
      <c r="C1066" s="27" t="str">
        <f t="shared" si="49"/>
        <v>Titus</v>
      </c>
      <c r="G1066">
        <v>141</v>
      </c>
      <c r="H1066">
        <v>1932</v>
      </c>
      <c r="I1066">
        <v>1758</v>
      </c>
      <c r="J1066" s="27" t="str">
        <f t="shared" si="50"/>
        <v>https://ia601606.us.archive.org/33/items/FinancialStatisticsOfStateAndLocalGovernmentsWealthDebtAndTaxation1932/Financial_statistics_of_state_and_local_governments_Wealth_debt_and_taxation_1932.pdf#page=1758</v>
      </c>
    </row>
    <row r="1067" spans="1:10" x14ac:dyDescent="0.25">
      <c r="A1067" s="27" t="s">
        <v>1588</v>
      </c>
      <c r="B1067" s="27" t="str">
        <f t="shared" si="48"/>
        <v>Texas</v>
      </c>
      <c r="C1067" s="27" t="str">
        <f t="shared" si="49"/>
        <v>Tom Green</v>
      </c>
      <c r="D1067">
        <v>6</v>
      </c>
      <c r="G1067">
        <v>426</v>
      </c>
      <c r="H1067">
        <v>1932</v>
      </c>
      <c r="I1067">
        <v>1758</v>
      </c>
      <c r="J1067" s="27" t="str">
        <f t="shared" si="50"/>
        <v>https://ia601606.us.archive.org/33/items/FinancialStatisticsOfStateAndLocalGovernmentsWealthDebtAndTaxation1932/Financial_statistics_of_state_and_local_governments_Wealth_debt_and_taxation_1932.pdf#page=1758</v>
      </c>
    </row>
    <row r="1068" spans="1:10" x14ac:dyDescent="0.25">
      <c r="A1068" s="27" t="s">
        <v>1589</v>
      </c>
      <c r="B1068" s="27" t="str">
        <f t="shared" si="48"/>
        <v>Texas</v>
      </c>
      <c r="C1068" s="27" t="str">
        <f t="shared" si="49"/>
        <v>Travis</v>
      </c>
      <c r="D1068">
        <v>5</v>
      </c>
      <c r="G1068">
        <v>673</v>
      </c>
      <c r="H1068">
        <v>1932</v>
      </c>
      <c r="I1068">
        <v>1758</v>
      </c>
      <c r="J1068" s="27" t="str">
        <f t="shared" si="50"/>
        <v>https://ia601606.us.archive.org/33/items/FinancialStatisticsOfStateAndLocalGovernmentsWealthDebtAndTaxation1932/Financial_statistics_of_state_and_local_governments_Wealth_debt_and_taxation_1932.pdf#page=1758</v>
      </c>
    </row>
    <row r="1069" spans="1:10" x14ac:dyDescent="0.25">
      <c r="A1069" s="27" t="s">
        <v>1590</v>
      </c>
      <c r="B1069" s="27" t="str">
        <f t="shared" si="48"/>
        <v>Texas</v>
      </c>
      <c r="C1069" s="27" t="str">
        <f t="shared" si="49"/>
        <v>Trinity</v>
      </c>
      <c r="G1069">
        <v>125</v>
      </c>
      <c r="H1069">
        <v>1932</v>
      </c>
      <c r="I1069">
        <v>1758</v>
      </c>
      <c r="J1069" s="27" t="str">
        <f t="shared" si="50"/>
        <v>https://ia601606.us.archive.org/33/items/FinancialStatisticsOfStateAndLocalGovernmentsWealthDebtAndTaxation1932/Financial_statistics_of_state_and_local_governments_Wealth_debt_and_taxation_1932.pdf#page=1758</v>
      </c>
    </row>
    <row r="1070" spans="1:10" x14ac:dyDescent="0.25">
      <c r="A1070" s="27" t="s">
        <v>1591</v>
      </c>
      <c r="B1070" s="27" t="str">
        <f t="shared" si="48"/>
        <v>Texas</v>
      </c>
      <c r="C1070" s="27" t="str">
        <f t="shared" si="49"/>
        <v>Tyler</v>
      </c>
      <c r="G1070">
        <v>122</v>
      </c>
      <c r="H1070">
        <v>1932</v>
      </c>
      <c r="I1070">
        <v>1758</v>
      </c>
      <c r="J1070" s="27" t="str">
        <f t="shared" si="50"/>
        <v>https://ia601606.us.archive.org/33/items/FinancialStatisticsOfStateAndLocalGovernmentsWealthDebtAndTaxation1932/Financial_statistics_of_state_and_local_governments_Wealth_debt_and_taxation_1932.pdf#page=1758</v>
      </c>
    </row>
    <row r="1071" spans="1:10" x14ac:dyDescent="0.25">
      <c r="A1071" s="27" t="s">
        <v>1592</v>
      </c>
      <c r="B1071" s="27" t="str">
        <f t="shared" si="48"/>
        <v>Texas</v>
      </c>
      <c r="C1071" s="27" t="str">
        <f t="shared" si="49"/>
        <v>Upshur</v>
      </c>
      <c r="G1071">
        <v>179</v>
      </c>
      <c r="H1071">
        <v>1932</v>
      </c>
      <c r="I1071">
        <v>1759</v>
      </c>
      <c r="J1071" s="27" t="str">
        <f t="shared" si="50"/>
        <v>https://ia601606.us.archive.org/33/items/FinancialStatisticsOfStateAndLocalGovernmentsWealthDebtAndTaxation1932/Financial_statistics_of_state_and_local_governments_Wealth_debt_and_taxation_1932.pdf#page=1759</v>
      </c>
    </row>
    <row r="1072" spans="1:10" x14ac:dyDescent="0.25">
      <c r="A1072" s="27" t="s">
        <v>1593</v>
      </c>
      <c r="B1072" s="27" t="str">
        <f t="shared" si="48"/>
        <v>Texas</v>
      </c>
      <c r="C1072" s="27" t="str">
        <f t="shared" si="49"/>
        <v>Upton</v>
      </c>
      <c r="G1072">
        <v>89</v>
      </c>
      <c r="H1072">
        <v>1932</v>
      </c>
      <c r="I1072">
        <v>1759</v>
      </c>
      <c r="J1072" s="27" t="str">
        <f t="shared" si="50"/>
        <v>https://ia601606.us.archive.org/33/items/FinancialStatisticsOfStateAndLocalGovernmentsWealthDebtAndTaxation1932/Financial_statistics_of_state_and_local_governments_Wealth_debt_and_taxation_1932.pdf#page=1759</v>
      </c>
    </row>
    <row r="1073" spans="1:10" x14ac:dyDescent="0.25">
      <c r="A1073" s="27" t="s">
        <v>1594</v>
      </c>
      <c r="B1073" s="27" t="str">
        <f t="shared" si="48"/>
        <v>Texas</v>
      </c>
      <c r="C1073" s="27" t="str">
        <f t="shared" si="49"/>
        <v>Uvalde</v>
      </c>
      <c r="D1073">
        <v>2</v>
      </c>
      <c r="G1073">
        <v>124</v>
      </c>
      <c r="H1073">
        <v>1932</v>
      </c>
      <c r="I1073">
        <v>1759</v>
      </c>
      <c r="J1073" s="27" t="str">
        <f t="shared" si="50"/>
        <v>https://ia601606.us.archive.org/33/items/FinancialStatisticsOfStateAndLocalGovernmentsWealthDebtAndTaxation1932/Financial_statistics_of_state_and_local_governments_Wealth_debt_and_taxation_1932.pdf#page=1759</v>
      </c>
    </row>
    <row r="1074" spans="1:10" x14ac:dyDescent="0.25">
      <c r="A1074" s="27" t="s">
        <v>1765</v>
      </c>
      <c r="B1074" s="27" t="str">
        <f t="shared" si="48"/>
        <v>Texas</v>
      </c>
      <c r="C1074" s="27" t="str">
        <f t="shared" si="49"/>
        <v>Val Verde</v>
      </c>
      <c r="G1074">
        <v>110</v>
      </c>
      <c r="H1074">
        <v>1932</v>
      </c>
      <c r="I1074">
        <v>1759</v>
      </c>
      <c r="J1074" s="27" t="str">
        <f t="shared" si="50"/>
        <v>https://ia601606.us.archive.org/33/items/FinancialStatisticsOfStateAndLocalGovernmentsWealthDebtAndTaxation1932/Financial_statistics_of_state_and_local_governments_Wealth_debt_and_taxation_1932.pdf#page=1759</v>
      </c>
    </row>
    <row r="1075" spans="1:10" x14ac:dyDescent="0.25">
      <c r="A1075" s="27" t="s">
        <v>1595</v>
      </c>
      <c r="B1075" s="27" t="str">
        <f t="shared" si="48"/>
        <v>Texas</v>
      </c>
      <c r="C1075" s="27" t="str">
        <f t="shared" si="49"/>
        <v>Van Zandt</v>
      </c>
      <c r="D1075">
        <v>2</v>
      </c>
      <c r="F1075">
        <v>3</v>
      </c>
      <c r="G1075">
        <v>288</v>
      </c>
      <c r="H1075">
        <v>1932</v>
      </c>
      <c r="I1075">
        <v>1759</v>
      </c>
      <c r="J1075" s="27" t="str">
        <f t="shared" si="50"/>
        <v>https://ia601606.us.archive.org/33/items/FinancialStatisticsOfStateAndLocalGovernmentsWealthDebtAndTaxation1932/Financial_statistics_of_state_and_local_governments_Wealth_debt_and_taxation_1932.pdf#page=1759</v>
      </c>
    </row>
    <row r="1076" spans="1:10" x14ac:dyDescent="0.25">
      <c r="A1076" s="27" t="s">
        <v>1596</v>
      </c>
      <c r="B1076" s="27" t="str">
        <f t="shared" si="48"/>
        <v>Texas</v>
      </c>
      <c r="C1076" s="27" t="str">
        <f t="shared" si="49"/>
        <v>Victoria</v>
      </c>
      <c r="D1076">
        <v>1</v>
      </c>
      <c r="G1076">
        <v>159</v>
      </c>
      <c r="H1076">
        <v>1932</v>
      </c>
      <c r="I1076">
        <v>1760</v>
      </c>
      <c r="J1076" s="27" t="str">
        <f t="shared" si="50"/>
        <v>https://ia601606.us.archive.org/33/items/FinancialStatisticsOfStateAndLocalGovernmentsWealthDebtAndTaxation1932/Financial_statistics_of_state_and_local_governments_Wealth_debt_and_taxation_1932.pdf#page=1760</v>
      </c>
    </row>
    <row r="1077" spans="1:10" x14ac:dyDescent="0.25">
      <c r="A1077" s="27" t="s">
        <v>1597</v>
      </c>
      <c r="B1077" s="27" t="str">
        <f t="shared" si="48"/>
        <v>Texas</v>
      </c>
      <c r="C1077" s="27" t="str">
        <f t="shared" si="49"/>
        <v>Walker</v>
      </c>
      <c r="G1077">
        <v>132</v>
      </c>
      <c r="H1077">
        <v>1932</v>
      </c>
      <c r="I1077">
        <v>1760</v>
      </c>
      <c r="J1077" s="27" t="str">
        <f t="shared" si="50"/>
        <v>https://ia601606.us.archive.org/33/items/FinancialStatisticsOfStateAndLocalGovernmentsWealthDebtAndTaxation1932/Financial_statistics_of_state_and_local_governments_Wealth_debt_and_taxation_1932.pdf#page=1760</v>
      </c>
    </row>
    <row r="1078" spans="1:10" x14ac:dyDescent="0.25">
      <c r="A1078" s="27" t="s">
        <v>1598</v>
      </c>
      <c r="B1078" s="27" t="str">
        <f t="shared" si="48"/>
        <v>Texas</v>
      </c>
      <c r="C1078" s="27" t="str">
        <f t="shared" si="49"/>
        <v>Waller</v>
      </c>
      <c r="G1078">
        <v>79</v>
      </c>
      <c r="H1078">
        <v>1932</v>
      </c>
      <c r="I1078">
        <v>1760</v>
      </c>
      <c r="J1078" s="27" t="str">
        <f t="shared" si="50"/>
        <v>https://ia601606.us.archive.org/33/items/FinancialStatisticsOfStateAndLocalGovernmentsWealthDebtAndTaxation1932/Financial_statistics_of_state_and_local_governments_Wealth_debt_and_taxation_1932.pdf#page=1760</v>
      </c>
    </row>
    <row r="1079" spans="1:10" x14ac:dyDescent="0.25">
      <c r="A1079" s="27" t="s">
        <v>1599</v>
      </c>
      <c r="B1079" s="27" t="str">
        <f t="shared" si="48"/>
        <v>Texas</v>
      </c>
      <c r="C1079" s="27" t="str">
        <f t="shared" si="49"/>
        <v>Ward</v>
      </c>
      <c r="D1079">
        <v>1</v>
      </c>
      <c r="G1079">
        <v>62</v>
      </c>
      <c r="H1079">
        <v>1932</v>
      </c>
      <c r="I1079">
        <v>1760</v>
      </c>
      <c r="J1079" s="27" t="str">
        <f t="shared" si="50"/>
        <v>https://ia601606.us.archive.org/33/items/FinancialStatisticsOfStateAndLocalGovernmentsWealthDebtAndTaxation1932/Financial_statistics_of_state_and_local_governments_Wealth_debt_and_taxation_1932.pdf#page=1760</v>
      </c>
    </row>
    <row r="1080" spans="1:10" x14ac:dyDescent="0.25">
      <c r="A1080" s="27" t="s">
        <v>1600</v>
      </c>
      <c r="B1080" s="27" t="str">
        <f t="shared" si="48"/>
        <v>Texas</v>
      </c>
      <c r="C1080" s="27" t="str">
        <f t="shared" si="49"/>
        <v>Washington</v>
      </c>
      <c r="D1080">
        <v>5</v>
      </c>
      <c r="G1080">
        <v>172</v>
      </c>
      <c r="H1080">
        <v>1932</v>
      </c>
      <c r="I1080">
        <v>1760</v>
      </c>
      <c r="J1080" s="27" t="str">
        <f t="shared" si="50"/>
        <v>https://ia601606.us.archive.org/33/items/FinancialStatisticsOfStateAndLocalGovernmentsWealthDebtAndTaxation1932/Financial_statistics_of_state_and_local_governments_Wealth_debt_and_taxation_1932.pdf#page=1760</v>
      </c>
    </row>
    <row r="1081" spans="1:10" x14ac:dyDescent="0.25">
      <c r="A1081" s="27" t="s">
        <v>1601</v>
      </c>
      <c r="B1081" s="27" t="str">
        <f t="shared" si="48"/>
        <v>Texas</v>
      </c>
      <c r="C1081" s="27" t="str">
        <f t="shared" si="49"/>
        <v>Webb</v>
      </c>
      <c r="D1081">
        <v>2</v>
      </c>
      <c r="G1081">
        <v>70</v>
      </c>
      <c r="H1081">
        <v>1932</v>
      </c>
      <c r="I1081">
        <v>1760</v>
      </c>
      <c r="J1081" s="27" t="str">
        <f t="shared" si="50"/>
        <v>https://ia601606.us.archive.org/33/items/FinancialStatisticsOfStateAndLocalGovernmentsWealthDebtAndTaxation1932/Financial_statistics_of_state_and_local_governments_Wealth_debt_and_taxation_1932.pdf#page=1760</v>
      </c>
    </row>
    <row r="1082" spans="1:10" x14ac:dyDescent="0.25">
      <c r="A1082" s="27" t="s">
        <v>1602</v>
      </c>
      <c r="B1082" s="27" t="str">
        <f t="shared" si="48"/>
        <v>Texas</v>
      </c>
      <c r="C1082" s="27" t="str">
        <f t="shared" si="49"/>
        <v>Wharton</v>
      </c>
      <c r="D1082">
        <v>6</v>
      </c>
      <c r="G1082">
        <v>316</v>
      </c>
      <c r="H1082">
        <v>1932</v>
      </c>
      <c r="I1082">
        <v>1760</v>
      </c>
      <c r="J1082" s="27" t="str">
        <f t="shared" si="50"/>
        <v>https://ia601606.us.archive.org/33/items/FinancialStatisticsOfStateAndLocalGovernmentsWealthDebtAndTaxation1932/Financial_statistics_of_state_and_local_governments_Wealth_debt_and_taxation_1932.pdf#page=1760</v>
      </c>
    </row>
    <row r="1083" spans="1:10" x14ac:dyDescent="0.25">
      <c r="A1083" s="27" t="s">
        <v>1603</v>
      </c>
      <c r="B1083" s="27" t="str">
        <f t="shared" si="48"/>
        <v>Texas</v>
      </c>
      <c r="C1083" s="27" t="str">
        <f t="shared" si="49"/>
        <v>Wheeler</v>
      </c>
      <c r="G1083">
        <v>184</v>
      </c>
      <c r="H1083">
        <v>1932</v>
      </c>
      <c r="I1083">
        <v>1760</v>
      </c>
      <c r="J1083" s="27" t="str">
        <f t="shared" si="50"/>
        <v>https://ia601606.us.archive.org/33/items/FinancialStatisticsOfStateAndLocalGovernmentsWealthDebtAndTaxation1932/Financial_statistics_of_state_and_local_governments_Wealth_debt_and_taxation_1932.pdf#page=1760</v>
      </c>
    </row>
    <row r="1084" spans="1:10" x14ac:dyDescent="0.25">
      <c r="A1084" s="27" t="s">
        <v>1604</v>
      </c>
      <c r="B1084" s="27" t="str">
        <f t="shared" si="48"/>
        <v>Texas</v>
      </c>
      <c r="C1084" s="27" t="str">
        <f t="shared" si="49"/>
        <v>Wichita</v>
      </c>
      <c r="D1084">
        <v>3</v>
      </c>
      <c r="G1084">
        <v>940</v>
      </c>
      <c r="H1084">
        <v>1932</v>
      </c>
      <c r="I1084">
        <v>1760</v>
      </c>
      <c r="J1084" s="27" t="str">
        <f t="shared" si="50"/>
        <v>https://ia601606.us.archive.org/33/items/FinancialStatisticsOfStateAndLocalGovernmentsWealthDebtAndTaxation1932/Financial_statistics_of_state_and_local_governments_Wealth_debt_and_taxation_1932.pdf#page=1760</v>
      </c>
    </row>
    <row r="1085" spans="1:10" x14ac:dyDescent="0.25">
      <c r="A1085" s="27" t="s">
        <v>1605</v>
      </c>
      <c r="B1085" s="27" t="str">
        <f t="shared" si="48"/>
        <v>Texas</v>
      </c>
      <c r="C1085" s="27" t="str">
        <f t="shared" si="49"/>
        <v>Wilbarger</v>
      </c>
      <c r="D1085">
        <v>2</v>
      </c>
      <c r="G1085">
        <v>319</v>
      </c>
      <c r="H1085">
        <v>1932</v>
      </c>
      <c r="I1085">
        <v>1761</v>
      </c>
      <c r="J1085" s="27" t="str">
        <f t="shared" si="50"/>
        <v>https://ia601606.us.archive.org/33/items/FinancialStatisticsOfStateAndLocalGovernmentsWealthDebtAndTaxation1932/Financial_statistics_of_state_and_local_governments_Wealth_debt_and_taxation_1932.pdf#page=1761</v>
      </c>
    </row>
    <row r="1086" spans="1:10" x14ac:dyDescent="0.25">
      <c r="A1086" s="27" t="s">
        <v>1606</v>
      </c>
      <c r="B1086" s="27" t="str">
        <f t="shared" si="48"/>
        <v>Texas</v>
      </c>
      <c r="C1086" s="27" t="str">
        <f t="shared" si="49"/>
        <v>Willacy</v>
      </c>
      <c r="D1086">
        <v>2</v>
      </c>
      <c r="G1086">
        <v>115</v>
      </c>
      <c r="H1086">
        <v>1932</v>
      </c>
      <c r="I1086">
        <v>1761</v>
      </c>
      <c r="J1086" s="27" t="str">
        <f t="shared" si="50"/>
        <v>https://ia601606.us.archive.org/33/items/FinancialStatisticsOfStateAndLocalGovernmentsWealthDebtAndTaxation1932/Financial_statistics_of_state_and_local_governments_Wealth_debt_and_taxation_1932.pdf#page=1761</v>
      </c>
    </row>
    <row r="1087" spans="1:10" x14ac:dyDescent="0.25">
      <c r="A1087" s="27" t="s">
        <v>1607</v>
      </c>
      <c r="B1087" s="27" t="str">
        <f t="shared" si="48"/>
        <v>Texas</v>
      </c>
      <c r="C1087" s="27" t="str">
        <f t="shared" si="49"/>
        <v>Williamson</v>
      </c>
      <c r="D1087">
        <v>2</v>
      </c>
      <c r="F1087">
        <v>1</v>
      </c>
      <c r="G1087">
        <v>411</v>
      </c>
      <c r="H1087">
        <v>1932</v>
      </c>
      <c r="I1087">
        <v>1761</v>
      </c>
      <c r="J1087" s="27" t="str">
        <f t="shared" si="50"/>
        <v>https://ia601606.us.archive.org/33/items/FinancialStatisticsOfStateAndLocalGovernmentsWealthDebtAndTaxation1932/Financial_statistics_of_state_and_local_governments_Wealth_debt_and_taxation_1932.pdf#page=1761</v>
      </c>
    </row>
    <row r="1088" spans="1:10" x14ac:dyDescent="0.25">
      <c r="A1088" s="27" t="s">
        <v>1608</v>
      </c>
      <c r="B1088" s="27" t="str">
        <f t="shared" si="48"/>
        <v>Texas</v>
      </c>
      <c r="C1088" s="27" t="str">
        <f t="shared" si="49"/>
        <v>Wilson</v>
      </c>
      <c r="G1088">
        <v>137</v>
      </c>
      <c r="H1088">
        <v>1932</v>
      </c>
      <c r="I1088">
        <v>1761</v>
      </c>
      <c r="J1088" s="27" t="str">
        <f t="shared" si="50"/>
        <v>https://ia601606.us.archive.org/33/items/FinancialStatisticsOfStateAndLocalGovernmentsWealthDebtAndTaxation1932/Financial_statistics_of_state_and_local_governments_Wealth_debt_and_taxation_1932.pdf#page=1761</v>
      </c>
    </row>
    <row r="1089" spans="1:11" x14ac:dyDescent="0.25">
      <c r="A1089" s="27" t="s">
        <v>1609</v>
      </c>
      <c r="B1089" s="27" t="str">
        <f t="shared" si="48"/>
        <v>Texas</v>
      </c>
      <c r="C1089" s="27" t="str">
        <f t="shared" si="49"/>
        <v>Winkler</v>
      </c>
      <c r="G1089">
        <v>147</v>
      </c>
      <c r="H1089">
        <v>1932</v>
      </c>
      <c r="I1089">
        <v>1761</v>
      </c>
      <c r="J1089" s="27" t="str">
        <f t="shared" si="50"/>
        <v>https://ia601606.us.archive.org/33/items/FinancialStatisticsOfStateAndLocalGovernmentsWealthDebtAndTaxation1932/Financial_statistics_of_state_and_local_governments_Wealth_debt_and_taxation_1932.pdf#page=1761</v>
      </c>
    </row>
    <row r="1090" spans="1:11" x14ac:dyDescent="0.25">
      <c r="A1090" s="27" t="s">
        <v>1610</v>
      </c>
      <c r="B1090" s="27" t="str">
        <f t="shared" si="48"/>
        <v>Texas</v>
      </c>
      <c r="C1090" s="27" t="str">
        <f t="shared" si="49"/>
        <v>Wise</v>
      </c>
      <c r="D1090">
        <v>1</v>
      </c>
      <c r="G1090">
        <v>214</v>
      </c>
      <c r="H1090">
        <v>1932</v>
      </c>
      <c r="I1090">
        <v>1762</v>
      </c>
      <c r="J1090" s="27" t="str">
        <f t="shared" si="50"/>
        <v>https://ia601606.us.archive.org/33/items/FinancialStatisticsOfStateAndLocalGovernmentsWealthDebtAndTaxation1932/Financial_statistics_of_state_and_local_governments_Wealth_debt_and_taxation_1932.pdf#page=1762</v>
      </c>
    </row>
    <row r="1091" spans="1:11" x14ac:dyDescent="0.25">
      <c r="A1091" s="27" t="s">
        <v>1611</v>
      </c>
      <c r="B1091" s="27" t="str">
        <f t="shared" ref="B1091:B1154" si="51">LEFT(A1091,FIND(";",A1091)-1)</f>
        <v>Texas</v>
      </c>
      <c r="C1091" s="27" t="str">
        <f t="shared" ref="C1091:C1154" si="52">MID(A1091,FIND(";",A1091)+1,100)</f>
        <v>Wood</v>
      </c>
      <c r="D1091">
        <v>1</v>
      </c>
      <c r="G1091">
        <v>205</v>
      </c>
      <c r="H1091">
        <v>1932</v>
      </c>
      <c r="I1091">
        <v>1762</v>
      </c>
      <c r="J1091" s="27" t="str">
        <f t="shared" ref="J1091:J1154" si="53">"https://ia601606.us.archive.org/33/items/FinancialStatisticsOfStateAndLocalGovernmentsWealthDebtAndTaxation1932/Financial_statistics_of_state_and_local_governments_Wealth_debt_and_taxation_1932.pdf"&amp;"#page="&amp;I1091</f>
        <v>https://ia601606.us.archive.org/33/items/FinancialStatisticsOfStateAndLocalGovernmentsWealthDebtAndTaxation1932/Financial_statistics_of_state_and_local_governments_Wealth_debt_and_taxation_1932.pdf#page=1762</v>
      </c>
    </row>
    <row r="1092" spans="1:11" x14ac:dyDescent="0.25">
      <c r="A1092" s="27" t="s">
        <v>1612</v>
      </c>
      <c r="B1092" s="27" t="str">
        <f t="shared" si="51"/>
        <v>Texas</v>
      </c>
      <c r="C1092" s="27" t="str">
        <f t="shared" si="52"/>
        <v>Yoakum</v>
      </c>
      <c r="G1092">
        <v>18</v>
      </c>
      <c r="H1092">
        <v>1932</v>
      </c>
      <c r="I1092">
        <v>1762</v>
      </c>
      <c r="J1092" s="27" t="str">
        <f t="shared" si="53"/>
        <v>https://ia601606.us.archive.org/33/items/FinancialStatisticsOfStateAndLocalGovernmentsWealthDebtAndTaxation1932/Financial_statistics_of_state_and_local_governments_Wealth_debt_and_taxation_1932.pdf#page=1762</v>
      </c>
    </row>
    <row r="1093" spans="1:11" x14ac:dyDescent="0.25">
      <c r="A1093" s="27" t="s">
        <v>1613</v>
      </c>
      <c r="B1093" s="27" t="str">
        <f t="shared" si="51"/>
        <v>Texas</v>
      </c>
      <c r="C1093" s="27" t="str">
        <f t="shared" si="52"/>
        <v>Young</v>
      </c>
      <c r="D1093">
        <v>4</v>
      </c>
      <c r="F1093">
        <v>1</v>
      </c>
      <c r="G1093">
        <v>246</v>
      </c>
      <c r="H1093">
        <v>1932</v>
      </c>
      <c r="I1093">
        <v>1762</v>
      </c>
      <c r="J1093" s="27" t="str">
        <f t="shared" si="53"/>
        <v>https://ia601606.us.archive.org/33/items/FinancialStatisticsOfStateAndLocalGovernmentsWealthDebtAndTaxation1932/Financial_statistics_of_state_and_local_governments_Wealth_debt_and_taxation_1932.pdf#page=1762</v>
      </c>
    </row>
    <row r="1094" spans="1:11" x14ac:dyDescent="0.25">
      <c r="A1094" s="27" t="s">
        <v>1614</v>
      </c>
      <c r="B1094" s="27" t="str">
        <f t="shared" si="51"/>
        <v>Texas</v>
      </c>
      <c r="C1094" s="27" t="str">
        <f t="shared" si="52"/>
        <v>Zapata</v>
      </c>
      <c r="G1094">
        <v>16</v>
      </c>
      <c r="H1094">
        <v>1932</v>
      </c>
      <c r="I1094">
        <v>1762</v>
      </c>
      <c r="J1094" s="27" t="str">
        <f t="shared" si="53"/>
        <v>https://ia601606.us.archive.org/33/items/FinancialStatisticsOfStateAndLocalGovernmentsWealthDebtAndTaxation1932/Financial_statistics_of_state_and_local_governments_Wealth_debt_and_taxation_1932.pdf#page=1762</v>
      </c>
    </row>
    <row r="1095" spans="1:11" x14ac:dyDescent="0.25">
      <c r="A1095" s="27" t="s">
        <v>1615</v>
      </c>
      <c r="B1095" s="27" t="str">
        <f t="shared" si="51"/>
        <v>Texas</v>
      </c>
      <c r="C1095" s="27" t="str">
        <f t="shared" si="52"/>
        <v>Zavalla</v>
      </c>
      <c r="D1095">
        <v>1</v>
      </c>
      <c r="G1095">
        <v>77</v>
      </c>
      <c r="H1095">
        <v>1932</v>
      </c>
      <c r="I1095">
        <v>1762</v>
      </c>
      <c r="J1095" s="27" t="str">
        <f t="shared" si="53"/>
        <v>https://ia601606.us.archive.org/33/items/FinancialStatisticsOfStateAndLocalGovernmentsWealthDebtAndTaxation1932/Financial_statistics_of_state_and_local_governments_Wealth_debt_and_taxation_1932.pdf#page=1762</v>
      </c>
    </row>
    <row r="1096" spans="1:11" x14ac:dyDescent="0.25">
      <c r="A1096" s="27" t="s">
        <v>1720</v>
      </c>
      <c r="B1096" s="27" t="str">
        <f t="shared" si="51"/>
        <v>Texas</v>
      </c>
      <c r="C1096" s="27" t="str">
        <f t="shared" si="52"/>
        <v>My Total</v>
      </c>
      <c r="D1096">
        <f>SUM(D842:D1095)</f>
        <v>452</v>
      </c>
      <c r="E1096">
        <f>SUM(E842:E1095)</f>
        <v>0</v>
      </c>
      <c r="F1096">
        <f>SUM(F842:F1095)</f>
        <v>92</v>
      </c>
      <c r="G1096">
        <f>SUM(G842:G1095)</f>
        <v>54119</v>
      </c>
      <c r="J1096" s="27"/>
    </row>
    <row r="1097" spans="1:11" x14ac:dyDescent="0.25">
      <c r="A1097" s="27" t="s">
        <v>1721</v>
      </c>
      <c r="B1097" s="27" t="str">
        <f t="shared" si="51"/>
        <v>Texas</v>
      </c>
      <c r="C1097" s="27" t="str">
        <f t="shared" si="52"/>
        <v>Reported Total</v>
      </c>
      <c r="D1097" t="s">
        <v>346</v>
      </c>
      <c r="G1097" t="s">
        <v>347</v>
      </c>
      <c r="J1097" s="27"/>
      <c r="K1097" t="s">
        <v>348</v>
      </c>
    </row>
    <row r="1098" spans="1:11" x14ac:dyDescent="0.25">
      <c r="A1098" s="27" t="s">
        <v>1367</v>
      </c>
      <c r="B1098" s="27" t="str">
        <f t="shared" si="51"/>
        <v/>
      </c>
      <c r="C1098" s="27" t="str">
        <f t="shared" si="52"/>
        <v/>
      </c>
      <c r="J1098" s="27"/>
    </row>
    <row r="1099" spans="1:11" x14ac:dyDescent="0.25">
      <c r="A1099" s="27" t="s">
        <v>1766</v>
      </c>
      <c r="B1099" s="27" t="str">
        <f t="shared" si="51"/>
        <v>Virginia</v>
      </c>
      <c r="C1099" s="27" t="str">
        <f t="shared" si="52"/>
        <v>Accomack</v>
      </c>
      <c r="D1099">
        <v>5</v>
      </c>
      <c r="G1099">
        <v>241</v>
      </c>
      <c r="H1099">
        <v>1932</v>
      </c>
      <c r="I1099">
        <v>1859</v>
      </c>
      <c r="J1099" s="27" t="str">
        <f t="shared" si="53"/>
        <v>https://ia601606.us.archive.org/33/items/FinancialStatisticsOfStateAndLocalGovernmentsWealthDebtAndTaxation1932/Financial_statistics_of_state_and_local_governments_Wealth_debt_and_taxation_1932.pdf#page=1859</v>
      </c>
    </row>
    <row r="1100" spans="1:11" x14ac:dyDescent="0.25">
      <c r="A1100" s="27" t="s">
        <v>1616</v>
      </c>
      <c r="B1100" s="27" t="str">
        <f t="shared" si="51"/>
        <v>Virginia</v>
      </c>
      <c r="C1100" s="27" t="str">
        <f t="shared" si="52"/>
        <v>Albemarle</v>
      </c>
      <c r="D1100">
        <v>8</v>
      </c>
      <c r="G1100">
        <v>203</v>
      </c>
      <c r="H1100">
        <v>1932</v>
      </c>
      <c r="I1100">
        <v>1859</v>
      </c>
      <c r="J1100" s="27" t="str">
        <f t="shared" si="53"/>
        <v>https://ia601606.us.archive.org/33/items/FinancialStatisticsOfStateAndLocalGovernmentsWealthDebtAndTaxation1932/Financial_statistics_of_state_and_local_governments_Wealth_debt_and_taxation_1932.pdf#page=1859</v>
      </c>
    </row>
    <row r="1101" spans="1:11" x14ac:dyDescent="0.25">
      <c r="A1101" s="27" t="s">
        <v>1617</v>
      </c>
      <c r="B1101" s="27" t="str">
        <f t="shared" si="51"/>
        <v>Virginia</v>
      </c>
      <c r="C1101" s="27" t="str">
        <f t="shared" si="52"/>
        <v>Alleghany</v>
      </c>
      <c r="D1101">
        <v>5</v>
      </c>
      <c r="G1101">
        <v>179</v>
      </c>
      <c r="H1101">
        <v>1932</v>
      </c>
      <c r="I1101">
        <v>1859</v>
      </c>
      <c r="J1101" s="27" t="str">
        <f t="shared" si="53"/>
        <v>https://ia601606.us.archive.org/33/items/FinancialStatisticsOfStateAndLocalGovernmentsWealthDebtAndTaxation1932/Financial_statistics_of_state_and_local_governments_Wealth_debt_and_taxation_1932.pdf#page=1859</v>
      </c>
    </row>
    <row r="1102" spans="1:11" x14ac:dyDescent="0.25">
      <c r="A1102" s="27" t="s">
        <v>1618</v>
      </c>
      <c r="B1102" s="27" t="str">
        <f t="shared" si="51"/>
        <v>Virginia</v>
      </c>
      <c r="C1102" s="27" t="str">
        <f t="shared" si="52"/>
        <v>Amelia</v>
      </c>
      <c r="G1102">
        <v>59</v>
      </c>
      <c r="H1102">
        <v>1932</v>
      </c>
      <c r="I1102">
        <v>1859</v>
      </c>
      <c r="J1102" s="27" t="str">
        <f t="shared" si="53"/>
        <v>https://ia601606.us.archive.org/33/items/FinancialStatisticsOfStateAndLocalGovernmentsWealthDebtAndTaxation1932/Financial_statistics_of_state_and_local_governments_Wealth_debt_and_taxation_1932.pdf#page=1859</v>
      </c>
    </row>
    <row r="1103" spans="1:11" x14ac:dyDescent="0.25">
      <c r="A1103" s="27" t="s">
        <v>1619</v>
      </c>
      <c r="B1103" s="27" t="str">
        <f t="shared" si="51"/>
        <v>Virginia</v>
      </c>
      <c r="C1103" s="27" t="str">
        <f t="shared" si="52"/>
        <v>Amherst</v>
      </c>
      <c r="D1103">
        <v>2</v>
      </c>
      <c r="G1103">
        <v>105</v>
      </c>
      <c r="H1103">
        <v>1932</v>
      </c>
      <c r="I1103">
        <v>1859</v>
      </c>
      <c r="J1103" s="27" t="str">
        <f t="shared" si="53"/>
        <v>https://ia601606.us.archive.org/33/items/FinancialStatisticsOfStateAndLocalGovernmentsWealthDebtAndTaxation1932/Financial_statistics_of_state_and_local_governments_Wealth_debt_and_taxation_1932.pdf#page=1859</v>
      </c>
    </row>
    <row r="1104" spans="1:11" x14ac:dyDescent="0.25">
      <c r="A1104" s="27" t="s">
        <v>1620</v>
      </c>
      <c r="B1104" s="27" t="str">
        <f t="shared" si="51"/>
        <v>Virginia</v>
      </c>
      <c r="C1104" s="27" t="str">
        <f t="shared" si="52"/>
        <v>Appomattox</v>
      </c>
      <c r="D1104">
        <v>1</v>
      </c>
      <c r="G1104">
        <v>74</v>
      </c>
      <c r="H1104">
        <v>1932</v>
      </c>
      <c r="I1104">
        <v>1859</v>
      </c>
      <c r="J1104" s="27" t="str">
        <f t="shared" si="53"/>
        <v>https://ia601606.us.archive.org/33/items/FinancialStatisticsOfStateAndLocalGovernmentsWealthDebtAndTaxation1932/Financial_statistics_of_state_and_local_governments_Wealth_debt_and_taxation_1932.pdf#page=1859</v>
      </c>
    </row>
    <row r="1105" spans="1:10" x14ac:dyDescent="0.25">
      <c r="A1105" s="27" t="s">
        <v>1793</v>
      </c>
      <c r="B1105" s="27" t="str">
        <f t="shared" si="51"/>
        <v>Virginia</v>
      </c>
      <c r="C1105" s="27" t="str">
        <f t="shared" si="52"/>
        <v>Arlington/Alexandria</v>
      </c>
      <c r="D1105">
        <v>34</v>
      </c>
      <c r="G1105">
        <v>238</v>
      </c>
      <c r="H1105">
        <v>1932</v>
      </c>
      <c r="I1105">
        <v>1860</v>
      </c>
      <c r="J1105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06" spans="1:10" x14ac:dyDescent="0.25">
      <c r="A1106" s="27" t="s">
        <v>1621</v>
      </c>
      <c r="B1106" s="27" t="str">
        <f t="shared" si="51"/>
        <v>Virginia</v>
      </c>
      <c r="C1106" s="27" t="str">
        <f t="shared" si="52"/>
        <v>Augusta</v>
      </c>
      <c r="D1106">
        <v>5</v>
      </c>
      <c r="G1106">
        <v>247</v>
      </c>
      <c r="H1106">
        <v>1932</v>
      </c>
      <c r="I1106">
        <v>1860</v>
      </c>
      <c r="J1106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07" spans="1:10" x14ac:dyDescent="0.25">
      <c r="A1107" s="27" t="s">
        <v>1622</v>
      </c>
      <c r="B1107" s="27" t="str">
        <f t="shared" si="51"/>
        <v>Virginia</v>
      </c>
      <c r="C1107" s="27" t="str">
        <f t="shared" si="52"/>
        <v>Bath</v>
      </c>
      <c r="D1107">
        <v>1</v>
      </c>
      <c r="G1107">
        <v>68</v>
      </c>
      <c r="H1107">
        <v>1932</v>
      </c>
      <c r="I1107">
        <v>1860</v>
      </c>
      <c r="J1107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08" spans="1:10" x14ac:dyDescent="0.25">
      <c r="A1108" s="27" t="s">
        <v>1722</v>
      </c>
      <c r="B1108" s="27" t="str">
        <f t="shared" si="51"/>
        <v>Virginia</v>
      </c>
      <c r="C1108" s="27" t="str">
        <f t="shared" si="52"/>
        <v>bedford</v>
      </c>
      <c r="D1108">
        <v>1</v>
      </c>
      <c r="G1108">
        <v>202</v>
      </c>
      <c r="H1108">
        <v>1932</v>
      </c>
      <c r="I1108">
        <v>1860</v>
      </c>
      <c r="J1108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09" spans="1:10" x14ac:dyDescent="0.25">
      <c r="A1109" s="27" t="s">
        <v>1624</v>
      </c>
      <c r="B1109" s="27" t="str">
        <f t="shared" si="51"/>
        <v>Virginia</v>
      </c>
      <c r="C1109" s="27" t="str">
        <f t="shared" si="52"/>
        <v>Bland</v>
      </c>
      <c r="G1109">
        <v>37</v>
      </c>
      <c r="H1109">
        <v>1932</v>
      </c>
      <c r="I1109">
        <v>1860</v>
      </c>
      <c r="J1109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10" spans="1:10" x14ac:dyDescent="0.25">
      <c r="A1110" s="27" t="s">
        <v>1625</v>
      </c>
      <c r="B1110" s="27" t="str">
        <f t="shared" si="51"/>
        <v>Virginia</v>
      </c>
      <c r="C1110" s="27" t="str">
        <f t="shared" si="52"/>
        <v>Botetourt</v>
      </c>
      <c r="D1110">
        <v>2</v>
      </c>
      <c r="G1110">
        <v>126</v>
      </c>
      <c r="H1110">
        <v>1932</v>
      </c>
      <c r="I1110">
        <v>1860</v>
      </c>
      <c r="J1110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11" spans="1:10" x14ac:dyDescent="0.25">
      <c r="A1111" s="27" t="s">
        <v>1626</v>
      </c>
      <c r="B1111" s="27" t="str">
        <f t="shared" si="51"/>
        <v>Virginia</v>
      </c>
      <c r="C1111" s="27" t="str">
        <f t="shared" si="52"/>
        <v>Brunswick</v>
      </c>
      <c r="D1111">
        <v>4</v>
      </c>
      <c r="G1111">
        <v>135</v>
      </c>
      <c r="H1111">
        <v>1932</v>
      </c>
      <c r="I1111">
        <v>1860</v>
      </c>
      <c r="J1111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12" spans="1:10" x14ac:dyDescent="0.25">
      <c r="A1112" s="27" t="s">
        <v>1627</v>
      </c>
      <c r="B1112" s="27" t="str">
        <f t="shared" si="51"/>
        <v>Virginia</v>
      </c>
      <c r="C1112" s="27" t="str">
        <f t="shared" si="52"/>
        <v>Buchanan</v>
      </c>
      <c r="D1112">
        <v>1</v>
      </c>
      <c r="G1112">
        <v>89</v>
      </c>
      <c r="H1112">
        <v>1932</v>
      </c>
      <c r="I1112">
        <v>1860</v>
      </c>
      <c r="J1112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13" spans="1:10" x14ac:dyDescent="0.25">
      <c r="A1113" s="27" t="s">
        <v>1628</v>
      </c>
      <c r="B1113" s="27" t="str">
        <f t="shared" si="51"/>
        <v>Virginia</v>
      </c>
      <c r="C1113" s="27" t="str">
        <f t="shared" si="52"/>
        <v>Buckingham</v>
      </c>
      <c r="D1113">
        <v>1</v>
      </c>
      <c r="G1113">
        <v>82</v>
      </c>
      <c r="H1113">
        <v>1932</v>
      </c>
      <c r="I1113">
        <v>1860</v>
      </c>
      <c r="J1113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14" spans="1:10" x14ac:dyDescent="0.25">
      <c r="A1114" s="27" t="s">
        <v>1629</v>
      </c>
      <c r="B1114" s="27" t="str">
        <f t="shared" si="51"/>
        <v>Virginia</v>
      </c>
      <c r="C1114" s="27" t="str">
        <f t="shared" si="52"/>
        <v>Campbell</v>
      </c>
      <c r="G1114">
        <v>166</v>
      </c>
      <c r="H1114">
        <v>1932</v>
      </c>
      <c r="I1114">
        <v>1860</v>
      </c>
      <c r="J1114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15" spans="1:10" x14ac:dyDescent="0.25">
      <c r="A1115" s="27" t="s">
        <v>1630</v>
      </c>
      <c r="B1115" s="27" t="str">
        <f t="shared" si="51"/>
        <v>Virginia</v>
      </c>
      <c r="C1115" s="27" t="str">
        <f t="shared" si="52"/>
        <v>Caroline</v>
      </c>
      <c r="G1115">
        <v>106</v>
      </c>
      <c r="H1115">
        <v>1932</v>
      </c>
      <c r="I1115">
        <v>1860</v>
      </c>
      <c r="J1115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16" spans="1:10" x14ac:dyDescent="0.25">
      <c r="A1116" s="27" t="s">
        <v>1631</v>
      </c>
      <c r="B1116" s="27" t="str">
        <f t="shared" si="51"/>
        <v>Virginia</v>
      </c>
      <c r="C1116" s="27" t="str">
        <f t="shared" si="52"/>
        <v>Carroll</v>
      </c>
      <c r="D1116">
        <v>1</v>
      </c>
      <c r="G1116">
        <v>121</v>
      </c>
      <c r="H1116">
        <v>1932</v>
      </c>
      <c r="I1116">
        <v>1860</v>
      </c>
      <c r="J1116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17" spans="1:10" x14ac:dyDescent="0.25">
      <c r="A1117" s="27" t="s">
        <v>1632</v>
      </c>
      <c r="B1117" s="27" t="str">
        <f t="shared" si="51"/>
        <v>Virginia</v>
      </c>
      <c r="C1117" s="27" t="str">
        <f t="shared" si="52"/>
        <v>Charles City</v>
      </c>
      <c r="D1117">
        <v>1</v>
      </c>
      <c r="G1117">
        <v>39</v>
      </c>
      <c r="H1117">
        <v>1932</v>
      </c>
      <c r="I1117">
        <v>1860</v>
      </c>
      <c r="J1117" s="27" t="str">
        <f t="shared" si="53"/>
        <v>https://ia601606.us.archive.org/33/items/FinancialStatisticsOfStateAndLocalGovernmentsWealthDebtAndTaxation1932/Financial_statistics_of_state_and_local_governments_Wealth_debt_and_taxation_1932.pdf#page=1860</v>
      </c>
    </row>
    <row r="1118" spans="1:10" x14ac:dyDescent="0.25">
      <c r="A1118" s="27" t="s">
        <v>1633</v>
      </c>
      <c r="B1118" s="27" t="str">
        <f t="shared" si="51"/>
        <v>Virginia</v>
      </c>
      <c r="C1118" s="27" t="str">
        <f t="shared" si="52"/>
        <v>Charlotte</v>
      </c>
      <c r="D1118">
        <v>2</v>
      </c>
      <c r="G1118">
        <v>107</v>
      </c>
      <c r="H1118">
        <v>1932</v>
      </c>
      <c r="I1118">
        <v>1861</v>
      </c>
      <c r="J1118" s="27" t="str">
        <f t="shared" si="53"/>
        <v>https://ia601606.us.archive.org/33/items/FinancialStatisticsOfStateAndLocalGovernmentsWealthDebtAndTaxation1932/Financial_statistics_of_state_and_local_governments_Wealth_debt_and_taxation_1932.pdf#page=1861</v>
      </c>
    </row>
    <row r="1119" spans="1:10" x14ac:dyDescent="0.25">
      <c r="A1119" s="27" t="s">
        <v>1634</v>
      </c>
      <c r="B1119" s="27" t="str">
        <f t="shared" si="51"/>
        <v>Virginia</v>
      </c>
      <c r="C1119" s="27" t="str">
        <f t="shared" si="52"/>
        <v>Chesterfield</v>
      </c>
      <c r="D1119">
        <v>5</v>
      </c>
      <c r="G1119">
        <v>226</v>
      </c>
      <c r="H1119">
        <v>1932</v>
      </c>
      <c r="I1119">
        <v>1861</v>
      </c>
      <c r="J1119" s="27" t="str">
        <f t="shared" si="53"/>
        <v>https://ia601606.us.archive.org/33/items/FinancialStatisticsOfStateAndLocalGovernmentsWealthDebtAndTaxation1932/Financial_statistics_of_state_and_local_governments_Wealth_debt_and_taxation_1932.pdf#page=1861</v>
      </c>
    </row>
    <row r="1120" spans="1:10" x14ac:dyDescent="0.25">
      <c r="A1120" s="27" t="s">
        <v>1635</v>
      </c>
      <c r="B1120" s="27" t="str">
        <f t="shared" si="51"/>
        <v>Virginia</v>
      </c>
      <c r="C1120" s="27" t="str">
        <f t="shared" si="52"/>
        <v>Clarke</v>
      </c>
      <c r="G1120">
        <v>56</v>
      </c>
      <c r="H1120">
        <v>1932</v>
      </c>
      <c r="I1120">
        <v>1861</v>
      </c>
      <c r="J1120" s="27" t="str">
        <f t="shared" si="53"/>
        <v>https://ia601606.us.archive.org/33/items/FinancialStatisticsOfStateAndLocalGovernmentsWealthDebtAndTaxation1932/Financial_statistics_of_state_and_local_governments_Wealth_debt_and_taxation_1932.pdf#page=1861</v>
      </c>
    </row>
    <row r="1121" spans="1:10" x14ac:dyDescent="0.25">
      <c r="A1121" s="27" t="s">
        <v>1636</v>
      </c>
      <c r="B1121" s="27" t="str">
        <f t="shared" si="51"/>
        <v>Virginia</v>
      </c>
      <c r="C1121" s="27" t="str">
        <f t="shared" si="52"/>
        <v>Craig</v>
      </c>
      <c r="G1121">
        <v>25</v>
      </c>
      <c r="H1121">
        <v>1932</v>
      </c>
      <c r="I1121">
        <v>1861</v>
      </c>
      <c r="J1121" s="27" t="str">
        <f t="shared" si="53"/>
        <v>https://ia601606.us.archive.org/33/items/FinancialStatisticsOfStateAndLocalGovernmentsWealthDebtAndTaxation1932/Financial_statistics_of_state_and_local_governments_Wealth_debt_and_taxation_1932.pdf#page=1861</v>
      </c>
    </row>
    <row r="1122" spans="1:10" x14ac:dyDescent="0.25">
      <c r="A1122" s="27" t="s">
        <v>1637</v>
      </c>
      <c r="B1122" s="27" t="str">
        <f t="shared" si="51"/>
        <v>Virginia</v>
      </c>
      <c r="C1122" s="27" t="str">
        <f t="shared" si="52"/>
        <v>Culpeper</v>
      </c>
      <c r="D1122">
        <v>1</v>
      </c>
      <c r="G1122">
        <v>96</v>
      </c>
      <c r="H1122">
        <v>1932</v>
      </c>
      <c r="I1122">
        <v>1861</v>
      </c>
      <c r="J1122" s="27" t="str">
        <f t="shared" si="53"/>
        <v>https://ia601606.us.archive.org/33/items/FinancialStatisticsOfStateAndLocalGovernmentsWealthDebtAndTaxation1932/Financial_statistics_of_state_and_local_governments_Wealth_debt_and_taxation_1932.pdf#page=1861</v>
      </c>
    </row>
    <row r="1123" spans="1:10" x14ac:dyDescent="0.25">
      <c r="A1123" s="27" t="s">
        <v>1638</v>
      </c>
      <c r="B1123" s="27" t="str">
        <f t="shared" si="51"/>
        <v>Virginia</v>
      </c>
      <c r="C1123" s="27" t="str">
        <f t="shared" si="52"/>
        <v>Cumberland</v>
      </c>
      <c r="G1123">
        <v>50</v>
      </c>
      <c r="H1123">
        <v>1932</v>
      </c>
      <c r="I1123">
        <v>1861</v>
      </c>
      <c r="J1123" s="27" t="str">
        <f t="shared" si="53"/>
        <v>https://ia601606.us.archive.org/33/items/FinancialStatisticsOfStateAndLocalGovernmentsWealthDebtAndTaxation1932/Financial_statistics_of_state_and_local_governments_Wealth_debt_and_taxation_1932.pdf#page=1861</v>
      </c>
    </row>
    <row r="1124" spans="1:10" x14ac:dyDescent="0.25">
      <c r="A1124" s="27" t="s">
        <v>1639</v>
      </c>
      <c r="B1124" s="27" t="str">
        <f t="shared" si="51"/>
        <v>Virginia</v>
      </c>
      <c r="C1124" s="27" t="str">
        <f t="shared" si="52"/>
        <v>Dickenson</v>
      </c>
      <c r="G1124">
        <v>108</v>
      </c>
      <c r="H1124">
        <v>1932</v>
      </c>
      <c r="I1124">
        <v>1861</v>
      </c>
      <c r="J1124" s="27" t="str">
        <f t="shared" si="53"/>
        <v>https://ia601606.us.archive.org/33/items/FinancialStatisticsOfStateAndLocalGovernmentsWealthDebtAndTaxation1932/Financial_statistics_of_state_and_local_governments_Wealth_debt_and_taxation_1932.pdf#page=1861</v>
      </c>
    </row>
    <row r="1125" spans="1:10" x14ac:dyDescent="0.25">
      <c r="A1125" s="27" t="s">
        <v>1640</v>
      </c>
      <c r="B1125" s="27" t="str">
        <f t="shared" si="51"/>
        <v>Virginia</v>
      </c>
      <c r="C1125" s="27" t="str">
        <f t="shared" si="52"/>
        <v>Dinwiddie</v>
      </c>
      <c r="D1125">
        <v>2</v>
      </c>
      <c r="G1125">
        <v>130</v>
      </c>
      <c r="H1125">
        <v>1932</v>
      </c>
      <c r="I1125">
        <v>1862</v>
      </c>
      <c r="J1125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26" spans="1:10" x14ac:dyDescent="0.25">
      <c r="A1126" s="27" t="s">
        <v>1641</v>
      </c>
      <c r="B1126" s="27" t="str">
        <f t="shared" si="51"/>
        <v>Virginia</v>
      </c>
      <c r="C1126" s="27" t="str">
        <f t="shared" si="52"/>
        <v>Elizabeth City</v>
      </c>
      <c r="D1126">
        <v>2</v>
      </c>
      <c r="G1126">
        <v>116</v>
      </c>
      <c r="H1126">
        <v>1932</v>
      </c>
      <c r="I1126">
        <v>1862</v>
      </c>
      <c r="J1126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27" spans="1:10" x14ac:dyDescent="0.25">
      <c r="A1127" s="27" t="s">
        <v>1642</v>
      </c>
      <c r="B1127" s="27" t="str">
        <f t="shared" si="51"/>
        <v>Virginia</v>
      </c>
      <c r="C1127" s="27" t="str">
        <f t="shared" si="52"/>
        <v>Essex</v>
      </c>
      <c r="G1127">
        <v>49</v>
      </c>
      <c r="H1127">
        <v>1932</v>
      </c>
      <c r="I1127">
        <v>1862</v>
      </c>
      <c r="J1127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28" spans="1:10" x14ac:dyDescent="0.25">
      <c r="A1128" s="27" t="s">
        <v>1643</v>
      </c>
      <c r="B1128" s="27" t="str">
        <f t="shared" si="51"/>
        <v>Virginia</v>
      </c>
      <c r="C1128" s="27" t="str">
        <f t="shared" si="52"/>
        <v>Fairfax</v>
      </c>
      <c r="D1128">
        <v>6</v>
      </c>
      <c r="G1128">
        <v>180</v>
      </c>
      <c r="H1128">
        <v>1932</v>
      </c>
      <c r="I1128">
        <v>1862</v>
      </c>
      <c r="J1128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29" spans="1:10" x14ac:dyDescent="0.25">
      <c r="A1129" s="27" t="s">
        <v>1644</v>
      </c>
      <c r="B1129" s="27" t="str">
        <f t="shared" si="51"/>
        <v>Virginia</v>
      </c>
      <c r="C1129" s="27" t="str">
        <f t="shared" si="52"/>
        <v>Fauquier</v>
      </c>
      <c r="G1129">
        <v>169</v>
      </c>
      <c r="H1129">
        <v>1932</v>
      </c>
      <c r="I1129">
        <v>1862</v>
      </c>
      <c r="J1129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30" spans="1:10" x14ac:dyDescent="0.25">
      <c r="A1130" s="27" t="s">
        <v>1645</v>
      </c>
      <c r="B1130" s="27" t="str">
        <f t="shared" si="51"/>
        <v>Virginia</v>
      </c>
      <c r="C1130" s="27" t="str">
        <f t="shared" si="52"/>
        <v>Floyd</v>
      </c>
      <c r="D1130">
        <v>1</v>
      </c>
      <c r="G1130">
        <v>91</v>
      </c>
      <c r="H1130">
        <v>1932</v>
      </c>
      <c r="I1130">
        <v>1862</v>
      </c>
      <c r="J1130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31" spans="1:10" x14ac:dyDescent="0.25">
      <c r="A1131" s="27" t="s">
        <v>1646</v>
      </c>
      <c r="B1131" s="27" t="str">
        <f t="shared" si="51"/>
        <v>Virginia</v>
      </c>
      <c r="C1131" s="27" t="str">
        <f t="shared" si="52"/>
        <v>Fluvanna</v>
      </c>
      <c r="G1131">
        <v>52</v>
      </c>
      <c r="H1131">
        <v>1932</v>
      </c>
      <c r="I1131">
        <v>1862</v>
      </c>
      <c r="J1131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32" spans="1:10" x14ac:dyDescent="0.25">
      <c r="A1132" s="27" t="s">
        <v>1647</v>
      </c>
      <c r="B1132" s="27" t="str">
        <f t="shared" si="51"/>
        <v>Virginia</v>
      </c>
      <c r="C1132" s="27" t="str">
        <f t="shared" si="52"/>
        <v>Franklin</v>
      </c>
      <c r="G1132">
        <v>135</v>
      </c>
      <c r="H1132">
        <v>1932</v>
      </c>
      <c r="I1132">
        <v>1862</v>
      </c>
      <c r="J1132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33" spans="1:10" x14ac:dyDescent="0.25">
      <c r="A1133" s="27" t="s">
        <v>1648</v>
      </c>
      <c r="B1133" s="27" t="str">
        <f t="shared" si="51"/>
        <v>Virginia</v>
      </c>
      <c r="C1133" s="27" t="str">
        <f t="shared" si="52"/>
        <v>Frederick</v>
      </c>
      <c r="G1133">
        <v>96</v>
      </c>
      <c r="H1133">
        <v>1932</v>
      </c>
      <c r="I1133">
        <v>1862</v>
      </c>
      <c r="J1133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34" spans="1:10" x14ac:dyDescent="0.25">
      <c r="A1134" s="27" t="s">
        <v>1649</v>
      </c>
      <c r="B1134" s="27" t="str">
        <f t="shared" si="51"/>
        <v>Virginia</v>
      </c>
      <c r="C1134" s="27" t="str">
        <f t="shared" si="52"/>
        <v>Giles</v>
      </c>
      <c r="D1134">
        <v>3</v>
      </c>
      <c r="G1134">
        <v>143</v>
      </c>
      <c r="H1134">
        <v>1932</v>
      </c>
      <c r="I1134">
        <v>1862</v>
      </c>
      <c r="J1134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35" spans="1:10" x14ac:dyDescent="0.25">
      <c r="A1135" s="27" t="s">
        <v>1650</v>
      </c>
      <c r="B1135" s="27" t="str">
        <f t="shared" si="51"/>
        <v>Virginia</v>
      </c>
      <c r="C1135" s="27" t="str">
        <f t="shared" si="52"/>
        <v>Gloucester</v>
      </c>
      <c r="G1135">
        <v>83</v>
      </c>
      <c r="H1135">
        <v>1932</v>
      </c>
      <c r="I1135">
        <v>1862</v>
      </c>
      <c r="J1135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36" spans="1:10" x14ac:dyDescent="0.25">
      <c r="A1136" s="27" t="s">
        <v>1651</v>
      </c>
      <c r="B1136" s="27" t="str">
        <f t="shared" si="51"/>
        <v>Virginia</v>
      </c>
      <c r="C1136" s="27" t="str">
        <f t="shared" si="52"/>
        <v>Goochland</v>
      </c>
      <c r="G1136">
        <v>63</v>
      </c>
      <c r="H1136">
        <v>1932</v>
      </c>
      <c r="I1136">
        <v>1862</v>
      </c>
      <c r="J1136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37" spans="1:10" x14ac:dyDescent="0.25">
      <c r="A1137" s="27" t="s">
        <v>1652</v>
      </c>
      <c r="B1137" s="27" t="str">
        <f t="shared" si="51"/>
        <v>Virginia</v>
      </c>
      <c r="C1137" s="27" t="str">
        <f t="shared" si="52"/>
        <v>Grayson</v>
      </c>
      <c r="D1137">
        <v>1</v>
      </c>
      <c r="G1137">
        <v>109</v>
      </c>
      <c r="H1137">
        <v>1932</v>
      </c>
      <c r="I1137">
        <v>1862</v>
      </c>
      <c r="J1137" s="27" t="str">
        <f t="shared" si="53"/>
        <v>https://ia601606.us.archive.org/33/items/FinancialStatisticsOfStateAndLocalGovernmentsWealthDebtAndTaxation1932/Financial_statistics_of_state_and_local_governments_Wealth_debt_and_taxation_1932.pdf#page=1862</v>
      </c>
    </row>
    <row r="1138" spans="1:10" x14ac:dyDescent="0.25">
      <c r="A1138" s="27" t="s">
        <v>1653</v>
      </c>
      <c r="B1138" s="27" t="str">
        <f t="shared" si="51"/>
        <v>Virginia</v>
      </c>
      <c r="C1138" s="27" t="str">
        <f t="shared" si="52"/>
        <v>Greene</v>
      </c>
      <c r="G1138">
        <v>33</v>
      </c>
      <c r="H1138">
        <v>1932</v>
      </c>
      <c r="I1138">
        <v>1863</v>
      </c>
      <c r="J1138" s="27" t="str">
        <f t="shared" si="53"/>
        <v>https://ia601606.us.archive.org/33/items/FinancialStatisticsOfStateAndLocalGovernmentsWealthDebtAndTaxation1932/Financial_statistics_of_state_and_local_governments_Wealth_debt_and_taxation_1932.pdf#page=1863</v>
      </c>
    </row>
    <row r="1139" spans="1:10" x14ac:dyDescent="0.25">
      <c r="A1139" s="27" t="s">
        <v>1654</v>
      </c>
      <c r="B1139" s="27" t="str">
        <f t="shared" si="51"/>
        <v>Virginia</v>
      </c>
      <c r="C1139" s="27" t="str">
        <f t="shared" si="52"/>
        <v>Greensville</v>
      </c>
      <c r="D1139">
        <v>4</v>
      </c>
      <c r="G1139">
        <v>81</v>
      </c>
      <c r="H1139">
        <v>1932</v>
      </c>
      <c r="I1139">
        <v>1863</v>
      </c>
      <c r="J1139" s="27" t="str">
        <f t="shared" si="53"/>
        <v>https://ia601606.us.archive.org/33/items/FinancialStatisticsOfStateAndLocalGovernmentsWealthDebtAndTaxation1932/Financial_statistics_of_state_and_local_governments_Wealth_debt_and_taxation_1932.pdf#page=1863</v>
      </c>
    </row>
    <row r="1140" spans="1:10" x14ac:dyDescent="0.25">
      <c r="A1140" s="27" t="s">
        <v>1655</v>
      </c>
      <c r="B1140" s="27" t="str">
        <f t="shared" si="51"/>
        <v>Virginia</v>
      </c>
      <c r="C1140" s="27" t="str">
        <f t="shared" si="52"/>
        <v>Halifax</v>
      </c>
      <c r="D1140">
        <v>6</v>
      </c>
      <c r="G1140">
        <v>222</v>
      </c>
      <c r="H1140">
        <v>1932</v>
      </c>
      <c r="I1140">
        <v>1863</v>
      </c>
      <c r="J1140" s="27" t="str">
        <f t="shared" si="53"/>
        <v>https://ia601606.us.archive.org/33/items/FinancialStatisticsOfStateAndLocalGovernmentsWealthDebtAndTaxation1932/Financial_statistics_of_state_and_local_governments_Wealth_debt_and_taxation_1932.pdf#page=1863</v>
      </c>
    </row>
    <row r="1141" spans="1:10" x14ac:dyDescent="0.25">
      <c r="A1141" s="27" t="s">
        <v>1656</v>
      </c>
      <c r="B1141" s="27" t="str">
        <f t="shared" si="51"/>
        <v>Virginia</v>
      </c>
      <c r="C1141" s="27" t="str">
        <f t="shared" si="52"/>
        <v>Hanover</v>
      </c>
      <c r="D1141">
        <v>1</v>
      </c>
      <c r="G1141">
        <v>124</v>
      </c>
      <c r="H1141">
        <v>1932</v>
      </c>
      <c r="I1141">
        <v>1863</v>
      </c>
      <c r="J1141" s="27" t="str">
        <f t="shared" si="53"/>
        <v>https://ia601606.us.archive.org/33/items/FinancialStatisticsOfStateAndLocalGovernmentsWealthDebtAndTaxation1932/Financial_statistics_of_state_and_local_governments_Wealth_debt_and_taxation_1932.pdf#page=1863</v>
      </c>
    </row>
    <row r="1142" spans="1:10" x14ac:dyDescent="0.25">
      <c r="A1142" s="27" t="s">
        <v>1657</v>
      </c>
      <c r="B1142" s="27" t="str">
        <f t="shared" si="51"/>
        <v>Virginia</v>
      </c>
      <c r="C1142" s="27" t="str">
        <f t="shared" si="52"/>
        <v>Henrico</v>
      </c>
      <c r="D1142">
        <v>9</v>
      </c>
      <c r="G1142">
        <v>253</v>
      </c>
      <c r="H1142">
        <v>1932</v>
      </c>
      <c r="I1142">
        <v>1863</v>
      </c>
      <c r="J1142" s="27" t="str">
        <f t="shared" si="53"/>
        <v>https://ia601606.us.archive.org/33/items/FinancialStatisticsOfStateAndLocalGovernmentsWealthDebtAndTaxation1932/Financial_statistics_of_state_and_local_governments_Wealth_debt_and_taxation_1932.pdf#page=1863</v>
      </c>
    </row>
    <row r="1143" spans="1:10" x14ac:dyDescent="0.25">
      <c r="A1143" s="27" t="s">
        <v>1658</v>
      </c>
      <c r="B1143" s="27" t="str">
        <f t="shared" si="51"/>
        <v>Virginia</v>
      </c>
      <c r="C1143" s="27" t="str">
        <f t="shared" si="52"/>
        <v>Henry</v>
      </c>
      <c r="D1143">
        <v>1</v>
      </c>
      <c r="G1143">
        <v>118</v>
      </c>
      <c r="H1143">
        <v>1932</v>
      </c>
      <c r="I1143">
        <v>1863</v>
      </c>
      <c r="J1143" s="27" t="str">
        <f t="shared" si="53"/>
        <v>https://ia601606.us.archive.org/33/items/FinancialStatisticsOfStateAndLocalGovernmentsWealthDebtAndTaxation1932/Financial_statistics_of_state_and_local_governments_Wealth_debt_and_taxation_1932.pdf#page=1863</v>
      </c>
    </row>
    <row r="1144" spans="1:10" x14ac:dyDescent="0.25">
      <c r="A1144" s="27" t="s">
        <v>1659</v>
      </c>
      <c r="B1144" s="27" t="str">
        <f t="shared" si="51"/>
        <v>Virginia</v>
      </c>
      <c r="C1144" s="27" t="str">
        <f t="shared" si="52"/>
        <v>Highland</v>
      </c>
      <c r="G1144">
        <v>42</v>
      </c>
      <c r="H1144">
        <v>1932</v>
      </c>
      <c r="I1144">
        <v>1863</v>
      </c>
      <c r="J1144" s="27" t="str">
        <f t="shared" si="53"/>
        <v>https://ia601606.us.archive.org/33/items/FinancialStatisticsOfStateAndLocalGovernmentsWealthDebtAndTaxation1932/Financial_statistics_of_state_and_local_governments_Wealth_debt_and_taxation_1932.pdf#page=1863</v>
      </c>
    </row>
    <row r="1145" spans="1:10" x14ac:dyDescent="0.25">
      <c r="A1145" s="27" t="s">
        <v>1660</v>
      </c>
      <c r="B1145" s="27" t="str">
        <f t="shared" si="51"/>
        <v>Virginia</v>
      </c>
      <c r="C1145" s="27" t="str">
        <f t="shared" si="52"/>
        <v>Isle of Wight</v>
      </c>
      <c r="D1145">
        <v>4</v>
      </c>
      <c r="G1145">
        <v>111</v>
      </c>
      <c r="H1145">
        <v>1932</v>
      </c>
      <c r="I1145">
        <v>1863</v>
      </c>
      <c r="J1145" s="27" t="str">
        <f t="shared" si="53"/>
        <v>https://ia601606.us.archive.org/33/items/FinancialStatisticsOfStateAndLocalGovernmentsWealthDebtAndTaxation1932/Financial_statistics_of_state_and_local_governments_Wealth_debt_and_taxation_1932.pdf#page=1863</v>
      </c>
    </row>
    <row r="1146" spans="1:10" x14ac:dyDescent="0.25">
      <c r="A1146" s="27" t="s">
        <v>1661</v>
      </c>
      <c r="B1146" s="27" t="str">
        <f t="shared" si="51"/>
        <v>Virginia</v>
      </c>
      <c r="C1146" s="27" t="str">
        <f t="shared" si="52"/>
        <v>James City</v>
      </c>
      <c r="D1146">
        <v>1</v>
      </c>
      <c r="G1146">
        <v>42</v>
      </c>
      <c r="H1146">
        <v>1932</v>
      </c>
      <c r="I1146">
        <v>1864</v>
      </c>
      <c r="J1146" s="27" t="str">
        <f t="shared" si="53"/>
        <v>https://ia601606.us.archive.org/33/items/FinancialStatisticsOfStateAndLocalGovernmentsWealthDebtAndTaxation1932/Financial_statistics_of_state_and_local_governments_Wealth_debt_and_taxation_1932.pdf#page=1864</v>
      </c>
    </row>
    <row r="1147" spans="1:10" x14ac:dyDescent="0.25">
      <c r="A1147" s="27" t="s">
        <v>1662</v>
      </c>
      <c r="B1147" s="27" t="str">
        <f t="shared" si="51"/>
        <v>Virginia</v>
      </c>
      <c r="C1147" s="27" t="str">
        <f t="shared" si="52"/>
        <v>King and Queen</v>
      </c>
      <c r="D1147">
        <v>1</v>
      </c>
      <c r="G1147">
        <v>55</v>
      </c>
      <c r="H1147">
        <v>1932</v>
      </c>
      <c r="I1147">
        <v>1864</v>
      </c>
      <c r="J1147" s="27" t="str">
        <f t="shared" si="53"/>
        <v>https://ia601606.us.archive.org/33/items/FinancialStatisticsOfStateAndLocalGovernmentsWealthDebtAndTaxation1932/Financial_statistics_of_state_and_local_governments_Wealth_debt_and_taxation_1932.pdf#page=1864</v>
      </c>
    </row>
    <row r="1148" spans="1:10" x14ac:dyDescent="0.25">
      <c r="A1148" s="27" t="s">
        <v>1663</v>
      </c>
      <c r="B1148" s="27" t="str">
        <f t="shared" si="51"/>
        <v>Virginia</v>
      </c>
      <c r="C1148" s="27" t="str">
        <f t="shared" si="52"/>
        <v>King George</v>
      </c>
      <c r="D1148">
        <v>1</v>
      </c>
      <c r="G1148">
        <v>33</v>
      </c>
      <c r="H1148">
        <v>1932</v>
      </c>
      <c r="I1148">
        <v>1864</v>
      </c>
      <c r="J1148" s="27" t="str">
        <f t="shared" si="53"/>
        <v>https://ia601606.us.archive.org/33/items/FinancialStatisticsOfStateAndLocalGovernmentsWealthDebtAndTaxation1932/Financial_statistics_of_state_and_local_governments_Wealth_debt_and_taxation_1932.pdf#page=1864</v>
      </c>
    </row>
    <row r="1149" spans="1:10" x14ac:dyDescent="0.25">
      <c r="A1149" s="27" t="s">
        <v>1664</v>
      </c>
      <c r="B1149" s="27" t="str">
        <f t="shared" si="51"/>
        <v>Virginia</v>
      </c>
      <c r="C1149" s="27" t="str">
        <f t="shared" si="52"/>
        <v>King William</v>
      </c>
      <c r="G1149">
        <v>50</v>
      </c>
      <c r="H1149">
        <v>1932</v>
      </c>
      <c r="I1149">
        <v>1864</v>
      </c>
      <c r="J1149" s="27" t="str">
        <f t="shared" si="53"/>
        <v>https://ia601606.us.archive.org/33/items/FinancialStatisticsOfStateAndLocalGovernmentsWealthDebtAndTaxation1932/Financial_statistics_of_state_and_local_governments_Wealth_debt_and_taxation_1932.pdf#page=1864</v>
      </c>
    </row>
    <row r="1150" spans="1:10" x14ac:dyDescent="0.25">
      <c r="A1150" s="27" t="s">
        <v>1665</v>
      </c>
      <c r="B1150" s="27" t="str">
        <f t="shared" si="51"/>
        <v>Virginia</v>
      </c>
      <c r="C1150" s="27" t="str">
        <f t="shared" si="52"/>
        <v>Lancaster</v>
      </c>
      <c r="D1150">
        <v>2</v>
      </c>
      <c r="G1150">
        <v>54</v>
      </c>
      <c r="H1150">
        <v>1932</v>
      </c>
      <c r="I1150">
        <v>1864</v>
      </c>
      <c r="J1150" s="27" t="str">
        <f t="shared" si="53"/>
        <v>https://ia601606.us.archive.org/33/items/FinancialStatisticsOfStateAndLocalGovernmentsWealthDebtAndTaxation1932/Financial_statistics_of_state_and_local_governments_Wealth_debt_and_taxation_1932.pdf#page=1864</v>
      </c>
    </row>
    <row r="1151" spans="1:10" x14ac:dyDescent="0.25">
      <c r="A1151" s="27" t="s">
        <v>1666</v>
      </c>
      <c r="B1151" s="27" t="str">
        <f t="shared" si="51"/>
        <v>Virginia</v>
      </c>
      <c r="C1151" s="27" t="str">
        <f t="shared" si="52"/>
        <v>Lee</v>
      </c>
      <c r="G1151">
        <v>152</v>
      </c>
      <c r="H1151">
        <v>1932</v>
      </c>
      <c r="I1151">
        <v>1864</v>
      </c>
      <c r="J1151" s="27" t="str">
        <f t="shared" si="53"/>
        <v>https://ia601606.us.archive.org/33/items/FinancialStatisticsOfStateAndLocalGovernmentsWealthDebtAndTaxation1932/Financial_statistics_of_state_and_local_governments_Wealth_debt_and_taxation_1932.pdf#page=1864</v>
      </c>
    </row>
    <row r="1152" spans="1:10" x14ac:dyDescent="0.25">
      <c r="A1152" s="27" t="s">
        <v>1667</v>
      </c>
      <c r="B1152" s="27" t="str">
        <f t="shared" si="51"/>
        <v>Virginia</v>
      </c>
      <c r="C1152" s="27" t="str">
        <f t="shared" si="52"/>
        <v>Loudoun</v>
      </c>
      <c r="D1152">
        <v>2</v>
      </c>
      <c r="G1152">
        <v>172</v>
      </c>
      <c r="H1152">
        <v>1932</v>
      </c>
      <c r="I1152">
        <v>1864</v>
      </c>
      <c r="J1152" s="27" t="str">
        <f t="shared" si="53"/>
        <v>https://ia601606.us.archive.org/33/items/FinancialStatisticsOfStateAndLocalGovernmentsWealthDebtAndTaxation1932/Financial_statistics_of_state_and_local_governments_Wealth_debt_and_taxation_1932.pdf#page=1864</v>
      </c>
    </row>
    <row r="1153" spans="1:10" x14ac:dyDescent="0.25">
      <c r="A1153" s="27" t="s">
        <v>1668</v>
      </c>
      <c r="B1153" s="27" t="str">
        <f t="shared" si="51"/>
        <v>Virginia</v>
      </c>
      <c r="C1153" s="27" t="str">
        <f t="shared" si="52"/>
        <v>Louisa</v>
      </c>
      <c r="G1153">
        <v>96</v>
      </c>
      <c r="H1153">
        <v>1932</v>
      </c>
      <c r="I1153">
        <v>1864</v>
      </c>
      <c r="J1153" s="27" t="str">
        <f t="shared" si="53"/>
        <v>https://ia601606.us.archive.org/33/items/FinancialStatisticsOfStateAndLocalGovernmentsWealthDebtAndTaxation1932/Financial_statistics_of_state_and_local_governments_Wealth_debt_and_taxation_1932.pdf#page=1864</v>
      </c>
    </row>
    <row r="1154" spans="1:10" x14ac:dyDescent="0.25">
      <c r="A1154" s="27" t="s">
        <v>1669</v>
      </c>
      <c r="B1154" s="27" t="str">
        <f t="shared" si="51"/>
        <v>Virginia</v>
      </c>
      <c r="C1154" s="27" t="str">
        <f t="shared" si="52"/>
        <v>Lunenburg</v>
      </c>
      <c r="D1154">
        <v>1</v>
      </c>
      <c r="G1154">
        <v>98</v>
      </c>
      <c r="H1154">
        <v>1932</v>
      </c>
      <c r="I1154">
        <v>1864</v>
      </c>
      <c r="J1154" s="27" t="str">
        <f t="shared" si="53"/>
        <v>https://ia601606.us.archive.org/33/items/FinancialStatisticsOfStateAndLocalGovernmentsWealthDebtAndTaxation1932/Financial_statistics_of_state_and_local_governments_Wealth_debt_and_taxation_1932.pdf#page=1864</v>
      </c>
    </row>
    <row r="1155" spans="1:10" x14ac:dyDescent="0.25">
      <c r="A1155" s="27" t="s">
        <v>1670</v>
      </c>
      <c r="B1155" s="27" t="str">
        <f t="shared" ref="B1155:B1218" si="54">LEFT(A1155,FIND(";",A1155)-1)</f>
        <v>Virginia</v>
      </c>
      <c r="C1155" s="27" t="str">
        <f t="shared" ref="C1155:C1218" si="55">MID(A1155,FIND(";",A1155)+1,100)</f>
        <v>Madison</v>
      </c>
      <c r="G1155">
        <v>62</v>
      </c>
      <c r="H1155">
        <v>1932</v>
      </c>
      <c r="I1155">
        <v>1864</v>
      </c>
      <c r="J1155" s="27" t="str">
        <f t="shared" ref="J1155:J1218" si="56">"https://ia601606.us.archive.org/33/items/FinancialStatisticsOfStateAndLocalGovernmentsWealthDebtAndTaxation1932/Financial_statistics_of_state_and_local_governments_Wealth_debt_and_taxation_1932.pdf"&amp;"#page="&amp;I1155</f>
        <v>https://ia601606.us.archive.org/33/items/FinancialStatisticsOfStateAndLocalGovernmentsWealthDebtAndTaxation1932/Financial_statistics_of_state_and_local_governments_Wealth_debt_and_taxation_1932.pdf#page=1864</v>
      </c>
    </row>
    <row r="1156" spans="1:10" x14ac:dyDescent="0.25">
      <c r="A1156" s="27" t="s">
        <v>1671</v>
      </c>
      <c r="B1156" s="27" t="str">
        <f t="shared" si="54"/>
        <v>Virginia</v>
      </c>
      <c r="C1156" s="27" t="str">
        <f t="shared" si="55"/>
        <v>Mathews</v>
      </c>
      <c r="D1156">
        <v>1</v>
      </c>
      <c r="G1156">
        <v>59</v>
      </c>
      <c r="H1156">
        <v>1932</v>
      </c>
      <c r="I1156">
        <v>1864</v>
      </c>
      <c r="J1156" s="27" t="str">
        <f t="shared" si="56"/>
        <v>https://ia601606.us.archive.org/33/items/FinancialStatisticsOfStateAndLocalGovernmentsWealthDebtAndTaxation1932/Financial_statistics_of_state_and_local_governments_Wealth_debt_and_taxation_1932.pdf#page=1864</v>
      </c>
    </row>
    <row r="1157" spans="1:10" x14ac:dyDescent="0.25">
      <c r="A1157" s="27" t="s">
        <v>1771</v>
      </c>
      <c r="B1157" s="27" t="str">
        <f t="shared" si="54"/>
        <v>Virginia</v>
      </c>
      <c r="C1157" s="27" t="str">
        <f t="shared" si="55"/>
        <v>Mecklenburg</v>
      </c>
      <c r="D1157">
        <v>1</v>
      </c>
      <c r="G1157">
        <v>198</v>
      </c>
      <c r="H1157">
        <v>1932</v>
      </c>
      <c r="I1157">
        <v>1864</v>
      </c>
      <c r="J1157" s="27" t="str">
        <f t="shared" si="56"/>
        <v>https://ia601606.us.archive.org/33/items/FinancialStatisticsOfStateAndLocalGovernmentsWealthDebtAndTaxation1932/Financial_statistics_of_state_and_local_governments_Wealth_debt_and_taxation_1932.pdf#page=1864</v>
      </c>
    </row>
    <row r="1158" spans="1:10" x14ac:dyDescent="0.25">
      <c r="A1158" s="27" t="s">
        <v>1672</v>
      </c>
      <c r="B1158" s="27" t="str">
        <f t="shared" si="54"/>
        <v>Virginia</v>
      </c>
      <c r="C1158" s="27" t="str">
        <f t="shared" si="55"/>
        <v>Middlesex</v>
      </c>
      <c r="D1158">
        <v>1</v>
      </c>
      <c r="G1158">
        <v>56</v>
      </c>
      <c r="H1158">
        <v>1932</v>
      </c>
      <c r="I1158">
        <v>1864</v>
      </c>
      <c r="J1158" s="27" t="str">
        <f t="shared" si="56"/>
        <v>https://ia601606.us.archive.org/33/items/FinancialStatisticsOfStateAndLocalGovernmentsWealthDebtAndTaxation1932/Financial_statistics_of_state_and_local_governments_Wealth_debt_and_taxation_1932.pdf#page=1864</v>
      </c>
    </row>
    <row r="1159" spans="1:10" x14ac:dyDescent="0.25">
      <c r="A1159" s="27" t="s">
        <v>1673</v>
      </c>
      <c r="B1159" s="27" t="str">
        <f t="shared" si="54"/>
        <v>Virginia</v>
      </c>
      <c r="C1159" s="27" t="str">
        <f t="shared" si="55"/>
        <v>Montgomery</v>
      </c>
      <c r="D1159">
        <v>1</v>
      </c>
      <c r="G1159">
        <v>144</v>
      </c>
      <c r="H1159">
        <v>1932</v>
      </c>
      <c r="I1159">
        <v>1864</v>
      </c>
      <c r="J1159" s="27" t="str">
        <f t="shared" si="56"/>
        <v>https://ia601606.us.archive.org/33/items/FinancialStatisticsOfStateAndLocalGovernmentsWealthDebtAndTaxation1932/Financial_statistics_of_state_and_local_governments_Wealth_debt_and_taxation_1932.pdf#page=1864</v>
      </c>
    </row>
    <row r="1160" spans="1:10" x14ac:dyDescent="0.25">
      <c r="A1160" s="27" t="s">
        <v>1674</v>
      </c>
      <c r="B1160" s="27" t="str">
        <f t="shared" si="54"/>
        <v>Virginia</v>
      </c>
      <c r="C1160" s="27" t="str">
        <f t="shared" si="55"/>
        <v>Nansemond</v>
      </c>
      <c r="D1160">
        <v>5</v>
      </c>
      <c r="G1160">
        <v>175</v>
      </c>
      <c r="H1160">
        <v>1932</v>
      </c>
      <c r="I1160">
        <v>1865</v>
      </c>
      <c r="J1160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61" spans="1:10" x14ac:dyDescent="0.25">
      <c r="A1161" s="27" t="s">
        <v>1675</v>
      </c>
      <c r="B1161" s="27" t="str">
        <f t="shared" si="54"/>
        <v>Virginia</v>
      </c>
      <c r="C1161" s="27" t="str">
        <f t="shared" si="55"/>
        <v>Nelson</v>
      </c>
      <c r="G1161">
        <v>102</v>
      </c>
      <c r="H1161">
        <v>1932</v>
      </c>
      <c r="I1161">
        <v>1865</v>
      </c>
      <c r="J1161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62" spans="1:10" x14ac:dyDescent="0.25">
      <c r="A1162" s="27" t="s">
        <v>1676</v>
      </c>
      <c r="B1162" s="27" t="str">
        <f t="shared" si="54"/>
        <v>Virginia</v>
      </c>
      <c r="C1162" s="27" t="str">
        <f t="shared" si="55"/>
        <v>New Kent</v>
      </c>
      <c r="G1162">
        <v>37</v>
      </c>
      <c r="H1162">
        <v>1932</v>
      </c>
      <c r="I1162">
        <v>1865</v>
      </c>
      <c r="J1162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63" spans="1:10" x14ac:dyDescent="0.25">
      <c r="A1163" s="27" t="s">
        <v>1677</v>
      </c>
      <c r="B1163" s="27" t="str">
        <f t="shared" si="54"/>
        <v>Virginia</v>
      </c>
      <c r="C1163" s="27" t="str">
        <f t="shared" si="55"/>
        <v>Norfolk</v>
      </c>
      <c r="D1163">
        <v>14</v>
      </c>
      <c r="G1163">
        <v>255</v>
      </c>
      <c r="H1163">
        <v>1932</v>
      </c>
      <c r="I1163">
        <v>1865</v>
      </c>
      <c r="J1163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64" spans="1:10" x14ac:dyDescent="0.25">
      <c r="A1164" s="27" t="s">
        <v>1678</v>
      </c>
      <c r="B1164" s="27" t="str">
        <f t="shared" si="54"/>
        <v>Virginia</v>
      </c>
      <c r="C1164" s="27" t="str">
        <f t="shared" si="55"/>
        <v>Northampton</v>
      </c>
      <c r="D1164">
        <v>4</v>
      </c>
      <c r="G1164">
        <v>128</v>
      </c>
      <c r="H1164">
        <v>1932</v>
      </c>
      <c r="I1164">
        <v>1865</v>
      </c>
      <c r="J1164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65" spans="1:10" x14ac:dyDescent="0.25">
      <c r="A1165" s="27" t="s">
        <v>1679</v>
      </c>
      <c r="B1165" s="27" t="str">
        <f t="shared" si="54"/>
        <v>Virginia</v>
      </c>
      <c r="C1165" s="27" t="str">
        <f t="shared" si="55"/>
        <v>Northumberland</v>
      </c>
      <c r="D1165">
        <v>3</v>
      </c>
      <c r="G1165">
        <v>74</v>
      </c>
      <c r="H1165">
        <v>1932</v>
      </c>
      <c r="I1165">
        <v>1865</v>
      </c>
      <c r="J1165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66" spans="1:10" x14ac:dyDescent="0.25">
      <c r="A1166" s="27" t="s">
        <v>1680</v>
      </c>
      <c r="B1166" s="27" t="str">
        <f t="shared" si="54"/>
        <v>Virginia</v>
      </c>
      <c r="C1166" s="27" t="str">
        <f t="shared" si="55"/>
        <v>Nottoway</v>
      </c>
      <c r="G1166">
        <v>136</v>
      </c>
      <c r="H1166">
        <v>1932</v>
      </c>
      <c r="I1166">
        <v>1865</v>
      </c>
      <c r="J1166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67" spans="1:10" x14ac:dyDescent="0.25">
      <c r="A1167" s="27" t="s">
        <v>1681</v>
      </c>
      <c r="B1167" s="27" t="str">
        <f t="shared" si="54"/>
        <v>Virginia</v>
      </c>
      <c r="C1167" s="27" t="str">
        <f t="shared" si="55"/>
        <v>Orange</v>
      </c>
      <c r="G1167">
        <v>104</v>
      </c>
      <c r="H1167">
        <v>1932</v>
      </c>
      <c r="I1167">
        <v>1865</v>
      </c>
      <c r="J1167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68" spans="1:10" x14ac:dyDescent="0.25">
      <c r="A1168" s="27" t="s">
        <v>1682</v>
      </c>
      <c r="B1168" s="27" t="str">
        <f t="shared" si="54"/>
        <v>Virginia</v>
      </c>
      <c r="C1168" s="27" t="str">
        <f t="shared" si="55"/>
        <v>Page</v>
      </c>
      <c r="G1168">
        <v>91</v>
      </c>
      <c r="H1168">
        <v>1932</v>
      </c>
      <c r="I1168">
        <v>1865</v>
      </c>
      <c r="J1168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69" spans="1:10" x14ac:dyDescent="0.25">
      <c r="A1169" s="27" t="s">
        <v>1683</v>
      </c>
      <c r="B1169" s="27" t="str">
        <f t="shared" si="54"/>
        <v>Virginia</v>
      </c>
      <c r="C1169" s="27" t="str">
        <f t="shared" si="55"/>
        <v>Patrick</v>
      </c>
      <c r="G1169">
        <v>108</v>
      </c>
      <c r="H1169">
        <v>1932</v>
      </c>
      <c r="I1169">
        <v>1865</v>
      </c>
      <c r="J1169" s="27" t="str">
        <f t="shared" si="56"/>
        <v>https://ia601606.us.archive.org/33/items/FinancialStatisticsOfStateAndLocalGovernmentsWealthDebtAndTaxation1932/Financial_statistics_of_state_and_local_governments_Wealth_debt_and_taxation_1932.pdf#page=1865</v>
      </c>
    </row>
    <row r="1170" spans="1:10" x14ac:dyDescent="0.25">
      <c r="A1170" s="27" t="s">
        <v>1684</v>
      </c>
      <c r="B1170" s="27" t="str">
        <f t="shared" si="54"/>
        <v>Virginia</v>
      </c>
      <c r="C1170" s="27" t="str">
        <f t="shared" si="55"/>
        <v>Pittsylvania</v>
      </c>
      <c r="D1170">
        <v>2</v>
      </c>
      <c r="G1170">
        <v>350</v>
      </c>
      <c r="H1170">
        <v>1932</v>
      </c>
      <c r="I1170">
        <v>1866</v>
      </c>
      <c r="J1170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71" spans="1:10" x14ac:dyDescent="0.25">
      <c r="A1171" s="27" t="s">
        <v>1685</v>
      </c>
      <c r="B1171" s="27" t="str">
        <f t="shared" si="54"/>
        <v>Virginia</v>
      </c>
      <c r="C1171" s="27" t="str">
        <f t="shared" si="55"/>
        <v>Powhatan</v>
      </c>
      <c r="G1171">
        <v>38</v>
      </c>
      <c r="H1171">
        <v>1932</v>
      </c>
      <c r="I1171">
        <v>1866</v>
      </c>
      <c r="J1171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72" spans="1:10" x14ac:dyDescent="0.25">
      <c r="A1172" s="27" t="s">
        <v>1686</v>
      </c>
      <c r="B1172" s="27" t="str">
        <f t="shared" si="54"/>
        <v>Virginia</v>
      </c>
      <c r="C1172" s="27" t="str">
        <f t="shared" si="55"/>
        <v>Prince Edward</v>
      </c>
      <c r="D1172">
        <v>6</v>
      </c>
      <c r="G1172">
        <v>101</v>
      </c>
      <c r="H1172">
        <v>1932</v>
      </c>
      <c r="I1172">
        <v>1866</v>
      </c>
      <c r="J1172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73" spans="1:10" x14ac:dyDescent="0.25">
      <c r="A1173" s="27" t="s">
        <v>1687</v>
      </c>
      <c r="B1173" s="27" t="str">
        <f t="shared" si="54"/>
        <v>Virginia</v>
      </c>
      <c r="C1173" s="27" t="str">
        <f t="shared" si="55"/>
        <v>Prince George</v>
      </c>
      <c r="D1173">
        <v>1</v>
      </c>
      <c r="G1173">
        <v>104</v>
      </c>
      <c r="H1173">
        <v>1932</v>
      </c>
      <c r="I1173">
        <v>1866</v>
      </c>
      <c r="J1173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74" spans="1:10" x14ac:dyDescent="0.25">
      <c r="A1174" s="27" t="s">
        <v>1688</v>
      </c>
      <c r="B1174" s="27" t="str">
        <f t="shared" si="54"/>
        <v>Virginia</v>
      </c>
      <c r="C1174" s="27" t="str">
        <f t="shared" si="55"/>
        <v>Princess Anne</v>
      </c>
      <c r="D1174">
        <v>4</v>
      </c>
      <c r="G1174">
        <v>134</v>
      </c>
      <c r="H1174">
        <v>1932</v>
      </c>
      <c r="I1174">
        <v>1866</v>
      </c>
      <c r="J1174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75" spans="1:10" x14ac:dyDescent="0.25">
      <c r="A1175" s="27" t="s">
        <v>1689</v>
      </c>
      <c r="B1175" s="27" t="str">
        <f t="shared" si="54"/>
        <v>Virginia</v>
      </c>
      <c r="C1175" s="27" t="str">
        <f t="shared" si="55"/>
        <v>Prince William</v>
      </c>
      <c r="D1175">
        <v>3</v>
      </c>
      <c r="G1175">
        <v>95</v>
      </c>
      <c r="H1175">
        <v>1932</v>
      </c>
      <c r="I1175">
        <v>1866</v>
      </c>
      <c r="J1175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76" spans="1:10" x14ac:dyDescent="0.25">
      <c r="A1176" s="27" t="s">
        <v>1690</v>
      </c>
      <c r="B1176" s="27" t="str">
        <f t="shared" si="54"/>
        <v>Virginia</v>
      </c>
      <c r="C1176" s="27" t="str">
        <f t="shared" si="55"/>
        <v>Pulaski</v>
      </c>
      <c r="D1176">
        <v>3</v>
      </c>
      <c r="G1176">
        <v>129</v>
      </c>
      <c r="H1176">
        <v>1932</v>
      </c>
      <c r="I1176">
        <v>1866</v>
      </c>
      <c r="J1176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77" spans="1:10" x14ac:dyDescent="0.25">
      <c r="A1177" s="27" t="s">
        <v>1691</v>
      </c>
      <c r="B1177" s="27" t="str">
        <f t="shared" si="54"/>
        <v>Virginia</v>
      </c>
      <c r="C1177" s="27" t="str">
        <f t="shared" si="55"/>
        <v>Rappahannock</v>
      </c>
      <c r="G1177">
        <v>54</v>
      </c>
      <c r="H1177">
        <v>1932</v>
      </c>
      <c r="I1177">
        <v>1866</v>
      </c>
      <c r="J1177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78" spans="1:10" x14ac:dyDescent="0.25">
      <c r="A1178" s="27" t="s">
        <v>1692</v>
      </c>
      <c r="B1178" s="27" t="str">
        <f t="shared" si="54"/>
        <v>Virginia</v>
      </c>
      <c r="C1178" s="27" t="str">
        <f t="shared" si="55"/>
        <v>Richmond</v>
      </c>
      <c r="D1178">
        <v>1</v>
      </c>
      <c r="G1178">
        <v>46</v>
      </c>
      <c r="H1178">
        <v>1932</v>
      </c>
      <c r="I1178">
        <v>1866</v>
      </c>
      <c r="J1178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79" spans="1:10" x14ac:dyDescent="0.25">
      <c r="A1179" s="27" t="s">
        <v>1693</v>
      </c>
      <c r="B1179" s="27" t="str">
        <f t="shared" si="54"/>
        <v>Virginia</v>
      </c>
      <c r="C1179" s="27" t="str">
        <f t="shared" si="55"/>
        <v>Roanoke</v>
      </c>
      <c r="D1179">
        <v>1</v>
      </c>
      <c r="G1179">
        <v>237</v>
      </c>
      <c r="H1179">
        <v>1932</v>
      </c>
      <c r="I1179">
        <v>1866</v>
      </c>
      <c r="J1179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80" spans="1:10" x14ac:dyDescent="0.25">
      <c r="A1180" s="27" t="s">
        <v>1694</v>
      </c>
      <c r="B1180" s="27" t="str">
        <f t="shared" si="54"/>
        <v>Virginia</v>
      </c>
      <c r="C1180" s="27" t="str">
        <f t="shared" si="55"/>
        <v>Rockbridge</v>
      </c>
      <c r="D1180">
        <v>3</v>
      </c>
      <c r="G1180">
        <v>141</v>
      </c>
      <c r="H1180">
        <v>1932</v>
      </c>
      <c r="I1180">
        <v>1866</v>
      </c>
      <c r="J1180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81" spans="1:10" x14ac:dyDescent="0.25">
      <c r="A1181" s="27" t="s">
        <v>1695</v>
      </c>
      <c r="B1181" s="27" t="str">
        <f t="shared" si="54"/>
        <v>Virginia</v>
      </c>
      <c r="C1181" s="27" t="str">
        <f t="shared" si="55"/>
        <v>Rockingham</v>
      </c>
      <c r="D1181">
        <v>3</v>
      </c>
      <c r="G1181">
        <v>218</v>
      </c>
      <c r="H1181">
        <v>1932</v>
      </c>
      <c r="I1181">
        <v>1866</v>
      </c>
      <c r="J1181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82" spans="1:10" x14ac:dyDescent="0.25">
      <c r="A1182" s="27" t="s">
        <v>1696</v>
      </c>
      <c r="B1182" s="27" t="str">
        <f t="shared" si="54"/>
        <v>Virginia</v>
      </c>
      <c r="C1182" s="27" t="str">
        <f t="shared" si="55"/>
        <v>Russell</v>
      </c>
      <c r="G1182">
        <v>174</v>
      </c>
      <c r="H1182">
        <v>1932</v>
      </c>
      <c r="I1182">
        <v>1866</v>
      </c>
      <c r="J1182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83" spans="1:10" x14ac:dyDescent="0.25">
      <c r="A1183" s="27" t="s">
        <v>1697</v>
      </c>
      <c r="B1183" s="27" t="str">
        <f t="shared" si="54"/>
        <v>Virginia</v>
      </c>
      <c r="C1183" s="27" t="str">
        <f t="shared" si="55"/>
        <v>Scott</v>
      </c>
      <c r="G1183">
        <v>124</v>
      </c>
      <c r="H1183">
        <v>1932</v>
      </c>
      <c r="I1183">
        <v>1866</v>
      </c>
      <c r="J1183" s="27" t="str">
        <f t="shared" si="56"/>
        <v>https://ia601606.us.archive.org/33/items/FinancialStatisticsOfStateAndLocalGovernmentsWealthDebtAndTaxation1932/Financial_statistics_of_state_and_local_governments_Wealth_debt_and_taxation_1932.pdf#page=1866</v>
      </c>
    </row>
    <row r="1184" spans="1:10" x14ac:dyDescent="0.25">
      <c r="A1184" s="27" t="s">
        <v>1698</v>
      </c>
      <c r="B1184" s="27" t="str">
        <f t="shared" si="54"/>
        <v>Virginia</v>
      </c>
      <c r="C1184" s="27" t="str">
        <f t="shared" si="55"/>
        <v>Shenandoah</v>
      </c>
      <c r="G1184">
        <v>136</v>
      </c>
      <c r="H1184">
        <v>1932</v>
      </c>
      <c r="I1184">
        <v>1867</v>
      </c>
      <c r="J1184" s="27" t="str">
        <f t="shared" si="56"/>
        <v>https://ia601606.us.archive.org/33/items/FinancialStatisticsOfStateAndLocalGovernmentsWealthDebtAndTaxation1932/Financial_statistics_of_state_and_local_governments_Wealth_debt_and_taxation_1932.pdf#page=1867</v>
      </c>
    </row>
    <row r="1185" spans="1:10" x14ac:dyDescent="0.25">
      <c r="A1185" s="27" t="s">
        <v>1699</v>
      </c>
      <c r="B1185" s="27" t="str">
        <f t="shared" si="54"/>
        <v>Virginia</v>
      </c>
      <c r="C1185" s="27" t="str">
        <f t="shared" si="55"/>
        <v>Smyth</v>
      </c>
      <c r="D1185">
        <v>2</v>
      </c>
      <c r="G1185">
        <v>143</v>
      </c>
      <c r="H1185">
        <v>1932</v>
      </c>
      <c r="I1185">
        <v>1867</v>
      </c>
      <c r="J1185" s="27" t="str">
        <f t="shared" si="56"/>
        <v>https://ia601606.us.archive.org/33/items/FinancialStatisticsOfStateAndLocalGovernmentsWealthDebtAndTaxation1932/Financial_statistics_of_state_and_local_governments_Wealth_debt_and_taxation_1932.pdf#page=1867</v>
      </c>
    </row>
    <row r="1186" spans="1:10" x14ac:dyDescent="0.25">
      <c r="A1186" s="27" t="s">
        <v>1700</v>
      </c>
      <c r="B1186" s="27" t="str">
        <f t="shared" si="54"/>
        <v>Virginia</v>
      </c>
      <c r="C1186" s="27" t="str">
        <f t="shared" si="55"/>
        <v>Southampton</v>
      </c>
      <c r="D1186">
        <v>7</v>
      </c>
      <c r="G1186">
        <v>184</v>
      </c>
      <c r="H1186">
        <v>1932</v>
      </c>
      <c r="I1186">
        <v>1867</v>
      </c>
      <c r="J1186" s="27" t="str">
        <f t="shared" si="56"/>
        <v>https://ia601606.us.archive.org/33/items/FinancialStatisticsOfStateAndLocalGovernmentsWealthDebtAndTaxation1932/Financial_statistics_of_state_and_local_governments_Wealth_debt_and_taxation_1932.pdf#page=1867</v>
      </c>
    </row>
    <row r="1187" spans="1:10" x14ac:dyDescent="0.25">
      <c r="A1187" s="27" t="s">
        <v>1701</v>
      </c>
      <c r="B1187" s="27" t="str">
        <f t="shared" si="54"/>
        <v>Virginia</v>
      </c>
      <c r="C1187" s="27" t="str">
        <f t="shared" si="55"/>
        <v>Spotsylvania</v>
      </c>
      <c r="D1187">
        <v>1</v>
      </c>
      <c r="G1187">
        <v>74</v>
      </c>
      <c r="H1187">
        <v>1932</v>
      </c>
      <c r="I1187">
        <v>1867</v>
      </c>
      <c r="J1187" s="27" t="str">
        <f t="shared" si="56"/>
        <v>https://ia601606.us.archive.org/33/items/FinancialStatisticsOfStateAndLocalGovernmentsWealthDebtAndTaxation1932/Financial_statistics_of_state_and_local_governments_Wealth_debt_and_taxation_1932.pdf#page=1867</v>
      </c>
    </row>
    <row r="1188" spans="1:10" x14ac:dyDescent="0.25">
      <c r="A1188" s="27" t="s">
        <v>1702</v>
      </c>
      <c r="B1188" s="27" t="str">
        <f t="shared" si="54"/>
        <v>Virginia</v>
      </c>
      <c r="C1188" s="27" t="str">
        <f t="shared" si="55"/>
        <v>Stafford</v>
      </c>
      <c r="D1188">
        <v>1</v>
      </c>
      <c r="G1188">
        <v>51</v>
      </c>
      <c r="H1188">
        <v>1932</v>
      </c>
      <c r="I1188">
        <v>1867</v>
      </c>
      <c r="J1188" s="27" t="str">
        <f t="shared" si="56"/>
        <v>https://ia601606.us.archive.org/33/items/FinancialStatisticsOfStateAndLocalGovernmentsWealthDebtAndTaxation1932/Financial_statistics_of_state_and_local_governments_Wealth_debt_and_taxation_1932.pdf#page=1867</v>
      </c>
    </row>
    <row r="1189" spans="1:10" x14ac:dyDescent="0.25">
      <c r="A1189" s="27" t="s">
        <v>1703</v>
      </c>
      <c r="B1189" s="27" t="str">
        <f t="shared" si="54"/>
        <v>Virginia</v>
      </c>
      <c r="C1189" s="27" t="str">
        <f t="shared" si="55"/>
        <v>Surry</v>
      </c>
      <c r="G1189">
        <v>44</v>
      </c>
      <c r="H1189">
        <v>1932</v>
      </c>
      <c r="I1189">
        <v>1867</v>
      </c>
      <c r="J1189" s="27" t="str">
        <f t="shared" si="56"/>
        <v>https://ia601606.us.archive.org/33/items/FinancialStatisticsOfStateAndLocalGovernmentsWealthDebtAndTaxation1932/Financial_statistics_of_state_and_local_governments_Wealth_debt_and_taxation_1932.pdf#page=1867</v>
      </c>
    </row>
    <row r="1190" spans="1:10" x14ac:dyDescent="0.25">
      <c r="A1190" s="27" t="s">
        <v>1704</v>
      </c>
      <c r="B1190" s="27" t="str">
        <f t="shared" si="54"/>
        <v>Virginia</v>
      </c>
      <c r="C1190" s="27" t="str">
        <f t="shared" si="55"/>
        <v>Sussex</v>
      </c>
      <c r="G1190">
        <v>95</v>
      </c>
      <c r="H1190">
        <v>1932</v>
      </c>
      <c r="I1190">
        <v>1867</v>
      </c>
      <c r="J1190" s="27" t="str">
        <f t="shared" si="56"/>
        <v>https://ia601606.us.archive.org/33/items/FinancialStatisticsOfStateAndLocalGovernmentsWealthDebtAndTaxation1932/Financial_statistics_of_state_and_local_governments_Wealth_debt_and_taxation_1932.pdf#page=1867</v>
      </c>
    </row>
    <row r="1191" spans="1:10" x14ac:dyDescent="0.25">
      <c r="A1191" s="27" t="s">
        <v>1705</v>
      </c>
      <c r="B1191" s="27" t="str">
        <f t="shared" si="54"/>
        <v>Virginia</v>
      </c>
      <c r="C1191" s="27" t="str">
        <f t="shared" si="55"/>
        <v>Tazewell</v>
      </c>
      <c r="G1191">
        <v>198</v>
      </c>
      <c r="H1191">
        <v>1932</v>
      </c>
      <c r="I1191">
        <v>1867</v>
      </c>
      <c r="J1191" s="27" t="str">
        <f t="shared" si="56"/>
        <v>https://ia601606.us.archive.org/33/items/FinancialStatisticsOfStateAndLocalGovernmentsWealthDebtAndTaxation1932/Financial_statistics_of_state_and_local_governments_Wealth_debt_and_taxation_1932.pdf#page=1867</v>
      </c>
    </row>
    <row r="1192" spans="1:10" x14ac:dyDescent="0.25">
      <c r="A1192" s="27" t="s">
        <v>1706</v>
      </c>
      <c r="B1192" s="27" t="str">
        <f t="shared" si="54"/>
        <v>Virginia</v>
      </c>
      <c r="C1192" s="27" t="str">
        <f t="shared" si="55"/>
        <v>Warren</v>
      </c>
      <c r="D1192">
        <v>1</v>
      </c>
      <c r="G1192">
        <v>62</v>
      </c>
      <c r="H1192">
        <v>1932</v>
      </c>
      <c r="I1192">
        <v>1867</v>
      </c>
      <c r="J1192" s="27" t="str">
        <f t="shared" si="56"/>
        <v>https://ia601606.us.archive.org/33/items/FinancialStatisticsOfStateAndLocalGovernmentsWealthDebtAndTaxation1932/Financial_statistics_of_state_and_local_governments_Wealth_debt_and_taxation_1932.pdf#page=1867</v>
      </c>
    </row>
    <row r="1193" spans="1:10" x14ac:dyDescent="0.25">
      <c r="A1193" s="27" t="s">
        <v>1707</v>
      </c>
      <c r="B1193" s="27" t="str">
        <f t="shared" si="54"/>
        <v>Virginia</v>
      </c>
      <c r="C1193" s="27" t="str">
        <f t="shared" si="55"/>
        <v>Warwick</v>
      </c>
      <c r="D1193">
        <v>3</v>
      </c>
      <c r="G1193">
        <v>68</v>
      </c>
      <c r="H1193">
        <v>1932</v>
      </c>
      <c r="I1193">
        <v>1868</v>
      </c>
      <c r="J1193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194" spans="1:10" x14ac:dyDescent="0.25">
      <c r="A1194" s="27" t="s">
        <v>1708</v>
      </c>
      <c r="B1194" s="27" t="str">
        <f t="shared" si="54"/>
        <v>Virginia</v>
      </c>
      <c r="C1194" s="27" t="str">
        <f t="shared" si="55"/>
        <v>Washington</v>
      </c>
      <c r="D1194">
        <v>3</v>
      </c>
      <c r="G1194">
        <v>235</v>
      </c>
      <c r="H1194">
        <v>1932</v>
      </c>
      <c r="I1194">
        <v>1868</v>
      </c>
      <c r="J1194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195" spans="1:10" x14ac:dyDescent="0.25">
      <c r="A1195" s="27" t="s">
        <v>1709</v>
      </c>
      <c r="B1195" s="27" t="str">
        <f t="shared" si="54"/>
        <v>Virginia</v>
      </c>
      <c r="C1195" s="27" t="str">
        <f t="shared" si="55"/>
        <v>Westmoreland</v>
      </c>
      <c r="D1195">
        <v>1</v>
      </c>
      <c r="G1195">
        <v>62</v>
      </c>
      <c r="H1195">
        <v>1932</v>
      </c>
      <c r="I1195">
        <v>1868</v>
      </c>
      <c r="J1195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196" spans="1:10" x14ac:dyDescent="0.25">
      <c r="A1196" s="27" t="s">
        <v>1710</v>
      </c>
      <c r="B1196" s="27" t="str">
        <f t="shared" si="54"/>
        <v>Virginia</v>
      </c>
      <c r="C1196" s="27" t="str">
        <f t="shared" si="55"/>
        <v>Wise</v>
      </c>
      <c r="D1196">
        <v>8</v>
      </c>
      <c r="G1196">
        <v>389</v>
      </c>
      <c r="H1196">
        <v>1932</v>
      </c>
      <c r="I1196">
        <v>1868</v>
      </c>
      <c r="J1196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197" spans="1:10" x14ac:dyDescent="0.25">
      <c r="A1197" s="27" t="s">
        <v>1711</v>
      </c>
      <c r="B1197" s="27" t="str">
        <f t="shared" si="54"/>
        <v>Virginia</v>
      </c>
      <c r="C1197" s="27" t="str">
        <f t="shared" si="55"/>
        <v>Wythe</v>
      </c>
      <c r="D1197">
        <v>1</v>
      </c>
      <c r="G1197">
        <v>123</v>
      </c>
      <c r="H1197">
        <v>1932</v>
      </c>
      <c r="I1197">
        <v>1868</v>
      </c>
      <c r="J1197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198" spans="1:10" x14ac:dyDescent="0.25">
      <c r="A1198" s="27" t="s">
        <v>1712</v>
      </c>
      <c r="B1198" s="27" t="str">
        <f t="shared" si="54"/>
        <v>Virginia</v>
      </c>
      <c r="C1198" s="27" t="str">
        <f t="shared" si="55"/>
        <v>York</v>
      </c>
      <c r="G1198">
        <v>55</v>
      </c>
      <c r="H1198">
        <v>1932</v>
      </c>
      <c r="I1198">
        <v>1868</v>
      </c>
      <c r="J1198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199" spans="1:10" x14ac:dyDescent="0.25">
      <c r="A1199" s="27" t="s">
        <v>1767</v>
      </c>
      <c r="B1199" s="27" t="str">
        <f t="shared" si="54"/>
        <v>Virginia</v>
      </c>
      <c r="C1199" s="27" t="str">
        <f t="shared" si="55"/>
        <v>Alexandria City</v>
      </c>
      <c r="D1199">
        <v>48</v>
      </c>
      <c r="G1199">
        <v>219</v>
      </c>
      <c r="H1199">
        <v>1932</v>
      </c>
      <c r="I1199">
        <v>1868</v>
      </c>
      <c r="J1199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0" spans="1:10" x14ac:dyDescent="0.25">
      <c r="A1200" s="27" t="s">
        <v>1723</v>
      </c>
      <c r="B1200" s="27" t="str">
        <f t="shared" si="54"/>
        <v>Virginia</v>
      </c>
      <c r="C1200" s="27" t="str">
        <f t="shared" si="55"/>
        <v>Bristol</v>
      </c>
      <c r="D1200">
        <v>9</v>
      </c>
      <c r="G1200">
        <v>96</v>
      </c>
      <c r="H1200">
        <v>1932</v>
      </c>
      <c r="I1200">
        <v>1868</v>
      </c>
      <c r="J1200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1" spans="1:10" x14ac:dyDescent="0.25">
      <c r="A1201" s="27" t="s">
        <v>1794</v>
      </c>
      <c r="B1201" s="27" t="str">
        <f t="shared" si="54"/>
        <v>Virginia</v>
      </c>
      <c r="C1201" s="27" t="str">
        <f t="shared" si="55"/>
        <v>Buena Vista</v>
      </c>
      <c r="D1201">
        <v>2</v>
      </c>
      <c r="G1201">
        <v>20</v>
      </c>
      <c r="H1201">
        <v>1932</v>
      </c>
      <c r="I1201">
        <v>1868</v>
      </c>
      <c r="J1201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2" spans="1:10" x14ac:dyDescent="0.25">
      <c r="A1202" s="27" t="s">
        <v>1724</v>
      </c>
      <c r="B1202" s="27" t="str">
        <f t="shared" si="54"/>
        <v>Virginia</v>
      </c>
      <c r="C1202" s="27" t="str">
        <f t="shared" si="55"/>
        <v>Charlottesville</v>
      </c>
      <c r="D1202">
        <v>22</v>
      </c>
      <c r="G1202">
        <v>173</v>
      </c>
      <c r="H1202">
        <v>1932</v>
      </c>
      <c r="I1202">
        <v>1868</v>
      </c>
      <c r="J1202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3" spans="1:10" x14ac:dyDescent="0.25">
      <c r="A1203" s="27" t="s">
        <v>1725</v>
      </c>
      <c r="B1203" s="27" t="str">
        <f t="shared" si="54"/>
        <v>Virginia</v>
      </c>
      <c r="C1203" s="27" t="str">
        <f t="shared" si="55"/>
        <v>Clifton Forge</v>
      </c>
      <c r="D1203">
        <v>5</v>
      </c>
      <c r="G1203">
        <v>64</v>
      </c>
      <c r="H1203">
        <v>1932</v>
      </c>
      <c r="I1203">
        <v>1868</v>
      </c>
      <c r="J1203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4" spans="1:10" x14ac:dyDescent="0.25">
      <c r="A1204" s="27" t="s">
        <v>1726</v>
      </c>
      <c r="B1204" s="27" t="str">
        <f t="shared" si="54"/>
        <v>Virginia</v>
      </c>
      <c r="C1204" s="27" t="str">
        <f t="shared" si="55"/>
        <v>Danville</v>
      </c>
      <c r="D1204">
        <v>68</v>
      </c>
      <c r="G1204">
        <v>241</v>
      </c>
      <c r="H1204">
        <v>1932</v>
      </c>
      <c r="I1204">
        <v>1868</v>
      </c>
      <c r="J1204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5" spans="1:10" x14ac:dyDescent="0.25">
      <c r="A1205" s="27" t="s">
        <v>1727</v>
      </c>
      <c r="B1205" s="27" t="str">
        <f t="shared" si="54"/>
        <v>Virginia</v>
      </c>
      <c r="C1205" s="27" t="str">
        <f t="shared" si="55"/>
        <v>Fredericksburg</v>
      </c>
      <c r="D1205">
        <v>13</v>
      </c>
      <c r="G1205">
        <v>69</v>
      </c>
      <c r="H1205">
        <v>1932</v>
      </c>
      <c r="I1205">
        <v>1868</v>
      </c>
      <c r="J1205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6" spans="1:10" x14ac:dyDescent="0.25">
      <c r="A1206" s="27" t="s">
        <v>1728</v>
      </c>
      <c r="B1206" s="27" t="str">
        <f t="shared" si="54"/>
        <v>Virginia</v>
      </c>
      <c r="C1206" s="27" t="str">
        <f t="shared" si="55"/>
        <v>Hampton</v>
      </c>
      <c r="D1206">
        <v>7</v>
      </c>
      <c r="G1206">
        <v>73</v>
      </c>
      <c r="H1206">
        <v>1932</v>
      </c>
      <c r="I1206">
        <v>1868</v>
      </c>
      <c r="J1206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7" spans="1:10" x14ac:dyDescent="0.25">
      <c r="A1207" s="27" t="s">
        <v>1729</v>
      </c>
      <c r="B1207" s="27" t="str">
        <f t="shared" si="54"/>
        <v>Virginia</v>
      </c>
      <c r="C1207" s="27" t="str">
        <f t="shared" si="55"/>
        <v>Harrisonburg</v>
      </c>
      <c r="D1207">
        <v>4</v>
      </c>
      <c r="G1207">
        <v>72</v>
      </c>
      <c r="H1207">
        <v>1932</v>
      </c>
      <c r="I1207">
        <v>1868</v>
      </c>
      <c r="J1207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8" spans="1:10" x14ac:dyDescent="0.25">
      <c r="A1208" s="27" t="s">
        <v>1730</v>
      </c>
      <c r="B1208" s="27" t="str">
        <f t="shared" si="54"/>
        <v>Virginia</v>
      </c>
      <c r="C1208" s="27" t="str">
        <f t="shared" si="55"/>
        <v>Hopewell</v>
      </c>
      <c r="D1208">
        <v>12</v>
      </c>
      <c r="G1208">
        <v>142</v>
      </c>
      <c r="H1208">
        <v>1932</v>
      </c>
      <c r="I1208">
        <v>1868</v>
      </c>
      <c r="J1208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09" spans="1:10" x14ac:dyDescent="0.25">
      <c r="A1209" s="27" t="s">
        <v>1731</v>
      </c>
      <c r="B1209" s="27" t="str">
        <f t="shared" si="54"/>
        <v>Virginia</v>
      </c>
      <c r="C1209" s="27" t="str">
        <f t="shared" si="55"/>
        <v>Lynchburg</v>
      </c>
      <c r="D1209">
        <v>125</v>
      </c>
      <c r="G1209">
        <v>472</v>
      </c>
      <c r="H1209">
        <v>1932</v>
      </c>
      <c r="I1209">
        <v>1868</v>
      </c>
      <c r="J1209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0" spans="1:10" x14ac:dyDescent="0.25">
      <c r="A1210" s="27" t="s">
        <v>1732</v>
      </c>
      <c r="B1210" s="27" t="str">
        <f t="shared" si="54"/>
        <v>Virginia</v>
      </c>
      <c r="C1210" s="27" t="str">
        <f t="shared" si="55"/>
        <v>Martinsville</v>
      </c>
      <c r="D1210">
        <v>8</v>
      </c>
      <c r="G1210">
        <v>65</v>
      </c>
      <c r="H1210">
        <v>1932</v>
      </c>
      <c r="I1210">
        <v>1868</v>
      </c>
      <c r="J1210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1" spans="1:10" x14ac:dyDescent="0.25">
      <c r="A1211" s="27" t="s">
        <v>1733</v>
      </c>
      <c r="B1211" s="27" t="str">
        <f t="shared" si="54"/>
        <v>Virginia</v>
      </c>
      <c r="C1211" s="27" t="str">
        <f t="shared" si="55"/>
        <v>Newport News</v>
      </c>
      <c r="D1211">
        <v>86</v>
      </c>
      <c r="G1211">
        <v>473</v>
      </c>
      <c r="H1211">
        <v>1932</v>
      </c>
      <c r="I1211">
        <v>1868</v>
      </c>
      <c r="J1211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2" spans="1:10" x14ac:dyDescent="0.25">
      <c r="A1212" s="27" t="s">
        <v>1734</v>
      </c>
      <c r="B1212" s="27" t="str">
        <f t="shared" si="54"/>
        <v>Virginia</v>
      </c>
      <c r="C1212" s="27" t="str">
        <f t="shared" si="55"/>
        <v>Norfolk City</v>
      </c>
      <c r="D1212">
        <v>500</v>
      </c>
      <c r="G1212">
        <v>1476</v>
      </c>
      <c r="H1212">
        <v>1932</v>
      </c>
      <c r="I1212">
        <v>1868</v>
      </c>
      <c r="J1212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3" spans="1:10" x14ac:dyDescent="0.25">
      <c r="A1213" s="27" t="s">
        <v>1735</v>
      </c>
      <c r="B1213" s="27" t="str">
        <f t="shared" si="54"/>
        <v>Virginia</v>
      </c>
      <c r="C1213" s="27" t="str">
        <f t="shared" si="55"/>
        <v>Petersburg</v>
      </c>
      <c r="D1213">
        <v>76</v>
      </c>
      <c r="G1213">
        <v>304</v>
      </c>
      <c r="H1213">
        <v>1932</v>
      </c>
      <c r="I1213">
        <v>1868</v>
      </c>
      <c r="J1213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4" spans="1:10" x14ac:dyDescent="0.25">
      <c r="A1214" s="27" t="s">
        <v>1736</v>
      </c>
      <c r="B1214" s="27" t="str">
        <f t="shared" si="54"/>
        <v>Virginia</v>
      </c>
      <c r="C1214" s="27" t="str">
        <f t="shared" si="55"/>
        <v>Portsmouth</v>
      </c>
      <c r="D1214">
        <v>112</v>
      </c>
      <c r="G1214">
        <v>420</v>
      </c>
      <c r="H1214">
        <v>1932</v>
      </c>
      <c r="I1214">
        <v>1868</v>
      </c>
      <c r="J1214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5" spans="1:10" x14ac:dyDescent="0.25">
      <c r="A1215" s="27" t="s">
        <v>1737</v>
      </c>
      <c r="B1215" s="27" t="str">
        <f t="shared" si="54"/>
        <v>Virginia</v>
      </c>
      <c r="C1215" s="27" t="str">
        <f t="shared" si="55"/>
        <v>Radford</v>
      </c>
      <c r="D1215">
        <v>2</v>
      </c>
      <c r="G1215">
        <v>45</v>
      </c>
      <c r="H1215">
        <v>1932</v>
      </c>
      <c r="I1215">
        <v>1868</v>
      </c>
      <c r="J1215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6" spans="1:10" x14ac:dyDescent="0.25">
      <c r="A1216" s="27" t="s">
        <v>1738</v>
      </c>
      <c r="B1216" s="27" t="str">
        <f t="shared" si="54"/>
        <v>Virginia</v>
      </c>
      <c r="C1216" s="27" t="str">
        <f t="shared" si="55"/>
        <v>Richmond City</v>
      </c>
      <c r="D1216">
        <v>630</v>
      </c>
      <c r="G1216">
        <v>2337</v>
      </c>
      <c r="H1216">
        <v>1932</v>
      </c>
      <c r="I1216">
        <v>1868</v>
      </c>
      <c r="J1216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7" spans="1:11" x14ac:dyDescent="0.25">
      <c r="A1217" s="27" t="s">
        <v>1739</v>
      </c>
      <c r="B1217" s="27" t="str">
        <f t="shared" si="54"/>
        <v>Virginia</v>
      </c>
      <c r="C1217" s="27" t="str">
        <f t="shared" si="55"/>
        <v>Roanoke City</v>
      </c>
      <c r="D1217">
        <v>149</v>
      </c>
      <c r="G1217">
        <v>803</v>
      </c>
      <c r="H1217">
        <v>1932</v>
      </c>
      <c r="I1217">
        <v>1868</v>
      </c>
      <c r="J1217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8" spans="1:11" x14ac:dyDescent="0.25">
      <c r="A1218" s="27" t="s">
        <v>1740</v>
      </c>
      <c r="B1218" s="27" t="str">
        <f t="shared" si="54"/>
        <v>Virginia</v>
      </c>
      <c r="C1218" s="27" t="str">
        <f t="shared" si="55"/>
        <v>South Norfolk</v>
      </c>
      <c r="D1218">
        <v>15</v>
      </c>
      <c r="G1218">
        <v>72</v>
      </c>
      <c r="H1218">
        <v>1932</v>
      </c>
      <c r="I1218">
        <v>1868</v>
      </c>
      <c r="J1218" s="27" t="str">
        <f t="shared" si="56"/>
        <v>https://ia601606.us.archive.org/33/items/FinancialStatisticsOfStateAndLocalGovernmentsWealthDebtAndTaxation1932/Financial_statistics_of_state_and_local_governments_Wealth_debt_and_taxation_1932.pdf#page=1868</v>
      </c>
    </row>
    <row r="1219" spans="1:11" x14ac:dyDescent="0.25">
      <c r="A1219" s="27" t="s">
        <v>1741</v>
      </c>
      <c r="B1219" s="27" t="str">
        <f t="shared" ref="B1219:B1282" si="57">LEFT(A1219,FIND(";",A1219)-1)</f>
        <v>Virginia</v>
      </c>
      <c r="C1219" s="27" t="str">
        <f t="shared" ref="C1219:C1282" si="58">MID(A1219,FIND(";",A1219)+1,100)</f>
        <v>Staunton</v>
      </c>
      <c r="D1219">
        <v>12</v>
      </c>
      <c r="G1219">
        <v>86</v>
      </c>
      <c r="H1219">
        <v>1932</v>
      </c>
      <c r="I1219">
        <v>1868</v>
      </c>
      <c r="J1219" s="27" t="str">
        <f t="shared" ref="J1219:J1222" si="59">"https://ia601606.us.archive.org/33/items/FinancialStatisticsOfStateAndLocalGovernmentsWealthDebtAndTaxation1932/Financial_statistics_of_state_and_local_governments_Wealth_debt_and_taxation_1932.pdf"&amp;"#page="&amp;I1219</f>
        <v>https://ia601606.us.archive.org/33/items/FinancialStatisticsOfStateAndLocalGovernmentsWealthDebtAndTaxation1932/Financial_statistics_of_state_and_local_governments_Wealth_debt_and_taxation_1932.pdf#page=1868</v>
      </c>
    </row>
    <row r="1220" spans="1:11" x14ac:dyDescent="0.25">
      <c r="A1220" s="27" t="s">
        <v>1742</v>
      </c>
      <c r="B1220" s="27" t="str">
        <f t="shared" si="57"/>
        <v>Virginia</v>
      </c>
      <c r="C1220" s="27" t="str">
        <f t="shared" si="58"/>
        <v>Suffolk</v>
      </c>
      <c r="D1220">
        <v>20</v>
      </c>
      <c r="G1220">
        <v>98</v>
      </c>
      <c r="H1220">
        <v>1932</v>
      </c>
      <c r="I1220">
        <v>1868</v>
      </c>
      <c r="J1220" s="27" t="str">
        <f t="shared" si="59"/>
        <v>https://ia601606.us.archive.org/33/items/FinancialStatisticsOfStateAndLocalGovernmentsWealthDebtAndTaxation1932/Financial_statistics_of_state_and_local_governments_Wealth_debt_and_taxation_1932.pdf#page=1868</v>
      </c>
    </row>
    <row r="1221" spans="1:11" x14ac:dyDescent="0.25">
      <c r="A1221" s="27" t="s">
        <v>1743</v>
      </c>
      <c r="B1221" s="27" t="str">
        <f t="shared" si="57"/>
        <v>Virginia</v>
      </c>
      <c r="C1221" s="27" t="str">
        <f t="shared" si="58"/>
        <v>Williamsburg City</v>
      </c>
      <c r="D1221">
        <v>1</v>
      </c>
      <c r="G1221">
        <v>41</v>
      </c>
      <c r="H1221">
        <v>1932</v>
      </c>
      <c r="I1221">
        <v>1868</v>
      </c>
      <c r="J1221" s="27" t="str">
        <f t="shared" si="59"/>
        <v>https://ia601606.us.archive.org/33/items/FinancialStatisticsOfStateAndLocalGovernmentsWealthDebtAndTaxation1932/Financial_statistics_of_state_and_local_governments_Wealth_debt_and_taxation_1932.pdf#page=1868</v>
      </c>
    </row>
    <row r="1222" spans="1:11" x14ac:dyDescent="0.25">
      <c r="A1222" s="27" t="s">
        <v>1744</v>
      </c>
      <c r="B1222" s="27" t="str">
        <f t="shared" si="57"/>
        <v>Virginia</v>
      </c>
      <c r="C1222" s="27" t="str">
        <f t="shared" si="58"/>
        <v>Winchester</v>
      </c>
      <c r="D1222">
        <v>15</v>
      </c>
      <c r="G1222">
        <v>140</v>
      </c>
      <c r="H1222">
        <v>1932</v>
      </c>
      <c r="I1222">
        <v>1868</v>
      </c>
      <c r="J1222" s="27" t="str">
        <f t="shared" si="59"/>
        <v>https://ia601606.us.archive.org/33/items/FinancialStatisticsOfStateAndLocalGovernmentsWealthDebtAndTaxation1932/Financial_statistics_of_state_and_local_governments_Wealth_debt_and_taxation_1932.pdf#page=1868</v>
      </c>
    </row>
    <row r="1223" spans="1:11" x14ac:dyDescent="0.25">
      <c r="A1223" s="27" t="s">
        <v>1273</v>
      </c>
      <c r="B1223" s="27" t="str">
        <f t="shared" si="57"/>
        <v/>
      </c>
      <c r="C1223" s="27" t="str">
        <f t="shared" si="58"/>
        <v>My Total</v>
      </c>
      <c r="D1223">
        <f>SUM(D1099:D1222)</f>
        <v>2154</v>
      </c>
      <c r="E1223">
        <f>SUM(E1099:E1222)</f>
        <v>0</v>
      </c>
      <c r="F1223">
        <f>SUM(F1099:F1222)</f>
        <v>0</v>
      </c>
      <c r="G1223">
        <f>SUM(G1099:G1222)</f>
        <v>19931</v>
      </c>
    </row>
    <row r="1224" spans="1:11" x14ac:dyDescent="0.25">
      <c r="A1224" s="27" t="s">
        <v>1274</v>
      </c>
      <c r="B1224" s="27" t="str">
        <f t="shared" si="57"/>
        <v/>
      </c>
      <c r="C1224" s="27" t="str">
        <f t="shared" si="58"/>
        <v>Reported Total</v>
      </c>
      <c r="D1224" t="s">
        <v>354</v>
      </c>
      <c r="G1224" t="s">
        <v>356</v>
      </c>
      <c r="K1224" s="8" t="s">
        <v>355</v>
      </c>
    </row>
    <row r="1225" spans="1:11" x14ac:dyDescent="0.25">
      <c r="A1225" s="27" t="s">
        <v>1367</v>
      </c>
      <c r="B1225" s="27" t="str">
        <f t="shared" si="57"/>
        <v/>
      </c>
      <c r="C1225" s="27" t="str">
        <f t="shared" si="58"/>
        <v/>
      </c>
      <c r="D1225">
        <f>COUNTA(D2:D1222)</f>
        <v>866</v>
      </c>
    </row>
    <row r="1226" spans="1:11" x14ac:dyDescent="0.25">
      <c r="A1226" s="27" t="s">
        <v>1367</v>
      </c>
      <c r="B1226" s="27" t="str">
        <f t="shared" si="57"/>
        <v/>
      </c>
      <c r="C1226" s="27" t="str">
        <f t="shared" si="58"/>
        <v/>
      </c>
    </row>
    <row r="1227" spans="1:11" x14ac:dyDescent="0.25">
      <c r="A1227" s="27" t="s">
        <v>1367</v>
      </c>
      <c r="B1227" s="27" t="str">
        <f t="shared" si="57"/>
        <v/>
      </c>
      <c r="C1227" s="27" t="str">
        <f t="shared" si="58"/>
        <v/>
      </c>
    </row>
    <row r="1228" spans="1:11" x14ac:dyDescent="0.25">
      <c r="A1228" s="27" t="s">
        <v>1367</v>
      </c>
      <c r="B1228" s="27" t="str">
        <f t="shared" si="57"/>
        <v/>
      </c>
      <c r="C1228" s="27" t="str">
        <f t="shared" si="58"/>
        <v/>
      </c>
    </row>
    <row r="1229" spans="1:11" x14ac:dyDescent="0.25">
      <c r="A1229" s="27" t="s">
        <v>1367</v>
      </c>
      <c r="B1229" s="27" t="str">
        <f t="shared" si="57"/>
        <v/>
      </c>
      <c r="C1229" s="27" t="str">
        <f t="shared" si="58"/>
        <v/>
      </c>
    </row>
    <row r="1230" spans="1:11" x14ac:dyDescent="0.25">
      <c r="A1230" s="27" t="s">
        <v>1367</v>
      </c>
      <c r="B1230" s="27" t="str">
        <f t="shared" si="57"/>
        <v/>
      </c>
      <c r="C1230" s="27" t="str">
        <f t="shared" si="58"/>
        <v/>
      </c>
    </row>
    <row r="1231" spans="1:11" x14ac:dyDescent="0.25">
      <c r="A1231" s="27" t="s">
        <v>1367</v>
      </c>
      <c r="B1231" s="27" t="str">
        <f t="shared" si="57"/>
        <v/>
      </c>
      <c r="C1231" s="27" t="str">
        <f t="shared" si="58"/>
        <v/>
      </c>
    </row>
    <row r="1232" spans="1:11" x14ac:dyDescent="0.25">
      <c r="A1232" s="27" t="s">
        <v>1367</v>
      </c>
      <c r="B1232" s="27" t="str">
        <f t="shared" si="57"/>
        <v/>
      </c>
      <c r="C1232" s="27" t="str">
        <f t="shared" si="58"/>
        <v/>
      </c>
    </row>
    <row r="1233" spans="1:3" x14ac:dyDescent="0.25">
      <c r="A1233" s="27" t="s">
        <v>1367</v>
      </c>
      <c r="B1233" s="27" t="str">
        <f t="shared" si="57"/>
        <v/>
      </c>
      <c r="C1233" s="27" t="str">
        <f t="shared" si="58"/>
        <v/>
      </c>
    </row>
    <row r="1234" spans="1:3" x14ac:dyDescent="0.25">
      <c r="A1234" s="27" t="s">
        <v>1367</v>
      </c>
      <c r="B1234" s="27" t="str">
        <f t="shared" si="57"/>
        <v/>
      </c>
      <c r="C1234" s="27" t="str">
        <f t="shared" si="58"/>
        <v/>
      </c>
    </row>
    <row r="1235" spans="1:3" x14ac:dyDescent="0.25">
      <c r="A1235" s="27" t="s">
        <v>1367</v>
      </c>
      <c r="B1235" s="27" t="str">
        <f t="shared" si="57"/>
        <v/>
      </c>
      <c r="C1235" s="27" t="str">
        <f t="shared" si="58"/>
        <v/>
      </c>
    </row>
    <row r="1236" spans="1:3" x14ac:dyDescent="0.25">
      <c r="A1236" s="27" t="s">
        <v>1367</v>
      </c>
      <c r="B1236" s="27" t="str">
        <f t="shared" si="57"/>
        <v/>
      </c>
      <c r="C1236" s="27" t="str">
        <f t="shared" si="58"/>
        <v/>
      </c>
    </row>
    <row r="1237" spans="1:3" x14ac:dyDescent="0.25">
      <c r="A1237" s="27" t="s">
        <v>1367</v>
      </c>
      <c r="B1237" s="27" t="str">
        <f t="shared" si="57"/>
        <v/>
      </c>
      <c r="C1237" s="27" t="str">
        <f t="shared" si="58"/>
        <v/>
      </c>
    </row>
    <row r="1238" spans="1:3" x14ac:dyDescent="0.25">
      <c r="A1238" s="27" t="s">
        <v>1367</v>
      </c>
      <c r="B1238" s="27" t="str">
        <f t="shared" si="57"/>
        <v/>
      </c>
      <c r="C1238" s="27" t="str">
        <f t="shared" si="58"/>
        <v/>
      </c>
    </row>
    <row r="1239" spans="1:3" x14ac:dyDescent="0.25">
      <c r="A1239" s="27" t="s">
        <v>1367</v>
      </c>
      <c r="B1239" s="27" t="str">
        <f t="shared" si="57"/>
        <v/>
      </c>
      <c r="C1239" s="27" t="str">
        <f t="shared" si="58"/>
        <v/>
      </c>
    </row>
    <row r="1240" spans="1:3" x14ac:dyDescent="0.25">
      <c r="A1240" s="27" t="s">
        <v>1367</v>
      </c>
      <c r="B1240" s="27" t="str">
        <f t="shared" si="57"/>
        <v/>
      </c>
      <c r="C1240" s="27" t="str">
        <f t="shared" si="58"/>
        <v/>
      </c>
    </row>
    <row r="1241" spans="1:3" x14ac:dyDescent="0.25">
      <c r="A1241" s="27" t="s">
        <v>1367</v>
      </c>
      <c r="B1241" s="27" t="str">
        <f t="shared" si="57"/>
        <v/>
      </c>
      <c r="C1241" s="27" t="str">
        <f t="shared" si="58"/>
        <v/>
      </c>
    </row>
    <row r="1242" spans="1:3" x14ac:dyDescent="0.25">
      <c r="A1242" s="27" t="s">
        <v>1367</v>
      </c>
      <c r="B1242" s="27" t="str">
        <f t="shared" si="57"/>
        <v/>
      </c>
      <c r="C1242" s="27" t="str">
        <f t="shared" si="58"/>
        <v/>
      </c>
    </row>
    <row r="1243" spans="1:3" x14ac:dyDescent="0.25">
      <c r="A1243" s="27" t="s">
        <v>1367</v>
      </c>
      <c r="B1243" s="27" t="str">
        <f t="shared" si="57"/>
        <v/>
      </c>
      <c r="C1243" s="27" t="str">
        <f t="shared" si="58"/>
        <v/>
      </c>
    </row>
    <row r="1244" spans="1:3" x14ac:dyDescent="0.25">
      <c r="A1244" s="27" t="s">
        <v>1367</v>
      </c>
      <c r="B1244" s="27" t="str">
        <f t="shared" si="57"/>
        <v/>
      </c>
      <c r="C1244" s="27" t="str">
        <f t="shared" si="58"/>
        <v/>
      </c>
    </row>
    <row r="1245" spans="1:3" x14ac:dyDescent="0.25">
      <c r="A1245" s="27" t="s">
        <v>1367</v>
      </c>
      <c r="B1245" s="27" t="str">
        <f t="shared" si="57"/>
        <v/>
      </c>
      <c r="C1245" s="27" t="str">
        <f t="shared" si="58"/>
        <v/>
      </c>
    </row>
    <row r="1246" spans="1:3" x14ac:dyDescent="0.25">
      <c r="A1246" s="27" t="s">
        <v>1367</v>
      </c>
      <c r="B1246" s="27" t="str">
        <f t="shared" si="57"/>
        <v/>
      </c>
      <c r="C1246" s="27" t="str">
        <f t="shared" si="58"/>
        <v/>
      </c>
    </row>
    <row r="1247" spans="1:3" x14ac:dyDescent="0.25">
      <c r="A1247" s="27" t="s">
        <v>1367</v>
      </c>
      <c r="B1247" s="27" t="str">
        <f t="shared" si="57"/>
        <v/>
      </c>
      <c r="C1247" s="27" t="str">
        <f t="shared" si="58"/>
        <v/>
      </c>
    </row>
    <row r="1248" spans="1:3" x14ac:dyDescent="0.25">
      <c r="A1248" s="27" t="s">
        <v>1367</v>
      </c>
      <c r="B1248" s="27" t="str">
        <f t="shared" si="57"/>
        <v/>
      </c>
      <c r="C1248" s="27" t="str">
        <f t="shared" si="58"/>
        <v/>
      </c>
    </row>
    <row r="1249" spans="1:3" x14ac:dyDescent="0.25">
      <c r="A1249" s="27" t="s">
        <v>1367</v>
      </c>
      <c r="B1249" s="27" t="str">
        <f t="shared" si="57"/>
        <v/>
      </c>
      <c r="C1249" s="27" t="str">
        <f t="shared" si="58"/>
        <v/>
      </c>
    </row>
    <row r="1250" spans="1:3" x14ac:dyDescent="0.25">
      <c r="A1250" s="27" t="s">
        <v>1367</v>
      </c>
      <c r="B1250" s="27" t="str">
        <f t="shared" si="57"/>
        <v/>
      </c>
      <c r="C1250" s="27" t="str">
        <f t="shared" si="58"/>
        <v/>
      </c>
    </row>
    <row r="1251" spans="1:3" x14ac:dyDescent="0.25">
      <c r="A1251" s="27" t="s">
        <v>1367</v>
      </c>
      <c r="B1251" s="27" t="str">
        <f t="shared" si="57"/>
        <v/>
      </c>
      <c r="C1251" s="27" t="str">
        <f t="shared" si="58"/>
        <v/>
      </c>
    </row>
    <row r="1252" spans="1:3" x14ac:dyDescent="0.25">
      <c r="A1252" s="27" t="s">
        <v>1367</v>
      </c>
      <c r="B1252" s="27" t="str">
        <f t="shared" si="57"/>
        <v/>
      </c>
      <c r="C1252" s="27" t="str">
        <f t="shared" si="58"/>
        <v/>
      </c>
    </row>
    <row r="1253" spans="1:3" x14ac:dyDescent="0.25">
      <c r="A1253" s="27" t="s">
        <v>1367</v>
      </c>
      <c r="B1253" s="27" t="str">
        <f t="shared" si="57"/>
        <v/>
      </c>
      <c r="C1253" s="27" t="str">
        <f t="shared" si="58"/>
        <v/>
      </c>
    </row>
    <row r="1254" spans="1:3" x14ac:dyDescent="0.25">
      <c r="A1254" s="27" t="s">
        <v>1367</v>
      </c>
      <c r="B1254" s="27" t="str">
        <f t="shared" si="57"/>
        <v/>
      </c>
      <c r="C1254" s="27" t="str">
        <f t="shared" si="58"/>
        <v/>
      </c>
    </row>
    <row r="1255" spans="1:3" x14ac:dyDescent="0.25">
      <c r="A1255" s="27" t="s">
        <v>1367</v>
      </c>
      <c r="B1255" s="27" t="str">
        <f t="shared" si="57"/>
        <v/>
      </c>
      <c r="C1255" s="27" t="str">
        <f t="shared" si="58"/>
        <v/>
      </c>
    </row>
    <row r="1256" spans="1:3" x14ac:dyDescent="0.25">
      <c r="A1256" s="27" t="s">
        <v>1367</v>
      </c>
      <c r="B1256" s="27" t="str">
        <f t="shared" si="57"/>
        <v/>
      </c>
      <c r="C1256" s="27" t="str">
        <f t="shared" si="58"/>
        <v/>
      </c>
    </row>
    <row r="1257" spans="1:3" x14ac:dyDescent="0.25">
      <c r="A1257" s="27" t="s">
        <v>1367</v>
      </c>
      <c r="B1257" s="27" t="str">
        <f t="shared" si="57"/>
        <v/>
      </c>
      <c r="C1257" s="27" t="str">
        <f t="shared" si="58"/>
        <v/>
      </c>
    </row>
    <row r="1258" spans="1:3" x14ac:dyDescent="0.25">
      <c r="A1258" s="27" t="s">
        <v>1367</v>
      </c>
      <c r="B1258" s="27" t="str">
        <f t="shared" si="57"/>
        <v/>
      </c>
      <c r="C1258" s="27" t="str">
        <f t="shared" si="58"/>
        <v/>
      </c>
    </row>
    <row r="1259" spans="1:3" x14ac:dyDescent="0.25">
      <c r="A1259" s="27" t="s">
        <v>1367</v>
      </c>
      <c r="B1259" s="27" t="str">
        <f t="shared" si="57"/>
        <v/>
      </c>
      <c r="C1259" s="27" t="str">
        <f t="shared" si="58"/>
        <v/>
      </c>
    </row>
    <row r="1260" spans="1:3" x14ac:dyDescent="0.25">
      <c r="A1260" s="27" t="s">
        <v>1367</v>
      </c>
      <c r="B1260" s="27" t="str">
        <f t="shared" si="57"/>
        <v/>
      </c>
      <c r="C1260" s="27" t="str">
        <f t="shared" si="58"/>
        <v/>
      </c>
    </row>
    <row r="1261" spans="1:3" x14ac:dyDescent="0.25">
      <c r="A1261" s="27" t="s">
        <v>1367</v>
      </c>
      <c r="B1261" s="27" t="str">
        <f t="shared" si="57"/>
        <v/>
      </c>
      <c r="C1261" s="27" t="str">
        <f t="shared" si="58"/>
        <v/>
      </c>
    </row>
    <row r="1262" spans="1:3" x14ac:dyDescent="0.25">
      <c r="A1262" s="27" t="s">
        <v>1367</v>
      </c>
      <c r="B1262" s="27" t="str">
        <f t="shared" si="57"/>
        <v/>
      </c>
      <c r="C1262" s="27" t="str">
        <f t="shared" si="58"/>
        <v/>
      </c>
    </row>
    <row r="1263" spans="1:3" x14ac:dyDescent="0.25">
      <c r="A1263" s="27" t="s">
        <v>1367</v>
      </c>
      <c r="B1263" s="27" t="str">
        <f t="shared" si="57"/>
        <v/>
      </c>
      <c r="C1263" s="27" t="str">
        <f t="shared" si="58"/>
        <v/>
      </c>
    </row>
    <row r="1264" spans="1:3" x14ac:dyDescent="0.25">
      <c r="A1264" s="27" t="s">
        <v>1367</v>
      </c>
      <c r="B1264" s="27" t="str">
        <f t="shared" si="57"/>
        <v/>
      </c>
      <c r="C1264" s="27" t="str">
        <f t="shared" si="58"/>
        <v/>
      </c>
    </row>
    <row r="1265" spans="1:3" x14ac:dyDescent="0.25">
      <c r="A1265" s="27" t="s">
        <v>1367</v>
      </c>
      <c r="B1265" s="27" t="str">
        <f t="shared" si="57"/>
        <v/>
      </c>
      <c r="C1265" s="27" t="str">
        <f t="shared" si="58"/>
        <v/>
      </c>
    </row>
    <row r="1266" spans="1:3" x14ac:dyDescent="0.25">
      <c r="A1266" s="27" t="s">
        <v>1367</v>
      </c>
      <c r="B1266" s="27" t="str">
        <f t="shared" si="57"/>
        <v/>
      </c>
      <c r="C1266" s="27" t="str">
        <f t="shared" si="58"/>
        <v/>
      </c>
    </row>
    <row r="1267" spans="1:3" x14ac:dyDescent="0.25">
      <c r="A1267" s="27" t="s">
        <v>1367</v>
      </c>
      <c r="B1267" s="27" t="str">
        <f t="shared" si="57"/>
        <v/>
      </c>
      <c r="C1267" s="27" t="str">
        <f t="shared" si="58"/>
        <v/>
      </c>
    </row>
    <row r="1268" spans="1:3" x14ac:dyDescent="0.25">
      <c r="A1268" s="27" t="s">
        <v>1367</v>
      </c>
      <c r="B1268" s="27" t="str">
        <f t="shared" si="57"/>
        <v/>
      </c>
      <c r="C1268" s="27" t="str">
        <f t="shared" si="58"/>
        <v/>
      </c>
    </row>
    <row r="1269" spans="1:3" x14ac:dyDescent="0.25">
      <c r="A1269" s="27" t="s">
        <v>1367</v>
      </c>
      <c r="B1269" s="27" t="str">
        <f t="shared" si="57"/>
        <v/>
      </c>
      <c r="C1269" s="27" t="str">
        <f t="shared" si="58"/>
        <v/>
      </c>
    </row>
    <row r="1270" spans="1:3" x14ac:dyDescent="0.25">
      <c r="A1270" s="27" t="s">
        <v>1367</v>
      </c>
      <c r="B1270" s="27" t="str">
        <f t="shared" si="57"/>
        <v/>
      </c>
      <c r="C1270" s="27" t="str">
        <f t="shared" si="58"/>
        <v/>
      </c>
    </row>
    <row r="1271" spans="1:3" x14ac:dyDescent="0.25">
      <c r="A1271" s="27" t="s">
        <v>1367</v>
      </c>
      <c r="B1271" s="27" t="str">
        <f t="shared" si="57"/>
        <v/>
      </c>
      <c r="C1271" s="27" t="str">
        <f t="shared" si="58"/>
        <v/>
      </c>
    </row>
    <row r="1272" spans="1:3" x14ac:dyDescent="0.25">
      <c r="A1272" s="27" t="s">
        <v>1367</v>
      </c>
      <c r="B1272" s="27" t="str">
        <f t="shared" si="57"/>
        <v/>
      </c>
      <c r="C1272" s="27" t="str">
        <f t="shared" si="58"/>
        <v/>
      </c>
    </row>
    <row r="1273" spans="1:3" x14ac:dyDescent="0.25">
      <c r="A1273" s="27" t="s">
        <v>1367</v>
      </c>
      <c r="B1273" s="27" t="str">
        <f t="shared" si="57"/>
        <v/>
      </c>
      <c r="C1273" s="27" t="str">
        <f t="shared" si="58"/>
        <v/>
      </c>
    </row>
    <row r="1274" spans="1:3" x14ac:dyDescent="0.25">
      <c r="A1274" s="27" t="s">
        <v>1367</v>
      </c>
      <c r="B1274" s="27" t="str">
        <f t="shared" si="57"/>
        <v/>
      </c>
      <c r="C1274" s="27" t="str">
        <f t="shared" si="58"/>
        <v/>
      </c>
    </row>
    <row r="1275" spans="1:3" x14ac:dyDescent="0.25">
      <c r="A1275" s="27" t="s">
        <v>1367</v>
      </c>
      <c r="B1275" s="27" t="str">
        <f t="shared" si="57"/>
        <v/>
      </c>
      <c r="C1275" s="27" t="str">
        <f t="shared" si="58"/>
        <v/>
      </c>
    </row>
    <row r="1276" spans="1:3" x14ac:dyDescent="0.25">
      <c r="A1276" s="27" t="s">
        <v>1367</v>
      </c>
      <c r="B1276" s="27" t="str">
        <f t="shared" si="57"/>
        <v/>
      </c>
      <c r="C1276" s="27" t="str">
        <f t="shared" si="58"/>
        <v/>
      </c>
    </row>
    <row r="1277" spans="1:3" x14ac:dyDescent="0.25">
      <c r="A1277" s="27" t="s">
        <v>1367</v>
      </c>
      <c r="B1277" s="27" t="str">
        <f t="shared" si="57"/>
        <v/>
      </c>
      <c r="C1277" s="27" t="str">
        <f t="shared" si="58"/>
        <v/>
      </c>
    </row>
    <row r="1278" spans="1:3" x14ac:dyDescent="0.25">
      <c r="A1278" s="27" t="s">
        <v>1367</v>
      </c>
      <c r="B1278" s="27" t="str">
        <f t="shared" si="57"/>
        <v/>
      </c>
      <c r="C1278" s="27" t="str">
        <f t="shared" si="58"/>
        <v/>
      </c>
    </row>
    <row r="1279" spans="1:3" x14ac:dyDescent="0.25">
      <c r="A1279" s="27" t="s">
        <v>1367</v>
      </c>
      <c r="B1279" s="27" t="str">
        <f t="shared" si="57"/>
        <v/>
      </c>
      <c r="C1279" s="27" t="str">
        <f t="shared" si="58"/>
        <v/>
      </c>
    </row>
    <row r="1280" spans="1:3" x14ac:dyDescent="0.25">
      <c r="A1280" s="27" t="s">
        <v>1367</v>
      </c>
      <c r="B1280" s="27" t="str">
        <f t="shared" si="57"/>
        <v/>
      </c>
      <c r="C1280" s="27" t="str">
        <f t="shared" si="58"/>
        <v/>
      </c>
    </row>
    <row r="1281" spans="1:3" x14ac:dyDescent="0.25">
      <c r="A1281" s="27" t="s">
        <v>1367</v>
      </c>
      <c r="B1281" s="27" t="str">
        <f t="shared" si="57"/>
        <v/>
      </c>
      <c r="C1281" s="27" t="str">
        <f t="shared" si="58"/>
        <v/>
      </c>
    </row>
    <row r="1282" spans="1:3" x14ac:dyDescent="0.25">
      <c r="A1282" s="27" t="s">
        <v>1367</v>
      </c>
      <c r="B1282" s="27" t="str">
        <f t="shared" si="57"/>
        <v/>
      </c>
      <c r="C1282" s="27" t="str">
        <f t="shared" si="58"/>
        <v/>
      </c>
    </row>
    <row r="1283" spans="1:3" x14ac:dyDescent="0.25">
      <c r="A1283" s="27" t="s">
        <v>1367</v>
      </c>
      <c r="B1283" s="27" t="str">
        <f t="shared" ref="B1283:B1346" si="60">LEFT(A1283,FIND(";",A1283)-1)</f>
        <v/>
      </c>
      <c r="C1283" s="27" t="str">
        <f t="shared" ref="C1283:C1346" si="61">MID(A1283,FIND(";",A1283)+1,100)</f>
        <v/>
      </c>
    </row>
    <row r="1284" spans="1:3" x14ac:dyDescent="0.25">
      <c r="A1284" s="27" t="s">
        <v>1367</v>
      </c>
      <c r="B1284" s="27" t="str">
        <f t="shared" si="60"/>
        <v/>
      </c>
      <c r="C1284" s="27" t="str">
        <f t="shared" si="61"/>
        <v/>
      </c>
    </row>
    <row r="1285" spans="1:3" x14ac:dyDescent="0.25">
      <c r="A1285" s="27" t="s">
        <v>1367</v>
      </c>
      <c r="B1285" s="27" t="str">
        <f t="shared" si="60"/>
        <v/>
      </c>
      <c r="C1285" s="27" t="str">
        <f t="shared" si="61"/>
        <v/>
      </c>
    </row>
    <row r="1286" spans="1:3" x14ac:dyDescent="0.25">
      <c r="A1286" s="27" t="s">
        <v>1367</v>
      </c>
      <c r="B1286" s="27" t="str">
        <f t="shared" si="60"/>
        <v/>
      </c>
      <c r="C1286" s="27" t="str">
        <f t="shared" si="61"/>
        <v/>
      </c>
    </row>
    <row r="1287" spans="1:3" x14ac:dyDescent="0.25">
      <c r="A1287" s="27" t="s">
        <v>1367</v>
      </c>
      <c r="B1287" s="27" t="str">
        <f t="shared" si="60"/>
        <v/>
      </c>
      <c r="C1287" s="27" t="str">
        <f t="shared" si="61"/>
        <v/>
      </c>
    </row>
    <row r="1288" spans="1:3" x14ac:dyDescent="0.25">
      <c r="A1288" s="27" t="s">
        <v>1367</v>
      </c>
      <c r="B1288" s="27" t="str">
        <f t="shared" si="60"/>
        <v/>
      </c>
      <c r="C1288" s="27" t="str">
        <f t="shared" si="61"/>
        <v/>
      </c>
    </row>
    <row r="1289" spans="1:3" x14ac:dyDescent="0.25">
      <c r="A1289" s="27" t="s">
        <v>1367</v>
      </c>
      <c r="B1289" s="27" t="str">
        <f t="shared" si="60"/>
        <v/>
      </c>
      <c r="C1289" s="27" t="str">
        <f t="shared" si="61"/>
        <v/>
      </c>
    </row>
    <row r="1290" spans="1:3" x14ac:dyDescent="0.25">
      <c r="A1290" s="27" t="s">
        <v>1367</v>
      </c>
      <c r="B1290" s="27" t="str">
        <f t="shared" si="60"/>
        <v/>
      </c>
      <c r="C1290" s="27" t="str">
        <f t="shared" si="61"/>
        <v/>
      </c>
    </row>
    <row r="1291" spans="1:3" x14ac:dyDescent="0.25">
      <c r="A1291" s="27" t="s">
        <v>1367</v>
      </c>
      <c r="B1291" s="27" t="str">
        <f t="shared" si="60"/>
        <v/>
      </c>
      <c r="C1291" s="27" t="str">
        <f t="shared" si="61"/>
        <v/>
      </c>
    </row>
    <row r="1292" spans="1:3" x14ac:dyDescent="0.25">
      <c r="A1292" s="27" t="s">
        <v>1367</v>
      </c>
      <c r="B1292" s="27" t="str">
        <f t="shared" si="60"/>
        <v/>
      </c>
      <c r="C1292" s="27" t="str">
        <f t="shared" si="61"/>
        <v/>
      </c>
    </row>
    <row r="1293" spans="1:3" x14ac:dyDescent="0.25">
      <c r="A1293" s="27" t="s">
        <v>1367</v>
      </c>
      <c r="B1293" s="27" t="str">
        <f t="shared" si="60"/>
        <v/>
      </c>
      <c r="C1293" s="27" t="str">
        <f t="shared" si="61"/>
        <v/>
      </c>
    </row>
    <row r="1294" spans="1:3" x14ac:dyDescent="0.25">
      <c r="A1294" s="27" t="s">
        <v>1367</v>
      </c>
      <c r="B1294" s="27" t="str">
        <f t="shared" si="60"/>
        <v/>
      </c>
      <c r="C1294" s="27" t="str">
        <f t="shared" si="61"/>
        <v/>
      </c>
    </row>
    <row r="1295" spans="1:3" x14ac:dyDescent="0.25">
      <c r="A1295" s="27" t="s">
        <v>1367</v>
      </c>
      <c r="B1295" s="27" t="str">
        <f t="shared" si="60"/>
        <v/>
      </c>
      <c r="C1295" s="27" t="str">
        <f t="shared" si="61"/>
        <v/>
      </c>
    </row>
    <row r="1296" spans="1:3" x14ac:dyDescent="0.25">
      <c r="A1296" s="27" t="s">
        <v>1367</v>
      </c>
      <c r="B1296" s="27" t="str">
        <f t="shared" si="60"/>
        <v/>
      </c>
      <c r="C1296" s="27" t="str">
        <f t="shared" si="61"/>
        <v/>
      </c>
    </row>
    <row r="1297" spans="1:3" x14ac:dyDescent="0.25">
      <c r="A1297" s="27" t="s">
        <v>1367</v>
      </c>
      <c r="B1297" s="27" t="str">
        <f t="shared" si="60"/>
        <v/>
      </c>
      <c r="C1297" s="27" t="str">
        <f t="shared" si="61"/>
        <v/>
      </c>
    </row>
    <row r="1298" spans="1:3" x14ac:dyDescent="0.25">
      <c r="A1298" s="27" t="s">
        <v>1367</v>
      </c>
      <c r="B1298" s="27" t="str">
        <f t="shared" si="60"/>
        <v/>
      </c>
      <c r="C1298" s="27" t="str">
        <f t="shared" si="61"/>
        <v/>
      </c>
    </row>
    <row r="1299" spans="1:3" x14ac:dyDescent="0.25">
      <c r="A1299" s="27" t="s">
        <v>1367</v>
      </c>
      <c r="B1299" s="27" t="str">
        <f t="shared" si="60"/>
        <v/>
      </c>
      <c r="C1299" s="27" t="str">
        <f t="shared" si="61"/>
        <v/>
      </c>
    </row>
    <row r="1300" spans="1:3" x14ac:dyDescent="0.25">
      <c r="A1300" s="27" t="s">
        <v>1367</v>
      </c>
      <c r="B1300" s="27" t="str">
        <f t="shared" si="60"/>
        <v/>
      </c>
      <c r="C1300" s="27" t="str">
        <f t="shared" si="61"/>
        <v/>
      </c>
    </row>
    <row r="1301" spans="1:3" x14ac:dyDescent="0.25">
      <c r="A1301" s="27" t="s">
        <v>1367</v>
      </c>
      <c r="B1301" s="27" t="str">
        <f t="shared" si="60"/>
        <v/>
      </c>
      <c r="C1301" s="27" t="str">
        <f t="shared" si="61"/>
        <v/>
      </c>
    </row>
    <row r="1302" spans="1:3" x14ac:dyDescent="0.25">
      <c r="A1302" s="27" t="s">
        <v>1367</v>
      </c>
      <c r="B1302" s="27" t="str">
        <f t="shared" si="60"/>
        <v/>
      </c>
      <c r="C1302" s="27" t="str">
        <f t="shared" si="61"/>
        <v/>
      </c>
    </row>
    <row r="1303" spans="1:3" x14ac:dyDescent="0.25">
      <c r="A1303" s="27" t="s">
        <v>1367</v>
      </c>
      <c r="B1303" s="27" t="str">
        <f t="shared" si="60"/>
        <v/>
      </c>
      <c r="C1303" s="27" t="str">
        <f t="shared" si="61"/>
        <v/>
      </c>
    </row>
    <row r="1304" spans="1:3" x14ac:dyDescent="0.25">
      <c r="A1304" s="27" t="s">
        <v>1367</v>
      </c>
      <c r="B1304" s="27" t="str">
        <f t="shared" si="60"/>
        <v/>
      </c>
      <c r="C1304" s="27" t="str">
        <f t="shared" si="61"/>
        <v/>
      </c>
    </row>
    <row r="1305" spans="1:3" x14ac:dyDescent="0.25">
      <c r="A1305" s="27" t="s">
        <v>1367</v>
      </c>
      <c r="B1305" s="27" t="str">
        <f t="shared" si="60"/>
        <v/>
      </c>
      <c r="C1305" s="27" t="str">
        <f t="shared" si="61"/>
        <v/>
      </c>
    </row>
    <row r="1306" spans="1:3" x14ac:dyDescent="0.25">
      <c r="A1306" s="27" t="s">
        <v>1367</v>
      </c>
      <c r="B1306" s="27" t="str">
        <f t="shared" si="60"/>
        <v/>
      </c>
      <c r="C1306" s="27" t="str">
        <f t="shared" si="61"/>
        <v/>
      </c>
    </row>
    <row r="1307" spans="1:3" x14ac:dyDescent="0.25">
      <c r="A1307" s="27" t="s">
        <v>1367</v>
      </c>
      <c r="B1307" s="27" t="str">
        <f t="shared" si="60"/>
        <v/>
      </c>
      <c r="C1307" s="27" t="str">
        <f t="shared" si="61"/>
        <v/>
      </c>
    </row>
    <row r="1308" spans="1:3" x14ac:dyDescent="0.25">
      <c r="A1308" s="27" t="s">
        <v>1367</v>
      </c>
      <c r="B1308" s="27" t="str">
        <f t="shared" si="60"/>
        <v/>
      </c>
      <c r="C1308" s="27" t="str">
        <f t="shared" si="61"/>
        <v/>
      </c>
    </row>
    <row r="1309" spans="1:3" x14ac:dyDescent="0.25">
      <c r="A1309" s="27" t="s">
        <v>1367</v>
      </c>
      <c r="B1309" s="27" t="str">
        <f t="shared" si="60"/>
        <v/>
      </c>
      <c r="C1309" s="27" t="str">
        <f t="shared" si="61"/>
        <v/>
      </c>
    </row>
    <row r="1310" spans="1:3" x14ac:dyDescent="0.25">
      <c r="A1310" s="27" t="s">
        <v>1367</v>
      </c>
      <c r="B1310" s="27" t="str">
        <f t="shared" si="60"/>
        <v/>
      </c>
      <c r="C1310" s="27" t="str">
        <f t="shared" si="61"/>
        <v/>
      </c>
    </row>
    <row r="1311" spans="1:3" x14ac:dyDescent="0.25">
      <c r="A1311" s="27" t="s">
        <v>1367</v>
      </c>
      <c r="B1311" s="27" t="str">
        <f t="shared" si="60"/>
        <v/>
      </c>
      <c r="C1311" s="27" t="str">
        <f t="shared" si="61"/>
        <v/>
      </c>
    </row>
    <row r="1312" spans="1:3" x14ac:dyDescent="0.25">
      <c r="A1312" s="27" t="s">
        <v>1367</v>
      </c>
      <c r="B1312" s="27" t="str">
        <f t="shared" si="60"/>
        <v/>
      </c>
      <c r="C1312" s="27" t="str">
        <f t="shared" si="61"/>
        <v/>
      </c>
    </row>
    <row r="1313" spans="1:3" x14ac:dyDescent="0.25">
      <c r="A1313" s="27" t="s">
        <v>1367</v>
      </c>
      <c r="B1313" s="27" t="str">
        <f t="shared" si="60"/>
        <v/>
      </c>
      <c r="C1313" s="27" t="str">
        <f t="shared" si="61"/>
        <v/>
      </c>
    </row>
    <row r="1314" spans="1:3" x14ac:dyDescent="0.25">
      <c r="A1314" s="27" t="s">
        <v>1367</v>
      </c>
      <c r="B1314" s="27" t="str">
        <f t="shared" si="60"/>
        <v/>
      </c>
      <c r="C1314" s="27" t="str">
        <f t="shared" si="61"/>
        <v/>
      </c>
    </row>
    <row r="1315" spans="1:3" x14ac:dyDescent="0.25">
      <c r="A1315" s="27" t="s">
        <v>1367</v>
      </c>
      <c r="B1315" s="27" t="str">
        <f t="shared" si="60"/>
        <v/>
      </c>
      <c r="C1315" s="27" t="str">
        <f t="shared" si="61"/>
        <v/>
      </c>
    </row>
    <row r="1316" spans="1:3" x14ac:dyDescent="0.25">
      <c r="A1316" s="27" t="s">
        <v>1367</v>
      </c>
      <c r="B1316" s="27" t="str">
        <f t="shared" si="60"/>
        <v/>
      </c>
      <c r="C1316" s="27" t="str">
        <f t="shared" si="61"/>
        <v/>
      </c>
    </row>
    <row r="1317" spans="1:3" x14ac:dyDescent="0.25">
      <c r="A1317" s="27" t="s">
        <v>1367</v>
      </c>
      <c r="B1317" s="27" t="str">
        <f t="shared" si="60"/>
        <v/>
      </c>
      <c r="C1317" s="27" t="str">
        <f t="shared" si="61"/>
        <v/>
      </c>
    </row>
    <row r="1318" spans="1:3" x14ac:dyDescent="0.25">
      <c r="A1318" s="27" t="s">
        <v>1367</v>
      </c>
      <c r="B1318" s="27" t="str">
        <f t="shared" si="60"/>
        <v/>
      </c>
      <c r="C1318" s="27" t="str">
        <f t="shared" si="61"/>
        <v/>
      </c>
    </row>
    <row r="1319" spans="1:3" x14ac:dyDescent="0.25">
      <c r="A1319" s="27" t="s">
        <v>1367</v>
      </c>
      <c r="B1319" s="27" t="str">
        <f t="shared" si="60"/>
        <v/>
      </c>
      <c r="C1319" s="27" t="str">
        <f t="shared" si="61"/>
        <v/>
      </c>
    </row>
    <row r="1320" spans="1:3" x14ac:dyDescent="0.25">
      <c r="A1320" s="27" t="s">
        <v>1367</v>
      </c>
      <c r="B1320" s="27" t="str">
        <f t="shared" si="60"/>
        <v/>
      </c>
      <c r="C1320" s="27" t="str">
        <f t="shared" si="61"/>
        <v/>
      </c>
    </row>
    <row r="1321" spans="1:3" x14ac:dyDescent="0.25">
      <c r="A1321" s="27" t="s">
        <v>1367</v>
      </c>
      <c r="B1321" s="27" t="str">
        <f t="shared" si="60"/>
        <v/>
      </c>
      <c r="C1321" s="27" t="str">
        <f t="shared" si="61"/>
        <v/>
      </c>
    </row>
    <row r="1322" spans="1:3" x14ac:dyDescent="0.25">
      <c r="A1322" s="27" t="s">
        <v>1367</v>
      </c>
      <c r="B1322" s="27" t="str">
        <f t="shared" si="60"/>
        <v/>
      </c>
      <c r="C1322" s="27" t="str">
        <f t="shared" si="61"/>
        <v/>
      </c>
    </row>
    <row r="1323" spans="1:3" x14ac:dyDescent="0.25">
      <c r="A1323" s="27" t="s">
        <v>1367</v>
      </c>
      <c r="B1323" s="27" t="str">
        <f t="shared" si="60"/>
        <v/>
      </c>
      <c r="C1323" s="27" t="str">
        <f t="shared" si="61"/>
        <v/>
      </c>
    </row>
    <row r="1324" spans="1:3" x14ac:dyDescent="0.25">
      <c r="A1324" s="27" t="s">
        <v>1367</v>
      </c>
      <c r="B1324" s="27" t="str">
        <f t="shared" si="60"/>
        <v/>
      </c>
      <c r="C1324" s="27" t="str">
        <f t="shared" si="61"/>
        <v/>
      </c>
    </row>
    <row r="1325" spans="1:3" x14ac:dyDescent="0.25">
      <c r="A1325" s="27" t="s">
        <v>1367</v>
      </c>
      <c r="B1325" s="27" t="str">
        <f t="shared" si="60"/>
        <v/>
      </c>
      <c r="C1325" s="27" t="str">
        <f t="shared" si="61"/>
        <v/>
      </c>
    </row>
    <row r="1326" spans="1:3" x14ac:dyDescent="0.25">
      <c r="A1326" s="27" t="s">
        <v>1367</v>
      </c>
      <c r="B1326" s="27" t="str">
        <f t="shared" si="60"/>
        <v/>
      </c>
      <c r="C1326" s="27" t="str">
        <f t="shared" si="61"/>
        <v/>
      </c>
    </row>
    <row r="1327" spans="1:3" x14ac:dyDescent="0.25">
      <c r="A1327" s="27" t="s">
        <v>1367</v>
      </c>
      <c r="B1327" s="27" t="str">
        <f t="shared" si="60"/>
        <v/>
      </c>
      <c r="C1327" s="27" t="str">
        <f t="shared" si="61"/>
        <v/>
      </c>
    </row>
    <row r="1328" spans="1:3" x14ac:dyDescent="0.25">
      <c r="A1328" s="27" t="s">
        <v>1367</v>
      </c>
      <c r="B1328" s="27" t="str">
        <f t="shared" si="60"/>
        <v/>
      </c>
      <c r="C1328" s="27" t="str">
        <f t="shared" si="61"/>
        <v/>
      </c>
    </row>
    <row r="1329" spans="1:3" x14ac:dyDescent="0.25">
      <c r="A1329" s="27" t="s">
        <v>1367</v>
      </c>
      <c r="B1329" s="27" t="str">
        <f t="shared" si="60"/>
        <v/>
      </c>
      <c r="C1329" s="27" t="str">
        <f t="shared" si="61"/>
        <v/>
      </c>
    </row>
    <row r="1330" spans="1:3" x14ac:dyDescent="0.25">
      <c r="A1330" s="27" t="s">
        <v>1367</v>
      </c>
      <c r="B1330" s="27" t="str">
        <f t="shared" si="60"/>
        <v/>
      </c>
      <c r="C1330" s="27" t="str">
        <f t="shared" si="61"/>
        <v/>
      </c>
    </row>
    <row r="1331" spans="1:3" x14ac:dyDescent="0.25">
      <c r="A1331" s="27" t="s">
        <v>1367</v>
      </c>
      <c r="B1331" s="27" t="str">
        <f t="shared" si="60"/>
        <v/>
      </c>
      <c r="C1331" s="27" t="str">
        <f t="shared" si="61"/>
        <v/>
      </c>
    </row>
    <row r="1332" spans="1:3" x14ac:dyDescent="0.25">
      <c r="A1332" s="27" t="s">
        <v>1367</v>
      </c>
      <c r="B1332" s="27" t="str">
        <f t="shared" si="60"/>
        <v/>
      </c>
      <c r="C1332" s="27" t="str">
        <f t="shared" si="61"/>
        <v/>
      </c>
    </row>
    <row r="1333" spans="1:3" x14ac:dyDescent="0.25">
      <c r="A1333" s="27" t="s">
        <v>1367</v>
      </c>
      <c r="B1333" s="27" t="str">
        <f t="shared" si="60"/>
        <v/>
      </c>
      <c r="C1333" s="27" t="str">
        <f t="shared" si="61"/>
        <v/>
      </c>
    </row>
    <row r="1334" spans="1:3" x14ac:dyDescent="0.25">
      <c r="A1334" s="27" t="s">
        <v>1367</v>
      </c>
      <c r="B1334" s="27" t="str">
        <f t="shared" si="60"/>
        <v/>
      </c>
      <c r="C1334" s="27" t="str">
        <f t="shared" si="61"/>
        <v/>
      </c>
    </row>
    <row r="1335" spans="1:3" x14ac:dyDescent="0.25">
      <c r="A1335" s="27" t="s">
        <v>1367</v>
      </c>
      <c r="B1335" s="27" t="str">
        <f t="shared" si="60"/>
        <v/>
      </c>
      <c r="C1335" s="27" t="str">
        <f t="shared" si="61"/>
        <v/>
      </c>
    </row>
    <row r="1336" spans="1:3" x14ac:dyDescent="0.25">
      <c r="A1336" s="27" t="s">
        <v>1367</v>
      </c>
      <c r="B1336" s="27" t="str">
        <f t="shared" si="60"/>
        <v/>
      </c>
      <c r="C1336" s="27" t="str">
        <f t="shared" si="61"/>
        <v/>
      </c>
    </row>
    <row r="1337" spans="1:3" x14ac:dyDescent="0.25">
      <c r="A1337" s="27" t="s">
        <v>1367</v>
      </c>
      <c r="B1337" s="27" t="str">
        <f t="shared" si="60"/>
        <v/>
      </c>
      <c r="C1337" s="27" t="str">
        <f t="shared" si="61"/>
        <v/>
      </c>
    </row>
    <row r="1338" spans="1:3" x14ac:dyDescent="0.25">
      <c r="A1338" s="27" t="s">
        <v>1367</v>
      </c>
      <c r="B1338" s="27" t="str">
        <f t="shared" si="60"/>
        <v/>
      </c>
      <c r="C1338" s="27" t="str">
        <f t="shared" si="61"/>
        <v/>
      </c>
    </row>
    <row r="1339" spans="1:3" x14ac:dyDescent="0.25">
      <c r="A1339" s="27" t="s">
        <v>1367</v>
      </c>
      <c r="B1339" s="27" t="str">
        <f t="shared" si="60"/>
        <v/>
      </c>
      <c r="C1339" s="27" t="str">
        <f t="shared" si="61"/>
        <v/>
      </c>
    </row>
    <row r="1340" spans="1:3" x14ac:dyDescent="0.25">
      <c r="A1340" s="27" t="s">
        <v>1367</v>
      </c>
      <c r="B1340" s="27" t="str">
        <f t="shared" si="60"/>
        <v/>
      </c>
      <c r="C1340" s="27" t="str">
        <f t="shared" si="61"/>
        <v/>
      </c>
    </row>
    <row r="1341" spans="1:3" x14ac:dyDescent="0.25">
      <c r="A1341" s="27" t="s">
        <v>1367</v>
      </c>
      <c r="B1341" s="27" t="str">
        <f t="shared" si="60"/>
        <v/>
      </c>
      <c r="C1341" s="27" t="str">
        <f t="shared" si="61"/>
        <v/>
      </c>
    </row>
    <row r="1342" spans="1:3" x14ac:dyDescent="0.25">
      <c r="A1342" s="27" t="s">
        <v>1367</v>
      </c>
      <c r="B1342" s="27" t="str">
        <f t="shared" si="60"/>
        <v/>
      </c>
      <c r="C1342" s="27" t="str">
        <f t="shared" si="61"/>
        <v/>
      </c>
    </row>
    <row r="1343" spans="1:3" x14ac:dyDescent="0.25">
      <c r="A1343" s="27" t="s">
        <v>1367</v>
      </c>
      <c r="B1343" s="27" t="str">
        <f t="shared" si="60"/>
        <v/>
      </c>
      <c r="C1343" s="27" t="str">
        <f t="shared" si="61"/>
        <v/>
      </c>
    </row>
    <row r="1344" spans="1:3" x14ac:dyDescent="0.25">
      <c r="A1344" s="27" t="s">
        <v>1367</v>
      </c>
      <c r="B1344" s="27" t="str">
        <f t="shared" si="60"/>
        <v/>
      </c>
      <c r="C1344" s="27" t="str">
        <f t="shared" si="61"/>
        <v/>
      </c>
    </row>
    <row r="1345" spans="1:3" x14ac:dyDescent="0.25">
      <c r="A1345" s="27" t="s">
        <v>1367</v>
      </c>
      <c r="B1345" s="27" t="str">
        <f t="shared" si="60"/>
        <v/>
      </c>
      <c r="C1345" s="27" t="str">
        <f t="shared" si="61"/>
        <v/>
      </c>
    </row>
    <row r="1346" spans="1:3" x14ac:dyDescent="0.25">
      <c r="A1346" s="27" t="s">
        <v>1367</v>
      </c>
      <c r="B1346" s="27" t="str">
        <f t="shared" si="60"/>
        <v/>
      </c>
      <c r="C1346" s="27" t="str">
        <f t="shared" si="61"/>
        <v/>
      </c>
    </row>
    <row r="1347" spans="1:3" x14ac:dyDescent="0.25">
      <c r="A1347" s="27" t="s">
        <v>1367</v>
      </c>
      <c r="B1347" s="27" t="str">
        <f t="shared" ref="B1347:B1410" si="62">LEFT(A1347,FIND(";",A1347)-1)</f>
        <v/>
      </c>
      <c r="C1347" s="27" t="str">
        <f t="shared" ref="C1347:C1410" si="63">MID(A1347,FIND(";",A1347)+1,100)</f>
        <v/>
      </c>
    </row>
    <row r="1348" spans="1:3" x14ac:dyDescent="0.25">
      <c r="A1348" s="27" t="s">
        <v>1367</v>
      </c>
      <c r="B1348" s="27" t="str">
        <f t="shared" si="62"/>
        <v/>
      </c>
      <c r="C1348" s="27" t="str">
        <f t="shared" si="63"/>
        <v/>
      </c>
    </row>
    <row r="1349" spans="1:3" x14ac:dyDescent="0.25">
      <c r="A1349" s="27" t="s">
        <v>1367</v>
      </c>
      <c r="B1349" s="27" t="str">
        <f t="shared" si="62"/>
        <v/>
      </c>
      <c r="C1349" s="27" t="str">
        <f t="shared" si="63"/>
        <v/>
      </c>
    </row>
    <row r="1350" spans="1:3" x14ac:dyDescent="0.25">
      <c r="A1350" s="27" t="s">
        <v>1367</v>
      </c>
      <c r="B1350" s="27" t="str">
        <f t="shared" si="62"/>
        <v/>
      </c>
      <c r="C1350" s="27" t="str">
        <f t="shared" si="63"/>
        <v/>
      </c>
    </row>
    <row r="1351" spans="1:3" x14ac:dyDescent="0.25">
      <c r="A1351" s="27" t="s">
        <v>1367</v>
      </c>
      <c r="B1351" s="27" t="str">
        <f t="shared" si="62"/>
        <v/>
      </c>
      <c r="C1351" s="27" t="str">
        <f t="shared" si="63"/>
        <v/>
      </c>
    </row>
    <row r="1352" spans="1:3" x14ac:dyDescent="0.25">
      <c r="A1352" s="27" t="s">
        <v>1367</v>
      </c>
      <c r="B1352" s="27" t="str">
        <f t="shared" si="62"/>
        <v/>
      </c>
      <c r="C1352" s="27" t="str">
        <f t="shared" si="63"/>
        <v/>
      </c>
    </row>
    <row r="1353" spans="1:3" x14ac:dyDescent="0.25">
      <c r="A1353" s="27" t="s">
        <v>1367</v>
      </c>
      <c r="B1353" s="27" t="str">
        <f t="shared" si="62"/>
        <v/>
      </c>
      <c r="C1353" s="27" t="str">
        <f t="shared" si="63"/>
        <v/>
      </c>
    </row>
    <row r="1354" spans="1:3" x14ac:dyDescent="0.25">
      <c r="A1354" s="27" t="s">
        <v>1367</v>
      </c>
      <c r="B1354" s="27" t="str">
        <f t="shared" si="62"/>
        <v/>
      </c>
      <c r="C1354" s="27" t="str">
        <f t="shared" si="63"/>
        <v/>
      </c>
    </row>
    <row r="1355" spans="1:3" x14ac:dyDescent="0.25">
      <c r="A1355" s="27" t="s">
        <v>1367</v>
      </c>
      <c r="B1355" s="27" t="str">
        <f t="shared" si="62"/>
        <v/>
      </c>
      <c r="C1355" s="27" t="str">
        <f t="shared" si="63"/>
        <v/>
      </c>
    </row>
    <row r="1356" spans="1:3" x14ac:dyDescent="0.25">
      <c r="A1356" s="27" t="s">
        <v>1367</v>
      </c>
      <c r="B1356" s="27" t="str">
        <f t="shared" si="62"/>
        <v/>
      </c>
      <c r="C1356" s="27" t="str">
        <f t="shared" si="63"/>
        <v/>
      </c>
    </row>
    <row r="1357" spans="1:3" x14ac:dyDescent="0.25">
      <c r="A1357" s="27" t="s">
        <v>1367</v>
      </c>
      <c r="B1357" s="27" t="str">
        <f t="shared" si="62"/>
        <v/>
      </c>
      <c r="C1357" s="27" t="str">
        <f t="shared" si="63"/>
        <v/>
      </c>
    </row>
    <row r="1358" spans="1:3" x14ac:dyDescent="0.25">
      <c r="A1358" s="27" t="s">
        <v>1367</v>
      </c>
      <c r="B1358" s="27" t="str">
        <f t="shared" si="62"/>
        <v/>
      </c>
      <c r="C1358" s="27" t="str">
        <f t="shared" si="63"/>
        <v/>
      </c>
    </row>
    <row r="1359" spans="1:3" x14ac:dyDescent="0.25">
      <c r="A1359" s="27" t="s">
        <v>1367</v>
      </c>
      <c r="B1359" s="27" t="str">
        <f t="shared" si="62"/>
        <v/>
      </c>
      <c r="C1359" s="27" t="str">
        <f t="shared" si="63"/>
        <v/>
      </c>
    </row>
    <row r="1360" spans="1:3" x14ac:dyDescent="0.25">
      <c r="A1360" s="27" t="s">
        <v>1367</v>
      </c>
      <c r="B1360" s="27" t="str">
        <f t="shared" si="62"/>
        <v/>
      </c>
      <c r="C1360" s="27" t="str">
        <f t="shared" si="63"/>
        <v/>
      </c>
    </row>
    <row r="1361" spans="1:3" x14ac:dyDescent="0.25">
      <c r="A1361" s="27" t="s">
        <v>1367</v>
      </c>
      <c r="B1361" s="27" t="str">
        <f t="shared" si="62"/>
        <v/>
      </c>
      <c r="C1361" s="27" t="str">
        <f t="shared" si="63"/>
        <v/>
      </c>
    </row>
    <row r="1362" spans="1:3" x14ac:dyDescent="0.25">
      <c r="A1362" s="27" t="s">
        <v>1367</v>
      </c>
      <c r="B1362" s="27" t="str">
        <f t="shared" si="62"/>
        <v/>
      </c>
      <c r="C1362" s="27" t="str">
        <f t="shared" si="63"/>
        <v/>
      </c>
    </row>
    <row r="1363" spans="1:3" x14ac:dyDescent="0.25">
      <c r="A1363" s="27" t="s">
        <v>1367</v>
      </c>
      <c r="B1363" s="27" t="str">
        <f t="shared" si="62"/>
        <v/>
      </c>
      <c r="C1363" s="27" t="str">
        <f t="shared" si="63"/>
        <v/>
      </c>
    </row>
    <row r="1364" spans="1:3" x14ac:dyDescent="0.25">
      <c r="A1364" s="27" t="s">
        <v>1367</v>
      </c>
      <c r="B1364" s="27" t="str">
        <f t="shared" si="62"/>
        <v/>
      </c>
      <c r="C1364" s="27" t="str">
        <f t="shared" si="63"/>
        <v/>
      </c>
    </row>
    <row r="1365" spans="1:3" x14ac:dyDescent="0.25">
      <c r="A1365" s="27" t="s">
        <v>1367</v>
      </c>
      <c r="B1365" s="27" t="str">
        <f t="shared" si="62"/>
        <v/>
      </c>
      <c r="C1365" s="27" t="str">
        <f t="shared" si="63"/>
        <v/>
      </c>
    </row>
    <row r="1366" spans="1:3" x14ac:dyDescent="0.25">
      <c r="A1366" s="27" t="s">
        <v>1367</v>
      </c>
      <c r="B1366" s="27" t="str">
        <f t="shared" si="62"/>
        <v/>
      </c>
      <c r="C1366" s="27" t="str">
        <f t="shared" si="63"/>
        <v/>
      </c>
    </row>
    <row r="1367" spans="1:3" x14ac:dyDescent="0.25">
      <c r="A1367" s="27" t="s">
        <v>1367</v>
      </c>
      <c r="B1367" s="27" t="str">
        <f t="shared" si="62"/>
        <v/>
      </c>
      <c r="C1367" s="27" t="str">
        <f t="shared" si="63"/>
        <v/>
      </c>
    </row>
    <row r="1368" spans="1:3" x14ac:dyDescent="0.25">
      <c r="A1368" s="27" t="s">
        <v>1367</v>
      </c>
      <c r="B1368" s="27" t="str">
        <f t="shared" si="62"/>
        <v/>
      </c>
      <c r="C1368" s="27" t="str">
        <f t="shared" si="63"/>
        <v/>
      </c>
    </row>
    <row r="1369" spans="1:3" x14ac:dyDescent="0.25">
      <c r="A1369" s="27" t="s">
        <v>1367</v>
      </c>
      <c r="B1369" s="27" t="str">
        <f t="shared" si="62"/>
        <v/>
      </c>
      <c r="C1369" s="27" t="str">
        <f t="shared" si="63"/>
        <v/>
      </c>
    </row>
    <row r="1370" spans="1:3" x14ac:dyDescent="0.25">
      <c r="A1370" s="27" t="s">
        <v>1367</v>
      </c>
      <c r="B1370" s="27" t="str">
        <f t="shared" si="62"/>
        <v/>
      </c>
      <c r="C1370" s="27" t="str">
        <f t="shared" si="63"/>
        <v/>
      </c>
    </row>
    <row r="1371" spans="1:3" x14ac:dyDescent="0.25">
      <c r="A1371" s="27" t="s">
        <v>1367</v>
      </c>
      <c r="B1371" s="27" t="str">
        <f t="shared" si="62"/>
        <v/>
      </c>
      <c r="C1371" s="27" t="str">
        <f t="shared" si="63"/>
        <v/>
      </c>
    </row>
    <row r="1372" spans="1:3" x14ac:dyDescent="0.25">
      <c r="A1372" s="27" t="s">
        <v>1367</v>
      </c>
      <c r="B1372" s="27" t="str">
        <f t="shared" si="62"/>
        <v/>
      </c>
      <c r="C1372" s="27" t="str">
        <f t="shared" si="63"/>
        <v/>
      </c>
    </row>
    <row r="1373" spans="1:3" x14ac:dyDescent="0.25">
      <c r="A1373" s="27" t="s">
        <v>1367</v>
      </c>
      <c r="B1373" s="27" t="str">
        <f t="shared" si="62"/>
        <v/>
      </c>
      <c r="C1373" s="27" t="str">
        <f t="shared" si="63"/>
        <v/>
      </c>
    </row>
    <row r="1374" spans="1:3" x14ac:dyDescent="0.25">
      <c r="A1374" s="27" t="s">
        <v>1367</v>
      </c>
      <c r="B1374" s="27" t="str">
        <f t="shared" si="62"/>
        <v/>
      </c>
      <c r="C1374" s="27" t="str">
        <f t="shared" si="63"/>
        <v/>
      </c>
    </row>
    <row r="1375" spans="1:3" x14ac:dyDescent="0.25">
      <c r="A1375" s="27" t="s">
        <v>1367</v>
      </c>
      <c r="B1375" s="27" t="str">
        <f t="shared" si="62"/>
        <v/>
      </c>
      <c r="C1375" s="27" t="str">
        <f t="shared" si="63"/>
        <v/>
      </c>
    </row>
    <row r="1376" spans="1:3" x14ac:dyDescent="0.25">
      <c r="A1376" s="27" t="s">
        <v>1367</v>
      </c>
      <c r="B1376" s="27" t="str">
        <f t="shared" si="62"/>
        <v/>
      </c>
      <c r="C1376" s="27" t="str">
        <f t="shared" si="63"/>
        <v/>
      </c>
    </row>
    <row r="1377" spans="1:3" x14ac:dyDescent="0.25">
      <c r="A1377" s="27" t="s">
        <v>1367</v>
      </c>
      <c r="B1377" s="27" t="str">
        <f t="shared" si="62"/>
        <v/>
      </c>
      <c r="C1377" s="27" t="str">
        <f t="shared" si="63"/>
        <v/>
      </c>
    </row>
    <row r="1378" spans="1:3" x14ac:dyDescent="0.25">
      <c r="A1378" s="27" t="s">
        <v>1367</v>
      </c>
      <c r="B1378" s="27" t="str">
        <f t="shared" si="62"/>
        <v/>
      </c>
      <c r="C1378" s="27" t="str">
        <f t="shared" si="63"/>
        <v/>
      </c>
    </row>
    <row r="1379" spans="1:3" x14ac:dyDescent="0.25">
      <c r="A1379" s="27" t="s">
        <v>1367</v>
      </c>
      <c r="B1379" s="27" t="str">
        <f t="shared" si="62"/>
        <v/>
      </c>
      <c r="C1379" s="27" t="str">
        <f t="shared" si="63"/>
        <v/>
      </c>
    </row>
    <row r="1380" spans="1:3" x14ac:dyDescent="0.25">
      <c r="A1380" s="27" t="s">
        <v>1367</v>
      </c>
      <c r="B1380" s="27" t="str">
        <f t="shared" si="62"/>
        <v/>
      </c>
      <c r="C1380" s="27" t="str">
        <f t="shared" si="63"/>
        <v/>
      </c>
    </row>
    <row r="1381" spans="1:3" x14ac:dyDescent="0.25">
      <c r="A1381" s="27" t="s">
        <v>1367</v>
      </c>
      <c r="B1381" s="27" t="str">
        <f t="shared" si="62"/>
        <v/>
      </c>
      <c r="C1381" s="27" t="str">
        <f t="shared" si="63"/>
        <v/>
      </c>
    </row>
    <row r="1382" spans="1:3" x14ac:dyDescent="0.25">
      <c r="A1382" s="27" t="s">
        <v>1367</v>
      </c>
      <c r="B1382" s="27" t="str">
        <f t="shared" si="62"/>
        <v/>
      </c>
      <c r="C1382" s="27" t="str">
        <f t="shared" si="63"/>
        <v/>
      </c>
    </row>
    <row r="1383" spans="1:3" x14ac:dyDescent="0.25">
      <c r="A1383" s="27" t="s">
        <v>1367</v>
      </c>
      <c r="B1383" s="27" t="str">
        <f t="shared" si="62"/>
        <v/>
      </c>
      <c r="C1383" s="27" t="str">
        <f t="shared" si="63"/>
        <v/>
      </c>
    </row>
    <row r="1384" spans="1:3" x14ac:dyDescent="0.25">
      <c r="A1384" s="27" t="s">
        <v>1367</v>
      </c>
      <c r="B1384" s="27" t="str">
        <f t="shared" si="62"/>
        <v/>
      </c>
      <c r="C1384" s="27" t="str">
        <f t="shared" si="63"/>
        <v/>
      </c>
    </row>
    <row r="1385" spans="1:3" x14ac:dyDescent="0.25">
      <c r="A1385" s="27" t="s">
        <v>1367</v>
      </c>
      <c r="B1385" s="27" t="str">
        <f t="shared" si="62"/>
        <v/>
      </c>
      <c r="C1385" s="27" t="str">
        <f t="shared" si="63"/>
        <v/>
      </c>
    </row>
    <row r="1386" spans="1:3" x14ac:dyDescent="0.25">
      <c r="A1386" s="27" t="s">
        <v>1367</v>
      </c>
      <c r="B1386" s="27" t="str">
        <f t="shared" si="62"/>
        <v/>
      </c>
      <c r="C1386" s="27" t="str">
        <f t="shared" si="63"/>
        <v/>
      </c>
    </row>
    <row r="1387" spans="1:3" x14ac:dyDescent="0.25">
      <c r="A1387" s="27" t="s">
        <v>1367</v>
      </c>
      <c r="B1387" s="27" t="str">
        <f t="shared" si="62"/>
        <v/>
      </c>
      <c r="C1387" s="27" t="str">
        <f t="shared" si="63"/>
        <v/>
      </c>
    </row>
    <row r="1388" spans="1:3" x14ac:dyDescent="0.25">
      <c r="A1388" s="27" t="s">
        <v>1367</v>
      </c>
      <c r="B1388" s="27" t="str">
        <f t="shared" si="62"/>
        <v/>
      </c>
      <c r="C1388" s="27" t="str">
        <f t="shared" si="63"/>
        <v/>
      </c>
    </row>
    <row r="1389" spans="1:3" x14ac:dyDescent="0.25">
      <c r="A1389" s="27" t="s">
        <v>1367</v>
      </c>
      <c r="B1389" s="27" t="str">
        <f t="shared" si="62"/>
        <v/>
      </c>
      <c r="C1389" s="27" t="str">
        <f t="shared" si="63"/>
        <v/>
      </c>
    </row>
    <row r="1390" spans="1:3" x14ac:dyDescent="0.25">
      <c r="A1390" s="27" t="s">
        <v>1367</v>
      </c>
      <c r="B1390" s="27" t="str">
        <f t="shared" si="62"/>
        <v/>
      </c>
      <c r="C1390" s="27" t="str">
        <f t="shared" si="63"/>
        <v/>
      </c>
    </row>
    <row r="1391" spans="1:3" x14ac:dyDescent="0.25">
      <c r="A1391" s="27" t="s">
        <v>1367</v>
      </c>
      <c r="B1391" s="27" t="str">
        <f t="shared" si="62"/>
        <v/>
      </c>
      <c r="C1391" s="27" t="str">
        <f t="shared" si="63"/>
        <v/>
      </c>
    </row>
    <row r="1392" spans="1:3" x14ac:dyDescent="0.25">
      <c r="A1392" s="27" t="s">
        <v>1367</v>
      </c>
      <c r="B1392" s="27" t="str">
        <f t="shared" si="62"/>
        <v/>
      </c>
      <c r="C1392" s="27" t="str">
        <f t="shared" si="63"/>
        <v/>
      </c>
    </row>
    <row r="1393" spans="1:3" x14ac:dyDescent="0.25">
      <c r="A1393" s="27" t="s">
        <v>1367</v>
      </c>
      <c r="B1393" s="27" t="str">
        <f t="shared" si="62"/>
        <v/>
      </c>
      <c r="C1393" s="27" t="str">
        <f t="shared" si="63"/>
        <v/>
      </c>
    </row>
    <row r="1394" spans="1:3" x14ac:dyDescent="0.25">
      <c r="A1394" s="27" t="s">
        <v>1367</v>
      </c>
      <c r="B1394" s="27" t="str">
        <f t="shared" si="62"/>
        <v/>
      </c>
      <c r="C1394" s="27" t="str">
        <f t="shared" si="63"/>
        <v/>
      </c>
    </row>
    <row r="1395" spans="1:3" x14ac:dyDescent="0.25">
      <c r="A1395" s="27" t="s">
        <v>1367</v>
      </c>
      <c r="B1395" s="27" t="str">
        <f t="shared" si="62"/>
        <v/>
      </c>
      <c r="C1395" s="27" t="str">
        <f t="shared" si="63"/>
        <v/>
      </c>
    </row>
    <row r="1396" spans="1:3" x14ac:dyDescent="0.25">
      <c r="A1396" s="27" t="s">
        <v>1367</v>
      </c>
      <c r="B1396" s="27" t="str">
        <f t="shared" si="62"/>
        <v/>
      </c>
      <c r="C1396" s="27" t="str">
        <f t="shared" si="63"/>
        <v/>
      </c>
    </row>
    <row r="1397" spans="1:3" x14ac:dyDescent="0.25">
      <c r="A1397" s="27" t="s">
        <v>1367</v>
      </c>
      <c r="B1397" s="27" t="str">
        <f t="shared" si="62"/>
        <v/>
      </c>
      <c r="C1397" s="27" t="str">
        <f t="shared" si="63"/>
        <v/>
      </c>
    </row>
    <row r="1398" spans="1:3" x14ac:dyDescent="0.25">
      <c r="A1398" s="27" t="s">
        <v>1367</v>
      </c>
      <c r="B1398" s="27" t="str">
        <f t="shared" si="62"/>
        <v/>
      </c>
      <c r="C1398" s="27" t="str">
        <f t="shared" si="63"/>
        <v/>
      </c>
    </row>
    <row r="1399" spans="1:3" x14ac:dyDescent="0.25">
      <c r="A1399" s="27" t="s">
        <v>1367</v>
      </c>
      <c r="B1399" s="27" t="str">
        <f t="shared" si="62"/>
        <v/>
      </c>
      <c r="C1399" s="27" t="str">
        <f t="shared" si="63"/>
        <v/>
      </c>
    </row>
    <row r="1400" spans="1:3" x14ac:dyDescent="0.25">
      <c r="A1400" s="27" t="s">
        <v>1367</v>
      </c>
      <c r="B1400" s="27" t="str">
        <f t="shared" si="62"/>
        <v/>
      </c>
      <c r="C1400" s="27" t="str">
        <f t="shared" si="63"/>
        <v/>
      </c>
    </row>
    <row r="1401" spans="1:3" x14ac:dyDescent="0.25">
      <c r="A1401" s="27" t="s">
        <v>1367</v>
      </c>
      <c r="B1401" s="27" t="str">
        <f t="shared" si="62"/>
        <v/>
      </c>
      <c r="C1401" s="27" t="str">
        <f t="shared" si="63"/>
        <v/>
      </c>
    </row>
    <row r="1402" spans="1:3" x14ac:dyDescent="0.25">
      <c r="A1402" s="27" t="s">
        <v>1367</v>
      </c>
      <c r="B1402" s="27" t="str">
        <f t="shared" si="62"/>
        <v/>
      </c>
      <c r="C1402" s="27" t="str">
        <f t="shared" si="63"/>
        <v/>
      </c>
    </row>
    <row r="1403" spans="1:3" x14ac:dyDescent="0.25">
      <c r="A1403" s="27" t="s">
        <v>1367</v>
      </c>
      <c r="B1403" s="27" t="str">
        <f t="shared" si="62"/>
        <v/>
      </c>
      <c r="C1403" s="27" t="str">
        <f t="shared" si="63"/>
        <v/>
      </c>
    </row>
    <row r="1404" spans="1:3" x14ac:dyDescent="0.25">
      <c r="A1404" s="27" t="s">
        <v>1367</v>
      </c>
      <c r="B1404" s="27" t="str">
        <f t="shared" si="62"/>
        <v/>
      </c>
      <c r="C1404" s="27" t="str">
        <f t="shared" si="63"/>
        <v/>
      </c>
    </row>
    <row r="1405" spans="1:3" x14ac:dyDescent="0.25">
      <c r="A1405" s="27" t="s">
        <v>1367</v>
      </c>
      <c r="B1405" s="27" t="str">
        <f t="shared" si="62"/>
        <v/>
      </c>
      <c r="C1405" s="27" t="str">
        <f t="shared" si="63"/>
        <v/>
      </c>
    </row>
    <row r="1406" spans="1:3" x14ac:dyDescent="0.25">
      <c r="A1406" s="27" t="s">
        <v>1367</v>
      </c>
      <c r="B1406" s="27" t="str">
        <f t="shared" si="62"/>
        <v/>
      </c>
      <c r="C1406" s="27" t="str">
        <f t="shared" si="63"/>
        <v/>
      </c>
    </row>
    <row r="1407" spans="1:3" x14ac:dyDescent="0.25">
      <c r="A1407" s="27" t="s">
        <v>1367</v>
      </c>
      <c r="B1407" s="27" t="str">
        <f t="shared" si="62"/>
        <v/>
      </c>
      <c r="C1407" s="27" t="str">
        <f t="shared" si="63"/>
        <v/>
      </c>
    </row>
    <row r="1408" spans="1:3" x14ac:dyDescent="0.25">
      <c r="A1408" s="27" t="s">
        <v>1367</v>
      </c>
      <c r="B1408" s="27" t="str">
        <f t="shared" si="62"/>
        <v/>
      </c>
      <c r="C1408" s="27" t="str">
        <f t="shared" si="63"/>
        <v/>
      </c>
    </row>
    <row r="1409" spans="1:3" x14ac:dyDescent="0.25">
      <c r="A1409" s="27" t="s">
        <v>1367</v>
      </c>
      <c r="B1409" s="27" t="str">
        <f t="shared" si="62"/>
        <v/>
      </c>
      <c r="C1409" s="27" t="str">
        <f t="shared" si="63"/>
        <v/>
      </c>
    </row>
    <row r="1410" spans="1:3" x14ac:dyDescent="0.25">
      <c r="A1410" s="27" t="s">
        <v>1367</v>
      </c>
      <c r="B1410" s="27" t="str">
        <f t="shared" si="62"/>
        <v/>
      </c>
      <c r="C1410" s="27" t="str">
        <f t="shared" si="63"/>
        <v/>
      </c>
    </row>
    <row r="1411" spans="1:3" x14ac:dyDescent="0.25">
      <c r="A1411" s="27" t="s">
        <v>1367</v>
      </c>
      <c r="B1411" s="27" t="str">
        <f t="shared" ref="B1411:B1474" si="64">LEFT(A1411,FIND(";",A1411)-1)</f>
        <v/>
      </c>
      <c r="C1411" s="27" t="str">
        <f t="shared" ref="C1411:C1474" si="65">MID(A1411,FIND(";",A1411)+1,100)</f>
        <v/>
      </c>
    </row>
    <row r="1412" spans="1:3" x14ac:dyDescent="0.25">
      <c r="A1412" s="27" t="s">
        <v>1367</v>
      </c>
      <c r="B1412" s="27" t="str">
        <f t="shared" si="64"/>
        <v/>
      </c>
      <c r="C1412" s="27" t="str">
        <f t="shared" si="65"/>
        <v/>
      </c>
    </row>
    <row r="1413" spans="1:3" x14ac:dyDescent="0.25">
      <c r="A1413" s="27" t="s">
        <v>1367</v>
      </c>
      <c r="B1413" s="27" t="str">
        <f t="shared" si="64"/>
        <v/>
      </c>
      <c r="C1413" s="27" t="str">
        <f t="shared" si="65"/>
        <v/>
      </c>
    </row>
    <row r="1414" spans="1:3" x14ac:dyDescent="0.25">
      <c r="A1414" s="27" t="s">
        <v>1367</v>
      </c>
      <c r="B1414" s="27" t="str">
        <f t="shared" si="64"/>
        <v/>
      </c>
      <c r="C1414" s="27" t="str">
        <f t="shared" si="65"/>
        <v/>
      </c>
    </row>
    <row r="1415" spans="1:3" x14ac:dyDescent="0.25">
      <c r="A1415" s="27" t="s">
        <v>1367</v>
      </c>
      <c r="B1415" s="27" t="str">
        <f t="shared" si="64"/>
        <v/>
      </c>
      <c r="C1415" s="27" t="str">
        <f t="shared" si="65"/>
        <v/>
      </c>
    </row>
    <row r="1416" spans="1:3" x14ac:dyDescent="0.25">
      <c r="A1416" s="27" t="s">
        <v>1367</v>
      </c>
      <c r="B1416" s="27" t="str">
        <f t="shared" si="64"/>
        <v/>
      </c>
      <c r="C1416" s="27" t="str">
        <f t="shared" si="65"/>
        <v/>
      </c>
    </row>
    <row r="1417" spans="1:3" x14ac:dyDescent="0.25">
      <c r="A1417" s="27" t="s">
        <v>1367</v>
      </c>
      <c r="B1417" s="27" t="str">
        <f t="shared" si="64"/>
        <v/>
      </c>
      <c r="C1417" s="27" t="str">
        <f t="shared" si="65"/>
        <v/>
      </c>
    </row>
    <row r="1418" spans="1:3" x14ac:dyDescent="0.25">
      <c r="A1418" s="27" t="s">
        <v>1367</v>
      </c>
      <c r="B1418" s="27" t="str">
        <f t="shared" si="64"/>
        <v/>
      </c>
      <c r="C1418" s="27" t="str">
        <f t="shared" si="65"/>
        <v/>
      </c>
    </row>
    <row r="1419" spans="1:3" x14ac:dyDescent="0.25">
      <c r="A1419" s="27" t="s">
        <v>1367</v>
      </c>
      <c r="B1419" s="27" t="str">
        <f t="shared" si="64"/>
        <v/>
      </c>
      <c r="C1419" s="27" t="str">
        <f t="shared" si="65"/>
        <v/>
      </c>
    </row>
    <row r="1420" spans="1:3" x14ac:dyDescent="0.25">
      <c r="A1420" s="27" t="s">
        <v>1367</v>
      </c>
      <c r="B1420" s="27" t="str">
        <f t="shared" si="64"/>
        <v/>
      </c>
      <c r="C1420" s="27" t="str">
        <f t="shared" si="65"/>
        <v/>
      </c>
    </row>
    <row r="1421" spans="1:3" x14ac:dyDescent="0.25">
      <c r="A1421" s="27" t="s">
        <v>1367</v>
      </c>
      <c r="B1421" s="27" t="str">
        <f t="shared" si="64"/>
        <v/>
      </c>
      <c r="C1421" s="27" t="str">
        <f t="shared" si="65"/>
        <v/>
      </c>
    </row>
    <row r="1422" spans="1:3" x14ac:dyDescent="0.25">
      <c r="A1422" s="27" t="s">
        <v>1367</v>
      </c>
      <c r="B1422" s="27" t="str">
        <f t="shared" si="64"/>
        <v/>
      </c>
      <c r="C1422" s="27" t="str">
        <f t="shared" si="65"/>
        <v/>
      </c>
    </row>
    <row r="1423" spans="1:3" x14ac:dyDescent="0.25">
      <c r="A1423" s="27" t="s">
        <v>1367</v>
      </c>
      <c r="B1423" s="27" t="str">
        <f t="shared" si="64"/>
        <v/>
      </c>
      <c r="C1423" s="27" t="str">
        <f t="shared" si="65"/>
        <v/>
      </c>
    </row>
    <row r="1424" spans="1:3" x14ac:dyDescent="0.25">
      <c r="A1424" s="27" t="s">
        <v>1367</v>
      </c>
      <c r="B1424" s="27" t="str">
        <f t="shared" si="64"/>
        <v/>
      </c>
      <c r="C1424" s="27" t="str">
        <f t="shared" si="65"/>
        <v/>
      </c>
    </row>
    <row r="1425" spans="1:3" x14ac:dyDescent="0.25">
      <c r="A1425" s="27" t="s">
        <v>1367</v>
      </c>
      <c r="B1425" s="27" t="str">
        <f t="shared" si="64"/>
        <v/>
      </c>
      <c r="C1425" s="27" t="str">
        <f t="shared" si="65"/>
        <v/>
      </c>
    </row>
    <row r="1426" spans="1:3" x14ac:dyDescent="0.25">
      <c r="A1426" s="27" t="s">
        <v>1367</v>
      </c>
      <c r="B1426" s="27" t="str">
        <f t="shared" si="64"/>
        <v/>
      </c>
      <c r="C1426" s="27" t="str">
        <f t="shared" si="65"/>
        <v/>
      </c>
    </row>
    <row r="1427" spans="1:3" x14ac:dyDescent="0.25">
      <c r="A1427" s="27" t="s">
        <v>1367</v>
      </c>
      <c r="B1427" s="27" t="str">
        <f t="shared" si="64"/>
        <v/>
      </c>
      <c r="C1427" s="27" t="str">
        <f t="shared" si="65"/>
        <v/>
      </c>
    </row>
    <row r="1428" spans="1:3" x14ac:dyDescent="0.25">
      <c r="A1428" s="27" t="s">
        <v>1367</v>
      </c>
      <c r="B1428" s="27" t="str">
        <f t="shared" si="64"/>
        <v/>
      </c>
      <c r="C1428" s="27" t="str">
        <f t="shared" si="65"/>
        <v/>
      </c>
    </row>
    <row r="1429" spans="1:3" x14ac:dyDescent="0.25">
      <c r="A1429" s="27" t="s">
        <v>1367</v>
      </c>
      <c r="B1429" s="27" t="str">
        <f t="shared" si="64"/>
        <v/>
      </c>
      <c r="C1429" s="27" t="str">
        <f t="shared" si="65"/>
        <v/>
      </c>
    </row>
    <row r="1430" spans="1:3" x14ac:dyDescent="0.25">
      <c r="A1430" s="27" t="s">
        <v>1367</v>
      </c>
      <c r="B1430" s="27" t="str">
        <f t="shared" si="64"/>
        <v/>
      </c>
      <c r="C1430" s="27" t="str">
        <f t="shared" si="65"/>
        <v/>
      </c>
    </row>
    <row r="1431" spans="1:3" x14ac:dyDescent="0.25">
      <c r="A1431" s="27" t="s">
        <v>1367</v>
      </c>
      <c r="B1431" s="27" t="str">
        <f t="shared" si="64"/>
        <v/>
      </c>
      <c r="C1431" s="27" t="str">
        <f t="shared" si="65"/>
        <v/>
      </c>
    </row>
    <row r="1432" spans="1:3" x14ac:dyDescent="0.25">
      <c r="A1432" s="27" t="s">
        <v>1367</v>
      </c>
      <c r="B1432" s="27" t="str">
        <f t="shared" si="64"/>
        <v/>
      </c>
      <c r="C1432" s="27" t="str">
        <f t="shared" si="65"/>
        <v/>
      </c>
    </row>
    <row r="1433" spans="1:3" x14ac:dyDescent="0.25">
      <c r="A1433" s="27" t="s">
        <v>1367</v>
      </c>
      <c r="B1433" s="27" t="str">
        <f t="shared" si="64"/>
        <v/>
      </c>
      <c r="C1433" s="27" t="str">
        <f t="shared" si="65"/>
        <v/>
      </c>
    </row>
    <row r="1434" spans="1:3" x14ac:dyDescent="0.25">
      <c r="A1434" s="27" t="s">
        <v>1367</v>
      </c>
      <c r="B1434" s="27" t="str">
        <f t="shared" si="64"/>
        <v/>
      </c>
      <c r="C1434" s="27" t="str">
        <f t="shared" si="65"/>
        <v/>
      </c>
    </row>
    <row r="1435" spans="1:3" x14ac:dyDescent="0.25">
      <c r="A1435" s="27" t="s">
        <v>1367</v>
      </c>
      <c r="B1435" s="27" t="str">
        <f t="shared" si="64"/>
        <v/>
      </c>
      <c r="C1435" s="27" t="str">
        <f t="shared" si="65"/>
        <v/>
      </c>
    </row>
    <row r="1436" spans="1:3" x14ac:dyDescent="0.25">
      <c r="A1436" s="27" t="s">
        <v>1367</v>
      </c>
      <c r="B1436" s="27" t="str">
        <f t="shared" si="64"/>
        <v/>
      </c>
      <c r="C1436" s="27" t="str">
        <f t="shared" si="65"/>
        <v/>
      </c>
    </row>
    <row r="1437" spans="1:3" x14ac:dyDescent="0.25">
      <c r="A1437" s="27" t="s">
        <v>1367</v>
      </c>
      <c r="B1437" s="27" t="str">
        <f t="shared" si="64"/>
        <v/>
      </c>
      <c r="C1437" s="27" t="str">
        <f t="shared" si="65"/>
        <v/>
      </c>
    </row>
    <row r="1438" spans="1:3" x14ac:dyDescent="0.25">
      <c r="A1438" s="27" t="s">
        <v>1367</v>
      </c>
      <c r="B1438" s="27" t="str">
        <f t="shared" si="64"/>
        <v/>
      </c>
      <c r="C1438" s="27" t="str">
        <f t="shared" si="65"/>
        <v/>
      </c>
    </row>
    <row r="1439" spans="1:3" x14ac:dyDescent="0.25">
      <c r="A1439" s="27" t="s">
        <v>1367</v>
      </c>
      <c r="B1439" s="27" t="str">
        <f t="shared" si="64"/>
        <v/>
      </c>
      <c r="C1439" s="27" t="str">
        <f t="shared" si="65"/>
        <v/>
      </c>
    </row>
    <row r="1440" spans="1:3" x14ac:dyDescent="0.25">
      <c r="A1440" s="27" t="s">
        <v>1367</v>
      </c>
      <c r="B1440" s="27" t="str">
        <f t="shared" si="64"/>
        <v/>
      </c>
      <c r="C1440" s="27" t="str">
        <f t="shared" si="65"/>
        <v/>
      </c>
    </row>
    <row r="1441" spans="1:3" x14ac:dyDescent="0.25">
      <c r="A1441" s="27" t="s">
        <v>1367</v>
      </c>
      <c r="B1441" s="27" t="str">
        <f t="shared" si="64"/>
        <v/>
      </c>
      <c r="C1441" s="27" t="str">
        <f t="shared" si="65"/>
        <v/>
      </c>
    </row>
    <row r="1442" spans="1:3" x14ac:dyDescent="0.25">
      <c r="A1442" s="27" t="s">
        <v>1367</v>
      </c>
      <c r="B1442" s="27" t="str">
        <f t="shared" si="64"/>
        <v/>
      </c>
      <c r="C1442" s="27" t="str">
        <f t="shared" si="65"/>
        <v/>
      </c>
    </row>
    <row r="1443" spans="1:3" x14ac:dyDescent="0.25">
      <c r="A1443" s="27" t="s">
        <v>1367</v>
      </c>
      <c r="B1443" s="27" t="str">
        <f t="shared" si="64"/>
        <v/>
      </c>
      <c r="C1443" s="27" t="str">
        <f t="shared" si="65"/>
        <v/>
      </c>
    </row>
    <row r="1444" spans="1:3" x14ac:dyDescent="0.25">
      <c r="A1444" s="27" t="s">
        <v>1367</v>
      </c>
      <c r="B1444" s="27" t="str">
        <f t="shared" si="64"/>
        <v/>
      </c>
      <c r="C1444" s="27" t="str">
        <f t="shared" si="65"/>
        <v/>
      </c>
    </row>
    <row r="1445" spans="1:3" x14ac:dyDescent="0.25">
      <c r="A1445" s="27" t="s">
        <v>1367</v>
      </c>
      <c r="B1445" s="27" t="str">
        <f t="shared" si="64"/>
        <v/>
      </c>
      <c r="C1445" s="27" t="str">
        <f t="shared" si="65"/>
        <v/>
      </c>
    </row>
    <row r="1446" spans="1:3" x14ac:dyDescent="0.25">
      <c r="A1446" s="27" t="s">
        <v>1367</v>
      </c>
      <c r="B1446" s="27" t="str">
        <f t="shared" si="64"/>
        <v/>
      </c>
      <c r="C1446" s="27" t="str">
        <f t="shared" si="65"/>
        <v/>
      </c>
    </row>
    <row r="1447" spans="1:3" x14ac:dyDescent="0.25">
      <c r="A1447" s="27" t="s">
        <v>1367</v>
      </c>
      <c r="B1447" s="27" t="str">
        <f t="shared" si="64"/>
        <v/>
      </c>
      <c r="C1447" s="27" t="str">
        <f t="shared" si="65"/>
        <v/>
      </c>
    </row>
    <row r="1448" spans="1:3" x14ac:dyDescent="0.25">
      <c r="A1448" s="27" t="s">
        <v>1367</v>
      </c>
      <c r="B1448" s="27" t="str">
        <f t="shared" si="64"/>
        <v/>
      </c>
      <c r="C1448" s="27" t="str">
        <f t="shared" si="65"/>
        <v/>
      </c>
    </row>
    <row r="1449" spans="1:3" x14ac:dyDescent="0.25">
      <c r="A1449" s="27" t="s">
        <v>1367</v>
      </c>
      <c r="B1449" s="27" t="str">
        <f t="shared" si="64"/>
        <v/>
      </c>
      <c r="C1449" s="27" t="str">
        <f t="shared" si="65"/>
        <v/>
      </c>
    </row>
    <row r="1450" spans="1:3" x14ac:dyDescent="0.25">
      <c r="A1450" s="27" t="s">
        <v>1367</v>
      </c>
      <c r="B1450" s="27" t="str">
        <f t="shared" si="64"/>
        <v/>
      </c>
      <c r="C1450" s="27" t="str">
        <f t="shared" si="65"/>
        <v/>
      </c>
    </row>
    <row r="1451" spans="1:3" x14ac:dyDescent="0.25">
      <c r="A1451" s="27" t="s">
        <v>1367</v>
      </c>
      <c r="B1451" s="27" t="str">
        <f t="shared" si="64"/>
        <v/>
      </c>
      <c r="C1451" s="27" t="str">
        <f t="shared" si="65"/>
        <v/>
      </c>
    </row>
    <row r="1452" spans="1:3" x14ac:dyDescent="0.25">
      <c r="A1452" s="27" t="s">
        <v>1367</v>
      </c>
      <c r="B1452" s="27" t="str">
        <f t="shared" si="64"/>
        <v/>
      </c>
      <c r="C1452" s="27" t="str">
        <f t="shared" si="65"/>
        <v/>
      </c>
    </row>
    <row r="1453" spans="1:3" x14ac:dyDescent="0.25">
      <c r="A1453" s="27" t="s">
        <v>1367</v>
      </c>
      <c r="B1453" s="27" t="str">
        <f t="shared" si="64"/>
        <v/>
      </c>
      <c r="C1453" s="27" t="str">
        <f t="shared" si="65"/>
        <v/>
      </c>
    </row>
    <row r="1454" spans="1:3" x14ac:dyDescent="0.25">
      <c r="A1454" s="27" t="s">
        <v>1367</v>
      </c>
      <c r="B1454" s="27" t="str">
        <f t="shared" si="64"/>
        <v/>
      </c>
      <c r="C1454" s="27" t="str">
        <f t="shared" si="65"/>
        <v/>
      </c>
    </row>
    <row r="1455" spans="1:3" x14ac:dyDescent="0.25">
      <c r="A1455" s="27" t="s">
        <v>1367</v>
      </c>
      <c r="B1455" s="27" t="str">
        <f t="shared" si="64"/>
        <v/>
      </c>
      <c r="C1455" s="27" t="str">
        <f t="shared" si="65"/>
        <v/>
      </c>
    </row>
    <row r="1456" spans="1:3" x14ac:dyDescent="0.25">
      <c r="A1456" s="27" t="s">
        <v>1367</v>
      </c>
      <c r="B1456" s="27" t="str">
        <f t="shared" si="64"/>
        <v/>
      </c>
      <c r="C1456" s="27" t="str">
        <f t="shared" si="65"/>
        <v/>
      </c>
    </row>
    <row r="1457" spans="1:3" x14ac:dyDescent="0.25">
      <c r="A1457" s="27" t="s">
        <v>1367</v>
      </c>
      <c r="B1457" s="27" t="str">
        <f t="shared" si="64"/>
        <v/>
      </c>
      <c r="C1457" s="27" t="str">
        <f t="shared" si="65"/>
        <v/>
      </c>
    </row>
    <row r="1458" spans="1:3" x14ac:dyDescent="0.25">
      <c r="A1458" s="27" t="s">
        <v>1367</v>
      </c>
      <c r="B1458" s="27" t="str">
        <f t="shared" si="64"/>
        <v/>
      </c>
      <c r="C1458" s="27" t="str">
        <f t="shared" si="65"/>
        <v/>
      </c>
    </row>
    <row r="1459" spans="1:3" x14ac:dyDescent="0.25">
      <c r="A1459" s="27" t="s">
        <v>1367</v>
      </c>
      <c r="B1459" s="27" t="str">
        <f t="shared" si="64"/>
        <v/>
      </c>
      <c r="C1459" s="27" t="str">
        <f t="shared" si="65"/>
        <v/>
      </c>
    </row>
    <row r="1460" spans="1:3" x14ac:dyDescent="0.25">
      <c r="A1460" s="27" t="s">
        <v>1367</v>
      </c>
      <c r="B1460" s="27" t="str">
        <f t="shared" si="64"/>
        <v/>
      </c>
      <c r="C1460" s="27" t="str">
        <f t="shared" si="65"/>
        <v/>
      </c>
    </row>
    <row r="1461" spans="1:3" x14ac:dyDescent="0.25">
      <c r="A1461" s="27" t="s">
        <v>1367</v>
      </c>
      <c r="B1461" s="27" t="str">
        <f t="shared" si="64"/>
        <v/>
      </c>
      <c r="C1461" s="27" t="str">
        <f t="shared" si="65"/>
        <v/>
      </c>
    </row>
    <row r="1462" spans="1:3" x14ac:dyDescent="0.25">
      <c r="A1462" s="27" t="s">
        <v>1367</v>
      </c>
      <c r="B1462" s="27" t="str">
        <f t="shared" si="64"/>
        <v/>
      </c>
      <c r="C1462" s="27" t="str">
        <f t="shared" si="65"/>
        <v/>
      </c>
    </row>
    <row r="1463" spans="1:3" x14ac:dyDescent="0.25">
      <c r="A1463" s="27" t="s">
        <v>1367</v>
      </c>
      <c r="B1463" s="27" t="str">
        <f t="shared" si="64"/>
        <v/>
      </c>
      <c r="C1463" s="27" t="str">
        <f t="shared" si="65"/>
        <v/>
      </c>
    </row>
    <row r="1464" spans="1:3" x14ac:dyDescent="0.25">
      <c r="A1464" s="27" t="s">
        <v>1367</v>
      </c>
      <c r="B1464" s="27" t="str">
        <f t="shared" si="64"/>
        <v/>
      </c>
      <c r="C1464" s="27" t="str">
        <f t="shared" si="65"/>
        <v/>
      </c>
    </row>
    <row r="1465" spans="1:3" x14ac:dyDescent="0.25">
      <c r="A1465" s="27" t="s">
        <v>1367</v>
      </c>
      <c r="B1465" s="27" t="str">
        <f t="shared" si="64"/>
        <v/>
      </c>
      <c r="C1465" s="27" t="str">
        <f t="shared" si="65"/>
        <v/>
      </c>
    </row>
    <row r="1466" spans="1:3" x14ac:dyDescent="0.25">
      <c r="A1466" s="27" t="s">
        <v>1367</v>
      </c>
      <c r="B1466" s="27" t="str">
        <f t="shared" si="64"/>
        <v/>
      </c>
      <c r="C1466" s="27" t="str">
        <f t="shared" si="65"/>
        <v/>
      </c>
    </row>
    <row r="1467" spans="1:3" x14ac:dyDescent="0.25">
      <c r="A1467" s="27" t="s">
        <v>1367</v>
      </c>
      <c r="B1467" s="27" t="str">
        <f t="shared" si="64"/>
        <v/>
      </c>
      <c r="C1467" s="27" t="str">
        <f t="shared" si="65"/>
        <v/>
      </c>
    </row>
    <row r="1468" spans="1:3" x14ac:dyDescent="0.25">
      <c r="A1468" s="27" t="s">
        <v>1367</v>
      </c>
      <c r="B1468" s="27" t="str">
        <f t="shared" si="64"/>
        <v/>
      </c>
      <c r="C1468" s="27" t="str">
        <f t="shared" si="65"/>
        <v/>
      </c>
    </row>
    <row r="1469" spans="1:3" x14ac:dyDescent="0.25">
      <c r="A1469" s="27" t="s">
        <v>1367</v>
      </c>
      <c r="B1469" s="27" t="str">
        <f t="shared" si="64"/>
        <v/>
      </c>
      <c r="C1469" s="27" t="str">
        <f t="shared" si="65"/>
        <v/>
      </c>
    </row>
    <row r="1470" spans="1:3" x14ac:dyDescent="0.25">
      <c r="A1470" s="27" t="s">
        <v>1367</v>
      </c>
      <c r="B1470" s="27" t="str">
        <f t="shared" si="64"/>
        <v/>
      </c>
      <c r="C1470" s="27" t="str">
        <f t="shared" si="65"/>
        <v/>
      </c>
    </row>
    <row r="1471" spans="1:3" x14ac:dyDescent="0.25">
      <c r="A1471" s="27" t="s">
        <v>1367</v>
      </c>
      <c r="B1471" s="27" t="str">
        <f t="shared" si="64"/>
        <v/>
      </c>
      <c r="C1471" s="27" t="str">
        <f t="shared" si="65"/>
        <v/>
      </c>
    </row>
    <row r="1472" spans="1:3" x14ac:dyDescent="0.25">
      <c r="A1472" s="27" t="s">
        <v>1367</v>
      </c>
      <c r="B1472" s="27" t="str">
        <f t="shared" si="64"/>
        <v/>
      </c>
      <c r="C1472" s="27" t="str">
        <f t="shared" si="65"/>
        <v/>
      </c>
    </row>
    <row r="1473" spans="1:3" x14ac:dyDescent="0.25">
      <c r="A1473" s="27" t="s">
        <v>1367</v>
      </c>
      <c r="B1473" s="27" t="str">
        <f t="shared" si="64"/>
        <v/>
      </c>
      <c r="C1473" s="27" t="str">
        <f t="shared" si="65"/>
        <v/>
      </c>
    </row>
    <row r="1474" spans="1:3" x14ac:dyDescent="0.25">
      <c r="A1474" s="27" t="s">
        <v>1367</v>
      </c>
      <c r="B1474" s="27" t="str">
        <f t="shared" si="64"/>
        <v/>
      </c>
      <c r="C1474" s="27" t="str">
        <f t="shared" si="65"/>
        <v/>
      </c>
    </row>
    <row r="1475" spans="1:3" x14ac:dyDescent="0.25">
      <c r="A1475" s="27" t="s">
        <v>1367</v>
      </c>
      <c r="B1475" s="27" t="str">
        <f t="shared" ref="B1475:B1538" si="66">LEFT(A1475,FIND(";",A1475)-1)</f>
        <v/>
      </c>
      <c r="C1475" s="27" t="str">
        <f t="shared" ref="C1475:C1538" si="67">MID(A1475,FIND(";",A1475)+1,100)</f>
        <v/>
      </c>
    </row>
    <row r="1476" spans="1:3" x14ac:dyDescent="0.25">
      <c r="A1476" s="27" t="s">
        <v>1367</v>
      </c>
      <c r="B1476" s="27" t="str">
        <f t="shared" si="66"/>
        <v/>
      </c>
      <c r="C1476" s="27" t="str">
        <f t="shared" si="67"/>
        <v/>
      </c>
    </row>
    <row r="1477" spans="1:3" x14ac:dyDescent="0.25">
      <c r="A1477" s="27" t="s">
        <v>1367</v>
      </c>
      <c r="B1477" s="27" t="str">
        <f t="shared" si="66"/>
        <v/>
      </c>
      <c r="C1477" s="27" t="str">
        <f t="shared" si="67"/>
        <v/>
      </c>
    </row>
    <row r="1478" spans="1:3" x14ac:dyDescent="0.25">
      <c r="A1478" s="27" t="s">
        <v>1367</v>
      </c>
      <c r="B1478" s="27" t="str">
        <f t="shared" si="66"/>
        <v/>
      </c>
      <c r="C1478" s="27" t="str">
        <f t="shared" si="67"/>
        <v/>
      </c>
    </row>
    <row r="1479" spans="1:3" x14ac:dyDescent="0.25">
      <c r="A1479" s="27" t="s">
        <v>1367</v>
      </c>
      <c r="B1479" s="27" t="str">
        <f t="shared" si="66"/>
        <v/>
      </c>
      <c r="C1479" s="27" t="str">
        <f t="shared" si="67"/>
        <v/>
      </c>
    </row>
    <row r="1480" spans="1:3" x14ac:dyDescent="0.25">
      <c r="A1480" s="27" t="s">
        <v>1367</v>
      </c>
      <c r="B1480" s="27" t="str">
        <f t="shared" si="66"/>
        <v/>
      </c>
      <c r="C1480" s="27" t="str">
        <f t="shared" si="67"/>
        <v/>
      </c>
    </row>
    <row r="1481" spans="1:3" x14ac:dyDescent="0.25">
      <c r="A1481" s="27" t="s">
        <v>1367</v>
      </c>
      <c r="B1481" s="27" t="str">
        <f t="shared" si="66"/>
        <v/>
      </c>
      <c r="C1481" s="27" t="str">
        <f t="shared" si="67"/>
        <v/>
      </c>
    </row>
    <row r="1482" spans="1:3" x14ac:dyDescent="0.25">
      <c r="A1482" s="27" t="s">
        <v>1367</v>
      </c>
      <c r="B1482" s="27" t="str">
        <f t="shared" si="66"/>
        <v/>
      </c>
      <c r="C1482" s="27" t="str">
        <f t="shared" si="67"/>
        <v/>
      </c>
    </row>
    <row r="1483" spans="1:3" x14ac:dyDescent="0.25">
      <c r="A1483" s="27" t="s">
        <v>1367</v>
      </c>
      <c r="B1483" s="27" t="str">
        <f t="shared" si="66"/>
        <v/>
      </c>
      <c r="C1483" s="27" t="str">
        <f t="shared" si="67"/>
        <v/>
      </c>
    </row>
    <row r="1484" spans="1:3" x14ac:dyDescent="0.25">
      <c r="A1484" s="27" t="s">
        <v>1367</v>
      </c>
      <c r="B1484" s="27" t="str">
        <f t="shared" si="66"/>
        <v/>
      </c>
      <c r="C1484" s="27" t="str">
        <f t="shared" si="67"/>
        <v/>
      </c>
    </row>
    <row r="1485" spans="1:3" x14ac:dyDescent="0.25">
      <c r="A1485" s="27" t="s">
        <v>1367</v>
      </c>
      <c r="B1485" s="27" t="str">
        <f t="shared" si="66"/>
        <v/>
      </c>
      <c r="C1485" s="27" t="str">
        <f t="shared" si="67"/>
        <v/>
      </c>
    </row>
    <row r="1486" spans="1:3" x14ac:dyDescent="0.25">
      <c r="A1486" s="27" t="s">
        <v>1367</v>
      </c>
      <c r="B1486" s="27" t="str">
        <f t="shared" si="66"/>
        <v/>
      </c>
      <c r="C1486" s="27" t="str">
        <f t="shared" si="67"/>
        <v/>
      </c>
    </row>
    <row r="1487" spans="1:3" x14ac:dyDescent="0.25">
      <c r="A1487" s="27" t="s">
        <v>1367</v>
      </c>
      <c r="B1487" s="27" t="str">
        <f t="shared" si="66"/>
        <v/>
      </c>
      <c r="C1487" s="27" t="str">
        <f t="shared" si="67"/>
        <v/>
      </c>
    </row>
    <row r="1488" spans="1:3" x14ac:dyDescent="0.25">
      <c r="A1488" s="27" t="s">
        <v>1367</v>
      </c>
      <c r="B1488" s="27" t="str">
        <f t="shared" si="66"/>
        <v/>
      </c>
      <c r="C1488" s="27" t="str">
        <f t="shared" si="67"/>
        <v/>
      </c>
    </row>
    <row r="1489" spans="1:3" x14ac:dyDescent="0.25">
      <c r="A1489" s="27" t="s">
        <v>1367</v>
      </c>
      <c r="B1489" s="27" t="str">
        <f t="shared" si="66"/>
        <v/>
      </c>
      <c r="C1489" s="27" t="str">
        <f t="shared" si="67"/>
        <v/>
      </c>
    </row>
    <row r="1490" spans="1:3" x14ac:dyDescent="0.25">
      <c r="A1490" s="27" t="s">
        <v>1367</v>
      </c>
      <c r="B1490" s="27" t="str">
        <f t="shared" si="66"/>
        <v/>
      </c>
      <c r="C1490" s="27" t="str">
        <f t="shared" si="67"/>
        <v/>
      </c>
    </row>
    <row r="1491" spans="1:3" x14ac:dyDescent="0.25">
      <c r="A1491" s="27" t="s">
        <v>1367</v>
      </c>
      <c r="B1491" s="27" t="str">
        <f t="shared" si="66"/>
        <v/>
      </c>
      <c r="C1491" s="27" t="str">
        <f t="shared" si="67"/>
        <v/>
      </c>
    </row>
    <row r="1492" spans="1:3" x14ac:dyDescent="0.25">
      <c r="A1492" s="27" t="s">
        <v>1367</v>
      </c>
      <c r="B1492" s="27" t="str">
        <f t="shared" si="66"/>
        <v/>
      </c>
      <c r="C1492" s="27" t="str">
        <f t="shared" si="67"/>
        <v/>
      </c>
    </row>
    <row r="1493" spans="1:3" x14ac:dyDescent="0.25">
      <c r="A1493" s="27" t="s">
        <v>1367</v>
      </c>
      <c r="B1493" s="27" t="str">
        <f t="shared" si="66"/>
        <v/>
      </c>
      <c r="C1493" s="27" t="str">
        <f t="shared" si="67"/>
        <v/>
      </c>
    </row>
    <row r="1494" spans="1:3" x14ac:dyDescent="0.25">
      <c r="A1494" s="27" t="s">
        <v>1367</v>
      </c>
      <c r="B1494" s="27" t="str">
        <f t="shared" si="66"/>
        <v/>
      </c>
      <c r="C1494" s="27" t="str">
        <f t="shared" si="67"/>
        <v/>
      </c>
    </row>
    <row r="1495" spans="1:3" x14ac:dyDescent="0.25">
      <c r="A1495" s="27" t="s">
        <v>1367</v>
      </c>
      <c r="B1495" s="27" t="str">
        <f t="shared" si="66"/>
        <v/>
      </c>
      <c r="C1495" s="27" t="str">
        <f t="shared" si="67"/>
        <v/>
      </c>
    </row>
    <row r="1496" spans="1:3" x14ac:dyDescent="0.25">
      <c r="A1496" s="27" t="s">
        <v>1367</v>
      </c>
      <c r="B1496" s="27" t="str">
        <f t="shared" si="66"/>
        <v/>
      </c>
      <c r="C1496" s="27" t="str">
        <f t="shared" si="67"/>
        <v/>
      </c>
    </row>
    <row r="1497" spans="1:3" x14ac:dyDescent="0.25">
      <c r="A1497" s="27" t="s">
        <v>1367</v>
      </c>
      <c r="B1497" s="27" t="str">
        <f t="shared" si="66"/>
        <v/>
      </c>
      <c r="C1497" s="27" t="str">
        <f t="shared" si="67"/>
        <v/>
      </c>
    </row>
    <row r="1498" spans="1:3" x14ac:dyDescent="0.25">
      <c r="A1498" s="27" t="s">
        <v>1367</v>
      </c>
      <c r="B1498" s="27" t="str">
        <f t="shared" si="66"/>
        <v/>
      </c>
      <c r="C1498" s="27" t="str">
        <f t="shared" si="67"/>
        <v/>
      </c>
    </row>
    <row r="1499" spans="1:3" x14ac:dyDescent="0.25">
      <c r="A1499" s="27" t="s">
        <v>1367</v>
      </c>
      <c r="B1499" s="27" t="str">
        <f t="shared" si="66"/>
        <v/>
      </c>
      <c r="C1499" s="27" t="str">
        <f t="shared" si="67"/>
        <v/>
      </c>
    </row>
    <row r="1500" spans="1:3" x14ac:dyDescent="0.25">
      <c r="A1500" s="27" t="s">
        <v>1367</v>
      </c>
      <c r="B1500" s="27" t="str">
        <f t="shared" si="66"/>
        <v/>
      </c>
      <c r="C1500" s="27" t="str">
        <f t="shared" si="67"/>
        <v/>
      </c>
    </row>
    <row r="1501" spans="1:3" x14ac:dyDescent="0.25">
      <c r="A1501" s="27" t="s">
        <v>1367</v>
      </c>
      <c r="B1501" s="27" t="str">
        <f t="shared" si="66"/>
        <v/>
      </c>
      <c r="C1501" s="27" t="str">
        <f t="shared" si="67"/>
        <v/>
      </c>
    </row>
    <row r="1502" spans="1:3" x14ac:dyDescent="0.25">
      <c r="A1502" s="27" t="s">
        <v>1367</v>
      </c>
      <c r="B1502" s="27" t="str">
        <f t="shared" si="66"/>
        <v/>
      </c>
      <c r="C1502" s="27" t="str">
        <f t="shared" si="67"/>
        <v/>
      </c>
    </row>
    <row r="1503" spans="1:3" x14ac:dyDescent="0.25">
      <c r="A1503" s="27" t="s">
        <v>1367</v>
      </c>
      <c r="B1503" s="27" t="str">
        <f t="shared" si="66"/>
        <v/>
      </c>
      <c r="C1503" s="27" t="str">
        <f t="shared" si="67"/>
        <v/>
      </c>
    </row>
    <row r="1504" spans="1:3" x14ac:dyDescent="0.25">
      <c r="A1504" s="27" t="s">
        <v>1367</v>
      </c>
      <c r="B1504" s="27" t="str">
        <f t="shared" si="66"/>
        <v/>
      </c>
      <c r="C1504" s="27" t="str">
        <f t="shared" si="67"/>
        <v/>
      </c>
    </row>
    <row r="1505" spans="1:3" x14ac:dyDescent="0.25">
      <c r="A1505" s="27" t="s">
        <v>1367</v>
      </c>
      <c r="B1505" s="27" t="str">
        <f t="shared" si="66"/>
        <v/>
      </c>
      <c r="C1505" s="27" t="str">
        <f t="shared" si="67"/>
        <v/>
      </c>
    </row>
    <row r="1506" spans="1:3" x14ac:dyDescent="0.25">
      <c r="A1506" s="27" t="s">
        <v>1367</v>
      </c>
      <c r="B1506" s="27" t="str">
        <f t="shared" si="66"/>
        <v/>
      </c>
      <c r="C1506" s="27" t="str">
        <f t="shared" si="67"/>
        <v/>
      </c>
    </row>
    <row r="1507" spans="1:3" x14ac:dyDescent="0.25">
      <c r="A1507" s="27" t="s">
        <v>1367</v>
      </c>
      <c r="B1507" s="27" t="str">
        <f t="shared" si="66"/>
        <v/>
      </c>
      <c r="C1507" s="27" t="str">
        <f t="shared" si="67"/>
        <v/>
      </c>
    </row>
    <row r="1508" spans="1:3" x14ac:dyDescent="0.25">
      <c r="A1508" s="27" t="s">
        <v>1367</v>
      </c>
      <c r="B1508" s="27" t="str">
        <f t="shared" si="66"/>
        <v/>
      </c>
      <c r="C1508" s="27" t="str">
        <f t="shared" si="67"/>
        <v/>
      </c>
    </row>
    <row r="1509" spans="1:3" x14ac:dyDescent="0.25">
      <c r="A1509" s="27" t="s">
        <v>1367</v>
      </c>
      <c r="B1509" s="27" t="str">
        <f t="shared" si="66"/>
        <v/>
      </c>
      <c r="C1509" s="27" t="str">
        <f t="shared" si="67"/>
        <v/>
      </c>
    </row>
    <row r="1510" spans="1:3" x14ac:dyDescent="0.25">
      <c r="A1510" s="27" t="s">
        <v>1367</v>
      </c>
      <c r="B1510" s="27" t="str">
        <f t="shared" si="66"/>
        <v/>
      </c>
      <c r="C1510" s="27" t="str">
        <f t="shared" si="67"/>
        <v/>
      </c>
    </row>
    <row r="1511" spans="1:3" x14ac:dyDescent="0.25">
      <c r="A1511" s="27" t="s">
        <v>1367</v>
      </c>
      <c r="B1511" s="27" t="str">
        <f t="shared" si="66"/>
        <v/>
      </c>
      <c r="C1511" s="27" t="str">
        <f t="shared" si="67"/>
        <v/>
      </c>
    </row>
    <row r="1512" spans="1:3" x14ac:dyDescent="0.25">
      <c r="A1512" s="27" t="s">
        <v>1367</v>
      </c>
      <c r="B1512" s="27" t="str">
        <f t="shared" si="66"/>
        <v/>
      </c>
      <c r="C1512" s="27" t="str">
        <f t="shared" si="67"/>
        <v/>
      </c>
    </row>
    <row r="1513" spans="1:3" x14ac:dyDescent="0.25">
      <c r="A1513" s="27" t="s">
        <v>1367</v>
      </c>
      <c r="B1513" s="27" t="str">
        <f t="shared" si="66"/>
        <v/>
      </c>
      <c r="C1513" s="27" t="str">
        <f t="shared" si="67"/>
        <v/>
      </c>
    </row>
    <row r="1514" spans="1:3" x14ac:dyDescent="0.25">
      <c r="A1514" s="27" t="s">
        <v>1367</v>
      </c>
      <c r="B1514" s="27" t="str">
        <f t="shared" si="66"/>
        <v/>
      </c>
      <c r="C1514" s="27" t="str">
        <f t="shared" si="67"/>
        <v/>
      </c>
    </row>
    <row r="1515" spans="1:3" x14ac:dyDescent="0.25">
      <c r="A1515" s="27" t="s">
        <v>1367</v>
      </c>
      <c r="B1515" s="27" t="str">
        <f t="shared" si="66"/>
        <v/>
      </c>
      <c r="C1515" s="27" t="str">
        <f t="shared" si="67"/>
        <v/>
      </c>
    </row>
    <row r="1516" spans="1:3" x14ac:dyDescent="0.25">
      <c r="A1516" s="27" t="s">
        <v>1367</v>
      </c>
      <c r="B1516" s="27" t="str">
        <f t="shared" si="66"/>
        <v/>
      </c>
      <c r="C1516" s="27" t="str">
        <f t="shared" si="67"/>
        <v/>
      </c>
    </row>
    <row r="1517" spans="1:3" x14ac:dyDescent="0.25">
      <c r="A1517" s="27" t="s">
        <v>1367</v>
      </c>
      <c r="B1517" s="27" t="str">
        <f t="shared" si="66"/>
        <v/>
      </c>
      <c r="C1517" s="27" t="str">
        <f t="shared" si="67"/>
        <v/>
      </c>
    </row>
    <row r="1518" spans="1:3" x14ac:dyDescent="0.25">
      <c r="A1518" s="27" t="s">
        <v>1367</v>
      </c>
      <c r="B1518" s="27" t="str">
        <f t="shared" si="66"/>
        <v/>
      </c>
      <c r="C1518" s="27" t="str">
        <f t="shared" si="67"/>
        <v/>
      </c>
    </row>
    <row r="1519" spans="1:3" x14ac:dyDescent="0.25">
      <c r="A1519" s="27" t="s">
        <v>1367</v>
      </c>
      <c r="B1519" s="27" t="str">
        <f t="shared" si="66"/>
        <v/>
      </c>
      <c r="C1519" s="27" t="str">
        <f t="shared" si="67"/>
        <v/>
      </c>
    </row>
    <row r="1520" spans="1:3" x14ac:dyDescent="0.25">
      <c r="A1520" s="27" t="s">
        <v>1367</v>
      </c>
      <c r="B1520" s="27" t="str">
        <f t="shared" si="66"/>
        <v/>
      </c>
      <c r="C1520" s="27" t="str">
        <f t="shared" si="67"/>
        <v/>
      </c>
    </row>
    <row r="1521" spans="1:3" x14ac:dyDescent="0.25">
      <c r="A1521" s="27" t="s">
        <v>1367</v>
      </c>
      <c r="B1521" s="27" t="str">
        <f t="shared" si="66"/>
        <v/>
      </c>
      <c r="C1521" s="27" t="str">
        <f t="shared" si="67"/>
        <v/>
      </c>
    </row>
    <row r="1522" spans="1:3" x14ac:dyDescent="0.25">
      <c r="A1522" s="27" t="s">
        <v>1367</v>
      </c>
      <c r="B1522" s="27" t="str">
        <f t="shared" si="66"/>
        <v/>
      </c>
      <c r="C1522" s="27" t="str">
        <f t="shared" si="67"/>
        <v/>
      </c>
    </row>
    <row r="1523" spans="1:3" x14ac:dyDescent="0.25">
      <c r="A1523" s="27" t="s">
        <v>1367</v>
      </c>
      <c r="B1523" s="27" t="str">
        <f t="shared" si="66"/>
        <v/>
      </c>
      <c r="C1523" s="27" t="str">
        <f t="shared" si="67"/>
        <v/>
      </c>
    </row>
    <row r="1524" spans="1:3" x14ac:dyDescent="0.25">
      <c r="A1524" s="27" t="s">
        <v>1367</v>
      </c>
      <c r="B1524" s="27" t="str">
        <f t="shared" si="66"/>
        <v/>
      </c>
      <c r="C1524" s="27" t="str">
        <f t="shared" si="67"/>
        <v/>
      </c>
    </row>
    <row r="1525" spans="1:3" x14ac:dyDescent="0.25">
      <c r="A1525" s="27" t="s">
        <v>1367</v>
      </c>
      <c r="B1525" s="27" t="str">
        <f t="shared" si="66"/>
        <v/>
      </c>
      <c r="C1525" s="27" t="str">
        <f t="shared" si="67"/>
        <v/>
      </c>
    </row>
    <row r="1526" spans="1:3" x14ac:dyDescent="0.25">
      <c r="A1526" s="27" t="s">
        <v>1367</v>
      </c>
      <c r="B1526" s="27" t="str">
        <f t="shared" si="66"/>
        <v/>
      </c>
      <c r="C1526" s="27" t="str">
        <f t="shared" si="67"/>
        <v/>
      </c>
    </row>
    <row r="1527" spans="1:3" x14ac:dyDescent="0.25">
      <c r="A1527" s="27" t="s">
        <v>1367</v>
      </c>
      <c r="B1527" s="27" t="str">
        <f t="shared" si="66"/>
        <v/>
      </c>
      <c r="C1527" s="27" t="str">
        <f t="shared" si="67"/>
        <v/>
      </c>
    </row>
    <row r="1528" spans="1:3" x14ac:dyDescent="0.25">
      <c r="A1528" s="27" t="s">
        <v>1367</v>
      </c>
      <c r="B1528" s="27" t="str">
        <f t="shared" si="66"/>
        <v/>
      </c>
      <c r="C1528" s="27" t="str">
        <f t="shared" si="67"/>
        <v/>
      </c>
    </row>
    <row r="1529" spans="1:3" x14ac:dyDescent="0.25">
      <c r="A1529" s="27" t="s">
        <v>1367</v>
      </c>
      <c r="B1529" s="27" t="str">
        <f t="shared" si="66"/>
        <v/>
      </c>
      <c r="C1529" s="27" t="str">
        <f t="shared" si="67"/>
        <v/>
      </c>
    </row>
    <row r="1530" spans="1:3" x14ac:dyDescent="0.25">
      <c r="A1530" s="27" t="s">
        <v>1367</v>
      </c>
      <c r="B1530" s="27" t="str">
        <f t="shared" si="66"/>
        <v/>
      </c>
      <c r="C1530" s="27" t="str">
        <f t="shared" si="67"/>
        <v/>
      </c>
    </row>
    <row r="1531" spans="1:3" x14ac:dyDescent="0.25">
      <c r="A1531" s="27" t="s">
        <v>1367</v>
      </c>
      <c r="B1531" s="27" t="str">
        <f t="shared" si="66"/>
        <v/>
      </c>
      <c r="C1531" s="27" t="str">
        <f t="shared" si="67"/>
        <v/>
      </c>
    </row>
    <row r="1532" spans="1:3" x14ac:dyDescent="0.25">
      <c r="A1532" s="27" t="s">
        <v>1367</v>
      </c>
      <c r="B1532" s="27" t="str">
        <f t="shared" si="66"/>
        <v/>
      </c>
      <c r="C1532" s="27" t="str">
        <f t="shared" si="67"/>
        <v/>
      </c>
    </row>
    <row r="1533" spans="1:3" x14ac:dyDescent="0.25">
      <c r="A1533" s="27" t="s">
        <v>1367</v>
      </c>
      <c r="B1533" s="27" t="str">
        <f t="shared" si="66"/>
        <v/>
      </c>
      <c r="C1533" s="27" t="str">
        <f t="shared" si="67"/>
        <v/>
      </c>
    </row>
    <row r="1534" spans="1:3" x14ac:dyDescent="0.25">
      <c r="A1534" s="27" t="s">
        <v>1367</v>
      </c>
      <c r="B1534" s="27" t="str">
        <f t="shared" si="66"/>
        <v/>
      </c>
      <c r="C1534" s="27" t="str">
        <f t="shared" si="67"/>
        <v/>
      </c>
    </row>
    <row r="1535" spans="1:3" x14ac:dyDescent="0.25">
      <c r="A1535" s="27" t="s">
        <v>1367</v>
      </c>
      <c r="B1535" s="27" t="str">
        <f t="shared" si="66"/>
        <v/>
      </c>
      <c r="C1535" s="27" t="str">
        <f t="shared" si="67"/>
        <v/>
      </c>
    </row>
    <row r="1536" spans="1:3" x14ac:dyDescent="0.25">
      <c r="A1536" s="27" t="s">
        <v>1367</v>
      </c>
      <c r="B1536" s="27" t="str">
        <f t="shared" si="66"/>
        <v/>
      </c>
      <c r="C1536" s="27" t="str">
        <f t="shared" si="67"/>
        <v/>
      </c>
    </row>
    <row r="1537" spans="1:3" x14ac:dyDescent="0.25">
      <c r="A1537" s="27" t="s">
        <v>1367</v>
      </c>
      <c r="B1537" s="27" t="str">
        <f t="shared" si="66"/>
        <v/>
      </c>
      <c r="C1537" s="27" t="str">
        <f t="shared" si="67"/>
        <v/>
      </c>
    </row>
    <row r="1538" spans="1:3" x14ac:dyDescent="0.25">
      <c r="A1538" s="27" t="s">
        <v>1367</v>
      </c>
      <c r="B1538" s="27" t="str">
        <f t="shared" si="66"/>
        <v/>
      </c>
      <c r="C1538" s="27" t="str">
        <f t="shared" si="67"/>
        <v/>
      </c>
    </row>
    <row r="1539" spans="1:3" x14ac:dyDescent="0.25">
      <c r="A1539" s="27" t="s">
        <v>1367</v>
      </c>
      <c r="B1539" s="27" t="str">
        <f t="shared" ref="B1539:B1602" si="68">LEFT(A1539,FIND(";",A1539)-1)</f>
        <v/>
      </c>
      <c r="C1539" s="27" t="str">
        <f t="shared" ref="C1539:C1602" si="69">MID(A1539,FIND(";",A1539)+1,100)</f>
        <v/>
      </c>
    </row>
    <row r="1540" spans="1:3" x14ac:dyDescent="0.25">
      <c r="A1540" s="27" t="s">
        <v>1367</v>
      </c>
      <c r="B1540" s="27" t="str">
        <f t="shared" si="68"/>
        <v/>
      </c>
      <c r="C1540" s="27" t="str">
        <f t="shared" si="69"/>
        <v/>
      </c>
    </row>
    <row r="1541" spans="1:3" x14ac:dyDescent="0.25">
      <c r="A1541" s="27" t="s">
        <v>1367</v>
      </c>
      <c r="B1541" s="27" t="str">
        <f t="shared" si="68"/>
        <v/>
      </c>
      <c r="C1541" s="27" t="str">
        <f t="shared" si="69"/>
        <v/>
      </c>
    </row>
    <row r="1542" spans="1:3" x14ac:dyDescent="0.25">
      <c r="A1542" s="27" t="s">
        <v>1367</v>
      </c>
      <c r="B1542" s="27" t="str">
        <f t="shared" si="68"/>
        <v/>
      </c>
      <c r="C1542" s="27" t="str">
        <f t="shared" si="69"/>
        <v/>
      </c>
    </row>
    <row r="1543" spans="1:3" x14ac:dyDescent="0.25">
      <c r="A1543" s="27" t="s">
        <v>1367</v>
      </c>
      <c r="B1543" s="27" t="str">
        <f t="shared" si="68"/>
        <v/>
      </c>
      <c r="C1543" s="27" t="str">
        <f t="shared" si="69"/>
        <v/>
      </c>
    </row>
    <row r="1544" spans="1:3" x14ac:dyDescent="0.25">
      <c r="A1544" s="27" t="s">
        <v>1367</v>
      </c>
      <c r="B1544" s="27" t="str">
        <f t="shared" si="68"/>
        <v/>
      </c>
      <c r="C1544" s="27" t="str">
        <f t="shared" si="69"/>
        <v/>
      </c>
    </row>
    <row r="1545" spans="1:3" x14ac:dyDescent="0.25">
      <c r="A1545" s="27" t="s">
        <v>1367</v>
      </c>
      <c r="B1545" s="27" t="str">
        <f t="shared" si="68"/>
        <v/>
      </c>
      <c r="C1545" s="27" t="str">
        <f t="shared" si="69"/>
        <v/>
      </c>
    </row>
    <row r="1546" spans="1:3" x14ac:dyDescent="0.25">
      <c r="A1546" s="27" t="s">
        <v>1367</v>
      </c>
      <c r="B1546" s="27" t="str">
        <f t="shared" si="68"/>
        <v/>
      </c>
      <c r="C1546" s="27" t="str">
        <f t="shared" si="69"/>
        <v/>
      </c>
    </row>
    <row r="1547" spans="1:3" x14ac:dyDescent="0.25">
      <c r="A1547" s="27" t="s">
        <v>1367</v>
      </c>
      <c r="B1547" s="27" t="str">
        <f t="shared" si="68"/>
        <v/>
      </c>
      <c r="C1547" s="27" t="str">
        <f t="shared" si="69"/>
        <v/>
      </c>
    </row>
    <row r="1548" spans="1:3" x14ac:dyDescent="0.25">
      <c r="A1548" s="27" t="s">
        <v>1367</v>
      </c>
      <c r="B1548" s="27" t="str">
        <f t="shared" si="68"/>
        <v/>
      </c>
      <c r="C1548" s="27" t="str">
        <f t="shared" si="69"/>
        <v/>
      </c>
    </row>
    <row r="1549" spans="1:3" x14ac:dyDescent="0.25">
      <c r="A1549" s="27" t="s">
        <v>1367</v>
      </c>
      <c r="B1549" s="27" t="str">
        <f t="shared" si="68"/>
        <v/>
      </c>
      <c r="C1549" s="27" t="str">
        <f t="shared" si="69"/>
        <v/>
      </c>
    </row>
    <row r="1550" spans="1:3" x14ac:dyDescent="0.25">
      <c r="A1550" s="27" t="s">
        <v>1367</v>
      </c>
      <c r="B1550" s="27" t="str">
        <f t="shared" si="68"/>
        <v/>
      </c>
      <c r="C1550" s="27" t="str">
        <f t="shared" si="69"/>
        <v/>
      </c>
    </row>
    <row r="1551" spans="1:3" x14ac:dyDescent="0.25">
      <c r="A1551" s="27" t="s">
        <v>1367</v>
      </c>
      <c r="B1551" s="27" t="str">
        <f t="shared" si="68"/>
        <v/>
      </c>
      <c r="C1551" s="27" t="str">
        <f t="shared" si="69"/>
        <v/>
      </c>
    </row>
    <row r="1552" spans="1:3" x14ac:dyDescent="0.25">
      <c r="A1552" s="27" t="s">
        <v>1367</v>
      </c>
      <c r="B1552" s="27" t="str">
        <f t="shared" si="68"/>
        <v/>
      </c>
      <c r="C1552" s="27" t="str">
        <f t="shared" si="69"/>
        <v/>
      </c>
    </row>
    <row r="1553" spans="1:3" x14ac:dyDescent="0.25">
      <c r="A1553" s="27" t="s">
        <v>1367</v>
      </c>
      <c r="B1553" s="27" t="str">
        <f t="shared" si="68"/>
        <v/>
      </c>
      <c r="C1553" s="27" t="str">
        <f t="shared" si="69"/>
        <v/>
      </c>
    </row>
    <row r="1554" spans="1:3" x14ac:dyDescent="0.25">
      <c r="A1554" s="27" t="s">
        <v>1367</v>
      </c>
      <c r="B1554" s="27" t="str">
        <f t="shared" si="68"/>
        <v/>
      </c>
      <c r="C1554" s="27" t="str">
        <f t="shared" si="69"/>
        <v/>
      </c>
    </row>
    <row r="1555" spans="1:3" x14ac:dyDescent="0.25">
      <c r="A1555" s="27" t="s">
        <v>1367</v>
      </c>
      <c r="B1555" s="27" t="str">
        <f t="shared" si="68"/>
        <v/>
      </c>
      <c r="C1555" s="27" t="str">
        <f t="shared" si="69"/>
        <v/>
      </c>
    </row>
    <row r="1556" spans="1:3" x14ac:dyDescent="0.25">
      <c r="A1556" s="27" t="s">
        <v>1367</v>
      </c>
      <c r="B1556" s="27" t="str">
        <f t="shared" si="68"/>
        <v/>
      </c>
      <c r="C1556" s="27" t="str">
        <f t="shared" si="69"/>
        <v/>
      </c>
    </row>
    <row r="1557" spans="1:3" x14ac:dyDescent="0.25">
      <c r="A1557" s="27" t="s">
        <v>1367</v>
      </c>
      <c r="B1557" s="27" t="str">
        <f t="shared" si="68"/>
        <v/>
      </c>
      <c r="C1557" s="27" t="str">
        <f t="shared" si="69"/>
        <v/>
      </c>
    </row>
    <row r="1558" spans="1:3" x14ac:dyDescent="0.25">
      <c r="A1558" s="27" t="s">
        <v>1367</v>
      </c>
      <c r="B1558" s="27" t="str">
        <f t="shared" si="68"/>
        <v/>
      </c>
      <c r="C1558" s="27" t="str">
        <f t="shared" si="69"/>
        <v/>
      </c>
    </row>
    <row r="1559" spans="1:3" x14ac:dyDescent="0.25">
      <c r="A1559" s="27" t="s">
        <v>1367</v>
      </c>
      <c r="B1559" s="27" t="str">
        <f t="shared" si="68"/>
        <v/>
      </c>
      <c r="C1559" s="27" t="str">
        <f t="shared" si="69"/>
        <v/>
      </c>
    </row>
    <row r="1560" spans="1:3" x14ac:dyDescent="0.25">
      <c r="A1560" s="27" t="s">
        <v>1367</v>
      </c>
      <c r="B1560" s="27" t="str">
        <f t="shared" si="68"/>
        <v/>
      </c>
      <c r="C1560" s="27" t="str">
        <f t="shared" si="69"/>
        <v/>
      </c>
    </row>
    <row r="1561" spans="1:3" x14ac:dyDescent="0.25">
      <c r="A1561" s="27" t="s">
        <v>1367</v>
      </c>
      <c r="B1561" s="27" t="str">
        <f t="shared" si="68"/>
        <v/>
      </c>
      <c r="C1561" s="27" t="str">
        <f t="shared" si="69"/>
        <v/>
      </c>
    </row>
    <row r="1562" spans="1:3" x14ac:dyDescent="0.25">
      <c r="A1562" s="27" t="s">
        <v>1367</v>
      </c>
      <c r="B1562" s="27" t="str">
        <f t="shared" si="68"/>
        <v/>
      </c>
      <c r="C1562" s="27" t="str">
        <f t="shared" si="69"/>
        <v/>
      </c>
    </row>
    <row r="1563" spans="1:3" x14ac:dyDescent="0.25">
      <c r="A1563" s="27" t="s">
        <v>1367</v>
      </c>
      <c r="B1563" s="27" t="str">
        <f t="shared" si="68"/>
        <v/>
      </c>
      <c r="C1563" s="27" t="str">
        <f t="shared" si="69"/>
        <v/>
      </c>
    </row>
    <row r="1564" spans="1:3" x14ac:dyDescent="0.25">
      <c r="A1564" s="27" t="s">
        <v>1367</v>
      </c>
      <c r="B1564" s="27" t="str">
        <f t="shared" si="68"/>
        <v/>
      </c>
      <c r="C1564" s="27" t="str">
        <f t="shared" si="69"/>
        <v/>
      </c>
    </row>
    <row r="1565" spans="1:3" x14ac:dyDescent="0.25">
      <c r="A1565" s="27" t="s">
        <v>1367</v>
      </c>
      <c r="B1565" s="27" t="str">
        <f t="shared" si="68"/>
        <v/>
      </c>
      <c r="C1565" s="27" t="str">
        <f t="shared" si="69"/>
        <v/>
      </c>
    </row>
    <row r="1566" spans="1:3" x14ac:dyDescent="0.25">
      <c r="A1566" s="27" t="s">
        <v>1367</v>
      </c>
      <c r="B1566" s="27" t="str">
        <f t="shared" si="68"/>
        <v/>
      </c>
      <c r="C1566" s="27" t="str">
        <f t="shared" si="69"/>
        <v/>
      </c>
    </row>
    <row r="1567" spans="1:3" x14ac:dyDescent="0.25">
      <c r="A1567" s="27" t="s">
        <v>1367</v>
      </c>
      <c r="B1567" s="27" t="str">
        <f t="shared" si="68"/>
        <v/>
      </c>
      <c r="C1567" s="27" t="str">
        <f t="shared" si="69"/>
        <v/>
      </c>
    </row>
    <row r="1568" spans="1:3" x14ac:dyDescent="0.25">
      <c r="A1568" s="27" t="s">
        <v>1367</v>
      </c>
      <c r="B1568" s="27" t="str">
        <f t="shared" si="68"/>
        <v/>
      </c>
      <c r="C1568" s="27" t="str">
        <f t="shared" si="69"/>
        <v/>
      </c>
    </row>
    <row r="1569" spans="1:3" x14ac:dyDescent="0.25">
      <c r="A1569" s="27" t="s">
        <v>1367</v>
      </c>
      <c r="B1569" s="27" t="str">
        <f t="shared" si="68"/>
        <v/>
      </c>
      <c r="C1569" s="27" t="str">
        <f t="shared" si="69"/>
        <v/>
      </c>
    </row>
    <row r="1570" spans="1:3" x14ac:dyDescent="0.25">
      <c r="A1570" s="27" t="s">
        <v>1367</v>
      </c>
      <c r="B1570" s="27" t="str">
        <f t="shared" si="68"/>
        <v/>
      </c>
      <c r="C1570" s="27" t="str">
        <f t="shared" si="69"/>
        <v/>
      </c>
    </row>
    <row r="1571" spans="1:3" x14ac:dyDescent="0.25">
      <c r="A1571" s="27" t="s">
        <v>1367</v>
      </c>
      <c r="B1571" s="27" t="str">
        <f t="shared" si="68"/>
        <v/>
      </c>
      <c r="C1571" s="27" t="str">
        <f t="shared" si="69"/>
        <v/>
      </c>
    </row>
    <row r="1572" spans="1:3" x14ac:dyDescent="0.25">
      <c r="A1572" s="27" t="s">
        <v>1367</v>
      </c>
      <c r="B1572" s="27" t="str">
        <f t="shared" si="68"/>
        <v/>
      </c>
      <c r="C1572" s="27" t="str">
        <f t="shared" si="69"/>
        <v/>
      </c>
    </row>
    <row r="1573" spans="1:3" x14ac:dyDescent="0.25">
      <c r="A1573" s="27" t="s">
        <v>1367</v>
      </c>
      <c r="B1573" s="27" t="str">
        <f t="shared" si="68"/>
        <v/>
      </c>
      <c r="C1573" s="27" t="str">
        <f t="shared" si="69"/>
        <v/>
      </c>
    </row>
    <row r="1574" spans="1:3" x14ac:dyDescent="0.25">
      <c r="A1574" s="27" t="s">
        <v>1367</v>
      </c>
      <c r="B1574" s="27" t="str">
        <f t="shared" si="68"/>
        <v/>
      </c>
      <c r="C1574" s="27" t="str">
        <f t="shared" si="69"/>
        <v/>
      </c>
    </row>
    <row r="1575" spans="1:3" x14ac:dyDescent="0.25">
      <c r="A1575" s="27" t="s">
        <v>1367</v>
      </c>
      <c r="B1575" s="27" t="str">
        <f t="shared" si="68"/>
        <v/>
      </c>
      <c r="C1575" s="27" t="str">
        <f t="shared" si="69"/>
        <v/>
      </c>
    </row>
    <row r="1576" spans="1:3" x14ac:dyDescent="0.25">
      <c r="A1576" s="27" t="s">
        <v>1367</v>
      </c>
      <c r="B1576" s="27" t="str">
        <f t="shared" si="68"/>
        <v/>
      </c>
      <c r="C1576" s="27" t="str">
        <f t="shared" si="69"/>
        <v/>
      </c>
    </row>
    <row r="1577" spans="1:3" x14ac:dyDescent="0.25">
      <c r="A1577" s="27" t="s">
        <v>1367</v>
      </c>
      <c r="B1577" s="27" t="str">
        <f t="shared" si="68"/>
        <v/>
      </c>
      <c r="C1577" s="27" t="str">
        <f t="shared" si="69"/>
        <v/>
      </c>
    </row>
    <row r="1578" spans="1:3" x14ac:dyDescent="0.25">
      <c r="A1578" s="27" t="s">
        <v>1367</v>
      </c>
      <c r="B1578" s="27" t="str">
        <f t="shared" si="68"/>
        <v/>
      </c>
      <c r="C1578" s="27" t="str">
        <f t="shared" si="69"/>
        <v/>
      </c>
    </row>
    <row r="1579" spans="1:3" x14ac:dyDescent="0.25">
      <c r="A1579" s="27" t="s">
        <v>1367</v>
      </c>
      <c r="B1579" s="27" t="str">
        <f t="shared" si="68"/>
        <v/>
      </c>
      <c r="C1579" s="27" t="str">
        <f t="shared" si="69"/>
        <v/>
      </c>
    </row>
    <row r="1580" spans="1:3" x14ac:dyDescent="0.25">
      <c r="A1580" s="27" t="s">
        <v>1367</v>
      </c>
      <c r="B1580" s="27" t="str">
        <f t="shared" si="68"/>
        <v/>
      </c>
      <c r="C1580" s="27" t="str">
        <f t="shared" si="69"/>
        <v/>
      </c>
    </row>
    <row r="1581" spans="1:3" x14ac:dyDescent="0.25">
      <c r="A1581" s="27" t="s">
        <v>1367</v>
      </c>
      <c r="B1581" s="27" t="str">
        <f t="shared" si="68"/>
        <v/>
      </c>
      <c r="C1581" s="27" t="str">
        <f t="shared" si="69"/>
        <v/>
      </c>
    </row>
    <row r="1582" spans="1:3" x14ac:dyDescent="0.25">
      <c r="A1582" s="27" t="s">
        <v>1367</v>
      </c>
      <c r="B1582" s="27" t="str">
        <f t="shared" si="68"/>
        <v/>
      </c>
      <c r="C1582" s="27" t="str">
        <f t="shared" si="69"/>
        <v/>
      </c>
    </row>
    <row r="1583" spans="1:3" x14ac:dyDescent="0.25">
      <c r="A1583" s="27" t="s">
        <v>1367</v>
      </c>
      <c r="B1583" s="27" t="str">
        <f t="shared" si="68"/>
        <v/>
      </c>
      <c r="C1583" s="27" t="str">
        <f t="shared" si="69"/>
        <v/>
      </c>
    </row>
    <row r="1584" spans="1:3" x14ac:dyDescent="0.25">
      <c r="A1584" s="27" t="s">
        <v>1367</v>
      </c>
      <c r="B1584" s="27" t="str">
        <f t="shared" si="68"/>
        <v/>
      </c>
      <c r="C1584" s="27" t="str">
        <f t="shared" si="69"/>
        <v/>
      </c>
    </row>
    <row r="1585" spans="1:3" x14ac:dyDescent="0.25">
      <c r="A1585" s="27" t="s">
        <v>1367</v>
      </c>
      <c r="B1585" s="27" t="str">
        <f t="shared" si="68"/>
        <v/>
      </c>
      <c r="C1585" s="27" t="str">
        <f t="shared" si="69"/>
        <v/>
      </c>
    </row>
    <row r="1586" spans="1:3" x14ac:dyDescent="0.25">
      <c r="A1586" s="27" t="s">
        <v>1367</v>
      </c>
      <c r="B1586" s="27" t="str">
        <f t="shared" si="68"/>
        <v/>
      </c>
      <c r="C1586" s="27" t="str">
        <f t="shared" si="69"/>
        <v/>
      </c>
    </row>
    <row r="1587" spans="1:3" x14ac:dyDescent="0.25">
      <c r="A1587" s="27" t="s">
        <v>1367</v>
      </c>
      <c r="B1587" s="27" t="str">
        <f t="shared" si="68"/>
        <v/>
      </c>
      <c r="C1587" s="27" t="str">
        <f t="shared" si="69"/>
        <v/>
      </c>
    </row>
    <row r="1588" spans="1:3" x14ac:dyDescent="0.25">
      <c r="A1588" s="27" t="s">
        <v>1367</v>
      </c>
      <c r="B1588" s="27" t="str">
        <f t="shared" si="68"/>
        <v/>
      </c>
      <c r="C1588" s="27" t="str">
        <f t="shared" si="69"/>
        <v/>
      </c>
    </row>
    <row r="1589" spans="1:3" x14ac:dyDescent="0.25">
      <c r="A1589" s="27" t="s">
        <v>1367</v>
      </c>
      <c r="B1589" s="27" t="str">
        <f t="shared" si="68"/>
        <v/>
      </c>
      <c r="C1589" s="27" t="str">
        <f t="shared" si="69"/>
        <v/>
      </c>
    </row>
    <row r="1590" spans="1:3" x14ac:dyDescent="0.25">
      <c r="A1590" s="27" t="s">
        <v>1367</v>
      </c>
      <c r="B1590" s="27" t="str">
        <f t="shared" si="68"/>
        <v/>
      </c>
      <c r="C1590" s="27" t="str">
        <f t="shared" si="69"/>
        <v/>
      </c>
    </row>
    <row r="1591" spans="1:3" x14ac:dyDescent="0.25">
      <c r="A1591" s="27" t="s">
        <v>1367</v>
      </c>
      <c r="B1591" s="27" t="str">
        <f t="shared" si="68"/>
        <v/>
      </c>
      <c r="C1591" s="27" t="str">
        <f t="shared" si="69"/>
        <v/>
      </c>
    </row>
    <row r="1592" spans="1:3" x14ac:dyDescent="0.25">
      <c r="A1592" s="27" t="s">
        <v>1367</v>
      </c>
      <c r="B1592" s="27" t="str">
        <f t="shared" si="68"/>
        <v/>
      </c>
      <c r="C1592" s="27" t="str">
        <f t="shared" si="69"/>
        <v/>
      </c>
    </row>
    <row r="1593" spans="1:3" x14ac:dyDescent="0.25">
      <c r="A1593" s="27" t="s">
        <v>1367</v>
      </c>
      <c r="B1593" s="27" t="str">
        <f t="shared" si="68"/>
        <v/>
      </c>
      <c r="C1593" s="27" t="str">
        <f t="shared" si="69"/>
        <v/>
      </c>
    </row>
    <row r="1594" spans="1:3" x14ac:dyDescent="0.25">
      <c r="A1594" s="27" t="s">
        <v>1367</v>
      </c>
      <c r="B1594" s="27" t="str">
        <f t="shared" si="68"/>
        <v/>
      </c>
      <c r="C1594" s="27" t="str">
        <f t="shared" si="69"/>
        <v/>
      </c>
    </row>
    <row r="1595" spans="1:3" x14ac:dyDescent="0.25">
      <c r="A1595" s="27" t="s">
        <v>1367</v>
      </c>
      <c r="B1595" s="27" t="str">
        <f t="shared" si="68"/>
        <v/>
      </c>
      <c r="C1595" s="27" t="str">
        <f t="shared" si="69"/>
        <v/>
      </c>
    </row>
    <row r="1596" spans="1:3" x14ac:dyDescent="0.25">
      <c r="A1596" s="27" t="s">
        <v>1367</v>
      </c>
      <c r="B1596" s="27" t="str">
        <f t="shared" si="68"/>
        <v/>
      </c>
      <c r="C1596" s="27" t="str">
        <f t="shared" si="69"/>
        <v/>
      </c>
    </row>
    <row r="1597" spans="1:3" x14ac:dyDescent="0.25">
      <c r="A1597" s="27" t="s">
        <v>1367</v>
      </c>
      <c r="B1597" s="27" t="str">
        <f t="shared" si="68"/>
        <v/>
      </c>
      <c r="C1597" s="27" t="str">
        <f t="shared" si="69"/>
        <v/>
      </c>
    </row>
    <row r="1598" spans="1:3" x14ac:dyDescent="0.25">
      <c r="A1598" s="27" t="s">
        <v>1367</v>
      </c>
      <c r="B1598" s="27" t="str">
        <f t="shared" si="68"/>
        <v/>
      </c>
      <c r="C1598" s="27" t="str">
        <f t="shared" si="69"/>
        <v/>
      </c>
    </row>
    <row r="1599" spans="1:3" x14ac:dyDescent="0.25">
      <c r="A1599" s="27" t="s">
        <v>1367</v>
      </c>
      <c r="B1599" s="27" t="str">
        <f t="shared" si="68"/>
        <v/>
      </c>
      <c r="C1599" s="27" t="str">
        <f t="shared" si="69"/>
        <v/>
      </c>
    </row>
    <row r="1600" spans="1:3" x14ac:dyDescent="0.25">
      <c r="A1600" s="27" t="s">
        <v>1367</v>
      </c>
      <c r="B1600" s="27" t="str">
        <f t="shared" si="68"/>
        <v/>
      </c>
      <c r="C1600" s="27" t="str">
        <f t="shared" si="69"/>
        <v/>
      </c>
    </row>
    <row r="1601" spans="1:3" x14ac:dyDescent="0.25">
      <c r="A1601" s="27" t="s">
        <v>1367</v>
      </c>
      <c r="B1601" s="27" t="str">
        <f t="shared" si="68"/>
        <v/>
      </c>
      <c r="C1601" s="27" t="str">
        <f t="shared" si="69"/>
        <v/>
      </c>
    </row>
    <row r="1602" spans="1:3" x14ac:dyDescent="0.25">
      <c r="A1602" s="27" t="s">
        <v>1367</v>
      </c>
      <c r="B1602" s="27" t="str">
        <f t="shared" si="68"/>
        <v/>
      </c>
      <c r="C1602" s="27" t="str">
        <f t="shared" si="69"/>
        <v/>
      </c>
    </row>
    <row r="1603" spans="1:3" x14ac:dyDescent="0.25">
      <c r="A1603" s="27" t="s">
        <v>1367</v>
      </c>
      <c r="B1603" s="27" t="str">
        <f t="shared" ref="B1603:B1609" si="70">LEFT(A1603,FIND(";",A1603)-1)</f>
        <v/>
      </c>
      <c r="C1603" s="27" t="str">
        <f t="shared" ref="C1603:C1609" si="71">MID(A1603,FIND(";",A1603)+1,100)</f>
        <v/>
      </c>
    </row>
    <row r="1604" spans="1:3" x14ac:dyDescent="0.25">
      <c r="A1604" s="27" t="s">
        <v>1367</v>
      </c>
      <c r="B1604" s="27" t="str">
        <f t="shared" si="70"/>
        <v/>
      </c>
      <c r="C1604" s="27" t="str">
        <f t="shared" si="71"/>
        <v/>
      </c>
    </row>
    <row r="1605" spans="1:3" x14ac:dyDescent="0.25">
      <c r="A1605" s="27" t="s">
        <v>1367</v>
      </c>
      <c r="B1605" s="27" t="str">
        <f t="shared" si="70"/>
        <v/>
      </c>
      <c r="C1605" s="27" t="str">
        <f t="shared" si="71"/>
        <v/>
      </c>
    </row>
    <row r="1606" spans="1:3" x14ac:dyDescent="0.25">
      <c r="A1606" s="27" t="s">
        <v>1367</v>
      </c>
      <c r="B1606" s="27" t="str">
        <f t="shared" si="70"/>
        <v/>
      </c>
      <c r="C1606" s="27" t="str">
        <f t="shared" si="71"/>
        <v/>
      </c>
    </row>
    <row r="1607" spans="1:3" x14ac:dyDescent="0.25">
      <c r="A1607" s="27" t="s">
        <v>1367</v>
      </c>
      <c r="B1607" s="27" t="str">
        <f t="shared" si="70"/>
        <v/>
      </c>
      <c r="C1607" s="27" t="str">
        <f t="shared" si="71"/>
        <v/>
      </c>
    </row>
    <row r="1608" spans="1:3" x14ac:dyDescent="0.25">
      <c r="A1608" s="27" t="s">
        <v>1367</v>
      </c>
      <c r="B1608" s="27" t="str">
        <f t="shared" si="70"/>
        <v/>
      </c>
      <c r="C1608" s="27" t="str">
        <f t="shared" si="71"/>
        <v/>
      </c>
    </row>
    <row r="1609" spans="1:3" x14ac:dyDescent="0.25">
      <c r="A1609" s="27" t="s">
        <v>1367</v>
      </c>
      <c r="B1609" s="27" t="str">
        <f t="shared" si="70"/>
        <v/>
      </c>
      <c r="C1609" s="27" t="str">
        <f t="shared" si="71"/>
        <v/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1"/>
  <sheetViews>
    <sheetView workbookViewId="0"/>
  </sheetViews>
  <sheetFormatPr defaultColWidth="15.140625" defaultRowHeight="15" customHeight="1" x14ac:dyDescent="0.25"/>
  <cols>
    <col min="1" max="1" width="18.42578125" style="42" customWidth="1"/>
    <col min="2" max="2" width="15.140625" style="42"/>
    <col min="3" max="3" width="36.140625" style="42" customWidth="1"/>
    <col min="4" max="4" width="68.28515625" style="42" bestFit="1" customWidth="1"/>
    <col min="5" max="16384" width="15.140625" style="42"/>
  </cols>
  <sheetData>
    <row r="1" spans="1:24" ht="15" customHeight="1" x14ac:dyDescent="0.25">
      <c r="A1" s="27" t="s">
        <v>1848</v>
      </c>
      <c r="B1" s="27" t="s">
        <v>2</v>
      </c>
      <c r="C1" s="27" t="s">
        <v>1853</v>
      </c>
      <c r="D1" s="27" t="s">
        <v>214</v>
      </c>
      <c r="E1" s="27" t="s">
        <v>1847</v>
      </c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4" ht="15" customHeight="1" x14ac:dyDescent="0.25">
      <c r="A2" s="27" t="s">
        <v>1846</v>
      </c>
      <c r="B2" s="27" t="s">
        <v>186</v>
      </c>
      <c r="C2" s="27">
        <v>39000</v>
      </c>
      <c r="D2" s="27" t="s">
        <v>1814</v>
      </c>
      <c r="E2" s="27"/>
    </row>
    <row r="3" spans="1:24" ht="15" customHeight="1" x14ac:dyDescent="0.25">
      <c r="A3" s="27" t="s">
        <v>1845</v>
      </c>
      <c r="B3" s="27" t="s">
        <v>185</v>
      </c>
      <c r="C3" s="27">
        <v>48000</v>
      </c>
      <c r="D3" s="27" t="s">
        <v>1814</v>
      </c>
      <c r="E3" s="27"/>
    </row>
    <row r="4" spans="1:24" ht="15" customHeight="1" x14ac:dyDescent="0.25">
      <c r="A4" s="27" t="s">
        <v>1844</v>
      </c>
      <c r="B4" s="27" t="s">
        <v>192</v>
      </c>
      <c r="C4" s="27">
        <v>54500</v>
      </c>
      <c r="D4" s="27" t="s">
        <v>1814</v>
      </c>
      <c r="E4" s="27"/>
    </row>
    <row r="5" spans="1:24" ht="15" customHeight="1" x14ac:dyDescent="0.25">
      <c r="A5" s="27" t="s">
        <v>1843</v>
      </c>
      <c r="B5" s="27" t="s">
        <v>181</v>
      </c>
      <c r="C5" s="27">
        <v>46000</v>
      </c>
      <c r="D5" s="27" t="s">
        <v>1814</v>
      </c>
      <c r="E5" s="27"/>
    </row>
    <row r="6" spans="1:24" ht="15" customHeight="1" x14ac:dyDescent="0.25">
      <c r="A6" s="27" t="s">
        <v>1842</v>
      </c>
      <c r="B6" s="27" t="s">
        <v>182</v>
      </c>
      <c r="C6" s="27">
        <v>50000</v>
      </c>
      <c r="D6" s="27" t="s">
        <v>1814</v>
      </c>
      <c r="E6" s="27"/>
    </row>
    <row r="7" spans="1:24" ht="15" customHeight="1" x14ac:dyDescent="0.25">
      <c r="A7" s="27" t="s">
        <v>1841</v>
      </c>
      <c r="B7" s="27" t="s">
        <v>89</v>
      </c>
      <c r="C7" s="27">
        <v>47500</v>
      </c>
      <c r="D7" s="27" t="s">
        <v>1814</v>
      </c>
      <c r="E7" s="27"/>
    </row>
    <row r="8" spans="1:24" ht="15" customHeight="1" x14ac:dyDescent="0.25">
      <c r="A8" s="27" t="s">
        <v>1840</v>
      </c>
      <c r="B8" s="27" t="s">
        <v>178</v>
      </c>
      <c r="C8" s="27">
        <v>56000</v>
      </c>
      <c r="D8" s="27" t="s">
        <v>1814</v>
      </c>
      <c r="E8" s="27"/>
    </row>
    <row r="9" spans="1:24" ht="15" customHeight="1" x14ac:dyDescent="0.25">
      <c r="A9" s="27" t="s">
        <v>1839</v>
      </c>
      <c r="B9" s="27" t="s">
        <v>201</v>
      </c>
      <c r="C9" s="27">
        <v>44000</v>
      </c>
      <c r="D9" s="27" t="s">
        <v>1814</v>
      </c>
      <c r="E9" s="27"/>
    </row>
    <row r="10" spans="1:24" ht="15" customHeight="1" x14ac:dyDescent="0.25">
      <c r="A10" s="27" t="s">
        <v>1838</v>
      </c>
      <c r="B10" s="27" t="s">
        <v>207</v>
      </c>
      <c r="C10" s="27">
        <v>57000</v>
      </c>
      <c r="D10" s="27" t="s">
        <v>1814</v>
      </c>
      <c r="E10" s="27"/>
    </row>
    <row r="11" spans="1:24" ht="15" customHeight="1" x14ac:dyDescent="0.25">
      <c r="A11" s="27" t="s">
        <v>1837</v>
      </c>
      <c r="B11" s="27" t="s">
        <v>56</v>
      </c>
      <c r="C11" s="27">
        <v>44000</v>
      </c>
      <c r="D11" s="27" t="s">
        <v>1814</v>
      </c>
      <c r="E11" s="27"/>
    </row>
    <row r="12" spans="1:24" ht="15" customHeight="1" x14ac:dyDescent="0.25">
      <c r="A12" s="27" t="s">
        <v>1836</v>
      </c>
      <c r="B12" s="27" t="s">
        <v>184</v>
      </c>
      <c r="C12" s="27">
        <v>48000</v>
      </c>
      <c r="D12" s="27" t="s">
        <v>1814</v>
      </c>
      <c r="E12" s="27"/>
    </row>
    <row r="13" spans="1:24" ht="15" customHeight="1" x14ac:dyDescent="0.25">
      <c r="A13" s="27" t="s">
        <v>1835</v>
      </c>
      <c r="B13" s="27" t="s">
        <v>61</v>
      </c>
      <c r="C13" s="27">
        <v>54500</v>
      </c>
      <c r="D13" s="27" t="s">
        <v>1814</v>
      </c>
      <c r="E13" s="27"/>
    </row>
    <row r="14" spans="1:24" ht="15" customHeight="1" x14ac:dyDescent="0.25">
      <c r="A14" s="27" t="s">
        <v>1834</v>
      </c>
      <c r="B14" s="27" t="s">
        <v>144</v>
      </c>
      <c r="C14" s="27">
        <v>36000</v>
      </c>
      <c r="D14" s="27" t="s">
        <v>1814</v>
      </c>
      <c r="E14" s="27"/>
    </row>
    <row r="15" spans="1:24" ht="15" customHeight="1" x14ac:dyDescent="0.25">
      <c r="A15" s="27" t="s">
        <v>1833</v>
      </c>
      <c r="B15" s="27" t="s">
        <v>120</v>
      </c>
      <c r="C15" s="27">
        <v>57000</v>
      </c>
      <c r="D15" s="27" t="s">
        <v>1814</v>
      </c>
      <c r="E15" s="27"/>
    </row>
    <row r="16" spans="1:24" ht="15" customHeight="1" x14ac:dyDescent="0.25">
      <c r="A16" s="27" t="s">
        <v>1832</v>
      </c>
      <c r="B16" s="27" t="s">
        <v>204</v>
      </c>
      <c r="C16" s="27">
        <v>35000</v>
      </c>
      <c r="D16" s="27" t="s">
        <v>1814</v>
      </c>
      <c r="E16" s="27"/>
    </row>
    <row r="17" spans="1:5" ht="15" customHeight="1" x14ac:dyDescent="0.25">
      <c r="A17" s="27" t="s">
        <v>1831</v>
      </c>
      <c r="B17" s="27" t="s">
        <v>194</v>
      </c>
      <c r="C17" s="27">
        <v>43000</v>
      </c>
      <c r="D17" s="27" t="s">
        <v>1814</v>
      </c>
      <c r="E17" s="27"/>
    </row>
    <row r="18" spans="1:5" ht="15" customHeight="1" x14ac:dyDescent="0.25">
      <c r="A18" s="27" t="s">
        <v>1830</v>
      </c>
      <c r="B18" s="27" t="s">
        <v>152</v>
      </c>
      <c r="C18" s="27">
        <v>20000</v>
      </c>
      <c r="D18" s="27" t="s">
        <v>1814</v>
      </c>
      <c r="E18" s="27" t="s">
        <v>1854</v>
      </c>
    </row>
    <row r="19" spans="1:5" ht="15" customHeight="1" x14ac:dyDescent="0.25">
      <c r="A19" s="27" t="s">
        <v>1829</v>
      </c>
      <c r="B19" s="27" t="s">
        <v>204</v>
      </c>
      <c r="C19" s="27">
        <v>26000</v>
      </c>
      <c r="D19" s="27" t="s">
        <v>1814</v>
      </c>
      <c r="E19" s="27" t="s">
        <v>1855</v>
      </c>
    </row>
    <row r="20" spans="1:5" ht="15" customHeight="1" x14ac:dyDescent="0.25">
      <c r="A20" s="27" t="s">
        <v>1828</v>
      </c>
      <c r="B20" s="27" t="s">
        <v>193</v>
      </c>
      <c r="C20" s="27">
        <v>21000</v>
      </c>
      <c r="D20" s="27" t="s">
        <v>1814</v>
      </c>
      <c r="E20" s="27"/>
    </row>
    <row r="21" spans="1:5" ht="15" customHeight="1" x14ac:dyDescent="0.25">
      <c r="A21" s="27" t="s">
        <v>1827</v>
      </c>
      <c r="B21" s="27" t="s">
        <v>197</v>
      </c>
      <c r="C21" s="27">
        <v>27000</v>
      </c>
      <c r="D21" s="27" t="s">
        <v>1814</v>
      </c>
      <c r="E21" s="27"/>
    </row>
    <row r="22" spans="1:5" ht="15" customHeight="1" x14ac:dyDescent="0.25">
      <c r="A22" s="27" t="s">
        <v>1826</v>
      </c>
      <c r="B22" s="27" t="s">
        <v>172</v>
      </c>
      <c r="C22" s="27">
        <v>5000</v>
      </c>
      <c r="D22" s="27" t="s">
        <v>1814</v>
      </c>
      <c r="E22" s="27" t="s">
        <v>1856</v>
      </c>
    </row>
    <row r="23" spans="1:5" ht="15" customHeight="1" x14ac:dyDescent="0.25">
      <c r="A23" s="27" t="s">
        <v>1825</v>
      </c>
      <c r="B23" s="27" t="s">
        <v>195</v>
      </c>
      <c r="C23" s="27">
        <v>41000</v>
      </c>
      <c r="D23" s="27" t="s">
        <v>1814</v>
      </c>
      <c r="E23" s="27"/>
    </row>
    <row r="24" spans="1:5" ht="15" customHeight="1" x14ac:dyDescent="0.25">
      <c r="A24" s="27" t="s">
        <v>1824</v>
      </c>
      <c r="B24" s="27" t="s">
        <v>89</v>
      </c>
      <c r="C24" s="27">
        <v>27000</v>
      </c>
      <c r="D24" s="27" t="s">
        <v>1814</v>
      </c>
      <c r="E24" s="27"/>
    </row>
    <row r="25" spans="1:5" ht="15" customHeight="1" x14ac:dyDescent="0.25">
      <c r="A25" s="27" t="s">
        <v>1823</v>
      </c>
      <c r="B25" s="27" t="s">
        <v>172</v>
      </c>
      <c r="C25" s="27">
        <v>23000</v>
      </c>
      <c r="D25" s="27" t="s">
        <v>1814</v>
      </c>
      <c r="E25" s="27"/>
    </row>
    <row r="26" spans="1:5" ht="15" customHeight="1" x14ac:dyDescent="0.25">
      <c r="A26" s="27" t="s">
        <v>1822</v>
      </c>
      <c r="B26" s="27" t="s">
        <v>204</v>
      </c>
      <c r="C26" s="27">
        <v>33000</v>
      </c>
      <c r="D26" s="27" t="s">
        <v>1814</v>
      </c>
      <c r="E26" s="27"/>
    </row>
    <row r="27" spans="1:5" ht="15" customHeight="1" x14ac:dyDescent="0.25">
      <c r="A27" s="27" t="s">
        <v>1821</v>
      </c>
      <c r="B27" s="27" t="s">
        <v>204</v>
      </c>
      <c r="C27" s="27">
        <v>28000</v>
      </c>
      <c r="D27" s="27" t="s">
        <v>1814</v>
      </c>
      <c r="E27" s="27"/>
    </row>
    <row r="28" spans="1:5" ht="15" customHeight="1" x14ac:dyDescent="0.25">
      <c r="A28" s="27" t="s">
        <v>1820</v>
      </c>
      <c r="B28" s="27" t="s">
        <v>5</v>
      </c>
      <c r="C28" s="27">
        <v>29000</v>
      </c>
      <c r="D28" s="27" t="s">
        <v>1814</v>
      </c>
      <c r="E28" s="27"/>
    </row>
    <row r="29" spans="1:5" ht="15" customHeight="1" x14ac:dyDescent="0.25">
      <c r="A29" s="27" t="s">
        <v>1819</v>
      </c>
      <c r="B29" s="27" t="s">
        <v>201</v>
      </c>
      <c r="C29" s="27">
        <v>29000</v>
      </c>
      <c r="D29" s="27" t="s">
        <v>1814</v>
      </c>
      <c r="E29" s="27"/>
    </row>
    <row r="30" spans="1:5" ht="15" customHeight="1" x14ac:dyDescent="0.25">
      <c r="A30" s="27" t="s">
        <v>1818</v>
      </c>
      <c r="B30" s="27" t="s">
        <v>73</v>
      </c>
      <c r="C30" s="27">
        <v>36000</v>
      </c>
      <c r="D30" s="27" t="s">
        <v>1814</v>
      </c>
      <c r="E30" s="27"/>
    </row>
    <row r="31" spans="1:5" ht="15" customHeight="1" x14ac:dyDescent="0.25">
      <c r="A31" s="27" t="s">
        <v>1817</v>
      </c>
      <c r="B31" s="27" t="s">
        <v>5</v>
      </c>
      <c r="C31" s="27">
        <v>24000</v>
      </c>
      <c r="D31" s="27" t="s">
        <v>1814</v>
      </c>
      <c r="E31" s="27"/>
    </row>
    <row r="32" spans="1:5" ht="15" customHeight="1" x14ac:dyDescent="0.25">
      <c r="A32" s="27" t="s">
        <v>1816</v>
      </c>
      <c r="B32" s="27" t="s">
        <v>201</v>
      </c>
      <c r="C32" s="27">
        <v>34000</v>
      </c>
      <c r="D32" s="27" t="s">
        <v>1814</v>
      </c>
      <c r="E32" s="27"/>
    </row>
    <row r="33" spans="1:5" ht="15" customHeight="1" x14ac:dyDescent="0.25">
      <c r="A33" s="27" t="s">
        <v>1815</v>
      </c>
      <c r="B33" s="27" t="s">
        <v>89</v>
      </c>
      <c r="C33" s="27">
        <v>35000</v>
      </c>
      <c r="D33" s="27" t="s">
        <v>1814</v>
      </c>
      <c r="E33" s="27"/>
    </row>
    <row r="34" spans="1:5" ht="15" customHeight="1" x14ac:dyDescent="0.25">
      <c r="C34" s="50"/>
      <c r="E34" s="74"/>
    </row>
    <row r="35" spans="1:5" ht="15" customHeight="1" x14ac:dyDescent="0.25">
      <c r="C35" s="50"/>
      <c r="E35" s="74"/>
    </row>
    <row r="36" spans="1:5" ht="15" customHeight="1" x14ac:dyDescent="0.25">
      <c r="C36" s="50"/>
      <c r="E36" s="74"/>
    </row>
    <row r="37" spans="1:5" ht="15" customHeight="1" x14ac:dyDescent="0.25">
      <c r="C37" s="50"/>
      <c r="E37" s="74"/>
    </row>
    <row r="38" spans="1:5" ht="15" customHeight="1" x14ac:dyDescent="0.25">
      <c r="C38" s="50"/>
      <c r="E38" s="74"/>
    </row>
    <row r="39" spans="1:5" ht="15" customHeight="1" x14ac:dyDescent="0.25">
      <c r="C39" s="50"/>
      <c r="E39" s="74"/>
    </row>
    <row r="40" spans="1:5" ht="15" customHeight="1" x14ac:dyDescent="0.25">
      <c r="C40" s="50"/>
      <c r="E40" s="74"/>
    </row>
    <row r="41" spans="1:5" ht="15" customHeight="1" x14ac:dyDescent="0.25">
      <c r="C41" s="50"/>
      <c r="E41" s="74"/>
    </row>
    <row r="42" spans="1:5" ht="15" customHeight="1" x14ac:dyDescent="0.25">
      <c r="C42" s="50"/>
      <c r="E42" s="74"/>
    </row>
    <row r="43" spans="1:5" ht="15" customHeight="1" x14ac:dyDescent="0.25">
      <c r="C43" s="50"/>
      <c r="E43" s="74"/>
    </row>
    <row r="44" spans="1:5" ht="15" customHeight="1" x14ac:dyDescent="0.25">
      <c r="C44" s="50"/>
      <c r="E44" s="74"/>
    </row>
    <row r="45" spans="1:5" ht="15" customHeight="1" x14ac:dyDescent="0.25">
      <c r="C45" s="50"/>
      <c r="E45" s="74"/>
    </row>
    <row r="46" spans="1:5" ht="15" customHeight="1" x14ac:dyDescent="0.25">
      <c r="C46" s="50"/>
      <c r="E46" s="74"/>
    </row>
    <row r="47" spans="1:5" ht="15" customHeight="1" x14ac:dyDescent="0.25">
      <c r="C47" s="50"/>
      <c r="E47" s="74"/>
    </row>
    <row r="48" spans="1:5" ht="15" customHeight="1" x14ac:dyDescent="0.25">
      <c r="C48" s="50"/>
      <c r="E48" s="74"/>
    </row>
    <row r="49" spans="3:5" ht="15" customHeight="1" x14ac:dyDescent="0.25">
      <c r="C49" s="50"/>
      <c r="E49" s="74"/>
    </row>
    <row r="50" spans="3:5" ht="15" customHeight="1" x14ac:dyDescent="0.25">
      <c r="C50" s="50"/>
      <c r="E50" s="74"/>
    </row>
    <row r="51" spans="3:5" ht="15" customHeight="1" x14ac:dyDescent="0.25">
      <c r="C51" s="50"/>
      <c r="E51" s="74"/>
    </row>
    <row r="52" spans="3:5" ht="15" customHeight="1" x14ac:dyDescent="0.25">
      <c r="C52" s="50"/>
      <c r="E52" s="74"/>
    </row>
    <row r="53" spans="3:5" ht="15" customHeight="1" x14ac:dyDescent="0.25">
      <c r="C53" s="50"/>
      <c r="E53" s="74"/>
    </row>
    <row r="54" spans="3:5" ht="15" customHeight="1" x14ac:dyDescent="0.25">
      <c r="C54" s="50"/>
      <c r="E54" s="74"/>
    </row>
    <row r="55" spans="3:5" ht="15" customHeight="1" x14ac:dyDescent="0.25">
      <c r="C55" s="50"/>
      <c r="E55" s="74"/>
    </row>
    <row r="56" spans="3:5" ht="15" customHeight="1" x14ac:dyDescent="0.25">
      <c r="C56" s="50"/>
      <c r="E56" s="74"/>
    </row>
    <row r="57" spans="3:5" ht="15" customHeight="1" x14ac:dyDescent="0.25">
      <c r="C57" s="50"/>
      <c r="E57" s="74"/>
    </row>
    <row r="58" spans="3:5" ht="15" customHeight="1" x14ac:dyDescent="0.25">
      <c r="C58" s="50"/>
      <c r="E58" s="74"/>
    </row>
    <row r="59" spans="3:5" ht="15" customHeight="1" x14ac:dyDescent="0.25">
      <c r="C59" s="50"/>
      <c r="E59" s="74"/>
    </row>
    <row r="60" spans="3:5" ht="15" customHeight="1" x14ac:dyDescent="0.25">
      <c r="C60" s="50"/>
      <c r="E60" s="74"/>
    </row>
    <row r="61" spans="3:5" ht="15" customHeight="1" x14ac:dyDescent="0.25">
      <c r="C61" s="50"/>
      <c r="E61" s="74"/>
    </row>
    <row r="62" spans="3:5" ht="15" customHeight="1" x14ac:dyDescent="0.25">
      <c r="C62" s="50"/>
      <c r="E62" s="74"/>
    </row>
    <row r="63" spans="3:5" ht="15" customHeight="1" x14ac:dyDescent="0.25">
      <c r="C63" s="50"/>
      <c r="E63" s="74"/>
    </row>
    <row r="64" spans="3:5" ht="15" customHeight="1" x14ac:dyDescent="0.25">
      <c r="C64" s="50"/>
      <c r="E64" s="74"/>
    </row>
    <row r="65" spans="3:5" ht="15" customHeight="1" x14ac:dyDescent="0.25">
      <c r="C65" s="50"/>
      <c r="E65" s="74"/>
    </row>
    <row r="66" spans="3:5" ht="15" customHeight="1" x14ac:dyDescent="0.25">
      <c r="C66" s="50"/>
      <c r="E66" s="74"/>
    </row>
    <row r="67" spans="3:5" ht="15" customHeight="1" x14ac:dyDescent="0.25">
      <c r="C67" s="50"/>
      <c r="E67" s="74"/>
    </row>
    <row r="68" spans="3:5" ht="15" customHeight="1" x14ac:dyDescent="0.25">
      <c r="C68" s="50"/>
      <c r="E68" s="74"/>
    </row>
    <row r="69" spans="3:5" ht="15" customHeight="1" x14ac:dyDescent="0.25">
      <c r="C69" s="50"/>
      <c r="E69" s="74"/>
    </row>
    <row r="70" spans="3:5" ht="15" customHeight="1" x14ac:dyDescent="0.25">
      <c r="C70" s="50"/>
      <c r="E70" s="74"/>
    </row>
    <row r="71" spans="3:5" ht="15" customHeight="1" x14ac:dyDescent="0.25">
      <c r="C71" s="50"/>
      <c r="E71" s="74"/>
    </row>
    <row r="72" spans="3:5" ht="15" customHeight="1" x14ac:dyDescent="0.25">
      <c r="C72" s="50"/>
      <c r="E72" s="74"/>
    </row>
    <row r="73" spans="3:5" ht="15" customHeight="1" x14ac:dyDescent="0.25">
      <c r="C73" s="50"/>
      <c r="E73" s="74"/>
    </row>
    <row r="74" spans="3:5" ht="15" customHeight="1" x14ac:dyDescent="0.25">
      <c r="C74" s="50"/>
      <c r="E74" s="74"/>
    </row>
    <row r="75" spans="3:5" ht="15" customHeight="1" x14ac:dyDescent="0.25">
      <c r="C75" s="50"/>
      <c r="E75" s="74"/>
    </row>
    <row r="76" spans="3:5" ht="15" customHeight="1" x14ac:dyDescent="0.25">
      <c r="C76" s="50"/>
      <c r="E76" s="74"/>
    </row>
    <row r="77" spans="3:5" ht="15" customHeight="1" x14ac:dyDescent="0.25">
      <c r="C77" s="50"/>
      <c r="E77" s="74"/>
    </row>
    <row r="78" spans="3:5" ht="15" customHeight="1" x14ac:dyDescent="0.25">
      <c r="C78" s="50"/>
      <c r="E78" s="74"/>
    </row>
    <row r="79" spans="3:5" ht="15" customHeight="1" x14ac:dyDescent="0.25">
      <c r="C79" s="50"/>
      <c r="E79" s="74"/>
    </row>
    <row r="80" spans="3:5" ht="15" customHeight="1" x14ac:dyDescent="0.25">
      <c r="C80" s="50"/>
      <c r="E80" s="74"/>
    </row>
    <row r="81" spans="3:5" ht="15" customHeight="1" x14ac:dyDescent="0.25">
      <c r="C81" s="50"/>
      <c r="E81" s="74"/>
    </row>
    <row r="82" spans="3:5" ht="15" customHeight="1" x14ac:dyDescent="0.25">
      <c r="C82" s="50"/>
      <c r="E82" s="74"/>
    </row>
    <row r="83" spans="3:5" ht="15" customHeight="1" x14ac:dyDescent="0.25">
      <c r="C83" s="50"/>
      <c r="E83" s="74"/>
    </row>
    <row r="84" spans="3:5" ht="15" customHeight="1" x14ac:dyDescent="0.25">
      <c r="C84" s="50"/>
      <c r="E84" s="74"/>
    </row>
    <row r="85" spans="3:5" ht="15" customHeight="1" x14ac:dyDescent="0.25">
      <c r="C85" s="50"/>
      <c r="E85" s="74"/>
    </row>
    <row r="86" spans="3:5" ht="15" customHeight="1" x14ac:dyDescent="0.25">
      <c r="C86" s="50"/>
      <c r="E86" s="74"/>
    </row>
    <row r="87" spans="3:5" ht="15" customHeight="1" x14ac:dyDescent="0.25">
      <c r="C87" s="50"/>
      <c r="E87" s="74"/>
    </row>
    <row r="88" spans="3:5" ht="15" customHeight="1" x14ac:dyDescent="0.25">
      <c r="C88" s="50"/>
      <c r="E88" s="74"/>
    </row>
    <row r="89" spans="3:5" ht="15" customHeight="1" x14ac:dyDescent="0.25">
      <c r="C89" s="50"/>
      <c r="E89" s="74"/>
    </row>
    <row r="90" spans="3:5" ht="15" customHeight="1" x14ac:dyDescent="0.25">
      <c r="C90" s="50"/>
      <c r="E90" s="74"/>
    </row>
    <row r="91" spans="3:5" ht="15" customHeight="1" x14ac:dyDescent="0.25">
      <c r="C91" s="50"/>
      <c r="E91" s="74"/>
    </row>
    <row r="92" spans="3:5" ht="15" customHeight="1" x14ac:dyDescent="0.25">
      <c r="C92" s="50"/>
      <c r="E92" s="74"/>
    </row>
    <row r="93" spans="3:5" ht="15" customHeight="1" x14ac:dyDescent="0.25">
      <c r="C93" s="50"/>
      <c r="E93" s="74"/>
    </row>
    <row r="94" spans="3:5" ht="15" customHeight="1" x14ac:dyDescent="0.25">
      <c r="C94" s="50"/>
      <c r="E94" s="74"/>
    </row>
    <row r="95" spans="3:5" ht="15" customHeight="1" x14ac:dyDescent="0.25">
      <c r="C95" s="50"/>
      <c r="E95" s="74"/>
    </row>
    <row r="96" spans="3:5" ht="15" customHeight="1" x14ac:dyDescent="0.25">
      <c r="C96" s="50"/>
      <c r="E96" s="74"/>
    </row>
    <row r="97" spans="3:5" ht="15" customHeight="1" x14ac:dyDescent="0.25">
      <c r="C97" s="50"/>
      <c r="E97" s="74"/>
    </row>
    <row r="98" spans="3:5" ht="15" customHeight="1" x14ac:dyDescent="0.25">
      <c r="C98" s="50"/>
      <c r="E98" s="74"/>
    </row>
    <row r="99" spans="3:5" ht="15" customHeight="1" x14ac:dyDescent="0.25">
      <c r="C99" s="50"/>
      <c r="E99" s="74"/>
    </row>
    <row r="100" spans="3:5" ht="15" customHeight="1" x14ac:dyDescent="0.25">
      <c r="C100" s="50"/>
      <c r="E100" s="74"/>
    </row>
    <row r="101" spans="3:5" ht="15" customHeight="1" x14ac:dyDescent="0.25">
      <c r="C101" s="50"/>
      <c r="E101" s="74"/>
    </row>
    <row r="102" spans="3:5" ht="15" customHeight="1" x14ac:dyDescent="0.25">
      <c r="C102" s="50"/>
      <c r="E102" s="74"/>
    </row>
    <row r="103" spans="3:5" ht="15" customHeight="1" x14ac:dyDescent="0.25">
      <c r="C103" s="50"/>
      <c r="E103" s="74"/>
    </row>
    <row r="104" spans="3:5" ht="15" customHeight="1" x14ac:dyDescent="0.25">
      <c r="C104" s="50"/>
      <c r="E104" s="74"/>
    </row>
    <row r="105" spans="3:5" ht="15" customHeight="1" x14ac:dyDescent="0.25">
      <c r="C105" s="50"/>
      <c r="E105" s="74"/>
    </row>
    <row r="106" spans="3:5" ht="15" customHeight="1" x14ac:dyDescent="0.25">
      <c r="C106" s="50"/>
      <c r="E106" s="74"/>
    </row>
    <row r="107" spans="3:5" ht="15" customHeight="1" x14ac:dyDescent="0.25">
      <c r="C107" s="50"/>
      <c r="E107" s="74"/>
    </row>
    <row r="108" spans="3:5" ht="15" customHeight="1" x14ac:dyDescent="0.25">
      <c r="C108" s="50"/>
      <c r="E108" s="74"/>
    </row>
    <row r="109" spans="3:5" ht="15" customHeight="1" x14ac:dyDescent="0.25">
      <c r="C109" s="50"/>
      <c r="E109" s="74"/>
    </row>
    <row r="110" spans="3:5" ht="15" customHeight="1" x14ac:dyDescent="0.25">
      <c r="C110" s="50"/>
      <c r="E110" s="74"/>
    </row>
    <row r="111" spans="3:5" ht="15" customHeight="1" x14ac:dyDescent="0.25">
      <c r="C111" s="50"/>
      <c r="E111" s="74"/>
    </row>
    <row r="112" spans="3:5" ht="15" customHeight="1" x14ac:dyDescent="0.25">
      <c r="C112" s="50"/>
      <c r="E112" s="74"/>
    </row>
    <row r="113" spans="3:5" ht="15" customHeight="1" x14ac:dyDescent="0.25">
      <c r="C113" s="50"/>
      <c r="E113" s="74"/>
    </row>
    <row r="114" spans="3:5" ht="15" customHeight="1" x14ac:dyDescent="0.25">
      <c r="C114" s="50"/>
      <c r="E114" s="74"/>
    </row>
    <row r="115" spans="3:5" ht="15" customHeight="1" x14ac:dyDescent="0.25">
      <c r="C115" s="50"/>
      <c r="E115" s="74"/>
    </row>
    <row r="116" spans="3:5" ht="15" customHeight="1" x14ac:dyDescent="0.25">
      <c r="C116" s="50"/>
      <c r="E116" s="74"/>
    </row>
    <row r="117" spans="3:5" ht="15" customHeight="1" x14ac:dyDescent="0.25">
      <c r="C117" s="50"/>
      <c r="E117" s="74"/>
    </row>
    <row r="118" spans="3:5" ht="15" customHeight="1" x14ac:dyDescent="0.25">
      <c r="C118" s="50"/>
      <c r="E118" s="74"/>
    </row>
    <row r="119" spans="3:5" ht="15" customHeight="1" x14ac:dyDescent="0.25">
      <c r="C119" s="50"/>
      <c r="E119" s="74"/>
    </row>
    <row r="120" spans="3:5" ht="15" customHeight="1" x14ac:dyDescent="0.25">
      <c r="C120" s="50"/>
      <c r="E120" s="74"/>
    </row>
    <row r="121" spans="3:5" ht="15" customHeight="1" x14ac:dyDescent="0.25">
      <c r="C121" s="50"/>
      <c r="E121" s="74"/>
    </row>
    <row r="122" spans="3:5" ht="15" customHeight="1" x14ac:dyDescent="0.25">
      <c r="C122" s="50"/>
      <c r="E122" s="74"/>
    </row>
    <row r="123" spans="3:5" ht="15" customHeight="1" x14ac:dyDescent="0.25">
      <c r="C123" s="50"/>
      <c r="E123" s="74"/>
    </row>
    <row r="124" spans="3:5" ht="15" customHeight="1" x14ac:dyDescent="0.25">
      <c r="C124" s="50"/>
      <c r="E124" s="74"/>
    </row>
    <row r="125" spans="3:5" ht="15" customHeight="1" x14ac:dyDescent="0.25">
      <c r="C125" s="50"/>
      <c r="E125" s="74"/>
    </row>
    <row r="126" spans="3:5" ht="15" customHeight="1" x14ac:dyDescent="0.25">
      <c r="C126" s="50"/>
      <c r="E126" s="74"/>
    </row>
    <row r="127" spans="3:5" ht="15" customHeight="1" x14ac:dyDescent="0.25">
      <c r="C127" s="50"/>
      <c r="E127" s="74"/>
    </row>
    <row r="128" spans="3:5" ht="15" customHeight="1" x14ac:dyDescent="0.25">
      <c r="C128" s="50"/>
      <c r="E128" s="74"/>
    </row>
    <row r="129" spans="3:5" ht="15" customHeight="1" x14ac:dyDescent="0.25">
      <c r="C129" s="50"/>
      <c r="E129" s="74"/>
    </row>
    <row r="130" spans="3:5" ht="15" customHeight="1" x14ac:dyDescent="0.25">
      <c r="C130" s="50"/>
      <c r="E130" s="74"/>
    </row>
    <row r="131" spans="3:5" ht="15" customHeight="1" x14ac:dyDescent="0.25">
      <c r="C131" s="50"/>
      <c r="E131" s="74"/>
    </row>
    <row r="132" spans="3:5" ht="15" customHeight="1" x14ac:dyDescent="0.25">
      <c r="C132" s="50"/>
      <c r="E132" s="74"/>
    </row>
    <row r="133" spans="3:5" ht="15" customHeight="1" x14ac:dyDescent="0.25">
      <c r="C133" s="50"/>
      <c r="E133" s="74"/>
    </row>
    <row r="134" spans="3:5" ht="15" customHeight="1" x14ac:dyDescent="0.25">
      <c r="C134" s="50"/>
      <c r="E134" s="74"/>
    </row>
    <row r="135" spans="3:5" ht="15" customHeight="1" x14ac:dyDescent="0.25">
      <c r="C135" s="50"/>
      <c r="E135" s="74"/>
    </row>
    <row r="136" spans="3:5" ht="15" customHeight="1" x14ac:dyDescent="0.25">
      <c r="C136" s="50"/>
      <c r="E136" s="74"/>
    </row>
    <row r="137" spans="3:5" ht="15" customHeight="1" x14ac:dyDescent="0.25">
      <c r="C137" s="50"/>
      <c r="E137" s="74"/>
    </row>
    <row r="138" spans="3:5" ht="15" customHeight="1" x14ac:dyDescent="0.25">
      <c r="C138" s="50"/>
      <c r="E138" s="74"/>
    </row>
    <row r="139" spans="3:5" ht="15" customHeight="1" x14ac:dyDescent="0.25">
      <c r="C139" s="50"/>
      <c r="E139" s="74"/>
    </row>
    <row r="140" spans="3:5" ht="15" customHeight="1" x14ac:dyDescent="0.25">
      <c r="C140" s="50"/>
      <c r="E140" s="74"/>
    </row>
    <row r="141" spans="3:5" ht="15" customHeight="1" x14ac:dyDescent="0.25">
      <c r="C141" s="50"/>
      <c r="E141" s="74"/>
    </row>
    <row r="142" spans="3:5" ht="15" customHeight="1" x14ac:dyDescent="0.25">
      <c r="C142" s="50"/>
      <c r="E142" s="74"/>
    </row>
    <row r="143" spans="3:5" ht="15" customHeight="1" x14ac:dyDescent="0.25">
      <c r="C143" s="50"/>
      <c r="E143" s="74"/>
    </row>
    <row r="144" spans="3:5" ht="15" customHeight="1" x14ac:dyDescent="0.25">
      <c r="C144" s="50"/>
      <c r="E144" s="74"/>
    </row>
    <row r="145" spans="3:5" ht="15" customHeight="1" x14ac:dyDescent="0.25">
      <c r="C145" s="50"/>
      <c r="E145" s="74"/>
    </row>
    <row r="146" spans="3:5" ht="15" customHeight="1" x14ac:dyDescent="0.25">
      <c r="C146" s="50"/>
      <c r="E146" s="74"/>
    </row>
    <row r="147" spans="3:5" ht="15" customHeight="1" x14ac:dyDescent="0.25">
      <c r="C147" s="50"/>
      <c r="E147" s="74"/>
    </row>
    <row r="148" spans="3:5" ht="15" customHeight="1" x14ac:dyDescent="0.25">
      <c r="C148" s="50"/>
      <c r="E148" s="74"/>
    </row>
    <row r="149" spans="3:5" ht="15" customHeight="1" x14ac:dyDescent="0.25">
      <c r="C149" s="50"/>
      <c r="E149" s="74"/>
    </row>
    <row r="150" spans="3:5" ht="15" customHeight="1" x14ac:dyDescent="0.25">
      <c r="C150" s="50"/>
      <c r="E150" s="74"/>
    </row>
    <row r="151" spans="3:5" ht="15" customHeight="1" x14ac:dyDescent="0.25">
      <c r="C151" s="50"/>
      <c r="E151" s="74"/>
    </row>
    <row r="152" spans="3:5" ht="15" customHeight="1" x14ac:dyDescent="0.25">
      <c r="C152" s="50"/>
      <c r="E152" s="74"/>
    </row>
    <row r="153" spans="3:5" ht="15" customHeight="1" x14ac:dyDescent="0.25">
      <c r="C153" s="50"/>
      <c r="E153" s="74"/>
    </row>
    <row r="154" spans="3:5" ht="15" customHeight="1" x14ac:dyDescent="0.25">
      <c r="C154" s="50"/>
      <c r="E154" s="74"/>
    </row>
    <row r="155" spans="3:5" ht="15" customHeight="1" x14ac:dyDescent="0.25">
      <c r="C155" s="50"/>
      <c r="E155" s="74"/>
    </row>
    <row r="156" spans="3:5" ht="15" customHeight="1" x14ac:dyDescent="0.25">
      <c r="C156" s="50"/>
      <c r="E156" s="74"/>
    </row>
    <row r="157" spans="3:5" ht="15" customHeight="1" x14ac:dyDescent="0.25">
      <c r="C157" s="50"/>
      <c r="E157" s="74"/>
    </row>
    <row r="158" spans="3:5" ht="15" customHeight="1" x14ac:dyDescent="0.25">
      <c r="C158" s="50"/>
      <c r="E158" s="74"/>
    </row>
    <row r="159" spans="3:5" ht="15" customHeight="1" x14ac:dyDescent="0.25">
      <c r="C159" s="50"/>
      <c r="E159" s="74"/>
    </row>
    <row r="160" spans="3:5" ht="15" customHeight="1" x14ac:dyDescent="0.25">
      <c r="C160" s="50"/>
      <c r="E160" s="74"/>
    </row>
    <row r="161" spans="3:5" ht="15" customHeight="1" x14ac:dyDescent="0.25">
      <c r="C161" s="50"/>
      <c r="E161" s="74"/>
    </row>
    <row r="162" spans="3:5" ht="15" customHeight="1" x14ac:dyDescent="0.25">
      <c r="C162" s="50"/>
      <c r="E162" s="74"/>
    </row>
    <row r="163" spans="3:5" ht="15" customHeight="1" x14ac:dyDescent="0.25">
      <c r="C163" s="50"/>
      <c r="E163" s="74"/>
    </row>
    <row r="164" spans="3:5" ht="15" customHeight="1" x14ac:dyDescent="0.25">
      <c r="C164" s="50"/>
      <c r="E164" s="74"/>
    </row>
    <row r="165" spans="3:5" ht="15" customHeight="1" x14ac:dyDescent="0.25">
      <c r="C165" s="50"/>
      <c r="E165" s="74"/>
    </row>
    <row r="166" spans="3:5" ht="15" customHeight="1" x14ac:dyDescent="0.25">
      <c r="C166" s="50"/>
      <c r="E166" s="74"/>
    </row>
    <row r="167" spans="3:5" ht="15" customHeight="1" x14ac:dyDescent="0.25">
      <c r="C167" s="50"/>
      <c r="E167" s="74"/>
    </row>
    <row r="168" spans="3:5" ht="15" customHeight="1" x14ac:dyDescent="0.25">
      <c r="C168" s="50"/>
      <c r="E168" s="74"/>
    </row>
    <row r="169" spans="3:5" ht="15" customHeight="1" x14ac:dyDescent="0.25">
      <c r="C169" s="50"/>
      <c r="E169" s="74"/>
    </row>
    <row r="170" spans="3:5" ht="15" customHeight="1" x14ac:dyDescent="0.25">
      <c r="C170" s="50"/>
      <c r="E170" s="74"/>
    </row>
    <row r="171" spans="3:5" ht="15" customHeight="1" x14ac:dyDescent="0.25">
      <c r="C171" s="50"/>
      <c r="E171" s="74"/>
    </row>
    <row r="172" spans="3:5" ht="15" customHeight="1" x14ac:dyDescent="0.25">
      <c r="C172" s="50"/>
      <c r="E172" s="74"/>
    </row>
    <row r="173" spans="3:5" ht="15" customHeight="1" x14ac:dyDescent="0.25">
      <c r="C173" s="50"/>
      <c r="E173" s="74"/>
    </row>
    <row r="174" spans="3:5" ht="15" customHeight="1" x14ac:dyDescent="0.25">
      <c r="C174" s="50"/>
      <c r="E174" s="74"/>
    </row>
    <row r="175" spans="3:5" ht="15" customHeight="1" x14ac:dyDescent="0.25">
      <c r="C175" s="50"/>
      <c r="E175" s="74"/>
    </row>
    <row r="176" spans="3:5" ht="15" customHeight="1" x14ac:dyDescent="0.25">
      <c r="C176" s="50"/>
      <c r="E176" s="74"/>
    </row>
    <row r="177" spans="3:5" ht="15" customHeight="1" x14ac:dyDescent="0.25">
      <c r="C177" s="50"/>
      <c r="E177" s="74"/>
    </row>
    <row r="178" spans="3:5" ht="15" customHeight="1" x14ac:dyDescent="0.25">
      <c r="C178" s="50"/>
      <c r="E178" s="74"/>
    </row>
    <row r="179" spans="3:5" ht="15" customHeight="1" x14ac:dyDescent="0.25">
      <c r="C179" s="50"/>
      <c r="E179" s="74"/>
    </row>
    <row r="180" spans="3:5" ht="15" customHeight="1" x14ac:dyDescent="0.25">
      <c r="C180" s="50"/>
      <c r="E180" s="74"/>
    </row>
    <row r="181" spans="3:5" ht="15" customHeight="1" x14ac:dyDescent="0.25">
      <c r="C181" s="50"/>
      <c r="E181" s="74"/>
    </row>
    <row r="182" spans="3:5" ht="15" customHeight="1" x14ac:dyDescent="0.25">
      <c r="C182" s="50"/>
      <c r="E182" s="74"/>
    </row>
    <row r="183" spans="3:5" ht="15" customHeight="1" x14ac:dyDescent="0.25">
      <c r="C183" s="50"/>
      <c r="E183" s="74"/>
    </row>
    <row r="184" spans="3:5" ht="15" customHeight="1" x14ac:dyDescent="0.25">
      <c r="C184" s="50"/>
      <c r="E184" s="74"/>
    </row>
    <row r="185" spans="3:5" ht="15" customHeight="1" x14ac:dyDescent="0.25">
      <c r="C185" s="50"/>
      <c r="E185" s="74"/>
    </row>
    <row r="186" spans="3:5" ht="15" customHeight="1" x14ac:dyDescent="0.25">
      <c r="C186" s="50"/>
      <c r="E186" s="74"/>
    </row>
    <row r="187" spans="3:5" ht="15" customHeight="1" x14ac:dyDescent="0.25">
      <c r="C187" s="50"/>
      <c r="E187" s="74"/>
    </row>
    <row r="188" spans="3:5" ht="15" customHeight="1" x14ac:dyDescent="0.25">
      <c r="C188" s="50"/>
      <c r="E188" s="74"/>
    </row>
    <row r="189" spans="3:5" ht="15" customHeight="1" x14ac:dyDescent="0.25">
      <c r="C189" s="50"/>
      <c r="E189" s="74"/>
    </row>
    <row r="190" spans="3:5" ht="15" customHeight="1" x14ac:dyDescent="0.25">
      <c r="C190" s="50"/>
      <c r="E190" s="74"/>
    </row>
    <row r="191" spans="3:5" ht="15" customHeight="1" x14ac:dyDescent="0.25">
      <c r="C191" s="50"/>
      <c r="E191" s="74"/>
    </row>
    <row r="192" spans="3:5" ht="15" customHeight="1" x14ac:dyDescent="0.25">
      <c r="C192" s="50"/>
      <c r="E192" s="74"/>
    </row>
    <row r="193" spans="3:5" ht="15" customHeight="1" x14ac:dyDescent="0.25">
      <c r="C193" s="50"/>
      <c r="E193" s="74"/>
    </row>
    <row r="194" spans="3:5" ht="15" customHeight="1" x14ac:dyDescent="0.25">
      <c r="C194" s="50"/>
      <c r="E194" s="74"/>
    </row>
    <row r="195" spans="3:5" ht="15" customHeight="1" x14ac:dyDescent="0.25">
      <c r="C195" s="50"/>
      <c r="E195" s="74"/>
    </row>
    <row r="196" spans="3:5" ht="15" customHeight="1" x14ac:dyDescent="0.25">
      <c r="C196" s="50"/>
      <c r="E196" s="74"/>
    </row>
    <row r="197" spans="3:5" ht="15" customHeight="1" x14ac:dyDescent="0.25">
      <c r="C197" s="50"/>
      <c r="E197" s="74"/>
    </row>
    <row r="198" spans="3:5" ht="15" customHeight="1" x14ac:dyDescent="0.25">
      <c r="C198" s="50"/>
      <c r="E198" s="74"/>
    </row>
    <row r="199" spans="3:5" ht="15" customHeight="1" x14ac:dyDescent="0.25">
      <c r="C199" s="50"/>
      <c r="E199" s="74"/>
    </row>
    <row r="200" spans="3:5" ht="15" customHeight="1" x14ac:dyDescent="0.25">
      <c r="C200" s="50"/>
      <c r="E200" s="74"/>
    </row>
    <row r="201" spans="3:5" ht="15" customHeight="1" x14ac:dyDescent="0.25">
      <c r="C201" s="50"/>
      <c r="E201" s="74"/>
    </row>
    <row r="202" spans="3:5" ht="15" customHeight="1" x14ac:dyDescent="0.25">
      <c r="C202" s="50"/>
      <c r="E202" s="74"/>
    </row>
    <row r="203" spans="3:5" ht="15" customHeight="1" x14ac:dyDescent="0.25">
      <c r="C203" s="50"/>
      <c r="E203" s="74"/>
    </row>
    <row r="204" spans="3:5" ht="15" customHeight="1" x14ac:dyDescent="0.25">
      <c r="C204" s="50"/>
      <c r="E204" s="74"/>
    </row>
    <row r="205" spans="3:5" ht="15" customHeight="1" x14ac:dyDescent="0.25">
      <c r="C205" s="50"/>
      <c r="E205" s="74"/>
    </row>
    <row r="206" spans="3:5" ht="15" customHeight="1" x14ac:dyDescent="0.25">
      <c r="C206" s="50"/>
      <c r="E206" s="74"/>
    </row>
    <row r="207" spans="3:5" ht="15" customHeight="1" x14ac:dyDescent="0.25">
      <c r="C207" s="50"/>
      <c r="E207" s="74"/>
    </row>
    <row r="208" spans="3:5" ht="15" customHeight="1" x14ac:dyDescent="0.25">
      <c r="C208" s="50"/>
      <c r="E208" s="74"/>
    </row>
    <row r="209" spans="3:5" ht="15" customHeight="1" x14ac:dyDescent="0.25">
      <c r="C209" s="50"/>
      <c r="E209" s="74"/>
    </row>
    <row r="210" spans="3:5" ht="15" customHeight="1" x14ac:dyDescent="0.25">
      <c r="C210" s="50"/>
      <c r="E210" s="74"/>
    </row>
    <row r="211" spans="3:5" ht="15" customHeight="1" x14ac:dyDescent="0.25">
      <c r="C211" s="50"/>
      <c r="E211" s="74"/>
    </row>
    <row r="212" spans="3:5" ht="15" customHeight="1" x14ac:dyDescent="0.25">
      <c r="C212" s="50"/>
      <c r="E212" s="74"/>
    </row>
    <row r="213" spans="3:5" ht="15" customHeight="1" x14ac:dyDescent="0.25">
      <c r="C213" s="50"/>
      <c r="E213" s="74"/>
    </row>
    <row r="214" spans="3:5" ht="15" customHeight="1" x14ac:dyDescent="0.25">
      <c r="C214" s="50"/>
      <c r="E214" s="74"/>
    </row>
    <row r="215" spans="3:5" ht="15" customHeight="1" x14ac:dyDescent="0.25">
      <c r="C215" s="50"/>
      <c r="E215" s="74"/>
    </row>
    <row r="216" spans="3:5" ht="15" customHeight="1" x14ac:dyDescent="0.25">
      <c r="C216" s="50"/>
      <c r="E216" s="74"/>
    </row>
    <row r="217" spans="3:5" ht="15" customHeight="1" x14ac:dyDescent="0.25">
      <c r="C217" s="50"/>
      <c r="E217" s="74"/>
    </row>
    <row r="218" spans="3:5" ht="15" customHeight="1" x14ac:dyDescent="0.25">
      <c r="C218" s="50"/>
      <c r="E218" s="74"/>
    </row>
    <row r="219" spans="3:5" ht="15" customHeight="1" x14ac:dyDescent="0.25">
      <c r="C219" s="50"/>
      <c r="E219" s="74"/>
    </row>
    <row r="220" spans="3:5" ht="15" customHeight="1" x14ac:dyDescent="0.25">
      <c r="C220" s="50"/>
      <c r="E220" s="74"/>
    </row>
    <row r="221" spans="3:5" ht="15" customHeight="1" x14ac:dyDescent="0.25">
      <c r="C221" s="50"/>
      <c r="E221" s="74"/>
    </row>
    <row r="222" spans="3:5" ht="15" customHeight="1" x14ac:dyDescent="0.25">
      <c r="C222" s="50"/>
      <c r="E222" s="74"/>
    </row>
    <row r="223" spans="3:5" ht="15" customHeight="1" x14ac:dyDescent="0.25">
      <c r="C223" s="50"/>
      <c r="E223" s="74"/>
    </row>
    <row r="224" spans="3:5" ht="15" customHeight="1" x14ac:dyDescent="0.25">
      <c r="C224" s="50"/>
      <c r="E224" s="74"/>
    </row>
    <row r="225" spans="3:5" ht="15" customHeight="1" x14ac:dyDescent="0.25">
      <c r="C225" s="50"/>
      <c r="E225" s="74"/>
    </row>
    <row r="226" spans="3:5" ht="15" customHeight="1" x14ac:dyDescent="0.25">
      <c r="C226" s="50"/>
      <c r="E226" s="74"/>
    </row>
    <row r="227" spans="3:5" ht="15" customHeight="1" x14ac:dyDescent="0.25">
      <c r="C227" s="50"/>
      <c r="E227" s="74"/>
    </row>
    <row r="228" spans="3:5" ht="15" customHeight="1" x14ac:dyDescent="0.25">
      <c r="C228" s="50"/>
      <c r="E228" s="74"/>
    </row>
    <row r="229" spans="3:5" ht="15" customHeight="1" x14ac:dyDescent="0.25">
      <c r="C229" s="50"/>
      <c r="E229" s="74"/>
    </row>
    <row r="230" spans="3:5" ht="15" customHeight="1" x14ac:dyDescent="0.25">
      <c r="C230" s="50"/>
      <c r="E230" s="74"/>
    </row>
    <row r="231" spans="3:5" ht="15" customHeight="1" x14ac:dyDescent="0.25">
      <c r="C231" s="50"/>
      <c r="E231" s="74"/>
    </row>
    <row r="232" spans="3:5" ht="15" customHeight="1" x14ac:dyDescent="0.25">
      <c r="C232" s="50"/>
      <c r="E232" s="74"/>
    </row>
    <row r="233" spans="3:5" ht="15" customHeight="1" x14ac:dyDescent="0.25">
      <c r="C233" s="50"/>
      <c r="E233" s="74"/>
    </row>
    <row r="234" spans="3:5" ht="15" customHeight="1" x14ac:dyDescent="0.25">
      <c r="C234" s="50"/>
      <c r="E234" s="74"/>
    </row>
    <row r="235" spans="3:5" ht="15" customHeight="1" x14ac:dyDescent="0.25">
      <c r="C235" s="50"/>
      <c r="E235" s="74"/>
    </row>
    <row r="236" spans="3:5" ht="15" customHeight="1" x14ac:dyDescent="0.25">
      <c r="C236" s="50"/>
      <c r="E236" s="74"/>
    </row>
    <row r="237" spans="3:5" ht="15" customHeight="1" x14ac:dyDescent="0.25">
      <c r="C237" s="50"/>
      <c r="E237" s="74"/>
    </row>
    <row r="238" spans="3:5" ht="15" customHeight="1" x14ac:dyDescent="0.25">
      <c r="C238" s="50"/>
      <c r="E238" s="74"/>
    </row>
    <row r="239" spans="3:5" ht="15" customHeight="1" x14ac:dyDescent="0.25">
      <c r="C239" s="50"/>
      <c r="E239" s="74"/>
    </row>
    <row r="240" spans="3:5" ht="15" customHeight="1" x14ac:dyDescent="0.25">
      <c r="C240" s="50"/>
      <c r="E240" s="74"/>
    </row>
    <row r="241" spans="3:5" ht="15" customHeight="1" x14ac:dyDescent="0.25">
      <c r="C241" s="50"/>
      <c r="E241" s="74"/>
    </row>
    <row r="242" spans="3:5" ht="15" customHeight="1" x14ac:dyDescent="0.25">
      <c r="C242" s="50"/>
      <c r="E242" s="74"/>
    </row>
    <row r="243" spans="3:5" ht="15" customHeight="1" x14ac:dyDescent="0.25">
      <c r="C243" s="50"/>
      <c r="E243" s="74"/>
    </row>
    <row r="244" spans="3:5" ht="15" customHeight="1" x14ac:dyDescent="0.25">
      <c r="C244" s="50"/>
      <c r="E244" s="74"/>
    </row>
    <row r="245" spans="3:5" ht="15" customHeight="1" x14ac:dyDescent="0.25">
      <c r="C245" s="50"/>
      <c r="E245" s="74"/>
    </row>
    <row r="246" spans="3:5" ht="15" customHeight="1" x14ac:dyDescent="0.25">
      <c r="C246" s="50"/>
      <c r="E246" s="74"/>
    </row>
    <row r="247" spans="3:5" ht="15" customHeight="1" x14ac:dyDescent="0.25">
      <c r="C247" s="50"/>
      <c r="E247" s="74"/>
    </row>
    <row r="248" spans="3:5" ht="15" customHeight="1" x14ac:dyDescent="0.25">
      <c r="C248" s="50"/>
      <c r="E248" s="74"/>
    </row>
    <row r="249" spans="3:5" ht="15" customHeight="1" x14ac:dyDescent="0.25">
      <c r="C249" s="50"/>
      <c r="E249" s="74"/>
    </row>
    <row r="250" spans="3:5" ht="15" customHeight="1" x14ac:dyDescent="0.25">
      <c r="C250" s="50"/>
      <c r="E250" s="74"/>
    </row>
    <row r="251" spans="3:5" ht="15" customHeight="1" x14ac:dyDescent="0.25">
      <c r="C251" s="50"/>
      <c r="E251" s="74"/>
    </row>
    <row r="252" spans="3:5" ht="15" customHeight="1" x14ac:dyDescent="0.25">
      <c r="C252" s="50"/>
      <c r="E252" s="74"/>
    </row>
    <row r="253" spans="3:5" ht="15" customHeight="1" x14ac:dyDescent="0.25">
      <c r="C253" s="50"/>
      <c r="E253" s="74"/>
    </row>
    <row r="254" spans="3:5" ht="15" customHeight="1" x14ac:dyDescent="0.25">
      <c r="C254" s="50"/>
      <c r="E254" s="74"/>
    </row>
    <row r="255" spans="3:5" ht="15" customHeight="1" x14ac:dyDescent="0.25">
      <c r="C255" s="50"/>
      <c r="E255" s="74"/>
    </row>
    <row r="256" spans="3:5" ht="15" customHeight="1" x14ac:dyDescent="0.25">
      <c r="C256" s="50"/>
      <c r="E256" s="74"/>
    </row>
    <row r="257" spans="3:5" ht="15" customHeight="1" x14ac:dyDescent="0.25">
      <c r="C257" s="50"/>
      <c r="E257" s="74"/>
    </row>
    <row r="258" spans="3:5" ht="15" customHeight="1" x14ac:dyDescent="0.25">
      <c r="C258" s="50"/>
      <c r="E258" s="74"/>
    </row>
    <row r="259" spans="3:5" ht="15" customHeight="1" x14ac:dyDescent="0.25">
      <c r="C259" s="50"/>
      <c r="E259" s="74"/>
    </row>
    <row r="260" spans="3:5" ht="15" customHeight="1" x14ac:dyDescent="0.25">
      <c r="C260" s="50"/>
      <c r="E260" s="74"/>
    </row>
    <row r="261" spans="3:5" ht="15" customHeight="1" x14ac:dyDescent="0.25">
      <c r="C261" s="50"/>
      <c r="E261" s="74"/>
    </row>
    <row r="262" spans="3:5" ht="15" customHeight="1" x14ac:dyDescent="0.25">
      <c r="C262" s="50"/>
      <c r="E262" s="74"/>
    </row>
    <row r="263" spans="3:5" ht="15" customHeight="1" x14ac:dyDescent="0.25">
      <c r="C263" s="50"/>
      <c r="E263" s="74"/>
    </row>
    <row r="264" spans="3:5" ht="15" customHeight="1" x14ac:dyDescent="0.25">
      <c r="C264" s="50"/>
      <c r="E264" s="74"/>
    </row>
    <row r="265" spans="3:5" ht="15" customHeight="1" x14ac:dyDescent="0.25">
      <c r="C265" s="50"/>
      <c r="E265" s="74"/>
    </row>
    <row r="266" spans="3:5" ht="15" customHeight="1" x14ac:dyDescent="0.25">
      <c r="C266" s="50"/>
      <c r="E266" s="74"/>
    </row>
    <row r="267" spans="3:5" ht="15" customHeight="1" x14ac:dyDescent="0.25">
      <c r="C267" s="50"/>
      <c r="E267" s="74"/>
    </row>
    <row r="268" spans="3:5" ht="15" customHeight="1" x14ac:dyDescent="0.25">
      <c r="C268" s="50"/>
      <c r="E268" s="74"/>
    </row>
    <row r="269" spans="3:5" ht="15" customHeight="1" x14ac:dyDescent="0.25">
      <c r="C269" s="50"/>
      <c r="E269" s="74"/>
    </row>
    <row r="270" spans="3:5" ht="15" customHeight="1" x14ac:dyDescent="0.25">
      <c r="C270" s="50"/>
      <c r="E270" s="74"/>
    </row>
    <row r="271" spans="3:5" ht="15" customHeight="1" x14ac:dyDescent="0.25">
      <c r="C271" s="50"/>
      <c r="E271" s="74"/>
    </row>
    <row r="272" spans="3:5" ht="15" customHeight="1" x14ac:dyDescent="0.25">
      <c r="C272" s="50"/>
      <c r="E272" s="74"/>
    </row>
    <row r="273" spans="3:5" ht="15" customHeight="1" x14ac:dyDescent="0.25">
      <c r="C273" s="50"/>
      <c r="E273" s="74"/>
    </row>
    <row r="274" spans="3:5" ht="15" customHeight="1" x14ac:dyDescent="0.25">
      <c r="C274" s="50"/>
      <c r="E274" s="74"/>
    </row>
    <row r="275" spans="3:5" ht="15" customHeight="1" x14ac:dyDescent="0.25">
      <c r="C275" s="50"/>
      <c r="E275" s="74"/>
    </row>
    <row r="276" spans="3:5" ht="15" customHeight="1" x14ac:dyDescent="0.25">
      <c r="C276" s="50"/>
      <c r="E276" s="74"/>
    </row>
    <row r="277" spans="3:5" ht="15" customHeight="1" x14ac:dyDescent="0.25">
      <c r="C277" s="50"/>
      <c r="E277" s="74"/>
    </row>
    <row r="278" spans="3:5" ht="15" customHeight="1" x14ac:dyDescent="0.25">
      <c r="C278" s="50"/>
      <c r="E278" s="74"/>
    </row>
    <row r="279" spans="3:5" ht="15" customHeight="1" x14ac:dyDescent="0.25">
      <c r="C279" s="50"/>
      <c r="E279" s="74"/>
    </row>
    <row r="280" spans="3:5" ht="15" customHeight="1" x14ac:dyDescent="0.25">
      <c r="C280" s="50"/>
      <c r="E280" s="74"/>
    </row>
    <row r="281" spans="3:5" ht="15" customHeight="1" x14ac:dyDescent="0.25">
      <c r="C281" s="50"/>
      <c r="E281" s="74"/>
    </row>
    <row r="282" spans="3:5" ht="15" customHeight="1" x14ac:dyDescent="0.25">
      <c r="C282" s="50"/>
      <c r="E282" s="74"/>
    </row>
    <row r="283" spans="3:5" ht="15" customHeight="1" x14ac:dyDescent="0.25">
      <c r="C283" s="50"/>
      <c r="E283" s="74"/>
    </row>
    <row r="284" spans="3:5" ht="15" customHeight="1" x14ac:dyDescent="0.25">
      <c r="C284" s="50"/>
      <c r="E284" s="74"/>
    </row>
    <row r="285" spans="3:5" ht="15" customHeight="1" x14ac:dyDescent="0.25">
      <c r="C285" s="50"/>
      <c r="E285" s="74"/>
    </row>
    <row r="286" spans="3:5" ht="15" customHeight="1" x14ac:dyDescent="0.25">
      <c r="C286" s="50"/>
      <c r="E286" s="74"/>
    </row>
    <row r="287" spans="3:5" ht="15" customHeight="1" x14ac:dyDescent="0.25">
      <c r="C287" s="50"/>
      <c r="E287" s="74"/>
    </row>
    <row r="288" spans="3:5" ht="15" customHeight="1" x14ac:dyDescent="0.25">
      <c r="C288" s="50"/>
      <c r="E288" s="74"/>
    </row>
    <row r="289" spans="3:5" ht="15" customHeight="1" x14ac:dyDescent="0.25">
      <c r="C289" s="50"/>
      <c r="E289" s="74"/>
    </row>
    <row r="290" spans="3:5" ht="15" customHeight="1" x14ac:dyDescent="0.25">
      <c r="C290" s="50"/>
      <c r="E290" s="74"/>
    </row>
    <row r="291" spans="3:5" ht="15" customHeight="1" x14ac:dyDescent="0.25">
      <c r="C291" s="50"/>
      <c r="E291" s="74"/>
    </row>
    <row r="292" spans="3:5" ht="15" customHeight="1" x14ac:dyDescent="0.25">
      <c r="C292" s="50"/>
      <c r="E292" s="74"/>
    </row>
    <row r="293" spans="3:5" ht="15" customHeight="1" x14ac:dyDescent="0.25">
      <c r="C293" s="50"/>
      <c r="E293" s="74"/>
    </row>
    <row r="294" spans="3:5" ht="15" customHeight="1" x14ac:dyDescent="0.25">
      <c r="C294" s="50"/>
      <c r="E294" s="74"/>
    </row>
    <row r="295" spans="3:5" ht="15" customHeight="1" x14ac:dyDescent="0.25">
      <c r="C295" s="50"/>
      <c r="E295" s="74"/>
    </row>
    <row r="296" spans="3:5" ht="15" customHeight="1" x14ac:dyDescent="0.25">
      <c r="C296" s="50"/>
      <c r="E296" s="74"/>
    </row>
    <row r="297" spans="3:5" ht="15" customHeight="1" x14ac:dyDescent="0.25">
      <c r="C297" s="50"/>
      <c r="E297" s="74"/>
    </row>
    <row r="298" spans="3:5" ht="15" customHeight="1" x14ac:dyDescent="0.25">
      <c r="C298" s="50"/>
      <c r="E298" s="74"/>
    </row>
    <row r="299" spans="3:5" ht="15" customHeight="1" x14ac:dyDescent="0.25">
      <c r="C299" s="50"/>
      <c r="E299" s="74"/>
    </row>
    <row r="300" spans="3:5" ht="15" customHeight="1" x14ac:dyDescent="0.25">
      <c r="C300" s="50"/>
      <c r="E300" s="74"/>
    </row>
    <row r="301" spans="3:5" ht="15" customHeight="1" x14ac:dyDescent="0.25">
      <c r="C301" s="50"/>
      <c r="E301" s="74"/>
    </row>
    <row r="302" spans="3:5" ht="15" customHeight="1" x14ac:dyDescent="0.25">
      <c r="C302" s="50"/>
      <c r="E302" s="74"/>
    </row>
    <row r="303" spans="3:5" ht="15" customHeight="1" x14ac:dyDescent="0.25">
      <c r="C303" s="50"/>
      <c r="E303" s="74"/>
    </row>
    <row r="304" spans="3:5" ht="15" customHeight="1" x14ac:dyDescent="0.25">
      <c r="C304" s="50"/>
      <c r="E304" s="74"/>
    </row>
    <row r="305" spans="3:5" ht="15" customHeight="1" x14ac:dyDescent="0.25">
      <c r="C305" s="50"/>
      <c r="E305" s="74"/>
    </row>
    <row r="306" spans="3:5" ht="15" customHeight="1" x14ac:dyDescent="0.25">
      <c r="C306" s="50"/>
      <c r="E306" s="74"/>
    </row>
    <row r="307" spans="3:5" ht="15" customHeight="1" x14ac:dyDescent="0.25">
      <c r="C307" s="50"/>
      <c r="E307" s="74"/>
    </row>
    <row r="308" spans="3:5" ht="15" customHeight="1" x14ac:dyDescent="0.25">
      <c r="C308" s="50"/>
      <c r="E308" s="74"/>
    </row>
    <row r="309" spans="3:5" ht="15" customHeight="1" x14ac:dyDescent="0.25">
      <c r="C309" s="50"/>
      <c r="E309" s="74"/>
    </row>
    <row r="310" spans="3:5" ht="15" customHeight="1" x14ac:dyDescent="0.25">
      <c r="C310" s="50"/>
      <c r="E310" s="74"/>
    </row>
    <row r="311" spans="3:5" ht="15" customHeight="1" x14ac:dyDescent="0.25">
      <c r="C311" s="50"/>
      <c r="E311" s="74"/>
    </row>
    <row r="312" spans="3:5" ht="15" customHeight="1" x14ac:dyDescent="0.25">
      <c r="C312" s="50"/>
      <c r="E312" s="74"/>
    </row>
    <row r="313" spans="3:5" ht="15" customHeight="1" x14ac:dyDescent="0.25">
      <c r="C313" s="50"/>
      <c r="E313" s="74"/>
    </row>
    <row r="314" spans="3:5" ht="15" customHeight="1" x14ac:dyDescent="0.25">
      <c r="C314" s="50"/>
      <c r="E314" s="74"/>
    </row>
    <row r="315" spans="3:5" ht="15" customHeight="1" x14ac:dyDescent="0.25">
      <c r="C315" s="50"/>
      <c r="E315" s="74"/>
    </row>
    <row r="316" spans="3:5" ht="15" customHeight="1" x14ac:dyDescent="0.25">
      <c r="C316" s="50"/>
      <c r="E316" s="74"/>
    </row>
    <row r="317" spans="3:5" ht="15" customHeight="1" x14ac:dyDescent="0.25">
      <c r="C317" s="50"/>
      <c r="E317" s="74"/>
    </row>
    <row r="318" spans="3:5" ht="15" customHeight="1" x14ac:dyDescent="0.25">
      <c r="C318" s="50"/>
      <c r="E318" s="74"/>
    </row>
    <row r="319" spans="3:5" ht="15" customHeight="1" x14ac:dyDescent="0.25">
      <c r="C319" s="50"/>
      <c r="E319" s="74"/>
    </row>
    <row r="320" spans="3:5" ht="15" customHeight="1" x14ac:dyDescent="0.25">
      <c r="C320" s="50"/>
      <c r="E320" s="74"/>
    </row>
    <row r="321" spans="3:5" ht="15" customHeight="1" x14ac:dyDescent="0.25">
      <c r="C321" s="50"/>
      <c r="E321" s="74"/>
    </row>
    <row r="322" spans="3:5" ht="15" customHeight="1" x14ac:dyDescent="0.25">
      <c r="C322" s="50"/>
      <c r="E322" s="74"/>
    </row>
    <row r="323" spans="3:5" ht="15" customHeight="1" x14ac:dyDescent="0.25">
      <c r="C323" s="50"/>
      <c r="E323" s="74"/>
    </row>
    <row r="324" spans="3:5" ht="15" customHeight="1" x14ac:dyDescent="0.25">
      <c r="C324" s="50"/>
      <c r="E324" s="74"/>
    </row>
    <row r="325" spans="3:5" ht="15" customHeight="1" x14ac:dyDescent="0.25">
      <c r="C325" s="50"/>
      <c r="E325" s="74"/>
    </row>
    <row r="326" spans="3:5" ht="15" customHeight="1" x14ac:dyDescent="0.25">
      <c r="C326" s="50"/>
      <c r="E326" s="74"/>
    </row>
    <row r="327" spans="3:5" ht="15" customHeight="1" x14ac:dyDescent="0.25">
      <c r="C327" s="50"/>
      <c r="E327" s="74"/>
    </row>
    <row r="328" spans="3:5" ht="15" customHeight="1" x14ac:dyDescent="0.25">
      <c r="C328" s="50"/>
      <c r="E328" s="74"/>
    </row>
    <row r="329" spans="3:5" ht="15" customHeight="1" x14ac:dyDescent="0.25">
      <c r="C329" s="50"/>
      <c r="E329" s="74"/>
    </row>
    <row r="330" spans="3:5" ht="15" customHeight="1" x14ac:dyDescent="0.25">
      <c r="C330" s="50"/>
      <c r="E330" s="74"/>
    </row>
    <row r="331" spans="3:5" ht="15" customHeight="1" x14ac:dyDescent="0.25">
      <c r="C331" s="50"/>
      <c r="E331" s="74"/>
    </row>
    <row r="332" spans="3:5" ht="15" customHeight="1" x14ac:dyDescent="0.25">
      <c r="C332" s="50"/>
      <c r="E332" s="74"/>
    </row>
    <row r="333" spans="3:5" ht="15" customHeight="1" x14ac:dyDescent="0.25">
      <c r="C333" s="50"/>
      <c r="E333" s="74"/>
    </row>
    <row r="334" spans="3:5" ht="15" customHeight="1" x14ac:dyDescent="0.25">
      <c r="C334" s="50"/>
      <c r="E334" s="74"/>
    </row>
    <row r="335" spans="3:5" ht="15" customHeight="1" x14ac:dyDescent="0.25">
      <c r="C335" s="50"/>
      <c r="E335" s="74"/>
    </row>
    <row r="336" spans="3:5" ht="15" customHeight="1" x14ac:dyDescent="0.25">
      <c r="C336" s="50"/>
      <c r="E336" s="74"/>
    </row>
    <row r="337" spans="3:5" ht="15" customHeight="1" x14ac:dyDescent="0.25">
      <c r="C337" s="50"/>
      <c r="E337" s="74"/>
    </row>
    <row r="338" spans="3:5" ht="15" customHeight="1" x14ac:dyDescent="0.25">
      <c r="C338" s="50"/>
      <c r="E338" s="74"/>
    </row>
    <row r="339" spans="3:5" ht="15" customHeight="1" x14ac:dyDescent="0.25">
      <c r="C339" s="50"/>
      <c r="E339" s="74"/>
    </row>
    <row r="340" spans="3:5" ht="15" customHeight="1" x14ac:dyDescent="0.25">
      <c r="C340" s="50"/>
      <c r="E340" s="74"/>
    </row>
    <row r="341" spans="3:5" ht="15" customHeight="1" x14ac:dyDescent="0.25">
      <c r="C341" s="50"/>
      <c r="E341" s="74"/>
    </row>
    <row r="342" spans="3:5" ht="15" customHeight="1" x14ac:dyDescent="0.25">
      <c r="C342" s="50"/>
      <c r="E342" s="74"/>
    </row>
    <row r="343" spans="3:5" ht="15" customHeight="1" x14ac:dyDescent="0.25">
      <c r="C343" s="50"/>
      <c r="E343" s="74"/>
    </row>
    <row r="344" spans="3:5" ht="15" customHeight="1" x14ac:dyDescent="0.25">
      <c r="C344" s="50"/>
      <c r="E344" s="74"/>
    </row>
    <row r="345" spans="3:5" ht="15" customHeight="1" x14ac:dyDescent="0.25">
      <c r="C345" s="50"/>
      <c r="E345" s="74"/>
    </row>
    <row r="346" spans="3:5" ht="15" customHeight="1" x14ac:dyDescent="0.25">
      <c r="C346" s="50"/>
      <c r="E346" s="74"/>
    </row>
    <row r="347" spans="3:5" ht="15" customHeight="1" x14ac:dyDescent="0.25">
      <c r="C347" s="50"/>
      <c r="E347" s="74"/>
    </row>
    <row r="348" spans="3:5" ht="15" customHeight="1" x14ac:dyDescent="0.25">
      <c r="C348" s="50"/>
      <c r="E348" s="74"/>
    </row>
    <row r="349" spans="3:5" ht="15" customHeight="1" x14ac:dyDescent="0.25">
      <c r="C349" s="50"/>
      <c r="E349" s="74"/>
    </row>
    <row r="350" spans="3:5" ht="15" customHeight="1" x14ac:dyDescent="0.25">
      <c r="C350" s="50"/>
      <c r="E350" s="74"/>
    </row>
    <row r="351" spans="3:5" ht="15" customHeight="1" x14ac:dyDescent="0.25">
      <c r="C351" s="50"/>
      <c r="E351" s="74"/>
    </row>
    <row r="352" spans="3:5" ht="15" customHeight="1" x14ac:dyDescent="0.25">
      <c r="C352" s="50"/>
      <c r="E352" s="74"/>
    </row>
    <row r="353" spans="3:5" ht="15" customHeight="1" x14ac:dyDescent="0.25">
      <c r="C353" s="50"/>
      <c r="E353" s="74"/>
    </row>
    <row r="354" spans="3:5" ht="15" customHeight="1" x14ac:dyDescent="0.25">
      <c r="C354" s="50"/>
      <c r="E354" s="74"/>
    </row>
    <row r="355" spans="3:5" ht="15" customHeight="1" x14ac:dyDescent="0.25">
      <c r="C355" s="50"/>
      <c r="E355" s="74"/>
    </row>
    <row r="356" spans="3:5" ht="15" customHeight="1" x14ac:dyDescent="0.25">
      <c r="C356" s="50"/>
      <c r="E356" s="74"/>
    </row>
    <row r="357" spans="3:5" ht="15" customHeight="1" x14ac:dyDescent="0.25">
      <c r="C357" s="50"/>
      <c r="E357" s="74"/>
    </row>
    <row r="358" spans="3:5" ht="15" customHeight="1" x14ac:dyDescent="0.25">
      <c r="C358" s="50"/>
      <c r="E358" s="74"/>
    </row>
    <row r="359" spans="3:5" ht="15" customHeight="1" x14ac:dyDescent="0.25">
      <c r="C359" s="50"/>
      <c r="E359" s="74"/>
    </row>
    <row r="360" spans="3:5" ht="15" customHeight="1" x14ac:dyDescent="0.25">
      <c r="C360" s="50"/>
      <c r="E360" s="74"/>
    </row>
    <row r="361" spans="3:5" ht="15" customHeight="1" x14ac:dyDescent="0.25">
      <c r="C361" s="50"/>
      <c r="E361" s="74"/>
    </row>
    <row r="362" spans="3:5" ht="15" customHeight="1" x14ac:dyDescent="0.25">
      <c r="C362" s="50"/>
      <c r="E362" s="74"/>
    </row>
    <row r="363" spans="3:5" ht="15" customHeight="1" x14ac:dyDescent="0.25">
      <c r="C363" s="50"/>
      <c r="E363" s="74"/>
    </row>
    <row r="364" spans="3:5" ht="15" customHeight="1" x14ac:dyDescent="0.25">
      <c r="C364" s="50"/>
      <c r="E364" s="74"/>
    </row>
    <row r="365" spans="3:5" ht="15" customHeight="1" x14ac:dyDescent="0.25">
      <c r="C365" s="50"/>
      <c r="E365" s="74"/>
    </row>
    <row r="366" spans="3:5" ht="15" customHeight="1" x14ac:dyDescent="0.25">
      <c r="C366" s="50"/>
      <c r="E366" s="74"/>
    </row>
    <row r="367" spans="3:5" ht="15" customHeight="1" x14ac:dyDescent="0.25">
      <c r="C367" s="50"/>
      <c r="E367" s="74"/>
    </row>
    <row r="368" spans="3:5" ht="15" customHeight="1" x14ac:dyDescent="0.25">
      <c r="C368" s="50"/>
      <c r="E368" s="74"/>
    </row>
    <row r="369" spans="3:5" ht="15" customHeight="1" x14ac:dyDescent="0.25">
      <c r="C369" s="50"/>
      <c r="E369" s="74"/>
    </row>
    <row r="370" spans="3:5" ht="15" customHeight="1" x14ac:dyDescent="0.25">
      <c r="C370" s="50"/>
      <c r="E370" s="74"/>
    </row>
    <row r="371" spans="3:5" ht="15" customHeight="1" x14ac:dyDescent="0.25">
      <c r="C371" s="50"/>
      <c r="E371" s="74"/>
    </row>
    <row r="372" spans="3:5" ht="15" customHeight="1" x14ac:dyDescent="0.25">
      <c r="C372" s="50"/>
      <c r="E372" s="74"/>
    </row>
    <row r="373" spans="3:5" ht="15" customHeight="1" x14ac:dyDescent="0.25">
      <c r="C373" s="50"/>
      <c r="E373" s="74"/>
    </row>
    <row r="374" spans="3:5" ht="15" customHeight="1" x14ac:dyDescent="0.25">
      <c r="C374" s="50"/>
      <c r="E374" s="74"/>
    </row>
    <row r="375" spans="3:5" ht="15" customHeight="1" x14ac:dyDescent="0.25">
      <c r="C375" s="50"/>
      <c r="E375" s="74"/>
    </row>
    <row r="376" spans="3:5" ht="15" customHeight="1" x14ac:dyDescent="0.25">
      <c r="C376" s="50"/>
      <c r="E376" s="74"/>
    </row>
    <row r="377" spans="3:5" ht="15" customHeight="1" x14ac:dyDescent="0.25">
      <c r="C377" s="50"/>
      <c r="E377" s="74"/>
    </row>
    <row r="378" spans="3:5" ht="15" customHeight="1" x14ac:dyDescent="0.25">
      <c r="C378" s="50"/>
      <c r="E378" s="74"/>
    </row>
    <row r="379" spans="3:5" ht="15" customHeight="1" x14ac:dyDescent="0.25">
      <c r="C379" s="50"/>
      <c r="E379" s="74"/>
    </row>
    <row r="380" spans="3:5" ht="15" customHeight="1" x14ac:dyDescent="0.25">
      <c r="C380" s="50"/>
      <c r="E380" s="74"/>
    </row>
    <row r="381" spans="3:5" ht="15" customHeight="1" x14ac:dyDescent="0.25">
      <c r="C381" s="50"/>
      <c r="E381" s="74"/>
    </row>
    <row r="382" spans="3:5" ht="15" customHeight="1" x14ac:dyDescent="0.25">
      <c r="C382" s="50"/>
      <c r="E382" s="74"/>
    </row>
    <row r="383" spans="3:5" ht="15" customHeight="1" x14ac:dyDescent="0.25">
      <c r="C383" s="50"/>
      <c r="E383" s="74"/>
    </row>
    <row r="384" spans="3:5" ht="15" customHeight="1" x14ac:dyDescent="0.25">
      <c r="C384" s="50"/>
      <c r="E384" s="74"/>
    </row>
    <row r="385" spans="3:5" ht="15" customHeight="1" x14ac:dyDescent="0.25">
      <c r="C385" s="50"/>
      <c r="E385" s="74"/>
    </row>
    <row r="386" spans="3:5" ht="15" customHeight="1" x14ac:dyDescent="0.25">
      <c r="C386" s="50"/>
      <c r="E386" s="74"/>
    </row>
    <row r="387" spans="3:5" ht="15" customHeight="1" x14ac:dyDescent="0.25">
      <c r="C387" s="50"/>
      <c r="E387" s="74"/>
    </row>
    <row r="388" spans="3:5" ht="15" customHeight="1" x14ac:dyDescent="0.25">
      <c r="C388" s="50"/>
      <c r="E388" s="74"/>
    </row>
    <row r="389" spans="3:5" ht="15" customHeight="1" x14ac:dyDescent="0.25">
      <c r="C389" s="50"/>
      <c r="E389" s="74"/>
    </row>
    <row r="390" spans="3:5" ht="15" customHeight="1" x14ac:dyDescent="0.25">
      <c r="C390" s="50"/>
      <c r="E390" s="74"/>
    </row>
    <row r="391" spans="3:5" ht="15" customHeight="1" x14ac:dyDescent="0.25">
      <c r="C391" s="50"/>
      <c r="E391" s="74"/>
    </row>
    <row r="392" spans="3:5" ht="15" customHeight="1" x14ac:dyDescent="0.25">
      <c r="C392" s="50"/>
      <c r="E392" s="74"/>
    </row>
    <row r="393" spans="3:5" ht="15" customHeight="1" x14ac:dyDescent="0.25">
      <c r="C393" s="50"/>
      <c r="E393" s="74"/>
    </row>
    <row r="394" spans="3:5" ht="15" customHeight="1" x14ac:dyDescent="0.25">
      <c r="C394" s="50"/>
      <c r="E394" s="74"/>
    </row>
    <row r="395" spans="3:5" ht="15" customHeight="1" x14ac:dyDescent="0.25">
      <c r="C395" s="50"/>
      <c r="E395" s="74"/>
    </row>
    <row r="396" spans="3:5" ht="15" customHeight="1" x14ac:dyDescent="0.25">
      <c r="C396" s="50"/>
      <c r="E396" s="74"/>
    </row>
    <row r="397" spans="3:5" ht="15" customHeight="1" x14ac:dyDescent="0.25">
      <c r="C397" s="50"/>
      <c r="E397" s="74"/>
    </row>
    <row r="398" spans="3:5" ht="15" customHeight="1" x14ac:dyDescent="0.25">
      <c r="C398" s="50"/>
      <c r="E398" s="74"/>
    </row>
    <row r="399" spans="3:5" ht="15" customHeight="1" x14ac:dyDescent="0.25">
      <c r="C399" s="50"/>
      <c r="E399" s="74"/>
    </row>
    <row r="400" spans="3:5" ht="15" customHeight="1" x14ac:dyDescent="0.25">
      <c r="C400" s="50"/>
      <c r="E400" s="74"/>
    </row>
    <row r="401" spans="3:5" ht="15" customHeight="1" x14ac:dyDescent="0.25">
      <c r="C401" s="50"/>
      <c r="E401" s="74"/>
    </row>
    <row r="402" spans="3:5" ht="15" customHeight="1" x14ac:dyDescent="0.25">
      <c r="C402" s="50"/>
      <c r="E402" s="74"/>
    </row>
    <row r="403" spans="3:5" ht="15" customHeight="1" x14ac:dyDescent="0.25">
      <c r="C403" s="50"/>
      <c r="E403" s="74"/>
    </row>
    <row r="404" spans="3:5" ht="15" customHeight="1" x14ac:dyDescent="0.25">
      <c r="C404" s="50"/>
      <c r="E404" s="74"/>
    </row>
    <row r="405" spans="3:5" ht="15" customHeight="1" x14ac:dyDescent="0.25">
      <c r="C405" s="50"/>
      <c r="E405" s="74"/>
    </row>
    <row r="406" spans="3:5" ht="15" customHeight="1" x14ac:dyDescent="0.25">
      <c r="C406" s="50"/>
      <c r="E406" s="74"/>
    </row>
    <row r="407" spans="3:5" ht="15" customHeight="1" x14ac:dyDescent="0.25">
      <c r="C407" s="50"/>
      <c r="E407" s="74"/>
    </row>
    <row r="408" spans="3:5" ht="15" customHeight="1" x14ac:dyDescent="0.25">
      <c r="C408" s="50"/>
      <c r="E408" s="74"/>
    </row>
    <row r="409" spans="3:5" ht="15" customHeight="1" x14ac:dyDescent="0.25">
      <c r="C409" s="50"/>
      <c r="E409" s="74"/>
    </row>
    <row r="410" spans="3:5" ht="15" customHeight="1" x14ac:dyDescent="0.25">
      <c r="C410" s="50"/>
      <c r="E410" s="74"/>
    </row>
    <row r="411" spans="3:5" ht="15" customHeight="1" x14ac:dyDescent="0.25">
      <c r="C411" s="50"/>
      <c r="E411" s="74"/>
    </row>
    <row r="412" spans="3:5" ht="15" customHeight="1" x14ac:dyDescent="0.25">
      <c r="C412" s="50"/>
      <c r="E412" s="74"/>
    </row>
    <row r="413" spans="3:5" ht="15" customHeight="1" x14ac:dyDescent="0.25">
      <c r="C413" s="50"/>
      <c r="E413" s="74"/>
    </row>
    <row r="414" spans="3:5" ht="15" customHeight="1" x14ac:dyDescent="0.25">
      <c r="C414" s="50"/>
      <c r="E414" s="74"/>
    </row>
    <row r="415" spans="3:5" ht="15" customHeight="1" x14ac:dyDescent="0.25">
      <c r="C415" s="50"/>
      <c r="E415" s="74"/>
    </row>
    <row r="416" spans="3:5" ht="15" customHeight="1" x14ac:dyDescent="0.25">
      <c r="C416" s="50"/>
      <c r="E416" s="74"/>
    </row>
    <row r="417" spans="3:5" ht="15" customHeight="1" x14ac:dyDescent="0.25">
      <c r="C417" s="50"/>
      <c r="E417" s="74"/>
    </row>
    <row r="418" spans="3:5" ht="15" customHeight="1" x14ac:dyDescent="0.25">
      <c r="C418" s="50"/>
      <c r="E418" s="74"/>
    </row>
    <row r="419" spans="3:5" ht="15" customHeight="1" x14ac:dyDescent="0.25">
      <c r="C419" s="50"/>
      <c r="E419" s="74"/>
    </row>
    <row r="420" spans="3:5" ht="15" customHeight="1" x14ac:dyDescent="0.25">
      <c r="C420" s="50"/>
      <c r="E420" s="74"/>
    </row>
    <row r="421" spans="3:5" ht="15" customHeight="1" x14ac:dyDescent="0.25">
      <c r="C421" s="50"/>
      <c r="E421" s="74"/>
    </row>
    <row r="422" spans="3:5" ht="15" customHeight="1" x14ac:dyDescent="0.25">
      <c r="C422" s="50"/>
      <c r="E422" s="74"/>
    </row>
    <row r="423" spans="3:5" ht="15" customHeight="1" x14ac:dyDescent="0.25">
      <c r="C423" s="50"/>
      <c r="E423" s="74"/>
    </row>
    <row r="424" spans="3:5" ht="15" customHeight="1" x14ac:dyDescent="0.25">
      <c r="C424" s="50"/>
      <c r="E424" s="74"/>
    </row>
    <row r="425" spans="3:5" ht="15" customHeight="1" x14ac:dyDescent="0.25">
      <c r="C425" s="50"/>
      <c r="E425" s="74"/>
    </row>
    <row r="426" spans="3:5" ht="15" customHeight="1" x14ac:dyDescent="0.25">
      <c r="C426" s="50"/>
      <c r="E426" s="74"/>
    </row>
    <row r="427" spans="3:5" ht="15" customHeight="1" x14ac:dyDescent="0.25">
      <c r="C427" s="50"/>
      <c r="E427" s="74"/>
    </row>
    <row r="428" spans="3:5" ht="15" customHeight="1" x14ac:dyDescent="0.25">
      <c r="C428" s="50"/>
      <c r="E428" s="74"/>
    </row>
    <row r="429" spans="3:5" ht="15" customHeight="1" x14ac:dyDescent="0.25">
      <c r="C429" s="50"/>
      <c r="E429" s="74"/>
    </row>
    <row r="430" spans="3:5" ht="15" customHeight="1" x14ac:dyDescent="0.25">
      <c r="C430" s="50"/>
      <c r="E430" s="74"/>
    </row>
    <row r="431" spans="3:5" ht="15" customHeight="1" x14ac:dyDescent="0.25">
      <c r="C431" s="50"/>
      <c r="E431" s="74"/>
    </row>
    <row r="432" spans="3:5" ht="15" customHeight="1" x14ac:dyDescent="0.25">
      <c r="C432" s="50"/>
      <c r="E432" s="74"/>
    </row>
    <row r="433" spans="3:5" ht="15" customHeight="1" x14ac:dyDescent="0.25">
      <c r="C433" s="50"/>
      <c r="E433" s="74"/>
    </row>
    <row r="434" spans="3:5" ht="15" customHeight="1" x14ac:dyDescent="0.25">
      <c r="C434" s="50"/>
      <c r="E434" s="74"/>
    </row>
    <row r="435" spans="3:5" ht="15" customHeight="1" x14ac:dyDescent="0.25">
      <c r="C435" s="50"/>
      <c r="E435" s="74"/>
    </row>
    <row r="436" spans="3:5" ht="15" customHeight="1" x14ac:dyDescent="0.25">
      <c r="C436" s="50"/>
      <c r="E436" s="74"/>
    </row>
    <row r="437" spans="3:5" ht="15" customHeight="1" x14ac:dyDescent="0.25">
      <c r="C437" s="50"/>
      <c r="E437" s="74"/>
    </row>
    <row r="438" spans="3:5" ht="15" customHeight="1" x14ac:dyDescent="0.25">
      <c r="C438" s="50"/>
      <c r="E438" s="74"/>
    </row>
    <row r="439" spans="3:5" ht="15" customHeight="1" x14ac:dyDescent="0.25">
      <c r="C439" s="50"/>
      <c r="E439" s="74"/>
    </row>
    <row r="440" spans="3:5" ht="15" customHeight="1" x14ac:dyDescent="0.25">
      <c r="C440" s="50"/>
      <c r="E440" s="74"/>
    </row>
    <row r="441" spans="3:5" ht="15" customHeight="1" x14ac:dyDescent="0.25">
      <c r="C441" s="50"/>
      <c r="E441" s="74"/>
    </row>
    <row r="442" spans="3:5" ht="15" customHeight="1" x14ac:dyDescent="0.25">
      <c r="C442" s="50"/>
      <c r="E442" s="74"/>
    </row>
    <row r="443" spans="3:5" ht="15" customHeight="1" x14ac:dyDescent="0.25">
      <c r="C443" s="50"/>
      <c r="E443" s="74"/>
    </row>
    <row r="444" spans="3:5" ht="15" customHeight="1" x14ac:dyDescent="0.25">
      <c r="C444" s="50"/>
      <c r="E444" s="74"/>
    </row>
    <row r="445" spans="3:5" ht="15" customHeight="1" x14ac:dyDescent="0.25">
      <c r="C445" s="50"/>
      <c r="E445" s="74"/>
    </row>
    <row r="446" spans="3:5" ht="15" customHeight="1" x14ac:dyDescent="0.25">
      <c r="C446" s="50"/>
      <c r="E446" s="74"/>
    </row>
    <row r="447" spans="3:5" ht="15" customHeight="1" x14ac:dyDescent="0.25">
      <c r="C447" s="50"/>
      <c r="E447" s="74"/>
    </row>
    <row r="448" spans="3:5" ht="15" customHeight="1" x14ac:dyDescent="0.25">
      <c r="C448" s="50"/>
      <c r="E448" s="74"/>
    </row>
    <row r="449" spans="3:5" ht="15" customHeight="1" x14ac:dyDescent="0.25">
      <c r="C449" s="50"/>
      <c r="E449" s="74"/>
    </row>
    <row r="450" spans="3:5" ht="15" customHeight="1" x14ac:dyDescent="0.25">
      <c r="C450" s="50"/>
      <c r="E450" s="74"/>
    </row>
    <row r="451" spans="3:5" ht="15" customHeight="1" x14ac:dyDescent="0.25">
      <c r="C451" s="50"/>
      <c r="E451" s="74"/>
    </row>
    <row r="452" spans="3:5" ht="15" customHeight="1" x14ac:dyDescent="0.25">
      <c r="C452" s="50"/>
      <c r="E452" s="74"/>
    </row>
    <row r="453" spans="3:5" ht="15" customHeight="1" x14ac:dyDescent="0.25">
      <c r="C453" s="50"/>
      <c r="E453" s="74"/>
    </row>
    <row r="454" spans="3:5" ht="15" customHeight="1" x14ac:dyDescent="0.25">
      <c r="C454" s="50"/>
      <c r="E454" s="74"/>
    </row>
    <row r="455" spans="3:5" ht="15" customHeight="1" x14ac:dyDescent="0.25">
      <c r="C455" s="50"/>
      <c r="E455" s="74"/>
    </row>
    <row r="456" spans="3:5" ht="15" customHeight="1" x14ac:dyDescent="0.25">
      <c r="C456" s="50"/>
      <c r="E456" s="74"/>
    </row>
    <row r="457" spans="3:5" ht="15" customHeight="1" x14ac:dyDescent="0.25">
      <c r="C457" s="50"/>
      <c r="E457" s="74"/>
    </row>
    <row r="458" spans="3:5" ht="15" customHeight="1" x14ac:dyDescent="0.25">
      <c r="C458" s="50"/>
      <c r="E458" s="74"/>
    </row>
    <row r="459" spans="3:5" ht="15" customHeight="1" x14ac:dyDescent="0.25">
      <c r="C459" s="50"/>
      <c r="E459" s="74"/>
    </row>
    <row r="460" spans="3:5" ht="15" customHeight="1" x14ac:dyDescent="0.25">
      <c r="C460" s="50"/>
      <c r="E460" s="74"/>
    </row>
    <row r="461" spans="3:5" ht="15" customHeight="1" x14ac:dyDescent="0.25">
      <c r="C461" s="50"/>
      <c r="E461" s="74"/>
    </row>
    <row r="462" spans="3:5" ht="15" customHeight="1" x14ac:dyDescent="0.25">
      <c r="C462" s="50"/>
      <c r="E462" s="74"/>
    </row>
    <row r="463" spans="3:5" ht="15" customHeight="1" x14ac:dyDescent="0.25">
      <c r="C463" s="50"/>
      <c r="E463" s="74"/>
    </row>
    <row r="464" spans="3:5" ht="15" customHeight="1" x14ac:dyDescent="0.25">
      <c r="C464" s="50"/>
      <c r="E464" s="74"/>
    </row>
    <row r="465" spans="3:5" ht="15" customHeight="1" x14ac:dyDescent="0.25">
      <c r="C465" s="50"/>
      <c r="E465" s="74"/>
    </row>
    <row r="466" spans="3:5" ht="15" customHeight="1" x14ac:dyDescent="0.25">
      <c r="C466" s="50"/>
      <c r="E466" s="74"/>
    </row>
    <row r="467" spans="3:5" ht="15" customHeight="1" x14ac:dyDescent="0.25">
      <c r="C467" s="50"/>
      <c r="E467" s="74"/>
    </row>
    <row r="468" spans="3:5" ht="15" customHeight="1" x14ac:dyDescent="0.25">
      <c r="C468" s="50"/>
      <c r="E468" s="74"/>
    </row>
    <row r="469" spans="3:5" ht="15" customHeight="1" x14ac:dyDescent="0.25">
      <c r="C469" s="50"/>
      <c r="E469" s="74"/>
    </row>
    <row r="470" spans="3:5" ht="15" customHeight="1" x14ac:dyDescent="0.25">
      <c r="C470" s="50"/>
      <c r="E470" s="74"/>
    </row>
    <row r="471" spans="3:5" ht="15" customHeight="1" x14ac:dyDescent="0.25">
      <c r="C471" s="50"/>
      <c r="E471" s="74"/>
    </row>
    <row r="472" spans="3:5" ht="15" customHeight="1" x14ac:dyDescent="0.25">
      <c r="C472" s="50"/>
      <c r="E472" s="74"/>
    </row>
    <row r="473" spans="3:5" ht="15" customHeight="1" x14ac:dyDescent="0.25">
      <c r="C473" s="50"/>
      <c r="E473" s="74"/>
    </row>
    <row r="474" spans="3:5" ht="15" customHeight="1" x14ac:dyDescent="0.25">
      <c r="C474" s="50"/>
      <c r="E474" s="74"/>
    </row>
    <row r="475" spans="3:5" ht="15" customHeight="1" x14ac:dyDescent="0.25">
      <c r="C475" s="50"/>
      <c r="E475" s="74"/>
    </row>
    <row r="476" spans="3:5" ht="15" customHeight="1" x14ac:dyDescent="0.25">
      <c r="C476" s="50"/>
      <c r="E476" s="74"/>
    </row>
    <row r="477" spans="3:5" ht="15" customHeight="1" x14ac:dyDescent="0.25">
      <c r="C477" s="50"/>
      <c r="E477" s="74"/>
    </row>
    <row r="478" spans="3:5" ht="15" customHeight="1" x14ac:dyDescent="0.25">
      <c r="C478" s="50"/>
      <c r="E478" s="74"/>
    </row>
    <row r="479" spans="3:5" ht="15" customHeight="1" x14ac:dyDescent="0.25">
      <c r="C479" s="50"/>
      <c r="E479" s="74"/>
    </row>
    <row r="480" spans="3:5" ht="15" customHeight="1" x14ac:dyDescent="0.25">
      <c r="C480" s="50"/>
      <c r="E480" s="74"/>
    </row>
    <row r="481" spans="3:5" ht="15" customHeight="1" x14ac:dyDescent="0.25">
      <c r="C481" s="50"/>
      <c r="E481" s="74"/>
    </row>
    <row r="482" spans="3:5" ht="15" customHeight="1" x14ac:dyDescent="0.25">
      <c r="C482" s="50"/>
      <c r="E482" s="74"/>
    </row>
    <row r="483" spans="3:5" ht="15" customHeight="1" x14ac:dyDescent="0.25">
      <c r="C483" s="50"/>
      <c r="E483" s="74"/>
    </row>
    <row r="484" spans="3:5" ht="15" customHeight="1" x14ac:dyDescent="0.25">
      <c r="C484" s="50"/>
      <c r="E484" s="74"/>
    </row>
    <row r="485" spans="3:5" ht="15" customHeight="1" x14ac:dyDescent="0.25">
      <c r="C485" s="50"/>
      <c r="E485" s="74"/>
    </row>
    <row r="486" spans="3:5" ht="15" customHeight="1" x14ac:dyDescent="0.25">
      <c r="C486" s="50"/>
      <c r="E486" s="74"/>
    </row>
    <row r="487" spans="3:5" ht="15" customHeight="1" x14ac:dyDescent="0.25">
      <c r="C487" s="50"/>
      <c r="E487" s="74"/>
    </row>
    <row r="488" spans="3:5" ht="15" customHeight="1" x14ac:dyDescent="0.25">
      <c r="C488" s="50"/>
      <c r="E488" s="74"/>
    </row>
    <row r="489" spans="3:5" ht="15" customHeight="1" x14ac:dyDescent="0.25">
      <c r="C489" s="50"/>
      <c r="E489" s="74"/>
    </row>
    <row r="490" spans="3:5" ht="15" customHeight="1" x14ac:dyDescent="0.25">
      <c r="C490" s="50"/>
      <c r="E490" s="74"/>
    </row>
    <row r="491" spans="3:5" ht="15" customHeight="1" x14ac:dyDescent="0.25">
      <c r="C491" s="50"/>
      <c r="E491" s="74"/>
    </row>
    <row r="492" spans="3:5" ht="15" customHeight="1" x14ac:dyDescent="0.25">
      <c r="C492" s="50"/>
      <c r="E492" s="74"/>
    </row>
    <row r="493" spans="3:5" ht="15" customHeight="1" x14ac:dyDescent="0.25">
      <c r="C493" s="50"/>
      <c r="E493" s="74"/>
    </row>
    <row r="494" spans="3:5" ht="15" customHeight="1" x14ac:dyDescent="0.25">
      <c r="C494" s="50"/>
      <c r="E494" s="74"/>
    </row>
    <row r="495" spans="3:5" ht="15" customHeight="1" x14ac:dyDescent="0.25">
      <c r="C495" s="50"/>
      <c r="E495" s="74"/>
    </row>
    <row r="496" spans="3:5" ht="15" customHeight="1" x14ac:dyDescent="0.25">
      <c r="C496" s="50"/>
      <c r="E496" s="74"/>
    </row>
    <row r="497" spans="3:5" ht="15" customHeight="1" x14ac:dyDescent="0.25">
      <c r="C497" s="50"/>
      <c r="E497" s="74"/>
    </row>
    <row r="498" spans="3:5" ht="15" customHeight="1" x14ac:dyDescent="0.25">
      <c r="C498" s="50"/>
      <c r="E498" s="74"/>
    </row>
    <row r="499" spans="3:5" ht="15" customHeight="1" x14ac:dyDescent="0.25">
      <c r="C499" s="50"/>
      <c r="E499" s="74"/>
    </row>
    <row r="500" spans="3:5" ht="15" customHeight="1" x14ac:dyDescent="0.25">
      <c r="C500" s="50"/>
      <c r="E500" s="74"/>
    </row>
    <row r="501" spans="3:5" ht="15" customHeight="1" x14ac:dyDescent="0.25">
      <c r="C501" s="50"/>
      <c r="E501" s="74"/>
    </row>
    <row r="502" spans="3:5" ht="15" customHeight="1" x14ac:dyDescent="0.25">
      <c r="C502" s="50"/>
      <c r="E502" s="74"/>
    </row>
    <row r="503" spans="3:5" ht="15" customHeight="1" x14ac:dyDescent="0.25">
      <c r="C503" s="50"/>
      <c r="E503" s="74"/>
    </row>
    <row r="504" spans="3:5" ht="15" customHeight="1" x14ac:dyDescent="0.25">
      <c r="C504" s="50"/>
      <c r="E504" s="74"/>
    </row>
    <row r="505" spans="3:5" ht="15" customHeight="1" x14ac:dyDescent="0.25">
      <c r="C505" s="50"/>
      <c r="E505" s="74"/>
    </row>
    <row r="506" spans="3:5" ht="15" customHeight="1" x14ac:dyDescent="0.25">
      <c r="C506" s="50"/>
      <c r="E506" s="74"/>
    </row>
    <row r="507" spans="3:5" ht="15" customHeight="1" x14ac:dyDescent="0.25">
      <c r="C507" s="50"/>
      <c r="E507" s="74"/>
    </row>
    <row r="508" spans="3:5" ht="15" customHeight="1" x14ac:dyDescent="0.25">
      <c r="C508" s="50"/>
      <c r="E508" s="74"/>
    </row>
    <row r="509" spans="3:5" ht="15" customHeight="1" x14ac:dyDescent="0.25">
      <c r="C509" s="50"/>
      <c r="E509" s="74"/>
    </row>
    <row r="510" spans="3:5" ht="15" customHeight="1" x14ac:dyDescent="0.25">
      <c r="C510" s="50"/>
      <c r="E510" s="74"/>
    </row>
    <row r="511" spans="3:5" ht="15" customHeight="1" x14ac:dyDescent="0.25">
      <c r="C511" s="50"/>
      <c r="E511" s="74"/>
    </row>
    <row r="512" spans="3:5" ht="15" customHeight="1" x14ac:dyDescent="0.25">
      <c r="C512" s="50"/>
      <c r="E512" s="74"/>
    </row>
    <row r="513" spans="3:5" ht="15" customHeight="1" x14ac:dyDescent="0.25">
      <c r="C513" s="50"/>
      <c r="E513" s="74"/>
    </row>
    <row r="514" spans="3:5" ht="15" customHeight="1" x14ac:dyDescent="0.25">
      <c r="C514" s="50"/>
      <c r="E514" s="74"/>
    </row>
    <row r="515" spans="3:5" ht="15" customHeight="1" x14ac:dyDescent="0.25">
      <c r="C515" s="50"/>
      <c r="E515" s="74"/>
    </row>
    <row r="516" spans="3:5" ht="15" customHeight="1" x14ac:dyDescent="0.25">
      <c r="C516" s="50"/>
      <c r="E516" s="74"/>
    </row>
    <row r="517" spans="3:5" ht="15" customHeight="1" x14ac:dyDescent="0.25">
      <c r="C517" s="50"/>
      <c r="E517" s="74"/>
    </row>
    <row r="518" spans="3:5" ht="15" customHeight="1" x14ac:dyDescent="0.25">
      <c r="C518" s="50"/>
      <c r="E518" s="74"/>
    </row>
    <row r="519" spans="3:5" ht="15" customHeight="1" x14ac:dyDescent="0.25">
      <c r="C519" s="50"/>
      <c r="E519" s="74"/>
    </row>
    <row r="520" spans="3:5" ht="15" customHeight="1" x14ac:dyDescent="0.25">
      <c r="C520" s="50"/>
      <c r="E520" s="74"/>
    </row>
    <row r="521" spans="3:5" ht="15" customHeight="1" x14ac:dyDescent="0.25">
      <c r="C521" s="50"/>
      <c r="E521" s="74"/>
    </row>
    <row r="522" spans="3:5" ht="15" customHeight="1" x14ac:dyDescent="0.25">
      <c r="C522" s="50"/>
      <c r="E522" s="74"/>
    </row>
    <row r="523" spans="3:5" ht="15" customHeight="1" x14ac:dyDescent="0.25">
      <c r="C523" s="50"/>
      <c r="E523" s="74"/>
    </row>
    <row r="524" spans="3:5" ht="15" customHeight="1" x14ac:dyDescent="0.25">
      <c r="C524" s="50"/>
      <c r="E524" s="74"/>
    </row>
    <row r="525" spans="3:5" ht="15" customHeight="1" x14ac:dyDescent="0.25">
      <c r="C525" s="50"/>
      <c r="E525" s="74"/>
    </row>
    <row r="526" spans="3:5" ht="15" customHeight="1" x14ac:dyDescent="0.25">
      <c r="C526" s="50"/>
      <c r="E526" s="74"/>
    </row>
    <row r="527" spans="3:5" ht="15" customHeight="1" x14ac:dyDescent="0.25">
      <c r="C527" s="50"/>
      <c r="E527" s="74"/>
    </row>
    <row r="528" spans="3:5" ht="15" customHeight="1" x14ac:dyDescent="0.25">
      <c r="C528" s="50"/>
      <c r="E528" s="74"/>
    </row>
    <row r="529" spans="3:5" ht="15" customHeight="1" x14ac:dyDescent="0.25">
      <c r="C529" s="50"/>
      <c r="E529" s="74"/>
    </row>
    <row r="530" spans="3:5" ht="15" customHeight="1" x14ac:dyDescent="0.25">
      <c r="C530" s="50"/>
      <c r="E530" s="74"/>
    </row>
    <row r="531" spans="3:5" ht="15" customHeight="1" x14ac:dyDescent="0.25">
      <c r="C531" s="50"/>
      <c r="E531" s="74"/>
    </row>
    <row r="532" spans="3:5" ht="15" customHeight="1" x14ac:dyDescent="0.25">
      <c r="C532" s="50"/>
      <c r="E532" s="74"/>
    </row>
    <row r="533" spans="3:5" ht="15" customHeight="1" x14ac:dyDescent="0.25">
      <c r="C533" s="50"/>
      <c r="E533" s="74"/>
    </row>
    <row r="534" spans="3:5" ht="15" customHeight="1" x14ac:dyDescent="0.25">
      <c r="C534" s="50"/>
      <c r="E534" s="74"/>
    </row>
    <row r="535" spans="3:5" ht="15" customHeight="1" x14ac:dyDescent="0.25">
      <c r="C535" s="50"/>
      <c r="E535" s="74"/>
    </row>
    <row r="536" spans="3:5" ht="15" customHeight="1" x14ac:dyDescent="0.25">
      <c r="C536" s="50"/>
      <c r="E536" s="74"/>
    </row>
    <row r="537" spans="3:5" ht="15" customHeight="1" x14ac:dyDescent="0.25">
      <c r="C537" s="50"/>
      <c r="E537" s="74"/>
    </row>
    <row r="538" spans="3:5" ht="15" customHeight="1" x14ac:dyDescent="0.25">
      <c r="C538" s="50"/>
      <c r="E538" s="74"/>
    </row>
    <row r="539" spans="3:5" ht="15" customHeight="1" x14ac:dyDescent="0.25">
      <c r="C539" s="50"/>
      <c r="E539" s="74"/>
    </row>
    <row r="540" spans="3:5" ht="15" customHeight="1" x14ac:dyDescent="0.25">
      <c r="C540" s="50"/>
      <c r="E540" s="74"/>
    </row>
    <row r="541" spans="3:5" ht="15" customHeight="1" x14ac:dyDescent="0.25">
      <c r="C541" s="50"/>
      <c r="E541" s="74"/>
    </row>
    <row r="542" spans="3:5" ht="15" customHeight="1" x14ac:dyDescent="0.25">
      <c r="C542" s="50"/>
      <c r="E542" s="74"/>
    </row>
    <row r="543" spans="3:5" ht="15" customHeight="1" x14ac:dyDescent="0.25">
      <c r="C543" s="50"/>
      <c r="E543" s="74"/>
    </row>
    <row r="544" spans="3:5" ht="15" customHeight="1" x14ac:dyDescent="0.25">
      <c r="C544" s="50"/>
      <c r="E544" s="74"/>
    </row>
    <row r="545" spans="3:5" ht="15" customHeight="1" x14ac:dyDescent="0.25">
      <c r="C545" s="50"/>
      <c r="E545" s="74"/>
    </row>
    <row r="546" spans="3:5" ht="15" customHeight="1" x14ac:dyDescent="0.25">
      <c r="C546" s="50"/>
      <c r="E546" s="74"/>
    </row>
    <row r="547" spans="3:5" ht="15" customHeight="1" x14ac:dyDescent="0.25">
      <c r="C547" s="50"/>
      <c r="E547" s="74"/>
    </row>
    <row r="548" spans="3:5" ht="15" customHeight="1" x14ac:dyDescent="0.25">
      <c r="C548" s="50"/>
      <c r="E548" s="74"/>
    </row>
    <row r="549" spans="3:5" ht="15" customHeight="1" x14ac:dyDescent="0.25">
      <c r="C549" s="50"/>
      <c r="E549" s="74"/>
    </row>
    <row r="550" spans="3:5" ht="15" customHeight="1" x14ac:dyDescent="0.25">
      <c r="C550" s="50"/>
      <c r="E550" s="74"/>
    </row>
    <row r="551" spans="3:5" ht="15" customHeight="1" x14ac:dyDescent="0.25">
      <c r="C551" s="50"/>
      <c r="E551" s="74"/>
    </row>
    <row r="552" spans="3:5" ht="15" customHeight="1" x14ac:dyDescent="0.25">
      <c r="C552" s="50"/>
      <c r="E552" s="74"/>
    </row>
    <row r="553" spans="3:5" ht="15" customHeight="1" x14ac:dyDescent="0.25">
      <c r="C553" s="50"/>
      <c r="E553" s="74"/>
    </row>
    <row r="554" spans="3:5" ht="15" customHeight="1" x14ac:dyDescent="0.25">
      <c r="C554" s="50"/>
      <c r="E554" s="74"/>
    </row>
    <row r="555" spans="3:5" ht="15" customHeight="1" x14ac:dyDescent="0.25">
      <c r="C555" s="50"/>
      <c r="E555" s="74"/>
    </row>
    <row r="556" spans="3:5" ht="15" customHeight="1" x14ac:dyDescent="0.25">
      <c r="C556" s="50"/>
      <c r="E556" s="74"/>
    </row>
    <row r="557" spans="3:5" ht="15" customHeight="1" x14ac:dyDescent="0.25">
      <c r="C557" s="50"/>
      <c r="E557" s="74"/>
    </row>
    <row r="558" spans="3:5" ht="15" customHeight="1" x14ac:dyDescent="0.25">
      <c r="C558" s="50"/>
      <c r="E558" s="74"/>
    </row>
    <row r="559" spans="3:5" ht="15" customHeight="1" x14ac:dyDescent="0.25">
      <c r="C559" s="50"/>
      <c r="E559" s="74"/>
    </row>
    <row r="560" spans="3:5" ht="15" customHeight="1" x14ac:dyDescent="0.25">
      <c r="C560" s="50"/>
      <c r="E560" s="74"/>
    </row>
    <row r="561" spans="3:5" ht="15" customHeight="1" x14ac:dyDescent="0.25">
      <c r="C561" s="50"/>
      <c r="E561" s="74"/>
    </row>
    <row r="562" spans="3:5" ht="15" customHeight="1" x14ac:dyDescent="0.25">
      <c r="C562" s="50"/>
      <c r="E562" s="74"/>
    </row>
    <row r="563" spans="3:5" ht="15" customHeight="1" x14ac:dyDescent="0.25">
      <c r="C563" s="50"/>
      <c r="E563" s="74"/>
    </row>
    <row r="564" spans="3:5" ht="15" customHeight="1" x14ac:dyDescent="0.25">
      <c r="C564" s="50"/>
      <c r="E564" s="74"/>
    </row>
    <row r="565" spans="3:5" ht="15" customHeight="1" x14ac:dyDescent="0.25">
      <c r="C565" s="50"/>
      <c r="E565" s="74"/>
    </row>
    <row r="566" spans="3:5" ht="15" customHeight="1" x14ac:dyDescent="0.25">
      <c r="C566" s="50"/>
      <c r="E566" s="74"/>
    </row>
    <row r="567" spans="3:5" ht="15" customHeight="1" x14ac:dyDescent="0.25">
      <c r="C567" s="50"/>
      <c r="E567" s="74"/>
    </row>
    <row r="568" spans="3:5" ht="15" customHeight="1" x14ac:dyDescent="0.25">
      <c r="C568" s="50"/>
      <c r="E568" s="74"/>
    </row>
    <row r="569" spans="3:5" ht="15" customHeight="1" x14ac:dyDescent="0.25">
      <c r="C569" s="50"/>
      <c r="E569" s="74"/>
    </row>
    <row r="570" spans="3:5" ht="15" customHeight="1" x14ac:dyDescent="0.25">
      <c r="C570" s="50"/>
      <c r="E570" s="74"/>
    </row>
    <row r="571" spans="3:5" ht="15" customHeight="1" x14ac:dyDescent="0.25">
      <c r="C571" s="50"/>
      <c r="E571" s="74"/>
    </row>
    <row r="572" spans="3:5" ht="15" customHeight="1" x14ac:dyDescent="0.25">
      <c r="C572" s="50"/>
      <c r="E572" s="74"/>
    </row>
    <row r="573" spans="3:5" ht="15" customHeight="1" x14ac:dyDescent="0.25">
      <c r="C573" s="50"/>
      <c r="E573" s="74"/>
    </row>
    <row r="574" spans="3:5" ht="15" customHeight="1" x14ac:dyDescent="0.25">
      <c r="C574" s="50"/>
      <c r="E574" s="74"/>
    </row>
    <row r="575" spans="3:5" ht="15" customHeight="1" x14ac:dyDescent="0.25">
      <c r="C575" s="50"/>
      <c r="E575" s="74"/>
    </row>
    <row r="576" spans="3:5" ht="15" customHeight="1" x14ac:dyDescent="0.25">
      <c r="C576" s="50"/>
      <c r="E576" s="74"/>
    </row>
    <row r="577" spans="3:5" ht="15" customHeight="1" x14ac:dyDescent="0.25">
      <c r="C577" s="50"/>
      <c r="E577" s="74"/>
    </row>
    <row r="578" spans="3:5" ht="15" customHeight="1" x14ac:dyDescent="0.25">
      <c r="C578" s="50"/>
      <c r="E578" s="74"/>
    </row>
    <row r="579" spans="3:5" ht="15" customHeight="1" x14ac:dyDescent="0.25">
      <c r="C579" s="50"/>
      <c r="E579" s="74"/>
    </row>
    <row r="580" spans="3:5" ht="15" customHeight="1" x14ac:dyDescent="0.25">
      <c r="C580" s="50"/>
      <c r="E580" s="74"/>
    </row>
    <row r="581" spans="3:5" ht="15" customHeight="1" x14ac:dyDescent="0.25">
      <c r="C581" s="50"/>
      <c r="E581" s="74"/>
    </row>
    <row r="582" spans="3:5" ht="15" customHeight="1" x14ac:dyDescent="0.25">
      <c r="C582" s="50"/>
      <c r="E582" s="74"/>
    </row>
    <row r="583" spans="3:5" ht="15" customHeight="1" x14ac:dyDescent="0.25">
      <c r="C583" s="50"/>
      <c r="E583" s="74"/>
    </row>
    <row r="584" spans="3:5" ht="15" customHeight="1" x14ac:dyDescent="0.25">
      <c r="C584" s="50"/>
      <c r="E584" s="74"/>
    </row>
    <row r="585" spans="3:5" ht="15" customHeight="1" x14ac:dyDescent="0.25">
      <c r="C585" s="50"/>
      <c r="E585" s="74"/>
    </row>
    <row r="586" spans="3:5" ht="15" customHeight="1" x14ac:dyDescent="0.25">
      <c r="C586" s="50"/>
      <c r="E586" s="74"/>
    </row>
    <row r="587" spans="3:5" ht="15" customHeight="1" x14ac:dyDescent="0.25">
      <c r="C587" s="50"/>
      <c r="E587" s="74"/>
    </row>
    <row r="588" spans="3:5" ht="15" customHeight="1" x14ac:dyDescent="0.25">
      <c r="C588" s="50"/>
      <c r="E588" s="74"/>
    </row>
    <row r="589" spans="3:5" ht="15" customHeight="1" x14ac:dyDescent="0.25">
      <c r="C589" s="50"/>
      <c r="E589" s="74"/>
    </row>
    <row r="590" spans="3:5" ht="15" customHeight="1" x14ac:dyDescent="0.25">
      <c r="C590" s="50"/>
      <c r="E590" s="74"/>
    </row>
    <row r="591" spans="3:5" ht="15" customHeight="1" x14ac:dyDescent="0.25">
      <c r="C591" s="50"/>
      <c r="E591" s="74"/>
    </row>
    <row r="592" spans="3:5" ht="15" customHeight="1" x14ac:dyDescent="0.25">
      <c r="C592" s="50"/>
      <c r="E592" s="74"/>
    </row>
    <row r="593" spans="3:5" ht="15" customHeight="1" x14ac:dyDescent="0.25">
      <c r="C593" s="50"/>
      <c r="E593" s="74"/>
    </row>
    <row r="594" spans="3:5" ht="15" customHeight="1" x14ac:dyDescent="0.25">
      <c r="C594" s="50"/>
      <c r="E594" s="74"/>
    </row>
    <row r="595" spans="3:5" ht="15" customHeight="1" x14ac:dyDescent="0.25">
      <c r="C595" s="50"/>
      <c r="E595" s="74"/>
    </row>
    <row r="596" spans="3:5" ht="15" customHeight="1" x14ac:dyDescent="0.25">
      <c r="C596" s="50"/>
      <c r="E596" s="74"/>
    </row>
    <row r="597" spans="3:5" ht="15" customHeight="1" x14ac:dyDescent="0.25">
      <c r="C597" s="50"/>
      <c r="E597" s="74"/>
    </row>
    <row r="598" spans="3:5" ht="15" customHeight="1" x14ac:dyDescent="0.25">
      <c r="C598" s="50"/>
      <c r="E598" s="74"/>
    </row>
    <row r="599" spans="3:5" ht="15" customHeight="1" x14ac:dyDescent="0.25">
      <c r="C599" s="50"/>
      <c r="E599" s="74"/>
    </row>
    <row r="600" spans="3:5" ht="15" customHeight="1" x14ac:dyDescent="0.25">
      <c r="C600" s="50"/>
      <c r="E600" s="74"/>
    </row>
    <row r="601" spans="3:5" ht="15" customHeight="1" x14ac:dyDescent="0.25">
      <c r="C601" s="50"/>
      <c r="E601" s="74"/>
    </row>
    <row r="602" spans="3:5" ht="15" customHeight="1" x14ac:dyDescent="0.25">
      <c r="C602" s="50"/>
      <c r="E602" s="74"/>
    </row>
    <row r="603" spans="3:5" ht="15" customHeight="1" x14ac:dyDescent="0.25">
      <c r="C603" s="50"/>
      <c r="E603" s="74"/>
    </row>
    <row r="604" spans="3:5" ht="15" customHeight="1" x14ac:dyDescent="0.25">
      <c r="C604" s="50"/>
      <c r="E604" s="74"/>
    </row>
    <row r="605" spans="3:5" ht="15" customHeight="1" x14ac:dyDescent="0.25">
      <c r="C605" s="50"/>
      <c r="E605" s="74"/>
    </row>
    <row r="606" spans="3:5" ht="15" customHeight="1" x14ac:dyDescent="0.25">
      <c r="C606" s="50"/>
      <c r="E606" s="74"/>
    </row>
    <row r="607" spans="3:5" ht="15" customHeight="1" x14ac:dyDescent="0.25">
      <c r="C607" s="50"/>
      <c r="E607" s="74"/>
    </row>
    <row r="608" spans="3:5" ht="15" customHeight="1" x14ac:dyDescent="0.25">
      <c r="C608" s="50"/>
      <c r="E608" s="74"/>
    </row>
    <row r="609" spans="3:5" ht="15" customHeight="1" x14ac:dyDescent="0.25">
      <c r="C609" s="50"/>
      <c r="E609" s="74"/>
    </row>
    <row r="610" spans="3:5" ht="15" customHeight="1" x14ac:dyDescent="0.25">
      <c r="C610" s="50"/>
      <c r="E610" s="74"/>
    </row>
    <row r="611" spans="3:5" ht="15" customHeight="1" x14ac:dyDescent="0.25">
      <c r="C611" s="50"/>
      <c r="E611" s="74"/>
    </row>
    <row r="612" spans="3:5" ht="15" customHeight="1" x14ac:dyDescent="0.25">
      <c r="C612" s="50"/>
      <c r="E612" s="74"/>
    </row>
    <row r="613" spans="3:5" ht="15" customHeight="1" x14ac:dyDescent="0.25">
      <c r="C613" s="50"/>
      <c r="E613" s="74"/>
    </row>
    <row r="614" spans="3:5" ht="15" customHeight="1" x14ac:dyDescent="0.25">
      <c r="C614" s="50"/>
      <c r="E614" s="74"/>
    </row>
    <row r="615" spans="3:5" ht="15" customHeight="1" x14ac:dyDescent="0.25">
      <c r="C615" s="50"/>
      <c r="E615" s="74"/>
    </row>
    <row r="616" spans="3:5" ht="15" customHeight="1" x14ac:dyDescent="0.25">
      <c r="C616" s="50"/>
      <c r="E616" s="74"/>
    </row>
    <row r="617" spans="3:5" ht="15" customHeight="1" x14ac:dyDescent="0.25">
      <c r="C617" s="50"/>
      <c r="E617" s="74"/>
    </row>
    <row r="618" spans="3:5" ht="15" customHeight="1" x14ac:dyDescent="0.25">
      <c r="C618" s="50"/>
      <c r="E618" s="74"/>
    </row>
    <row r="619" spans="3:5" ht="15" customHeight="1" x14ac:dyDescent="0.25">
      <c r="C619" s="50"/>
      <c r="E619" s="74"/>
    </row>
    <row r="620" spans="3:5" ht="15" customHeight="1" x14ac:dyDescent="0.25">
      <c r="C620" s="50"/>
      <c r="E620" s="74"/>
    </row>
    <row r="621" spans="3:5" ht="15" customHeight="1" x14ac:dyDescent="0.25">
      <c r="C621" s="50"/>
      <c r="E621" s="74"/>
    </row>
    <row r="622" spans="3:5" ht="15" customHeight="1" x14ac:dyDescent="0.25">
      <c r="C622" s="50"/>
      <c r="E622" s="74"/>
    </row>
    <row r="623" spans="3:5" ht="15" customHeight="1" x14ac:dyDescent="0.25">
      <c r="C623" s="50"/>
      <c r="E623" s="74"/>
    </row>
    <row r="624" spans="3:5" ht="15" customHeight="1" x14ac:dyDescent="0.25">
      <c r="C624" s="50"/>
      <c r="E624" s="74"/>
    </row>
    <row r="625" spans="3:5" ht="15" customHeight="1" x14ac:dyDescent="0.25">
      <c r="C625" s="50"/>
      <c r="E625" s="74"/>
    </row>
    <row r="626" spans="3:5" ht="15" customHeight="1" x14ac:dyDescent="0.25">
      <c r="C626" s="50"/>
      <c r="E626" s="74"/>
    </row>
    <row r="627" spans="3:5" ht="15" customHeight="1" x14ac:dyDescent="0.25">
      <c r="C627" s="50"/>
      <c r="E627" s="74"/>
    </row>
    <row r="628" spans="3:5" ht="15" customHeight="1" x14ac:dyDescent="0.25">
      <c r="C628" s="50"/>
      <c r="E628" s="74"/>
    </row>
    <row r="629" spans="3:5" ht="15" customHeight="1" x14ac:dyDescent="0.25">
      <c r="C629" s="50"/>
      <c r="E629" s="74"/>
    </row>
    <row r="630" spans="3:5" ht="15" customHeight="1" x14ac:dyDescent="0.25">
      <c r="C630" s="50"/>
      <c r="E630" s="74"/>
    </row>
    <row r="631" spans="3:5" ht="15" customHeight="1" x14ac:dyDescent="0.25">
      <c r="C631" s="50"/>
      <c r="E631" s="74"/>
    </row>
    <row r="632" spans="3:5" ht="15" customHeight="1" x14ac:dyDescent="0.25">
      <c r="C632" s="50"/>
      <c r="E632" s="74"/>
    </row>
    <row r="633" spans="3:5" ht="15" customHeight="1" x14ac:dyDescent="0.25">
      <c r="C633" s="50"/>
      <c r="E633" s="74"/>
    </row>
    <row r="634" spans="3:5" ht="15" customHeight="1" x14ac:dyDescent="0.25">
      <c r="C634" s="50"/>
      <c r="E634" s="74"/>
    </row>
    <row r="635" spans="3:5" ht="15" customHeight="1" x14ac:dyDescent="0.25">
      <c r="C635" s="50"/>
      <c r="E635" s="74"/>
    </row>
    <row r="636" spans="3:5" ht="15" customHeight="1" x14ac:dyDescent="0.25">
      <c r="C636" s="50"/>
      <c r="E636" s="74"/>
    </row>
    <row r="637" spans="3:5" ht="15" customHeight="1" x14ac:dyDescent="0.25">
      <c r="C637" s="50"/>
      <c r="E637" s="74"/>
    </row>
    <row r="638" spans="3:5" ht="15" customHeight="1" x14ac:dyDescent="0.25">
      <c r="C638" s="50"/>
      <c r="E638" s="74"/>
    </row>
    <row r="639" spans="3:5" ht="15" customHeight="1" x14ac:dyDescent="0.25">
      <c r="C639" s="50"/>
      <c r="E639" s="74"/>
    </row>
    <row r="640" spans="3:5" ht="15" customHeight="1" x14ac:dyDescent="0.25">
      <c r="C640" s="50"/>
      <c r="E640" s="74"/>
    </row>
    <row r="641" spans="3:5" ht="15" customHeight="1" x14ac:dyDescent="0.25">
      <c r="C641" s="50"/>
      <c r="E641" s="74"/>
    </row>
    <row r="642" spans="3:5" ht="15" customHeight="1" x14ac:dyDescent="0.25">
      <c r="C642" s="50"/>
      <c r="E642" s="74"/>
    </row>
    <row r="643" spans="3:5" ht="15" customHeight="1" x14ac:dyDescent="0.25">
      <c r="C643" s="50"/>
      <c r="E643" s="74"/>
    </row>
    <row r="644" spans="3:5" ht="15" customHeight="1" x14ac:dyDescent="0.25">
      <c r="C644" s="50"/>
      <c r="E644" s="74"/>
    </row>
    <row r="645" spans="3:5" ht="15" customHeight="1" x14ac:dyDescent="0.25">
      <c r="C645" s="50"/>
      <c r="E645" s="74"/>
    </row>
    <row r="646" spans="3:5" ht="15" customHeight="1" x14ac:dyDescent="0.25">
      <c r="C646" s="50"/>
      <c r="E646" s="74"/>
    </row>
    <row r="647" spans="3:5" ht="15" customHeight="1" x14ac:dyDescent="0.25">
      <c r="C647" s="50"/>
      <c r="E647" s="74"/>
    </row>
    <row r="648" spans="3:5" ht="15" customHeight="1" x14ac:dyDescent="0.25">
      <c r="C648" s="50"/>
      <c r="E648" s="74"/>
    </row>
    <row r="649" spans="3:5" ht="15" customHeight="1" x14ac:dyDescent="0.25">
      <c r="C649" s="50"/>
      <c r="E649" s="74"/>
    </row>
    <row r="650" spans="3:5" ht="15" customHeight="1" x14ac:dyDescent="0.25">
      <c r="C650" s="50"/>
      <c r="E650" s="74"/>
    </row>
    <row r="651" spans="3:5" ht="15" customHeight="1" x14ac:dyDescent="0.25">
      <c r="C651" s="50"/>
      <c r="E651" s="74"/>
    </row>
    <row r="652" spans="3:5" ht="15" customHeight="1" x14ac:dyDescent="0.25">
      <c r="C652" s="50"/>
      <c r="E652" s="74"/>
    </row>
    <row r="653" spans="3:5" ht="15" customHeight="1" x14ac:dyDescent="0.25">
      <c r="C653" s="50"/>
      <c r="E653" s="74"/>
    </row>
    <row r="654" spans="3:5" ht="15" customHeight="1" x14ac:dyDescent="0.25">
      <c r="C654" s="50"/>
      <c r="E654" s="74"/>
    </row>
    <row r="655" spans="3:5" ht="15" customHeight="1" x14ac:dyDescent="0.25">
      <c r="C655" s="50"/>
      <c r="E655" s="74"/>
    </row>
    <row r="656" spans="3:5" ht="15" customHeight="1" x14ac:dyDescent="0.25">
      <c r="C656" s="50"/>
      <c r="E656" s="74"/>
    </row>
    <row r="657" spans="3:5" ht="15" customHeight="1" x14ac:dyDescent="0.25">
      <c r="C657" s="50"/>
      <c r="E657" s="74"/>
    </row>
    <row r="658" spans="3:5" ht="15" customHeight="1" x14ac:dyDescent="0.25">
      <c r="C658" s="50"/>
      <c r="E658" s="74"/>
    </row>
    <row r="659" spans="3:5" ht="15" customHeight="1" x14ac:dyDescent="0.25">
      <c r="C659" s="50"/>
      <c r="E659" s="74"/>
    </row>
    <row r="660" spans="3:5" ht="15" customHeight="1" x14ac:dyDescent="0.25">
      <c r="C660" s="50"/>
      <c r="E660" s="74"/>
    </row>
    <row r="661" spans="3:5" ht="15" customHeight="1" x14ac:dyDescent="0.25">
      <c r="C661" s="50"/>
      <c r="E661" s="74"/>
    </row>
    <row r="662" spans="3:5" ht="15" customHeight="1" x14ac:dyDescent="0.25">
      <c r="C662" s="50"/>
      <c r="E662" s="74"/>
    </row>
    <row r="663" spans="3:5" ht="15" customHeight="1" x14ac:dyDescent="0.25">
      <c r="C663" s="50"/>
      <c r="E663" s="74"/>
    </row>
    <row r="664" spans="3:5" ht="15" customHeight="1" x14ac:dyDescent="0.25">
      <c r="C664" s="50"/>
      <c r="E664" s="74"/>
    </row>
    <row r="665" spans="3:5" ht="15" customHeight="1" x14ac:dyDescent="0.25">
      <c r="C665" s="50"/>
      <c r="E665" s="74"/>
    </row>
    <row r="666" spans="3:5" ht="15" customHeight="1" x14ac:dyDescent="0.25">
      <c r="C666" s="50"/>
      <c r="E666" s="74"/>
    </row>
    <row r="667" spans="3:5" ht="15" customHeight="1" x14ac:dyDescent="0.25">
      <c r="C667" s="50"/>
      <c r="E667" s="74"/>
    </row>
    <row r="668" spans="3:5" ht="15" customHeight="1" x14ac:dyDescent="0.25">
      <c r="C668" s="50"/>
      <c r="E668" s="74"/>
    </row>
    <row r="669" spans="3:5" ht="15" customHeight="1" x14ac:dyDescent="0.25">
      <c r="C669" s="50"/>
      <c r="E669" s="74"/>
    </row>
    <row r="670" spans="3:5" ht="15" customHeight="1" x14ac:dyDescent="0.25">
      <c r="C670" s="50"/>
      <c r="E670" s="74"/>
    </row>
    <row r="671" spans="3:5" ht="15" customHeight="1" x14ac:dyDescent="0.25">
      <c r="C671" s="50"/>
      <c r="E671" s="74"/>
    </row>
    <row r="672" spans="3:5" ht="15" customHeight="1" x14ac:dyDescent="0.25">
      <c r="C672" s="50"/>
      <c r="E672" s="74"/>
    </row>
    <row r="673" spans="3:5" ht="15" customHeight="1" x14ac:dyDescent="0.25">
      <c r="C673" s="50"/>
      <c r="E673" s="74"/>
    </row>
    <row r="674" spans="3:5" ht="15" customHeight="1" x14ac:dyDescent="0.25">
      <c r="C674" s="50"/>
      <c r="E674" s="74"/>
    </row>
    <row r="675" spans="3:5" ht="15" customHeight="1" x14ac:dyDescent="0.25">
      <c r="C675" s="50"/>
      <c r="E675" s="74"/>
    </row>
    <row r="676" spans="3:5" ht="15" customHeight="1" x14ac:dyDescent="0.25">
      <c r="C676" s="50"/>
      <c r="E676" s="74"/>
    </row>
    <row r="677" spans="3:5" ht="15" customHeight="1" x14ac:dyDescent="0.25">
      <c r="C677" s="50"/>
      <c r="E677" s="74"/>
    </row>
    <row r="678" spans="3:5" ht="15" customHeight="1" x14ac:dyDescent="0.25">
      <c r="C678" s="50"/>
      <c r="E678" s="74"/>
    </row>
    <row r="679" spans="3:5" ht="15" customHeight="1" x14ac:dyDescent="0.25">
      <c r="C679" s="50"/>
      <c r="E679" s="74"/>
    </row>
    <row r="680" spans="3:5" ht="15" customHeight="1" x14ac:dyDescent="0.25">
      <c r="C680" s="50"/>
      <c r="E680" s="74"/>
    </row>
    <row r="681" spans="3:5" ht="15" customHeight="1" x14ac:dyDescent="0.25">
      <c r="C681" s="50"/>
      <c r="E681" s="74"/>
    </row>
    <row r="682" spans="3:5" ht="15" customHeight="1" x14ac:dyDescent="0.25">
      <c r="C682" s="50"/>
      <c r="E682" s="74"/>
    </row>
    <row r="683" spans="3:5" ht="15" customHeight="1" x14ac:dyDescent="0.25">
      <c r="C683" s="50"/>
      <c r="E683" s="74"/>
    </row>
    <row r="684" spans="3:5" ht="15" customHeight="1" x14ac:dyDescent="0.25">
      <c r="C684" s="50"/>
      <c r="E684" s="74"/>
    </row>
    <row r="685" spans="3:5" ht="15" customHeight="1" x14ac:dyDescent="0.25">
      <c r="C685" s="50"/>
      <c r="E685" s="74"/>
    </row>
    <row r="686" spans="3:5" ht="15" customHeight="1" x14ac:dyDescent="0.25">
      <c r="C686" s="50"/>
      <c r="E686" s="74"/>
    </row>
    <row r="687" spans="3:5" ht="15" customHeight="1" x14ac:dyDescent="0.25">
      <c r="C687" s="50"/>
      <c r="E687" s="74"/>
    </row>
    <row r="688" spans="3:5" ht="15" customHeight="1" x14ac:dyDescent="0.25">
      <c r="C688" s="50"/>
      <c r="E688" s="74"/>
    </row>
    <row r="689" spans="3:5" ht="15" customHeight="1" x14ac:dyDescent="0.25">
      <c r="C689" s="50"/>
      <c r="E689" s="74"/>
    </row>
    <row r="690" spans="3:5" ht="15" customHeight="1" x14ac:dyDescent="0.25">
      <c r="C690" s="50"/>
      <c r="E690" s="74"/>
    </row>
    <row r="691" spans="3:5" ht="15" customHeight="1" x14ac:dyDescent="0.25">
      <c r="C691" s="50"/>
      <c r="E691" s="74"/>
    </row>
    <row r="692" spans="3:5" ht="15" customHeight="1" x14ac:dyDescent="0.25">
      <c r="C692" s="50"/>
      <c r="E692" s="74"/>
    </row>
    <row r="693" spans="3:5" ht="15" customHeight="1" x14ac:dyDescent="0.25">
      <c r="C693" s="50"/>
      <c r="E693" s="74"/>
    </row>
    <row r="694" spans="3:5" ht="15" customHeight="1" x14ac:dyDescent="0.25">
      <c r="C694" s="50"/>
      <c r="E694" s="74"/>
    </row>
    <row r="695" spans="3:5" ht="15" customHeight="1" x14ac:dyDescent="0.25">
      <c r="C695" s="50"/>
      <c r="E695" s="74"/>
    </row>
    <row r="696" spans="3:5" ht="15" customHeight="1" x14ac:dyDescent="0.25">
      <c r="C696" s="50"/>
      <c r="E696" s="74"/>
    </row>
    <row r="697" spans="3:5" ht="15" customHeight="1" x14ac:dyDescent="0.25">
      <c r="C697" s="50"/>
      <c r="E697" s="74"/>
    </row>
    <row r="698" spans="3:5" ht="15" customHeight="1" x14ac:dyDescent="0.25">
      <c r="C698" s="50"/>
      <c r="E698" s="74"/>
    </row>
    <row r="699" spans="3:5" ht="15" customHeight="1" x14ac:dyDescent="0.25">
      <c r="C699" s="50"/>
      <c r="E699" s="74"/>
    </row>
    <row r="700" spans="3:5" ht="15" customHeight="1" x14ac:dyDescent="0.25">
      <c r="C700" s="50"/>
      <c r="E700" s="74"/>
    </row>
    <row r="701" spans="3:5" ht="15" customHeight="1" x14ac:dyDescent="0.25">
      <c r="C701" s="50"/>
      <c r="E701" s="74"/>
    </row>
    <row r="702" spans="3:5" ht="15" customHeight="1" x14ac:dyDescent="0.25">
      <c r="C702" s="50"/>
      <c r="E702" s="74"/>
    </row>
    <row r="703" spans="3:5" ht="15" customHeight="1" x14ac:dyDescent="0.25">
      <c r="C703" s="50"/>
      <c r="E703" s="74"/>
    </row>
    <row r="704" spans="3:5" ht="15" customHeight="1" x14ac:dyDescent="0.25">
      <c r="C704" s="50"/>
      <c r="E704" s="74"/>
    </row>
    <row r="705" spans="3:5" ht="15" customHeight="1" x14ac:dyDescent="0.25">
      <c r="C705" s="50"/>
      <c r="E705" s="74"/>
    </row>
    <row r="706" spans="3:5" ht="15" customHeight="1" x14ac:dyDescent="0.25">
      <c r="C706" s="50"/>
      <c r="E706" s="74"/>
    </row>
    <row r="707" spans="3:5" ht="15" customHeight="1" x14ac:dyDescent="0.25">
      <c r="C707" s="50"/>
      <c r="E707" s="74"/>
    </row>
    <row r="708" spans="3:5" ht="15" customHeight="1" x14ac:dyDescent="0.25">
      <c r="C708" s="50"/>
      <c r="E708" s="74"/>
    </row>
    <row r="709" spans="3:5" ht="15" customHeight="1" x14ac:dyDescent="0.25">
      <c r="C709" s="50"/>
      <c r="E709" s="74"/>
    </row>
    <row r="710" spans="3:5" ht="15" customHeight="1" x14ac:dyDescent="0.25">
      <c r="C710" s="50"/>
      <c r="E710" s="74"/>
    </row>
    <row r="711" spans="3:5" ht="15" customHeight="1" x14ac:dyDescent="0.25">
      <c r="C711" s="50"/>
      <c r="E711" s="74"/>
    </row>
    <row r="712" spans="3:5" ht="15" customHeight="1" x14ac:dyDescent="0.25">
      <c r="C712" s="50"/>
      <c r="E712" s="74"/>
    </row>
    <row r="713" spans="3:5" ht="15" customHeight="1" x14ac:dyDescent="0.25">
      <c r="C713" s="50"/>
      <c r="E713" s="74"/>
    </row>
    <row r="714" spans="3:5" ht="15" customHeight="1" x14ac:dyDescent="0.25">
      <c r="C714" s="50"/>
      <c r="E714" s="74"/>
    </row>
    <row r="715" spans="3:5" ht="15" customHeight="1" x14ac:dyDescent="0.25">
      <c r="C715" s="50"/>
      <c r="E715" s="74"/>
    </row>
    <row r="716" spans="3:5" ht="15" customHeight="1" x14ac:dyDescent="0.25">
      <c r="C716" s="50"/>
      <c r="E716" s="74"/>
    </row>
    <row r="717" spans="3:5" ht="15" customHeight="1" x14ac:dyDescent="0.25">
      <c r="C717" s="50"/>
      <c r="E717" s="74"/>
    </row>
    <row r="718" spans="3:5" ht="15" customHeight="1" x14ac:dyDescent="0.25">
      <c r="C718" s="50"/>
      <c r="E718" s="74"/>
    </row>
    <row r="719" spans="3:5" ht="15" customHeight="1" x14ac:dyDescent="0.25">
      <c r="C719" s="50"/>
      <c r="E719" s="74"/>
    </row>
    <row r="720" spans="3:5" ht="15" customHeight="1" x14ac:dyDescent="0.25">
      <c r="C720" s="50"/>
      <c r="E720" s="74"/>
    </row>
    <row r="721" spans="3:5" ht="15" customHeight="1" x14ac:dyDescent="0.25">
      <c r="C721" s="50"/>
      <c r="E721" s="74"/>
    </row>
    <row r="722" spans="3:5" ht="15" customHeight="1" x14ac:dyDescent="0.25">
      <c r="C722" s="50"/>
      <c r="E722" s="74"/>
    </row>
    <row r="723" spans="3:5" ht="15" customHeight="1" x14ac:dyDescent="0.25">
      <c r="C723" s="50"/>
      <c r="E723" s="74"/>
    </row>
    <row r="724" spans="3:5" ht="15" customHeight="1" x14ac:dyDescent="0.25">
      <c r="C724" s="50"/>
      <c r="E724" s="74"/>
    </row>
    <row r="725" spans="3:5" ht="15" customHeight="1" x14ac:dyDescent="0.25">
      <c r="C725" s="50"/>
      <c r="E725" s="74"/>
    </row>
    <row r="726" spans="3:5" ht="15" customHeight="1" x14ac:dyDescent="0.25">
      <c r="C726" s="50"/>
      <c r="E726" s="74"/>
    </row>
    <row r="727" spans="3:5" ht="15" customHeight="1" x14ac:dyDescent="0.25">
      <c r="C727" s="50"/>
      <c r="E727" s="74"/>
    </row>
    <row r="728" spans="3:5" ht="15" customHeight="1" x14ac:dyDescent="0.25">
      <c r="C728" s="50"/>
      <c r="E728" s="74"/>
    </row>
    <row r="729" spans="3:5" ht="15" customHeight="1" x14ac:dyDescent="0.25">
      <c r="C729" s="50"/>
      <c r="E729" s="74"/>
    </row>
    <row r="730" spans="3:5" ht="15" customHeight="1" x14ac:dyDescent="0.25">
      <c r="C730" s="50"/>
      <c r="E730" s="74"/>
    </row>
    <row r="731" spans="3:5" ht="15" customHeight="1" x14ac:dyDescent="0.25">
      <c r="C731" s="50"/>
      <c r="E731" s="74"/>
    </row>
    <row r="732" spans="3:5" ht="15" customHeight="1" x14ac:dyDescent="0.25">
      <c r="C732" s="50"/>
      <c r="E732" s="74"/>
    </row>
    <row r="733" spans="3:5" ht="15" customHeight="1" x14ac:dyDescent="0.25">
      <c r="C733" s="50"/>
      <c r="E733" s="74"/>
    </row>
    <row r="734" spans="3:5" ht="15" customHeight="1" x14ac:dyDescent="0.25">
      <c r="C734" s="50"/>
      <c r="E734" s="74"/>
    </row>
    <row r="735" spans="3:5" ht="15" customHeight="1" x14ac:dyDescent="0.25">
      <c r="C735" s="50"/>
      <c r="E735" s="74"/>
    </row>
    <row r="736" spans="3:5" ht="15" customHeight="1" x14ac:dyDescent="0.25">
      <c r="C736" s="50"/>
      <c r="E736" s="74"/>
    </row>
    <row r="737" spans="3:5" ht="15" customHeight="1" x14ac:dyDescent="0.25">
      <c r="C737" s="50"/>
      <c r="E737" s="74"/>
    </row>
    <row r="738" spans="3:5" ht="15" customHeight="1" x14ac:dyDescent="0.25">
      <c r="C738" s="50"/>
      <c r="E738" s="74"/>
    </row>
    <row r="739" spans="3:5" ht="15" customHeight="1" x14ac:dyDescent="0.25">
      <c r="C739" s="50"/>
      <c r="E739" s="74"/>
    </row>
    <row r="740" spans="3:5" ht="15" customHeight="1" x14ac:dyDescent="0.25">
      <c r="C740" s="50"/>
      <c r="E740" s="74"/>
    </row>
    <row r="741" spans="3:5" ht="15" customHeight="1" x14ac:dyDescent="0.25">
      <c r="C741" s="50"/>
      <c r="E741" s="74"/>
    </row>
    <row r="742" spans="3:5" ht="15" customHeight="1" x14ac:dyDescent="0.25">
      <c r="C742" s="50"/>
      <c r="E742" s="74"/>
    </row>
    <row r="743" spans="3:5" ht="15" customHeight="1" x14ac:dyDescent="0.25">
      <c r="C743" s="50"/>
      <c r="E743" s="74"/>
    </row>
    <row r="744" spans="3:5" ht="15" customHeight="1" x14ac:dyDescent="0.25">
      <c r="C744" s="50"/>
      <c r="E744" s="74"/>
    </row>
    <row r="745" spans="3:5" ht="15" customHeight="1" x14ac:dyDescent="0.25">
      <c r="C745" s="50"/>
      <c r="E745" s="74"/>
    </row>
    <row r="746" spans="3:5" ht="15" customHeight="1" x14ac:dyDescent="0.25">
      <c r="C746" s="50"/>
      <c r="E746" s="74"/>
    </row>
    <row r="747" spans="3:5" ht="15" customHeight="1" x14ac:dyDescent="0.25">
      <c r="C747" s="50"/>
      <c r="E747" s="74"/>
    </row>
    <row r="748" spans="3:5" ht="15" customHeight="1" x14ac:dyDescent="0.25">
      <c r="C748" s="50"/>
      <c r="E748" s="74"/>
    </row>
    <row r="749" spans="3:5" ht="15" customHeight="1" x14ac:dyDescent="0.25">
      <c r="C749" s="50"/>
      <c r="E749" s="74"/>
    </row>
    <row r="750" spans="3:5" ht="15" customHeight="1" x14ac:dyDescent="0.25">
      <c r="C750" s="50"/>
      <c r="E750" s="74"/>
    </row>
    <row r="751" spans="3:5" ht="15" customHeight="1" x14ac:dyDescent="0.25">
      <c r="C751" s="50"/>
      <c r="E751" s="74"/>
    </row>
    <row r="752" spans="3:5" ht="15" customHeight="1" x14ac:dyDescent="0.25">
      <c r="C752" s="50"/>
      <c r="E752" s="74"/>
    </row>
    <row r="753" spans="3:5" ht="15" customHeight="1" x14ac:dyDescent="0.25">
      <c r="C753" s="50"/>
      <c r="E753" s="74"/>
    </row>
    <row r="754" spans="3:5" ht="15" customHeight="1" x14ac:dyDescent="0.25">
      <c r="C754" s="50"/>
      <c r="E754" s="74"/>
    </row>
    <row r="755" spans="3:5" ht="15" customHeight="1" x14ac:dyDescent="0.25">
      <c r="C755" s="50"/>
      <c r="E755" s="74"/>
    </row>
    <row r="756" spans="3:5" ht="15" customHeight="1" x14ac:dyDescent="0.25">
      <c r="C756" s="50"/>
      <c r="E756" s="74"/>
    </row>
    <row r="757" spans="3:5" ht="15" customHeight="1" x14ac:dyDescent="0.25">
      <c r="C757" s="50"/>
      <c r="E757" s="74"/>
    </row>
    <row r="758" spans="3:5" ht="15" customHeight="1" x14ac:dyDescent="0.25">
      <c r="C758" s="50"/>
      <c r="E758" s="74"/>
    </row>
    <row r="759" spans="3:5" ht="15" customHeight="1" x14ac:dyDescent="0.25">
      <c r="C759" s="50"/>
      <c r="E759" s="74"/>
    </row>
    <row r="760" spans="3:5" ht="15" customHeight="1" x14ac:dyDescent="0.25">
      <c r="C760" s="50"/>
      <c r="E760" s="74"/>
    </row>
    <row r="761" spans="3:5" ht="15" customHeight="1" x14ac:dyDescent="0.25">
      <c r="C761" s="50"/>
      <c r="E761" s="74"/>
    </row>
    <row r="762" spans="3:5" ht="15" customHeight="1" x14ac:dyDescent="0.25">
      <c r="C762" s="50"/>
      <c r="E762" s="74"/>
    </row>
    <row r="763" spans="3:5" ht="15" customHeight="1" x14ac:dyDescent="0.25">
      <c r="C763" s="50"/>
      <c r="E763" s="74"/>
    </row>
    <row r="764" spans="3:5" ht="15" customHeight="1" x14ac:dyDescent="0.25">
      <c r="C764" s="50"/>
      <c r="E764" s="74"/>
    </row>
    <row r="765" spans="3:5" ht="15" customHeight="1" x14ac:dyDescent="0.25">
      <c r="C765" s="50"/>
      <c r="E765" s="74"/>
    </row>
    <row r="766" spans="3:5" ht="15" customHeight="1" x14ac:dyDescent="0.25">
      <c r="C766" s="50"/>
      <c r="E766" s="74"/>
    </row>
    <row r="767" spans="3:5" ht="15" customHeight="1" x14ac:dyDescent="0.25">
      <c r="C767" s="50"/>
      <c r="E767" s="74"/>
    </row>
    <row r="768" spans="3:5" ht="15" customHeight="1" x14ac:dyDescent="0.25">
      <c r="C768" s="50"/>
      <c r="E768" s="74"/>
    </row>
    <row r="769" spans="3:5" ht="15" customHeight="1" x14ac:dyDescent="0.25">
      <c r="C769" s="50"/>
      <c r="E769" s="74"/>
    </row>
    <row r="770" spans="3:5" ht="15" customHeight="1" x14ac:dyDescent="0.25">
      <c r="C770" s="50"/>
      <c r="E770" s="74"/>
    </row>
    <row r="771" spans="3:5" ht="15" customHeight="1" x14ac:dyDescent="0.25">
      <c r="C771" s="50"/>
      <c r="E771" s="74"/>
    </row>
    <row r="772" spans="3:5" ht="15" customHeight="1" x14ac:dyDescent="0.25">
      <c r="C772" s="50"/>
      <c r="E772" s="74"/>
    </row>
    <row r="773" spans="3:5" ht="15" customHeight="1" x14ac:dyDescent="0.25">
      <c r="C773" s="50"/>
      <c r="E773" s="74"/>
    </row>
    <row r="774" spans="3:5" ht="15" customHeight="1" x14ac:dyDescent="0.25">
      <c r="C774" s="50"/>
      <c r="E774" s="74"/>
    </row>
    <row r="775" spans="3:5" ht="15" customHeight="1" x14ac:dyDescent="0.25">
      <c r="C775" s="50"/>
      <c r="E775" s="74"/>
    </row>
    <row r="776" spans="3:5" ht="15" customHeight="1" x14ac:dyDescent="0.25">
      <c r="C776" s="50"/>
      <c r="E776" s="74"/>
    </row>
    <row r="777" spans="3:5" ht="15" customHeight="1" x14ac:dyDescent="0.25">
      <c r="C777" s="50"/>
      <c r="E777" s="74"/>
    </row>
    <row r="778" spans="3:5" ht="15" customHeight="1" x14ac:dyDescent="0.25">
      <c r="C778" s="50"/>
      <c r="E778" s="74"/>
    </row>
    <row r="779" spans="3:5" ht="15" customHeight="1" x14ac:dyDescent="0.25">
      <c r="C779" s="50"/>
      <c r="E779" s="74"/>
    </row>
    <row r="780" spans="3:5" ht="15" customHeight="1" x14ac:dyDescent="0.25">
      <c r="C780" s="50"/>
      <c r="E780" s="74"/>
    </row>
    <row r="781" spans="3:5" ht="15" customHeight="1" x14ac:dyDescent="0.25">
      <c r="C781" s="50"/>
      <c r="E781" s="74"/>
    </row>
    <row r="782" spans="3:5" ht="15" customHeight="1" x14ac:dyDescent="0.25">
      <c r="C782" s="50"/>
      <c r="E782" s="74"/>
    </row>
    <row r="783" spans="3:5" ht="15" customHeight="1" x14ac:dyDescent="0.25">
      <c r="C783" s="50"/>
      <c r="E783" s="74"/>
    </row>
    <row r="784" spans="3:5" ht="15" customHeight="1" x14ac:dyDescent="0.25">
      <c r="C784" s="50"/>
      <c r="E784" s="74"/>
    </row>
    <row r="785" spans="3:5" ht="15" customHeight="1" x14ac:dyDescent="0.25">
      <c r="C785" s="50"/>
      <c r="E785" s="74"/>
    </row>
    <row r="786" spans="3:5" ht="15" customHeight="1" x14ac:dyDescent="0.25">
      <c r="C786" s="50"/>
      <c r="E786" s="74"/>
    </row>
    <row r="787" spans="3:5" ht="15" customHeight="1" x14ac:dyDescent="0.25">
      <c r="C787" s="50"/>
      <c r="E787" s="74"/>
    </row>
    <row r="788" spans="3:5" ht="15" customHeight="1" x14ac:dyDescent="0.25">
      <c r="C788" s="50"/>
      <c r="E788" s="74"/>
    </row>
    <row r="789" spans="3:5" ht="15" customHeight="1" x14ac:dyDescent="0.25">
      <c r="C789" s="50"/>
      <c r="E789" s="74"/>
    </row>
    <row r="790" spans="3:5" ht="15" customHeight="1" x14ac:dyDescent="0.25">
      <c r="C790" s="50"/>
      <c r="E790" s="74"/>
    </row>
    <row r="791" spans="3:5" ht="15" customHeight="1" x14ac:dyDescent="0.25">
      <c r="C791" s="50"/>
      <c r="E791" s="74"/>
    </row>
    <row r="792" spans="3:5" ht="15" customHeight="1" x14ac:dyDescent="0.25">
      <c r="C792" s="50"/>
      <c r="E792" s="74"/>
    </row>
    <row r="793" spans="3:5" ht="15" customHeight="1" x14ac:dyDescent="0.25">
      <c r="C793" s="50"/>
      <c r="E793" s="74"/>
    </row>
    <row r="794" spans="3:5" ht="15" customHeight="1" x14ac:dyDescent="0.25">
      <c r="C794" s="50"/>
      <c r="E794" s="74"/>
    </row>
    <row r="795" spans="3:5" ht="15" customHeight="1" x14ac:dyDescent="0.25">
      <c r="C795" s="50"/>
      <c r="E795" s="74"/>
    </row>
    <row r="796" spans="3:5" ht="15" customHeight="1" x14ac:dyDescent="0.25">
      <c r="C796" s="50"/>
      <c r="E796" s="74"/>
    </row>
    <row r="797" spans="3:5" ht="15" customHeight="1" x14ac:dyDescent="0.25">
      <c r="C797" s="50"/>
      <c r="E797" s="74"/>
    </row>
    <row r="798" spans="3:5" ht="15" customHeight="1" x14ac:dyDescent="0.25">
      <c r="C798" s="50"/>
      <c r="E798" s="74"/>
    </row>
    <row r="799" spans="3:5" ht="15" customHeight="1" x14ac:dyDescent="0.25">
      <c r="C799" s="50"/>
      <c r="E799" s="74"/>
    </row>
    <row r="800" spans="3:5" ht="15" customHeight="1" x14ac:dyDescent="0.25">
      <c r="C800" s="50"/>
      <c r="E800" s="74"/>
    </row>
    <row r="801" spans="3:5" ht="15" customHeight="1" x14ac:dyDescent="0.25">
      <c r="C801" s="50"/>
      <c r="E801" s="74"/>
    </row>
    <row r="802" spans="3:5" ht="15" customHeight="1" x14ac:dyDescent="0.25">
      <c r="C802" s="50"/>
      <c r="E802" s="74"/>
    </row>
    <row r="803" spans="3:5" ht="15" customHeight="1" x14ac:dyDescent="0.25">
      <c r="C803" s="50"/>
      <c r="E803" s="74"/>
    </row>
    <row r="804" spans="3:5" ht="15" customHeight="1" x14ac:dyDescent="0.25">
      <c r="C804" s="50"/>
      <c r="E804" s="74"/>
    </row>
    <row r="805" spans="3:5" ht="15" customHeight="1" x14ac:dyDescent="0.25">
      <c r="C805" s="50"/>
      <c r="E805" s="74"/>
    </row>
    <row r="806" spans="3:5" ht="15" customHeight="1" x14ac:dyDescent="0.25">
      <c r="C806" s="50"/>
      <c r="E806" s="74"/>
    </row>
    <row r="807" spans="3:5" ht="15" customHeight="1" x14ac:dyDescent="0.25">
      <c r="C807" s="50"/>
      <c r="E807" s="74"/>
    </row>
    <row r="808" spans="3:5" ht="15" customHeight="1" x14ac:dyDescent="0.25">
      <c r="C808" s="50"/>
      <c r="E808" s="74"/>
    </row>
    <row r="809" spans="3:5" ht="15" customHeight="1" x14ac:dyDescent="0.25">
      <c r="C809" s="50"/>
      <c r="E809" s="74"/>
    </row>
    <row r="810" spans="3:5" ht="15" customHeight="1" x14ac:dyDescent="0.25">
      <c r="C810" s="50"/>
      <c r="E810" s="74"/>
    </row>
    <row r="811" spans="3:5" ht="15" customHeight="1" x14ac:dyDescent="0.25">
      <c r="C811" s="50"/>
      <c r="E811" s="74"/>
    </row>
    <row r="812" spans="3:5" ht="15" customHeight="1" x14ac:dyDescent="0.25">
      <c r="C812" s="50"/>
      <c r="E812" s="74"/>
    </row>
    <row r="813" spans="3:5" ht="15" customHeight="1" x14ac:dyDescent="0.25">
      <c r="C813" s="50"/>
      <c r="E813" s="74"/>
    </row>
    <row r="814" spans="3:5" ht="15" customHeight="1" x14ac:dyDescent="0.25">
      <c r="C814" s="50"/>
      <c r="E814" s="74"/>
    </row>
    <row r="815" spans="3:5" ht="15" customHeight="1" x14ac:dyDescent="0.25">
      <c r="C815" s="50"/>
      <c r="E815" s="74"/>
    </row>
    <row r="816" spans="3:5" ht="15" customHeight="1" x14ac:dyDescent="0.25">
      <c r="C816" s="50"/>
      <c r="E816" s="74"/>
    </row>
    <row r="817" spans="3:5" ht="15" customHeight="1" x14ac:dyDescent="0.25">
      <c r="C817" s="50"/>
      <c r="E817" s="74"/>
    </row>
    <row r="818" spans="3:5" ht="15" customHeight="1" x14ac:dyDescent="0.25">
      <c r="C818" s="50"/>
      <c r="E818" s="74"/>
    </row>
    <row r="819" spans="3:5" ht="15" customHeight="1" x14ac:dyDescent="0.25">
      <c r="C819" s="50"/>
      <c r="E819" s="74"/>
    </row>
    <row r="820" spans="3:5" ht="15" customHeight="1" x14ac:dyDescent="0.25">
      <c r="C820" s="50"/>
      <c r="E820" s="74"/>
    </row>
    <row r="821" spans="3:5" ht="15" customHeight="1" x14ac:dyDescent="0.25">
      <c r="C821" s="50"/>
      <c r="E821" s="74"/>
    </row>
    <row r="822" spans="3:5" ht="15" customHeight="1" x14ac:dyDescent="0.25">
      <c r="C822" s="50"/>
      <c r="E822" s="74"/>
    </row>
    <row r="823" spans="3:5" ht="15" customHeight="1" x14ac:dyDescent="0.25">
      <c r="C823" s="50"/>
      <c r="E823" s="74"/>
    </row>
    <row r="824" spans="3:5" ht="15" customHeight="1" x14ac:dyDescent="0.25">
      <c r="C824" s="50"/>
      <c r="E824" s="74"/>
    </row>
    <row r="825" spans="3:5" ht="15" customHeight="1" x14ac:dyDescent="0.25">
      <c r="C825" s="50"/>
      <c r="E825" s="74"/>
    </row>
    <row r="826" spans="3:5" ht="15" customHeight="1" x14ac:dyDescent="0.25">
      <c r="C826" s="50"/>
      <c r="E826" s="74"/>
    </row>
    <row r="827" spans="3:5" ht="15" customHeight="1" x14ac:dyDescent="0.25">
      <c r="C827" s="50"/>
      <c r="E827" s="74"/>
    </row>
    <row r="828" spans="3:5" ht="15" customHeight="1" x14ac:dyDescent="0.25">
      <c r="C828" s="50"/>
      <c r="E828" s="74"/>
    </row>
    <row r="829" spans="3:5" ht="15" customHeight="1" x14ac:dyDescent="0.25">
      <c r="C829" s="50"/>
      <c r="E829" s="74"/>
    </row>
    <row r="830" spans="3:5" ht="15" customHeight="1" x14ac:dyDescent="0.25">
      <c r="C830" s="50"/>
      <c r="E830" s="74"/>
    </row>
    <row r="831" spans="3:5" ht="15" customHeight="1" x14ac:dyDescent="0.25">
      <c r="C831" s="50"/>
      <c r="E831" s="74"/>
    </row>
    <row r="832" spans="3:5" ht="15" customHeight="1" x14ac:dyDescent="0.25">
      <c r="C832" s="50"/>
      <c r="E832" s="74"/>
    </row>
    <row r="833" spans="3:5" ht="15" customHeight="1" x14ac:dyDescent="0.25">
      <c r="C833" s="50"/>
      <c r="E833" s="74"/>
    </row>
    <row r="834" spans="3:5" ht="15" customHeight="1" x14ac:dyDescent="0.25">
      <c r="C834" s="50"/>
      <c r="E834" s="74"/>
    </row>
    <row r="835" spans="3:5" ht="15" customHeight="1" x14ac:dyDescent="0.25">
      <c r="C835" s="50"/>
      <c r="E835" s="74"/>
    </row>
    <row r="836" spans="3:5" ht="15" customHeight="1" x14ac:dyDescent="0.25">
      <c r="C836" s="50"/>
      <c r="E836" s="74"/>
    </row>
    <row r="837" spans="3:5" ht="15" customHeight="1" x14ac:dyDescent="0.25">
      <c r="C837" s="50"/>
      <c r="E837" s="74"/>
    </row>
    <row r="838" spans="3:5" ht="15" customHeight="1" x14ac:dyDescent="0.25">
      <c r="C838" s="50"/>
      <c r="E838" s="74"/>
    </row>
    <row r="839" spans="3:5" ht="15" customHeight="1" x14ac:dyDescent="0.25">
      <c r="C839" s="50"/>
      <c r="E839" s="74"/>
    </row>
    <row r="840" spans="3:5" ht="15" customHeight="1" x14ac:dyDescent="0.25">
      <c r="C840" s="50"/>
      <c r="E840" s="74"/>
    </row>
    <row r="841" spans="3:5" ht="15" customHeight="1" x14ac:dyDescent="0.25">
      <c r="C841" s="50"/>
      <c r="E841" s="74"/>
    </row>
    <row r="842" spans="3:5" ht="15" customHeight="1" x14ac:dyDescent="0.25">
      <c r="C842" s="50"/>
      <c r="E842" s="74"/>
    </row>
    <row r="843" spans="3:5" ht="15" customHeight="1" x14ac:dyDescent="0.25">
      <c r="C843" s="50"/>
      <c r="E843" s="74"/>
    </row>
    <row r="844" spans="3:5" ht="15" customHeight="1" x14ac:dyDescent="0.25">
      <c r="C844" s="50"/>
      <c r="E844" s="74"/>
    </row>
    <row r="845" spans="3:5" ht="15" customHeight="1" x14ac:dyDescent="0.25">
      <c r="C845" s="50"/>
      <c r="E845" s="74"/>
    </row>
    <row r="846" spans="3:5" ht="15" customHeight="1" x14ac:dyDescent="0.25">
      <c r="C846" s="50"/>
      <c r="E846" s="74"/>
    </row>
    <row r="847" spans="3:5" ht="15" customHeight="1" x14ac:dyDescent="0.25">
      <c r="C847" s="50"/>
      <c r="E847" s="74"/>
    </row>
    <row r="848" spans="3:5" ht="15" customHeight="1" x14ac:dyDescent="0.25">
      <c r="C848" s="50"/>
      <c r="E848" s="74"/>
    </row>
    <row r="849" spans="3:5" ht="15" customHeight="1" x14ac:dyDescent="0.25">
      <c r="C849" s="50"/>
      <c r="E849" s="74"/>
    </row>
    <row r="850" spans="3:5" ht="15" customHeight="1" x14ac:dyDescent="0.25">
      <c r="C850" s="50"/>
      <c r="E850" s="74"/>
    </row>
    <row r="851" spans="3:5" ht="15" customHeight="1" x14ac:dyDescent="0.25">
      <c r="C851" s="50"/>
      <c r="E851" s="74"/>
    </row>
    <row r="852" spans="3:5" ht="15" customHeight="1" x14ac:dyDescent="0.25">
      <c r="C852" s="50"/>
      <c r="E852" s="74"/>
    </row>
    <row r="853" spans="3:5" ht="15" customHeight="1" x14ac:dyDescent="0.25">
      <c r="C853" s="50"/>
      <c r="E853" s="74"/>
    </row>
    <row r="854" spans="3:5" ht="15" customHeight="1" x14ac:dyDescent="0.25">
      <c r="C854" s="50"/>
      <c r="E854" s="74"/>
    </row>
    <row r="855" spans="3:5" ht="15" customHeight="1" x14ac:dyDescent="0.25">
      <c r="C855" s="50"/>
      <c r="E855" s="74"/>
    </row>
    <row r="856" spans="3:5" ht="15" customHeight="1" x14ac:dyDescent="0.25">
      <c r="C856" s="50"/>
      <c r="E856" s="74"/>
    </row>
    <row r="857" spans="3:5" ht="15" customHeight="1" x14ac:dyDescent="0.25">
      <c r="C857" s="50"/>
      <c r="E857" s="74"/>
    </row>
    <row r="858" spans="3:5" ht="15" customHeight="1" x14ac:dyDescent="0.25">
      <c r="C858" s="50"/>
      <c r="E858" s="74"/>
    </row>
    <row r="859" spans="3:5" ht="15" customHeight="1" x14ac:dyDescent="0.25">
      <c r="C859" s="50"/>
      <c r="E859" s="74"/>
    </row>
    <row r="860" spans="3:5" ht="15" customHeight="1" x14ac:dyDescent="0.25">
      <c r="C860" s="50"/>
      <c r="E860" s="74"/>
    </row>
    <row r="861" spans="3:5" ht="15" customHeight="1" x14ac:dyDescent="0.25">
      <c r="C861" s="50"/>
      <c r="E861" s="74"/>
    </row>
    <row r="862" spans="3:5" ht="15" customHeight="1" x14ac:dyDescent="0.25">
      <c r="C862" s="50"/>
      <c r="E862" s="74"/>
    </row>
    <row r="863" spans="3:5" ht="15" customHeight="1" x14ac:dyDescent="0.25">
      <c r="C863" s="50"/>
      <c r="E863" s="74"/>
    </row>
    <row r="864" spans="3:5" ht="15" customHeight="1" x14ac:dyDescent="0.25">
      <c r="C864" s="50"/>
      <c r="E864" s="74"/>
    </row>
    <row r="865" spans="3:5" ht="15" customHeight="1" x14ac:dyDescent="0.25">
      <c r="C865" s="50"/>
      <c r="E865" s="74"/>
    </row>
    <row r="866" spans="3:5" ht="15" customHeight="1" x14ac:dyDescent="0.25">
      <c r="C866" s="50"/>
      <c r="E866" s="74"/>
    </row>
    <row r="867" spans="3:5" ht="15" customHeight="1" x14ac:dyDescent="0.25">
      <c r="C867" s="50"/>
      <c r="E867" s="74"/>
    </row>
    <row r="868" spans="3:5" ht="15" customHeight="1" x14ac:dyDescent="0.25">
      <c r="C868" s="50"/>
      <c r="E868" s="74"/>
    </row>
    <row r="869" spans="3:5" ht="15" customHeight="1" x14ac:dyDescent="0.25">
      <c r="C869" s="50"/>
      <c r="E869" s="74"/>
    </row>
    <row r="870" spans="3:5" ht="15" customHeight="1" x14ac:dyDescent="0.25">
      <c r="C870" s="50"/>
      <c r="E870" s="74"/>
    </row>
    <row r="871" spans="3:5" ht="15" customHeight="1" x14ac:dyDescent="0.25">
      <c r="C871" s="50"/>
      <c r="E871" s="74"/>
    </row>
    <row r="872" spans="3:5" ht="15" customHeight="1" x14ac:dyDescent="0.25">
      <c r="C872" s="50"/>
      <c r="E872" s="74"/>
    </row>
    <row r="873" spans="3:5" ht="15" customHeight="1" x14ac:dyDescent="0.25">
      <c r="C873" s="50"/>
      <c r="E873" s="74"/>
    </row>
    <row r="874" spans="3:5" ht="15" customHeight="1" x14ac:dyDescent="0.25">
      <c r="C874" s="50"/>
      <c r="E874" s="74"/>
    </row>
    <row r="875" spans="3:5" ht="15" customHeight="1" x14ac:dyDescent="0.25">
      <c r="C875" s="50"/>
      <c r="E875" s="74"/>
    </row>
    <row r="876" spans="3:5" ht="15" customHeight="1" x14ac:dyDescent="0.25">
      <c r="C876" s="50"/>
      <c r="E876" s="74"/>
    </row>
    <row r="877" spans="3:5" ht="15" customHeight="1" x14ac:dyDescent="0.25">
      <c r="C877" s="50"/>
      <c r="E877" s="74"/>
    </row>
    <row r="878" spans="3:5" ht="15" customHeight="1" x14ac:dyDescent="0.25">
      <c r="C878" s="50"/>
      <c r="E878" s="74"/>
    </row>
    <row r="879" spans="3:5" ht="15" customHeight="1" x14ac:dyDescent="0.25">
      <c r="C879" s="50"/>
      <c r="E879" s="74"/>
    </row>
    <row r="880" spans="3:5" ht="15" customHeight="1" x14ac:dyDescent="0.25">
      <c r="C880" s="50"/>
      <c r="E880" s="74"/>
    </row>
    <row r="881" spans="3:5" ht="15" customHeight="1" x14ac:dyDescent="0.25">
      <c r="C881" s="50"/>
      <c r="E881" s="74"/>
    </row>
    <row r="882" spans="3:5" ht="15" customHeight="1" x14ac:dyDescent="0.25">
      <c r="C882" s="50"/>
      <c r="E882" s="74"/>
    </row>
    <row r="883" spans="3:5" ht="15" customHeight="1" x14ac:dyDescent="0.25">
      <c r="C883" s="50"/>
      <c r="E883" s="74"/>
    </row>
    <row r="884" spans="3:5" ht="15" customHeight="1" x14ac:dyDescent="0.25">
      <c r="C884" s="50"/>
      <c r="E884" s="74"/>
    </row>
    <row r="885" spans="3:5" ht="15" customHeight="1" x14ac:dyDescent="0.25">
      <c r="C885" s="50"/>
      <c r="E885" s="74"/>
    </row>
    <row r="886" spans="3:5" ht="15" customHeight="1" x14ac:dyDescent="0.25">
      <c r="C886" s="50"/>
      <c r="E886" s="74"/>
    </row>
    <row r="887" spans="3:5" ht="15" customHeight="1" x14ac:dyDescent="0.25">
      <c r="C887" s="50"/>
      <c r="E887" s="74"/>
    </row>
    <row r="888" spans="3:5" ht="15" customHeight="1" x14ac:dyDescent="0.25">
      <c r="C888" s="50"/>
      <c r="E888" s="74"/>
    </row>
    <row r="889" spans="3:5" ht="15" customHeight="1" x14ac:dyDescent="0.25">
      <c r="C889" s="50"/>
      <c r="E889" s="74"/>
    </row>
    <row r="890" spans="3:5" ht="15" customHeight="1" x14ac:dyDescent="0.25">
      <c r="C890" s="50"/>
      <c r="E890" s="74"/>
    </row>
    <row r="891" spans="3:5" ht="15" customHeight="1" x14ac:dyDescent="0.25">
      <c r="C891" s="50"/>
      <c r="E891" s="74"/>
    </row>
    <row r="892" spans="3:5" ht="15" customHeight="1" x14ac:dyDescent="0.25">
      <c r="C892" s="50"/>
      <c r="E892" s="74"/>
    </row>
    <row r="893" spans="3:5" ht="15" customHeight="1" x14ac:dyDescent="0.25">
      <c r="C893" s="50"/>
      <c r="E893" s="74"/>
    </row>
    <row r="894" spans="3:5" ht="15" customHeight="1" x14ac:dyDescent="0.25">
      <c r="C894" s="50"/>
      <c r="E894" s="74"/>
    </row>
    <row r="895" spans="3:5" ht="15" customHeight="1" x14ac:dyDescent="0.25">
      <c r="C895" s="50"/>
      <c r="E895" s="74"/>
    </row>
    <row r="896" spans="3:5" ht="15" customHeight="1" x14ac:dyDescent="0.25">
      <c r="C896" s="50"/>
      <c r="E896" s="74"/>
    </row>
    <row r="897" spans="3:5" ht="15" customHeight="1" x14ac:dyDescent="0.25">
      <c r="C897" s="50"/>
      <c r="E897" s="74"/>
    </row>
    <row r="898" spans="3:5" ht="15" customHeight="1" x14ac:dyDescent="0.25">
      <c r="C898" s="50"/>
      <c r="E898" s="74"/>
    </row>
    <row r="899" spans="3:5" ht="15" customHeight="1" x14ac:dyDescent="0.25">
      <c r="C899" s="50"/>
      <c r="E899" s="74"/>
    </row>
    <row r="900" spans="3:5" ht="15" customHeight="1" x14ac:dyDescent="0.25">
      <c r="C900" s="50"/>
      <c r="E900" s="74"/>
    </row>
    <row r="901" spans="3:5" ht="15" customHeight="1" x14ac:dyDescent="0.25">
      <c r="C901" s="50"/>
      <c r="E901" s="74"/>
    </row>
    <row r="902" spans="3:5" ht="15" customHeight="1" x14ac:dyDescent="0.25">
      <c r="C902" s="50"/>
      <c r="E902" s="74"/>
    </row>
    <row r="903" spans="3:5" ht="15" customHeight="1" x14ac:dyDescent="0.25">
      <c r="C903" s="50"/>
      <c r="E903" s="74"/>
    </row>
    <row r="904" spans="3:5" ht="15" customHeight="1" x14ac:dyDescent="0.25">
      <c r="C904" s="50"/>
      <c r="E904" s="74"/>
    </row>
    <row r="905" spans="3:5" ht="15" customHeight="1" x14ac:dyDescent="0.25">
      <c r="C905" s="50"/>
      <c r="E905" s="74"/>
    </row>
    <row r="906" spans="3:5" ht="15" customHeight="1" x14ac:dyDescent="0.25">
      <c r="C906" s="50"/>
      <c r="E906" s="74"/>
    </row>
    <row r="907" spans="3:5" ht="15" customHeight="1" x14ac:dyDescent="0.25">
      <c r="C907" s="50"/>
      <c r="E907" s="74"/>
    </row>
    <row r="908" spans="3:5" ht="15" customHeight="1" x14ac:dyDescent="0.25">
      <c r="C908" s="50"/>
      <c r="E908" s="74"/>
    </row>
    <row r="909" spans="3:5" ht="15" customHeight="1" x14ac:dyDescent="0.25">
      <c r="C909" s="50"/>
      <c r="E909" s="74"/>
    </row>
    <row r="910" spans="3:5" ht="15" customHeight="1" x14ac:dyDescent="0.25">
      <c r="C910" s="50"/>
      <c r="E910" s="74"/>
    </row>
    <row r="911" spans="3:5" ht="15" customHeight="1" x14ac:dyDescent="0.25">
      <c r="C911" s="50"/>
      <c r="E911" s="74"/>
    </row>
    <row r="912" spans="3:5" ht="15" customHeight="1" x14ac:dyDescent="0.25">
      <c r="C912" s="50"/>
      <c r="E912" s="74"/>
    </row>
    <row r="913" spans="3:5" ht="15" customHeight="1" x14ac:dyDescent="0.25">
      <c r="C913" s="50"/>
      <c r="E913" s="74"/>
    </row>
    <row r="914" spans="3:5" ht="15" customHeight="1" x14ac:dyDescent="0.25">
      <c r="C914" s="50"/>
      <c r="E914" s="74"/>
    </row>
    <row r="915" spans="3:5" ht="15" customHeight="1" x14ac:dyDescent="0.25">
      <c r="C915" s="50"/>
      <c r="E915" s="74"/>
    </row>
    <row r="916" spans="3:5" ht="15" customHeight="1" x14ac:dyDescent="0.25">
      <c r="C916" s="50"/>
      <c r="E916" s="74"/>
    </row>
    <row r="917" spans="3:5" ht="15" customHeight="1" x14ac:dyDescent="0.25">
      <c r="C917" s="50"/>
      <c r="E917" s="74"/>
    </row>
    <row r="918" spans="3:5" ht="15" customHeight="1" x14ac:dyDescent="0.25">
      <c r="C918" s="50"/>
      <c r="E918" s="74"/>
    </row>
    <row r="919" spans="3:5" ht="15" customHeight="1" x14ac:dyDescent="0.25">
      <c r="C919" s="50"/>
      <c r="E919" s="74"/>
    </row>
    <row r="920" spans="3:5" ht="15" customHeight="1" x14ac:dyDescent="0.25">
      <c r="C920" s="50"/>
      <c r="E920" s="74"/>
    </row>
    <row r="921" spans="3:5" ht="15" customHeight="1" x14ac:dyDescent="0.25">
      <c r="C921" s="50"/>
      <c r="E921" s="74"/>
    </row>
    <row r="922" spans="3:5" ht="15" customHeight="1" x14ac:dyDescent="0.25">
      <c r="C922" s="50"/>
      <c r="E922" s="74"/>
    </row>
    <row r="923" spans="3:5" ht="15" customHeight="1" x14ac:dyDescent="0.25">
      <c r="C923" s="50"/>
      <c r="E923" s="74"/>
    </row>
    <row r="924" spans="3:5" ht="15" customHeight="1" x14ac:dyDescent="0.25">
      <c r="C924" s="50"/>
      <c r="E924" s="74"/>
    </row>
    <row r="925" spans="3:5" ht="15" customHeight="1" x14ac:dyDescent="0.25">
      <c r="C925" s="50"/>
      <c r="E925" s="74"/>
    </row>
    <row r="926" spans="3:5" ht="15" customHeight="1" x14ac:dyDescent="0.25">
      <c r="C926" s="50"/>
      <c r="E926" s="74"/>
    </row>
    <row r="927" spans="3:5" ht="15" customHeight="1" x14ac:dyDescent="0.25">
      <c r="C927" s="50"/>
      <c r="E927" s="74"/>
    </row>
    <row r="928" spans="3:5" ht="15" customHeight="1" x14ac:dyDescent="0.25">
      <c r="C928" s="50"/>
      <c r="E928" s="74"/>
    </row>
    <row r="929" spans="3:5" ht="15" customHeight="1" x14ac:dyDescent="0.25">
      <c r="C929" s="50"/>
      <c r="E929" s="74"/>
    </row>
    <row r="930" spans="3:5" ht="15" customHeight="1" x14ac:dyDescent="0.25">
      <c r="C930" s="50"/>
      <c r="E930" s="74"/>
    </row>
    <row r="931" spans="3:5" ht="15" customHeight="1" x14ac:dyDescent="0.25">
      <c r="C931" s="50"/>
      <c r="E931" s="74"/>
    </row>
    <row r="932" spans="3:5" ht="15" customHeight="1" x14ac:dyDescent="0.25">
      <c r="C932" s="50"/>
      <c r="E932" s="74"/>
    </row>
    <row r="933" spans="3:5" ht="15" customHeight="1" x14ac:dyDescent="0.25">
      <c r="C933" s="50"/>
      <c r="E933" s="74"/>
    </row>
    <row r="934" spans="3:5" ht="15" customHeight="1" x14ac:dyDescent="0.25">
      <c r="C934" s="50"/>
      <c r="E934" s="74"/>
    </row>
    <row r="935" spans="3:5" ht="15" customHeight="1" x14ac:dyDescent="0.25">
      <c r="C935" s="50"/>
      <c r="E935" s="74"/>
    </row>
    <row r="936" spans="3:5" ht="15" customHeight="1" x14ac:dyDescent="0.25">
      <c r="C936" s="50"/>
      <c r="E936" s="74"/>
    </row>
    <row r="937" spans="3:5" ht="15" customHeight="1" x14ac:dyDescent="0.25">
      <c r="C937" s="50"/>
      <c r="E937" s="74"/>
    </row>
    <row r="938" spans="3:5" ht="15" customHeight="1" x14ac:dyDescent="0.25">
      <c r="C938" s="50"/>
      <c r="E938" s="74"/>
    </row>
    <row r="939" spans="3:5" ht="15" customHeight="1" x14ac:dyDescent="0.25">
      <c r="C939" s="50"/>
      <c r="E939" s="74"/>
    </row>
    <row r="940" spans="3:5" ht="15" customHeight="1" x14ac:dyDescent="0.25">
      <c r="C940" s="50"/>
      <c r="E940" s="74"/>
    </row>
    <row r="941" spans="3:5" ht="15" customHeight="1" x14ac:dyDescent="0.25">
      <c r="C941" s="50"/>
      <c r="E941" s="74"/>
    </row>
    <row r="942" spans="3:5" ht="15" customHeight="1" x14ac:dyDescent="0.25">
      <c r="C942" s="50"/>
      <c r="E942" s="74"/>
    </row>
    <row r="943" spans="3:5" ht="15" customHeight="1" x14ac:dyDescent="0.25">
      <c r="C943" s="50"/>
      <c r="E943" s="74"/>
    </row>
    <row r="944" spans="3:5" ht="15" customHeight="1" x14ac:dyDescent="0.25">
      <c r="C944" s="50"/>
      <c r="E944" s="74"/>
    </row>
    <row r="945" spans="3:5" ht="15" customHeight="1" x14ac:dyDescent="0.25">
      <c r="C945" s="50"/>
      <c r="E945" s="74"/>
    </row>
    <row r="946" spans="3:5" ht="15" customHeight="1" x14ac:dyDescent="0.25">
      <c r="C946" s="50"/>
      <c r="E946" s="74"/>
    </row>
    <row r="947" spans="3:5" ht="15" customHeight="1" x14ac:dyDescent="0.25">
      <c r="C947" s="50"/>
      <c r="E947" s="74"/>
    </row>
    <row r="948" spans="3:5" ht="15" customHeight="1" x14ac:dyDescent="0.25">
      <c r="C948" s="50"/>
      <c r="E948" s="74"/>
    </row>
    <row r="949" spans="3:5" ht="15" customHeight="1" x14ac:dyDescent="0.25">
      <c r="C949" s="50"/>
      <c r="E949" s="74"/>
    </row>
    <row r="950" spans="3:5" ht="15" customHeight="1" x14ac:dyDescent="0.25">
      <c r="C950" s="50"/>
      <c r="E950" s="74"/>
    </row>
    <row r="951" spans="3:5" ht="15" customHeight="1" x14ac:dyDescent="0.25">
      <c r="C951" s="50"/>
      <c r="E951" s="74"/>
    </row>
    <row r="952" spans="3:5" ht="15" customHeight="1" x14ac:dyDescent="0.25">
      <c r="C952" s="50"/>
      <c r="E952" s="74"/>
    </row>
    <row r="953" spans="3:5" ht="15" customHeight="1" x14ac:dyDescent="0.25">
      <c r="C953" s="50"/>
      <c r="E953" s="74"/>
    </row>
    <row r="954" spans="3:5" ht="15" customHeight="1" x14ac:dyDescent="0.25">
      <c r="C954" s="50"/>
      <c r="E954" s="74"/>
    </row>
    <row r="955" spans="3:5" ht="15" customHeight="1" x14ac:dyDescent="0.25">
      <c r="C955" s="50"/>
      <c r="E955" s="74"/>
    </row>
    <row r="956" spans="3:5" ht="15" customHeight="1" x14ac:dyDescent="0.25">
      <c r="C956" s="50"/>
      <c r="E956" s="74"/>
    </row>
    <row r="957" spans="3:5" ht="15" customHeight="1" x14ac:dyDescent="0.25">
      <c r="C957" s="50"/>
      <c r="E957" s="74"/>
    </row>
    <row r="958" spans="3:5" ht="15" customHeight="1" x14ac:dyDescent="0.25">
      <c r="C958" s="50"/>
      <c r="E958" s="74"/>
    </row>
    <row r="959" spans="3:5" ht="15" customHeight="1" x14ac:dyDescent="0.25">
      <c r="C959" s="50"/>
      <c r="E959" s="74"/>
    </row>
    <row r="960" spans="3:5" ht="15" customHeight="1" x14ac:dyDescent="0.25">
      <c r="C960" s="50"/>
      <c r="E960" s="74"/>
    </row>
    <row r="961" spans="3:5" ht="15" customHeight="1" x14ac:dyDescent="0.25">
      <c r="C961" s="50"/>
      <c r="E961" s="74"/>
    </row>
    <row r="962" spans="3:5" ht="15" customHeight="1" x14ac:dyDescent="0.25">
      <c r="C962" s="50"/>
      <c r="E962" s="74"/>
    </row>
    <row r="963" spans="3:5" ht="15" customHeight="1" x14ac:dyDescent="0.25">
      <c r="C963" s="50"/>
      <c r="E963" s="74"/>
    </row>
    <row r="964" spans="3:5" ht="15" customHeight="1" x14ac:dyDescent="0.25">
      <c r="C964" s="50"/>
      <c r="E964" s="74"/>
    </row>
    <row r="965" spans="3:5" ht="15" customHeight="1" x14ac:dyDescent="0.25">
      <c r="C965" s="50"/>
      <c r="E965" s="74"/>
    </row>
    <row r="966" spans="3:5" ht="15" customHeight="1" x14ac:dyDescent="0.25">
      <c r="C966" s="50"/>
      <c r="E966" s="74"/>
    </row>
    <row r="967" spans="3:5" ht="15" customHeight="1" x14ac:dyDescent="0.25">
      <c r="C967" s="50"/>
      <c r="E967" s="74"/>
    </row>
    <row r="968" spans="3:5" ht="15" customHeight="1" x14ac:dyDescent="0.25">
      <c r="C968" s="50"/>
      <c r="E968" s="74"/>
    </row>
    <row r="969" spans="3:5" ht="15" customHeight="1" x14ac:dyDescent="0.25">
      <c r="C969" s="50"/>
      <c r="E969" s="74"/>
    </row>
    <row r="970" spans="3:5" ht="15" customHeight="1" x14ac:dyDescent="0.25">
      <c r="C970" s="50"/>
      <c r="E970" s="74"/>
    </row>
    <row r="971" spans="3:5" ht="15" customHeight="1" x14ac:dyDescent="0.25">
      <c r="C971" s="50"/>
      <c r="E971" s="74"/>
    </row>
    <row r="972" spans="3:5" ht="15" customHeight="1" x14ac:dyDescent="0.25">
      <c r="C972" s="50"/>
      <c r="E972" s="74"/>
    </row>
    <row r="973" spans="3:5" ht="15" customHeight="1" x14ac:dyDescent="0.25">
      <c r="C973" s="50"/>
      <c r="E973" s="74"/>
    </row>
    <row r="974" spans="3:5" ht="15" customHeight="1" x14ac:dyDescent="0.25">
      <c r="C974" s="50"/>
      <c r="E974" s="74"/>
    </row>
    <row r="975" spans="3:5" ht="15" customHeight="1" x14ac:dyDescent="0.25">
      <c r="C975" s="50"/>
      <c r="E975" s="74"/>
    </row>
    <row r="976" spans="3:5" ht="15" customHeight="1" x14ac:dyDescent="0.25">
      <c r="C976" s="50"/>
      <c r="E976" s="74"/>
    </row>
    <row r="977" spans="3:5" ht="15" customHeight="1" x14ac:dyDescent="0.25">
      <c r="C977" s="50"/>
      <c r="E977" s="74"/>
    </row>
    <row r="978" spans="3:5" ht="15" customHeight="1" x14ac:dyDescent="0.25">
      <c r="C978" s="50"/>
      <c r="E978" s="74"/>
    </row>
    <row r="979" spans="3:5" ht="15" customHeight="1" x14ac:dyDescent="0.25">
      <c r="C979" s="50"/>
      <c r="E979" s="74"/>
    </row>
    <row r="980" spans="3:5" ht="15" customHeight="1" x14ac:dyDescent="0.25">
      <c r="C980" s="50"/>
      <c r="E980" s="74"/>
    </row>
    <row r="981" spans="3:5" ht="15" customHeight="1" x14ac:dyDescent="0.25">
      <c r="C981" s="50"/>
      <c r="E981" s="74"/>
    </row>
    <row r="982" spans="3:5" ht="15" customHeight="1" x14ac:dyDescent="0.25">
      <c r="C982" s="50"/>
      <c r="E982" s="74"/>
    </row>
    <row r="983" spans="3:5" ht="15" customHeight="1" x14ac:dyDescent="0.25">
      <c r="C983" s="50"/>
      <c r="E983" s="74"/>
    </row>
    <row r="984" spans="3:5" ht="15" customHeight="1" x14ac:dyDescent="0.25">
      <c r="C984" s="50"/>
      <c r="E984" s="74"/>
    </row>
    <row r="985" spans="3:5" ht="15" customHeight="1" x14ac:dyDescent="0.25">
      <c r="C985" s="50"/>
      <c r="E985" s="74"/>
    </row>
    <row r="986" spans="3:5" ht="15" customHeight="1" x14ac:dyDescent="0.25">
      <c r="C986" s="50"/>
      <c r="E986" s="74"/>
    </row>
    <row r="987" spans="3:5" ht="15" customHeight="1" x14ac:dyDescent="0.25">
      <c r="C987" s="50"/>
      <c r="E987" s="74"/>
    </row>
    <row r="988" spans="3:5" ht="15" customHeight="1" x14ac:dyDescent="0.25">
      <c r="C988" s="50"/>
      <c r="E988" s="74"/>
    </row>
    <row r="989" spans="3:5" ht="15" customHeight="1" x14ac:dyDescent="0.25">
      <c r="C989" s="50"/>
      <c r="E989" s="74"/>
    </row>
    <row r="990" spans="3:5" ht="15" customHeight="1" x14ac:dyDescent="0.25">
      <c r="C990" s="50"/>
      <c r="E990" s="74"/>
    </row>
    <row r="991" spans="3:5" ht="15" customHeight="1" x14ac:dyDescent="0.25">
      <c r="C991" s="50"/>
      <c r="E991" s="74"/>
    </row>
    <row r="992" spans="3:5" ht="15" customHeight="1" x14ac:dyDescent="0.25">
      <c r="C992" s="50"/>
      <c r="E992" s="74"/>
    </row>
    <row r="993" spans="3:5" ht="15" customHeight="1" x14ac:dyDescent="0.25">
      <c r="C993" s="50"/>
      <c r="E993" s="74"/>
    </row>
    <row r="994" spans="3:5" ht="15" customHeight="1" x14ac:dyDescent="0.25">
      <c r="C994" s="50"/>
      <c r="E994" s="74"/>
    </row>
    <row r="995" spans="3:5" ht="15" customHeight="1" x14ac:dyDescent="0.25">
      <c r="C995" s="50"/>
      <c r="E995" s="74"/>
    </row>
    <row r="996" spans="3:5" ht="15" customHeight="1" x14ac:dyDescent="0.25">
      <c r="C996" s="50"/>
      <c r="E996" s="74"/>
    </row>
    <row r="997" spans="3:5" ht="15" customHeight="1" x14ac:dyDescent="0.25">
      <c r="C997" s="50"/>
      <c r="E997" s="74"/>
    </row>
    <row r="998" spans="3:5" ht="15" customHeight="1" x14ac:dyDescent="0.25">
      <c r="C998" s="50"/>
      <c r="E998" s="74"/>
    </row>
    <row r="999" spans="3:5" ht="15" customHeight="1" x14ac:dyDescent="0.25">
      <c r="C999" s="50"/>
      <c r="E999" s="74"/>
    </row>
    <row r="1000" spans="3:5" ht="15" customHeight="1" x14ac:dyDescent="0.25">
      <c r="C1000" s="50"/>
      <c r="E1000" s="74"/>
    </row>
    <row r="1001" spans="3:5" ht="15" customHeight="1" x14ac:dyDescent="0.25">
      <c r="C1001" s="50"/>
      <c r="E1001" s="74"/>
    </row>
  </sheetData>
  <hyperlinks>
    <hyperlink ref="D2" r:id="rId1"/>
    <hyperlink ref="D3" r:id="rId2"/>
    <hyperlink ref="D4" r:id="rId3"/>
    <hyperlink ref="D5" r:id="rId4"/>
    <hyperlink ref="D6" r:id="rId5"/>
    <hyperlink ref="D7" r:id="rId6"/>
    <hyperlink ref="D8" r:id="rId7"/>
    <hyperlink ref="D9" r:id="rId8"/>
    <hyperlink ref="D10" r:id="rId9"/>
    <hyperlink ref="D11" r:id="rId10"/>
    <hyperlink ref="D12" r:id="rId11"/>
    <hyperlink ref="D13" r:id="rId12"/>
    <hyperlink ref="D14" r:id="rId13"/>
    <hyperlink ref="D15" r:id="rId14"/>
    <hyperlink ref="D16" r:id="rId15"/>
    <hyperlink ref="D17" r:id="rId16"/>
    <hyperlink ref="D18" r:id="rId17"/>
    <hyperlink ref="D19" r:id="rId18"/>
    <hyperlink ref="D20" r:id="rId19"/>
    <hyperlink ref="D21" r:id="rId20"/>
    <hyperlink ref="D22" r:id="rId21"/>
    <hyperlink ref="D23" r:id="rId22"/>
    <hyperlink ref="D24" r:id="rId23"/>
    <hyperlink ref="D25" r:id="rId24"/>
    <hyperlink ref="D26" r:id="rId25"/>
    <hyperlink ref="D27" r:id="rId26"/>
    <hyperlink ref="D28" r:id="rId27"/>
    <hyperlink ref="D29" r:id="rId28"/>
    <hyperlink ref="D30" r:id="rId29"/>
    <hyperlink ref="D31" r:id="rId30"/>
    <hyperlink ref="D32" r:id="rId31"/>
    <hyperlink ref="D33" r:id="rId32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3"/>
  <sheetViews>
    <sheetView workbookViewId="0"/>
  </sheetViews>
  <sheetFormatPr defaultColWidth="8.85546875" defaultRowHeight="15" customHeight="1" x14ac:dyDescent="0.25"/>
  <cols>
    <col min="1" max="1" width="26.42578125" style="27" bestFit="1" customWidth="1"/>
    <col min="2" max="2" width="15.28515625" style="27" customWidth="1"/>
    <col min="3" max="3" width="19.7109375" style="27" customWidth="1"/>
    <col min="4" max="16384" width="8.85546875" style="27"/>
  </cols>
  <sheetData>
    <row r="1" spans="1:5" x14ac:dyDescent="0.25">
      <c r="B1" s="20" t="s">
        <v>2</v>
      </c>
      <c r="C1" s="20" t="s">
        <v>0</v>
      </c>
      <c r="D1" s="27" t="s">
        <v>1797</v>
      </c>
      <c r="E1" s="27" t="s">
        <v>214</v>
      </c>
    </row>
    <row r="2" spans="1:5" x14ac:dyDescent="0.25">
      <c r="A2" s="27" t="s">
        <v>586</v>
      </c>
      <c r="B2" s="27" t="str">
        <f>LEFT(A2,FIND(";",A2)-1)</f>
        <v>Alabama</v>
      </c>
      <c r="C2" s="27" t="str">
        <f>MID(A2,FIND(";",A2)+1,100)</f>
        <v>Autauga</v>
      </c>
      <c r="D2" s="27">
        <v>1.1000000000000001</v>
      </c>
      <c r="E2" s="27" t="s">
        <v>1859</v>
      </c>
    </row>
    <row r="3" spans="1:5" x14ac:dyDescent="0.25">
      <c r="A3" s="27" t="s">
        <v>587</v>
      </c>
      <c r="B3" s="27" t="str">
        <f t="shared" ref="B3:B66" si="0">LEFT(A3,FIND(";",A3)-1)</f>
        <v>Alabama</v>
      </c>
      <c r="C3" s="27" t="str">
        <f t="shared" ref="C3:C66" si="1">MID(A3,FIND(";",A3)+1,100)</f>
        <v>Baldwin</v>
      </c>
      <c r="D3" s="27">
        <v>1.5</v>
      </c>
      <c r="E3" s="27" t="s">
        <v>1859</v>
      </c>
    </row>
    <row r="4" spans="1:5" x14ac:dyDescent="0.25">
      <c r="A4" s="27" t="s">
        <v>588</v>
      </c>
      <c r="B4" s="27" t="str">
        <f t="shared" si="0"/>
        <v>Alabama</v>
      </c>
      <c r="C4" s="27" t="str">
        <f t="shared" si="1"/>
        <v>Barbour</v>
      </c>
      <c r="D4" s="27">
        <v>2.2000000000000002</v>
      </c>
      <c r="E4" s="27" t="s">
        <v>1859</v>
      </c>
    </row>
    <row r="5" spans="1:5" x14ac:dyDescent="0.25">
      <c r="A5" s="27" t="s">
        <v>589</v>
      </c>
      <c r="B5" s="27" t="str">
        <f t="shared" si="0"/>
        <v>Alabama</v>
      </c>
      <c r="C5" s="27" t="str">
        <f t="shared" si="1"/>
        <v>Bibb</v>
      </c>
      <c r="D5" s="27">
        <v>1.3</v>
      </c>
      <c r="E5" s="27" t="s">
        <v>1859</v>
      </c>
    </row>
    <row r="6" spans="1:5" x14ac:dyDescent="0.25">
      <c r="A6" s="27" t="s">
        <v>591</v>
      </c>
      <c r="B6" s="27" t="str">
        <f t="shared" si="0"/>
        <v>Alabama</v>
      </c>
      <c r="C6" s="27" t="str">
        <f t="shared" si="1"/>
        <v>Bullock</v>
      </c>
      <c r="D6" s="27">
        <v>1.6</v>
      </c>
      <c r="E6" s="27" t="s">
        <v>1859</v>
      </c>
    </row>
    <row r="7" spans="1:5" x14ac:dyDescent="0.25">
      <c r="A7" s="27" t="s">
        <v>597</v>
      </c>
      <c r="B7" s="27" t="str">
        <f t="shared" si="0"/>
        <v>Alabama</v>
      </c>
      <c r="C7" s="27" t="str">
        <f t="shared" si="1"/>
        <v>Choctaw</v>
      </c>
      <c r="D7" s="27">
        <v>1.9</v>
      </c>
      <c r="E7" s="27" t="s">
        <v>1859</v>
      </c>
    </row>
    <row r="8" spans="1:5" x14ac:dyDescent="0.25">
      <c r="A8" s="27" t="s">
        <v>598</v>
      </c>
      <c r="B8" s="27" t="str">
        <f t="shared" si="0"/>
        <v>Alabama</v>
      </c>
      <c r="C8" s="27" t="str">
        <f t="shared" si="1"/>
        <v>Clarke</v>
      </c>
      <c r="D8" s="27">
        <v>1.1000000000000001</v>
      </c>
      <c r="E8" s="27" t="s">
        <v>1859</v>
      </c>
    </row>
    <row r="9" spans="1:5" x14ac:dyDescent="0.25">
      <c r="A9" s="27" t="s">
        <v>602</v>
      </c>
      <c r="B9" s="27" t="str">
        <f t="shared" si="0"/>
        <v>Alabama</v>
      </c>
      <c r="C9" s="27" t="str">
        <f t="shared" si="1"/>
        <v>Colbert</v>
      </c>
      <c r="D9" s="27">
        <v>1.6</v>
      </c>
      <c r="E9" s="27" t="s">
        <v>1859</v>
      </c>
    </row>
    <row r="10" spans="1:5" x14ac:dyDescent="0.25">
      <c r="A10" s="27" t="s">
        <v>606</v>
      </c>
      <c r="B10" s="27" t="str">
        <f t="shared" si="0"/>
        <v>Alabama</v>
      </c>
      <c r="C10" s="27" t="str">
        <f t="shared" si="1"/>
        <v>Crenshaw</v>
      </c>
      <c r="D10" s="27">
        <v>1.3</v>
      </c>
      <c r="E10" s="27" t="s">
        <v>1859</v>
      </c>
    </row>
    <row r="11" spans="1:5" x14ac:dyDescent="0.25">
      <c r="A11" s="27" t="s">
        <v>608</v>
      </c>
      <c r="B11" s="27" t="str">
        <f t="shared" si="0"/>
        <v>Alabama</v>
      </c>
      <c r="C11" s="27" t="str">
        <f t="shared" si="1"/>
        <v>Dale</v>
      </c>
      <c r="D11" s="27">
        <v>1.3</v>
      </c>
      <c r="E11" s="27" t="s">
        <v>1859</v>
      </c>
    </row>
    <row r="12" spans="1:5" x14ac:dyDescent="0.25">
      <c r="A12" s="27" t="s">
        <v>609</v>
      </c>
      <c r="B12" s="27" t="str">
        <f t="shared" si="0"/>
        <v>Alabama</v>
      </c>
      <c r="C12" s="27" t="str">
        <f t="shared" si="1"/>
        <v>Dallas</v>
      </c>
      <c r="D12" s="27">
        <v>1.8</v>
      </c>
      <c r="E12" s="27" t="s">
        <v>1859</v>
      </c>
    </row>
    <row r="13" spans="1:5" x14ac:dyDescent="0.25">
      <c r="A13" s="27" t="s">
        <v>616</v>
      </c>
      <c r="B13" s="27" t="str">
        <f t="shared" si="0"/>
        <v>Alabama</v>
      </c>
      <c r="C13" s="27" t="str">
        <f t="shared" si="1"/>
        <v>Geneva</v>
      </c>
      <c r="D13" s="27">
        <v>3.1</v>
      </c>
      <c r="E13" s="27" t="s">
        <v>1859</v>
      </c>
    </row>
    <row r="14" spans="1:5" x14ac:dyDescent="0.25">
      <c r="A14" s="27" t="s">
        <v>617</v>
      </c>
      <c r="B14" s="27" t="str">
        <f t="shared" si="0"/>
        <v>Alabama</v>
      </c>
      <c r="C14" s="27" t="str">
        <f t="shared" si="1"/>
        <v>Greene</v>
      </c>
      <c r="D14" s="27">
        <v>2.8</v>
      </c>
      <c r="E14" s="27" t="s">
        <v>1859</v>
      </c>
    </row>
    <row r="15" spans="1:5" x14ac:dyDescent="0.25">
      <c r="A15" s="27" t="s">
        <v>618</v>
      </c>
      <c r="B15" s="27" t="str">
        <f t="shared" si="0"/>
        <v>Alabama</v>
      </c>
      <c r="C15" s="27" t="str">
        <f t="shared" si="1"/>
        <v>Hale</v>
      </c>
      <c r="D15" s="27">
        <v>3.3</v>
      </c>
      <c r="E15" s="27" t="s">
        <v>1859</v>
      </c>
    </row>
    <row r="16" spans="1:5" x14ac:dyDescent="0.25">
      <c r="A16" s="27" t="s">
        <v>619</v>
      </c>
      <c r="B16" s="27" t="str">
        <f t="shared" si="0"/>
        <v>Alabama</v>
      </c>
      <c r="C16" s="27" t="str">
        <f t="shared" si="1"/>
        <v>Henry</v>
      </c>
      <c r="D16" s="27">
        <v>1.9</v>
      </c>
      <c r="E16" s="27" t="s">
        <v>1859</v>
      </c>
    </row>
    <row r="17" spans="1:5" x14ac:dyDescent="0.25">
      <c r="A17" s="27" t="s">
        <v>620</v>
      </c>
      <c r="B17" s="27" t="str">
        <f t="shared" si="0"/>
        <v>Alabama</v>
      </c>
      <c r="C17" s="27" t="str">
        <f t="shared" si="1"/>
        <v>Houston</v>
      </c>
      <c r="D17" s="27">
        <v>4</v>
      </c>
      <c r="E17" s="27" t="s">
        <v>1859</v>
      </c>
    </row>
    <row r="18" spans="1:5" x14ac:dyDescent="0.25">
      <c r="A18" s="27" t="s">
        <v>623</v>
      </c>
      <c r="B18" s="27" t="str">
        <f t="shared" si="0"/>
        <v>Alabama</v>
      </c>
      <c r="C18" s="27" t="str">
        <f t="shared" si="1"/>
        <v>Lamar/Sanford</v>
      </c>
      <c r="D18" s="27">
        <v>1.1000000000000001</v>
      </c>
      <c r="E18" s="27" t="s">
        <v>1859</v>
      </c>
    </row>
    <row r="19" spans="1:5" x14ac:dyDescent="0.25">
      <c r="A19" s="27" t="s">
        <v>625</v>
      </c>
      <c r="B19" s="27" t="str">
        <f t="shared" si="0"/>
        <v>Alabama</v>
      </c>
      <c r="C19" s="27" t="str">
        <f t="shared" si="1"/>
        <v>Lawrence</v>
      </c>
      <c r="D19" s="27">
        <v>1.6</v>
      </c>
      <c r="E19" s="27" t="s">
        <v>1859</v>
      </c>
    </row>
    <row r="20" spans="1:5" x14ac:dyDescent="0.25">
      <c r="A20" s="27" t="s">
        <v>628</v>
      </c>
      <c r="B20" s="27" t="str">
        <f t="shared" si="0"/>
        <v>Alabama</v>
      </c>
      <c r="C20" s="27" t="str">
        <f t="shared" si="1"/>
        <v>Lowndes</v>
      </c>
      <c r="D20" s="27">
        <v>1.6</v>
      </c>
      <c r="E20" s="27" t="s">
        <v>1859</v>
      </c>
    </row>
    <row r="21" spans="1:5" x14ac:dyDescent="0.25">
      <c r="A21" s="27" t="s">
        <v>629</v>
      </c>
      <c r="B21" s="27" t="str">
        <f t="shared" si="0"/>
        <v>Alabama</v>
      </c>
      <c r="C21" s="27" t="str">
        <f t="shared" si="1"/>
        <v>Macon</v>
      </c>
      <c r="D21" s="27">
        <v>1.3</v>
      </c>
      <c r="E21" s="27" t="s">
        <v>1859</v>
      </c>
    </row>
    <row r="22" spans="1:5" x14ac:dyDescent="0.25">
      <c r="A22" s="27" t="s">
        <v>631</v>
      </c>
      <c r="B22" s="27" t="str">
        <f t="shared" si="0"/>
        <v>Alabama</v>
      </c>
      <c r="C22" s="27" t="str">
        <f t="shared" si="1"/>
        <v>Marengo</v>
      </c>
      <c r="D22" s="27">
        <v>1.7</v>
      </c>
      <c r="E22" s="27" t="s">
        <v>1859</v>
      </c>
    </row>
    <row r="23" spans="1:5" x14ac:dyDescent="0.25">
      <c r="A23" s="27" t="s">
        <v>635</v>
      </c>
      <c r="B23" s="27" t="str">
        <f t="shared" si="0"/>
        <v>Alabama</v>
      </c>
      <c r="C23" s="27" t="str">
        <f t="shared" si="1"/>
        <v>Monroe</v>
      </c>
      <c r="D23" s="27">
        <v>1.4</v>
      </c>
      <c r="E23" s="27" t="s">
        <v>1859</v>
      </c>
    </row>
    <row r="24" spans="1:5" x14ac:dyDescent="0.25">
      <c r="A24" s="27" t="s">
        <v>636</v>
      </c>
      <c r="B24" s="27" t="str">
        <f t="shared" si="0"/>
        <v>Alabama</v>
      </c>
      <c r="C24" s="27" t="str">
        <f t="shared" si="1"/>
        <v>Montgomery</v>
      </c>
      <c r="D24" s="27">
        <v>1.2</v>
      </c>
      <c r="E24" s="27" t="s">
        <v>1859</v>
      </c>
    </row>
    <row r="25" spans="1:5" x14ac:dyDescent="0.25">
      <c r="A25" s="27" t="s">
        <v>1775</v>
      </c>
      <c r="B25" s="27" t="str">
        <f t="shared" si="0"/>
        <v>Alabama</v>
      </c>
      <c r="C25" s="27" t="str">
        <f t="shared" si="1"/>
        <v>Morgan/Cotaco</v>
      </c>
      <c r="D25" s="27">
        <v>1.7</v>
      </c>
      <c r="E25" s="27" t="s">
        <v>1859</v>
      </c>
    </row>
    <row r="26" spans="1:5" x14ac:dyDescent="0.25">
      <c r="A26" s="27" t="s">
        <v>637</v>
      </c>
      <c r="B26" s="27" t="str">
        <f t="shared" si="0"/>
        <v>Alabama</v>
      </c>
      <c r="C26" s="27" t="str">
        <f t="shared" si="1"/>
        <v>Perry</v>
      </c>
      <c r="D26" s="27">
        <v>1.6</v>
      </c>
      <c r="E26" s="27" t="s">
        <v>1859</v>
      </c>
    </row>
    <row r="27" spans="1:5" x14ac:dyDescent="0.25">
      <c r="A27" s="27" t="s">
        <v>638</v>
      </c>
      <c r="B27" s="27" t="str">
        <f t="shared" si="0"/>
        <v>Alabama</v>
      </c>
      <c r="C27" s="27" t="str">
        <f t="shared" si="1"/>
        <v>Pickens</v>
      </c>
      <c r="D27" s="27">
        <v>2.4</v>
      </c>
      <c r="E27" s="27" t="s">
        <v>1859</v>
      </c>
    </row>
    <row r="28" spans="1:5" x14ac:dyDescent="0.25">
      <c r="A28" s="27" t="s">
        <v>644</v>
      </c>
      <c r="B28" s="27" t="str">
        <f t="shared" si="0"/>
        <v>Alabama</v>
      </c>
      <c r="C28" s="27" t="str">
        <f t="shared" si="1"/>
        <v>Talladega</v>
      </c>
      <c r="D28" s="27">
        <v>1.7</v>
      </c>
      <c r="E28" s="27" t="s">
        <v>1859</v>
      </c>
    </row>
    <row r="29" spans="1:5" x14ac:dyDescent="0.25">
      <c r="A29" s="27" t="s">
        <v>647</v>
      </c>
      <c r="B29" s="27" t="str">
        <f t="shared" si="0"/>
        <v>Alabama</v>
      </c>
      <c r="C29" s="27" t="str">
        <f t="shared" si="1"/>
        <v>Walker</v>
      </c>
      <c r="D29" s="27">
        <v>1.2</v>
      </c>
      <c r="E29" s="27" t="s">
        <v>1859</v>
      </c>
    </row>
    <row r="30" spans="1:5" x14ac:dyDescent="0.25">
      <c r="A30" s="27" t="s">
        <v>648</v>
      </c>
      <c r="B30" s="27" t="str">
        <f t="shared" si="0"/>
        <v>Alabama</v>
      </c>
      <c r="C30" s="27" t="str">
        <f t="shared" si="1"/>
        <v>Washington</v>
      </c>
      <c r="D30" s="27">
        <v>1.4</v>
      </c>
      <c r="E30" s="7" t="s">
        <v>1859</v>
      </c>
    </row>
    <row r="31" spans="1:5" ht="15" customHeight="1" x14ac:dyDescent="0.25">
      <c r="A31" s="27" t="s">
        <v>1367</v>
      </c>
      <c r="B31" s="27" t="str">
        <f t="shared" si="0"/>
        <v/>
      </c>
      <c r="C31" s="27" t="str">
        <f t="shared" si="1"/>
        <v/>
      </c>
    </row>
    <row r="32" spans="1:5" x14ac:dyDescent="0.25">
      <c r="A32" s="27" t="s">
        <v>652</v>
      </c>
      <c r="B32" s="27" t="str">
        <f t="shared" si="0"/>
        <v>Arkansas</v>
      </c>
      <c r="C32" s="27" t="str">
        <f t="shared" si="1"/>
        <v>Arkansas</v>
      </c>
      <c r="D32" s="27">
        <v>6.5</v>
      </c>
      <c r="E32" s="27" t="s">
        <v>1859</v>
      </c>
    </row>
    <row r="33" spans="1:5" x14ac:dyDescent="0.25">
      <c r="A33" s="27" t="s">
        <v>653</v>
      </c>
      <c r="B33" s="27" t="str">
        <f t="shared" si="0"/>
        <v>Arkansas</v>
      </c>
      <c r="C33" s="27" t="str">
        <f t="shared" si="1"/>
        <v>Ashley</v>
      </c>
      <c r="D33" s="27">
        <v>10.3</v>
      </c>
      <c r="E33" s="27" t="s">
        <v>1859</v>
      </c>
    </row>
    <row r="34" spans="1:5" x14ac:dyDescent="0.25">
      <c r="A34" s="27" t="s">
        <v>657</v>
      </c>
      <c r="B34" s="27" t="str">
        <f t="shared" si="0"/>
        <v>Arkansas</v>
      </c>
      <c r="C34" s="27" t="str">
        <f t="shared" si="1"/>
        <v>Bradley</v>
      </c>
      <c r="D34" s="27">
        <v>5</v>
      </c>
      <c r="E34" s="27" t="s">
        <v>1859</v>
      </c>
    </row>
    <row r="35" spans="1:5" x14ac:dyDescent="0.25">
      <c r="A35" s="27" t="s">
        <v>658</v>
      </c>
      <c r="B35" s="27" t="str">
        <f t="shared" si="0"/>
        <v>Arkansas</v>
      </c>
      <c r="C35" s="27" t="str">
        <f t="shared" si="1"/>
        <v>Calhoun</v>
      </c>
      <c r="D35" s="27">
        <v>10</v>
      </c>
      <c r="E35" s="27" t="s">
        <v>1859</v>
      </c>
    </row>
    <row r="36" spans="1:5" x14ac:dyDescent="0.25">
      <c r="A36" s="27" t="s">
        <v>660</v>
      </c>
      <c r="B36" s="27" t="str">
        <f t="shared" si="0"/>
        <v>Arkansas</v>
      </c>
      <c r="C36" s="27" t="str">
        <f t="shared" si="1"/>
        <v>Chicot</v>
      </c>
      <c r="D36" s="27">
        <v>3.7</v>
      </c>
      <c r="E36" s="27" t="s">
        <v>1859</v>
      </c>
    </row>
    <row r="37" spans="1:5" x14ac:dyDescent="0.25">
      <c r="A37" s="27" t="s">
        <v>661</v>
      </c>
      <c r="B37" s="27" t="str">
        <f t="shared" si="0"/>
        <v>Arkansas</v>
      </c>
      <c r="C37" s="27" t="str">
        <f t="shared" si="1"/>
        <v>Clark</v>
      </c>
      <c r="D37" s="27">
        <v>2.7</v>
      </c>
      <c r="E37" s="27" t="s">
        <v>1859</v>
      </c>
    </row>
    <row r="38" spans="1:5" x14ac:dyDescent="0.25">
      <c r="A38" s="27" t="s">
        <v>662</v>
      </c>
      <c r="B38" s="27" t="str">
        <f t="shared" si="0"/>
        <v>Arkansas</v>
      </c>
      <c r="C38" s="27" t="str">
        <f t="shared" si="1"/>
        <v>Clay</v>
      </c>
      <c r="D38" s="27">
        <v>7.3</v>
      </c>
      <c r="E38" s="27" t="s">
        <v>1859</v>
      </c>
    </row>
    <row r="39" spans="1:5" x14ac:dyDescent="0.25">
      <c r="A39" s="27" t="s">
        <v>663</v>
      </c>
      <c r="B39" s="27" t="str">
        <f t="shared" si="0"/>
        <v>Arkansas</v>
      </c>
      <c r="C39" s="27" t="str">
        <f t="shared" si="1"/>
        <v>Cleburne</v>
      </c>
      <c r="D39" s="27">
        <v>2.4</v>
      </c>
      <c r="E39" s="27" t="s">
        <v>1859</v>
      </c>
    </row>
    <row r="40" spans="1:5" x14ac:dyDescent="0.25">
      <c r="A40" s="27" t="s">
        <v>1777</v>
      </c>
      <c r="B40" s="27" t="str">
        <f t="shared" si="0"/>
        <v>Arkansas</v>
      </c>
      <c r="C40" s="27" t="str">
        <f t="shared" si="1"/>
        <v>Cleveland/Dorsey</v>
      </c>
      <c r="D40" s="27">
        <v>2.4</v>
      </c>
      <c r="E40" s="27" t="s">
        <v>1859</v>
      </c>
    </row>
    <row r="41" spans="1:5" x14ac:dyDescent="0.25">
      <c r="A41" s="27" t="s">
        <v>665</v>
      </c>
      <c r="B41" s="27" t="str">
        <f t="shared" si="0"/>
        <v>Arkansas</v>
      </c>
      <c r="C41" s="27" t="str">
        <f t="shared" si="1"/>
        <v>Conway</v>
      </c>
      <c r="D41" s="27">
        <v>8.9</v>
      </c>
      <c r="E41" s="27" t="s">
        <v>1859</v>
      </c>
    </row>
    <row r="42" spans="1:5" x14ac:dyDescent="0.25">
      <c r="A42" s="27" t="s">
        <v>666</v>
      </c>
      <c r="B42" s="27" t="str">
        <f t="shared" si="0"/>
        <v>Arkansas</v>
      </c>
      <c r="C42" s="27" t="str">
        <f t="shared" si="1"/>
        <v>Craighead</v>
      </c>
      <c r="D42" s="27">
        <v>4.3</v>
      </c>
      <c r="E42" s="27" t="s">
        <v>1859</v>
      </c>
    </row>
    <row r="43" spans="1:5" x14ac:dyDescent="0.25">
      <c r="A43" s="27" t="s">
        <v>667</v>
      </c>
      <c r="B43" s="27" t="str">
        <f t="shared" si="0"/>
        <v>Arkansas</v>
      </c>
      <c r="C43" s="27" t="str">
        <f t="shared" si="1"/>
        <v>Crawford</v>
      </c>
      <c r="D43" s="27">
        <v>2.2999999999999998</v>
      </c>
      <c r="E43" s="27" t="s">
        <v>1859</v>
      </c>
    </row>
    <row r="44" spans="1:5" x14ac:dyDescent="0.25">
      <c r="A44" s="27" t="s">
        <v>668</v>
      </c>
      <c r="B44" s="27" t="str">
        <f t="shared" si="0"/>
        <v>Arkansas</v>
      </c>
      <c r="C44" s="27" t="str">
        <f t="shared" si="1"/>
        <v>Crittenden</v>
      </c>
      <c r="D44" s="27">
        <v>5.0999999999999996</v>
      </c>
      <c r="E44" s="27" t="s">
        <v>1859</v>
      </c>
    </row>
    <row r="45" spans="1:5" x14ac:dyDescent="0.25">
      <c r="A45" s="27" t="s">
        <v>669</v>
      </c>
      <c r="B45" s="27" t="str">
        <f t="shared" si="0"/>
        <v>Arkansas</v>
      </c>
      <c r="C45" s="27" t="str">
        <f t="shared" si="1"/>
        <v>Cross</v>
      </c>
      <c r="D45" s="27">
        <v>5.4</v>
      </c>
      <c r="E45" s="27" t="s">
        <v>1859</v>
      </c>
    </row>
    <row r="46" spans="1:5" x14ac:dyDescent="0.25">
      <c r="A46" s="27" t="s">
        <v>670</v>
      </c>
      <c r="B46" s="27" t="str">
        <f t="shared" si="0"/>
        <v>Arkansas</v>
      </c>
      <c r="C46" s="27" t="str">
        <f t="shared" si="1"/>
        <v>Dallas</v>
      </c>
      <c r="D46" s="27">
        <v>4.2</v>
      </c>
      <c r="E46" s="27" t="s">
        <v>1859</v>
      </c>
    </row>
    <row r="47" spans="1:5" x14ac:dyDescent="0.25">
      <c r="A47" s="27" t="s">
        <v>671</v>
      </c>
      <c r="B47" s="27" t="str">
        <f t="shared" si="0"/>
        <v>Arkansas</v>
      </c>
      <c r="C47" s="27" t="str">
        <f t="shared" si="1"/>
        <v>Desha</v>
      </c>
      <c r="D47" s="27">
        <v>1.5</v>
      </c>
      <c r="E47" s="27" t="s">
        <v>1859</v>
      </c>
    </row>
    <row r="48" spans="1:5" x14ac:dyDescent="0.25">
      <c r="A48" s="27" t="s">
        <v>672</v>
      </c>
      <c r="B48" s="27" t="str">
        <f t="shared" si="0"/>
        <v>Arkansas</v>
      </c>
      <c r="C48" s="27" t="str">
        <f t="shared" si="1"/>
        <v>Drew</v>
      </c>
      <c r="D48" s="27">
        <v>3.2</v>
      </c>
      <c r="E48" s="27" t="s">
        <v>1859</v>
      </c>
    </row>
    <row r="49" spans="1:5" x14ac:dyDescent="0.25">
      <c r="A49" s="27" t="s">
        <v>1746</v>
      </c>
      <c r="B49" s="27" t="str">
        <f t="shared" si="0"/>
        <v>Arkansas</v>
      </c>
      <c r="C49" s="27" t="str">
        <f t="shared" si="1"/>
        <v>Faulkner</v>
      </c>
      <c r="D49" s="27">
        <v>4</v>
      </c>
      <c r="E49" s="27" t="s">
        <v>1859</v>
      </c>
    </row>
    <row r="50" spans="1:5" x14ac:dyDescent="0.25">
      <c r="A50" s="27" t="s">
        <v>675</v>
      </c>
      <c r="B50" s="27" t="str">
        <f t="shared" si="0"/>
        <v>Arkansas</v>
      </c>
      <c r="C50" s="27" t="str">
        <f t="shared" si="1"/>
        <v>Garland</v>
      </c>
      <c r="D50" s="27">
        <v>3.9</v>
      </c>
      <c r="E50" s="27" t="s">
        <v>1859</v>
      </c>
    </row>
    <row r="51" spans="1:5" x14ac:dyDescent="0.25">
      <c r="A51" s="27" t="s">
        <v>676</v>
      </c>
      <c r="B51" s="27" t="str">
        <f t="shared" si="0"/>
        <v>Arkansas</v>
      </c>
      <c r="C51" s="27" t="str">
        <f t="shared" si="1"/>
        <v>Grant</v>
      </c>
      <c r="D51" s="27">
        <v>4</v>
      </c>
      <c r="E51" s="27" t="s">
        <v>1859</v>
      </c>
    </row>
    <row r="52" spans="1:5" x14ac:dyDescent="0.25">
      <c r="A52" s="27" t="s">
        <v>677</v>
      </c>
      <c r="B52" s="27" t="str">
        <f t="shared" si="0"/>
        <v>Arkansas</v>
      </c>
      <c r="C52" s="27" t="str">
        <f t="shared" si="1"/>
        <v>Greene</v>
      </c>
      <c r="D52" s="27">
        <v>1.5</v>
      </c>
      <c r="E52" s="27" t="s">
        <v>1859</v>
      </c>
    </row>
    <row r="53" spans="1:5" x14ac:dyDescent="0.25">
      <c r="A53" s="27" t="s">
        <v>678</v>
      </c>
      <c r="B53" s="27" t="str">
        <f t="shared" si="0"/>
        <v>Arkansas</v>
      </c>
      <c r="C53" s="27" t="str">
        <f t="shared" si="1"/>
        <v>Hempstead</v>
      </c>
      <c r="D53" s="27">
        <v>3.2</v>
      </c>
      <c r="E53" s="27" t="s">
        <v>1859</v>
      </c>
    </row>
    <row r="54" spans="1:5" x14ac:dyDescent="0.25">
      <c r="A54" s="27" t="s">
        <v>679</v>
      </c>
      <c r="B54" s="27" t="str">
        <f t="shared" si="0"/>
        <v>Arkansas</v>
      </c>
      <c r="C54" s="27" t="str">
        <f t="shared" si="1"/>
        <v>Hot Spring</v>
      </c>
      <c r="D54" s="27">
        <v>2.2999999999999998</v>
      </c>
      <c r="E54" s="27" t="s">
        <v>1859</v>
      </c>
    </row>
    <row r="55" spans="1:5" x14ac:dyDescent="0.25">
      <c r="A55" s="27" t="s">
        <v>681</v>
      </c>
      <c r="B55" s="27" t="str">
        <f t="shared" si="0"/>
        <v>Arkansas</v>
      </c>
      <c r="C55" s="27" t="str">
        <f t="shared" si="1"/>
        <v>Independence</v>
      </c>
      <c r="D55" s="27">
        <v>1.7</v>
      </c>
      <c r="E55" s="27" t="s">
        <v>1859</v>
      </c>
    </row>
    <row r="56" spans="1:5" x14ac:dyDescent="0.25">
      <c r="A56" s="27" t="s">
        <v>683</v>
      </c>
      <c r="B56" s="27" t="str">
        <f t="shared" si="0"/>
        <v>Arkansas</v>
      </c>
      <c r="C56" s="27" t="str">
        <f t="shared" si="1"/>
        <v>Jackson</v>
      </c>
      <c r="D56" s="27">
        <v>7.5</v>
      </c>
      <c r="E56" s="27" t="s">
        <v>1859</v>
      </c>
    </row>
    <row r="57" spans="1:5" x14ac:dyDescent="0.25">
      <c r="A57" s="27" t="s">
        <v>684</v>
      </c>
      <c r="B57" s="27" t="str">
        <f t="shared" si="0"/>
        <v>Arkansas</v>
      </c>
      <c r="C57" s="27" t="str">
        <f t="shared" si="1"/>
        <v>Jefferson</v>
      </c>
      <c r="D57" s="27">
        <v>3.1</v>
      </c>
      <c r="E57" s="27" t="s">
        <v>1859</v>
      </c>
    </row>
    <row r="58" spans="1:5" x14ac:dyDescent="0.25">
      <c r="A58" s="27" t="s">
        <v>686</v>
      </c>
      <c r="B58" s="27" t="str">
        <f t="shared" si="0"/>
        <v>Arkansas</v>
      </c>
      <c r="C58" s="27" t="str">
        <f t="shared" si="1"/>
        <v>Lafayette</v>
      </c>
      <c r="D58" s="27">
        <v>3.2</v>
      </c>
      <c r="E58" s="27" t="s">
        <v>1859</v>
      </c>
    </row>
    <row r="59" spans="1:5" x14ac:dyDescent="0.25">
      <c r="A59" s="27" t="s">
        <v>687</v>
      </c>
      <c r="B59" s="27" t="str">
        <f t="shared" si="0"/>
        <v>Arkansas</v>
      </c>
      <c r="C59" s="27" t="str">
        <f t="shared" si="1"/>
        <v>Lawrence</v>
      </c>
      <c r="D59" s="27">
        <v>1.8</v>
      </c>
      <c r="E59" s="27" t="s">
        <v>1859</v>
      </c>
    </row>
    <row r="60" spans="1:5" x14ac:dyDescent="0.25">
      <c r="A60" s="27" t="s">
        <v>688</v>
      </c>
      <c r="B60" s="27" t="str">
        <f t="shared" si="0"/>
        <v>Arkansas</v>
      </c>
      <c r="C60" s="27" t="str">
        <f t="shared" si="1"/>
        <v>Lee</v>
      </c>
      <c r="D60" s="27">
        <v>5.2</v>
      </c>
      <c r="E60" s="27" t="s">
        <v>1859</v>
      </c>
    </row>
    <row r="61" spans="1:5" x14ac:dyDescent="0.25">
      <c r="A61" s="27" t="s">
        <v>689</v>
      </c>
      <c r="B61" s="27" t="str">
        <f t="shared" si="0"/>
        <v>Arkansas</v>
      </c>
      <c r="C61" s="27" t="str">
        <f t="shared" si="1"/>
        <v>Lincoln</v>
      </c>
      <c r="D61" s="27">
        <v>4.3</v>
      </c>
      <c r="E61" s="27" t="s">
        <v>1859</v>
      </c>
    </row>
    <row r="62" spans="1:5" x14ac:dyDescent="0.25">
      <c r="A62" s="27" t="s">
        <v>690</v>
      </c>
      <c r="B62" s="27" t="str">
        <f t="shared" si="0"/>
        <v>Arkansas</v>
      </c>
      <c r="C62" s="27" t="str">
        <f t="shared" si="1"/>
        <v>Little River</v>
      </c>
      <c r="D62" s="27">
        <v>11.6</v>
      </c>
      <c r="E62" s="27" t="s">
        <v>1859</v>
      </c>
    </row>
    <row r="63" spans="1:5" x14ac:dyDescent="0.25">
      <c r="A63" s="27" t="s">
        <v>691</v>
      </c>
      <c r="B63" s="27" t="str">
        <f t="shared" si="0"/>
        <v>Arkansas</v>
      </c>
      <c r="C63" s="27" t="str">
        <f t="shared" si="1"/>
        <v>Logan</v>
      </c>
      <c r="D63" s="27">
        <v>1.2</v>
      </c>
      <c r="E63" s="27" t="s">
        <v>1859</v>
      </c>
    </row>
    <row r="64" spans="1:5" x14ac:dyDescent="0.25">
      <c r="A64" s="27" t="s">
        <v>692</v>
      </c>
      <c r="B64" s="27" t="str">
        <f t="shared" si="0"/>
        <v>Arkansas</v>
      </c>
      <c r="C64" s="27" t="str">
        <f t="shared" si="1"/>
        <v>Lonoke</v>
      </c>
      <c r="D64" s="27">
        <v>11.1</v>
      </c>
      <c r="E64" s="27" t="s">
        <v>1859</v>
      </c>
    </row>
    <row r="65" spans="1:5" x14ac:dyDescent="0.25">
      <c r="A65" s="27" t="s">
        <v>695</v>
      </c>
      <c r="B65" s="27" t="str">
        <f t="shared" si="0"/>
        <v>Arkansas</v>
      </c>
      <c r="C65" s="27" t="str">
        <f t="shared" si="1"/>
        <v>Miller</v>
      </c>
      <c r="D65" s="27">
        <v>4.5999999999999996</v>
      </c>
      <c r="E65" s="27" t="s">
        <v>1859</v>
      </c>
    </row>
    <row r="66" spans="1:5" x14ac:dyDescent="0.25">
      <c r="A66" s="27" t="s">
        <v>696</v>
      </c>
      <c r="B66" s="27" t="str">
        <f t="shared" si="0"/>
        <v>Arkansas</v>
      </c>
      <c r="C66" s="27" t="str">
        <f t="shared" si="1"/>
        <v>Mississippi</v>
      </c>
      <c r="D66" s="27">
        <v>9.1</v>
      </c>
      <c r="E66" s="27" t="s">
        <v>1859</v>
      </c>
    </row>
    <row r="67" spans="1:5" x14ac:dyDescent="0.25">
      <c r="A67" s="27" t="s">
        <v>697</v>
      </c>
      <c r="B67" s="27" t="str">
        <f t="shared" ref="B67:B130" si="2">LEFT(A67,FIND(";",A67)-1)</f>
        <v>Arkansas</v>
      </c>
      <c r="C67" s="27" t="str">
        <f t="shared" ref="C67:C130" si="3">MID(A67,FIND(";",A67)+1,100)</f>
        <v>Monroe</v>
      </c>
      <c r="D67" s="27">
        <v>8.8000000000000007</v>
      </c>
      <c r="E67" s="27" t="s">
        <v>1859</v>
      </c>
    </row>
    <row r="68" spans="1:5" x14ac:dyDescent="0.25">
      <c r="A68" s="27" t="s">
        <v>698</v>
      </c>
      <c r="B68" s="27" t="str">
        <f t="shared" si="2"/>
        <v>Arkansas</v>
      </c>
      <c r="C68" s="27" t="str">
        <f t="shared" si="3"/>
        <v>Nevada</v>
      </c>
      <c r="D68" s="27">
        <v>1.4</v>
      </c>
      <c r="E68" s="27" t="s">
        <v>1859</v>
      </c>
    </row>
    <row r="69" spans="1:5" x14ac:dyDescent="0.25">
      <c r="A69" s="27" t="s">
        <v>700</v>
      </c>
      <c r="B69" s="27" t="str">
        <f t="shared" si="2"/>
        <v>Arkansas</v>
      </c>
      <c r="C69" s="27" t="str">
        <f t="shared" si="3"/>
        <v>Ouachita</v>
      </c>
      <c r="D69" s="27">
        <v>4.3</v>
      </c>
      <c r="E69" s="27" t="s">
        <v>1859</v>
      </c>
    </row>
    <row r="70" spans="1:5" x14ac:dyDescent="0.25">
      <c r="A70" s="27" t="s">
        <v>701</v>
      </c>
      <c r="B70" s="27" t="str">
        <f t="shared" si="2"/>
        <v>Arkansas</v>
      </c>
      <c r="C70" s="27" t="str">
        <f t="shared" si="3"/>
        <v>Perry</v>
      </c>
      <c r="D70" s="27">
        <v>7.1</v>
      </c>
      <c r="E70" s="27" t="s">
        <v>1859</v>
      </c>
    </row>
    <row r="71" spans="1:5" x14ac:dyDescent="0.25">
      <c r="A71" s="27" t="s">
        <v>702</v>
      </c>
      <c r="B71" s="27" t="str">
        <f t="shared" si="2"/>
        <v>Arkansas</v>
      </c>
      <c r="C71" s="27" t="str">
        <f t="shared" si="3"/>
        <v>Phillips</v>
      </c>
      <c r="D71" s="27">
        <v>7</v>
      </c>
      <c r="E71" s="27" t="s">
        <v>1859</v>
      </c>
    </row>
    <row r="72" spans="1:5" x14ac:dyDescent="0.25">
      <c r="A72" s="27" t="s">
        <v>704</v>
      </c>
      <c r="B72" s="27" t="str">
        <f t="shared" si="2"/>
        <v>Arkansas</v>
      </c>
      <c r="C72" s="27" t="str">
        <f t="shared" si="3"/>
        <v>Poinsett</v>
      </c>
      <c r="D72" s="27">
        <v>15.9</v>
      </c>
      <c r="E72" s="27" t="s">
        <v>1859</v>
      </c>
    </row>
    <row r="73" spans="1:5" x14ac:dyDescent="0.25">
      <c r="A73" s="27" t="s">
        <v>705</v>
      </c>
      <c r="B73" s="27" t="str">
        <f t="shared" si="2"/>
        <v>Arkansas</v>
      </c>
      <c r="C73" s="27" t="str">
        <f t="shared" si="3"/>
        <v>Polk</v>
      </c>
      <c r="D73" s="27">
        <v>1.8</v>
      </c>
      <c r="E73" s="27" t="s">
        <v>1859</v>
      </c>
    </row>
    <row r="74" spans="1:5" x14ac:dyDescent="0.25">
      <c r="A74" s="27" t="s">
        <v>706</v>
      </c>
      <c r="B74" s="27" t="str">
        <f t="shared" si="2"/>
        <v>Arkansas</v>
      </c>
      <c r="C74" s="27" t="str">
        <f t="shared" si="3"/>
        <v>Pope</v>
      </c>
      <c r="D74" s="27">
        <v>1.5</v>
      </c>
      <c r="E74" s="27" t="s">
        <v>1859</v>
      </c>
    </row>
    <row r="75" spans="1:5" x14ac:dyDescent="0.25">
      <c r="A75" s="27" t="s">
        <v>707</v>
      </c>
      <c r="B75" s="27" t="str">
        <f t="shared" si="2"/>
        <v>Arkansas</v>
      </c>
      <c r="C75" s="27" t="str">
        <f t="shared" si="3"/>
        <v>Prairie</v>
      </c>
      <c r="D75" s="27">
        <v>10.3</v>
      </c>
      <c r="E75" s="27" t="s">
        <v>1859</v>
      </c>
    </row>
    <row r="76" spans="1:5" x14ac:dyDescent="0.25">
      <c r="A76" s="27" t="s">
        <v>708</v>
      </c>
      <c r="B76" s="27" t="str">
        <f t="shared" si="2"/>
        <v>Arkansas</v>
      </c>
      <c r="C76" s="27" t="str">
        <f t="shared" si="3"/>
        <v>Pulaski</v>
      </c>
      <c r="D76" s="27">
        <v>4</v>
      </c>
      <c r="E76" s="27" t="s">
        <v>1859</v>
      </c>
    </row>
    <row r="77" spans="1:5" x14ac:dyDescent="0.25">
      <c r="A77" s="27" t="s">
        <v>709</v>
      </c>
      <c r="B77" s="27" t="str">
        <f t="shared" si="2"/>
        <v>Arkansas</v>
      </c>
      <c r="C77" s="27" t="str">
        <f t="shared" si="3"/>
        <v>Randolph</v>
      </c>
      <c r="D77" s="27">
        <v>1.7</v>
      </c>
      <c r="E77" s="27" t="s">
        <v>1859</v>
      </c>
    </row>
    <row r="78" spans="1:5" x14ac:dyDescent="0.25">
      <c r="A78" s="27" t="s">
        <v>710</v>
      </c>
      <c r="B78" s="27" t="str">
        <f t="shared" si="2"/>
        <v>Arkansas</v>
      </c>
      <c r="C78" s="27" t="str">
        <f t="shared" si="3"/>
        <v>Saline</v>
      </c>
      <c r="D78" s="27">
        <v>1.8</v>
      </c>
      <c r="E78" s="27" t="s">
        <v>1859</v>
      </c>
    </row>
    <row r="79" spans="1:5" x14ac:dyDescent="0.25">
      <c r="A79" s="27" t="s">
        <v>714</v>
      </c>
      <c r="B79" s="27" t="str">
        <f t="shared" si="2"/>
        <v>Arkansas</v>
      </c>
      <c r="C79" s="27" t="str">
        <f t="shared" si="3"/>
        <v>Sevier</v>
      </c>
      <c r="D79" s="27">
        <v>6</v>
      </c>
      <c r="E79" s="27" t="s">
        <v>1859</v>
      </c>
    </row>
    <row r="80" spans="1:5" x14ac:dyDescent="0.25">
      <c r="A80" s="27" t="s">
        <v>1747</v>
      </c>
      <c r="B80" s="27" t="str">
        <f t="shared" si="2"/>
        <v>Arkansas</v>
      </c>
      <c r="C80" s="27" t="str">
        <f t="shared" si="3"/>
        <v>St Francis</v>
      </c>
      <c r="D80" s="27">
        <v>5.7</v>
      </c>
      <c r="E80" s="27" t="s">
        <v>1859</v>
      </c>
    </row>
    <row r="81" spans="1:5" x14ac:dyDescent="0.25">
      <c r="A81" s="27" t="s">
        <v>717</v>
      </c>
      <c r="B81" s="27" t="str">
        <f t="shared" si="2"/>
        <v>Arkansas</v>
      </c>
      <c r="C81" s="27" t="str">
        <f t="shared" si="3"/>
        <v>Union</v>
      </c>
      <c r="D81" s="27">
        <v>2</v>
      </c>
      <c r="E81" s="27" t="s">
        <v>1859</v>
      </c>
    </row>
    <row r="82" spans="1:5" x14ac:dyDescent="0.25">
      <c r="A82" s="27" t="s">
        <v>720</v>
      </c>
      <c r="B82" s="27" t="str">
        <f t="shared" si="2"/>
        <v>Arkansas</v>
      </c>
      <c r="C82" s="27" t="str">
        <f t="shared" si="3"/>
        <v>White</v>
      </c>
      <c r="D82" s="27">
        <v>3.2</v>
      </c>
      <c r="E82" s="27" t="s">
        <v>1859</v>
      </c>
    </row>
    <row r="83" spans="1:5" x14ac:dyDescent="0.25">
      <c r="A83" s="27" t="s">
        <v>721</v>
      </c>
      <c r="B83" s="27" t="str">
        <f t="shared" si="2"/>
        <v>Arkansas</v>
      </c>
      <c r="C83" s="27" t="str">
        <f t="shared" si="3"/>
        <v>Woodruff</v>
      </c>
      <c r="D83" s="27">
        <v>3.3</v>
      </c>
      <c r="E83" s="27" t="s">
        <v>1859</v>
      </c>
    </row>
    <row r="84" spans="1:5" ht="15" customHeight="1" x14ac:dyDescent="0.25">
      <c r="A84" s="27" t="s">
        <v>1367</v>
      </c>
      <c r="B84" s="27" t="str">
        <f t="shared" si="2"/>
        <v/>
      </c>
      <c r="C84" s="27" t="str">
        <f t="shared" si="3"/>
        <v/>
      </c>
    </row>
    <row r="85" spans="1:5" x14ac:dyDescent="0.25">
      <c r="A85" s="27" t="s">
        <v>1861</v>
      </c>
      <c r="B85" s="27" t="str">
        <f t="shared" si="2"/>
        <v>California</v>
      </c>
      <c r="C85" s="27" t="str">
        <f t="shared" si="3"/>
        <v>Calaveras</v>
      </c>
      <c r="D85" s="27">
        <v>1.6</v>
      </c>
      <c r="E85" s="27" t="s">
        <v>1859</v>
      </c>
    </row>
    <row r="86" spans="1:5" x14ac:dyDescent="0.25">
      <c r="A86" s="27" t="s">
        <v>1862</v>
      </c>
      <c r="B86" s="27" t="str">
        <f t="shared" si="2"/>
        <v>California</v>
      </c>
      <c r="C86" s="27" t="str">
        <f t="shared" si="3"/>
        <v>Glenn</v>
      </c>
      <c r="D86" s="27">
        <v>1.7</v>
      </c>
      <c r="E86" s="27" t="s">
        <v>1859</v>
      </c>
    </row>
    <row r="87" spans="1:5" x14ac:dyDescent="0.25">
      <c r="A87" s="27" t="s">
        <v>1863</v>
      </c>
      <c r="B87" s="27" t="str">
        <f t="shared" si="2"/>
        <v>California</v>
      </c>
      <c r="C87" s="27" t="str">
        <f t="shared" si="3"/>
        <v>Plumas</v>
      </c>
      <c r="D87" s="27">
        <v>1.8</v>
      </c>
      <c r="E87" s="27" t="s">
        <v>1859</v>
      </c>
    </row>
    <row r="88" spans="1:5" x14ac:dyDescent="0.25">
      <c r="A88" s="27" t="s">
        <v>1864</v>
      </c>
      <c r="B88" s="27" t="str">
        <f t="shared" si="2"/>
        <v>California</v>
      </c>
      <c r="C88" s="27" t="str">
        <f t="shared" si="3"/>
        <v>Shasta</v>
      </c>
      <c r="D88" s="27">
        <v>3.7</v>
      </c>
      <c r="E88" s="27" t="s">
        <v>1859</v>
      </c>
    </row>
    <row r="89" spans="1:5" ht="15" customHeight="1" x14ac:dyDescent="0.25">
      <c r="A89" s="27" t="s">
        <v>1367</v>
      </c>
      <c r="B89" s="27" t="str">
        <f t="shared" si="2"/>
        <v/>
      </c>
      <c r="C89" s="27" t="str">
        <f t="shared" si="3"/>
        <v/>
      </c>
    </row>
    <row r="90" spans="1:5" x14ac:dyDescent="0.25">
      <c r="A90" s="27" t="s">
        <v>1865</v>
      </c>
      <c r="B90" s="27" t="str">
        <f t="shared" si="2"/>
        <v>Florida</v>
      </c>
      <c r="C90" s="27" t="str">
        <f t="shared" si="3"/>
        <v>Alachua</v>
      </c>
      <c r="D90" s="27">
        <v>4.0999999999999996</v>
      </c>
      <c r="E90" s="27" t="s">
        <v>1859</v>
      </c>
    </row>
    <row r="91" spans="1:5" x14ac:dyDescent="0.25">
      <c r="A91" s="27" t="s">
        <v>1866</v>
      </c>
      <c r="B91" s="27" t="str">
        <f t="shared" si="2"/>
        <v>Florida</v>
      </c>
      <c r="C91" s="27" t="str">
        <f t="shared" si="3"/>
        <v>Baker</v>
      </c>
      <c r="D91" s="27">
        <v>3.5</v>
      </c>
      <c r="E91" s="27" t="s">
        <v>1859</v>
      </c>
    </row>
    <row r="92" spans="1:5" x14ac:dyDescent="0.25">
      <c r="A92" s="27" t="s">
        <v>1867</v>
      </c>
      <c r="B92" s="27" t="str">
        <f t="shared" si="2"/>
        <v>Florida</v>
      </c>
      <c r="C92" s="27" t="str">
        <f t="shared" si="3"/>
        <v>Bay</v>
      </c>
      <c r="D92" s="27">
        <v>5.2</v>
      </c>
      <c r="E92" s="27" t="s">
        <v>1859</v>
      </c>
    </row>
    <row r="93" spans="1:5" x14ac:dyDescent="0.25">
      <c r="A93" s="27" t="s">
        <v>1941</v>
      </c>
      <c r="B93" s="27" t="str">
        <f t="shared" si="2"/>
        <v>Florida</v>
      </c>
      <c r="C93" s="27" t="str">
        <f t="shared" si="3"/>
        <v>Bradford/New RIver</v>
      </c>
      <c r="D93" s="27">
        <v>2.4</v>
      </c>
      <c r="E93" s="27" t="s">
        <v>1859</v>
      </c>
    </row>
    <row r="94" spans="1:5" x14ac:dyDescent="0.25">
      <c r="A94" s="27" t="s">
        <v>1868</v>
      </c>
      <c r="B94" s="27" t="str">
        <f t="shared" si="2"/>
        <v>Florida</v>
      </c>
      <c r="C94" s="27" t="str">
        <f t="shared" si="3"/>
        <v>Calhoun</v>
      </c>
      <c r="D94" s="27">
        <v>5.7</v>
      </c>
      <c r="E94" s="27" t="s">
        <v>1859</v>
      </c>
    </row>
    <row r="95" spans="1:5" x14ac:dyDescent="0.25">
      <c r="A95" s="27" t="s">
        <v>1869</v>
      </c>
      <c r="B95" s="27" t="str">
        <f t="shared" si="2"/>
        <v>Florida</v>
      </c>
      <c r="C95" s="27" t="str">
        <f t="shared" si="3"/>
        <v>Citrus</v>
      </c>
      <c r="D95" s="27">
        <v>15.3</v>
      </c>
      <c r="E95" s="27" t="s">
        <v>1859</v>
      </c>
    </row>
    <row r="96" spans="1:5" x14ac:dyDescent="0.25">
      <c r="A96" s="27" t="s">
        <v>1870</v>
      </c>
      <c r="B96" s="27" t="str">
        <f t="shared" si="2"/>
        <v>Florida</v>
      </c>
      <c r="C96" s="27" t="str">
        <f t="shared" si="3"/>
        <v>Columbia</v>
      </c>
      <c r="D96" s="27">
        <v>3.5</v>
      </c>
      <c r="E96" s="27" t="s">
        <v>1859</v>
      </c>
    </row>
    <row r="97" spans="1:5" x14ac:dyDescent="0.25">
      <c r="A97" s="27" t="s">
        <v>1871</v>
      </c>
      <c r="B97" s="27" t="str">
        <f t="shared" si="2"/>
        <v>Florida</v>
      </c>
      <c r="C97" s="27" t="str">
        <f t="shared" si="3"/>
        <v>DeSoto</v>
      </c>
      <c r="D97" s="27">
        <v>2</v>
      </c>
      <c r="E97" s="27" t="s">
        <v>1859</v>
      </c>
    </row>
    <row r="98" spans="1:5" x14ac:dyDescent="0.25">
      <c r="A98" s="27" t="s">
        <v>1872</v>
      </c>
      <c r="B98" s="27" t="str">
        <f t="shared" si="2"/>
        <v>Florida</v>
      </c>
      <c r="C98" s="27" t="str">
        <f t="shared" si="3"/>
        <v>Duval</v>
      </c>
      <c r="D98" s="27">
        <v>1.2</v>
      </c>
      <c r="E98" s="27" t="s">
        <v>1859</v>
      </c>
    </row>
    <row r="99" spans="1:5" x14ac:dyDescent="0.25">
      <c r="A99" s="27" t="s">
        <v>1873</v>
      </c>
      <c r="B99" s="27" t="str">
        <f t="shared" si="2"/>
        <v>Florida</v>
      </c>
      <c r="C99" s="27" t="str">
        <f t="shared" si="3"/>
        <v>Escambia</v>
      </c>
      <c r="D99" s="27">
        <v>1.2</v>
      </c>
      <c r="E99" s="27" t="s">
        <v>1859</v>
      </c>
    </row>
    <row r="100" spans="1:5" x14ac:dyDescent="0.25">
      <c r="A100" s="27" t="s">
        <v>1874</v>
      </c>
      <c r="B100" s="27" t="str">
        <f t="shared" si="2"/>
        <v>Florida</v>
      </c>
      <c r="C100" s="27" t="str">
        <f t="shared" si="3"/>
        <v>Franklin</v>
      </c>
      <c r="D100" s="27">
        <v>2</v>
      </c>
      <c r="E100" s="27" t="s">
        <v>1859</v>
      </c>
    </row>
    <row r="101" spans="1:5" x14ac:dyDescent="0.25">
      <c r="A101" s="27" t="s">
        <v>1875</v>
      </c>
      <c r="B101" s="27" t="str">
        <f t="shared" si="2"/>
        <v>Florida</v>
      </c>
      <c r="C101" s="27" t="str">
        <f t="shared" si="3"/>
        <v>Gadsden</v>
      </c>
      <c r="D101" s="27">
        <v>4.7</v>
      </c>
      <c r="E101" s="27" t="s">
        <v>1859</v>
      </c>
    </row>
    <row r="102" spans="1:5" x14ac:dyDescent="0.25">
      <c r="A102" s="27" t="s">
        <v>1876</v>
      </c>
      <c r="B102" s="27" t="str">
        <f t="shared" si="2"/>
        <v>Florida</v>
      </c>
      <c r="C102" s="27" t="str">
        <f t="shared" si="3"/>
        <v>Hamilton</v>
      </c>
      <c r="D102" s="27">
        <v>5</v>
      </c>
      <c r="E102" s="27" t="s">
        <v>1859</v>
      </c>
    </row>
    <row r="103" spans="1:5" x14ac:dyDescent="0.25">
      <c r="A103" s="27" t="s">
        <v>1942</v>
      </c>
      <c r="B103" s="27" t="str">
        <f t="shared" si="2"/>
        <v>Florida</v>
      </c>
      <c r="C103" s="27" t="str">
        <f t="shared" si="3"/>
        <v>Hernando/Benton</v>
      </c>
      <c r="D103" s="27">
        <v>4.4000000000000004</v>
      </c>
      <c r="E103" s="27" t="s">
        <v>1859</v>
      </c>
    </row>
    <row r="104" spans="1:5" x14ac:dyDescent="0.25">
      <c r="A104" s="27" t="s">
        <v>1877</v>
      </c>
      <c r="B104" s="27" t="str">
        <f t="shared" si="2"/>
        <v>Florida</v>
      </c>
      <c r="C104" s="27" t="str">
        <f t="shared" si="3"/>
        <v>Hillsborough</v>
      </c>
      <c r="D104" s="27">
        <v>1.6</v>
      </c>
      <c r="E104" s="27" t="s">
        <v>1859</v>
      </c>
    </row>
    <row r="105" spans="1:5" x14ac:dyDescent="0.25">
      <c r="A105" s="27" t="s">
        <v>1878</v>
      </c>
      <c r="B105" s="27" t="str">
        <f t="shared" si="2"/>
        <v>Florida</v>
      </c>
      <c r="C105" s="27" t="str">
        <f t="shared" si="3"/>
        <v>Holmes</v>
      </c>
      <c r="D105" s="27">
        <v>4.7</v>
      </c>
      <c r="E105" s="27" t="s">
        <v>1859</v>
      </c>
    </row>
    <row r="106" spans="1:5" x14ac:dyDescent="0.25">
      <c r="A106" s="27" t="s">
        <v>1879</v>
      </c>
      <c r="B106" s="27" t="str">
        <f t="shared" si="2"/>
        <v>Florida</v>
      </c>
      <c r="C106" s="27" t="str">
        <f t="shared" si="3"/>
        <v>Jackson</v>
      </c>
      <c r="D106" s="27">
        <v>10.6</v>
      </c>
      <c r="E106" s="27" t="s">
        <v>1859</v>
      </c>
    </row>
    <row r="107" spans="1:5" x14ac:dyDescent="0.25">
      <c r="A107" s="27" t="s">
        <v>1880</v>
      </c>
      <c r="B107" s="27" t="str">
        <f t="shared" si="2"/>
        <v>Florida</v>
      </c>
      <c r="C107" s="27" t="str">
        <f t="shared" si="3"/>
        <v>Jefferson</v>
      </c>
      <c r="D107" s="27">
        <v>14.5</v>
      </c>
      <c r="E107" s="27" t="s">
        <v>1859</v>
      </c>
    </row>
    <row r="108" spans="1:5" x14ac:dyDescent="0.25">
      <c r="A108" s="27" t="s">
        <v>1881</v>
      </c>
      <c r="B108" s="27" t="str">
        <f t="shared" si="2"/>
        <v>Florida</v>
      </c>
      <c r="C108" s="27" t="str">
        <f t="shared" si="3"/>
        <v>Lafayette</v>
      </c>
      <c r="D108" s="27">
        <v>17.600000000000001</v>
      </c>
      <c r="E108" s="27" t="s">
        <v>1859</v>
      </c>
    </row>
    <row r="109" spans="1:5" x14ac:dyDescent="0.25">
      <c r="A109" s="27" t="s">
        <v>1882</v>
      </c>
      <c r="B109" s="27" t="str">
        <f t="shared" si="2"/>
        <v>Florida</v>
      </c>
      <c r="C109" s="27" t="str">
        <f t="shared" si="3"/>
        <v>Lake</v>
      </c>
      <c r="D109" s="27">
        <v>3.9</v>
      </c>
      <c r="E109" s="27" t="s">
        <v>1859</v>
      </c>
    </row>
    <row r="110" spans="1:5" x14ac:dyDescent="0.25">
      <c r="A110" s="27" t="s">
        <v>1883</v>
      </c>
      <c r="B110" s="27" t="str">
        <f t="shared" si="2"/>
        <v>Florida</v>
      </c>
      <c r="C110" s="27" t="str">
        <f t="shared" si="3"/>
        <v>Leon</v>
      </c>
      <c r="D110" s="27">
        <v>11.1</v>
      </c>
      <c r="E110" s="27" t="s">
        <v>1859</v>
      </c>
    </row>
    <row r="111" spans="1:5" x14ac:dyDescent="0.25">
      <c r="A111" s="27" t="s">
        <v>1884</v>
      </c>
      <c r="B111" s="27" t="str">
        <f t="shared" si="2"/>
        <v>Florida</v>
      </c>
      <c r="C111" s="27" t="str">
        <f t="shared" si="3"/>
        <v>Levy</v>
      </c>
      <c r="D111" s="27">
        <v>15</v>
      </c>
      <c r="E111" s="27" t="s">
        <v>1859</v>
      </c>
    </row>
    <row r="112" spans="1:5" x14ac:dyDescent="0.25">
      <c r="A112" s="27" t="s">
        <v>1885</v>
      </c>
      <c r="B112" s="27" t="str">
        <f t="shared" si="2"/>
        <v>Florida</v>
      </c>
      <c r="C112" s="27" t="str">
        <f t="shared" si="3"/>
        <v>Liberty</v>
      </c>
      <c r="D112" s="27">
        <v>4</v>
      </c>
      <c r="E112" s="27" t="s">
        <v>1859</v>
      </c>
    </row>
    <row r="113" spans="1:5" x14ac:dyDescent="0.25">
      <c r="A113" s="27" t="s">
        <v>1886</v>
      </c>
      <c r="B113" s="27" t="str">
        <f t="shared" si="2"/>
        <v>Florida</v>
      </c>
      <c r="C113" s="27" t="str">
        <f t="shared" si="3"/>
        <v>Madison</v>
      </c>
      <c r="D113" s="27">
        <v>10</v>
      </c>
      <c r="E113" s="27" t="s">
        <v>1859</v>
      </c>
    </row>
    <row r="114" spans="1:5" x14ac:dyDescent="0.25">
      <c r="A114" s="27" t="s">
        <v>1887</v>
      </c>
      <c r="B114" s="27" t="str">
        <f t="shared" si="2"/>
        <v>Florida</v>
      </c>
      <c r="C114" s="27" t="str">
        <f t="shared" si="3"/>
        <v>Manatee</v>
      </c>
      <c r="D114" s="27">
        <v>2.6</v>
      </c>
      <c r="E114" s="27" t="s">
        <v>1859</v>
      </c>
    </row>
    <row r="115" spans="1:5" x14ac:dyDescent="0.25">
      <c r="A115" s="27" t="s">
        <v>1888</v>
      </c>
      <c r="B115" s="27" t="str">
        <f t="shared" si="2"/>
        <v>Florida</v>
      </c>
      <c r="C115" s="27" t="str">
        <f t="shared" si="3"/>
        <v>Marion</v>
      </c>
      <c r="D115" s="27">
        <v>6.3</v>
      </c>
      <c r="E115" s="27" t="s">
        <v>1859</v>
      </c>
    </row>
    <row r="116" spans="1:5" x14ac:dyDescent="0.25">
      <c r="A116" s="27" t="s">
        <v>1889</v>
      </c>
      <c r="B116" s="27" t="str">
        <f t="shared" si="2"/>
        <v>Florida</v>
      </c>
      <c r="C116" s="27" t="str">
        <f t="shared" si="3"/>
        <v>Nassau</v>
      </c>
      <c r="D116" s="27">
        <v>2.6</v>
      </c>
      <c r="E116" s="27" t="s">
        <v>1859</v>
      </c>
    </row>
    <row r="117" spans="1:5" x14ac:dyDescent="0.25">
      <c r="A117" s="27" t="s">
        <v>1890</v>
      </c>
      <c r="B117" s="27" t="str">
        <f t="shared" si="2"/>
        <v>Florida</v>
      </c>
      <c r="C117" s="27" t="str">
        <f t="shared" si="3"/>
        <v>Okaloosa</v>
      </c>
      <c r="D117" s="27">
        <v>2.1</v>
      </c>
      <c r="E117" s="27" t="s">
        <v>1859</v>
      </c>
    </row>
    <row r="118" spans="1:5" x14ac:dyDescent="0.25">
      <c r="A118" s="27" t="s">
        <v>1891</v>
      </c>
      <c r="B118" s="27" t="str">
        <f t="shared" si="2"/>
        <v>Florida</v>
      </c>
      <c r="C118" s="27" t="str">
        <f t="shared" si="3"/>
        <v>Okeechobee</v>
      </c>
      <c r="D118" s="27">
        <v>9.4</v>
      </c>
      <c r="E118" s="27" t="s">
        <v>1859</v>
      </c>
    </row>
    <row r="119" spans="1:5" x14ac:dyDescent="0.25">
      <c r="A119" s="27" t="s">
        <v>1943</v>
      </c>
      <c r="B119" s="27" t="str">
        <f t="shared" si="2"/>
        <v>Florida</v>
      </c>
      <c r="C119" s="27" t="str">
        <f t="shared" si="3"/>
        <v>Orange/Mesquito</v>
      </c>
      <c r="D119" s="27">
        <v>2.5</v>
      </c>
      <c r="E119" s="27" t="s">
        <v>1859</v>
      </c>
    </row>
    <row r="120" spans="1:5" x14ac:dyDescent="0.25">
      <c r="A120" s="27" t="s">
        <v>1938</v>
      </c>
      <c r="B120" s="27" t="str">
        <f t="shared" si="2"/>
        <v>Florida</v>
      </c>
      <c r="C120" s="27" t="str">
        <f t="shared" si="3"/>
        <v>Palm Beach</v>
      </c>
      <c r="D120" s="27">
        <v>1.6</v>
      </c>
      <c r="E120" s="27" t="s">
        <v>1859</v>
      </c>
    </row>
    <row r="121" spans="1:5" x14ac:dyDescent="0.25">
      <c r="A121" s="27" t="s">
        <v>1892</v>
      </c>
      <c r="B121" s="27" t="str">
        <f t="shared" si="2"/>
        <v>Florida</v>
      </c>
      <c r="C121" s="27" t="str">
        <f t="shared" si="3"/>
        <v>Polk</v>
      </c>
      <c r="D121" s="27">
        <v>2.2999999999999998</v>
      </c>
      <c r="E121" s="27" t="s">
        <v>1859</v>
      </c>
    </row>
    <row r="122" spans="1:5" x14ac:dyDescent="0.25">
      <c r="A122" s="27" t="s">
        <v>1893</v>
      </c>
      <c r="B122" s="27" t="str">
        <f t="shared" si="2"/>
        <v>Florida</v>
      </c>
      <c r="C122" s="27" t="str">
        <f t="shared" si="3"/>
        <v>Putnam</v>
      </c>
      <c r="D122" s="27">
        <v>2</v>
      </c>
      <c r="E122" s="27" t="s">
        <v>1859</v>
      </c>
    </row>
    <row r="123" spans="1:5" x14ac:dyDescent="0.25">
      <c r="A123" s="27" t="s">
        <v>1940</v>
      </c>
      <c r="B123" s="27" t="str">
        <f t="shared" si="2"/>
        <v>Florida</v>
      </c>
      <c r="C123" s="27" t="str">
        <f t="shared" si="3"/>
        <v>St Lucie</v>
      </c>
      <c r="D123" s="27">
        <v>1.3</v>
      </c>
      <c r="E123" s="27" t="s">
        <v>1859</v>
      </c>
    </row>
    <row r="124" spans="1:5" x14ac:dyDescent="0.25">
      <c r="A124" s="27" t="s">
        <v>1939</v>
      </c>
      <c r="B124" s="27" t="str">
        <f t="shared" si="2"/>
        <v>Florida</v>
      </c>
      <c r="C124" s="27" t="str">
        <f t="shared" si="3"/>
        <v>Santa Rosa</v>
      </c>
      <c r="D124" s="27">
        <v>1.5</v>
      </c>
      <c r="E124" s="27" t="s">
        <v>1859</v>
      </c>
    </row>
    <row r="125" spans="1:5" x14ac:dyDescent="0.25">
      <c r="A125" s="27" t="s">
        <v>1894</v>
      </c>
      <c r="B125" s="27" t="str">
        <f t="shared" si="2"/>
        <v>Florida</v>
      </c>
      <c r="C125" s="27" t="str">
        <f t="shared" si="3"/>
        <v>Sumter</v>
      </c>
      <c r="D125" s="27">
        <v>6.4</v>
      </c>
      <c r="E125" s="27" t="s">
        <v>1859</v>
      </c>
    </row>
    <row r="126" spans="1:5" x14ac:dyDescent="0.25">
      <c r="A126" s="27" t="s">
        <v>1944</v>
      </c>
      <c r="B126" s="27" t="str">
        <f t="shared" si="2"/>
        <v>Florida</v>
      </c>
      <c r="C126" s="27" t="str">
        <f t="shared" si="3"/>
        <v>Suwannee</v>
      </c>
      <c r="D126" s="27">
        <v>8.6</v>
      </c>
      <c r="E126" s="27" t="s">
        <v>1859</v>
      </c>
    </row>
    <row r="127" spans="1:5" x14ac:dyDescent="0.25">
      <c r="A127" s="27" t="s">
        <v>1895</v>
      </c>
      <c r="B127" s="27" t="str">
        <f t="shared" si="2"/>
        <v>Florida</v>
      </c>
      <c r="C127" s="27" t="str">
        <f t="shared" si="3"/>
        <v>Taylor</v>
      </c>
      <c r="D127" s="27">
        <v>17.8</v>
      </c>
      <c r="E127" s="27" t="s">
        <v>1859</v>
      </c>
    </row>
    <row r="128" spans="1:5" x14ac:dyDescent="0.25">
      <c r="A128" s="27" t="s">
        <v>1896</v>
      </c>
      <c r="B128" s="27" t="str">
        <f t="shared" si="2"/>
        <v>Florida</v>
      </c>
      <c r="C128" s="27" t="str">
        <f t="shared" si="3"/>
        <v>Wakulla</v>
      </c>
      <c r="D128" s="27">
        <v>4</v>
      </c>
      <c r="E128" s="27" t="s">
        <v>1859</v>
      </c>
    </row>
    <row r="129" spans="1:5" x14ac:dyDescent="0.25">
      <c r="A129" s="27" t="s">
        <v>1897</v>
      </c>
      <c r="B129" s="27" t="str">
        <f t="shared" si="2"/>
        <v>Florida</v>
      </c>
      <c r="C129" s="27" t="str">
        <f t="shared" si="3"/>
        <v>Walton</v>
      </c>
      <c r="D129" s="27">
        <v>1.7</v>
      </c>
      <c r="E129" s="27" t="s">
        <v>1859</v>
      </c>
    </row>
    <row r="130" spans="1:5" x14ac:dyDescent="0.25">
      <c r="A130" s="27" t="s">
        <v>1898</v>
      </c>
      <c r="B130" s="27" t="str">
        <f t="shared" si="2"/>
        <v>Florida</v>
      </c>
      <c r="C130" s="27" t="str">
        <f t="shared" si="3"/>
        <v>Washington</v>
      </c>
      <c r="D130" s="27">
        <v>2.5</v>
      </c>
      <c r="E130" s="27" t="s">
        <v>1859</v>
      </c>
    </row>
    <row r="131" spans="1:5" ht="15" customHeight="1" x14ac:dyDescent="0.25">
      <c r="A131" s="27" t="s">
        <v>1367</v>
      </c>
      <c r="B131" s="27" t="str">
        <f t="shared" ref="B131:B194" si="4">LEFT(A131,FIND(";",A131)-1)</f>
        <v/>
      </c>
      <c r="C131" s="27" t="str">
        <f t="shared" ref="C131:C194" si="5">MID(A131,FIND(";",A131)+1,100)</f>
        <v/>
      </c>
    </row>
    <row r="132" spans="1:5" x14ac:dyDescent="0.25">
      <c r="A132" s="27" t="s">
        <v>723</v>
      </c>
      <c r="B132" s="27" t="str">
        <f t="shared" si="4"/>
        <v>Georgia</v>
      </c>
      <c r="C132" s="27" t="str">
        <f t="shared" si="5"/>
        <v>Appling</v>
      </c>
      <c r="D132" s="27">
        <v>2.8</v>
      </c>
      <c r="E132" s="27" t="s">
        <v>1857</v>
      </c>
    </row>
    <row r="133" spans="1:5" x14ac:dyDescent="0.25">
      <c r="A133" s="27" t="s">
        <v>725</v>
      </c>
      <c r="B133" s="27" t="str">
        <f t="shared" si="4"/>
        <v>Georgia</v>
      </c>
      <c r="C133" s="27" t="str">
        <f t="shared" si="5"/>
        <v>Bacon</v>
      </c>
      <c r="D133" s="27">
        <v>1.5</v>
      </c>
      <c r="E133" s="27" t="s">
        <v>1857</v>
      </c>
    </row>
    <row r="134" spans="1:5" x14ac:dyDescent="0.25">
      <c r="A134" s="27" t="s">
        <v>726</v>
      </c>
      <c r="B134" s="27" t="str">
        <f t="shared" si="4"/>
        <v>Georgia</v>
      </c>
      <c r="C134" s="27" t="str">
        <f t="shared" si="5"/>
        <v>Baker</v>
      </c>
      <c r="D134" s="27">
        <v>4.8</v>
      </c>
      <c r="E134" s="27" t="s">
        <v>1858</v>
      </c>
    </row>
    <row r="135" spans="1:5" x14ac:dyDescent="0.25">
      <c r="A135" s="27" t="s">
        <v>1778</v>
      </c>
      <c r="B135" s="27" t="str">
        <f t="shared" si="4"/>
        <v>Georgia</v>
      </c>
      <c r="C135" s="27" t="str">
        <f t="shared" si="5"/>
        <v>Bartow/Cass</v>
      </c>
      <c r="D135" s="27">
        <v>1.3</v>
      </c>
      <c r="E135" s="27" t="s">
        <v>1858</v>
      </c>
    </row>
    <row r="136" spans="1:5" x14ac:dyDescent="0.25">
      <c r="A136" s="27" t="s">
        <v>730</v>
      </c>
      <c r="B136" s="27" t="str">
        <f t="shared" si="4"/>
        <v>Georgia</v>
      </c>
      <c r="C136" s="27" t="str">
        <f t="shared" si="5"/>
        <v>Ben Hill</v>
      </c>
      <c r="D136" s="27">
        <v>1.4</v>
      </c>
      <c r="E136" s="27" t="s">
        <v>1858</v>
      </c>
    </row>
    <row r="137" spans="1:5" x14ac:dyDescent="0.25">
      <c r="A137" s="27" t="s">
        <v>731</v>
      </c>
      <c r="B137" s="27" t="str">
        <f t="shared" si="4"/>
        <v>Georgia</v>
      </c>
      <c r="C137" s="27" t="str">
        <f t="shared" si="5"/>
        <v>Berrien</v>
      </c>
      <c r="D137" s="27">
        <v>1.9</v>
      </c>
      <c r="E137" s="27" t="s">
        <v>1858</v>
      </c>
    </row>
    <row r="138" spans="1:5" x14ac:dyDescent="0.25">
      <c r="A138" s="27" t="s">
        <v>732</v>
      </c>
      <c r="B138" s="27" t="str">
        <f t="shared" si="4"/>
        <v>Georgia</v>
      </c>
      <c r="C138" s="27" t="str">
        <f t="shared" si="5"/>
        <v>Bibb</v>
      </c>
      <c r="D138" s="27">
        <v>1.3</v>
      </c>
      <c r="E138" s="27" t="s">
        <v>1858</v>
      </c>
    </row>
    <row r="139" spans="1:5" x14ac:dyDescent="0.25">
      <c r="A139" s="27" t="s">
        <v>733</v>
      </c>
      <c r="B139" s="27" t="str">
        <f t="shared" si="4"/>
        <v>Georgia</v>
      </c>
      <c r="C139" s="27" t="str">
        <f t="shared" si="5"/>
        <v>Bleckley</v>
      </c>
      <c r="D139" s="27">
        <v>6.7</v>
      </c>
      <c r="E139" s="27" t="s">
        <v>1858</v>
      </c>
    </row>
    <row r="140" spans="1:5" x14ac:dyDescent="0.25">
      <c r="A140" s="27" t="s">
        <v>735</v>
      </c>
      <c r="B140" s="27" t="str">
        <f t="shared" si="4"/>
        <v>Georgia</v>
      </c>
      <c r="C140" s="27" t="str">
        <f t="shared" si="5"/>
        <v>Brooks</v>
      </c>
      <c r="D140" s="27">
        <v>5.3</v>
      </c>
      <c r="E140" s="27" t="s">
        <v>1858</v>
      </c>
    </row>
    <row r="141" spans="1:5" x14ac:dyDescent="0.25">
      <c r="A141" s="27" t="s">
        <v>736</v>
      </c>
      <c r="B141" s="27" t="str">
        <f t="shared" si="4"/>
        <v>Georgia</v>
      </c>
      <c r="C141" s="27" t="str">
        <f t="shared" si="5"/>
        <v>Bryan</v>
      </c>
      <c r="D141" s="27">
        <v>4.8</v>
      </c>
      <c r="E141" s="27" t="s">
        <v>1858</v>
      </c>
    </row>
    <row r="142" spans="1:5" x14ac:dyDescent="0.25">
      <c r="A142" s="27" t="s">
        <v>738</v>
      </c>
      <c r="B142" s="27" t="str">
        <f t="shared" si="4"/>
        <v>Georgia</v>
      </c>
      <c r="C142" s="27" t="str">
        <f t="shared" si="5"/>
        <v>Burke</v>
      </c>
      <c r="D142" s="27">
        <v>7.1</v>
      </c>
      <c r="E142" s="27" t="s">
        <v>1858</v>
      </c>
    </row>
    <row r="143" spans="1:5" x14ac:dyDescent="0.25">
      <c r="A143" s="27" t="s">
        <v>740</v>
      </c>
      <c r="B143" s="27" t="str">
        <f t="shared" si="4"/>
        <v>Georgia</v>
      </c>
      <c r="C143" s="27" t="str">
        <f t="shared" si="5"/>
        <v>Calhoun</v>
      </c>
      <c r="D143" s="27">
        <v>4.9000000000000004</v>
      </c>
      <c r="E143" s="27" t="s">
        <v>1858</v>
      </c>
    </row>
    <row r="144" spans="1:5" x14ac:dyDescent="0.25">
      <c r="A144" s="27" t="s">
        <v>741</v>
      </c>
      <c r="B144" s="27" t="str">
        <f t="shared" si="4"/>
        <v>Georgia</v>
      </c>
      <c r="C144" s="27" t="str">
        <f t="shared" si="5"/>
        <v>Camden</v>
      </c>
      <c r="D144" s="27">
        <v>5.7</v>
      </c>
      <c r="E144" s="27" t="s">
        <v>1858</v>
      </c>
    </row>
    <row r="145" spans="1:5" x14ac:dyDescent="0.25">
      <c r="A145" s="27" t="s">
        <v>743</v>
      </c>
      <c r="B145" s="27" t="str">
        <f t="shared" si="4"/>
        <v>Georgia</v>
      </c>
      <c r="C145" s="27" t="str">
        <f t="shared" si="5"/>
        <v>Candler</v>
      </c>
      <c r="D145" s="27">
        <v>1.1000000000000001</v>
      </c>
      <c r="E145" s="27" t="s">
        <v>1858</v>
      </c>
    </row>
    <row r="146" spans="1:5" x14ac:dyDescent="0.25">
      <c r="A146" s="27" t="s">
        <v>746</v>
      </c>
      <c r="B146" s="27" t="str">
        <f t="shared" si="4"/>
        <v>Georgia</v>
      </c>
      <c r="C146" s="27" t="str">
        <f t="shared" si="5"/>
        <v>Charlton</v>
      </c>
      <c r="D146" s="27">
        <v>4.5</v>
      </c>
      <c r="E146" s="27" t="s">
        <v>1858</v>
      </c>
    </row>
    <row r="147" spans="1:5" x14ac:dyDescent="0.25">
      <c r="A147" s="27" t="s">
        <v>747</v>
      </c>
      <c r="B147" s="27" t="str">
        <f t="shared" si="4"/>
        <v>Georgia</v>
      </c>
      <c r="C147" s="27" t="str">
        <f t="shared" si="5"/>
        <v>Chatham</v>
      </c>
      <c r="D147" s="27">
        <v>2</v>
      </c>
      <c r="E147" s="27" t="s">
        <v>1858</v>
      </c>
    </row>
    <row r="148" spans="1:5" x14ac:dyDescent="0.25">
      <c r="A148" s="27" t="s">
        <v>752</v>
      </c>
      <c r="B148" s="27" t="str">
        <f t="shared" si="4"/>
        <v>Georgia</v>
      </c>
      <c r="C148" s="27" t="str">
        <f t="shared" si="5"/>
        <v>Clay</v>
      </c>
      <c r="D148" s="27">
        <v>2.6</v>
      </c>
      <c r="E148" s="27" t="s">
        <v>1858</v>
      </c>
    </row>
    <row r="149" spans="1:5" x14ac:dyDescent="0.25">
      <c r="A149" s="27" t="s">
        <v>757</v>
      </c>
      <c r="B149" s="27" t="str">
        <f t="shared" si="4"/>
        <v>Georgia</v>
      </c>
      <c r="C149" s="27" t="str">
        <f t="shared" si="5"/>
        <v>Colquitt</v>
      </c>
      <c r="D149" s="27">
        <v>3.1</v>
      </c>
      <c r="E149" s="27" t="s">
        <v>1858</v>
      </c>
    </row>
    <row r="150" spans="1:5" x14ac:dyDescent="0.25">
      <c r="A150" s="27" t="s">
        <v>762</v>
      </c>
      <c r="B150" s="27" t="str">
        <f t="shared" si="4"/>
        <v>Georgia</v>
      </c>
      <c r="C150" s="27" t="str">
        <f t="shared" si="5"/>
        <v>Crisp</v>
      </c>
      <c r="D150" s="27">
        <v>2.1</v>
      </c>
      <c r="E150" s="27" t="s">
        <v>1858</v>
      </c>
    </row>
    <row r="151" spans="1:5" x14ac:dyDescent="0.25">
      <c r="A151" s="27" t="s">
        <v>764</v>
      </c>
      <c r="B151" s="27" t="str">
        <f t="shared" si="4"/>
        <v>Georgia</v>
      </c>
      <c r="C151" s="27" t="str">
        <f t="shared" si="5"/>
        <v>Dawson</v>
      </c>
      <c r="D151" s="27">
        <v>2.4</v>
      </c>
      <c r="E151" s="27" t="s">
        <v>1858</v>
      </c>
    </row>
    <row r="152" spans="1:5" x14ac:dyDescent="0.25">
      <c r="A152" s="27" t="s">
        <v>765</v>
      </c>
      <c r="B152" s="27" t="str">
        <f t="shared" si="4"/>
        <v>Georgia</v>
      </c>
      <c r="C152" s="27" t="str">
        <f t="shared" si="5"/>
        <v>Decatur</v>
      </c>
      <c r="D152" s="27">
        <v>1.9</v>
      </c>
      <c r="E152" s="27" t="s">
        <v>1858</v>
      </c>
    </row>
    <row r="153" spans="1:5" x14ac:dyDescent="0.25">
      <c r="A153" s="27" t="s">
        <v>768</v>
      </c>
      <c r="B153" s="27" t="str">
        <f t="shared" si="4"/>
        <v>Georgia</v>
      </c>
      <c r="C153" s="27" t="str">
        <f t="shared" si="5"/>
        <v>Dooly</v>
      </c>
      <c r="D153" s="27">
        <v>2</v>
      </c>
      <c r="E153" s="27" t="s">
        <v>1858</v>
      </c>
    </row>
    <row r="154" spans="1:5" x14ac:dyDescent="0.25">
      <c r="A154" s="27" t="s">
        <v>771</v>
      </c>
      <c r="B154" s="27" t="str">
        <f t="shared" si="4"/>
        <v>Georgia</v>
      </c>
      <c r="C154" s="27" t="str">
        <f t="shared" si="5"/>
        <v>Early</v>
      </c>
      <c r="D154" s="27">
        <v>10.5</v>
      </c>
      <c r="E154" s="27" t="s">
        <v>1858</v>
      </c>
    </row>
    <row r="155" spans="1:5" x14ac:dyDescent="0.25">
      <c r="A155" s="27" t="s">
        <v>773</v>
      </c>
      <c r="B155" s="27" t="str">
        <f t="shared" si="4"/>
        <v>Georgia</v>
      </c>
      <c r="C155" s="27" t="str">
        <f t="shared" si="5"/>
        <v>Effingham</v>
      </c>
      <c r="D155" s="27">
        <v>6</v>
      </c>
      <c r="E155" s="27" t="s">
        <v>1858</v>
      </c>
    </row>
    <row r="156" spans="1:5" x14ac:dyDescent="0.25">
      <c r="A156" s="27" t="s">
        <v>775</v>
      </c>
      <c r="B156" s="27" t="str">
        <f t="shared" si="4"/>
        <v>Georgia</v>
      </c>
      <c r="C156" s="27" t="str">
        <f t="shared" si="5"/>
        <v>Emanuel</v>
      </c>
      <c r="D156" s="27">
        <v>3.5</v>
      </c>
      <c r="E156" s="27" t="s">
        <v>1858</v>
      </c>
    </row>
    <row r="157" spans="1:5" x14ac:dyDescent="0.25">
      <c r="A157" s="27" t="s">
        <v>779</v>
      </c>
      <c r="B157" s="27" t="str">
        <f t="shared" si="4"/>
        <v>Georgia</v>
      </c>
      <c r="C157" s="27" t="str">
        <f t="shared" si="5"/>
        <v>Floyd</v>
      </c>
      <c r="D157" s="27">
        <v>1.8</v>
      </c>
      <c r="E157" s="27" t="s">
        <v>1858</v>
      </c>
    </row>
    <row r="158" spans="1:5" x14ac:dyDescent="0.25">
      <c r="A158" s="27" t="s">
        <v>784</v>
      </c>
      <c r="B158" s="27" t="str">
        <f t="shared" si="4"/>
        <v>Georgia</v>
      </c>
      <c r="C158" s="27" t="str">
        <f t="shared" si="5"/>
        <v>Glascock</v>
      </c>
      <c r="D158" s="27">
        <v>7.1</v>
      </c>
      <c r="E158" s="27" t="s">
        <v>1858</v>
      </c>
    </row>
    <row r="159" spans="1:5" x14ac:dyDescent="0.25">
      <c r="A159" s="27" t="s">
        <v>785</v>
      </c>
      <c r="B159" s="27" t="str">
        <f t="shared" si="4"/>
        <v>Georgia</v>
      </c>
      <c r="C159" s="27" t="str">
        <f t="shared" si="5"/>
        <v>Glynn</v>
      </c>
      <c r="D159" s="27">
        <v>1.5</v>
      </c>
      <c r="E159" s="27" t="s">
        <v>1858</v>
      </c>
    </row>
    <row r="160" spans="1:5" x14ac:dyDescent="0.25">
      <c r="A160" s="27" t="s">
        <v>787</v>
      </c>
      <c r="B160" s="27" t="str">
        <f t="shared" si="4"/>
        <v>Georgia</v>
      </c>
      <c r="C160" s="27" t="str">
        <f t="shared" si="5"/>
        <v>Grady</v>
      </c>
      <c r="D160" s="27">
        <v>1.5</v>
      </c>
      <c r="E160" s="27" t="s">
        <v>1858</v>
      </c>
    </row>
    <row r="161" spans="1:5" x14ac:dyDescent="0.25">
      <c r="A161" s="27" t="s">
        <v>792</v>
      </c>
      <c r="B161" s="27" t="str">
        <f t="shared" si="4"/>
        <v>Georgia</v>
      </c>
      <c r="C161" s="27" t="str">
        <f t="shared" si="5"/>
        <v>Hancock</v>
      </c>
      <c r="D161" s="27">
        <v>1.6</v>
      </c>
      <c r="E161" s="27" t="s">
        <v>1858</v>
      </c>
    </row>
    <row r="162" spans="1:5" x14ac:dyDescent="0.25">
      <c r="A162" s="27" t="s">
        <v>793</v>
      </c>
      <c r="B162" s="27" t="str">
        <f t="shared" si="4"/>
        <v>Georgia</v>
      </c>
      <c r="C162" s="27" t="str">
        <f t="shared" si="5"/>
        <v>Haralson</v>
      </c>
      <c r="D162" s="27">
        <v>1.4</v>
      </c>
      <c r="E162" s="27" t="s">
        <v>1858</v>
      </c>
    </row>
    <row r="163" spans="1:5" x14ac:dyDescent="0.25">
      <c r="A163" s="27" t="s">
        <v>798</v>
      </c>
      <c r="B163" s="27" t="str">
        <f t="shared" si="4"/>
        <v>Georgia</v>
      </c>
      <c r="C163" s="27" t="str">
        <f t="shared" si="5"/>
        <v>Houston</v>
      </c>
      <c r="D163" s="27">
        <v>1.8</v>
      </c>
      <c r="E163" s="27" t="s">
        <v>1858</v>
      </c>
    </row>
    <row r="164" spans="1:5" x14ac:dyDescent="0.25">
      <c r="A164" s="27" t="s">
        <v>799</v>
      </c>
      <c r="B164" s="27" t="str">
        <f t="shared" si="4"/>
        <v>Georgia</v>
      </c>
      <c r="C164" s="27" t="str">
        <f t="shared" si="5"/>
        <v>Irwin</v>
      </c>
      <c r="D164" s="27">
        <v>1.6</v>
      </c>
      <c r="E164" s="27" t="s">
        <v>1858</v>
      </c>
    </row>
    <row r="165" spans="1:5" x14ac:dyDescent="0.25">
      <c r="A165" s="27" t="s">
        <v>803</v>
      </c>
      <c r="B165" s="27" t="str">
        <f t="shared" si="4"/>
        <v>Georgia</v>
      </c>
      <c r="C165" s="27" t="str">
        <f t="shared" si="5"/>
        <v>Jefferson</v>
      </c>
      <c r="D165" s="27">
        <v>3.1</v>
      </c>
      <c r="E165" s="27" t="s">
        <v>1858</v>
      </c>
    </row>
    <row r="166" spans="1:5" x14ac:dyDescent="0.25">
      <c r="A166" s="27" t="s">
        <v>804</v>
      </c>
      <c r="B166" s="27" t="str">
        <f t="shared" si="4"/>
        <v>Georgia</v>
      </c>
      <c r="C166" s="27" t="str">
        <f t="shared" si="5"/>
        <v>Jenkins</v>
      </c>
      <c r="D166" s="27">
        <v>7</v>
      </c>
      <c r="E166" s="27" t="s">
        <v>1858</v>
      </c>
    </row>
    <row r="167" spans="1:5" x14ac:dyDescent="0.25">
      <c r="A167" s="27" t="s">
        <v>805</v>
      </c>
      <c r="B167" s="27" t="str">
        <f t="shared" si="4"/>
        <v>Georgia</v>
      </c>
      <c r="C167" s="27" t="str">
        <f t="shared" si="5"/>
        <v>Johnson</v>
      </c>
      <c r="D167" s="27">
        <v>4.5</v>
      </c>
      <c r="E167" s="27" t="s">
        <v>1858</v>
      </c>
    </row>
    <row r="168" spans="1:5" x14ac:dyDescent="0.25">
      <c r="A168" s="27" t="s">
        <v>806</v>
      </c>
      <c r="B168" s="27" t="str">
        <f t="shared" si="4"/>
        <v>Georgia</v>
      </c>
      <c r="C168" s="27" t="str">
        <f t="shared" si="5"/>
        <v>Jones</v>
      </c>
      <c r="D168" s="27">
        <v>1.5</v>
      </c>
      <c r="E168" s="27" t="s">
        <v>1858</v>
      </c>
    </row>
    <row r="169" spans="1:5" x14ac:dyDescent="0.25">
      <c r="A169" s="27" t="s">
        <v>809</v>
      </c>
      <c r="B169" s="27" t="str">
        <f t="shared" si="4"/>
        <v>Georgia</v>
      </c>
      <c r="C169" s="27" t="str">
        <f t="shared" si="5"/>
        <v>Laurens</v>
      </c>
      <c r="D169" s="27">
        <v>4.8</v>
      </c>
      <c r="E169" s="27" t="s">
        <v>1858</v>
      </c>
    </row>
    <row r="170" spans="1:5" x14ac:dyDescent="0.25">
      <c r="A170" s="27" t="s">
        <v>810</v>
      </c>
      <c r="B170" s="27" t="str">
        <f t="shared" si="4"/>
        <v>Georgia</v>
      </c>
      <c r="C170" s="27" t="str">
        <f t="shared" si="5"/>
        <v>Lee</v>
      </c>
      <c r="D170" s="27">
        <v>3.7</v>
      </c>
      <c r="E170" s="27" t="s">
        <v>1858</v>
      </c>
    </row>
    <row r="171" spans="1:5" x14ac:dyDescent="0.25">
      <c r="A171" s="27" t="s">
        <v>814</v>
      </c>
      <c r="B171" s="27" t="str">
        <f t="shared" si="4"/>
        <v>Georgia</v>
      </c>
      <c r="C171" s="27" t="str">
        <f t="shared" si="5"/>
        <v>Lowndes</v>
      </c>
      <c r="D171" s="27">
        <v>4.5</v>
      </c>
      <c r="E171" s="27" t="s">
        <v>1858</v>
      </c>
    </row>
    <row r="172" spans="1:5" x14ac:dyDescent="0.25">
      <c r="A172" s="27" t="s">
        <v>817</v>
      </c>
      <c r="B172" s="27" t="str">
        <f t="shared" si="4"/>
        <v>Georgia</v>
      </c>
      <c r="C172" s="27" t="str">
        <f t="shared" si="5"/>
        <v>McIntosh</v>
      </c>
      <c r="D172" s="27">
        <v>8</v>
      </c>
      <c r="E172" s="27" t="s">
        <v>1858</v>
      </c>
    </row>
    <row r="173" spans="1:5" x14ac:dyDescent="0.25">
      <c r="A173" s="27" t="s">
        <v>818</v>
      </c>
      <c r="B173" s="27" t="str">
        <f t="shared" si="4"/>
        <v>Georgia</v>
      </c>
      <c r="C173" s="27" t="str">
        <f t="shared" si="5"/>
        <v>Macon</v>
      </c>
      <c r="D173" s="27">
        <v>5.0999999999999996</v>
      </c>
      <c r="E173" s="27" t="s">
        <v>1858</v>
      </c>
    </row>
    <row r="174" spans="1:5" x14ac:dyDescent="0.25">
      <c r="A174" s="27" t="s">
        <v>824</v>
      </c>
      <c r="B174" s="27" t="str">
        <f t="shared" si="4"/>
        <v>Georgia</v>
      </c>
      <c r="C174" s="27" t="str">
        <f t="shared" si="5"/>
        <v>Mitchell</v>
      </c>
      <c r="D174" s="27">
        <v>2.7</v>
      </c>
      <c r="E174" s="27" t="s">
        <v>1858</v>
      </c>
    </row>
    <row r="175" spans="1:5" x14ac:dyDescent="0.25">
      <c r="A175" s="27" t="s">
        <v>825</v>
      </c>
      <c r="B175" s="27" t="str">
        <f t="shared" si="4"/>
        <v>Georgia</v>
      </c>
      <c r="C175" s="27" t="str">
        <f t="shared" si="5"/>
        <v>Monroe</v>
      </c>
      <c r="D175" s="27">
        <v>1.5</v>
      </c>
      <c r="E175" s="27" t="s">
        <v>1858</v>
      </c>
    </row>
    <row r="176" spans="1:5" x14ac:dyDescent="0.25">
      <c r="A176" s="27" t="s">
        <v>829</v>
      </c>
      <c r="B176" s="27" t="str">
        <f t="shared" si="4"/>
        <v>Georgia</v>
      </c>
      <c r="C176" s="27" t="str">
        <f t="shared" si="5"/>
        <v>Muscogee</v>
      </c>
      <c r="D176" s="27">
        <v>1.4</v>
      </c>
      <c r="E176" s="27" t="s">
        <v>1858</v>
      </c>
    </row>
    <row r="177" spans="1:5" x14ac:dyDescent="0.25">
      <c r="A177" s="27" t="s">
        <v>832</v>
      </c>
      <c r="B177" s="27" t="str">
        <f t="shared" si="4"/>
        <v>Georgia</v>
      </c>
      <c r="C177" s="27" t="str">
        <f t="shared" si="5"/>
        <v>Oglethorpe</v>
      </c>
      <c r="D177" s="27">
        <v>2</v>
      </c>
      <c r="E177" s="27" t="s">
        <v>1858</v>
      </c>
    </row>
    <row r="178" spans="1:5" x14ac:dyDescent="0.25">
      <c r="A178" s="27" t="s">
        <v>836</v>
      </c>
      <c r="B178" s="27" t="str">
        <f t="shared" si="4"/>
        <v>Georgia</v>
      </c>
      <c r="C178" s="27" t="str">
        <f t="shared" si="5"/>
        <v>Pierce</v>
      </c>
      <c r="D178" s="27">
        <v>2.5</v>
      </c>
      <c r="E178" s="27" t="s">
        <v>1858</v>
      </c>
    </row>
    <row r="179" spans="1:5" x14ac:dyDescent="0.25">
      <c r="A179" s="27" t="s">
        <v>838</v>
      </c>
      <c r="B179" s="27" t="str">
        <f t="shared" si="4"/>
        <v>Georgia</v>
      </c>
      <c r="C179" s="27" t="str">
        <f t="shared" si="5"/>
        <v>Polk</v>
      </c>
      <c r="D179" s="27">
        <v>1.5</v>
      </c>
      <c r="E179" s="27" t="s">
        <v>1858</v>
      </c>
    </row>
    <row r="180" spans="1:5" x14ac:dyDescent="0.25">
      <c r="A180" s="27" t="s">
        <v>839</v>
      </c>
      <c r="B180" s="27" t="str">
        <f t="shared" si="4"/>
        <v>Georgia</v>
      </c>
      <c r="C180" s="27" t="str">
        <f t="shared" si="5"/>
        <v>Pulaski</v>
      </c>
      <c r="D180" s="27">
        <v>3.5</v>
      </c>
      <c r="E180" s="27" t="s">
        <v>1858</v>
      </c>
    </row>
    <row r="181" spans="1:5" x14ac:dyDescent="0.25">
      <c r="A181" s="27" t="s">
        <v>845</v>
      </c>
      <c r="B181" s="27" t="str">
        <f t="shared" si="4"/>
        <v>Georgia</v>
      </c>
      <c r="C181" s="27" t="str">
        <f t="shared" si="5"/>
        <v>Rockdale</v>
      </c>
      <c r="D181" s="27">
        <v>1.1000000000000001</v>
      </c>
      <c r="E181" s="27" t="s">
        <v>1858</v>
      </c>
    </row>
    <row r="182" spans="1:5" x14ac:dyDescent="0.25">
      <c r="A182" s="27" t="s">
        <v>843</v>
      </c>
      <c r="B182" s="27" t="str">
        <f t="shared" si="4"/>
        <v>Georgia</v>
      </c>
      <c r="C182" s="27" t="str">
        <f t="shared" si="5"/>
        <v>Randolph</v>
      </c>
      <c r="D182" s="27">
        <v>3</v>
      </c>
      <c r="E182" s="27" t="s">
        <v>1858</v>
      </c>
    </row>
    <row r="183" spans="1:5" x14ac:dyDescent="0.25">
      <c r="A183" s="27" t="s">
        <v>844</v>
      </c>
      <c r="B183" s="27" t="str">
        <f t="shared" si="4"/>
        <v>Georgia</v>
      </c>
      <c r="C183" s="27" t="str">
        <f t="shared" si="5"/>
        <v>Richmond</v>
      </c>
      <c r="D183" s="27">
        <v>1.9</v>
      </c>
      <c r="E183" s="27" t="s">
        <v>1858</v>
      </c>
    </row>
    <row r="184" spans="1:5" x14ac:dyDescent="0.25">
      <c r="A184" s="27" t="s">
        <v>846</v>
      </c>
      <c r="B184" s="27" t="str">
        <f t="shared" si="4"/>
        <v>Georgia</v>
      </c>
      <c r="C184" s="27" t="str">
        <f t="shared" si="5"/>
        <v>Schley</v>
      </c>
      <c r="D184" s="27">
        <v>1.9</v>
      </c>
      <c r="E184" s="27" t="s">
        <v>1858</v>
      </c>
    </row>
    <row r="185" spans="1:5" x14ac:dyDescent="0.25">
      <c r="A185" s="27" t="s">
        <v>847</v>
      </c>
      <c r="B185" s="27" t="str">
        <f t="shared" si="4"/>
        <v>Georgia</v>
      </c>
      <c r="C185" s="27" t="str">
        <f t="shared" si="5"/>
        <v>Screven</v>
      </c>
      <c r="D185" s="27">
        <v>4.2</v>
      </c>
      <c r="E185" s="27" t="s">
        <v>1858</v>
      </c>
    </row>
    <row r="186" spans="1:5" x14ac:dyDescent="0.25">
      <c r="A186" s="27" t="s">
        <v>852</v>
      </c>
      <c r="B186" s="27" t="str">
        <f t="shared" si="4"/>
        <v>Georgia</v>
      </c>
      <c r="C186" s="27" t="str">
        <f t="shared" si="5"/>
        <v>Sumter</v>
      </c>
      <c r="D186" s="27">
        <v>5.4</v>
      </c>
      <c r="E186" s="27" t="s">
        <v>1858</v>
      </c>
    </row>
    <row r="187" spans="1:5" x14ac:dyDescent="0.25">
      <c r="A187" s="27" t="s">
        <v>854</v>
      </c>
      <c r="B187" s="27" t="str">
        <f t="shared" si="4"/>
        <v>Georgia</v>
      </c>
      <c r="C187" s="27" t="str">
        <f t="shared" si="5"/>
        <v>Taliaferro</v>
      </c>
      <c r="D187" s="27">
        <v>1.1000000000000001</v>
      </c>
      <c r="E187" s="27" t="s">
        <v>1858</v>
      </c>
    </row>
    <row r="188" spans="1:5" x14ac:dyDescent="0.25">
      <c r="A188" s="27" t="s">
        <v>855</v>
      </c>
      <c r="B188" s="27" t="str">
        <f t="shared" si="4"/>
        <v>Georgia</v>
      </c>
      <c r="C188" s="27" t="str">
        <f t="shared" si="5"/>
        <v>Tattnall</v>
      </c>
      <c r="D188" s="27">
        <v>2.8</v>
      </c>
      <c r="E188" s="27" t="s">
        <v>1858</v>
      </c>
    </row>
    <row r="189" spans="1:5" x14ac:dyDescent="0.25">
      <c r="A189" s="27" t="s">
        <v>857</v>
      </c>
      <c r="B189" s="27" t="str">
        <f t="shared" si="4"/>
        <v>Georgia</v>
      </c>
      <c r="C189" s="27" t="str">
        <f t="shared" si="5"/>
        <v>Telfair</v>
      </c>
      <c r="D189" s="27">
        <v>1.3</v>
      </c>
      <c r="E189" s="27" t="s">
        <v>1858</v>
      </c>
    </row>
    <row r="190" spans="1:5" x14ac:dyDescent="0.25">
      <c r="A190" s="27" t="s">
        <v>858</v>
      </c>
      <c r="B190" s="27" t="str">
        <f t="shared" si="4"/>
        <v>Georgia</v>
      </c>
      <c r="C190" s="27" t="str">
        <f t="shared" si="5"/>
        <v>Terrell</v>
      </c>
      <c r="D190" s="27">
        <v>3.1</v>
      </c>
      <c r="E190" s="27" t="s">
        <v>1858</v>
      </c>
    </row>
    <row r="191" spans="1:5" x14ac:dyDescent="0.25">
      <c r="A191" s="27" t="s">
        <v>859</v>
      </c>
      <c r="B191" s="27" t="str">
        <f t="shared" si="4"/>
        <v>Georgia</v>
      </c>
      <c r="C191" s="27" t="str">
        <f t="shared" si="5"/>
        <v>Thomas</v>
      </c>
      <c r="D191" s="27">
        <v>3</v>
      </c>
      <c r="E191" s="27" t="s">
        <v>1858</v>
      </c>
    </row>
    <row r="192" spans="1:5" x14ac:dyDescent="0.25">
      <c r="A192" s="27" t="s">
        <v>861</v>
      </c>
      <c r="B192" s="27" t="str">
        <f t="shared" si="4"/>
        <v>Georgia</v>
      </c>
      <c r="C192" s="27" t="str">
        <f t="shared" si="5"/>
        <v>Toombs</v>
      </c>
      <c r="D192" s="27">
        <v>2.2000000000000002</v>
      </c>
      <c r="E192" s="27" t="s">
        <v>1858</v>
      </c>
    </row>
    <row r="193" spans="1:5" x14ac:dyDescent="0.25">
      <c r="A193" s="27" t="s">
        <v>863</v>
      </c>
      <c r="B193" s="27" t="str">
        <f t="shared" si="4"/>
        <v>Georgia</v>
      </c>
      <c r="C193" s="27" t="str">
        <f t="shared" si="5"/>
        <v>Treutlen</v>
      </c>
      <c r="D193" s="27">
        <v>3.9</v>
      </c>
      <c r="E193" s="27" t="s">
        <v>1858</v>
      </c>
    </row>
    <row r="194" spans="1:5" x14ac:dyDescent="0.25">
      <c r="A194" s="27" t="s">
        <v>865</v>
      </c>
      <c r="B194" s="27" t="str">
        <f t="shared" si="4"/>
        <v>Georgia</v>
      </c>
      <c r="C194" s="27" t="str">
        <f t="shared" si="5"/>
        <v>Turner</v>
      </c>
      <c r="D194" s="27">
        <v>1.6</v>
      </c>
      <c r="E194" s="27" t="s">
        <v>1858</v>
      </c>
    </row>
    <row r="195" spans="1:5" x14ac:dyDescent="0.25">
      <c r="A195" s="27" t="s">
        <v>866</v>
      </c>
      <c r="B195" s="27" t="str">
        <f t="shared" ref="B195:B258" si="6">LEFT(A195,FIND(";",A195)-1)</f>
        <v>Georgia</v>
      </c>
      <c r="C195" s="27" t="str">
        <f t="shared" ref="C195:C258" si="7">MID(A195,FIND(";",A195)+1,100)</f>
        <v>Twiggs</v>
      </c>
      <c r="D195" s="27">
        <v>1.9</v>
      </c>
      <c r="E195" s="27" t="s">
        <v>1858</v>
      </c>
    </row>
    <row r="196" spans="1:5" x14ac:dyDescent="0.25">
      <c r="A196" s="27" t="s">
        <v>873</v>
      </c>
      <c r="B196" s="27" t="str">
        <f t="shared" si="6"/>
        <v>Georgia</v>
      </c>
      <c r="C196" s="27" t="str">
        <f t="shared" si="7"/>
        <v>Washington</v>
      </c>
      <c r="D196" s="27">
        <v>2.8</v>
      </c>
      <c r="E196" s="27" t="s">
        <v>1858</v>
      </c>
    </row>
    <row r="197" spans="1:5" x14ac:dyDescent="0.25">
      <c r="A197" s="27" t="s">
        <v>874</v>
      </c>
      <c r="B197" s="27" t="str">
        <f t="shared" si="6"/>
        <v>Georgia</v>
      </c>
      <c r="C197" s="27" t="str">
        <f t="shared" si="7"/>
        <v>Wayne</v>
      </c>
      <c r="D197" s="27">
        <v>2.2000000000000002</v>
      </c>
      <c r="E197" s="27" t="s">
        <v>1858</v>
      </c>
    </row>
    <row r="198" spans="1:5" x14ac:dyDescent="0.25">
      <c r="A198" s="27" t="s">
        <v>876</v>
      </c>
      <c r="B198" s="27" t="str">
        <f t="shared" si="6"/>
        <v>Georgia</v>
      </c>
      <c r="C198" s="27" t="str">
        <f t="shared" si="7"/>
        <v>Wheeler</v>
      </c>
      <c r="D198" s="27">
        <v>4.0999999999999996</v>
      </c>
      <c r="E198" s="27" t="s">
        <v>1858</v>
      </c>
    </row>
    <row r="199" spans="1:5" x14ac:dyDescent="0.25">
      <c r="A199" s="27" t="s">
        <v>879</v>
      </c>
      <c r="B199" s="27" t="str">
        <f t="shared" si="6"/>
        <v>Georgia</v>
      </c>
      <c r="C199" s="27" t="str">
        <f t="shared" si="7"/>
        <v>Wilcox</v>
      </c>
      <c r="D199" s="27">
        <v>2.6</v>
      </c>
      <c r="E199" s="27" t="s">
        <v>1858</v>
      </c>
    </row>
    <row r="200" spans="1:5" x14ac:dyDescent="0.25">
      <c r="A200" s="27" t="s">
        <v>882</v>
      </c>
      <c r="B200" s="27" t="str">
        <f t="shared" si="6"/>
        <v>Georgia</v>
      </c>
      <c r="C200" s="27" t="str">
        <f t="shared" si="7"/>
        <v>Worth</v>
      </c>
      <c r="D200" s="27">
        <v>3.3</v>
      </c>
      <c r="E200" s="27" t="s">
        <v>1858</v>
      </c>
    </row>
    <row r="201" spans="1:5" ht="15" customHeight="1" x14ac:dyDescent="0.25">
      <c r="A201" s="27" t="s">
        <v>1367</v>
      </c>
      <c r="B201" s="27" t="str">
        <f t="shared" si="6"/>
        <v/>
      </c>
      <c r="C201" s="27" t="str">
        <f t="shared" si="7"/>
        <v/>
      </c>
    </row>
    <row r="202" spans="1:5" x14ac:dyDescent="0.25">
      <c r="A202" s="27" t="s">
        <v>1899</v>
      </c>
      <c r="B202" s="27" t="str">
        <f t="shared" si="6"/>
        <v>Illinois</v>
      </c>
      <c r="C202" s="27" t="str">
        <f t="shared" si="7"/>
        <v>Alexander</v>
      </c>
      <c r="D202" s="27">
        <v>2.5</v>
      </c>
      <c r="E202" s="27" t="s">
        <v>1859</v>
      </c>
    </row>
    <row r="203" spans="1:5" x14ac:dyDescent="0.25">
      <c r="A203" s="27" t="s">
        <v>1900</v>
      </c>
      <c r="B203" s="27" t="str">
        <f t="shared" si="6"/>
        <v>Illinois</v>
      </c>
      <c r="C203" s="27" t="str">
        <f t="shared" si="7"/>
        <v>Gallatin</v>
      </c>
      <c r="D203" s="27">
        <v>3.1</v>
      </c>
      <c r="E203" s="27" t="s">
        <v>1859</v>
      </c>
    </row>
    <row r="204" spans="1:5" x14ac:dyDescent="0.25">
      <c r="A204" s="27" t="s">
        <v>1901</v>
      </c>
      <c r="B204" s="27" t="str">
        <f t="shared" si="6"/>
        <v>Illinois</v>
      </c>
      <c r="C204" s="27" t="str">
        <f t="shared" si="7"/>
        <v>Hardin</v>
      </c>
      <c r="D204" s="27">
        <v>2.7</v>
      </c>
      <c r="E204" s="27" t="s">
        <v>1859</v>
      </c>
    </row>
    <row r="205" spans="1:5" x14ac:dyDescent="0.25">
      <c r="A205" s="27" t="s">
        <v>1902</v>
      </c>
      <c r="B205" s="27" t="str">
        <f t="shared" si="6"/>
        <v>Illinois</v>
      </c>
      <c r="C205" s="27" t="str">
        <f t="shared" si="7"/>
        <v>Jackson</v>
      </c>
      <c r="D205" s="27">
        <v>2.9</v>
      </c>
      <c r="E205" s="27" t="s">
        <v>1859</v>
      </c>
    </row>
    <row r="206" spans="1:5" x14ac:dyDescent="0.25">
      <c r="A206" s="27" t="s">
        <v>1903</v>
      </c>
      <c r="B206" s="27" t="str">
        <f t="shared" si="6"/>
        <v>Illinois</v>
      </c>
      <c r="C206" s="27" t="str">
        <f t="shared" si="7"/>
        <v>Johnson</v>
      </c>
      <c r="D206" s="27">
        <v>1.7</v>
      </c>
      <c r="E206" s="27" t="s">
        <v>1859</v>
      </c>
    </row>
    <row r="207" spans="1:5" x14ac:dyDescent="0.25">
      <c r="A207" s="27" t="s">
        <v>1904</v>
      </c>
      <c r="B207" s="27" t="str">
        <f t="shared" si="6"/>
        <v>Illinois</v>
      </c>
      <c r="C207" s="27" t="str">
        <f t="shared" si="7"/>
        <v>Pulaski</v>
      </c>
      <c r="D207" s="27">
        <v>2.7</v>
      </c>
      <c r="E207" s="27" t="s">
        <v>1859</v>
      </c>
    </row>
    <row r="208" spans="1:5" x14ac:dyDescent="0.25">
      <c r="A208" s="27" t="s">
        <v>1905</v>
      </c>
      <c r="B208" s="27" t="str">
        <f t="shared" si="6"/>
        <v>Illinois</v>
      </c>
      <c r="C208" s="27" t="str">
        <f t="shared" si="7"/>
        <v>Union</v>
      </c>
      <c r="D208" s="27">
        <v>2</v>
      </c>
      <c r="E208" s="27" t="s">
        <v>1859</v>
      </c>
    </row>
    <row r="209" spans="1:5" x14ac:dyDescent="0.25">
      <c r="A209" s="27" t="s">
        <v>1906</v>
      </c>
      <c r="B209" s="27" t="str">
        <f t="shared" si="6"/>
        <v>Illinois</v>
      </c>
      <c r="C209" s="27" t="str">
        <f t="shared" si="7"/>
        <v>Wabash</v>
      </c>
      <c r="D209" s="27">
        <v>1.4</v>
      </c>
      <c r="E209" s="27" t="s">
        <v>1859</v>
      </c>
    </row>
    <row r="210" spans="1:5" x14ac:dyDescent="0.25">
      <c r="A210" s="27" t="s">
        <v>1907</v>
      </c>
      <c r="B210" s="27" t="str">
        <f t="shared" si="6"/>
        <v>Illinois</v>
      </c>
      <c r="C210" s="27" t="str">
        <f t="shared" si="7"/>
        <v>Williamson</v>
      </c>
      <c r="D210" s="27">
        <v>1.3</v>
      </c>
      <c r="E210" s="27" t="s">
        <v>1859</v>
      </c>
    </row>
    <row r="211" spans="1:5" ht="15" customHeight="1" x14ac:dyDescent="0.25">
      <c r="A211" s="27" t="s">
        <v>1367</v>
      </c>
      <c r="B211" s="27" t="str">
        <f t="shared" si="6"/>
        <v/>
      </c>
      <c r="C211" s="27" t="str">
        <f t="shared" si="7"/>
        <v/>
      </c>
    </row>
    <row r="212" spans="1:5" x14ac:dyDescent="0.25">
      <c r="A212" s="27" t="s">
        <v>902</v>
      </c>
      <c r="B212" s="27" t="str">
        <f t="shared" si="6"/>
        <v>Kentucky</v>
      </c>
      <c r="C212" s="27" t="str">
        <f t="shared" si="7"/>
        <v>Carlisle</v>
      </c>
      <c r="D212" s="27">
        <v>1.2</v>
      </c>
      <c r="E212" s="27" t="s">
        <v>1859</v>
      </c>
    </row>
    <row r="213" spans="1:5" x14ac:dyDescent="0.25">
      <c r="A213" s="27" t="s">
        <v>919</v>
      </c>
      <c r="B213" s="27" t="str">
        <f t="shared" si="6"/>
        <v>Kentucky</v>
      </c>
      <c r="C213" s="27" t="str">
        <f t="shared" si="7"/>
        <v>Fulton</v>
      </c>
      <c r="D213" s="27">
        <v>8.6</v>
      </c>
      <c r="E213" s="27" t="s">
        <v>1859</v>
      </c>
    </row>
    <row r="214" spans="1:5" x14ac:dyDescent="0.25">
      <c r="A214" s="27" t="s">
        <v>932</v>
      </c>
      <c r="B214" s="27" t="str">
        <f t="shared" si="6"/>
        <v>Kentucky</v>
      </c>
      <c r="C214" s="27" t="str">
        <f t="shared" si="7"/>
        <v>Henderson</v>
      </c>
      <c r="D214" s="27">
        <v>1.5</v>
      </c>
      <c r="E214" s="27" t="s">
        <v>1859</v>
      </c>
    </row>
    <row r="215" spans="1:5" x14ac:dyDescent="0.25">
      <c r="A215" s="27" t="s">
        <v>954</v>
      </c>
      <c r="B215" s="27" t="str">
        <f t="shared" si="6"/>
        <v>Kentucky</v>
      </c>
      <c r="C215" s="27" t="str">
        <f t="shared" si="7"/>
        <v>McCracken</v>
      </c>
      <c r="D215" s="27">
        <v>1.3</v>
      </c>
      <c r="E215" s="27" t="s">
        <v>1859</v>
      </c>
    </row>
    <row r="216" spans="1:5" x14ac:dyDescent="0.25">
      <c r="A216" s="27" t="s">
        <v>960</v>
      </c>
      <c r="B216" s="27" t="str">
        <f t="shared" si="6"/>
        <v>Kentucky</v>
      </c>
      <c r="C216" s="27" t="str">
        <f t="shared" si="7"/>
        <v>Marshall</v>
      </c>
      <c r="D216" s="27">
        <v>2.6</v>
      </c>
      <c r="E216" s="27" t="s">
        <v>1859</v>
      </c>
    </row>
    <row r="217" spans="1:5" x14ac:dyDescent="0.25">
      <c r="A217" s="27" t="s">
        <v>991</v>
      </c>
      <c r="B217" s="27" t="str">
        <f t="shared" si="6"/>
        <v>Kentucky</v>
      </c>
      <c r="C217" s="27" t="str">
        <f t="shared" si="7"/>
        <v>Todd</v>
      </c>
      <c r="D217" s="27">
        <v>1.3</v>
      </c>
      <c r="E217" s="27" t="s">
        <v>1859</v>
      </c>
    </row>
    <row r="218" spans="1:5" ht="15" customHeight="1" x14ac:dyDescent="0.25">
      <c r="A218" s="27" t="s">
        <v>1367</v>
      </c>
      <c r="B218" s="27" t="str">
        <f t="shared" si="6"/>
        <v/>
      </c>
      <c r="C218" s="27" t="str">
        <f t="shared" si="7"/>
        <v/>
      </c>
    </row>
    <row r="219" spans="1:5" x14ac:dyDescent="0.25">
      <c r="A219" s="27" t="s">
        <v>1001</v>
      </c>
      <c r="B219" s="27" t="str">
        <f t="shared" si="6"/>
        <v>Louisiana</v>
      </c>
      <c r="C219" s="27" t="str">
        <f t="shared" si="7"/>
        <v>Acadia</v>
      </c>
      <c r="D219" s="27">
        <v>1.4</v>
      </c>
      <c r="E219" s="27" t="s">
        <v>1859</v>
      </c>
    </row>
    <row r="220" spans="1:5" x14ac:dyDescent="0.25">
      <c r="A220" s="27" t="s">
        <v>1002</v>
      </c>
      <c r="B220" s="27" t="str">
        <f t="shared" si="6"/>
        <v>Louisiana</v>
      </c>
      <c r="C220" s="27" t="str">
        <f t="shared" si="7"/>
        <v>Allen</v>
      </c>
      <c r="D220" s="27">
        <v>1.6</v>
      </c>
      <c r="E220" s="27" t="s">
        <v>1859</v>
      </c>
    </row>
    <row r="221" spans="1:5" x14ac:dyDescent="0.25">
      <c r="A221" s="27" t="s">
        <v>1003</v>
      </c>
      <c r="B221" s="27" t="str">
        <f t="shared" si="6"/>
        <v>Louisiana</v>
      </c>
      <c r="C221" s="27" t="str">
        <f t="shared" si="7"/>
        <v>Ascension</v>
      </c>
      <c r="D221" s="27">
        <v>1.3</v>
      </c>
      <c r="E221" s="27" t="s">
        <v>1859</v>
      </c>
    </row>
    <row r="222" spans="1:5" x14ac:dyDescent="0.25">
      <c r="A222" s="27" t="s">
        <v>1004</v>
      </c>
      <c r="B222" s="27" t="str">
        <f t="shared" si="6"/>
        <v>Louisiana</v>
      </c>
      <c r="C222" s="27" t="str">
        <f t="shared" si="7"/>
        <v>Assumption</v>
      </c>
      <c r="D222" s="27">
        <v>1.1000000000000001</v>
      </c>
      <c r="E222" s="27" t="s">
        <v>1859</v>
      </c>
    </row>
    <row r="223" spans="1:5" x14ac:dyDescent="0.25">
      <c r="A223" s="27" t="s">
        <v>1005</v>
      </c>
      <c r="B223" s="27" t="str">
        <f t="shared" si="6"/>
        <v>Louisiana</v>
      </c>
      <c r="C223" s="27" t="str">
        <f t="shared" si="7"/>
        <v>Avoyelles</v>
      </c>
      <c r="D223" s="27">
        <v>1.4</v>
      </c>
      <c r="E223" s="27" t="s">
        <v>1859</v>
      </c>
    </row>
    <row r="224" spans="1:5" x14ac:dyDescent="0.25">
      <c r="A224" s="27" t="s">
        <v>1006</v>
      </c>
      <c r="B224" s="27" t="str">
        <f t="shared" si="6"/>
        <v>Louisiana</v>
      </c>
      <c r="C224" s="27" t="str">
        <f t="shared" si="7"/>
        <v>Beauregard</v>
      </c>
      <c r="D224" s="27">
        <v>3.9</v>
      </c>
      <c r="E224" s="27" t="s">
        <v>1859</v>
      </c>
    </row>
    <row r="225" spans="1:5" x14ac:dyDescent="0.25">
      <c r="A225" s="27" t="s">
        <v>1007</v>
      </c>
      <c r="B225" s="27" t="str">
        <f t="shared" si="6"/>
        <v>Louisiana</v>
      </c>
      <c r="C225" s="27" t="str">
        <f t="shared" si="7"/>
        <v>Bienville</v>
      </c>
      <c r="D225" s="27">
        <v>2.9</v>
      </c>
      <c r="E225" s="27" t="s">
        <v>1859</v>
      </c>
    </row>
    <row r="226" spans="1:5" x14ac:dyDescent="0.25">
      <c r="A226" s="27" t="s">
        <v>1008</v>
      </c>
      <c r="B226" s="27" t="str">
        <f t="shared" si="6"/>
        <v>Louisiana</v>
      </c>
      <c r="C226" s="27" t="str">
        <f t="shared" si="7"/>
        <v>Bossier</v>
      </c>
      <c r="D226" s="27">
        <v>2.2999999999999998</v>
      </c>
      <c r="E226" s="27" t="s">
        <v>1859</v>
      </c>
    </row>
    <row r="227" spans="1:5" x14ac:dyDescent="0.25">
      <c r="A227" s="27" t="s">
        <v>1009</v>
      </c>
      <c r="B227" s="27" t="str">
        <f t="shared" si="6"/>
        <v>Louisiana</v>
      </c>
      <c r="C227" s="27" t="str">
        <f t="shared" si="7"/>
        <v>Caddo</v>
      </c>
      <c r="D227" s="27">
        <v>5</v>
      </c>
      <c r="E227" s="27" t="s">
        <v>1859</v>
      </c>
    </row>
    <row r="228" spans="1:5" x14ac:dyDescent="0.25">
      <c r="A228" s="27" t="s">
        <v>1010</v>
      </c>
      <c r="B228" s="27" t="str">
        <f t="shared" si="6"/>
        <v>Louisiana</v>
      </c>
      <c r="C228" s="27" t="str">
        <f t="shared" si="7"/>
        <v>Calcasieu</v>
      </c>
      <c r="D228" s="27">
        <v>2.1</v>
      </c>
      <c r="E228" s="27" t="s">
        <v>1859</v>
      </c>
    </row>
    <row r="229" spans="1:5" x14ac:dyDescent="0.25">
      <c r="A229" s="27" t="s">
        <v>1011</v>
      </c>
      <c r="B229" s="27" t="str">
        <f t="shared" si="6"/>
        <v>Louisiana</v>
      </c>
      <c r="C229" s="27" t="str">
        <f t="shared" si="7"/>
        <v>Caldwell</v>
      </c>
      <c r="D229" s="27">
        <v>8.4</v>
      </c>
      <c r="E229" s="27" t="s">
        <v>1859</v>
      </c>
    </row>
    <row r="230" spans="1:5" x14ac:dyDescent="0.25">
      <c r="A230" s="27" t="s">
        <v>1013</v>
      </c>
      <c r="B230" s="27" t="str">
        <f t="shared" si="6"/>
        <v>Louisiana</v>
      </c>
      <c r="C230" s="27" t="str">
        <f t="shared" si="7"/>
        <v>Catahoula</v>
      </c>
      <c r="D230" s="27">
        <v>10</v>
      </c>
      <c r="E230" s="27" t="s">
        <v>1859</v>
      </c>
    </row>
    <row r="231" spans="1:5" x14ac:dyDescent="0.25">
      <c r="A231" s="27" t="s">
        <v>1014</v>
      </c>
      <c r="B231" s="27" t="str">
        <f t="shared" si="6"/>
        <v>Louisiana</v>
      </c>
      <c r="C231" s="27" t="str">
        <f t="shared" si="7"/>
        <v>Claiborne</v>
      </c>
      <c r="D231" s="27">
        <v>1.4</v>
      </c>
      <c r="E231" s="27" t="s">
        <v>1859</v>
      </c>
    </row>
    <row r="232" spans="1:5" x14ac:dyDescent="0.25">
      <c r="A232" s="27" t="s">
        <v>1015</v>
      </c>
      <c r="B232" s="27" t="str">
        <f t="shared" si="6"/>
        <v>Louisiana</v>
      </c>
      <c r="C232" s="27" t="str">
        <f t="shared" si="7"/>
        <v>Concordia</v>
      </c>
      <c r="D232" s="27">
        <v>4</v>
      </c>
      <c r="E232" s="27" t="s">
        <v>1859</v>
      </c>
    </row>
    <row r="233" spans="1:5" x14ac:dyDescent="0.25">
      <c r="A233" s="27" t="s">
        <v>1908</v>
      </c>
      <c r="B233" s="27" t="str">
        <f t="shared" si="6"/>
        <v>Louisiana</v>
      </c>
      <c r="C233" s="27" t="str">
        <f t="shared" si="7"/>
        <v>DeSoto</v>
      </c>
      <c r="D233" s="27">
        <v>3.8</v>
      </c>
      <c r="E233" s="27" t="s">
        <v>1859</v>
      </c>
    </row>
    <row r="234" spans="1:5" x14ac:dyDescent="0.25">
      <c r="A234" s="27" t="s">
        <v>1016</v>
      </c>
      <c r="B234" s="27" t="str">
        <f t="shared" si="6"/>
        <v>Louisiana</v>
      </c>
      <c r="C234" s="27" t="str">
        <f t="shared" si="7"/>
        <v>East Baton Rouge</v>
      </c>
      <c r="D234" s="27">
        <v>1.6</v>
      </c>
      <c r="E234" s="27" t="s">
        <v>1859</v>
      </c>
    </row>
    <row r="235" spans="1:5" x14ac:dyDescent="0.25">
      <c r="A235" s="27" t="s">
        <v>1780</v>
      </c>
      <c r="B235" s="27" t="str">
        <f t="shared" si="6"/>
        <v>Louisiana</v>
      </c>
      <c r="C235" s="27" t="str">
        <f t="shared" si="7"/>
        <v>East Carroll/Carroll</v>
      </c>
      <c r="D235" s="27">
        <v>2.7</v>
      </c>
      <c r="E235" s="27" t="s">
        <v>1859</v>
      </c>
    </row>
    <row r="236" spans="1:5" x14ac:dyDescent="0.25">
      <c r="A236" s="27" t="s">
        <v>1017</v>
      </c>
      <c r="B236" s="27" t="str">
        <f t="shared" si="6"/>
        <v>Louisiana</v>
      </c>
      <c r="C236" s="27" t="str">
        <f t="shared" si="7"/>
        <v>East Feliciana</v>
      </c>
      <c r="D236" s="27">
        <v>1.1000000000000001</v>
      </c>
      <c r="E236" s="27" t="s">
        <v>1859</v>
      </c>
    </row>
    <row r="237" spans="1:5" x14ac:dyDescent="0.25">
      <c r="A237" s="27" t="s">
        <v>1019</v>
      </c>
      <c r="B237" s="27" t="str">
        <f t="shared" si="6"/>
        <v>Louisiana</v>
      </c>
      <c r="C237" s="27" t="str">
        <f t="shared" si="7"/>
        <v>Franklin</v>
      </c>
      <c r="D237" s="27">
        <v>10.8</v>
      </c>
      <c r="E237" s="27" t="s">
        <v>1859</v>
      </c>
    </row>
    <row r="238" spans="1:5" x14ac:dyDescent="0.25">
      <c r="A238" s="27" t="s">
        <v>1020</v>
      </c>
      <c r="B238" s="27" t="str">
        <f t="shared" si="6"/>
        <v>Louisiana</v>
      </c>
      <c r="C238" s="27" t="str">
        <f t="shared" si="7"/>
        <v>Grant</v>
      </c>
      <c r="D238" s="27">
        <v>7.6</v>
      </c>
      <c r="E238" s="27" t="s">
        <v>1859</v>
      </c>
    </row>
    <row r="239" spans="1:5" x14ac:dyDescent="0.25">
      <c r="A239" s="27" t="s">
        <v>1021</v>
      </c>
      <c r="B239" s="27" t="str">
        <f t="shared" si="6"/>
        <v>Louisiana</v>
      </c>
      <c r="C239" s="27" t="str">
        <f t="shared" si="7"/>
        <v>Iberia</v>
      </c>
      <c r="D239" s="27">
        <v>1.9</v>
      </c>
      <c r="E239" s="27" t="s">
        <v>1859</v>
      </c>
    </row>
    <row r="240" spans="1:5" x14ac:dyDescent="0.25">
      <c r="A240" s="27" t="s">
        <v>1022</v>
      </c>
      <c r="B240" s="27" t="str">
        <f t="shared" si="6"/>
        <v>Louisiana</v>
      </c>
      <c r="C240" s="27" t="str">
        <f t="shared" si="7"/>
        <v>Iberville</v>
      </c>
      <c r="D240" s="27">
        <v>3</v>
      </c>
      <c r="E240" s="27" t="s">
        <v>1859</v>
      </c>
    </row>
    <row r="241" spans="1:5" x14ac:dyDescent="0.25">
      <c r="A241" s="27" t="s">
        <v>1023</v>
      </c>
      <c r="B241" s="27" t="str">
        <f t="shared" si="6"/>
        <v>Louisiana</v>
      </c>
      <c r="C241" s="27" t="str">
        <f t="shared" si="7"/>
        <v>Jackson</v>
      </c>
      <c r="D241" s="27">
        <v>3.5</v>
      </c>
      <c r="E241" s="27" t="s">
        <v>1859</v>
      </c>
    </row>
    <row r="242" spans="1:5" x14ac:dyDescent="0.25">
      <c r="A242" s="27" t="s">
        <v>1025</v>
      </c>
      <c r="B242" s="27" t="str">
        <f t="shared" si="6"/>
        <v>Louisiana</v>
      </c>
      <c r="C242" s="27" t="str">
        <f t="shared" si="7"/>
        <v>Jefferson Davis</v>
      </c>
      <c r="D242" s="27">
        <v>1.6</v>
      </c>
      <c r="E242" s="27" t="s">
        <v>1859</v>
      </c>
    </row>
    <row r="243" spans="1:5" x14ac:dyDescent="0.25">
      <c r="A243" s="27" t="s">
        <v>1026</v>
      </c>
      <c r="B243" s="27" t="str">
        <f t="shared" si="6"/>
        <v>Louisiana</v>
      </c>
      <c r="C243" s="27" t="str">
        <f t="shared" si="7"/>
        <v>Lafayette</v>
      </c>
      <c r="D243" s="27">
        <v>1.9</v>
      </c>
      <c r="E243" s="27" t="s">
        <v>1859</v>
      </c>
    </row>
    <row r="244" spans="1:5" x14ac:dyDescent="0.25">
      <c r="A244" s="27" t="s">
        <v>1028</v>
      </c>
      <c r="B244" s="27" t="str">
        <f t="shared" si="6"/>
        <v>Louisiana</v>
      </c>
      <c r="C244" s="27" t="str">
        <f t="shared" si="7"/>
        <v>La Salle</v>
      </c>
      <c r="D244" s="27">
        <v>8.1999999999999993</v>
      </c>
      <c r="E244" s="27" t="s">
        <v>1859</v>
      </c>
    </row>
    <row r="245" spans="1:5" x14ac:dyDescent="0.25">
      <c r="A245" s="27" t="s">
        <v>1029</v>
      </c>
      <c r="B245" s="27" t="str">
        <f t="shared" si="6"/>
        <v>Louisiana</v>
      </c>
      <c r="C245" s="27" t="str">
        <f t="shared" si="7"/>
        <v>Lincoln</v>
      </c>
      <c r="D245" s="27">
        <v>2.4</v>
      </c>
      <c r="E245" s="27" t="s">
        <v>1859</v>
      </c>
    </row>
    <row r="246" spans="1:5" x14ac:dyDescent="0.25">
      <c r="A246" s="27" t="s">
        <v>1031</v>
      </c>
      <c r="B246" s="27" t="str">
        <f t="shared" si="6"/>
        <v>Louisiana</v>
      </c>
      <c r="C246" s="27" t="str">
        <f t="shared" si="7"/>
        <v>Madison</v>
      </c>
      <c r="D246" s="27">
        <v>4.5999999999999996</v>
      </c>
      <c r="E246" s="27" t="s">
        <v>1859</v>
      </c>
    </row>
    <row r="247" spans="1:5" x14ac:dyDescent="0.25">
      <c r="A247" s="27" t="s">
        <v>1032</v>
      </c>
      <c r="B247" s="27" t="str">
        <f t="shared" si="6"/>
        <v>Louisiana</v>
      </c>
      <c r="C247" s="27" t="str">
        <f t="shared" si="7"/>
        <v>Morehouse</v>
      </c>
      <c r="D247" s="27">
        <v>10.9</v>
      </c>
      <c r="E247" s="27" t="s">
        <v>1859</v>
      </c>
    </row>
    <row r="248" spans="1:5" x14ac:dyDescent="0.25">
      <c r="A248" s="27" t="s">
        <v>1033</v>
      </c>
      <c r="B248" s="27" t="str">
        <f t="shared" si="6"/>
        <v>Louisiana</v>
      </c>
      <c r="C248" s="27" t="str">
        <f t="shared" si="7"/>
        <v>Natchitoches</v>
      </c>
      <c r="D248" s="27">
        <v>8.5</v>
      </c>
      <c r="E248" s="27" t="s">
        <v>1859</v>
      </c>
    </row>
    <row r="249" spans="1:5" x14ac:dyDescent="0.25">
      <c r="A249" s="27" t="s">
        <v>1035</v>
      </c>
      <c r="B249" s="27" t="str">
        <f t="shared" si="6"/>
        <v>Louisiana</v>
      </c>
      <c r="C249" s="27" t="str">
        <f t="shared" si="7"/>
        <v>Ouachita</v>
      </c>
      <c r="D249" s="27">
        <v>7.6</v>
      </c>
      <c r="E249" s="27" t="s">
        <v>1859</v>
      </c>
    </row>
    <row r="250" spans="1:5" x14ac:dyDescent="0.25">
      <c r="A250" s="27" t="s">
        <v>1036</v>
      </c>
      <c r="B250" s="27" t="str">
        <f t="shared" si="6"/>
        <v>Louisiana</v>
      </c>
      <c r="C250" s="27" t="str">
        <f t="shared" si="7"/>
        <v>Plaquemines</v>
      </c>
      <c r="D250" s="27">
        <v>1.1000000000000001</v>
      </c>
      <c r="E250" s="27" t="s">
        <v>1859</v>
      </c>
    </row>
    <row r="251" spans="1:5" x14ac:dyDescent="0.25">
      <c r="A251" s="27" t="s">
        <v>1750</v>
      </c>
      <c r="B251" s="27" t="str">
        <f t="shared" si="6"/>
        <v>Louisiana</v>
      </c>
      <c r="C251" s="27" t="str">
        <f t="shared" si="7"/>
        <v>Pointe Coupee</v>
      </c>
      <c r="D251" s="27">
        <v>2.4</v>
      </c>
      <c r="E251" s="27" t="s">
        <v>1859</v>
      </c>
    </row>
    <row r="252" spans="1:5" x14ac:dyDescent="0.25">
      <c r="A252" s="27" t="s">
        <v>1037</v>
      </c>
      <c r="B252" s="27" t="str">
        <f t="shared" si="6"/>
        <v>Louisiana</v>
      </c>
      <c r="C252" s="27" t="str">
        <f t="shared" si="7"/>
        <v>Rapides</v>
      </c>
      <c r="D252" s="27">
        <v>4</v>
      </c>
      <c r="E252" s="27" t="s">
        <v>1859</v>
      </c>
    </row>
    <row r="253" spans="1:5" x14ac:dyDescent="0.25">
      <c r="A253" s="27" t="s">
        <v>1751</v>
      </c>
      <c r="B253" s="27" t="str">
        <f t="shared" si="6"/>
        <v>Louisiana</v>
      </c>
      <c r="C253" s="27" t="str">
        <f t="shared" si="7"/>
        <v>Red River</v>
      </c>
      <c r="D253" s="27">
        <v>3.9</v>
      </c>
      <c r="E253" s="27" t="s">
        <v>1859</v>
      </c>
    </row>
    <row r="254" spans="1:5" x14ac:dyDescent="0.25">
      <c r="A254" s="27" t="s">
        <v>1038</v>
      </c>
      <c r="B254" s="27" t="str">
        <f t="shared" si="6"/>
        <v>Louisiana</v>
      </c>
      <c r="C254" s="27" t="str">
        <f t="shared" si="7"/>
        <v>Richland</v>
      </c>
      <c r="D254" s="27">
        <v>9.1</v>
      </c>
      <c r="E254" s="27" t="s">
        <v>1859</v>
      </c>
    </row>
    <row r="255" spans="1:5" x14ac:dyDescent="0.25">
      <c r="A255" s="27" t="s">
        <v>1039</v>
      </c>
      <c r="B255" s="27" t="str">
        <f t="shared" si="6"/>
        <v>Louisiana</v>
      </c>
      <c r="C255" s="27" t="str">
        <f t="shared" si="7"/>
        <v>Sabine</v>
      </c>
      <c r="D255" s="27">
        <v>6.3</v>
      </c>
      <c r="E255" s="27" t="s">
        <v>1859</v>
      </c>
    </row>
    <row r="256" spans="1:5" x14ac:dyDescent="0.25">
      <c r="A256" s="27" t="s">
        <v>1783</v>
      </c>
      <c r="B256" s="27" t="str">
        <f t="shared" si="6"/>
        <v>Louisiana</v>
      </c>
      <c r="C256" s="27" t="str">
        <f t="shared" si="7"/>
        <v>St Helena</v>
      </c>
      <c r="D256" s="27">
        <v>1.2</v>
      </c>
      <c r="E256" s="27" t="s">
        <v>1859</v>
      </c>
    </row>
    <row r="257" spans="1:5" x14ac:dyDescent="0.25">
      <c r="A257" s="27" t="s">
        <v>1785</v>
      </c>
      <c r="B257" s="27" t="str">
        <f t="shared" si="6"/>
        <v>Louisiana</v>
      </c>
      <c r="C257" s="27" t="str">
        <f t="shared" si="7"/>
        <v>St John the Baptist</v>
      </c>
      <c r="D257" s="27">
        <v>2.5</v>
      </c>
      <c r="E257" s="27" t="s">
        <v>1859</v>
      </c>
    </row>
    <row r="258" spans="1:5" x14ac:dyDescent="0.25">
      <c r="A258" s="27" t="s">
        <v>1786</v>
      </c>
      <c r="B258" s="27" t="str">
        <f t="shared" si="6"/>
        <v>Louisiana</v>
      </c>
      <c r="C258" s="27" t="str">
        <f t="shared" si="7"/>
        <v>St Landry</v>
      </c>
      <c r="D258" s="27">
        <v>5.4</v>
      </c>
      <c r="E258" s="27" t="s">
        <v>1859</v>
      </c>
    </row>
    <row r="259" spans="1:5" x14ac:dyDescent="0.25">
      <c r="A259" s="27" t="s">
        <v>1787</v>
      </c>
      <c r="B259" s="27" t="str">
        <f t="shared" ref="B259:B322" si="8">LEFT(A259,FIND(";",A259)-1)</f>
        <v>Louisiana</v>
      </c>
      <c r="C259" s="27" t="str">
        <f t="shared" ref="C259:C322" si="9">MID(A259,FIND(";",A259)+1,100)</f>
        <v>St Martin</v>
      </c>
      <c r="D259" s="27">
        <v>2.2999999999999998</v>
      </c>
      <c r="E259" s="27" t="s">
        <v>1859</v>
      </c>
    </row>
    <row r="260" spans="1:5" x14ac:dyDescent="0.25">
      <c r="A260" s="27" t="s">
        <v>1788</v>
      </c>
      <c r="B260" s="27" t="str">
        <f t="shared" si="8"/>
        <v>Louisiana</v>
      </c>
      <c r="C260" s="27" t="str">
        <f t="shared" si="9"/>
        <v>St Mary</v>
      </c>
      <c r="D260" s="27">
        <v>2.2999999999999998</v>
      </c>
      <c r="E260" s="27" t="s">
        <v>1859</v>
      </c>
    </row>
    <row r="261" spans="1:5" x14ac:dyDescent="0.25">
      <c r="A261" s="27" t="s">
        <v>1789</v>
      </c>
      <c r="B261" s="27" t="str">
        <f t="shared" si="8"/>
        <v>Louisiana</v>
      </c>
      <c r="C261" s="27" t="str">
        <f t="shared" si="9"/>
        <v>St Tammany</v>
      </c>
      <c r="D261" s="27">
        <v>1.5</v>
      </c>
      <c r="E261" s="27" t="s">
        <v>1859</v>
      </c>
    </row>
    <row r="262" spans="1:5" x14ac:dyDescent="0.25">
      <c r="A262" s="27" t="s">
        <v>1040</v>
      </c>
      <c r="B262" s="27" t="str">
        <f t="shared" si="8"/>
        <v>Louisiana</v>
      </c>
      <c r="C262" s="27" t="str">
        <f t="shared" si="9"/>
        <v>Tangipahoa</v>
      </c>
      <c r="D262" s="27">
        <v>1.6</v>
      </c>
      <c r="E262" s="27" t="s">
        <v>1859</v>
      </c>
    </row>
    <row r="263" spans="1:5" x14ac:dyDescent="0.25">
      <c r="A263" s="27" t="s">
        <v>1041</v>
      </c>
      <c r="B263" s="27" t="str">
        <f t="shared" si="8"/>
        <v>Louisiana</v>
      </c>
      <c r="C263" s="27" t="str">
        <f t="shared" si="9"/>
        <v>Tensas</v>
      </c>
      <c r="D263" s="27">
        <v>7.5</v>
      </c>
      <c r="E263" s="27" t="s">
        <v>1859</v>
      </c>
    </row>
    <row r="264" spans="1:5" x14ac:dyDescent="0.25">
      <c r="A264" s="27" t="s">
        <v>1042</v>
      </c>
      <c r="B264" s="27" t="str">
        <f t="shared" si="8"/>
        <v>Louisiana</v>
      </c>
      <c r="C264" s="27" t="str">
        <f t="shared" si="9"/>
        <v>Terrebonne</v>
      </c>
      <c r="D264" s="27">
        <v>1.1000000000000001</v>
      </c>
      <c r="E264" s="27" t="s">
        <v>1859</v>
      </c>
    </row>
    <row r="265" spans="1:5" x14ac:dyDescent="0.25">
      <c r="A265" s="27" t="s">
        <v>1043</v>
      </c>
      <c r="B265" s="27" t="str">
        <f t="shared" si="8"/>
        <v>Louisiana</v>
      </c>
      <c r="C265" s="27" t="str">
        <f t="shared" si="9"/>
        <v>Union</v>
      </c>
      <c r="D265" s="27">
        <v>6.6</v>
      </c>
      <c r="E265" s="27" t="s">
        <v>1859</v>
      </c>
    </row>
    <row r="266" spans="1:5" x14ac:dyDescent="0.25">
      <c r="A266" s="27" t="s">
        <v>1752</v>
      </c>
      <c r="B266" s="27" t="str">
        <f t="shared" si="8"/>
        <v>Louisiana</v>
      </c>
      <c r="C266" s="27" t="str">
        <f t="shared" si="9"/>
        <v>Vermilion</v>
      </c>
      <c r="D266" s="27">
        <v>1.5</v>
      </c>
      <c r="E266" s="27" t="s">
        <v>1859</v>
      </c>
    </row>
    <row r="267" spans="1:5" x14ac:dyDescent="0.25">
      <c r="A267" s="27" t="s">
        <v>1044</v>
      </c>
      <c r="B267" s="27" t="str">
        <f t="shared" si="8"/>
        <v>Louisiana</v>
      </c>
      <c r="C267" s="27" t="str">
        <f t="shared" si="9"/>
        <v>Vernon</v>
      </c>
      <c r="D267" s="27">
        <v>1.5</v>
      </c>
      <c r="E267" s="27" t="s">
        <v>1859</v>
      </c>
    </row>
    <row r="268" spans="1:5" x14ac:dyDescent="0.25">
      <c r="A268" s="27" t="s">
        <v>1045</v>
      </c>
      <c r="B268" s="27" t="str">
        <f t="shared" si="8"/>
        <v>Louisiana</v>
      </c>
      <c r="C268" s="27" t="str">
        <f t="shared" si="9"/>
        <v>Washington</v>
      </c>
      <c r="D268" s="27">
        <v>1.7</v>
      </c>
      <c r="E268" s="27" t="s">
        <v>1859</v>
      </c>
    </row>
    <row r="269" spans="1:5" x14ac:dyDescent="0.25">
      <c r="A269" s="27" t="s">
        <v>1046</v>
      </c>
      <c r="B269" s="27" t="str">
        <f t="shared" si="8"/>
        <v>Louisiana</v>
      </c>
      <c r="C269" s="27" t="str">
        <f t="shared" si="9"/>
        <v>Webster</v>
      </c>
      <c r="D269" s="27">
        <v>5.3</v>
      </c>
      <c r="E269" s="27" t="s">
        <v>1859</v>
      </c>
    </row>
    <row r="270" spans="1:5" x14ac:dyDescent="0.25">
      <c r="A270" s="27" t="s">
        <v>1047</v>
      </c>
      <c r="B270" s="27" t="str">
        <f t="shared" si="8"/>
        <v>Louisiana</v>
      </c>
      <c r="C270" s="27" t="str">
        <f t="shared" si="9"/>
        <v>West Baton Rouge</v>
      </c>
      <c r="D270" s="27">
        <v>1.8</v>
      </c>
      <c r="E270" s="27" t="s">
        <v>1859</v>
      </c>
    </row>
    <row r="271" spans="1:5" x14ac:dyDescent="0.25">
      <c r="A271" s="27" t="s">
        <v>1048</v>
      </c>
      <c r="B271" s="27" t="str">
        <f t="shared" si="8"/>
        <v>Louisiana</v>
      </c>
      <c r="C271" s="27" t="str">
        <f t="shared" si="9"/>
        <v>West Carroll</v>
      </c>
      <c r="D271" s="27">
        <v>7.9</v>
      </c>
      <c r="E271" s="27" t="s">
        <v>1859</v>
      </c>
    </row>
    <row r="272" spans="1:5" x14ac:dyDescent="0.25">
      <c r="A272" s="27" t="s">
        <v>1049</v>
      </c>
      <c r="B272" s="27" t="str">
        <f t="shared" si="8"/>
        <v>Louisiana</v>
      </c>
      <c r="C272" s="27" t="str">
        <f t="shared" si="9"/>
        <v>West Feliciana</v>
      </c>
      <c r="D272" s="27">
        <v>3.2</v>
      </c>
      <c r="E272" s="27" t="s">
        <v>1859</v>
      </c>
    </row>
    <row r="273" spans="1:5" x14ac:dyDescent="0.25">
      <c r="A273" s="27" t="s">
        <v>1050</v>
      </c>
      <c r="B273" s="27" t="str">
        <f t="shared" si="8"/>
        <v>Louisiana</v>
      </c>
      <c r="C273" s="27" t="str">
        <f t="shared" si="9"/>
        <v>Winn</v>
      </c>
      <c r="D273" s="27">
        <v>4.4000000000000004</v>
      </c>
      <c r="E273" s="27" t="s">
        <v>1859</v>
      </c>
    </row>
    <row r="274" spans="1:5" ht="15" customHeight="1" x14ac:dyDescent="0.25">
      <c r="A274" s="27" t="s">
        <v>1367</v>
      </c>
      <c r="B274" s="27" t="str">
        <f t="shared" si="8"/>
        <v/>
      </c>
      <c r="C274" s="27" t="str">
        <f t="shared" si="9"/>
        <v/>
      </c>
    </row>
    <row r="275" spans="1:5" x14ac:dyDescent="0.25">
      <c r="A275" s="27" t="s">
        <v>1051</v>
      </c>
      <c r="B275" s="27" t="str">
        <f t="shared" si="8"/>
        <v>Mississippi</v>
      </c>
      <c r="C275" s="27" t="str">
        <f t="shared" si="9"/>
        <v>Adams</v>
      </c>
      <c r="D275" s="27">
        <v>3.1</v>
      </c>
      <c r="E275" s="27" t="s">
        <v>1859</v>
      </c>
    </row>
    <row r="276" spans="1:5" x14ac:dyDescent="0.25">
      <c r="A276" s="27" t="s">
        <v>1052</v>
      </c>
      <c r="B276" s="27" t="str">
        <f t="shared" si="8"/>
        <v>Mississippi</v>
      </c>
      <c r="C276" s="27" t="str">
        <f t="shared" si="9"/>
        <v>Alcorn</v>
      </c>
      <c r="D276" s="27">
        <v>1.9</v>
      </c>
      <c r="E276" s="27" t="s">
        <v>1859</v>
      </c>
    </row>
    <row r="277" spans="1:5" x14ac:dyDescent="0.25">
      <c r="A277" s="27" t="s">
        <v>1053</v>
      </c>
      <c r="B277" s="27" t="str">
        <f t="shared" si="8"/>
        <v>Mississippi</v>
      </c>
      <c r="C277" s="27" t="str">
        <f t="shared" si="9"/>
        <v>Amite</v>
      </c>
      <c r="D277" s="27">
        <v>2.1</v>
      </c>
      <c r="E277" s="27" t="s">
        <v>1859</v>
      </c>
    </row>
    <row r="278" spans="1:5" x14ac:dyDescent="0.25">
      <c r="A278" s="27" t="s">
        <v>1054</v>
      </c>
      <c r="B278" s="27" t="str">
        <f t="shared" si="8"/>
        <v>Mississippi</v>
      </c>
      <c r="C278" s="27" t="str">
        <f t="shared" si="9"/>
        <v>Attala</v>
      </c>
      <c r="D278" s="27">
        <v>2.4</v>
      </c>
      <c r="E278" s="27" t="s">
        <v>1859</v>
      </c>
    </row>
    <row r="279" spans="1:5" x14ac:dyDescent="0.25">
      <c r="A279" s="27" t="s">
        <v>1055</v>
      </c>
      <c r="B279" s="27" t="str">
        <f t="shared" si="8"/>
        <v>Mississippi</v>
      </c>
      <c r="C279" s="27" t="str">
        <f t="shared" si="9"/>
        <v>Benton</v>
      </c>
      <c r="D279" s="27">
        <v>2</v>
      </c>
      <c r="E279" s="27" t="s">
        <v>1859</v>
      </c>
    </row>
    <row r="280" spans="1:5" x14ac:dyDescent="0.25">
      <c r="A280" s="27" t="s">
        <v>1056</v>
      </c>
      <c r="B280" s="27" t="str">
        <f t="shared" si="8"/>
        <v>Mississippi</v>
      </c>
      <c r="C280" s="27" t="str">
        <f t="shared" si="9"/>
        <v>Bolivar</v>
      </c>
      <c r="D280" s="27">
        <v>8.3000000000000007</v>
      </c>
      <c r="E280" s="27" t="s">
        <v>1859</v>
      </c>
    </row>
    <row r="281" spans="1:5" x14ac:dyDescent="0.25">
      <c r="A281" s="27" t="s">
        <v>1057</v>
      </c>
      <c r="B281" s="27" t="str">
        <f t="shared" si="8"/>
        <v>Mississippi</v>
      </c>
      <c r="C281" s="27" t="str">
        <f t="shared" si="9"/>
        <v>Calhoun</v>
      </c>
      <c r="D281" s="27">
        <v>5.3</v>
      </c>
      <c r="E281" s="27" t="s">
        <v>1859</v>
      </c>
    </row>
    <row r="282" spans="1:5" x14ac:dyDescent="0.25">
      <c r="A282" s="27" t="s">
        <v>1058</v>
      </c>
      <c r="B282" s="27" t="str">
        <f t="shared" si="8"/>
        <v>Mississippi</v>
      </c>
      <c r="C282" s="27" t="str">
        <f t="shared" si="9"/>
        <v>Carroll</v>
      </c>
      <c r="D282" s="27">
        <v>5.9</v>
      </c>
      <c r="E282" s="27" t="s">
        <v>1859</v>
      </c>
    </row>
    <row r="283" spans="1:5" x14ac:dyDescent="0.25">
      <c r="A283" s="27" t="s">
        <v>1059</v>
      </c>
      <c r="B283" s="27" t="str">
        <f t="shared" si="8"/>
        <v>Mississippi</v>
      </c>
      <c r="C283" s="27" t="str">
        <f t="shared" si="9"/>
        <v>Chickasaw</v>
      </c>
      <c r="D283" s="27">
        <v>2.7</v>
      </c>
      <c r="E283" s="27" t="s">
        <v>1859</v>
      </c>
    </row>
    <row r="284" spans="1:5" x14ac:dyDescent="0.25">
      <c r="A284" s="27" t="s">
        <v>1061</v>
      </c>
      <c r="B284" s="27" t="str">
        <f t="shared" si="8"/>
        <v>Mississippi</v>
      </c>
      <c r="C284" s="27" t="str">
        <f t="shared" si="9"/>
        <v>Claiborne</v>
      </c>
      <c r="D284" s="27">
        <v>4.5999999999999996</v>
      </c>
      <c r="E284" s="27" t="s">
        <v>1859</v>
      </c>
    </row>
    <row r="285" spans="1:5" x14ac:dyDescent="0.25">
      <c r="A285" s="27" t="s">
        <v>1062</v>
      </c>
      <c r="B285" s="27" t="str">
        <f t="shared" si="8"/>
        <v>Mississippi</v>
      </c>
      <c r="C285" s="27" t="str">
        <f t="shared" si="9"/>
        <v>Clarke</v>
      </c>
      <c r="D285" s="27">
        <v>2.2000000000000002</v>
      </c>
      <c r="E285" s="27" t="s">
        <v>1859</v>
      </c>
    </row>
    <row r="286" spans="1:5" x14ac:dyDescent="0.25">
      <c r="A286" s="27" t="s">
        <v>1063</v>
      </c>
      <c r="B286" s="27" t="str">
        <f t="shared" si="8"/>
        <v>Mississippi</v>
      </c>
      <c r="C286" s="27" t="str">
        <f t="shared" si="9"/>
        <v>Clay</v>
      </c>
      <c r="D286" s="27">
        <v>2.2999999999999998</v>
      </c>
      <c r="E286" s="27" t="s">
        <v>1859</v>
      </c>
    </row>
    <row r="287" spans="1:5" x14ac:dyDescent="0.25">
      <c r="A287" s="27" t="s">
        <v>1064</v>
      </c>
      <c r="B287" s="27" t="str">
        <f t="shared" si="8"/>
        <v>Mississippi</v>
      </c>
      <c r="C287" s="27" t="str">
        <f t="shared" si="9"/>
        <v>Coahoma</v>
      </c>
      <c r="D287" s="27">
        <v>11.4</v>
      </c>
      <c r="E287" s="27" t="s">
        <v>1859</v>
      </c>
    </row>
    <row r="288" spans="1:5" x14ac:dyDescent="0.25">
      <c r="A288" s="27" t="s">
        <v>1065</v>
      </c>
      <c r="B288" s="27" t="str">
        <f t="shared" si="8"/>
        <v>Mississippi</v>
      </c>
      <c r="C288" s="27" t="str">
        <f t="shared" si="9"/>
        <v>Copiah</v>
      </c>
      <c r="D288" s="27">
        <v>2.1</v>
      </c>
      <c r="E288" s="27" t="s">
        <v>1859</v>
      </c>
    </row>
    <row r="289" spans="1:5" x14ac:dyDescent="0.25">
      <c r="A289" s="27" t="s">
        <v>1066</v>
      </c>
      <c r="B289" s="27" t="str">
        <f t="shared" si="8"/>
        <v>Mississippi</v>
      </c>
      <c r="C289" s="27" t="str">
        <f t="shared" si="9"/>
        <v>Covington</v>
      </c>
      <c r="D289" s="27">
        <v>2</v>
      </c>
      <c r="E289" s="27" t="s">
        <v>1859</v>
      </c>
    </row>
    <row r="290" spans="1:5" x14ac:dyDescent="0.25">
      <c r="A290" s="27" t="s">
        <v>1753</v>
      </c>
      <c r="B290" s="27" t="str">
        <f t="shared" si="8"/>
        <v>Mississippi</v>
      </c>
      <c r="C290" s="27" t="str">
        <f t="shared" si="9"/>
        <v>DeSoto</v>
      </c>
      <c r="D290" s="27">
        <v>4.5</v>
      </c>
      <c r="E290" s="27" t="s">
        <v>1859</v>
      </c>
    </row>
    <row r="291" spans="1:5" x14ac:dyDescent="0.25">
      <c r="A291" s="27" t="s">
        <v>1067</v>
      </c>
      <c r="B291" s="27" t="str">
        <f t="shared" si="8"/>
        <v>Mississippi</v>
      </c>
      <c r="C291" s="27" t="str">
        <f t="shared" si="9"/>
        <v>Forrest</v>
      </c>
      <c r="D291" s="27">
        <v>1.9</v>
      </c>
      <c r="E291" s="27" t="s">
        <v>1859</v>
      </c>
    </row>
    <row r="292" spans="1:5" x14ac:dyDescent="0.25">
      <c r="A292" s="27" t="s">
        <v>1068</v>
      </c>
      <c r="B292" s="27" t="str">
        <f t="shared" si="8"/>
        <v>Mississippi</v>
      </c>
      <c r="C292" s="27" t="str">
        <f t="shared" si="9"/>
        <v>Franklin</v>
      </c>
      <c r="D292" s="27">
        <v>5</v>
      </c>
      <c r="E292" s="27" t="s">
        <v>1859</v>
      </c>
    </row>
    <row r="293" spans="1:5" x14ac:dyDescent="0.25">
      <c r="A293" s="27" t="s">
        <v>1069</v>
      </c>
      <c r="B293" s="27" t="str">
        <f t="shared" si="8"/>
        <v>Mississippi</v>
      </c>
      <c r="C293" s="27" t="str">
        <f t="shared" si="9"/>
        <v>George</v>
      </c>
      <c r="D293" s="27">
        <v>1.8</v>
      </c>
      <c r="E293" s="27" t="s">
        <v>1859</v>
      </c>
    </row>
    <row r="294" spans="1:5" x14ac:dyDescent="0.25">
      <c r="A294" s="27" t="s">
        <v>1070</v>
      </c>
      <c r="B294" s="27" t="str">
        <f t="shared" si="8"/>
        <v>Mississippi</v>
      </c>
      <c r="C294" s="27" t="str">
        <f t="shared" si="9"/>
        <v>Greene</v>
      </c>
      <c r="D294" s="27">
        <v>2.9</v>
      </c>
      <c r="E294" s="27" t="s">
        <v>1859</v>
      </c>
    </row>
    <row r="295" spans="1:5" x14ac:dyDescent="0.25">
      <c r="A295" s="27" t="s">
        <v>1071</v>
      </c>
      <c r="B295" s="27" t="str">
        <f t="shared" si="8"/>
        <v>Mississippi</v>
      </c>
      <c r="C295" s="27" t="str">
        <f t="shared" si="9"/>
        <v>Grenada</v>
      </c>
      <c r="D295" s="27">
        <v>2.9</v>
      </c>
      <c r="E295" s="27" t="s">
        <v>1859</v>
      </c>
    </row>
    <row r="296" spans="1:5" x14ac:dyDescent="0.25">
      <c r="A296" s="27" t="s">
        <v>1074</v>
      </c>
      <c r="B296" s="27" t="str">
        <f t="shared" si="8"/>
        <v>Mississippi</v>
      </c>
      <c r="C296" s="27" t="str">
        <f t="shared" si="9"/>
        <v>Hinds</v>
      </c>
      <c r="D296" s="27">
        <v>3.2</v>
      </c>
      <c r="E296" s="27" t="s">
        <v>1859</v>
      </c>
    </row>
    <row r="297" spans="1:5" x14ac:dyDescent="0.25">
      <c r="A297" s="27" t="s">
        <v>1075</v>
      </c>
      <c r="B297" s="27" t="str">
        <f t="shared" si="8"/>
        <v>Mississippi</v>
      </c>
      <c r="C297" s="27" t="str">
        <f t="shared" si="9"/>
        <v>Holmes</v>
      </c>
      <c r="D297" s="27">
        <v>6.4</v>
      </c>
      <c r="E297" s="27" t="s">
        <v>1859</v>
      </c>
    </row>
    <row r="298" spans="1:5" x14ac:dyDescent="0.25">
      <c r="A298" s="27" t="s">
        <v>1076</v>
      </c>
      <c r="B298" s="27" t="str">
        <f t="shared" si="8"/>
        <v>Mississippi</v>
      </c>
      <c r="C298" s="27" t="str">
        <f t="shared" si="9"/>
        <v>Humphreys</v>
      </c>
      <c r="D298" s="27">
        <v>14.1</v>
      </c>
      <c r="E298" s="27" t="s">
        <v>1859</v>
      </c>
    </row>
    <row r="299" spans="1:5" x14ac:dyDescent="0.25">
      <c r="A299" s="27" t="s">
        <v>1077</v>
      </c>
      <c r="B299" s="27" t="str">
        <f t="shared" si="8"/>
        <v>Mississippi</v>
      </c>
      <c r="C299" s="27" t="str">
        <f t="shared" si="9"/>
        <v>Issaquena</v>
      </c>
      <c r="D299" s="27">
        <v>10.5</v>
      </c>
      <c r="E299" s="27" t="s">
        <v>1859</v>
      </c>
    </row>
    <row r="300" spans="1:5" x14ac:dyDescent="0.25">
      <c r="A300" s="27" t="s">
        <v>1078</v>
      </c>
      <c r="B300" s="27" t="str">
        <f t="shared" si="8"/>
        <v>Mississippi</v>
      </c>
      <c r="C300" s="27" t="str">
        <f t="shared" si="9"/>
        <v>Itawamba</v>
      </c>
      <c r="D300" s="27">
        <v>3.2</v>
      </c>
      <c r="E300" s="27" t="s">
        <v>1859</v>
      </c>
    </row>
    <row r="301" spans="1:5" x14ac:dyDescent="0.25">
      <c r="A301" s="27" t="s">
        <v>1079</v>
      </c>
      <c r="B301" s="27" t="str">
        <f t="shared" si="8"/>
        <v>Mississippi</v>
      </c>
      <c r="C301" s="27" t="str">
        <f t="shared" si="9"/>
        <v>Jackson</v>
      </c>
      <c r="D301" s="27">
        <v>1.6</v>
      </c>
      <c r="E301" s="27" t="s">
        <v>1859</v>
      </c>
    </row>
    <row r="302" spans="1:5" x14ac:dyDescent="0.25">
      <c r="A302" s="27" t="s">
        <v>1081</v>
      </c>
      <c r="B302" s="27" t="str">
        <f t="shared" si="8"/>
        <v>Mississippi</v>
      </c>
      <c r="C302" s="27" t="str">
        <f t="shared" si="9"/>
        <v>Jefferson</v>
      </c>
      <c r="D302" s="27">
        <v>5</v>
      </c>
      <c r="E302" s="27" t="s">
        <v>1859</v>
      </c>
    </row>
    <row r="303" spans="1:5" x14ac:dyDescent="0.25">
      <c r="A303" s="27" t="s">
        <v>1082</v>
      </c>
      <c r="B303" s="27" t="str">
        <f t="shared" si="8"/>
        <v>Mississippi</v>
      </c>
      <c r="C303" s="27" t="str">
        <f t="shared" si="9"/>
        <v>Jefferson Davis</v>
      </c>
      <c r="D303" s="27">
        <v>1.6</v>
      </c>
      <c r="E303" s="27" t="s">
        <v>1859</v>
      </c>
    </row>
    <row r="304" spans="1:5" x14ac:dyDescent="0.25">
      <c r="A304" s="27" t="s">
        <v>1083</v>
      </c>
      <c r="B304" s="27" t="str">
        <f t="shared" si="8"/>
        <v>Mississippi</v>
      </c>
      <c r="C304" s="27" t="str">
        <f t="shared" si="9"/>
        <v>Jones</v>
      </c>
      <c r="D304" s="27">
        <v>1.8</v>
      </c>
      <c r="E304" s="27" t="s">
        <v>1859</v>
      </c>
    </row>
    <row r="305" spans="1:5" x14ac:dyDescent="0.25">
      <c r="A305" s="27" t="s">
        <v>1084</v>
      </c>
      <c r="B305" s="27" t="str">
        <f t="shared" si="8"/>
        <v>Mississippi</v>
      </c>
      <c r="C305" s="27" t="str">
        <f t="shared" si="9"/>
        <v>Kemper</v>
      </c>
      <c r="D305" s="27">
        <v>1.5</v>
      </c>
      <c r="E305" s="27" t="s">
        <v>1859</v>
      </c>
    </row>
    <row r="306" spans="1:5" x14ac:dyDescent="0.25">
      <c r="A306" s="27" t="s">
        <v>1085</v>
      </c>
      <c r="B306" s="27" t="str">
        <f t="shared" si="8"/>
        <v>Mississippi</v>
      </c>
      <c r="C306" s="27" t="str">
        <f t="shared" si="9"/>
        <v>Lafayette</v>
      </c>
      <c r="D306" s="27">
        <v>3.6</v>
      </c>
      <c r="E306" s="27" t="s">
        <v>1859</v>
      </c>
    </row>
    <row r="307" spans="1:5" x14ac:dyDescent="0.25">
      <c r="A307" s="27" t="s">
        <v>1087</v>
      </c>
      <c r="B307" s="27" t="str">
        <f t="shared" si="8"/>
        <v>Mississippi</v>
      </c>
      <c r="C307" s="27" t="str">
        <f t="shared" si="9"/>
        <v>Lauderdale</v>
      </c>
      <c r="D307" s="27">
        <v>2.6</v>
      </c>
      <c r="E307" s="27" t="s">
        <v>1859</v>
      </c>
    </row>
    <row r="308" spans="1:5" x14ac:dyDescent="0.25">
      <c r="A308" s="27" t="s">
        <v>1088</v>
      </c>
      <c r="B308" s="27" t="str">
        <f t="shared" si="8"/>
        <v>Mississippi</v>
      </c>
      <c r="C308" s="27" t="str">
        <f t="shared" si="9"/>
        <v>Lawrence</v>
      </c>
      <c r="D308" s="27">
        <v>3.2</v>
      </c>
      <c r="E308" s="27" t="s">
        <v>1859</v>
      </c>
    </row>
    <row r="309" spans="1:5" x14ac:dyDescent="0.25">
      <c r="A309" s="27" t="s">
        <v>1089</v>
      </c>
      <c r="B309" s="27" t="str">
        <f t="shared" si="8"/>
        <v>Mississippi</v>
      </c>
      <c r="C309" s="27" t="str">
        <f t="shared" si="9"/>
        <v>Leake</v>
      </c>
      <c r="D309" s="27">
        <v>2.4</v>
      </c>
      <c r="E309" s="27" t="s">
        <v>1859</v>
      </c>
    </row>
    <row r="310" spans="1:5" x14ac:dyDescent="0.25">
      <c r="A310" s="27" t="s">
        <v>1090</v>
      </c>
      <c r="B310" s="27" t="str">
        <f t="shared" si="8"/>
        <v>Mississippi</v>
      </c>
      <c r="C310" s="27" t="str">
        <f t="shared" si="9"/>
        <v>Lee</v>
      </c>
      <c r="D310" s="27">
        <v>1.4</v>
      </c>
      <c r="E310" s="27" t="s">
        <v>1859</v>
      </c>
    </row>
    <row r="311" spans="1:5" x14ac:dyDescent="0.25">
      <c r="A311" s="27" t="s">
        <v>1091</v>
      </c>
      <c r="B311" s="27" t="str">
        <f t="shared" si="8"/>
        <v>Mississippi</v>
      </c>
      <c r="C311" s="27" t="str">
        <f t="shared" si="9"/>
        <v>Leflore</v>
      </c>
      <c r="D311" s="27">
        <v>10</v>
      </c>
      <c r="E311" s="27" t="s">
        <v>1859</v>
      </c>
    </row>
    <row r="312" spans="1:5" x14ac:dyDescent="0.25">
      <c r="A312" s="27" t="s">
        <v>1092</v>
      </c>
      <c r="B312" s="27" t="str">
        <f t="shared" si="8"/>
        <v>Mississippi</v>
      </c>
      <c r="C312" s="27" t="str">
        <f t="shared" si="9"/>
        <v>Lincoln</v>
      </c>
      <c r="D312" s="27">
        <v>1.6</v>
      </c>
      <c r="E312" s="27" t="s">
        <v>1859</v>
      </c>
    </row>
    <row r="313" spans="1:5" x14ac:dyDescent="0.25">
      <c r="A313" s="27" t="s">
        <v>1093</v>
      </c>
      <c r="B313" s="27" t="str">
        <f t="shared" si="8"/>
        <v>Mississippi</v>
      </c>
      <c r="C313" s="27" t="str">
        <f t="shared" si="9"/>
        <v>Lowndes</v>
      </c>
      <c r="D313" s="27">
        <v>1.8</v>
      </c>
      <c r="E313" s="27" t="s">
        <v>1859</v>
      </c>
    </row>
    <row r="314" spans="1:5" x14ac:dyDescent="0.25">
      <c r="A314" s="27" t="s">
        <v>1094</v>
      </c>
      <c r="B314" s="27" t="str">
        <f t="shared" si="8"/>
        <v>Mississippi</v>
      </c>
      <c r="C314" s="27" t="str">
        <f t="shared" si="9"/>
        <v>Madison</v>
      </c>
      <c r="D314" s="27">
        <v>2.4</v>
      </c>
      <c r="E314" s="27" t="s">
        <v>1859</v>
      </c>
    </row>
    <row r="315" spans="1:5" x14ac:dyDescent="0.25">
      <c r="A315" s="27" t="s">
        <v>1095</v>
      </c>
      <c r="B315" s="27" t="str">
        <f t="shared" si="8"/>
        <v>Mississippi</v>
      </c>
      <c r="C315" s="27" t="str">
        <f t="shared" si="9"/>
        <v>Marion</v>
      </c>
      <c r="D315" s="27">
        <v>1.8</v>
      </c>
      <c r="E315" s="27" t="s">
        <v>1859</v>
      </c>
    </row>
    <row r="316" spans="1:5" x14ac:dyDescent="0.25">
      <c r="A316" s="27" t="s">
        <v>1096</v>
      </c>
      <c r="B316" s="27" t="str">
        <f t="shared" si="8"/>
        <v>Mississippi</v>
      </c>
      <c r="C316" s="27" t="str">
        <f t="shared" si="9"/>
        <v>Marshall</v>
      </c>
      <c r="D316" s="27">
        <v>2.7</v>
      </c>
      <c r="E316" s="27" t="s">
        <v>1859</v>
      </c>
    </row>
    <row r="317" spans="1:5" x14ac:dyDescent="0.25">
      <c r="A317" s="27" t="s">
        <v>1097</v>
      </c>
      <c r="B317" s="27" t="str">
        <f t="shared" si="8"/>
        <v>Mississippi</v>
      </c>
      <c r="C317" s="27" t="str">
        <f t="shared" si="9"/>
        <v>Monroe</v>
      </c>
      <c r="D317" s="27">
        <v>2.2000000000000002</v>
      </c>
      <c r="E317" s="27" t="s">
        <v>1859</v>
      </c>
    </row>
    <row r="318" spans="1:5" x14ac:dyDescent="0.25">
      <c r="A318" s="27" t="s">
        <v>1098</v>
      </c>
      <c r="B318" s="27" t="str">
        <f t="shared" si="8"/>
        <v>Mississippi</v>
      </c>
      <c r="C318" s="27" t="str">
        <f t="shared" si="9"/>
        <v>Montgomery</v>
      </c>
      <c r="D318" s="27">
        <v>2.9</v>
      </c>
      <c r="E318" s="27" t="s">
        <v>1859</v>
      </c>
    </row>
    <row r="319" spans="1:5" x14ac:dyDescent="0.25">
      <c r="A319" s="27" t="s">
        <v>1099</v>
      </c>
      <c r="B319" s="27" t="str">
        <f t="shared" si="8"/>
        <v>Mississippi</v>
      </c>
      <c r="C319" s="27" t="str">
        <f t="shared" si="9"/>
        <v>Neshoba</v>
      </c>
      <c r="D319" s="27">
        <v>3.1</v>
      </c>
      <c r="E319" s="27" t="s">
        <v>1859</v>
      </c>
    </row>
    <row r="320" spans="1:5" x14ac:dyDescent="0.25">
      <c r="A320" s="27" t="s">
        <v>1100</v>
      </c>
      <c r="B320" s="27" t="str">
        <f t="shared" si="8"/>
        <v>Mississippi</v>
      </c>
      <c r="C320" s="27" t="str">
        <f t="shared" si="9"/>
        <v>Newton</v>
      </c>
      <c r="D320" s="27">
        <v>1.5</v>
      </c>
      <c r="E320" s="27" t="s">
        <v>1859</v>
      </c>
    </row>
    <row r="321" spans="1:5" x14ac:dyDescent="0.25">
      <c r="A321" s="27" t="s">
        <v>1101</v>
      </c>
      <c r="B321" s="27" t="str">
        <f t="shared" si="8"/>
        <v>Mississippi</v>
      </c>
      <c r="C321" s="27" t="str">
        <f t="shared" si="9"/>
        <v>Noxubee</v>
      </c>
      <c r="D321" s="27">
        <v>3</v>
      </c>
      <c r="E321" s="27" t="s">
        <v>1859</v>
      </c>
    </row>
    <row r="322" spans="1:5" x14ac:dyDescent="0.25">
      <c r="A322" s="27" t="s">
        <v>1102</v>
      </c>
      <c r="B322" s="27" t="str">
        <f t="shared" si="8"/>
        <v>Mississippi</v>
      </c>
      <c r="C322" s="27" t="str">
        <f t="shared" si="9"/>
        <v>Oktibbeha</v>
      </c>
      <c r="D322" s="27">
        <v>1.8</v>
      </c>
      <c r="E322" s="27" t="s">
        <v>1859</v>
      </c>
    </row>
    <row r="323" spans="1:5" x14ac:dyDescent="0.25">
      <c r="A323" s="27" t="s">
        <v>1103</v>
      </c>
      <c r="B323" s="27" t="str">
        <f t="shared" ref="B323:B386" si="10">LEFT(A323,FIND(";",A323)-1)</f>
        <v>Mississippi</v>
      </c>
      <c r="C323" s="27" t="str">
        <f t="shared" ref="C323:C386" si="11">MID(A323,FIND(";",A323)+1,100)</f>
        <v>Panola</v>
      </c>
      <c r="D323" s="27">
        <v>6.5</v>
      </c>
      <c r="E323" s="27" t="s">
        <v>1859</v>
      </c>
    </row>
    <row r="324" spans="1:5" x14ac:dyDescent="0.25">
      <c r="A324" s="27" t="s">
        <v>1104</v>
      </c>
      <c r="B324" s="27" t="str">
        <f t="shared" si="10"/>
        <v>Mississippi</v>
      </c>
      <c r="C324" s="27" t="str">
        <f t="shared" si="11"/>
        <v>Pearl River</v>
      </c>
      <c r="D324" s="27">
        <v>1.3</v>
      </c>
      <c r="E324" s="27" t="s">
        <v>1859</v>
      </c>
    </row>
    <row r="325" spans="1:5" x14ac:dyDescent="0.25">
      <c r="A325" s="27" t="s">
        <v>1105</v>
      </c>
      <c r="B325" s="27" t="str">
        <f t="shared" si="10"/>
        <v>Mississippi</v>
      </c>
      <c r="C325" s="27" t="str">
        <f t="shared" si="11"/>
        <v>Perry</v>
      </c>
      <c r="D325" s="27">
        <v>2.2000000000000002</v>
      </c>
      <c r="E325" s="27" t="s">
        <v>1859</v>
      </c>
    </row>
    <row r="326" spans="1:5" x14ac:dyDescent="0.25">
      <c r="A326" s="27" t="s">
        <v>1107</v>
      </c>
      <c r="B326" s="27" t="str">
        <f t="shared" si="10"/>
        <v>Mississippi</v>
      </c>
      <c r="C326" s="27" t="str">
        <f t="shared" si="11"/>
        <v>Pontotoc</v>
      </c>
      <c r="D326" s="27">
        <v>4</v>
      </c>
      <c r="E326" s="27" t="s">
        <v>1859</v>
      </c>
    </row>
    <row r="327" spans="1:5" x14ac:dyDescent="0.25">
      <c r="A327" s="27" t="s">
        <v>1109</v>
      </c>
      <c r="B327" s="27" t="str">
        <f t="shared" si="10"/>
        <v>Mississippi</v>
      </c>
      <c r="C327" s="27" t="str">
        <f t="shared" si="11"/>
        <v>Quitman</v>
      </c>
      <c r="D327" s="27">
        <v>17.600000000000001</v>
      </c>
      <c r="E327" s="27" t="s">
        <v>1859</v>
      </c>
    </row>
    <row r="328" spans="1:5" x14ac:dyDescent="0.25">
      <c r="A328" s="27" t="s">
        <v>1110</v>
      </c>
      <c r="B328" s="27" t="str">
        <f t="shared" si="10"/>
        <v>Mississippi</v>
      </c>
      <c r="C328" s="27" t="str">
        <f t="shared" si="11"/>
        <v>Rankin</v>
      </c>
      <c r="D328" s="27">
        <v>4</v>
      </c>
      <c r="E328" s="27" t="s">
        <v>1859</v>
      </c>
    </row>
    <row r="329" spans="1:5" x14ac:dyDescent="0.25">
      <c r="A329" s="27" t="s">
        <v>1111</v>
      </c>
      <c r="B329" s="27" t="str">
        <f t="shared" si="10"/>
        <v>Mississippi</v>
      </c>
      <c r="C329" s="27" t="str">
        <f t="shared" si="11"/>
        <v>Scott</v>
      </c>
      <c r="D329" s="27">
        <v>2.4</v>
      </c>
      <c r="E329" s="27" t="s">
        <v>1859</v>
      </c>
    </row>
    <row r="330" spans="1:5" x14ac:dyDescent="0.25">
      <c r="A330" s="27" t="s">
        <v>1112</v>
      </c>
      <c r="B330" s="27" t="str">
        <f t="shared" si="10"/>
        <v>Mississippi</v>
      </c>
      <c r="C330" s="27" t="str">
        <f t="shared" si="11"/>
        <v>Sharkey</v>
      </c>
      <c r="D330" s="27">
        <v>10.6</v>
      </c>
      <c r="E330" s="27" t="s">
        <v>1859</v>
      </c>
    </row>
    <row r="331" spans="1:5" x14ac:dyDescent="0.25">
      <c r="A331" s="27" t="s">
        <v>1113</v>
      </c>
      <c r="B331" s="27" t="str">
        <f t="shared" si="10"/>
        <v>Mississippi</v>
      </c>
      <c r="C331" s="27" t="str">
        <f t="shared" si="11"/>
        <v>Simpson</v>
      </c>
      <c r="D331" s="27">
        <v>2.2000000000000002</v>
      </c>
      <c r="E331" s="27" t="s">
        <v>1859</v>
      </c>
    </row>
    <row r="332" spans="1:5" x14ac:dyDescent="0.25">
      <c r="A332" s="27" t="s">
        <v>1114</v>
      </c>
      <c r="B332" s="27" t="str">
        <f t="shared" si="10"/>
        <v>Mississippi</v>
      </c>
      <c r="C332" s="27" t="str">
        <f t="shared" si="11"/>
        <v>Smith</v>
      </c>
      <c r="D332" s="27">
        <v>1.9</v>
      </c>
      <c r="E332" s="27" t="s">
        <v>1859</v>
      </c>
    </row>
    <row r="333" spans="1:5" x14ac:dyDescent="0.25">
      <c r="A333" s="27" t="s">
        <v>1116</v>
      </c>
      <c r="B333" s="27" t="str">
        <f t="shared" si="10"/>
        <v>Mississippi</v>
      </c>
      <c r="C333" s="27" t="str">
        <f t="shared" si="11"/>
        <v>Sunflower</v>
      </c>
      <c r="D333" s="27">
        <v>10.9</v>
      </c>
      <c r="E333" s="27" t="s">
        <v>1859</v>
      </c>
    </row>
    <row r="334" spans="1:5" x14ac:dyDescent="0.25">
      <c r="A334" s="27" t="s">
        <v>1117</v>
      </c>
      <c r="B334" s="27" t="str">
        <f t="shared" si="10"/>
        <v>Mississippi</v>
      </c>
      <c r="C334" s="27" t="str">
        <f t="shared" si="11"/>
        <v>Tallahatchie</v>
      </c>
      <c r="D334" s="27">
        <v>9.1999999999999993</v>
      </c>
      <c r="E334" s="27" t="s">
        <v>1859</v>
      </c>
    </row>
    <row r="335" spans="1:5" x14ac:dyDescent="0.25">
      <c r="A335" s="27" t="s">
        <v>1118</v>
      </c>
      <c r="B335" s="27" t="str">
        <f t="shared" si="10"/>
        <v>Mississippi</v>
      </c>
      <c r="C335" s="27" t="str">
        <f t="shared" si="11"/>
        <v>Tate</v>
      </c>
      <c r="D335" s="27">
        <v>4.0999999999999996</v>
      </c>
      <c r="E335" s="27" t="s">
        <v>1859</v>
      </c>
    </row>
    <row r="336" spans="1:5" x14ac:dyDescent="0.25">
      <c r="A336" s="27" t="s">
        <v>1119</v>
      </c>
      <c r="B336" s="27" t="str">
        <f t="shared" si="10"/>
        <v>Mississippi</v>
      </c>
      <c r="C336" s="27" t="str">
        <f t="shared" si="11"/>
        <v>Tippah</v>
      </c>
      <c r="D336" s="27">
        <v>3.9</v>
      </c>
      <c r="E336" s="27" t="s">
        <v>1859</v>
      </c>
    </row>
    <row r="337" spans="1:5" x14ac:dyDescent="0.25">
      <c r="A337" s="27" t="s">
        <v>1120</v>
      </c>
      <c r="B337" s="27" t="str">
        <f t="shared" si="10"/>
        <v>Mississippi</v>
      </c>
      <c r="C337" s="27" t="str">
        <f t="shared" si="11"/>
        <v>Tishomingo</v>
      </c>
      <c r="D337" s="27">
        <v>2</v>
      </c>
      <c r="E337" s="27" t="s">
        <v>1859</v>
      </c>
    </row>
    <row r="338" spans="1:5" x14ac:dyDescent="0.25">
      <c r="A338" s="27" t="s">
        <v>1121</v>
      </c>
      <c r="B338" s="27" t="str">
        <f t="shared" si="10"/>
        <v>Mississippi</v>
      </c>
      <c r="C338" s="27" t="str">
        <f t="shared" si="11"/>
        <v>Tunica</v>
      </c>
      <c r="D338" s="27">
        <v>13.8</v>
      </c>
      <c r="E338" s="27" t="s">
        <v>1859</v>
      </c>
    </row>
    <row r="339" spans="1:5" x14ac:dyDescent="0.25">
      <c r="A339" s="27" t="s">
        <v>1122</v>
      </c>
      <c r="B339" s="27" t="str">
        <f t="shared" si="10"/>
        <v>Mississippi</v>
      </c>
      <c r="C339" s="27" t="str">
        <f t="shared" si="11"/>
        <v>Union</v>
      </c>
      <c r="D339" s="27">
        <v>4</v>
      </c>
      <c r="E339" s="27" t="s">
        <v>1859</v>
      </c>
    </row>
    <row r="340" spans="1:5" x14ac:dyDescent="0.25">
      <c r="A340" s="27" t="s">
        <v>1124</v>
      </c>
      <c r="B340" s="27" t="str">
        <f t="shared" si="10"/>
        <v>Mississippi</v>
      </c>
      <c r="C340" s="27" t="str">
        <f t="shared" si="11"/>
        <v>Warren</v>
      </c>
      <c r="D340" s="27">
        <v>7.8</v>
      </c>
      <c r="E340" s="27" t="s">
        <v>1859</v>
      </c>
    </row>
    <row r="341" spans="1:5" x14ac:dyDescent="0.25">
      <c r="A341" s="27" t="s">
        <v>1125</v>
      </c>
      <c r="B341" s="27" t="str">
        <f t="shared" si="10"/>
        <v>Mississippi</v>
      </c>
      <c r="C341" s="27" t="str">
        <f t="shared" si="11"/>
        <v>Washington</v>
      </c>
      <c r="D341" s="27">
        <v>4.3</v>
      </c>
      <c r="E341" s="27" t="s">
        <v>1859</v>
      </c>
    </row>
    <row r="342" spans="1:5" x14ac:dyDescent="0.25">
      <c r="A342" s="27" t="s">
        <v>1126</v>
      </c>
      <c r="B342" s="27" t="str">
        <f t="shared" si="10"/>
        <v>Mississippi</v>
      </c>
      <c r="C342" s="27" t="str">
        <f t="shared" si="11"/>
        <v>Wayne</v>
      </c>
      <c r="D342" s="27">
        <v>2.6</v>
      </c>
      <c r="E342" s="27" t="s">
        <v>1859</v>
      </c>
    </row>
    <row r="343" spans="1:5" x14ac:dyDescent="0.25">
      <c r="A343" s="27" t="s">
        <v>1127</v>
      </c>
      <c r="B343" s="27" t="str">
        <f t="shared" si="10"/>
        <v>Mississippi</v>
      </c>
      <c r="C343" s="27" t="str">
        <f t="shared" si="11"/>
        <v>Webster</v>
      </c>
      <c r="D343" s="27">
        <v>4</v>
      </c>
      <c r="E343" s="27" t="s">
        <v>1859</v>
      </c>
    </row>
    <row r="344" spans="1:5" x14ac:dyDescent="0.25">
      <c r="A344" s="27" t="s">
        <v>1128</v>
      </c>
      <c r="B344" s="27" t="str">
        <f t="shared" si="10"/>
        <v>Mississippi</v>
      </c>
      <c r="C344" s="27" t="str">
        <f t="shared" si="11"/>
        <v>Wilkinson</v>
      </c>
      <c r="D344" s="27">
        <v>3.3</v>
      </c>
      <c r="E344" s="27" t="s">
        <v>1859</v>
      </c>
    </row>
    <row r="345" spans="1:5" x14ac:dyDescent="0.25">
      <c r="A345" s="27" t="s">
        <v>1129</v>
      </c>
      <c r="B345" s="27" t="str">
        <f t="shared" si="10"/>
        <v>Mississippi</v>
      </c>
      <c r="C345" s="27" t="str">
        <f t="shared" si="11"/>
        <v>Winston</v>
      </c>
      <c r="D345" s="27">
        <v>1.7</v>
      </c>
      <c r="E345" s="27" t="s">
        <v>1859</v>
      </c>
    </row>
    <row r="346" spans="1:5" x14ac:dyDescent="0.25">
      <c r="A346" s="27" t="s">
        <v>1130</v>
      </c>
      <c r="B346" s="27" t="str">
        <f t="shared" si="10"/>
        <v>Mississippi</v>
      </c>
      <c r="C346" s="27" t="str">
        <f t="shared" si="11"/>
        <v>Yalobusha</v>
      </c>
      <c r="D346" s="27">
        <v>3.7</v>
      </c>
      <c r="E346" s="27" t="s">
        <v>1859</v>
      </c>
    </row>
    <row r="347" spans="1:5" x14ac:dyDescent="0.25">
      <c r="A347" s="27" t="s">
        <v>1131</v>
      </c>
      <c r="B347" s="27" t="str">
        <f t="shared" si="10"/>
        <v>Mississippi</v>
      </c>
      <c r="C347" s="27" t="str">
        <f t="shared" si="11"/>
        <v>Yazoo</v>
      </c>
      <c r="D347" s="27">
        <v>7</v>
      </c>
      <c r="E347" s="27" t="s">
        <v>1859</v>
      </c>
    </row>
    <row r="348" spans="1:5" ht="15" customHeight="1" x14ac:dyDescent="0.25">
      <c r="A348" s="27" t="s">
        <v>1367</v>
      </c>
      <c r="B348" s="27" t="str">
        <f t="shared" si="10"/>
        <v/>
      </c>
      <c r="C348" s="27" t="str">
        <f t="shared" si="11"/>
        <v/>
      </c>
    </row>
    <row r="349" spans="1:5" x14ac:dyDescent="0.25">
      <c r="A349" s="27" t="s">
        <v>1909</v>
      </c>
      <c r="B349" s="27" t="str">
        <f t="shared" si="10"/>
        <v>Missouri</v>
      </c>
      <c r="C349" s="27" t="str">
        <f t="shared" si="11"/>
        <v>Butler</v>
      </c>
      <c r="D349" s="27">
        <v>7.1</v>
      </c>
      <c r="E349" s="27" t="s">
        <v>1859</v>
      </c>
    </row>
    <row r="350" spans="1:5" x14ac:dyDescent="0.25">
      <c r="A350" s="27" t="s">
        <v>1910</v>
      </c>
      <c r="B350" s="27" t="str">
        <f t="shared" si="10"/>
        <v>Missouri</v>
      </c>
      <c r="C350" s="27" t="str">
        <f t="shared" si="11"/>
        <v>Carter</v>
      </c>
      <c r="D350" s="27">
        <v>1.3</v>
      </c>
      <c r="E350" s="27" t="s">
        <v>1859</v>
      </c>
    </row>
    <row r="351" spans="1:5" x14ac:dyDescent="0.25">
      <c r="A351" s="27" t="s">
        <v>1911</v>
      </c>
      <c r="B351" s="27" t="str">
        <f t="shared" si="10"/>
        <v>Missouri</v>
      </c>
      <c r="C351" s="27" t="str">
        <f t="shared" si="11"/>
        <v>Dunklin</v>
      </c>
      <c r="D351" s="27">
        <v>10</v>
      </c>
      <c r="E351" s="27" t="s">
        <v>1859</v>
      </c>
    </row>
    <row r="352" spans="1:5" x14ac:dyDescent="0.25">
      <c r="A352" s="27" t="s">
        <v>1912</v>
      </c>
      <c r="B352" s="27" t="str">
        <f t="shared" si="10"/>
        <v>Missouri</v>
      </c>
      <c r="C352" s="27" t="str">
        <f t="shared" si="11"/>
        <v>Mississippi</v>
      </c>
      <c r="D352" s="27">
        <v>3.9</v>
      </c>
      <c r="E352" s="27" t="s">
        <v>1859</v>
      </c>
    </row>
    <row r="353" spans="1:5" x14ac:dyDescent="0.25">
      <c r="A353" s="27" t="s">
        <v>1945</v>
      </c>
      <c r="B353" s="27" t="str">
        <f t="shared" si="10"/>
        <v>Missouri</v>
      </c>
      <c r="C353" s="27" t="str">
        <f t="shared" si="11"/>
        <v>New Madrid</v>
      </c>
      <c r="D353" s="27">
        <v>2.4</v>
      </c>
      <c r="E353" s="27" t="s">
        <v>1859</v>
      </c>
    </row>
    <row r="354" spans="1:5" x14ac:dyDescent="0.25">
      <c r="A354" s="27" t="s">
        <v>1913</v>
      </c>
      <c r="B354" s="27" t="str">
        <f t="shared" si="10"/>
        <v>Missouri</v>
      </c>
      <c r="C354" s="27" t="str">
        <f t="shared" si="11"/>
        <v>Ozark</v>
      </c>
      <c r="D354" s="27">
        <v>1.9</v>
      </c>
      <c r="E354" s="27" t="s">
        <v>1859</v>
      </c>
    </row>
    <row r="355" spans="1:5" x14ac:dyDescent="0.25">
      <c r="A355" s="27" t="s">
        <v>1914</v>
      </c>
      <c r="B355" s="27" t="str">
        <f t="shared" si="10"/>
        <v>Missouri</v>
      </c>
      <c r="C355" s="27" t="str">
        <f t="shared" si="11"/>
        <v>Pemiscot</v>
      </c>
      <c r="D355" s="27">
        <v>3.8</v>
      </c>
      <c r="E355" s="27" t="s">
        <v>1859</v>
      </c>
    </row>
    <row r="356" spans="1:5" x14ac:dyDescent="0.25">
      <c r="A356" s="27" t="s">
        <v>1915</v>
      </c>
      <c r="B356" s="27" t="str">
        <f t="shared" si="10"/>
        <v>Missouri</v>
      </c>
      <c r="C356" s="27" t="str">
        <f t="shared" si="11"/>
        <v>Ripley</v>
      </c>
      <c r="D356" s="27">
        <v>3.3</v>
      </c>
      <c r="E356" s="27" t="s">
        <v>1859</v>
      </c>
    </row>
    <row r="357" spans="1:5" x14ac:dyDescent="0.25">
      <c r="A357" s="27" t="s">
        <v>1916</v>
      </c>
      <c r="B357" s="27" t="str">
        <f t="shared" si="10"/>
        <v>Missouri</v>
      </c>
      <c r="C357" s="27" t="str">
        <f t="shared" si="11"/>
        <v>Scott</v>
      </c>
      <c r="D357" s="27">
        <v>1.7</v>
      </c>
      <c r="E357" s="27" t="s">
        <v>1859</v>
      </c>
    </row>
    <row r="358" spans="1:5" x14ac:dyDescent="0.25">
      <c r="A358" s="27" t="s">
        <v>1917</v>
      </c>
      <c r="B358" s="27" t="str">
        <f t="shared" si="10"/>
        <v>Missouri</v>
      </c>
      <c r="C358" s="27" t="str">
        <f t="shared" si="11"/>
        <v>Stoddard</v>
      </c>
      <c r="D358" s="27">
        <v>4.7</v>
      </c>
      <c r="E358" s="27" t="s">
        <v>1859</v>
      </c>
    </row>
    <row r="359" spans="1:5" x14ac:dyDescent="0.25">
      <c r="A359" s="27" t="s">
        <v>1918</v>
      </c>
      <c r="B359" s="27" t="str">
        <f t="shared" si="10"/>
        <v>Missouri</v>
      </c>
      <c r="C359" s="27" t="str">
        <f t="shared" si="11"/>
        <v>Wayne</v>
      </c>
      <c r="D359" s="27">
        <v>2.2999999999999998</v>
      </c>
      <c r="E359" s="27" t="s">
        <v>1859</v>
      </c>
    </row>
    <row r="360" spans="1:5" ht="15" customHeight="1" x14ac:dyDescent="0.25">
      <c r="A360" s="27" t="s">
        <v>1367</v>
      </c>
      <c r="B360" s="27" t="str">
        <f t="shared" si="10"/>
        <v/>
      </c>
      <c r="C360" s="27" t="str">
        <f t="shared" si="11"/>
        <v/>
      </c>
    </row>
    <row r="361" spans="1:5" x14ac:dyDescent="0.25">
      <c r="A361" s="27" t="s">
        <v>1138</v>
      </c>
      <c r="B361" s="27" t="str">
        <f t="shared" si="10"/>
        <v>North Carolina</v>
      </c>
      <c r="C361" s="27" t="str">
        <f t="shared" si="11"/>
        <v>Beaufort</v>
      </c>
      <c r="D361" s="27">
        <v>5.8</v>
      </c>
      <c r="E361" s="27" t="s">
        <v>1859</v>
      </c>
    </row>
    <row r="362" spans="1:5" x14ac:dyDescent="0.25">
      <c r="A362" s="27" t="s">
        <v>1139</v>
      </c>
      <c r="B362" s="27" t="str">
        <f t="shared" si="10"/>
        <v>North Carolina</v>
      </c>
      <c r="C362" s="27" t="str">
        <f t="shared" si="11"/>
        <v>Bertie</v>
      </c>
      <c r="D362" s="27">
        <v>2.1</v>
      </c>
      <c r="E362" s="27" t="s">
        <v>1859</v>
      </c>
    </row>
    <row r="363" spans="1:5" x14ac:dyDescent="0.25">
      <c r="A363" s="27" t="s">
        <v>1141</v>
      </c>
      <c r="B363" s="27" t="str">
        <f t="shared" si="10"/>
        <v>North Carolina</v>
      </c>
      <c r="C363" s="27" t="str">
        <f t="shared" si="11"/>
        <v>Brunswick</v>
      </c>
      <c r="D363" s="27">
        <v>2</v>
      </c>
      <c r="E363" s="27" t="s">
        <v>1859</v>
      </c>
    </row>
    <row r="364" spans="1:5" x14ac:dyDescent="0.25">
      <c r="A364" s="27" t="s">
        <v>1147</v>
      </c>
      <c r="B364" s="27" t="str">
        <f t="shared" si="10"/>
        <v>North Carolina</v>
      </c>
      <c r="C364" s="27" t="str">
        <f t="shared" si="11"/>
        <v>Carteret</v>
      </c>
      <c r="D364" s="27">
        <v>1.9</v>
      </c>
      <c r="E364" s="27" t="s">
        <v>1859</v>
      </c>
    </row>
    <row r="365" spans="1:5" x14ac:dyDescent="0.25">
      <c r="A365" s="27" t="s">
        <v>1155</v>
      </c>
      <c r="B365" s="27" t="str">
        <f t="shared" si="10"/>
        <v>North Carolina</v>
      </c>
      <c r="C365" s="27" t="str">
        <f t="shared" si="11"/>
        <v>Columbus</v>
      </c>
      <c r="D365" s="27">
        <v>1.3</v>
      </c>
      <c r="E365" s="27" t="s">
        <v>1859</v>
      </c>
    </row>
    <row r="366" spans="1:5" x14ac:dyDescent="0.25">
      <c r="A366" s="27" t="s">
        <v>1156</v>
      </c>
      <c r="B366" s="27" t="str">
        <f t="shared" si="10"/>
        <v>North Carolina</v>
      </c>
      <c r="C366" s="27" t="str">
        <f t="shared" si="11"/>
        <v>Craven</v>
      </c>
      <c r="D366" s="27">
        <v>7.6</v>
      </c>
      <c r="E366" s="27" t="s">
        <v>1859</v>
      </c>
    </row>
    <row r="367" spans="1:5" x14ac:dyDescent="0.25">
      <c r="A367" s="27" t="s">
        <v>1157</v>
      </c>
      <c r="B367" s="27" t="str">
        <f t="shared" si="10"/>
        <v>North Carolina</v>
      </c>
      <c r="C367" s="27" t="str">
        <f t="shared" si="11"/>
        <v>Cumberland</v>
      </c>
      <c r="D367" s="27">
        <v>2</v>
      </c>
      <c r="E367" s="27" t="s">
        <v>1859</v>
      </c>
    </row>
    <row r="368" spans="1:5" x14ac:dyDescent="0.25">
      <c r="A368" s="27" t="s">
        <v>1158</v>
      </c>
      <c r="B368" s="27" t="str">
        <f t="shared" si="10"/>
        <v>North Carolina</v>
      </c>
      <c r="C368" s="27" t="str">
        <f t="shared" si="11"/>
        <v>Currituck</v>
      </c>
      <c r="D368" s="27">
        <v>1.4</v>
      </c>
      <c r="E368" s="27" t="s">
        <v>1859</v>
      </c>
    </row>
    <row r="369" spans="1:5" x14ac:dyDescent="0.25">
      <c r="A369" s="27" t="s">
        <v>1162</v>
      </c>
      <c r="B369" s="27" t="str">
        <f t="shared" si="10"/>
        <v>North Carolina</v>
      </c>
      <c r="C369" s="27" t="str">
        <f t="shared" si="11"/>
        <v>Duplin</v>
      </c>
      <c r="D369" s="27">
        <v>1.3</v>
      </c>
      <c r="E369" s="27" t="s">
        <v>1859</v>
      </c>
    </row>
    <row r="370" spans="1:5" x14ac:dyDescent="0.25">
      <c r="A370" s="27" t="s">
        <v>1168</v>
      </c>
      <c r="B370" s="27" t="str">
        <f t="shared" si="10"/>
        <v>North Carolina</v>
      </c>
      <c r="C370" s="27" t="str">
        <f t="shared" si="11"/>
        <v>Gates</v>
      </c>
      <c r="D370" s="27">
        <v>1.9</v>
      </c>
      <c r="E370" s="27" t="s">
        <v>1859</v>
      </c>
    </row>
    <row r="371" spans="1:5" x14ac:dyDescent="0.25">
      <c r="A371" s="27" t="s">
        <v>1171</v>
      </c>
      <c r="B371" s="27" t="str">
        <f t="shared" si="10"/>
        <v>North Carolina</v>
      </c>
      <c r="C371" s="27" t="str">
        <f t="shared" si="11"/>
        <v>Greene</v>
      </c>
      <c r="D371" s="27">
        <v>1.2</v>
      </c>
      <c r="E371" s="27" t="s">
        <v>1859</v>
      </c>
    </row>
    <row r="372" spans="1:5" x14ac:dyDescent="0.25">
      <c r="A372" s="27" t="s">
        <v>1173</v>
      </c>
      <c r="B372" s="27" t="str">
        <f t="shared" si="10"/>
        <v>North Carolina</v>
      </c>
      <c r="C372" s="27" t="str">
        <f t="shared" si="11"/>
        <v>Halifax</v>
      </c>
      <c r="D372" s="27">
        <v>1.2</v>
      </c>
      <c r="E372" s="27" t="s">
        <v>1859</v>
      </c>
    </row>
    <row r="373" spans="1:5" x14ac:dyDescent="0.25">
      <c r="A373" s="27" t="s">
        <v>1179</v>
      </c>
      <c r="B373" s="27" t="str">
        <f t="shared" si="10"/>
        <v>North Carolina</v>
      </c>
      <c r="C373" s="27" t="str">
        <f t="shared" si="11"/>
        <v>Hyde</v>
      </c>
      <c r="D373" s="27">
        <v>4.8</v>
      </c>
      <c r="E373" s="27" t="s">
        <v>1859</v>
      </c>
    </row>
    <row r="374" spans="1:5" x14ac:dyDescent="0.25">
      <c r="A374" s="27" t="s">
        <v>1183</v>
      </c>
      <c r="B374" s="27" t="str">
        <f t="shared" si="10"/>
        <v>North Carolina</v>
      </c>
      <c r="C374" s="27" t="str">
        <f t="shared" si="11"/>
        <v>Jones</v>
      </c>
      <c r="D374" s="27">
        <v>4.2</v>
      </c>
      <c r="E374" s="27" t="s">
        <v>1859</v>
      </c>
    </row>
    <row r="375" spans="1:5" x14ac:dyDescent="0.25">
      <c r="A375" s="27" t="s">
        <v>1185</v>
      </c>
      <c r="B375" s="27" t="str">
        <f t="shared" si="10"/>
        <v>North Carolina</v>
      </c>
      <c r="C375" s="27" t="str">
        <f t="shared" si="11"/>
        <v>Lenoir</v>
      </c>
      <c r="D375" s="27">
        <v>1.4</v>
      </c>
      <c r="E375" s="27" t="s">
        <v>1859</v>
      </c>
    </row>
    <row r="376" spans="1:5" x14ac:dyDescent="0.25">
      <c r="A376" s="27" t="s">
        <v>1190</v>
      </c>
      <c r="B376" s="27" t="str">
        <f t="shared" si="10"/>
        <v>North Carolina</v>
      </c>
      <c r="C376" s="27" t="str">
        <f t="shared" si="11"/>
        <v>Martin</v>
      </c>
      <c r="D376" s="27">
        <v>1.9</v>
      </c>
      <c r="E376" s="27" t="s">
        <v>1859</v>
      </c>
    </row>
    <row r="377" spans="1:5" x14ac:dyDescent="0.25">
      <c r="A377" s="27" t="s">
        <v>1196</v>
      </c>
      <c r="B377" s="27" t="str">
        <f t="shared" si="10"/>
        <v>North Carolina</v>
      </c>
      <c r="C377" s="27" t="str">
        <f t="shared" si="11"/>
        <v>New Hanover</v>
      </c>
      <c r="D377" s="27">
        <v>1.5</v>
      </c>
      <c r="E377" s="27" t="s">
        <v>1859</v>
      </c>
    </row>
    <row r="378" spans="1:5" x14ac:dyDescent="0.25">
      <c r="A378" s="27" t="s">
        <v>1197</v>
      </c>
      <c r="B378" s="27" t="str">
        <f t="shared" si="10"/>
        <v>North Carolina</v>
      </c>
      <c r="C378" s="27" t="str">
        <f t="shared" si="11"/>
        <v>Northampton</v>
      </c>
      <c r="D378" s="27">
        <v>4.3</v>
      </c>
      <c r="E378" s="27" t="s">
        <v>1859</v>
      </c>
    </row>
    <row r="379" spans="1:5" x14ac:dyDescent="0.25">
      <c r="A379" s="27" t="s">
        <v>1754</v>
      </c>
      <c r="B379" s="27" t="str">
        <f t="shared" si="10"/>
        <v>North Carolina</v>
      </c>
      <c r="C379" s="27" t="str">
        <f t="shared" si="11"/>
        <v>Onslow</v>
      </c>
      <c r="D379" s="27">
        <v>4.8</v>
      </c>
      <c r="E379" s="27" t="s">
        <v>1859</v>
      </c>
    </row>
    <row r="380" spans="1:5" x14ac:dyDescent="0.25">
      <c r="A380" s="27" t="s">
        <v>1199</v>
      </c>
      <c r="B380" s="27" t="str">
        <f t="shared" si="10"/>
        <v>North Carolina</v>
      </c>
      <c r="C380" s="27" t="str">
        <f t="shared" si="11"/>
        <v>Pamlico</v>
      </c>
      <c r="D380" s="27">
        <v>10</v>
      </c>
      <c r="E380" s="27" t="s">
        <v>1859</v>
      </c>
    </row>
    <row r="381" spans="1:5" x14ac:dyDescent="0.25">
      <c r="A381" s="27" t="s">
        <v>1200</v>
      </c>
      <c r="B381" s="27" t="str">
        <f t="shared" si="10"/>
        <v>North Carolina</v>
      </c>
      <c r="C381" s="27" t="str">
        <f t="shared" si="11"/>
        <v>Pasquotank</v>
      </c>
      <c r="D381" s="27">
        <v>1.1000000000000001</v>
      </c>
      <c r="E381" s="27" t="s">
        <v>1859</v>
      </c>
    </row>
    <row r="382" spans="1:5" x14ac:dyDescent="0.25">
      <c r="A382" s="27" t="s">
        <v>1202</v>
      </c>
      <c r="B382" s="27" t="str">
        <f t="shared" si="10"/>
        <v>North Carolina</v>
      </c>
      <c r="C382" s="27" t="str">
        <f t="shared" si="11"/>
        <v>Perquimans</v>
      </c>
      <c r="D382" s="27">
        <v>1.8</v>
      </c>
      <c r="E382" s="27" t="s">
        <v>1859</v>
      </c>
    </row>
    <row r="383" spans="1:5" x14ac:dyDescent="0.25">
      <c r="A383" s="27" t="s">
        <v>1204</v>
      </c>
      <c r="B383" s="27" t="str">
        <f t="shared" si="10"/>
        <v>North Carolina</v>
      </c>
      <c r="C383" s="27" t="str">
        <f t="shared" si="11"/>
        <v>Pitt</v>
      </c>
      <c r="D383" s="27">
        <v>1.3</v>
      </c>
      <c r="E383" s="27" t="s">
        <v>1859</v>
      </c>
    </row>
    <row r="384" spans="1:5" x14ac:dyDescent="0.25">
      <c r="A384" s="27" t="s">
        <v>1219</v>
      </c>
      <c r="B384" s="27" t="str">
        <f t="shared" si="10"/>
        <v>North Carolina</v>
      </c>
      <c r="C384" s="27" t="str">
        <f t="shared" si="11"/>
        <v>Union</v>
      </c>
      <c r="D384" s="27">
        <v>1.4</v>
      </c>
      <c r="E384" s="27" t="s">
        <v>1859</v>
      </c>
    </row>
    <row r="385" spans="1:5" x14ac:dyDescent="0.25">
      <c r="A385" s="27" t="s">
        <v>1223</v>
      </c>
      <c r="B385" s="27" t="str">
        <f t="shared" si="10"/>
        <v>North Carolina</v>
      </c>
      <c r="C385" s="27" t="str">
        <f t="shared" si="11"/>
        <v>Washington</v>
      </c>
      <c r="D385" s="27">
        <v>1.8</v>
      </c>
      <c r="E385" s="27" t="s">
        <v>1859</v>
      </c>
    </row>
    <row r="386" spans="1:5" x14ac:dyDescent="0.25">
      <c r="A386" s="27" t="s">
        <v>1224</v>
      </c>
      <c r="B386" s="27" t="str">
        <f t="shared" si="10"/>
        <v>North Carolina</v>
      </c>
      <c r="C386" s="27" t="str">
        <f t="shared" si="11"/>
        <v>Wayne</v>
      </c>
      <c r="D386" s="27">
        <v>1.6</v>
      </c>
      <c r="E386" s="27" t="s">
        <v>1859</v>
      </c>
    </row>
    <row r="387" spans="1:5" ht="15" customHeight="1" x14ac:dyDescent="0.25">
      <c r="A387" s="27" t="s">
        <v>1367</v>
      </c>
      <c r="B387" s="27" t="str">
        <f t="shared" ref="B387:B450" si="12">LEFT(A387,FIND(";",A387)-1)</f>
        <v/>
      </c>
      <c r="C387" s="27" t="str">
        <f t="shared" ref="C387:C450" si="13">MID(A387,FIND(";",A387)+1,100)</f>
        <v/>
      </c>
    </row>
    <row r="388" spans="1:5" x14ac:dyDescent="0.25">
      <c r="A388" s="27" t="s">
        <v>1919</v>
      </c>
      <c r="B388" s="27" t="str">
        <f t="shared" si="12"/>
        <v>Oklahoma</v>
      </c>
      <c r="C388" s="27" t="str">
        <f t="shared" si="13"/>
        <v>Adair</v>
      </c>
      <c r="D388" s="27">
        <v>2.2000000000000002</v>
      </c>
      <c r="E388" s="27" t="s">
        <v>1857</v>
      </c>
    </row>
    <row r="389" spans="1:5" x14ac:dyDescent="0.25">
      <c r="A389" s="27" t="s">
        <v>1920</v>
      </c>
      <c r="B389" s="27" t="str">
        <f t="shared" si="12"/>
        <v>Oklahoma</v>
      </c>
      <c r="C389" s="27" t="str">
        <f t="shared" si="13"/>
        <v>Bryan</v>
      </c>
      <c r="D389" s="27">
        <v>1.5</v>
      </c>
      <c r="E389" s="27" t="s">
        <v>1857</v>
      </c>
    </row>
    <row r="390" spans="1:5" x14ac:dyDescent="0.25">
      <c r="A390" s="27" t="s">
        <v>1921</v>
      </c>
      <c r="B390" s="27" t="str">
        <f t="shared" si="12"/>
        <v>Oklahoma</v>
      </c>
      <c r="C390" s="27" t="str">
        <f t="shared" si="13"/>
        <v>Cherokee</v>
      </c>
      <c r="D390" s="27">
        <v>1.5</v>
      </c>
      <c r="E390" s="27" t="s">
        <v>1857</v>
      </c>
    </row>
    <row r="391" spans="1:5" x14ac:dyDescent="0.25">
      <c r="A391" s="27" t="s">
        <v>1922</v>
      </c>
      <c r="B391" s="27" t="str">
        <f t="shared" si="12"/>
        <v>Oklahoma</v>
      </c>
      <c r="C391" s="27" t="str">
        <f t="shared" si="13"/>
        <v>Choctaw</v>
      </c>
      <c r="D391" s="27">
        <v>3.1</v>
      </c>
      <c r="E391" s="27" t="s">
        <v>1857</v>
      </c>
    </row>
    <row r="392" spans="1:5" x14ac:dyDescent="0.25">
      <c r="A392" s="27" t="s">
        <v>1923</v>
      </c>
      <c r="B392" s="27" t="str">
        <f t="shared" si="12"/>
        <v>Oklahoma</v>
      </c>
      <c r="C392" s="27" t="str">
        <f t="shared" si="13"/>
        <v>Creek</v>
      </c>
      <c r="D392" s="27">
        <v>1.9</v>
      </c>
      <c r="E392" s="27" t="s">
        <v>1857</v>
      </c>
    </row>
    <row r="393" spans="1:5" x14ac:dyDescent="0.25">
      <c r="A393" s="27" t="s">
        <v>1924</v>
      </c>
      <c r="B393" s="27" t="str">
        <f t="shared" si="12"/>
        <v>Oklahoma</v>
      </c>
      <c r="C393" s="27" t="str">
        <f t="shared" si="13"/>
        <v>Garvin</v>
      </c>
      <c r="D393" s="27">
        <v>1.2</v>
      </c>
      <c r="E393" s="27" t="s">
        <v>1857</v>
      </c>
    </row>
    <row r="394" spans="1:5" x14ac:dyDescent="0.25">
      <c r="A394" s="27" t="s">
        <v>1946</v>
      </c>
      <c r="B394" s="27" t="str">
        <f t="shared" si="12"/>
        <v>Oklahoma</v>
      </c>
      <c r="C394" s="27" t="str">
        <f t="shared" si="13"/>
        <v>Johnston</v>
      </c>
      <c r="D394" s="27">
        <v>2</v>
      </c>
      <c r="E394" s="27" t="s">
        <v>1857</v>
      </c>
    </row>
    <row r="395" spans="1:5" x14ac:dyDescent="0.25">
      <c r="A395" s="27" t="s">
        <v>1925</v>
      </c>
      <c r="B395" s="27" t="str">
        <f t="shared" si="12"/>
        <v>Oklahoma</v>
      </c>
      <c r="C395" s="27" t="str">
        <f t="shared" si="13"/>
        <v>Latimer</v>
      </c>
      <c r="D395" s="27">
        <v>1.4</v>
      </c>
      <c r="E395" s="27" t="s">
        <v>1857</v>
      </c>
    </row>
    <row r="396" spans="1:5" x14ac:dyDescent="0.25">
      <c r="A396" s="27" t="s">
        <v>1947</v>
      </c>
      <c r="B396" s="27" t="str">
        <f t="shared" si="12"/>
        <v>Oklahoma</v>
      </c>
      <c r="C396" s="27" t="str">
        <f t="shared" si="13"/>
        <v>Le Flore</v>
      </c>
      <c r="D396" s="27">
        <v>3.3</v>
      </c>
      <c r="E396" s="27" t="s">
        <v>1857</v>
      </c>
    </row>
    <row r="397" spans="1:5" x14ac:dyDescent="0.25">
      <c r="A397" s="27" t="s">
        <v>1926</v>
      </c>
      <c r="B397" s="27" t="str">
        <f t="shared" si="12"/>
        <v>Oklahoma</v>
      </c>
      <c r="C397" s="27" t="str">
        <f t="shared" si="13"/>
        <v>McCurtain</v>
      </c>
      <c r="D397" s="27">
        <v>6.6</v>
      </c>
      <c r="E397" s="27" t="s">
        <v>1857</v>
      </c>
    </row>
    <row r="398" spans="1:5" x14ac:dyDescent="0.25">
      <c r="A398" s="27" t="s">
        <v>1927</v>
      </c>
      <c r="B398" s="27" t="str">
        <f t="shared" si="12"/>
        <v>Oklahoma</v>
      </c>
      <c r="C398" s="27" t="str">
        <f t="shared" si="13"/>
        <v>McIntosh</v>
      </c>
      <c r="D398" s="27">
        <v>1.5</v>
      </c>
      <c r="E398" s="27" t="s">
        <v>1857</v>
      </c>
    </row>
    <row r="399" spans="1:5" x14ac:dyDescent="0.25">
      <c r="A399" s="27" t="s">
        <v>1928</v>
      </c>
      <c r="B399" s="27" t="str">
        <f t="shared" si="12"/>
        <v>Oklahoma</v>
      </c>
      <c r="C399" s="27" t="str">
        <f t="shared" si="13"/>
        <v>Muskogee</v>
      </c>
      <c r="D399" s="27">
        <v>1.8</v>
      </c>
      <c r="E399" s="27" t="s">
        <v>1857</v>
      </c>
    </row>
    <row r="400" spans="1:5" x14ac:dyDescent="0.25">
      <c r="A400" s="27" t="s">
        <v>1929</v>
      </c>
      <c r="B400" s="27" t="str">
        <f t="shared" si="12"/>
        <v>Oklahoma</v>
      </c>
      <c r="C400" s="27" t="str">
        <f t="shared" si="13"/>
        <v>Nowata</v>
      </c>
      <c r="D400" s="27">
        <v>3.1</v>
      </c>
      <c r="E400" s="27" t="s">
        <v>1857</v>
      </c>
    </row>
    <row r="401" spans="1:5" x14ac:dyDescent="0.25">
      <c r="A401" s="27" t="s">
        <v>1930</v>
      </c>
      <c r="B401" s="27" t="str">
        <f t="shared" si="12"/>
        <v>Oklahoma</v>
      </c>
      <c r="C401" s="27" t="str">
        <f t="shared" si="13"/>
        <v>Okfuskee</v>
      </c>
      <c r="D401" s="27">
        <v>1.2</v>
      </c>
      <c r="E401" s="27" t="s">
        <v>1857</v>
      </c>
    </row>
    <row r="402" spans="1:5" x14ac:dyDescent="0.25">
      <c r="A402" s="27" t="s">
        <v>1931</v>
      </c>
      <c r="B402" s="27" t="str">
        <f t="shared" si="12"/>
        <v>Oklahoma</v>
      </c>
      <c r="C402" s="27" t="str">
        <f t="shared" si="13"/>
        <v>Okmulgee</v>
      </c>
      <c r="D402" s="27">
        <v>2.2000000000000002</v>
      </c>
      <c r="E402" s="27" t="s">
        <v>1857</v>
      </c>
    </row>
    <row r="403" spans="1:5" x14ac:dyDescent="0.25">
      <c r="A403" s="27" t="s">
        <v>1932</v>
      </c>
      <c r="B403" s="27" t="str">
        <f t="shared" si="12"/>
        <v>Oklahoma</v>
      </c>
      <c r="C403" s="27" t="str">
        <f t="shared" si="13"/>
        <v>Pontotoc</v>
      </c>
      <c r="D403" s="27">
        <v>1.3</v>
      </c>
      <c r="E403" s="27" t="s">
        <v>1857</v>
      </c>
    </row>
    <row r="404" spans="1:5" x14ac:dyDescent="0.25">
      <c r="A404" s="27" t="s">
        <v>1933</v>
      </c>
      <c r="B404" s="27" t="str">
        <f t="shared" si="12"/>
        <v>Oklahoma</v>
      </c>
      <c r="C404" s="27" t="str">
        <f t="shared" si="13"/>
        <v>Pottawatomie</v>
      </c>
      <c r="D404" s="27">
        <v>1.3</v>
      </c>
      <c r="E404" s="27" t="s">
        <v>1857</v>
      </c>
    </row>
    <row r="405" spans="1:5" x14ac:dyDescent="0.25">
      <c r="A405" s="27" t="s">
        <v>1934</v>
      </c>
      <c r="B405" s="27" t="str">
        <f t="shared" si="12"/>
        <v>Oklahoma</v>
      </c>
      <c r="C405" s="27" t="str">
        <f t="shared" si="13"/>
        <v>Pushmataha</v>
      </c>
      <c r="D405" s="27">
        <v>7.4</v>
      </c>
      <c r="E405" s="27" t="s">
        <v>1857</v>
      </c>
    </row>
    <row r="406" spans="1:5" x14ac:dyDescent="0.25">
      <c r="A406" s="27" t="s">
        <v>1935</v>
      </c>
      <c r="B406" s="27" t="str">
        <f t="shared" si="12"/>
        <v>Oklahoma</v>
      </c>
      <c r="C406" s="27" t="str">
        <f t="shared" si="13"/>
        <v>Rogers</v>
      </c>
      <c r="D406" s="27">
        <v>1.7</v>
      </c>
      <c r="E406" s="27" t="s">
        <v>1857</v>
      </c>
    </row>
    <row r="407" spans="1:5" x14ac:dyDescent="0.25">
      <c r="A407" s="27" t="s">
        <v>1936</v>
      </c>
      <c r="B407" s="27" t="str">
        <f t="shared" si="12"/>
        <v>Oklahoma</v>
      </c>
      <c r="C407" s="27" t="str">
        <f t="shared" si="13"/>
        <v>Sequoyah</v>
      </c>
      <c r="D407" s="27">
        <v>1.1000000000000001</v>
      </c>
      <c r="E407" s="27" t="s">
        <v>1857</v>
      </c>
    </row>
    <row r="408" spans="1:5" ht="15" customHeight="1" x14ac:dyDescent="0.25">
      <c r="A408" s="27" t="s">
        <v>1367</v>
      </c>
      <c r="B408" s="27" t="str">
        <f t="shared" si="12"/>
        <v/>
      </c>
      <c r="C408" s="27" t="str">
        <f t="shared" si="13"/>
        <v/>
      </c>
    </row>
    <row r="409" spans="1:5" x14ac:dyDescent="0.25">
      <c r="A409" s="27" t="s">
        <v>1230</v>
      </c>
      <c r="B409" s="27" t="str">
        <f t="shared" si="12"/>
        <v>South Carolina</v>
      </c>
      <c r="C409" s="27" t="str">
        <f t="shared" si="13"/>
        <v>Aiken</v>
      </c>
      <c r="D409" s="27">
        <v>1.3</v>
      </c>
      <c r="E409" s="27" t="s">
        <v>1859</v>
      </c>
    </row>
    <row r="410" spans="1:5" x14ac:dyDescent="0.25">
      <c r="A410" s="27" t="s">
        <v>1231</v>
      </c>
      <c r="B410" s="27" t="str">
        <f t="shared" si="12"/>
        <v>South Carolina</v>
      </c>
      <c r="C410" s="27" t="str">
        <f t="shared" si="13"/>
        <v>Allendale</v>
      </c>
      <c r="D410" s="27">
        <v>5</v>
      </c>
      <c r="E410" s="27" t="s">
        <v>1859</v>
      </c>
    </row>
    <row r="411" spans="1:5" x14ac:dyDescent="0.25">
      <c r="A411" s="27" t="s">
        <v>1233</v>
      </c>
      <c r="B411" s="27" t="str">
        <f t="shared" si="12"/>
        <v>South Carolina</v>
      </c>
      <c r="C411" s="27" t="str">
        <f t="shared" si="13"/>
        <v>Bamberg</v>
      </c>
      <c r="D411" s="27">
        <v>5.5</v>
      </c>
      <c r="E411" s="27" t="s">
        <v>1859</v>
      </c>
    </row>
    <row r="412" spans="1:5" x14ac:dyDescent="0.25">
      <c r="A412" s="27" t="s">
        <v>1234</v>
      </c>
      <c r="B412" s="27" t="str">
        <f t="shared" si="12"/>
        <v>South Carolina</v>
      </c>
      <c r="C412" s="27" t="str">
        <f t="shared" si="13"/>
        <v>Barnwell</v>
      </c>
      <c r="D412" s="27">
        <v>1.3</v>
      </c>
      <c r="E412" s="27" t="s">
        <v>1859</v>
      </c>
    </row>
    <row r="413" spans="1:5" x14ac:dyDescent="0.25">
      <c r="A413" s="27" t="s">
        <v>1235</v>
      </c>
      <c r="B413" s="27" t="str">
        <f t="shared" si="12"/>
        <v>South Carolina</v>
      </c>
      <c r="C413" s="27" t="str">
        <f t="shared" si="13"/>
        <v>Beaufort</v>
      </c>
      <c r="D413" s="27">
        <v>5</v>
      </c>
      <c r="E413" s="27" t="s">
        <v>1859</v>
      </c>
    </row>
    <row r="414" spans="1:5" x14ac:dyDescent="0.25">
      <c r="A414" s="27" t="s">
        <v>1236</v>
      </c>
      <c r="B414" s="27" t="str">
        <f t="shared" si="12"/>
        <v>South Carolina</v>
      </c>
      <c r="C414" s="27" t="str">
        <f t="shared" si="13"/>
        <v>Berkeley</v>
      </c>
      <c r="D414" s="27">
        <v>4</v>
      </c>
      <c r="E414" s="27" t="s">
        <v>1859</v>
      </c>
    </row>
    <row r="415" spans="1:5" x14ac:dyDescent="0.25">
      <c r="A415" s="27" t="s">
        <v>1237</v>
      </c>
      <c r="B415" s="27" t="str">
        <f t="shared" si="12"/>
        <v>South Carolina</v>
      </c>
      <c r="C415" s="27" t="str">
        <f t="shared" si="13"/>
        <v>Calhoun</v>
      </c>
      <c r="D415" s="27">
        <v>3.8</v>
      </c>
      <c r="E415" s="27" t="s">
        <v>1859</v>
      </c>
    </row>
    <row r="416" spans="1:5" x14ac:dyDescent="0.25">
      <c r="A416" s="27" t="s">
        <v>1238</v>
      </c>
      <c r="B416" s="27" t="str">
        <f t="shared" si="12"/>
        <v>South Carolina</v>
      </c>
      <c r="C416" s="27" t="str">
        <f t="shared" si="13"/>
        <v>Charleston</v>
      </c>
      <c r="D416" s="27">
        <v>3.2</v>
      </c>
      <c r="E416" s="27" t="s">
        <v>1859</v>
      </c>
    </row>
    <row r="417" spans="1:5" x14ac:dyDescent="0.25">
      <c r="A417" s="27" t="s">
        <v>1241</v>
      </c>
      <c r="B417" s="27" t="str">
        <f t="shared" si="12"/>
        <v>South Carolina</v>
      </c>
      <c r="C417" s="27" t="str">
        <f t="shared" si="13"/>
        <v>Clarendon</v>
      </c>
      <c r="D417" s="27">
        <v>1.1000000000000001</v>
      </c>
      <c r="E417" s="27" t="s">
        <v>1859</v>
      </c>
    </row>
    <row r="418" spans="1:5" x14ac:dyDescent="0.25">
      <c r="A418" s="27" t="s">
        <v>1242</v>
      </c>
      <c r="B418" s="27" t="str">
        <f t="shared" si="12"/>
        <v>South Carolina</v>
      </c>
      <c r="C418" s="27" t="str">
        <f t="shared" si="13"/>
        <v>Colleton</v>
      </c>
      <c r="D418" s="27">
        <v>3.7</v>
      </c>
      <c r="E418" s="27" t="s">
        <v>1859</v>
      </c>
    </row>
    <row r="419" spans="1:5" x14ac:dyDescent="0.25">
      <c r="A419" s="27" t="s">
        <v>1245</v>
      </c>
      <c r="B419" s="27" t="str">
        <f t="shared" si="12"/>
        <v>South Carolina</v>
      </c>
      <c r="C419" s="27" t="str">
        <f t="shared" si="13"/>
        <v>Dorchester</v>
      </c>
      <c r="D419" s="27">
        <v>2.6</v>
      </c>
      <c r="E419" s="27" t="s">
        <v>1859</v>
      </c>
    </row>
    <row r="420" spans="1:5" x14ac:dyDescent="0.25">
      <c r="A420" s="27" t="s">
        <v>1246</v>
      </c>
      <c r="B420" s="27" t="str">
        <f t="shared" si="12"/>
        <v>South Carolina</v>
      </c>
      <c r="C420" s="27" t="str">
        <f t="shared" si="13"/>
        <v>Edgefield</v>
      </c>
      <c r="D420" s="27">
        <v>1.3</v>
      </c>
      <c r="E420" s="27" t="s">
        <v>1859</v>
      </c>
    </row>
    <row r="421" spans="1:5" x14ac:dyDescent="0.25">
      <c r="A421" s="27" t="s">
        <v>1248</v>
      </c>
      <c r="B421" s="27" t="str">
        <f t="shared" si="12"/>
        <v>South Carolina</v>
      </c>
      <c r="C421" s="27" t="str">
        <f t="shared" si="13"/>
        <v>Florence</v>
      </c>
      <c r="D421" s="27">
        <v>2</v>
      </c>
      <c r="E421" s="27" t="s">
        <v>1859</v>
      </c>
    </row>
    <row r="422" spans="1:5" x14ac:dyDescent="0.25">
      <c r="A422" s="27" t="s">
        <v>1249</v>
      </c>
      <c r="B422" s="27" t="str">
        <f t="shared" si="12"/>
        <v>South Carolina</v>
      </c>
      <c r="C422" s="27" t="str">
        <f t="shared" si="13"/>
        <v>Georgetown</v>
      </c>
      <c r="D422" s="27">
        <v>6.5</v>
      </c>
      <c r="E422" s="27" t="s">
        <v>1859</v>
      </c>
    </row>
    <row r="423" spans="1:5" x14ac:dyDescent="0.25">
      <c r="A423" s="27" t="s">
        <v>1251</v>
      </c>
      <c r="B423" s="27" t="str">
        <f t="shared" si="12"/>
        <v>South Carolina</v>
      </c>
      <c r="C423" s="27" t="str">
        <f t="shared" si="13"/>
        <v>Hampton</v>
      </c>
      <c r="D423" s="27">
        <v>7.7</v>
      </c>
      <c r="E423" s="27" t="s">
        <v>1859</v>
      </c>
    </row>
    <row r="424" spans="1:5" x14ac:dyDescent="0.25">
      <c r="A424" s="27" t="s">
        <v>1252</v>
      </c>
      <c r="B424" s="27" t="str">
        <f t="shared" si="12"/>
        <v>South Carolina</v>
      </c>
      <c r="C424" s="27" t="str">
        <f t="shared" si="13"/>
        <v>Horry</v>
      </c>
      <c r="D424" s="27">
        <v>1.2</v>
      </c>
      <c r="E424" s="27" t="s">
        <v>1859</v>
      </c>
    </row>
    <row r="425" spans="1:5" x14ac:dyDescent="0.25">
      <c r="A425" s="27" t="s">
        <v>1253</v>
      </c>
      <c r="B425" s="27" t="str">
        <f t="shared" si="12"/>
        <v>South Carolina</v>
      </c>
      <c r="C425" s="27" t="str">
        <f t="shared" si="13"/>
        <v>Jasper</v>
      </c>
      <c r="D425" s="27">
        <v>5.0999999999999996</v>
      </c>
      <c r="E425" s="27" t="s">
        <v>1859</v>
      </c>
    </row>
    <row r="426" spans="1:5" x14ac:dyDescent="0.25">
      <c r="A426" s="27" t="s">
        <v>1254</v>
      </c>
      <c r="B426" s="27" t="str">
        <f t="shared" si="12"/>
        <v>South Carolina</v>
      </c>
      <c r="C426" s="27" t="str">
        <f t="shared" si="13"/>
        <v>Kershaw</v>
      </c>
      <c r="D426" s="27">
        <v>2</v>
      </c>
      <c r="E426" s="27" t="s">
        <v>1859</v>
      </c>
    </row>
    <row r="427" spans="1:5" x14ac:dyDescent="0.25">
      <c r="A427" s="27" t="s">
        <v>1255</v>
      </c>
      <c r="B427" s="27" t="str">
        <f t="shared" si="12"/>
        <v>South Carolina</v>
      </c>
      <c r="C427" s="27" t="str">
        <f t="shared" si="13"/>
        <v>Lancaster</v>
      </c>
      <c r="D427" s="27">
        <v>1.7</v>
      </c>
      <c r="E427" s="27" t="s">
        <v>1859</v>
      </c>
    </row>
    <row r="428" spans="1:5" x14ac:dyDescent="0.25">
      <c r="A428" s="27" t="s">
        <v>1260</v>
      </c>
      <c r="B428" s="27" t="str">
        <f t="shared" si="12"/>
        <v>South Carolina</v>
      </c>
      <c r="C428" s="27" t="str">
        <f t="shared" si="13"/>
        <v>Marion</v>
      </c>
      <c r="D428" s="27">
        <v>1.3</v>
      </c>
      <c r="E428" s="27" t="s">
        <v>1859</v>
      </c>
    </row>
    <row r="429" spans="1:5" x14ac:dyDescent="0.25">
      <c r="A429" s="27" t="s">
        <v>1261</v>
      </c>
      <c r="B429" s="27" t="str">
        <f t="shared" si="12"/>
        <v>South Carolina</v>
      </c>
      <c r="C429" s="27" t="str">
        <f t="shared" si="13"/>
        <v>Marlboro</v>
      </c>
      <c r="D429" s="27">
        <v>2.4</v>
      </c>
      <c r="E429" s="27" t="s">
        <v>1859</v>
      </c>
    </row>
    <row r="430" spans="1:5" x14ac:dyDescent="0.25">
      <c r="A430" s="27" t="s">
        <v>1262</v>
      </c>
      <c r="B430" s="27" t="str">
        <f t="shared" si="12"/>
        <v>South Carolina</v>
      </c>
      <c r="C430" s="27" t="str">
        <f t="shared" si="13"/>
        <v>Newberry</v>
      </c>
      <c r="D430" s="27">
        <v>1.1000000000000001</v>
      </c>
      <c r="E430" s="27" t="s">
        <v>1859</v>
      </c>
    </row>
    <row r="431" spans="1:5" x14ac:dyDescent="0.25">
      <c r="A431" s="27" t="s">
        <v>1264</v>
      </c>
      <c r="B431" s="27" t="str">
        <f t="shared" si="12"/>
        <v>South Carolina</v>
      </c>
      <c r="C431" s="27" t="str">
        <f t="shared" si="13"/>
        <v>Orangeburg</v>
      </c>
      <c r="D431" s="27">
        <v>3.2</v>
      </c>
      <c r="E431" s="27" t="s">
        <v>1859</v>
      </c>
    </row>
    <row r="432" spans="1:5" x14ac:dyDescent="0.25">
      <c r="A432" s="27" t="s">
        <v>1266</v>
      </c>
      <c r="B432" s="27" t="str">
        <f t="shared" si="12"/>
        <v>South Carolina</v>
      </c>
      <c r="C432" s="27" t="str">
        <f t="shared" si="13"/>
        <v>Richland</v>
      </c>
      <c r="D432" s="27">
        <v>1.5</v>
      </c>
      <c r="E432" s="27" t="s">
        <v>1859</v>
      </c>
    </row>
    <row r="433" spans="1:5" x14ac:dyDescent="0.25">
      <c r="A433" s="27" t="s">
        <v>1269</v>
      </c>
      <c r="B433" s="27" t="str">
        <f t="shared" si="12"/>
        <v>South Carolina</v>
      </c>
      <c r="C433" s="27" t="str">
        <f t="shared" si="13"/>
        <v>Sumter</v>
      </c>
      <c r="D433" s="27">
        <v>1.6</v>
      </c>
      <c r="E433" s="27" t="s">
        <v>1859</v>
      </c>
    </row>
    <row r="434" spans="1:5" x14ac:dyDescent="0.25">
      <c r="A434" s="27" t="s">
        <v>1271</v>
      </c>
      <c r="B434" s="27" t="str">
        <f t="shared" si="12"/>
        <v>South Carolina</v>
      </c>
      <c r="C434" s="27" t="str">
        <f t="shared" si="13"/>
        <v>Williamsburg</v>
      </c>
      <c r="D434" s="27">
        <v>2.1</v>
      </c>
      <c r="E434" s="27" t="s">
        <v>1859</v>
      </c>
    </row>
    <row r="435" spans="1:5" ht="15" customHeight="1" x14ac:dyDescent="0.25">
      <c r="A435" s="27" t="s">
        <v>1367</v>
      </c>
      <c r="B435" s="27" t="str">
        <f t="shared" si="12"/>
        <v/>
      </c>
      <c r="C435" s="27" t="str">
        <f t="shared" si="13"/>
        <v/>
      </c>
    </row>
    <row r="436" spans="1:5" x14ac:dyDescent="0.25">
      <c r="A436" s="27" t="s">
        <v>1277</v>
      </c>
      <c r="B436" s="27" t="str">
        <f t="shared" si="12"/>
        <v>Tennessee</v>
      </c>
      <c r="C436" s="27" t="str">
        <f t="shared" si="13"/>
        <v>Benton</v>
      </c>
      <c r="D436" s="27">
        <v>2.5</v>
      </c>
      <c r="E436" s="27" t="s">
        <v>1859</v>
      </c>
    </row>
    <row r="437" spans="1:5" x14ac:dyDescent="0.25">
      <c r="A437" s="27" t="s">
        <v>1282</v>
      </c>
      <c r="B437" s="27" t="str">
        <f t="shared" si="12"/>
        <v>Tennessee</v>
      </c>
      <c r="C437" s="27" t="str">
        <f t="shared" si="13"/>
        <v>Carroll</v>
      </c>
      <c r="D437" s="27">
        <v>1.6</v>
      </c>
      <c r="E437" s="27" t="s">
        <v>1859</v>
      </c>
    </row>
    <row r="438" spans="1:5" x14ac:dyDescent="0.25">
      <c r="A438" s="27" t="s">
        <v>1285</v>
      </c>
      <c r="B438" s="27" t="str">
        <f t="shared" si="12"/>
        <v>Tennessee</v>
      </c>
      <c r="C438" s="27" t="str">
        <f t="shared" si="13"/>
        <v>Chester</v>
      </c>
      <c r="D438" s="27">
        <v>3</v>
      </c>
      <c r="E438" s="27" t="s">
        <v>1859</v>
      </c>
    </row>
    <row r="439" spans="1:5" x14ac:dyDescent="0.25">
      <c r="A439" s="27" t="s">
        <v>1290</v>
      </c>
      <c r="B439" s="27" t="str">
        <f t="shared" si="12"/>
        <v>Tennessee</v>
      </c>
      <c r="C439" s="27" t="str">
        <f t="shared" si="13"/>
        <v>Crockett</v>
      </c>
      <c r="D439" s="27">
        <v>1.7</v>
      </c>
      <c r="E439" s="27" t="s">
        <v>1859</v>
      </c>
    </row>
    <row r="440" spans="1:5" x14ac:dyDescent="0.25">
      <c r="A440" s="27" t="s">
        <v>1293</v>
      </c>
      <c r="B440" s="27" t="str">
        <f t="shared" si="12"/>
        <v>Tennessee</v>
      </c>
      <c r="C440" s="27" t="str">
        <f t="shared" si="13"/>
        <v>Decatur</v>
      </c>
      <c r="D440" s="27">
        <v>2</v>
      </c>
      <c r="E440" s="27" t="s">
        <v>1859</v>
      </c>
    </row>
    <row r="441" spans="1:5" x14ac:dyDescent="0.25">
      <c r="A441" s="27" t="s">
        <v>1937</v>
      </c>
      <c r="B441" s="27" t="str">
        <f t="shared" si="12"/>
        <v>Tennessee</v>
      </c>
      <c r="C441" s="27" t="str">
        <f t="shared" si="13"/>
        <v>Dekalb</v>
      </c>
      <c r="D441" s="27">
        <v>2</v>
      </c>
      <c r="E441" s="27" t="s">
        <v>1859</v>
      </c>
    </row>
    <row r="442" spans="1:5" x14ac:dyDescent="0.25">
      <c r="A442" s="27" t="s">
        <v>1295</v>
      </c>
      <c r="B442" s="27" t="str">
        <f t="shared" si="12"/>
        <v>Tennessee</v>
      </c>
      <c r="C442" s="27" t="str">
        <f t="shared" si="13"/>
        <v>Dyer</v>
      </c>
      <c r="D442" s="27">
        <v>2.2999999999999998</v>
      </c>
      <c r="E442" s="27" t="s">
        <v>1859</v>
      </c>
    </row>
    <row r="443" spans="1:5" x14ac:dyDescent="0.25">
      <c r="A443" s="27" t="s">
        <v>1296</v>
      </c>
      <c r="B443" s="27" t="str">
        <f t="shared" si="12"/>
        <v>Tennessee</v>
      </c>
      <c r="C443" s="27" t="str">
        <f t="shared" si="13"/>
        <v>Fayette</v>
      </c>
      <c r="D443" s="27">
        <v>2.5</v>
      </c>
      <c r="E443" s="27" t="s">
        <v>1859</v>
      </c>
    </row>
    <row r="444" spans="1:5" x14ac:dyDescent="0.25">
      <c r="A444" s="27" t="s">
        <v>1298</v>
      </c>
      <c r="B444" s="27" t="str">
        <f t="shared" si="12"/>
        <v>Tennessee</v>
      </c>
      <c r="C444" s="27" t="str">
        <f t="shared" si="13"/>
        <v>Franklin</v>
      </c>
      <c r="D444" s="27">
        <v>1.5</v>
      </c>
      <c r="E444" s="27" t="s">
        <v>1859</v>
      </c>
    </row>
    <row r="445" spans="1:5" x14ac:dyDescent="0.25">
      <c r="A445" s="27" t="s">
        <v>1299</v>
      </c>
      <c r="B445" s="27" t="str">
        <f t="shared" si="12"/>
        <v>Tennessee</v>
      </c>
      <c r="C445" s="27" t="str">
        <f t="shared" si="13"/>
        <v>Gibson</v>
      </c>
      <c r="D445" s="27">
        <v>2.8</v>
      </c>
      <c r="E445" s="27" t="s">
        <v>1859</v>
      </c>
    </row>
    <row r="446" spans="1:5" x14ac:dyDescent="0.25">
      <c r="A446" s="27" t="s">
        <v>1306</v>
      </c>
      <c r="B446" s="27" t="str">
        <f t="shared" si="12"/>
        <v>Tennessee</v>
      </c>
      <c r="C446" s="27" t="str">
        <f t="shared" si="13"/>
        <v>Hardeman</v>
      </c>
      <c r="D446" s="27">
        <v>2.2999999999999998</v>
      </c>
      <c r="E446" s="27" t="s">
        <v>1859</v>
      </c>
    </row>
    <row r="447" spans="1:5" x14ac:dyDescent="0.25">
      <c r="A447" s="27" t="s">
        <v>1307</v>
      </c>
      <c r="B447" s="27" t="str">
        <f t="shared" si="12"/>
        <v>Tennessee</v>
      </c>
      <c r="C447" s="27" t="str">
        <f t="shared" si="13"/>
        <v>Hardin</v>
      </c>
      <c r="D447" s="27">
        <v>2.2999999999999998</v>
      </c>
      <c r="E447" s="27" t="s">
        <v>1859</v>
      </c>
    </row>
    <row r="448" spans="1:5" x14ac:dyDescent="0.25">
      <c r="A448" s="27" t="s">
        <v>1309</v>
      </c>
      <c r="B448" s="27" t="str">
        <f t="shared" si="12"/>
        <v>Tennessee</v>
      </c>
      <c r="C448" s="27" t="str">
        <f t="shared" si="13"/>
        <v>Haywood</v>
      </c>
      <c r="D448" s="27">
        <v>2</v>
      </c>
      <c r="E448" s="27" t="s">
        <v>1859</v>
      </c>
    </row>
    <row r="449" spans="1:5" x14ac:dyDescent="0.25">
      <c r="A449" s="27" t="s">
        <v>1310</v>
      </c>
      <c r="B449" s="27" t="str">
        <f t="shared" si="12"/>
        <v>Tennessee</v>
      </c>
      <c r="C449" s="27" t="str">
        <f t="shared" si="13"/>
        <v>Henderson</v>
      </c>
      <c r="D449" s="27">
        <v>1.1000000000000001</v>
      </c>
      <c r="E449" s="27" t="s">
        <v>1859</v>
      </c>
    </row>
    <row r="450" spans="1:5" x14ac:dyDescent="0.25">
      <c r="A450" s="27" t="s">
        <v>1311</v>
      </c>
      <c r="B450" s="27" t="str">
        <f t="shared" si="12"/>
        <v>Tennessee</v>
      </c>
      <c r="C450" s="27" t="str">
        <f t="shared" si="13"/>
        <v>Henry</v>
      </c>
      <c r="D450" s="27">
        <v>1.1000000000000001</v>
      </c>
      <c r="E450" s="27" t="s">
        <v>1859</v>
      </c>
    </row>
    <row r="451" spans="1:5" x14ac:dyDescent="0.25">
      <c r="A451" s="27" t="s">
        <v>1314</v>
      </c>
      <c r="B451" s="27" t="str">
        <f t="shared" ref="B451:B514" si="14">LEFT(A451,FIND(";",A451)-1)</f>
        <v>Tennessee</v>
      </c>
      <c r="C451" s="27" t="str">
        <f t="shared" ref="C451:C514" si="15">MID(A451,FIND(";",A451)+1,100)</f>
        <v>Humphreys</v>
      </c>
      <c r="D451" s="27">
        <v>1.5</v>
      </c>
      <c r="E451" s="27" t="s">
        <v>1859</v>
      </c>
    </row>
    <row r="452" spans="1:5" x14ac:dyDescent="0.25">
      <c r="A452" s="27" t="s">
        <v>1320</v>
      </c>
      <c r="B452" s="27" t="str">
        <f t="shared" si="14"/>
        <v>Tennessee</v>
      </c>
      <c r="C452" s="27" t="str">
        <f t="shared" si="15"/>
        <v>Lake</v>
      </c>
      <c r="D452" s="27">
        <v>2.2000000000000002</v>
      </c>
      <c r="E452" s="27" t="s">
        <v>1859</v>
      </c>
    </row>
    <row r="453" spans="1:5" x14ac:dyDescent="0.25">
      <c r="A453" s="27" t="s">
        <v>1321</v>
      </c>
      <c r="B453" s="27" t="str">
        <f t="shared" si="14"/>
        <v>Tennessee</v>
      </c>
      <c r="C453" s="27" t="str">
        <f t="shared" si="15"/>
        <v>Lauderdale</v>
      </c>
      <c r="D453" s="27">
        <v>7.9</v>
      </c>
      <c r="E453" s="27" t="s">
        <v>1859</v>
      </c>
    </row>
    <row r="454" spans="1:5" x14ac:dyDescent="0.25">
      <c r="A454" s="27" t="s">
        <v>1327</v>
      </c>
      <c r="B454" s="27" t="str">
        <f t="shared" si="14"/>
        <v>Tennessee</v>
      </c>
      <c r="C454" s="27" t="str">
        <f t="shared" si="15"/>
        <v>McNairy</v>
      </c>
      <c r="D454" s="27">
        <v>2.7</v>
      </c>
      <c r="E454" s="27" t="s">
        <v>1859</v>
      </c>
    </row>
    <row r="455" spans="1:5" x14ac:dyDescent="0.25">
      <c r="A455" s="27" t="s">
        <v>1329</v>
      </c>
      <c r="B455" s="27" t="str">
        <f t="shared" si="14"/>
        <v>Tennessee</v>
      </c>
      <c r="C455" s="27" t="str">
        <f t="shared" si="15"/>
        <v>Madison</v>
      </c>
      <c r="D455" s="27">
        <v>1.4</v>
      </c>
      <c r="E455" s="27" t="s">
        <v>1859</v>
      </c>
    </row>
    <row r="456" spans="1:5" x14ac:dyDescent="0.25">
      <c r="A456" s="27" t="s">
        <v>1331</v>
      </c>
      <c r="B456" s="27" t="str">
        <f t="shared" si="14"/>
        <v>Tennessee</v>
      </c>
      <c r="C456" s="27" t="str">
        <f t="shared" si="15"/>
        <v>Marshall</v>
      </c>
      <c r="D456" s="27">
        <v>1.7</v>
      </c>
      <c r="E456" s="27" t="s">
        <v>1859</v>
      </c>
    </row>
    <row r="457" spans="1:5" x14ac:dyDescent="0.25">
      <c r="A457" s="27" t="s">
        <v>1336</v>
      </c>
      <c r="B457" s="27" t="str">
        <f t="shared" si="14"/>
        <v>Tennessee</v>
      </c>
      <c r="C457" s="27" t="str">
        <f t="shared" si="15"/>
        <v>Moore</v>
      </c>
      <c r="D457" s="27">
        <v>2.2000000000000002</v>
      </c>
      <c r="E457" s="27" t="s">
        <v>1859</v>
      </c>
    </row>
    <row r="458" spans="1:5" x14ac:dyDescent="0.25">
      <c r="A458" s="27" t="s">
        <v>1338</v>
      </c>
      <c r="B458" s="27" t="str">
        <f t="shared" si="14"/>
        <v>Tennessee</v>
      </c>
      <c r="C458" s="27" t="str">
        <f t="shared" si="15"/>
        <v>Obion</v>
      </c>
      <c r="D458" s="27">
        <v>4.5999999999999996</v>
      </c>
      <c r="E458" s="27" t="s">
        <v>1859</v>
      </c>
    </row>
    <row r="459" spans="1:5" x14ac:dyDescent="0.25">
      <c r="A459" s="27" t="s">
        <v>1340</v>
      </c>
      <c r="B459" s="27" t="str">
        <f t="shared" si="14"/>
        <v>Tennessee</v>
      </c>
      <c r="C459" s="27" t="str">
        <f t="shared" si="15"/>
        <v>Perry</v>
      </c>
      <c r="D459" s="27">
        <v>1.3</v>
      </c>
      <c r="E459" s="27" t="s">
        <v>1859</v>
      </c>
    </row>
    <row r="460" spans="1:5" x14ac:dyDescent="0.25">
      <c r="A460" s="27" t="s">
        <v>1350</v>
      </c>
      <c r="B460" s="27" t="str">
        <f t="shared" si="14"/>
        <v>Tennessee</v>
      </c>
      <c r="C460" s="27" t="str">
        <f t="shared" si="15"/>
        <v>Shelby</v>
      </c>
      <c r="D460" s="27">
        <v>1.2</v>
      </c>
      <c r="E460" s="27" t="s">
        <v>1859</v>
      </c>
    </row>
    <row r="461" spans="1:5" x14ac:dyDescent="0.25">
      <c r="A461" s="27" t="s">
        <v>1355</v>
      </c>
      <c r="B461" s="27" t="str">
        <f t="shared" si="14"/>
        <v>Tennessee</v>
      </c>
      <c r="C461" s="27" t="str">
        <f t="shared" si="15"/>
        <v>Tipton</v>
      </c>
      <c r="D461" s="27">
        <v>6.3</v>
      </c>
      <c r="E461" s="27" t="s">
        <v>1859</v>
      </c>
    </row>
    <row r="462" spans="1:5" x14ac:dyDescent="0.25">
      <c r="A462" s="27" t="s">
        <v>1363</v>
      </c>
      <c r="B462" s="27" t="str">
        <f t="shared" si="14"/>
        <v>Tennessee</v>
      </c>
      <c r="C462" s="27" t="str">
        <f t="shared" si="15"/>
        <v>Weakley</v>
      </c>
      <c r="D462" s="27">
        <v>1.9</v>
      </c>
      <c r="E462" s="27" t="s">
        <v>1859</v>
      </c>
    </row>
    <row r="463" spans="1:5" ht="15" customHeight="1" x14ac:dyDescent="0.25">
      <c r="A463" s="27" t="s">
        <v>1367</v>
      </c>
      <c r="B463" s="27" t="str">
        <f t="shared" si="14"/>
        <v/>
      </c>
      <c r="C463" s="27" t="str">
        <f t="shared" si="15"/>
        <v/>
      </c>
    </row>
    <row r="464" spans="1:5" x14ac:dyDescent="0.25">
      <c r="A464" s="27" t="s">
        <v>1368</v>
      </c>
      <c r="B464" s="27" t="str">
        <f t="shared" si="14"/>
        <v>Texas</v>
      </c>
      <c r="C464" s="27" t="str">
        <f t="shared" si="15"/>
        <v>Anderson</v>
      </c>
      <c r="D464" s="27">
        <v>1.5</v>
      </c>
      <c r="E464" s="27" t="s">
        <v>1859</v>
      </c>
    </row>
    <row r="465" spans="1:5" x14ac:dyDescent="0.25">
      <c r="A465" s="27" t="s">
        <v>1375</v>
      </c>
      <c r="B465" s="27" t="str">
        <f t="shared" si="14"/>
        <v>Texas</v>
      </c>
      <c r="C465" s="27" t="str">
        <f t="shared" si="15"/>
        <v>Austin</v>
      </c>
      <c r="D465" s="27">
        <v>1.1000000000000001</v>
      </c>
      <c r="E465" s="27" t="s">
        <v>1859</v>
      </c>
    </row>
    <row r="466" spans="1:5" x14ac:dyDescent="0.25">
      <c r="A466" s="27" t="s">
        <v>1378</v>
      </c>
      <c r="B466" s="27" t="str">
        <f t="shared" si="14"/>
        <v>Texas</v>
      </c>
      <c r="C466" s="27" t="str">
        <f t="shared" si="15"/>
        <v>Bastrop</v>
      </c>
      <c r="D466" s="27">
        <v>1.1000000000000001</v>
      </c>
      <c r="E466" s="27" t="s">
        <v>1859</v>
      </c>
    </row>
    <row r="467" spans="1:5" x14ac:dyDescent="0.25">
      <c r="A467" s="27" t="s">
        <v>1381</v>
      </c>
      <c r="B467" s="27" t="str">
        <f t="shared" si="14"/>
        <v>Texas</v>
      </c>
      <c r="C467" s="27" t="str">
        <f t="shared" si="15"/>
        <v>Bell</v>
      </c>
      <c r="D467" s="27">
        <v>1.1000000000000001</v>
      </c>
      <c r="E467" s="27" t="s">
        <v>1859</v>
      </c>
    </row>
    <row r="468" spans="1:5" x14ac:dyDescent="0.25">
      <c r="A468" s="27" t="s">
        <v>1386</v>
      </c>
      <c r="B468" s="27" t="str">
        <f t="shared" si="14"/>
        <v>Texas</v>
      </c>
      <c r="C468" s="27" t="str">
        <f t="shared" si="15"/>
        <v>Bowie</v>
      </c>
      <c r="D468" s="27">
        <v>2.8</v>
      </c>
      <c r="E468" s="27" t="s">
        <v>1859</v>
      </c>
    </row>
    <row r="469" spans="1:5" x14ac:dyDescent="0.25">
      <c r="A469" s="27" t="s">
        <v>1387</v>
      </c>
      <c r="B469" s="27" t="str">
        <f t="shared" si="14"/>
        <v>Texas</v>
      </c>
      <c r="C469" s="27" t="str">
        <f t="shared" si="15"/>
        <v>Brazoria</v>
      </c>
      <c r="D469" s="27">
        <v>1.5</v>
      </c>
      <c r="E469" s="27" t="s">
        <v>1859</v>
      </c>
    </row>
    <row r="470" spans="1:5" x14ac:dyDescent="0.25">
      <c r="A470" s="27" t="s">
        <v>1388</v>
      </c>
      <c r="B470" s="27" t="str">
        <f t="shared" si="14"/>
        <v>Texas</v>
      </c>
      <c r="C470" s="27" t="str">
        <f t="shared" si="15"/>
        <v>Brazos</v>
      </c>
      <c r="D470" s="27">
        <v>4.0999999999999996</v>
      </c>
      <c r="E470" s="27" t="s">
        <v>1859</v>
      </c>
    </row>
    <row r="471" spans="1:5" x14ac:dyDescent="0.25">
      <c r="A471" s="27" t="s">
        <v>1391</v>
      </c>
      <c r="B471" s="27" t="str">
        <f t="shared" si="14"/>
        <v>Texas</v>
      </c>
      <c r="C471" s="27" t="str">
        <f t="shared" si="15"/>
        <v>Brooks</v>
      </c>
      <c r="D471" s="27">
        <v>2.2000000000000002</v>
      </c>
      <c r="E471" s="27" t="s">
        <v>1859</v>
      </c>
    </row>
    <row r="472" spans="1:5" x14ac:dyDescent="0.25">
      <c r="A472" s="27" t="s">
        <v>1393</v>
      </c>
      <c r="B472" s="27" t="str">
        <f t="shared" si="14"/>
        <v>Texas</v>
      </c>
      <c r="C472" s="27" t="str">
        <f t="shared" si="15"/>
        <v>Burleson</v>
      </c>
      <c r="D472" s="27">
        <v>4.7</v>
      </c>
      <c r="E472" s="27" t="s">
        <v>1859</v>
      </c>
    </row>
    <row r="473" spans="1:5" x14ac:dyDescent="0.25">
      <c r="A473" s="27" t="s">
        <v>1398</v>
      </c>
      <c r="B473" s="27" t="str">
        <f t="shared" si="14"/>
        <v>Texas</v>
      </c>
      <c r="C473" s="27" t="str">
        <f t="shared" si="15"/>
        <v>Cameron</v>
      </c>
      <c r="D473" s="27">
        <v>1.9</v>
      </c>
      <c r="E473" s="27" t="s">
        <v>1859</v>
      </c>
    </row>
    <row r="474" spans="1:5" x14ac:dyDescent="0.25">
      <c r="A474" s="27" t="s">
        <v>1402</v>
      </c>
      <c r="B474" s="27" t="str">
        <f t="shared" si="14"/>
        <v>Texas</v>
      </c>
      <c r="C474" s="27" t="str">
        <f t="shared" si="15"/>
        <v>Chambers</v>
      </c>
      <c r="D474" s="27">
        <v>4.8</v>
      </c>
      <c r="E474" s="27" t="s">
        <v>1859</v>
      </c>
    </row>
    <row r="475" spans="1:5" x14ac:dyDescent="0.25">
      <c r="A475" s="27" t="s">
        <v>1403</v>
      </c>
      <c r="B475" s="27" t="str">
        <f t="shared" si="14"/>
        <v>Texas</v>
      </c>
      <c r="C475" s="27" t="str">
        <f t="shared" si="15"/>
        <v>Cherokee</v>
      </c>
      <c r="D475" s="27">
        <v>1.3</v>
      </c>
      <c r="E475" s="27" t="s">
        <v>1859</v>
      </c>
    </row>
    <row r="476" spans="1:5" x14ac:dyDescent="0.25">
      <c r="A476" s="27" t="s">
        <v>1410</v>
      </c>
      <c r="B476" s="27" t="str">
        <f t="shared" si="14"/>
        <v>Texas</v>
      </c>
      <c r="C476" s="27" t="str">
        <f t="shared" si="15"/>
        <v>Colorado</v>
      </c>
      <c r="D476" s="27">
        <v>1.1000000000000001</v>
      </c>
      <c r="E476" s="27" t="s">
        <v>1859</v>
      </c>
    </row>
    <row r="477" spans="1:5" x14ac:dyDescent="0.25">
      <c r="A477" s="27" t="s">
        <v>1436</v>
      </c>
      <c r="B477" s="27" t="str">
        <f t="shared" si="14"/>
        <v>Texas</v>
      </c>
      <c r="C477" s="27" t="str">
        <f t="shared" si="15"/>
        <v>Ellis</v>
      </c>
      <c r="D477" s="27">
        <v>2.2000000000000002</v>
      </c>
      <c r="E477" s="27" t="s">
        <v>1859</v>
      </c>
    </row>
    <row r="478" spans="1:5" x14ac:dyDescent="0.25">
      <c r="A478" s="27" t="s">
        <v>1438</v>
      </c>
      <c r="B478" s="27" t="str">
        <f t="shared" si="14"/>
        <v>Texas</v>
      </c>
      <c r="C478" s="27" t="str">
        <f t="shared" si="15"/>
        <v>Falls</v>
      </c>
      <c r="D478" s="27">
        <v>1.4</v>
      </c>
      <c r="E478" s="27" t="s">
        <v>1859</v>
      </c>
    </row>
    <row r="479" spans="1:5" x14ac:dyDescent="0.25">
      <c r="A479" s="27" t="s">
        <v>1439</v>
      </c>
      <c r="B479" s="27" t="str">
        <f t="shared" si="14"/>
        <v>Texas</v>
      </c>
      <c r="C479" s="27" t="str">
        <f t="shared" si="15"/>
        <v>Fannin</v>
      </c>
      <c r="D479" s="27">
        <v>1.1000000000000001</v>
      </c>
      <c r="E479" s="27" t="s">
        <v>1859</v>
      </c>
    </row>
    <row r="480" spans="1:5" x14ac:dyDescent="0.25">
      <c r="A480" s="27" t="s">
        <v>1440</v>
      </c>
      <c r="B480" s="27" t="str">
        <f t="shared" si="14"/>
        <v>Texas</v>
      </c>
      <c r="C480" s="27" t="str">
        <f t="shared" si="15"/>
        <v>Fayette</v>
      </c>
      <c r="D480" s="27">
        <v>1.7</v>
      </c>
      <c r="E480" s="27" t="s">
        <v>1859</v>
      </c>
    </row>
    <row r="481" spans="1:5" x14ac:dyDescent="0.25">
      <c r="A481" s="27" t="s">
        <v>1444</v>
      </c>
      <c r="B481" s="27" t="str">
        <f t="shared" si="14"/>
        <v>Texas</v>
      </c>
      <c r="C481" s="27" t="str">
        <f t="shared" si="15"/>
        <v>Fort Bend</v>
      </c>
      <c r="D481" s="27">
        <v>1.3</v>
      </c>
      <c r="E481" s="27" t="s">
        <v>1859</v>
      </c>
    </row>
    <row r="482" spans="1:5" x14ac:dyDescent="0.25">
      <c r="A482" s="27" t="s">
        <v>1445</v>
      </c>
      <c r="B482" s="27" t="str">
        <f t="shared" si="14"/>
        <v>Texas</v>
      </c>
      <c r="C482" s="27" t="str">
        <f t="shared" si="15"/>
        <v>Franklin</v>
      </c>
      <c r="D482" s="27">
        <v>1.1000000000000001</v>
      </c>
      <c r="E482" s="27" t="s">
        <v>1859</v>
      </c>
    </row>
    <row r="483" spans="1:5" x14ac:dyDescent="0.25">
      <c r="A483" s="27" t="s">
        <v>1452</v>
      </c>
      <c r="B483" s="27" t="str">
        <f t="shared" si="14"/>
        <v>Texas</v>
      </c>
      <c r="C483" s="27" t="str">
        <f t="shared" si="15"/>
        <v>Goliad</v>
      </c>
      <c r="D483" s="27">
        <v>2.1</v>
      </c>
      <c r="E483" s="27" t="s">
        <v>1859</v>
      </c>
    </row>
    <row r="484" spans="1:5" x14ac:dyDescent="0.25">
      <c r="A484" s="27" t="s">
        <v>1453</v>
      </c>
      <c r="B484" s="27" t="str">
        <f t="shared" si="14"/>
        <v>Texas</v>
      </c>
      <c r="C484" s="27" t="str">
        <f t="shared" si="15"/>
        <v>Gonzales</v>
      </c>
      <c r="D484" s="27">
        <v>1.4</v>
      </c>
      <c r="E484" s="27" t="s">
        <v>1859</v>
      </c>
    </row>
    <row r="485" spans="1:5" x14ac:dyDescent="0.25">
      <c r="A485" s="27" t="s">
        <v>1457</v>
      </c>
      <c r="B485" s="27" t="str">
        <f t="shared" si="14"/>
        <v>Texas</v>
      </c>
      <c r="C485" s="27" t="str">
        <f t="shared" si="15"/>
        <v>Grimes</v>
      </c>
      <c r="D485" s="27">
        <v>1.3</v>
      </c>
      <c r="E485" s="27" t="s">
        <v>1859</v>
      </c>
    </row>
    <row r="486" spans="1:5" x14ac:dyDescent="0.25">
      <c r="A486" s="27" t="s">
        <v>1764</v>
      </c>
      <c r="B486" s="27" t="str">
        <f t="shared" si="14"/>
        <v>Texas</v>
      </c>
      <c r="C486" s="27" t="str">
        <f t="shared" si="15"/>
        <v>Guadalupe</v>
      </c>
      <c r="D486" s="27">
        <v>1.4</v>
      </c>
      <c r="E486" s="27" t="s">
        <v>1859</v>
      </c>
    </row>
    <row r="487" spans="1:5" x14ac:dyDescent="0.25">
      <c r="A487" s="27" t="s">
        <v>1463</v>
      </c>
      <c r="B487" s="27" t="str">
        <f t="shared" si="14"/>
        <v>Texas</v>
      </c>
      <c r="C487" s="27" t="str">
        <f t="shared" si="15"/>
        <v>Hardin</v>
      </c>
      <c r="D487" s="27">
        <v>1.3</v>
      </c>
      <c r="E487" s="27" t="s">
        <v>1859</v>
      </c>
    </row>
    <row r="488" spans="1:5" x14ac:dyDescent="0.25">
      <c r="A488" s="27" t="s">
        <v>1464</v>
      </c>
      <c r="B488" s="27" t="str">
        <f t="shared" si="14"/>
        <v>Texas</v>
      </c>
      <c r="C488" s="27" t="str">
        <f t="shared" si="15"/>
        <v>Harris</v>
      </c>
      <c r="D488" s="27">
        <v>1.5</v>
      </c>
      <c r="E488" s="27" t="s">
        <v>1859</v>
      </c>
    </row>
    <row r="489" spans="1:5" x14ac:dyDescent="0.25">
      <c r="A489" s="27" t="s">
        <v>1470</v>
      </c>
      <c r="B489" s="27" t="str">
        <f t="shared" si="14"/>
        <v>Texas</v>
      </c>
      <c r="C489" s="27" t="str">
        <f t="shared" si="15"/>
        <v>Henderson</v>
      </c>
      <c r="D489" s="27">
        <v>1.1000000000000001</v>
      </c>
      <c r="E489" s="27" t="s">
        <v>1859</v>
      </c>
    </row>
    <row r="490" spans="1:5" x14ac:dyDescent="0.25">
      <c r="A490" s="27" t="s">
        <v>1474</v>
      </c>
      <c r="B490" s="27" t="str">
        <f t="shared" si="14"/>
        <v>Texas</v>
      </c>
      <c r="C490" s="27" t="str">
        <f t="shared" si="15"/>
        <v>Hood</v>
      </c>
      <c r="D490" s="27">
        <v>1.1000000000000001</v>
      </c>
      <c r="E490" s="27" t="s">
        <v>1859</v>
      </c>
    </row>
    <row r="491" spans="1:5" x14ac:dyDescent="0.25">
      <c r="A491" s="27" t="s">
        <v>1476</v>
      </c>
      <c r="B491" s="27" t="str">
        <f t="shared" si="14"/>
        <v>Texas</v>
      </c>
      <c r="C491" s="27" t="str">
        <f t="shared" si="15"/>
        <v>Houston</v>
      </c>
      <c r="D491" s="27">
        <v>2.1</v>
      </c>
      <c r="E491" s="27" t="s">
        <v>1859</v>
      </c>
    </row>
    <row r="492" spans="1:5" x14ac:dyDescent="0.25">
      <c r="A492" s="27" t="s">
        <v>1483</v>
      </c>
      <c r="B492" s="27" t="str">
        <f t="shared" si="14"/>
        <v>Texas</v>
      </c>
      <c r="C492" s="27" t="str">
        <f t="shared" si="15"/>
        <v>Jackson</v>
      </c>
      <c r="D492" s="27">
        <v>1.8</v>
      </c>
      <c r="E492" s="27" t="s">
        <v>1859</v>
      </c>
    </row>
    <row r="493" spans="1:5" x14ac:dyDescent="0.25">
      <c r="A493" s="27" t="s">
        <v>1486</v>
      </c>
      <c r="B493" s="27" t="str">
        <f t="shared" si="14"/>
        <v>Texas</v>
      </c>
      <c r="C493" s="27" t="str">
        <f t="shared" si="15"/>
        <v>Jefferson</v>
      </c>
      <c r="D493" s="27">
        <v>2.5</v>
      </c>
      <c r="E493" s="27" t="s">
        <v>1859</v>
      </c>
    </row>
    <row r="494" spans="1:5" x14ac:dyDescent="0.25">
      <c r="A494" s="27" t="s">
        <v>1491</v>
      </c>
      <c r="B494" s="27" t="str">
        <f t="shared" si="14"/>
        <v>Texas</v>
      </c>
      <c r="C494" s="27" t="str">
        <f t="shared" si="15"/>
        <v>Karnes</v>
      </c>
      <c r="D494" s="27">
        <v>1.6</v>
      </c>
      <c r="E494" s="27" t="s">
        <v>1859</v>
      </c>
    </row>
    <row r="495" spans="1:5" x14ac:dyDescent="0.25">
      <c r="A495" s="27" t="s">
        <v>1502</v>
      </c>
      <c r="B495" s="27" t="str">
        <f t="shared" si="14"/>
        <v>Texas</v>
      </c>
      <c r="C495" s="27" t="str">
        <f t="shared" si="15"/>
        <v>Lamar</v>
      </c>
      <c r="D495" s="27">
        <v>1.3</v>
      </c>
      <c r="E495" s="27" t="s">
        <v>1859</v>
      </c>
    </row>
    <row r="496" spans="1:5" x14ac:dyDescent="0.25">
      <c r="A496" s="27" t="s">
        <v>1507</v>
      </c>
      <c r="B496" s="27" t="str">
        <f t="shared" si="14"/>
        <v>Texas</v>
      </c>
      <c r="C496" s="27" t="str">
        <f t="shared" si="15"/>
        <v>Lee</v>
      </c>
      <c r="D496" s="27">
        <v>7.1</v>
      </c>
      <c r="E496" s="27" t="s">
        <v>1859</v>
      </c>
    </row>
    <row r="497" spans="1:5" x14ac:dyDescent="0.25">
      <c r="A497" s="27" t="s">
        <v>1508</v>
      </c>
      <c r="B497" s="27" t="str">
        <f t="shared" si="14"/>
        <v>Texas</v>
      </c>
      <c r="C497" s="27" t="str">
        <f t="shared" si="15"/>
        <v>Leon</v>
      </c>
      <c r="D497" s="27">
        <v>2.7</v>
      </c>
      <c r="E497" s="27" t="s">
        <v>1859</v>
      </c>
    </row>
    <row r="498" spans="1:5" x14ac:dyDescent="0.25">
      <c r="A498" s="27" t="s">
        <v>1509</v>
      </c>
      <c r="B498" s="27" t="str">
        <f t="shared" si="14"/>
        <v>Texas</v>
      </c>
      <c r="C498" s="27" t="str">
        <f t="shared" si="15"/>
        <v>Liberty</v>
      </c>
      <c r="D498" s="27">
        <v>2</v>
      </c>
      <c r="E498" s="27" t="s">
        <v>1859</v>
      </c>
    </row>
    <row r="499" spans="1:5" x14ac:dyDescent="0.25">
      <c r="A499" s="27" t="s">
        <v>1510</v>
      </c>
      <c r="B499" s="27" t="str">
        <f t="shared" si="14"/>
        <v>Texas</v>
      </c>
      <c r="C499" s="27" t="str">
        <f t="shared" si="15"/>
        <v>Limestone</v>
      </c>
      <c r="D499" s="27">
        <v>2.1</v>
      </c>
      <c r="E499" s="27" t="s">
        <v>1859</v>
      </c>
    </row>
    <row r="500" spans="1:5" x14ac:dyDescent="0.25">
      <c r="A500" s="27" t="s">
        <v>1520</v>
      </c>
      <c r="B500" s="27" t="str">
        <f t="shared" si="14"/>
        <v>Texas</v>
      </c>
      <c r="C500" s="27" t="str">
        <f t="shared" si="15"/>
        <v>Madison</v>
      </c>
      <c r="D500" s="27">
        <v>2.5</v>
      </c>
      <c r="E500" s="27" t="s">
        <v>1859</v>
      </c>
    </row>
    <row r="501" spans="1:5" x14ac:dyDescent="0.25">
      <c r="A501" s="27" t="s">
        <v>1521</v>
      </c>
      <c r="B501" s="27" t="str">
        <f t="shared" si="14"/>
        <v>Texas</v>
      </c>
      <c r="C501" s="27" t="str">
        <f t="shared" si="15"/>
        <v>Marion</v>
      </c>
      <c r="D501" s="27">
        <v>3.7</v>
      </c>
      <c r="E501" s="27" t="s">
        <v>1859</v>
      </c>
    </row>
    <row r="502" spans="1:5" x14ac:dyDescent="0.25">
      <c r="A502" s="27" t="s">
        <v>1518</v>
      </c>
      <c r="B502" s="27" t="str">
        <f t="shared" si="14"/>
        <v>Texas</v>
      </c>
      <c r="C502" s="27" t="str">
        <f t="shared" si="15"/>
        <v>McLennan</v>
      </c>
      <c r="D502" s="27">
        <v>2.2999999999999998</v>
      </c>
      <c r="E502" s="27" t="s">
        <v>1859</v>
      </c>
    </row>
    <row r="503" spans="1:5" x14ac:dyDescent="0.25">
      <c r="A503" s="27" t="s">
        <v>1529</v>
      </c>
      <c r="B503" s="27" t="str">
        <f t="shared" si="14"/>
        <v>Texas</v>
      </c>
      <c r="C503" s="27" t="str">
        <f t="shared" si="15"/>
        <v>Milam</v>
      </c>
      <c r="D503" s="27">
        <v>4.2</v>
      </c>
      <c r="E503" s="27" t="s">
        <v>1859</v>
      </c>
    </row>
    <row r="504" spans="1:5" x14ac:dyDescent="0.25">
      <c r="A504" s="27" t="s">
        <v>1533</v>
      </c>
      <c r="B504" s="27" t="str">
        <f t="shared" si="14"/>
        <v>Texas</v>
      </c>
      <c r="C504" s="27" t="str">
        <f t="shared" si="15"/>
        <v>Montgomery</v>
      </c>
      <c r="D504" s="27">
        <v>1.2</v>
      </c>
      <c r="E504" s="27" t="s">
        <v>1859</v>
      </c>
    </row>
    <row r="505" spans="1:5" x14ac:dyDescent="0.25">
      <c r="A505" s="27" t="s">
        <v>1535</v>
      </c>
      <c r="B505" s="27" t="str">
        <f t="shared" si="14"/>
        <v>Texas</v>
      </c>
      <c r="C505" s="27" t="str">
        <f t="shared" si="15"/>
        <v>Morris</v>
      </c>
      <c r="D505" s="27">
        <v>2.9</v>
      </c>
      <c r="E505" s="27" t="s">
        <v>1859</v>
      </c>
    </row>
    <row r="506" spans="1:5" x14ac:dyDescent="0.25">
      <c r="A506" s="27" t="s">
        <v>1537</v>
      </c>
      <c r="B506" s="27" t="str">
        <f t="shared" si="14"/>
        <v>Texas</v>
      </c>
      <c r="C506" s="27" t="str">
        <f t="shared" si="15"/>
        <v>Nacogdoches</v>
      </c>
      <c r="D506" s="27">
        <v>1.1000000000000001</v>
      </c>
      <c r="E506" s="27" t="s">
        <v>1859</v>
      </c>
    </row>
    <row r="507" spans="1:5" x14ac:dyDescent="0.25">
      <c r="A507" s="27" t="s">
        <v>1538</v>
      </c>
      <c r="B507" s="27" t="str">
        <f t="shared" si="14"/>
        <v>Texas</v>
      </c>
      <c r="C507" s="27" t="str">
        <f t="shared" si="15"/>
        <v>Navarro</v>
      </c>
      <c r="D507" s="27">
        <v>1.8</v>
      </c>
      <c r="E507" s="27" t="s">
        <v>1859</v>
      </c>
    </row>
    <row r="508" spans="1:5" x14ac:dyDescent="0.25">
      <c r="A508" s="27" t="s">
        <v>1544</v>
      </c>
      <c r="B508" s="27" t="str">
        <f t="shared" si="14"/>
        <v>Texas</v>
      </c>
      <c r="C508" s="27" t="str">
        <f t="shared" si="15"/>
        <v>Orange</v>
      </c>
      <c r="D508" s="27">
        <v>1.3</v>
      </c>
      <c r="E508" s="27" t="s">
        <v>1859</v>
      </c>
    </row>
    <row r="509" spans="1:5" x14ac:dyDescent="0.25">
      <c r="A509" s="27" t="s">
        <v>1546</v>
      </c>
      <c r="B509" s="27" t="str">
        <f t="shared" si="14"/>
        <v>Texas</v>
      </c>
      <c r="C509" s="27" t="str">
        <f t="shared" si="15"/>
        <v>Panola</v>
      </c>
      <c r="D509" s="27">
        <v>1.4</v>
      </c>
      <c r="E509" s="27" t="s">
        <v>1859</v>
      </c>
    </row>
    <row r="510" spans="1:5" x14ac:dyDescent="0.25">
      <c r="A510" s="27" t="s">
        <v>1550</v>
      </c>
      <c r="B510" s="27" t="str">
        <f t="shared" si="14"/>
        <v>Texas</v>
      </c>
      <c r="C510" s="27" t="str">
        <f t="shared" si="15"/>
        <v>Polk</v>
      </c>
      <c r="D510" s="27">
        <v>3</v>
      </c>
      <c r="E510" s="27" t="s">
        <v>1859</v>
      </c>
    </row>
    <row r="511" spans="1:5" x14ac:dyDescent="0.25">
      <c r="A511" s="27" t="s">
        <v>1553</v>
      </c>
      <c r="B511" s="27" t="str">
        <f t="shared" si="14"/>
        <v>Texas</v>
      </c>
      <c r="C511" s="27" t="str">
        <f t="shared" si="15"/>
        <v>Rains</v>
      </c>
      <c r="D511" s="27">
        <v>4.9000000000000004</v>
      </c>
      <c r="E511" s="27" t="s">
        <v>1859</v>
      </c>
    </row>
    <row r="512" spans="1:5" x14ac:dyDescent="0.25">
      <c r="A512" s="27" t="s">
        <v>1557</v>
      </c>
      <c r="B512" s="27" t="str">
        <f t="shared" si="14"/>
        <v>Texas</v>
      </c>
      <c r="C512" s="27" t="str">
        <f t="shared" si="15"/>
        <v>Red River</v>
      </c>
      <c r="D512" s="27">
        <v>2</v>
      </c>
      <c r="E512" s="27" t="s">
        <v>1859</v>
      </c>
    </row>
    <row r="513" spans="1:5" x14ac:dyDescent="0.25">
      <c r="A513" s="27" t="s">
        <v>1561</v>
      </c>
      <c r="B513" s="27" t="str">
        <f t="shared" si="14"/>
        <v>Texas</v>
      </c>
      <c r="C513" s="27" t="str">
        <f t="shared" si="15"/>
        <v>Robertson</v>
      </c>
      <c r="D513" s="27">
        <v>3.9</v>
      </c>
      <c r="E513" s="27" t="s">
        <v>1859</v>
      </c>
    </row>
    <row r="514" spans="1:5" x14ac:dyDescent="0.25">
      <c r="A514" s="27" t="s">
        <v>1564</v>
      </c>
      <c r="B514" s="27" t="str">
        <f t="shared" si="14"/>
        <v>Texas</v>
      </c>
      <c r="C514" s="27" t="str">
        <f t="shared" si="15"/>
        <v>Rusk</v>
      </c>
      <c r="D514" s="27">
        <v>1.3</v>
      </c>
      <c r="E514" s="27" t="s">
        <v>1859</v>
      </c>
    </row>
    <row r="515" spans="1:5" x14ac:dyDescent="0.25">
      <c r="A515" s="27" t="s">
        <v>1565</v>
      </c>
      <c r="B515" s="27" t="str">
        <f t="shared" ref="B515:B533" si="16">LEFT(A515,FIND(";",A515)-1)</f>
        <v>Texas</v>
      </c>
      <c r="C515" s="27" t="str">
        <f t="shared" ref="C515:C533" si="17">MID(A515,FIND(";",A515)+1,100)</f>
        <v>Sabine</v>
      </c>
      <c r="D515" s="27">
        <v>1.6</v>
      </c>
      <c r="E515" s="27" t="s">
        <v>1859</v>
      </c>
    </row>
    <row r="516" spans="1:5" x14ac:dyDescent="0.25">
      <c r="A516" s="27" t="s">
        <v>1577</v>
      </c>
      <c r="B516" s="27" t="str">
        <f t="shared" si="16"/>
        <v>Texas</v>
      </c>
      <c r="C516" s="27" t="str">
        <f t="shared" si="17"/>
        <v>Starr</v>
      </c>
      <c r="D516" s="27">
        <v>1.8</v>
      </c>
      <c r="E516" s="27" t="s">
        <v>1859</v>
      </c>
    </row>
    <row r="517" spans="1:5" x14ac:dyDescent="0.25">
      <c r="A517" s="27" t="s">
        <v>1587</v>
      </c>
      <c r="B517" s="27" t="str">
        <f t="shared" si="16"/>
        <v>Texas</v>
      </c>
      <c r="C517" s="27" t="str">
        <f t="shared" si="17"/>
        <v>Titus</v>
      </c>
      <c r="D517" s="27">
        <v>2.8</v>
      </c>
      <c r="E517" s="27" t="s">
        <v>1859</v>
      </c>
    </row>
    <row r="518" spans="1:5" x14ac:dyDescent="0.25">
      <c r="A518" s="27" t="s">
        <v>1591</v>
      </c>
      <c r="B518" s="27" t="str">
        <f t="shared" si="16"/>
        <v>Texas</v>
      </c>
      <c r="C518" s="27" t="str">
        <f t="shared" si="17"/>
        <v>Tyler</v>
      </c>
      <c r="D518" s="27">
        <v>1.9</v>
      </c>
      <c r="E518" s="27" t="s">
        <v>1859</v>
      </c>
    </row>
    <row r="519" spans="1:5" x14ac:dyDescent="0.25">
      <c r="A519" s="27" t="s">
        <v>1592</v>
      </c>
      <c r="B519" s="27" t="str">
        <f t="shared" si="16"/>
        <v>Texas</v>
      </c>
      <c r="C519" s="27" t="str">
        <f t="shared" si="17"/>
        <v>Upshur</v>
      </c>
      <c r="D519" s="27">
        <v>1.3</v>
      </c>
      <c r="E519" s="27" t="s">
        <v>1859</v>
      </c>
    </row>
    <row r="520" spans="1:5" x14ac:dyDescent="0.25">
      <c r="A520" s="27" t="s">
        <v>1595</v>
      </c>
      <c r="B520" s="27" t="str">
        <f t="shared" si="16"/>
        <v>Texas</v>
      </c>
      <c r="C520" s="27" t="str">
        <f t="shared" si="17"/>
        <v>Van Zandt</v>
      </c>
      <c r="D520" s="27">
        <v>1.6</v>
      </c>
      <c r="E520" s="27" t="s">
        <v>1859</v>
      </c>
    </row>
    <row r="521" spans="1:5" x14ac:dyDescent="0.25">
      <c r="A521" s="27" t="s">
        <v>1596</v>
      </c>
      <c r="B521" s="27" t="str">
        <f t="shared" si="16"/>
        <v>Texas</v>
      </c>
      <c r="C521" s="27" t="str">
        <f t="shared" si="17"/>
        <v>Victoria</v>
      </c>
      <c r="D521" s="27">
        <v>2.2000000000000002</v>
      </c>
      <c r="E521" s="27" t="s">
        <v>1859</v>
      </c>
    </row>
    <row r="522" spans="1:5" x14ac:dyDescent="0.25">
      <c r="A522" s="27" t="s">
        <v>1598</v>
      </c>
      <c r="B522" s="27" t="str">
        <f t="shared" si="16"/>
        <v>Texas</v>
      </c>
      <c r="C522" s="27" t="str">
        <f t="shared" si="17"/>
        <v>Waller</v>
      </c>
      <c r="D522" s="27">
        <v>3.9</v>
      </c>
      <c r="E522" s="27" t="s">
        <v>1859</v>
      </c>
    </row>
    <row r="523" spans="1:5" x14ac:dyDescent="0.25">
      <c r="A523" s="27" t="s">
        <v>1600</v>
      </c>
      <c r="B523" s="27" t="str">
        <f t="shared" si="16"/>
        <v>Texas</v>
      </c>
      <c r="C523" s="27" t="str">
        <f t="shared" si="17"/>
        <v>Washington</v>
      </c>
      <c r="D523" s="27">
        <v>1.9</v>
      </c>
      <c r="E523" s="27" t="s">
        <v>1859</v>
      </c>
    </row>
    <row r="524" spans="1:5" x14ac:dyDescent="0.25">
      <c r="A524" s="27" t="s">
        <v>1607</v>
      </c>
      <c r="B524" s="27" t="str">
        <f t="shared" si="16"/>
        <v>Texas</v>
      </c>
      <c r="C524" s="27" t="str">
        <f t="shared" si="17"/>
        <v>Williamson</v>
      </c>
      <c r="D524" s="27">
        <v>1.2</v>
      </c>
      <c r="E524" s="27" t="s">
        <v>1859</v>
      </c>
    </row>
    <row r="525" spans="1:5" x14ac:dyDescent="0.25">
      <c r="A525" s="27" t="s">
        <v>1608</v>
      </c>
      <c r="B525" s="27" t="str">
        <f t="shared" si="16"/>
        <v>Texas</v>
      </c>
      <c r="C525" s="27" t="str">
        <f t="shared" si="17"/>
        <v>Wilson</v>
      </c>
      <c r="D525" s="27">
        <v>1.2</v>
      </c>
      <c r="E525" s="27" t="s">
        <v>1859</v>
      </c>
    </row>
    <row r="526" spans="1:5" x14ac:dyDescent="0.25">
      <c r="A526" s="27" t="s">
        <v>1611</v>
      </c>
      <c r="B526" s="27" t="str">
        <f t="shared" si="16"/>
        <v>Texas</v>
      </c>
      <c r="C526" s="27" t="str">
        <f t="shared" si="17"/>
        <v>Wood</v>
      </c>
      <c r="D526" s="27">
        <v>2.5</v>
      </c>
      <c r="E526" s="27" t="s">
        <v>1859</v>
      </c>
    </row>
    <row r="527" spans="1:5" ht="15" customHeight="1" x14ac:dyDescent="0.25">
      <c r="A527" s="27" t="s">
        <v>1367</v>
      </c>
      <c r="B527" s="27" t="str">
        <f t="shared" si="16"/>
        <v/>
      </c>
      <c r="C527" s="27" t="str">
        <f t="shared" si="17"/>
        <v/>
      </c>
    </row>
    <row r="528" spans="1:5" x14ac:dyDescent="0.25">
      <c r="A528" s="27" t="s">
        <v>1654</v>
      </c>
      <c r="B528" s="27" t="str">
        <f t="shared" si="16"/>
        <v>Virginia</v>
      </c>
      <c r="C528" s="27" t="str">
        <f t="shared" si="17"/>
        <v>Greensville</v>
      </c>
      <c r="D528" s="27">
        <v>2.7</v>
      </c>
      <c r="E528" s="27" t="s">
        <v>1859</v>
      </c>
    </row>
    <row r="529" spans="1:5" x14ac:dyDescent="0.25">
      <c r="A529" s="27" t="s">
        <v>1660</v>
      </c>
      <c r="B529" s="27" t="str">
        <f t="shared" si="16"/>
        <v>Virginia</v>
      </c>
      <c r="C529" s="27" t="str">
        <f t="shared" si="17"/>
        <v>Isle of Wight</v>
      </c>
      <c r="D529" s="27">
        <v>1.4</v>
      </c>
      <c r="E529" s="27" t="s">
        <v>1859</v>
      </c>
    </row>
    <row r="530" spans="1:5" x14ac:dyDescent="0.25">
      <c r="A530" s="27" t="s">
        <v>1663</v>
      </c>
      <c r="B530" s="27" t="str">
        <f t="shared" si="16"/>
        <v>Virginia</v>
      </c>
      <c r="C530" s="27" t="str">
        <f t="shared" si="17"/>
        <v>King George</v>
      </c>
      <c r="D530" s="27">
        <v>1.7</v>
      </c>
      <c r="E530" s="27" t="s">
        <v>1859</v>
      </c>
    </row>
    <row r="531" spans="1:5" x14ac:dyDescent="0.25">
      <c r="A531" s="27" t="s">
        <v>1664</v>
      </c>
      <c r="B531" s="27" t="str">
        <f t="shared" si="16"/>
        <v>Virginia</v>
      </c>
      <c r="C531" s="27" t="str">
        <f t="shared" si="17"/>
        <v>King William</v>
      </c>
      <c r="D531" s="27">
        <v>1.2</v>
      </c>
      <c r="E531" s="27" t="s">
        <v>1859</v>
      </c>
    </row>
    <row r="532" spans="1:5" x14ac:dyDescent="0.25">
      <c r="A532" s="27" t="s">
        <v>1674</v>
      </c>
      <c r="B532" s="27" t="str">
        <f t="shared" si="16"/>
        <v>Virginia</v>
      </c>
      <c r="C532" s="27" t="str">
        <f t="shared" si="17"/>
        <v>Nansemond</v>
      </c>
      <c r="D532" s="27">
        <v>2</v>
      </c>
      <c r="E532" s="27" t="s">
        <v>1859</v>
      </c>
    </row>
    <row r="533" spans="1:5" x14ac:dyDescent="0.25">
      <c r="A533" s="27" t="s">
        <v>1688</v>
      </c>
      <c r="B533" s="27" t="str">
        <f t="shared" si="16"/>
        <v>Virginia</v>
      </c>
      <c r="C533" s="27" t="str">
        <f t="shared" si="17"/>
        <v>Princess Anne</v>
      </c>
      <c r="D533" s="27">
        <v>1.5</v>
      </c>
      <c r="E533" s="27" t="s">
        <v>1860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B1635"/>
  <sheetViews>
    <sheetView workbookViewId="0"/>
  </sheetViews>
  <sheetFormatPr defaultColWidth="8.85546875" defaultRowHeight="15" x14ac:dyDescent="0.25"/>
  <cols>
    <col min="1" max="1" width="15.85546875" style="27" bestFit="1" customWidth="1"/>
    <col min="2" max="2" width="15.28515625" style="27" bestFit="1" customWidth="1"/>
    <col min="3" max="3" width="19.7109375" style="27" bestFit="1" customWidth="1"/>
    <col min="4" max="4" width="11.42578125" customWidth="1"/>
    <col min="5" max="5" width="13.28515625" customWidth="1"/>
    <col min="6" max="6" width="7.7109375" customWidth="1"/>
    <col min="7" max="7" width="10.85546875" style="17" bestFit="1" customWidth="1"/>
    <col min="8" max="8" width="10.28515625" customWidth="1"/>
    <col min="9" max="9" width="13.7109375" style="2" customWidth="1"/>
    <col min="10" max="10" width="14.140625" style="17" bestFit="1" customWidth="1"/>
    <col min="11" max="12" width="15.85546875" style="17" customWidth="1"/>
    <col min="13" max="13" width="12.140625" customWidth="1"/>
    <col min="14" max="14" width="10.140625" customWidth="1"/>
    <col min="15" max="15" width="10.140625" style="17" customWidth="1"/>
    <col min="16" max="16" width="9.7109375" bestFit="1" customWidth="1"/>
    <col min="18" max="18" width="12.42578125" bestFit="1" customWidth="1"/>
  </cols>
  <sheetData>
    <row r="1" spans="1:28" s="20" customFormat="1" ht="60" x14ac:dyDescent="0.25">
      <c r="B1" s="20" t="s">
        <v>2</v>
      </c>
      <c r="C1" s="20" t="s">
        <v>0</v>
      </c>
      <c r="D1" s="92" t="s">
        <v>1956</v>
      </c>
      <c r="E1" s="92" t="s">
        <v>372</v>
      </c>
      <c r="F1" s="94" t="s">
        <v>357</v>
      </c>
      <c r="G1" s="94" t="s">
        <v>377</v>
      </c>
      <c r="H1" s="92" t="s">
        <v>358</v>
      </c>
      <c r="I1" s="93" t="s">
        <v>360</v>
      </c>
      <c r="J1" s="92" t="s">
        <v>374</v>
      </c>
      <c r="K1" s="125" t="s">
        <v>375</v>
      </c>
      <c r="L1" s="20" t="s">
        <v>1</v>
      </c>
      <c r="M1" s="20" t="s">
        <v>1957</v>
      </c>
      <c r="N1" s="20" t="s">
        <v>1949</v>
      </c>
      <c r="O1" s="20" t="s">
        <v>1955</v>
      </c>
      <c r="P1" s="20" t="s">
        <v>1950</v>
      </c>
      <c r="Q1" s="20" t="s">
        <v>1951</v>
      </c>
      <c r="R1" s="20" t="s">
        <v>1952</v>
      </c>
      <c r="S1" s="20" t="s">
        <v>1953</v>
      </c>
      <c r="T1" s="20" t="s">
        <v>1948</v>
      </c>
    </row>
    <row r="2" spans="1:28" s="20" customFormat="1" x14ac:dyDescent="0.25">
      <c r="B2" s="80" t="s">
        <v>1961</v>
      </c>
      <c r="D2" s="20">
        <v>0</v>
      </c>
      <c r="E2" s="20">
        <v>0</v>
      </c>
      <c r="F2" s="21">
        <v>0</v>
      </c>
      <c r="G2" s="21">
        <v>0</v>
      </c>
      <c r="H2" s="20">
        <v>0</v>
      </c>
      <c r="I2" s="22">
        <v>0</v>
      </c>
      <c r="J2" s="20">
        <v>0</v>
      </c>
      <c r="K2" s="34">
        <v>0</v>
      </c>
    </row>
    <row r="3" spans="1:28" x14ac:dyDescent="0.25">
      <c r="A3" s="27" t="s">
        <v>586</v>
      </c>
      <c r="B3" s="27" t="str">
        <f>LEFT(A3,FIND(";",A3)-1)</f>
        <v>Alabama</v>
      </c>
      <c r="C3" s="27" t="str">
        <f>MID(A3,FIND(";",A3)+1,100)</f>
        <v>Autauga</v>
      </c>
      <c r="D3" s="27">
        <v>2731</v>
      </c>
      <c r="E3" s="27">
        <f>'AL pre'!I2</f>
        <v>56</v>
      </c>
      <c r="F3" s="26">
        <f>'AL pre'!P2</f>
        <v>82.949469058952758</v>
      </c>
      <c r="G3" s="2">
        <v>5450</v>
      </c>
      <c r="H3" s="28">
        <f>'AL pre'!T2</f>
        <v>34.785714285714285</v>
      </c>
      <c r="I3" s="2">
        <f>'AL pre'!U2</f>
        <v>17793.54</v>
      </c>
      <c r="J3" s="27">
        <v>78</v>
      </c>
      <c r="K3" s="27">
        <f>'AL pre'!Y2</f>
        <v>1250</v>
      </c>
      <c r="L3" s="27">
        <v>1905</v>
      </c>
      <c r="M3" s="4" t="s">
        <v>475</v>
      </c>
      <c r="N3" s="27" t="s">
        <v>469</v>
      </c>
      <c r="O3" s="27" t="s">
        <v>2553</v>
      </c>
      <c r="P3" s="4" t="s">
        <v>475</v>
      </c>
      <c r="Q3" s="27" t="str">
        <f>O3</f>
        <v>https://babel.hathitrust.org/cgi/pt?id=mdp.39015049037735;view=1up;seq=146</v>
      </c>
      <c r="R3" s="27" t="s">
        <v>2549</v>
      </c>
      <c r="S3" s="4" t="s">
        <v>475</v>
      </c>
      <c r="T3" s="4" t="s">
        <v>470</v>
      </c>
      <c r="U3" s="4"/>
      <c r="V3" s="4"/>
      <c r="W3" s="4"/>
      <c r="X3" s="4"/>
      <c r="Y3" s="4"/>
      <c r="Z3" s="4"/>
      <c r="AA3" s="4"/>
      <c r="AB3" s="4"/>
    </row>
    <row r="4" spans="1:28" x14ac:dyDescent="0.25">
      <c r="A4" s="27" t="s">
        <v>587</v>
      </c>
      <c r="B4" s="27" t="str">
        <f t="shared" ref="B4:B67" si="0">LEFT(A4,FIND(";",A4)-1)</f>
        <v>Alabama</v>
      </c>
      <c r="C4" s="27" t="str">
        <f t="shared" ref="C4:C67" si="1">MID(A4,FIND(";",A4)+1,100)</f>
        <v>Baldwin</v>
      </c>
      <c r="D4" s="27">
        <v>1658</v>
      </c>
      <c r="E4" s="27">
        <f>'AL pre'!I3</f>
        <v>60</v>
      </c>
      <c r="F4" s="26">
        <f>'AL pre'!P3</f>
        <v>101.25995174909529</v>
      </c>
      <c r="G4" s="2">
        <v>5289</v>
      </c>
      <c r="H4" s="28">
        <f>'AL pre'!T3</f>
        <v>36.856999999999999</v>
      </c>
      <c r="I4" s="2">
        <f>'AL pre'!U3</f>
        <v>26820.38</v>
      </c>
      <c r="J4" s="27">
        <v>63</v>
      </c>
      <c r="K4" s="27">
        <f>'AL pre'!Y3</f>
        <v>14000</v>
      </c>
      <c r="L4" s="27">
        <v>1905</v>
      </c>
      <c r="M4" s="4" t="s">
        <v>475</v>
      </c>
      <c r="N4" s="27" t="s">
        <v>469</v>
      </c>
      <c r="O4" s="27" t="str">
        <f>O3</f>
        <v>https://babel.hathitrust.org/cgi/pt?id=mdp.39015049037735;view=1up;seq=146</v>
      </c>
      <c r="P4" s="4" t="s">
        <v>475</v>
      </c>
      <c r="Q4" s="27" t="str">
        <f t="shared" ref="Q4:Q67" si="2">O4</f>
        <v>https://babel.hathitrust.org/cgi/pt?id=mdp.39015049037735;view=1up;seq=146</v>
      </c>
      <c r="R4" s="27" t="s">
        <v>2549</v>
      </c>
      <c r="S4" s="4" t="s">
        <v>475</v>
      </c>
      <c r="T4" s="27" t="s">
        <v>470</v>
      </c>
      <c r="U4" s="4"/>
      <c r="V4" s="4"/>
      <c r="W4" s="4"/>
      <c r="X4" s="4"/>
      <c r="Y4" s="4"/>
      <c r="Z4" s="4"/>
      <c r="AA4" s="4"/>
      <c r="AB4" s="4"/>
    </row>
    <row r="5" spans="1:28" x14ac:dyDescent="0.25">
      <c r="A5" s="27" t="s">
        <v>588</v>
      </c>
      <c r="B5" s="27" t="str">
        <f t="shared" si="0"/>
        <v>Alabama</v>
      </c>
      <c r="C5" s="27" t="str">
        <f t="shared" si="1"/>
        <v>Barbour</v>
      </c>
      <c r="D5" s="27">
        <v>3800</v>
      </c>
      <c r="E5" s="27">
        <f>'AL pre'!I4</f>
        <v>123</v>
      </c>
      <c r="F5" s="26">
        <f>'AL pre'!P4</f>
        <v>98.15789473684211</v>
      </c>
      <c r="G5" s="2">
        <v>10777</v>
      </c>
      <c r="H5" s="28">
        <f>'AL pre'!T4</f>
        <v>23.853658536585368</v>
      </c>
      <c r="I5" s="2">
        <f>'AL pre'!U4</f>
        <v>27103.45</v>
      </c>
      <c r="J5" s="27">
        <v>117</v>
      </c>
      <c r="K5" s="27">
        <f>'AL pre'!Y4</f>
        <v>13000</v>
      </c>
      <c r="L5" s="27">
        <v>1905</v>
      </c>
      <c r="M5" s="4" t="s">
        <v>475</v>
      </c>
      <c r="N5" s="27" t="s">
        <v>469</v>
      </c>
      <c r="O5" s="27" t="str">
        <f t="shared" ref="O5:O68" si="3">O4</f>
        <v>https://babel.hathitrust.org/cgi/pt?id=mdp.39015049037735;view=1up;seq=146</v>
      </c>
      <c r="P5" s="4" t="s">
        <v>475</v>
      </c>
      <c r="Q5" s="27" t="str">
        <f t="shared" si="2"/>
        <v>https://babel.hathitrust.org/cgi/pt?id=mdp.39015049037735;view=1up;seq=146</v>
      </c>
      <c r="R5" s="27" t="s">
        <v>2549</v>
      </c>
      <c r="S5" s="4" t="s">
        <v>475</v>
      </c>
      <c r="T5" s="27" t="s">
        <v>470</v>
      </c>
      <c r="U5" s="4"/>
      <c r="V5" s="4"/>
      <c r="W5" s="4"/>
      <c r="X5" s="4"/>
      <c r="Y5" s="4"/>
      <c r="Z5" s="4"/>
      <c r="AA5" s="4"/>
      <c r="AB5" s="4"/>
    </row>
    <row r="6" spans="1:28" x14ac:dyDescent="0.25">
      <c r="A6" s="27" t="s">
        <v>589</v>
      </c>
      <c r="B6" s="27" t="str">
        <f t="shared" si="0"/>
        <v>Alabama</v>
      </c>
      <c r="C6" s="27" t="str">
        <f t="shared" si="1"/>
        <v>Bibb</v>
      </c>
      <c r="D6" s="27">
        <v>5160</v>
      </c>
      <c r="E6" s="27">
        <f>'AL pre'!I5</f>
        <v>95</v>
      </c>
      <c r="F6" s="26">
        <f>'AL pre'!P5</f>
        <v>140.91472868217053</v>
      </c>
      <c r="G6" s="2">
        <v>6651</v>
      </c>
      <c r="H6" s="28">
        <f>'AL pre'!T5</f>
        <v>35.578947368421055</v>
      </c>
      <c r="I6" s="2">
        <f>'AL pre'!U5</f>
        <v>28830.41</v>
      </c>
      <c r="J6" s="27">
        <v>74</v>
      </c>
      <c r="K6" s="27">
        <f>'AL pre'!Y5</f>
        <v>27850</v>
      </c>
      <c r="L6" s="27">
        <v>1905</v>
      </c>
      <c r="M6" s="4" t="s">
        <v>475</v>
      </c>
      <c r="N6" s="27" t="s">
        <v>469</v>
      </c>
      <c r="O6" s="27" t="str">
        <f t="shared" si="3"/>
        <v>https://babel.hathitrust.org/cgi/pt?id=mdp.39015049037735;view=1up;seq=146</v>
      </c>
      <c r="P6" s="4" t="s">
        <v>475</v>
      </c>
      <c r="Q6" s="27" t="str">
        <f t="shared" si="2"/>
        <v>https://babel.hathitrust.org/cgi/pt?id=mdp.39015049037735;view=1up;seq=146</v>
      </c>
      <c r="R6" s="27" t="s">
        <v>2549</v>
      </c>
      <c r="S6" s="4" t="s">
        <v>475</v>
      </c>
      <c r="T6" s="27" t="s">
        <v>470</v>
      </c>
      <c r="U6" s="4"/>
      <c r="V6" s="4"/>
      <c r="W6" s="4"/>
      <c r="X6" s="4"/>
      <c r="Y6" s="4"/>
      <c r="Z6" s="4"/>
      <c r="AA6" s="4"/>
      <c r="AB6" s="4"/>
    </row>
    <row r="7" spans="1:28" x14ac:dyDescent="0.25">
      <c r="A7" s="27" t="s">
        <v>590</v>
      </c>
      <c r="B7" s="27" t="str">
        <f t="shared" si="0"/>
        <v>Alabama</v>
      </c>
      <c r="C7" s="27" t="str">
        <f t="shared" si="1"/>
        <v>Blount</v>
      </c>
      <c r="D7" s="27">
        <v>2298</v>
      </c>
      <c r="E7" s="27">
        <f>'AL pre'!I6</f>
        <v>68</v>
      </c>
      <c r="F7" s="26">
        <f>'AL pre'!P6</f>
        <v>100</v>
      </c>
      <c r="G7" s="2">
        <v>7216</v>
      </c>
      <c r="H7" s="28">
        <f>'AL pre'!T6</f>
        <v>34.064705882352939</v>
      </c>
      <c r="I7" s="2">
        <f>'AL pre'!U6</f>
        <v>20829.02</v>
      </c>
      <c r="J7" s="27">
        <v>68</v>
      </c>
      <c r="K7" s="27">
        <f>'AL pre'!Y6</f>
        <v>26500</v>
      </c>
      <c r="L7" s="27">
        <v>1905</v>
      </c>
      <c r="M7" s="4" t="s">
        <v>475</v>
      </c>
      <c r="N7" s="27" t="s">
        <v>469</v>
      </c>
      <c r="O7" s="27" t="str">
        <f t="shared" si="3"/>
        <v>https://babel.hathitrust.org/cgi/pt?id=mdp.39015049037735;view=1up;seq=146</v>
      </c>
      <c r="P7" s="4" t="s">
        <v>475</v>
      </c>
      <c r="Q7" s="27" t="str">
        <f t="shared" si="2"/>
        <v>https://babel.hathitrust.org/cgi/pt?id=mdp.39015049037735;view=1up;seq=146</v>
      </c>
      <c r="R7" s="27" t="s">
        <v>2549</v>
      </c>
      <c r="S7" s="4" t="s">
        <v>475</v>
      </c>
      <c r="T7" s="27" t="s">
        <v>470</v>
      </c>
      <c r="U7" s="4"/>
      <c r="V7" s="4"/>
      <c r="W7" s="4"/>
      <c r="X7" s="4"/>
      <c r="Y7" s="4"/>
      <c r="Z7" s="4"/>
      <c r="AA7" s="4"/>
      <c r="AB7" s="4"/>
    </row>
    <row r="8" spans="1:28" x14ac:dyDescent="0.25">
      <c r="A8" s="27" t="s">
        <v>591</v>
      </c>
      <c r="B8" s="27" t="str">
        <f t="shared" si="0"/>
        <v>Alabama</v>
      </c>
      <c r="C8" s="27" t="str">
        <f t="shared" si="1"/>
        <v>Bullock</v>
      </c>
      <c r="D8" s="27">
        <v>3421</v>
      </c>
      <c r="E8" s="27">
        <f>'AL pre'!I7</f>
        <v>94</v>
      </c>
      <c r="F8" s="26">
        <f>'AL pre'!P7</f>
        <v>96.430868167202576</v>
      </c>
      <c r="G8" s="2">
        <v>12626</v>
      </c>
      <c r="H8" s="28">
        <f>'AL pre'!T7</f>
        <v>30.555</v>
      </c>
      <c r="I8" s="2">
        <f>'AL pre'!U7</f>
        <v>24404.959999999999</v>
      </c>
      <c r="J8" s="27">
        <v>76</v>
      </c>
      <c r="K8" s="27">
        <f>'AL pre'!Y7</f>
        <v>47020</v>
      </c>
      <c r="L8" s="27">
        <v>1905</v>
      </c>
      <c r="M8" s="4" t="s">
        <v>475</v>
      </c>
      <c r="N8" s="27" t="s">
        <v>469</v>
      </c>
      <c r="O8" s="27" t="str">
        <f t="shared" si="3"/>
        <v>https://babel.hathitrust.org/cgi/pt?id=mdp.39015049037735;view=1up;seq=146</v>
      </c>
      <c r="P8" s="4" t="s">
        <v>475</v>
      </c>
      <c r="Q8" s="27" t="str">
        <f t="shared" si="2"/>
        <v>https://babel.hathitrust.org/cgi/pt?id=mdp.39015049037735;view=1up;seq=146</v>
      </c>
      <c r="R8" s="27" t="s">
        <v>2549</v>
      </c>
      <c r="S8" s="4" t="s">
        <v>475</v>
      </c>
      <c r="T8" s="27" t="s">
        <v>470</v>
      </c>
      <c r="U8" s="4"/>
      <c r="V8" s="4"/>
      <c r="W8" s="4"/>
      <c r="X8" s="4"/>
      <c r="Y8" s="4"/>
      <c r="Z8" s="4"/>
      <c r="AA8" s="4"/>
      <c r="AB8" s="4"/>
    </row>
    <row r="9" spans="1:28" x14ac:dyDescent="0.25">
      <c r="A9" s="27" t="s">
        <v>592</v>
      </c>
      <c r="B9" s="27" t="str">
        <f t="shared" si="0"/>
        <v>Alabama</v>
      </c>
      <c r="C9" s="27" t="str">
        <f t="shared" si="1"/>
        <v>Butler</v>
      </c>
      <c r="D9" s="27">
        <v>3238</v>
      </c>
      <c r="E9" s="27">
        <f>'AL pre'!I8</f>
        <v>90</v>
      </c>
      <c r="F9" s="26">
        <f>'AL pre'!P8</f>
        <v>102.02347127856702</v>
      </c>
      <c r="G9" s="2">
        <v>9803</v>
      </c>
      <c r="H9" s="28">
        <f>'AL pre'!T8</f>
        <v>36.955555555555556</v>
      </c>
      <c r="I9" s="2">
        <f>'AL pre'!U8</f>
        <v>30500</v>
      </c>
      <c r="J9" s="27">
        <v>92</v>
      </c>
      <c r="K9" s="27">
        <f>'AL pre'!Y8</f>
        <v>5000</v>
      </c>
      <c r="L9" s="27">
        <v>1905</v>
      </c>
      <c r="M9" s="4" t="s">
        <v>475</v>
      </c>
      <c r="N9" s="27" t="s">
        <v>469</v>
      </c>
      <c r="O9" s="27" t="str">
        <f t="shared" si="3"/>
        <v>https://babel.hathitrust.org/cgi/pt?id=mdp.39015049037735;view=1up;seq=146</v>
      </c>
      <c r="P9" s="4" t="s">
        <v>475</v>
      </c>
      <c r="Q9" s="27" t="str">
        <f t="shared" si="2"/>
        <v>https://babel.hathitrust.org/cgi/pt?id=mdp.39015049037735;view=1up;seq=146</v>
      </c>
      <c r="R9" s="27" t="s">
        <v>2549</v>
      </c>
      <c r="S9" s="4" t="s">
        <v>475</v>
      </c>
      <c r="T9" s="27" t="s">
        <v>470</v>
      </c>
      <c r="U9" s="4"/>
      <c r="V9" s="4"/>
      <c r="W9" s="4"/>
      <c r="X9" s="4"/>
      <c r="Y9" s="4"/>
      <c r="Z9" s="4"/>
      <c r="AA9" s="4"/>
      <c r="AB9" s="4"/>
    </row>
    <row r="10" spans="1:28" x14ac:dyDescent="0.25">
      <c r="A10" s="27" t="s">
        <v>593</v>
      </c>
      <c r="B10" s="27" t="str">
        <f t="shared" si="0"/>
        <v>Alabama</v>
      </c>
      <c r="C10" s="27" t="str">
        <f t="shared" si="1"/>
        <v>Calhoun/Benton</v>
      </c>
      <c r="D10" s="27">
        <v>2337</v>
      </c>
      <c r="E10" s="27">
        <f>'AL pre'!I9</f>
        <v>74</v>
      </c>
      <c r="F10" s="26">
        <f>'AL pre'!P9</f>
        <v>104.24518613607189</v>
      </c>
      <c r="G10" s="2">
        <v>9025</v>
      </c>
      <c r="H10" s="28">
        <f>'AL pre'!T9</f>
        <v>39.290810810810811</v>
      </c>
      <c r="I10" s="2">
        <f>'AL pre'!U9</f>
        <v>49407.68</v>
      </c>
      <c r="J10" s="27">
        <v>66</v>
      </c>
      <c r="K10" s="27">
        <f>'AL pre'!Y9</f>
        <v>23200</v>
      </c>
      <c r="L10" s="27">
        <v>1905</v>
      </c>
      <c r="M10" s="4" t="s">
        <v>475</v>
      </c>
      <c r="N10" s="27" t="s">
        <v>469</v>
      </c>
      <c r="O10" s="27" t="str">
        <f t="shared" si="3"/>
        <v>https://babel.hathitrust.org/cgi/pt?id=mdp.39015049037735;view=1up;seq=146</v>
      </c>
      <c r="P10" s="4" t="s">
        <v>475</v>
      </c>
      <c r="Q10" s="27" t="str">
        <f t="shared" si="2"/>
        <v>https://babel.hathitrust.org/cgi/pt?id=mdp.39015049037735;view=1up;seq=146</v>
      </c>
      <c r="R10" s="27" t="s">
        <v>2549</v>
      </c>
      <c r="S10" s="4" t="s">
        <v>475</v>
      </c>
      <c r="T10" s="27" t="s">
        <v>470</v>
      </c>
      <c r="U10" s="4"/>
      <c r="V10" s="4"/>
      <c r="W10" s="4"/>
      <c r="X10" s="4"/>
      <c r="Y10" s="4"/>
      <c r="Z10" s="4"/>
      <c r="AA10" s="4"/>
      <c r="AB10" s="4"/>
    </row>
    <row r="11" spans="1:28" x14ac:dyDescent="0.25">
      <c r="A11" s="27" t="s">
        <v>594</v>
      </c>
      <c r="B11" s="27" t="str">
        <f t="shared" si="0"/>
        <v>Alabama</v>
      </c>
      <c r="C11" s="27" t="str">
        <f t="shared" si="1"/>
        <v>Chambers</v>
      </c>
      <c r="D11" s="27">
        <v>4673</v>
      </c>
      <c r="E11" s="27">
        <f>'AL pre'!I10</f>
        <v>97</v>
      </c>
      <c r="F11" s="26">
        <f>'AL pre'!P10</f>
        <v>110.90947999144019</v>
      </c>
      <c r="G11" s="2">
        <v>11584</v>
      </c>
      <c r="H11" s="28">
        <f>'AL pre'!T10</f>
        <v>37.618556701030926</v>
      </c>
      <c r="I11" s="2">
        <f>'AL pre'!U10</f>
        <v>34563.089999999997</v>
      </c>
      <c r="J11" s="27">
        <v>80</v>
      </c>
      <c r="K11" s="27">
        <f>'AL pre'!Y10</f>
        <v>38000</v>
      </c>
      <c r="L11" s="27">
        <v>1905</v>
      </c>
      <c r="M11" s="4" t="s">
        <v>475</v>
      </c>
      <c r="N11" s="27" t="s">
        <v>469</v>
      </c>
      <c r="O11" s="27" t="str">
        <f t="shared" si="3"/>
        <v>https://babel.hathitrust.org/cgi/pt?id=mdp.39015049037735;view=1up;seq=146</v>
      </c>
      <c r="P11" s="4" t="s">
        <v>475</v>
      </c>
      <c r="Q11" s="27" t="str">
        <f t="shared" si="2"/>
        <v>https://babel.hathitrust.org/cgi/pt?id=mdp.39015049037735;view=1up;seq=146</v>
      </c>
      <c r="R11" s="27" t="s">
        <v>2549</v>
      </c>
      <c r="S11" s="4" t="s">
        <v>475</v>
      </c>
      <c r="T11" s="27" t="s">
        <v>470</v>
      </c>
      <c r="U11" s="4"/>
      <c r="V11" s="4"/>
      <c r="W11" s="4"/>
      <c r="X11" s="4"/>
      <c r="Y11" s="4"/>
      <c r="Z11" s="4"/>
      <c r="AA11" s="4"/>
      <c r="AB11" s="4"/>
    </row>
    <row r="12" spans="1:28" x14ac:dyDescent="0.25">
      <c r="A12" s="27" t="s">
        <v>595</v>
      </c>
      <c r="B12" s="27" t="str">
        <f t="shared" si="0"/>
        <v>Alabama</v>
      </c>
      <c r="C12" s="27" t="str">
        <f t="shared" si="1"/>
        <v>Cherokee</v>
      </c>
      <c r="D12" s="27">
        <v>1731</v>
      </c>
      <c r="E12" s="27">
        <f>'AL pre'!I11</f>
        <v>60</v>
      </c>
      <c r="F12" s="26">
        <f>'AL pre'!P11</f>
        <v>99.42229924898902</v>
      </c>
      <c r="G12" s="2">
        <v>6586</v>
      </c>
      <c r="H12" s="28">
        <f>'AL pre'!T11</f>
        <v>39.333333333333336</v>
      </c>
      <c r="I12" s="2">
        <f>'AL pre'!U11</f>
        <v>14228.06</v>
      </c>
      <c r="J12" s="27">
        <v>59</v>
      </c>
      <c r="K12" s="27">
        <f>'AL pre'!Y11</f>
        <v>24000</v>
      </c>
      <c r="L12" s="27">
        <v>1905</v>
      </c>
      <c r="M12" s="4" t="s">
        <v>475</v>
      </c>
      <c r="N12" s="27" t="s">
        <v>469</v>
      </c>
      <c r="O12" s="27" t="str">
        <f t="shared" si="3"/>
        <v>https://babel.hathitrust.org/cgi/pt?id=mdp.39015049037735;view=1up;seq=146</v>
      </c>
      <c r="P12" s="4" t="s">
        <v>475</v>
      </c>
      <c r="Q12" s="27" t="str">
        <f t="shared" si="2"/>
        <v>https://babel.hathitrust.org/cgi/pt?id=mdp.39015049037735;view=1up;seq=146</v>
      </c>
      <c r="R12" s="27" t="s">
        <v>2549</v>
      </c>
      <c r="S12" s="4" t="s">
        <v>475</v>
      </c>
      <c r="T12" s="27" t="s">
        <v>470</v>
      </c>
      <c r="U12" s="4"/>
      <c r="V12" s="4"/>
      <c r="W12" s="4"/>
      <c r="X12" s="4"/>
      <c r="Y12" s="4"/>
      <c r="Z12" s="4"/>
      <c r="AA12" s="4"/>
      <c r="AB12" s="4"/>
    </row>
    <row r="13" spans="1:28" x14ac:dyDescent="0.25">
      <c r="A13" s="27" t="s">
        <v>596</v>
      </c>
      <c r="B13" s="27" t="str">
        <f t="shared" si="0"/>
        <v>Alabama</v>
      </c>
      <c r="C13" s="27" t="str">
        <f t="shared" si="1"/>
        <v>Chilton/Baker</v>
      </c>
      <c r="D13" s="27">
        <v>2368</v>
      </c>
      <c r="E13" s="27">
        <f>'AL pre'!I12</f>
        <v>76</v>
      </c>
      <c r="F13" s="26">
        <f>'AL pre'!P12</f>
        <v>92.980152027027032</v>
      </c>
      <c r="G13" s="2">
        <v>6513</v>
      </c>
      <c r="H13" s="28">
        <f>'AL pre'!T12</f>
        <v>30.542631578947372</v>
      </c>
      <c r="I13" s="2">
        <f>'AL pre'!U12</f>
        <v>22043.05</v>
      </c>
      <c r="J13" s="27">
        <v>70</v>
      </c>
      <c r="K13" s="27">
        <f>'AL pre'!Y12</f>
        <v>43935</v>
      </c>
      <c r="L13" s="27">
        <v>1905</v>
      </c>
      <c r="M13" s="4" t="s">
        <v>475</v>
      </c>
      <c r="N13" s="27" t="s">
        <v>469</v>
      </c>
      <c r="O13" s="27" t="str">
        <f t="shared" si="3"/>
        <v>https://babel.hathitrust.org/cgi/pt?id=mdp.39015049037735;view=1up;seq=146</v>
      </c>
      <c r="P13" s="4" t="s">
        <v>475</v>
      </c>
      <c r="Q13" s="27" t="str">
        <f t="shared" si="2"/>
        <v>https://babel.hathitrust.org/cgi/pt?id=mdp.39015049037735;view=1up;seq=146</v>
      </c>
      <c r="R13" s="27" t="s">
        <v>2549</v>
      </c>
      <c r="S13" s="4" t="s">
        <v>475</v>
      </c>
      <c r="T13" s="27" t="s">
        <v>470</v>
      </c>
      <c r="U13" s="4"/>
      <c r="V13" s="4"/>
      <c r="W13" s="4"/>
      <c r="X13" s="4"/>
      <c r="Y13" s="4"/>
      <c r="Z13" s="4"/>
      <c r="AA13" s="4"/>
      <c r="AB13" s="4"/>
    </row>
    <row r="14" spans="1:28" x14ac:dyDescent="0.25">
      <c r="A14" s="27" t="s">
        <v>597</v>
      </c>
      <c r="B14" s="27" t="str">
        <f t="shared" si="0"/>
        <v>Alabama</v>
      </c>
      <c r="C14" s="27" t="str">
        <f t="shared" si="1"/>
        <v>Choctaw</v>
      </c>
      <c r="D14" s="27">
        <v>2197</v>
      </c>
      <c r="E14" s="27">
        <f>'AL pre'!I13</f>
        <v>53</v>
      </c>
      <c r="F14" s="26">
        <f>'AL pre'!P13</f>
        <v>90.60764679107875</v>
      </c>
      <c r="G14" s="2">
        <v>6383</v>
      </c>
      <c r="H14" s="28">
        <f>'AL pre'!T13</f>
        <v>30.424528301886792</v>
      </c>
      <c r="I14" s="2">
        <f>'AL pre'!U13</f>
        <v>17128.68</v>
      </c>
      <c r="J14" s="27">
        <v>62</v>
      </c>
      <c r="K14" s="27"/>
      <c r="L14" s="27">
        <v>1905</v>
      </c>
      <c r="M14" s="4" t="s">
        <v>475</v>
      </c>
      <c r="N14" s="27" t="s">
        <v>469</v>
      </c>
      <c r="O14" s="27" t="str">
        <f t="shared" si="3"/>
        <v>https://babel.hathitrust.org/cgi/pt?id=mdp.39015049037735;view=1up;seq=146</v>
      </c>
      <c r="P14" s="4" t="s">
        <v>475</v>
      </c>
      <c r="Q14" s="27" t="str">
        <f t="shared" si="2"/>
        <v>https://babel.hathitrust.org/cgi/pt?id=mdp.39015049037735;view=1up;seq=146</v>
      </c>
      <c r="R14" s="27" t="s">
        <v>2549</v>
      </c>
      <c r="S14" s="4" t="s">
        <v>475</v>
      </c>
      <c r="T14" s="27" t="s">
        <v>470</v>
      </c>
      <c r="U14" s="4"/>
      <c r="V14" s="4"/>
      <c r="W14" s="4"/>
      <c r="X14" s="4"/>
      <c r="Y14" s="4"/>
      <c r="Z14" s="4"/>
      <c r="AA14" s="4"/>
      <c r="AB14" s="4"/>
    </row>
    <row r="15" spans="1:28" x14ac:dyDescent="0.25">
      <c r="A15" s="27" t="s">
        <v>598</v>
      </c>
      <c r="B15" s="27" t="str">
        <f t="shared" si="0"/>
        <v>Alabama</v>
      </c>
      <c r="C15" s="27" t="str">
        <f t="shared" si="1"/>
        <v>Clarke</v>
      </c>
      <c r="D15" s="27">
        <v>2790</v>
      </c>
      <c r="E15" s="27">
        <f>'AL pre'!I14</f>
        <v>80</v>
      </c>
      <c r="F15" s="26">
        <f>'AL pre'!P14</f>
        <v>106.70967741935483</v>
      </c>
      <c r="G15" s="2">
        <v>9132</v>
      </c>
      <c r="H15" s="28">
        <f>'AL pre'!T14</f>
        <v>31.912500000000001</v>
      </c>
      <c r="I15" s="2">
        <f>'AL pre'!U14</f>
        <v>25468.07</v>
      </c>
      <c r="J15" s="27">
        <v>99</v>
      </c>
      <c r="K15" s="27">
        <f>'AL pre'!Y14</f>
        <v>33000</v>
      </c>
      <c r="L15" s="27">
        <v>1905</v>
      </c>
      <c r="M15" s="4" t="s">
        <v>475</v>
      </c>
      <c r="N15" s="27" t="s">
        <v>469</v>
      </c>
      <c r="O15" s="27" t="str">
        <f t="shared" si="3"/>
        <v>https://babel.hathitrust.org/cgi/pt?id=mdp.39015049037735;view=1up;seq=146</v>
      </c>
      <c r="P15" s="4" t="s">
        <v>475</v>
      </c>
      <c r="Q15" s="27" t="str">
        <f t="shared" si="2"/>
        <v>https://babel.hathitrust.org/cgi/pt?id=mdp.39015049037735;view=1up;seq=146</v>
      </c>
      <c r="R15" s="27" t="s">
        <v>2549</v>
      </c>
      <c r="S15" s="4" t="s">
        <v>475</v>
      </c>
      <c r="T15" s="27" t="s">
        <v>470</v>
      </c>
      <c r="U15" s="4"/>
      <c r="V15" s="4"/>
      <c r="W15" s="4"/>
      <c r="X15" s="4"/>
      <c r="Y15" s="4"/>
      <c r="Z15" s="4"/>
      <c r="AA15" s="4"/>
      <c r="AB15" s="4"/>
    </row>
    <row r="16" spans="1:28" x14ac:dyDescent="0.25">
      <c r="A16" s="27" t="s">
        <v>599</v>
      </c>
      <c r="B16" s="27" t="str">
        <f t="shared" si="0"/>
        <v>Alabama</v>
      </c>
      <c r="C16" s="27" t="str">
        <f t="shared" si="1"/>
        <v>Clay</v>
      </c>
      <c r="D16" s="27">
        <v>1898</v>
      </c>
      <c r="E16" s="27">
        <f>'AL pre'!I15</f>
        <v>72</v>
      </c>
      <c r="F16" s="26">
        <f>'AL pre'!P15</f>
        <v>124.9968387776607</v>
      </c>
      <c r="G16" s="2">
        <v>6446</v>
      </c>
      <c r="H16" s="28">
        <f>'AL pre'!T15</f>
        <v>25.666666666666668</v>
      </c>
      <c r="I16" s="2">
        <f>'AL pre'!U15</f>
        <v>16695.900000000001</v>
      </c>
      <c r="J16" s="27">
        <v>65</v>
      </c>
      <c r="K16" s="27">
        <f>'AL pre'!Y15</f>
        <v>33000</v>
      </c>
      <c r="L16" s="27">
        <v>1905</v>
      </c>
      <c r="M16" s="4" t="s">
        <v>2546</v>
      </c>
      <c r="N16" s="27" t="s">
        <v>469</v>
      </c>
      <c r="O16" s="27" t="str">
        <f t="shared" si="3"/>
        <v>https://babel.hathitrust.org/cgi/pt?id=mdp.39015049037735;view=1up;seq=146</v>
      </c>
      <c r="P16" s="4" t="s">
        <v>2546</v>
      </c>
      <c r="Q16" s="27" t="str">
        <f t="shared" si="2"/>
        <v>https://babel.hathitrust.org/cgi/pt?id=mdp.39015049037735;view=1up;seq=146</v>
      </c>
      <c r="R16" s="4" t="s">
        <v>2550</v>
      </c>
      <c r="S16" s="4" t="s">
        <v>2546</v>
      </c>
      <c r="T16" s="27" t="s">
        <v>471</v>
      </c>
      <c r="U16" s="4"/>
      <c r="V16" s="4"/>
      <c r="W16" s="4"/>
      <c r="X16" s="4"/>
      <c r="Y16" s="4"/>
      <c r="Z16" s="4"/>
      <c r="AA16" s="4"/>
      <c r="AB16" s="4"/>
    </row>
    <row r="17" spans="1:28" x14ac:dyDescent="0.25">
      <c r="A17" s="27" t="s">
        <v>600</v>
      </c>
      <c r="B17" s="27" t="str">
        <f t="shared" si="0"/>
        <v>Alabama</v>
      </c>
      <c r="C17" s="27" t="str">
        <f t="shared" si="1"/>
        <v>Cleburne</v>
      </c>
      <c r="D17" s="27">
        <v>1765</v>
      </c>
      <c r="E17" s="27">
        <f>'AL pre'!I16</f>
        <v>57</v>
      </c>
      <c r="F17" s="26">
        <f>'AL pre'!P16</f>
        <v>105</v>
      </c>
      <c r="G17" s="2">
        <v>4757</v>
      </c>
      <c r="H17" s="28">
        <f>'AL pre'!T16</f>
        <v>39.473684210526315</v>
      </c>
      <c r="I17" s="2">
        <f>'AL pre'!U16</f>
        <v>11088.09</v>
      </c>
      <c r="J17" s="27">
        <v>46</v>
      </c>
      <c r="K17" s="27">
        <f>'AL pre'!Y16</f>
        <v>22200</v>
      </c>
      <c r="L17" s="27">
        <v>1905</v>
      </c>
      <c r="M17" s="4" t="s">
        <v>2546</v>
      </c>
      <c r="N17" s="27" t="s">
        <v>472</v>
      </c>
      <c r="O17" s="27" t="str">
        <f t="shared" si="3"/>
        <v>https://babel.hathitrust.org/cgi/pt?id=mdp.39015049037735;view=1up;seq=146</v>
      </c>
      <c r="P17" s="4" t="s">
        <v>2546</v>
      </c>
      <c r="Q17" s="27" t="str">
        <f t="shared" si="2"/>
        <v>https://babel.hathitrust.org/cgi/pt?id=mdp.39015049037735;view=1up;seq=146</v>
      </c>
      <c r="R17" s="27" t="s">
        <v>2550</v>
      </c>
      <c r="S17" s="4" t="s">
        <v>2546</v>
      </c>
      <c r="T17" s="27" t="s">
        <v>471</v>
      </c>
      <c r="U17" s="4"/>
      <c r="V17" s="4"/>
      <c r="W17" s="4"/>
      <c r="X17" s="4"/>
      <c r="Y17" s="4"/>
      <c r="Z17" s="4"/>
      <c r="AA17" s="4"/>
      <c r="AB17" s="4"/>
    </row>
    <row r="18" spans="1:28" x14ac:dyDescent="0.25">
      <c r="A18" s="27" t="s">
        <v>601</v>
      </c>
      <c r="B18" s="27" t="str">
        <f t="shared" si="0"/>
        <v>Alabama</v>
      </c>
      <c r="C18" s="27" t="str">
        <f t="shared" si="1"/>
        <v>Coffee</v>
      </c>
      <c r="D18" s="27">
        <v>2670</v>
      </c>
      <c r="E18" s="27">
        <f>'AL pre'!I17</f>
        <v>90</v>
      </c>
      <c r="F18" s="26">
        <f>'AL pre'!P17</f>
        <v>79.238202247191012</v>
      </c>
      <c r="G18" s="2">
        <v>9018</v>
      </c>
      <c r="H18" s="28">
        <f>'AL pre'!T17</f>
        <v>41.185777777777773</v>
      </c>
      <c r="I18" s="2">
        <f>'AL pre'!U17</f>
        <v>25206</v>
      </c>
      <c r="J18" s="27">
        <v>80</v>
      </c>
      <c r="K18" s="27">
        <f>'AL pre'!Y17</f>
        <v>14800</v>
      </c>
      <c r="L18" s="27">
        <v>1905</v>
      </c>
      <c r="M18" s="4" t="s">
        <v>2546</v>
      </c>
      <c r="N18" s="27" t="s">
        <v>472</v>
      </c>
      <c r="O18" s="27" t="str">
        <f t="shared" si="3"/>
        <v>https://babel.hathitrust.org/cgi/pt?id=mdp.39015049037735;view=1up;seq=146</v>
      </c>
      <c r="P18" s="4" t="s">
        <v>2546</v>
      </c>
      <c r="Q18" s="27" t="str">
        <f t="shared" si="2"/>
        <v>https://babel.hathitrust.org/cgi/pt?id=mdp.39015049037735;view=1up;seq=146</v>
      </c>
      <c r="R18" s="27" t="s">
        <v>2550</v>
      </c>
      <c r="S18" s="4" t="s">
        <v>2546</v>
      </c>
      <c r="T18" s="27" t="s">
        <v>471</v>
      </c>
      <c r="U18" s="4"/>
      <c r="V18" s="4"/>
      <c r="W18" s="4"/>
      <c r="X18" s="4"/>
      <c r="Y18" s="4"/>
      <c r="Z18" s="4"/>
      <c r="AA18" s="4"/>
      <c r="AB18" s="4"/>
    </row>
    <row r="19" spans="1:28" x14ac:dyDescent="0.25">
      <c r="A19" s="27" t="s">
        <v>602</v>
      </c>
      <c r="B19" s="27" t="str">
        <f t="shared" si="0"/>
        <v>Alabama</v>
      </c>
      <c r="C19" s="27" t="str">
        <f t="shared" si="1"/>
        <v>Colbert</v>
      </c>
      <c r="D19" s="27">
        <v>1168</v>
      </c>
      <c r="E19" s="27">
        <f>'AL pre'!I18</f>
        <v>51</v>
      </c>
      <c r="F19" s="26">
        <f>'AL pre'!P18</f>
        <v>96</v>
      </c>
      <c r="G19" s="2">
        <v>4958</v>
      </c>
      <c r="H19" s="28">
        <f>'AL pre'!T18</f>
        <v>26.869999999999997</v>
      </c>
      <c r="I19" s="2">
        <f>'AL pre'!U18</f>
        <v>32899.07</v>
      </c>
      <c r="J19" s="27">
        <v>51</v>
      </c>
      <c r="K19" s="27">
        <f>'AL pre'!Y18</f>
        <v>34000</v>
      </c>
      <c r="L19" s="27">
        <v>1905</v>
      </c>
      <c r="M19" s="4" t="s">
        <v>2546</v>
      </c>
      <c r="N19" s="27" t="s">
        <v>472</v>
      </c>
      <c r="O19" s="27" t="str">
        <f t="shared" si="3"/>
        <v>https://babel.hathitrust.org/cgi/pt?id=mdp.39015049037735;view=1up;seq=146</v>
      </c>
      <c r="P19" s="4" t="s">
        <v>2546</v>
      </c>
      <c r="Q19" s="27" t="str">
        <f t="shared" si="2"/>
        <v>https://babel.hathitrust.org/cgi/pt?id=mdp.39015049037735;view=1up;seq=146</v>
      </c>
      <c r="R19" s="27" t="s">
        <v>2550</v>
      </c>
      <c r="S19" s="4" t="s">
        <v>2546</v>
      </c>
      <c r="T19" s="27" t="s">
        <v>471</v>
      </c>
      <c r="U19" s="4"/>
      <c r="V19" s="4"/>
      <c r="W19" s="4"/>
      <c r="X19" s="4"/>
      <c r="Y19" s="4"/>
      <c r="Z19" s="4"/>
      <c r="AA19" s="4"/>
      <c r="AB19" s="4"/>
    </row>
    <row r="20" spans="1:28" x14ac:dyDescent="0.25">
      <c r="A20" s="27" t="s">
        <v>603</v>
      </c>
      <c r="B20" s="27" t="str">
        <f t="shared" si="0"/>
        <v>Alabama</v>
      </c>
      <c r="C20" s="27" t="str">
        <f t="shared" si="1"/>
        <v>Conecuh</v>
      </c>
      <c r="D20" s="27">
        <v>2366</v>
      </c>
      <c r="E20" s="27">
        <f>'AL pre'!I19</f>
        <v>78</v>
      </c>
      <c r="F20" s="26">
        <f>'AL pre'!P19</f>
        <v>83.309382924767547</v>
      </c>
      <c r="G20" s="2">
        <v>6670</v>
      </c>
      <c r="H20" s="28">
        <f>'AL pre'!T19</f>
        <v>30.155897435897433</v>
      </c>
      <c r="I20" s="2">
        <f>'AL pre'!U19</f>
        <v>14460.73</v>
      </c>
      <c r="J20" s="27">
        <v>78</v>
      </c>
      <c r="K20" s="27">
        <f>'AL pre'!Y19</f>
        <v>77500</v>
      </c>
      <c r="L20" s="27">
        <v>1905</v>
      </c>
      <c r="M20" s="4" t="s">
        <v>2546</v>
      </c>
      <c r="N20" s="27" t="s">
        <v>472</v>
      </c>
      <c r="O20" s="27" t="str">
        <f t="shared" si="3"/>
        <v>https://babel.hathitrust.org/cgi/pt?id=mdp.39015049037735;view=1up;seq=146</v>
      </c>
      <c r="P20" s="4" t="s">
        <v>2546</v>
      </c>
      <c r="Q20" s="27" t="str">
        <f t="shared" si="2"/>
        <v>https://babel.hathitrust.org/cgi/pt?id=mdp.39015049037735;view=1up;seq=146</v>
      </c>
      <c r="R20" s="27" t="s">
        <v>2550</v>
      </c>
      <c r="S20" s="4" t="s">
        <v>2546</v>
      </c>
      <c r="T20" s="27" t="s">
        <v>471</v>
      </c>
      <c r="U20" s="4"/>
      <c r="V20" s="4"/>
      <c r="W20" s="4"/>
      <c r="X20" s="4"/>
      <c r="Y20" s="4"/>
      <c r="Z20" s="4"/>
      <c r="AA20" s="4"/>
      <c r="AB20" s="4"/>
    </row>
    <row r="21" spans="1:28" x14ac:dyDescent="0.25">
      <c r="A21" s="27" t="s">
        <v>604</v>
      </c>
      <c r="B21" s="27" t="str">
        <f t="shared" si="0"/>
        <v>Alabama</v>
      </c>
      <c r="C21" s="27" t="str">
        <f t="shared" si="1"/>
        <v>Coosa</v>
      </c>
      <c r="D21" s="27">
        <v>2110</v>
      </c>
      <c r="E21" s="27">
        <f>'AL pre'!I20</f>
        <v>67</v>
      </c>
      <c r="F21" s="26">
        <f>'AL pre'!P20</f>
        <v>99.521327014218016</v>
      </c>
      <c r="G21" s="2">
        <v>6000</v>
      </c>
      <c r="H21" s="28">
        <f>'AL pre'!T20</f>
        <v>28.607014925373136</v>
      </c>
      <c r="I21" s="2">
        <f>'AL pre'!U20</f>
        <v>15557.01</v>
      </c>
      <c r="J21" s="27">
        <v>57</v>
      </c>
      <c r="K21" s="27">
        <f>'AL pre'!Y20</f>
        <v>11000</v>
      </c>
      <c r="L21" s="27">
        <v>1905</v>
      </c>
      <c r="M21" s="4" t="s">
        <v>2546</v>
      </c>
      <c r="N21" s="27" t="s">
        <v>472</v>
      </c>
      <c r="O21" s="27" t="str">
        <f t="shared" si="3"/>
        <v>https://babel.hathitrust.org/cgi/pt?id=mdp.39015049037735;view=1up;seq=146</v>
      </c>
      <c r="P21" s="4" t="s">
        <v>2546</v>
      </c>
      <c r="Q21" s="27" t="str">
        <f t="shared" si="2"/>
        <v>https://babel.hathitrust.org/cgi/pt?id=mdp.39015049037735;view=1up;seq=146</v>
      </c>
      <c r="R21" s="27" t="s">
        <v>2550</v>
      </c>
      <c r="S21" s="4" t="s">
        <v>2546</v>
      </c>
      <c r="T21" s="27" t="s">
        <v>471</v>
      </c>
      <c r="U21" s="4"/>
      <c r="V21" s="4"/>
      <c r="W21" s="4"/>
      <c r="X21" s="4"/>
      <c r="Y21" s="4"/>
      <c r="Z21" s="4"/>
      <c r="AA21" s="4"/>
      <c r="AB21" s="4"/>
    </row>
    <row r="22" spans="1:28" x14ac:dyDescent="0.25">
      <c r="A22" s="27" t="s">
        <v>605</v>
      </c>
      <c r="B22" s="27" t="str">
        <f t="shared" si="0"/>
        <v>Alabama</v>
      </c>
      <c r="C22" s="27" t="str">
        <f t="shared" si="1"/>
        <v>Covington</v>
      </c>
      <c r="D22" s="27">
        <v>2042</v>
      </c>
      <c r="E22" s="27">
        <f>'AL pre'!I21</f>
        <v>73</v>
      </c>
      <c r="F22" s="26">
        <f>'AL pre'!P21</f>
        <v>88.927522037218409</v>
      </c>
      <c r="G22" s="2">
        <v>7483</v>
      </c>
      <c r="H22" s="28">
        <f>'AL pre'!T21</f>
        <v>36.606164383561641</v>
      </c>
      <c r="I22" s="2">
        <f>'AL pre'!U21</f>
        <v>18798.55</v>
      </c>
      <c r="J22" s="27">
        <v>61</v>
      </c>
      <c r="K22" s="27">
        <f>'AL pre'!Y21</f>
        <v>13200</v>
      </c>
      <c r="L22" s="27">
        <v>1905</v>
      </c>
      <c r="M22" s="4" t="s">
        <v>2546</v>
      </c>
      <c r="N22" s="27" t="s">
        <v>472</v>
      </c>
      <c r="O22" s="27" t="str">
        <f t="shared" si="3"/>
        <v>https://babel.hathitrust.org/cgi/pt?id=mdp.39015049037735;view=1up;seq=146</v>
      </c>
      <c r="P22" s="4" t="s">
        <v>2546</v>
      </c>
      <c r="Q22" s="27" t="str">
        <f t="shared" si="2"/>
        <v>https://babel.hathitrust.org/cgi/pt?id=mdp.39015049037735;view=1up;seq=146</v>
      </c>
      <c r="R22" s="27" t="s">
        <v>2550</v>
      </c>
      <c r="S22" s="4" t="s">
        <v>2546</v>
      </c>
      <c r="T22" s="27" t="s">
        <v>471</v>
      </c>
      <c r="U22" s="4"/>
      <c r="V22" s="4"/>
      <c r="W22" s="4"/>
      <c r="X22" s="4"/>
      <c r="Y22" s="4"/>
      <c r="Z22" s="4"/>
      <c r="AA22" s="4"/>
      <c r="AB22" s="4"/>
    </row>
    <row r="23" spans="1:28" x14ac:dyDescent="0.25">
      <c r="A23" s="27" t="s">
        <v>606</v>
      </c>
      <c r="B23" s="27" t="str">
        <f t="shared" si="0"/>
        <v>Alabama</v>
      </c>
      <c r="C23" s="27" t="str">
        <f t="shared" si="1"/>
        <v>Crenshaw</v>
      </c>
      <c r="D23" s="27">
        <v>2643</v>
      </c>
      <c r="E23" s="27">
        <f>'AL pre'!I22</f>
        <v>96</v>
      </c>
      <c r="F23" s="26">
        <f>'AL pre'!P22</f>
        <v>97.282633371169126</v>
      </c>
      <c r="G23" s="2">
        <v>7349</v>
      </c>
      <c r="H23" s="28">
        <f>'AL pre'!T22</f>
        <v>29.041666666666668</v>
      </c>
      <c r="I23" s="2">
        <f>'AL pre'!U22</f>
        <v>27074.09</v>
      </c>
      <c r="J23" s="27">
        <v>72</v>
      </c>
      <c r="K23" s="27">
        <f>'AL pre'!Y22</f>
        <v>29000</v>
      </c>
      <c r="L23" s="27">
        <v>1905</v>
      </c>
      <c r="M23" s="4" t="s">
        <v>2546</v>
      </c>
      <c r="N23" s="27" t="s">
        <v>472</v>
      </c>
      <c r="O23" s="27" t="str">
        <f t="shared" si="3"/>
        <v>https://babel.hathitrust.org/cgi/pt?id=mdp.39015049037735;view=1up;seq=146</v>
      </c>
      <c r="P23" s="4" t="s">
        <v>2546</v>
      </c>
      <c r="Q23" s="27" t="str">
        <f t="shared" si="2"/>
        <v>https://babel.hathitrust.org/cgi/pt?id=mdp.39015049037735;view=1up;seq=146</v>
      </c>
      <c r="R23" s="27" t="s">
        <v>2550</v>
      </c>
      <c r="S23" s="4" t="s">
        <v>2546</v>
      </c>
      <c r="T23" s="27" t="s">
        <v>471</v>
      </c>
      <c r="U23" s="4"/>
      <c r="V23" s="4"/>
      <c r="W23" s="4"/>
      <c r="X23" s="4"/>
      <c r="Y23" s="4"/>
      <c r="Z23" s="4"/>
      <c r="AA23" s="4"/>
      <c r="AB23" s="4"/>
    </row>
    <row r="24" spans="1:28" x14ac:dyDescent="0.25">
      <c r="A24" s="27" t="s">
        <v>607</v>
      </c>
      <c r="B24" s="27" t="str">
        <f t="shared" si="0"/>
        <v>Alabama</v>
      </c>
      <c r="C24" s="27" t="str">
        <f t="shared" si="1"/>
        <v>Cullman</v>
      </c>
      <c r="D24" s="27">
        <v>2405</v>
      </c>
      <c r="E24" s="27">
        <f>'AL pre'!I23</f>
        <v>70</v>
      </c>
      <c r="F24" s="26">
        <f>'AL pre'!P23</f>
        <v>90</v>
      </c>
      <c r="G24" s="2">
        <v>8240</v>
      </c>
      <c r="H24" s="28">
        <f>'AL pre'!T23</f>
        <v>37.5</v>
      </c>
      <c r="I24" s="2">
        <f>'AL pre'!U23</f>
        <v>26362.55</v>
      </c>
      <c r="J24" s="27">
        <v>67</v>
      </c>
      <c r="K24" s="27">
        <f>'AL pre'!Y23</f>
        <v>23500</v>
      </c>
      <c r="L24" s="27">
        <v>1905</v>
      </c>
      <c r="M24" s="4" t="s">
        <v>2546</v>
      </c>
      <c r="N24" s="27" t="s">
        <v>472</v>
      </c>
      <c r="O24" s="27" t="str">
        <f t="shared" si="3"/>
        <v>https://babel.hathitrust.org/cgi/pt?id=mdp.39015049037735;view=1up;seq=146</v>
      </c>
      <c r="P24" s="4" t="s">
        <v>2546</v>
      </c>
      <c r="Q24" s="27" t="str">
        <f t="shared" si="2"/>
        <v>https://babel.hathitrust.org/cgi/pt?id=mdp.39015049037735;view=1up;seq=146</v>
      </c>
      <c r="R24" s="27" t="s">
        <v>2550</v>
      </c>
      <c r="S24" s="4" t="s">
        <v>2546</v>
      </c>
      <c r="T24" s="27" t="s">
        <v>471</v>
      </c>
      <c r="U24" s="4"/>
      <c r="V24" s="4"/>
      <c r="W24" s="4"/>
      <c r="X24" s="4"/>
      <c r="Y24" s="4"/>
      <c r="Z24" s="4"/>
      <c r="AA24" s="4"/>
      <c r="AB24" s="4"/>
    </row>
    <row r="25" spans="1:28" x14ac:dyDescent="0.25">
      <c r="A25" s="27" t="s">
        <v>608</v>
      </c>
      <c r="B25" s="27" t="str">
        <f t="shared" si="0"/>
        <v>Alabama</v>
      </c>
      <c r="C25" s="27" t="str">
        <f t="shared" si="1"/>
        <v>Dale</v>
      </c>
      <c r="D25" s="27">
        <v>1620</v>
      </c>
      <c r="E25" s="27">
        <f>'AL pre'!I24</f>
        <v>81</v>
      </c>
      <c r="F25" s="26">
        <f>'AL pre'!P24</f>
        <v>86.962962962962962</v>
      </c>
      <c r="G25" s="2">
        <v>7005</v>
      </c>
      <c r="H25" s="28">
        <f>'AL pre'!T24</f>
        <v>36.453580246913575</v>
      </c>
      <c r="I25" s="2">
        <f>'AL pre'!U24</f>
        <v>18195.57</v>
      </c>
      <c r="J25" s="27">
        <v>76</v>
      </c>
      <c r="K25" s="27">
        <f>'AL pre'!Y24</f>
        <v>23200</v>
      </c>
      <c r="L25" s="27">
        <v>1905</v>
      </c>
      <c r="M25" s="4" t="s">
        <v>2546</v>
      </c>
      <c r="N25" s="27" t="s">
        <v>472</v>
      </c>
      <c r="O25" s="27" t="str">
        <f t="shared" si="3"/>
        <v>https://babel.hathitrust.org/cgi/pt?id=mdp.39015049037735;view=1up;seq=146</v>
      </c>
      <c r="P25" s="4" t="s">
        <v>2546</v>
      </c>
      <c r="Q25" s="27" t="str">
        <f t="shared" si="2"/>
        <v>https://babel.hathitrust.org/cgi/pt?id=mdp.39015049037735;view=1up;seq=146</v>
      </c>
      <c r="R25" s="27" t="s">
        <v>2550</v>
      </c>
      <c r="S25" s="4" t="s">
        <v>2546</v>
      </c>
      <c r="T25" s="27" t="s">
        <v>471</v>
      </c>
      <c r="U25" s="4"/>
      <c r="V25" s="4"/>
      <c r="W25" s="4"/>
      <c r="X25" s="4"/>
      <c r="Y25" s="4"/>
      <c r="Z25" s="4"/>
      <c r="AA25" s="4"/>
      <c r="AB25" s="4"/>
    </row>
    <row r="26" spans="1:28" x14ac:dyDescent="0.25">
      <c r="A26" s="27" t="s">
        <v>609</v>
      </c>
      <c r="B26" s="27" t="str">
        <f t="shared" si="0"/>
        <v>Alabama</v>
      </c>
      <c r="C26" s="27" t="str">
        <f t="shared" si="1"/>
        <v>Dallas</v>
      </c>
      <c r="D26" s="27">
        <v>3376</v>
      </c>
      <c r="E26" s="27">
        <f>'AL pre'!I25</f>
        <v>125</v>
      </c>
      <c r="F26" s="26">
        <f>'AL pre'!P25</f>
        <v>108.61374407582939</v>
      </c>
      <c r="G26" s="2">
        <v>15867</v>
      </c>
      <c r="H26" s="28">
        <f>'AL pre'!T25</f>
        <v>29.52</v>
      </c>
      <c r="I26" s="2">
        <f>'AL pre'!U25</f>
        <v>48817.49</v>
      </c>
      <c r="J26" s="27">
        <v>122</v>
      </c>
      <c r="K26" s="27">
        <f>'AL pre'!Y25</f>
        <v>16200</v>
      </c>
      <c r="L26" s="27">
        <v>1905</v>
      </c>
      <c r="M26" s="4" t="s">
        <v>2546</v>
      </c>
      <c r="N26" s="27" t="s">
        <v>472</v>
      </c>
      <c r="O26" s="27" t="str">
        <f t="shared" si="3"/>
        <v>https://babel.hathitrust.org/cgi/pt?id=mdp.39015049037735;view=1up;seq=146</v>
      </c>
      <c r="P26" s="4" t="s">
        <v>2546</v>
      </c>
      <c r="Q26" s="27" t="str">
        <f t="shared" si="2"/>
        <v>https://babel.hathitrust.org/cgi/pt?id=mdp.39015049037735;view=1up;seq=146</v>
      </c>
      <c r="R26" s="27" t="s">
        <v>2550</v>
      </c>
      <c r="S26" s="4" t="s">
        <v>2546</v>
      </c>
      <c r="T26" s="27" t="s">
        <v>471</v>
      </c>
      <c r="U26" s="4"/>
      <c r="V26" s="4"/>
      <c r="W26" s="4"/>
      <c r="X26" s="4"/>
      <c r="Y26" s="4"/>
      <c r="Z26" s="4"/>
      <c r="AA26" s="4"/>
      <c r="AB26" s="4"/>
    </row>
    <row r="27" spans="1:28" x14ac:dyDescent="0.25">
      <c r="A27" s="27" t="s">
        <v>610</v>
      </c>
      <c r="B27" s="27" t="str">
        <f t="shared" si="0"/>
        <v>Alabama</v>
      </c>
      <c r="C27" s="27" t="str">
        <f t="shared" si="1"/>
        <v>DeKalb</v>
      </c>
      <c r="D27" s="27">
        <v>3036</v>
      </c>
      <c r="E27" s="27">
        <f>'AL pre'!I26</f>
        <v>101</v>
      </c>
      <c r="F27" s="26">
        <f>'AL pre'!P26</f>
        <v>94.604743083003953</v>
      </c>
      <c r="G27" s="2">
        <v>8810</v>
      </c>
      <c r="H27" s="28">
        <f>'AL pre'!T26</f>
        <v>34.702970297029701</v>
      </c>
      <c r="I27" s="2">
        <f>'AL pre'!U26</f>
        <v>21443.07</v>
      </c>
      <c r="J27" s="27">
        <v>93</v>
      </c>
      <c r="K27" s="27"/>
      <c r="L27" s="27">
        <v>1905</v>
      </c>
      <c r="M27" s="4" t="s">
        <v>2546</v>
      </c>
      <c r="N27" s="27" t="s">
        <v>472</v>
      </c>
      <c r="O27" s="27" t="str">
        <f t="shared" si="3"/>
        <v>https://babel.hathitrust.org/cgi/pt?id=mdp.39015049037735;view=1up;seq=146</v>
      </c>
      <c r="P27" s="4" t="s">
        <v>2546</v>
      </c>
      <c r="Q27" s="27" t="str">
        <f t="shared" si="2"/>
        <v>https://babel.hathitrust.org/cgi/pt?id=mdp.39015049037735;view=1up;seq=146</v>
      </c>
      <c r="R27" s="27" t="s">
        <v>2550</v>
      </c>
      <c r="S27" s="4" t="s">
        <v>2546</v>
      </c>
      <c r="T27" s="27" t="s">
        <v>473</v>
      </c>
      <c r="U27" s="4"/>
      <c r="V27" s="4"/>
      <c r="W27" s="4"/>
      <c r="X27" s="4"/>
      <c r="Y27" s="4"/>
      <c r="Z27" s="4"/>
      <c r="AA27" s="4"/>
      <c r="AB27" s="4"/>
    </row>
    <row r="28" spans="1:28" x14ac:dyDescent="0.25">
      <c r="A28" s="27" t="s">
        <v>611</v>
      </c>
      <c r="B28" s="27" t="str">
        <f t="shared" si="0"/>
        <v>Alabama</v>
      </c>
      <c r="C28" s="27" t="str">
        <f t="shared" si="1"/>
        <v>Elmore</v>
      </c>
      <c r="D28" s="27">
        <v>3200</v>
      </c>
      <c r="E28" s="27">
        <f>'AL pre'!I27</f>
        <v>75</v>
      </c>
      <c r="F28" s="26">
        <f>'AL pre'!P27</f>
        <v>112.1875</v>
      </c>
      <c r="G28" s="2">
        <v>7795</v>
      </c>
      <c r="H28" s="28">
        <f>'AL pre'!T27</f>
        <v>25.724800000000002</v>
      </c>
      <c r="I28" s="2">
        <f>'AL pre'!U27</f>
        <v>24236.41</v>
      </c>
      <c r="J28" s="27">
        <v>68</v>
      </c>
      <c r="K28" s="27">
        <f>'AL pre'!Y27</f>
        <v>21750</v>
      </c>
      <c r="L28" s="27">
        <v>1905</v>
      </c>
      <c r="M28" s="4" t="s">
        <v>2546</v>
      </c>
      <c r="N28" s="27" t="s">
        <v>472</v>
      </c>
      <c r="O28" s="27" t="str">
        <f t="shared" si="3"/>
        <v>https://babel.hathitrust.org/cgi/pt?id=mdp.39015049037735;view=1up;seq=146</v>
      </c>
      <c r="P28" s="4" t="s">
        <v>2546</v>
      </c>
      <c r="Q28" s="27" t="str">
        <f t="shared" si="2"/>
        <v>https://babel.hathitrust.org/cgi/pt?id=mdp.39015049037735;view=1up;seq=146</v>
      </c>
      <c r="R28" s="27" t="s">
        <v>2550</v>
      </c>
      <c r="S28" s="4" t="s">
        <v>2546</v>
      </c>
      <c r="T28" s="27" t="s">
        <v>473</v>
      </c>
      <c r="U28" s="4"/>
      <c r="V28" s="4"/>
      <c r="W28" s="4"/>
      <c r="X28" s="4"/>
      <c r="Y28" s="4"/>
      <c r="Z28" s="4"/>
      <c r="AA28" s="4"/>
      <c r="AB28" s="4"/>
    </row>
    <row r="29" spans="1:28" x14ac:dyDescent="0.25">
      <c r="A29" s="27" t="s">
        <v>612</v>
      </c>
      <c r="B29" s="27" t="str">
        <f t="shared" si="0"/>
        <v>Alabama</v>
      </c>
      <c r="C29" s="27" t="str">
        <f t="shared" si="1"/>
        <v>Escambia</v>
      </c>
      <c r="D29" s="27">
        <v>3530</v>
      </c>
      <c r="E29" s="27">
        <f>'AL pre'!I28</f>
        <v>90</v>
      </c>
      <c r="F29" s="26">
        <f>'AL pre'!P28</f>
        <v>109.23512747875354</v>
      </c>
      <c r="G29" s="2">
        <v>6337</v>
      </c>
      <c r="H29" s="28">
        <f>'AL pre'!T28</f>
        <v>35.4</v>
      </c>
      <c r="I29" s="2">
        <f>'AL pre'!U28</f>
        <v>30160.46</v>
      </c>
      <c r="J29" s="27">
        <v>82</v>
      </c>
      <c r="K29" s="27">
        <f>'AL pre'!Y28</f>
        <v>26900</v>
      </c>
      <c r="L29" s="27">
        <v>1905</v>
      </c>
      <c r="M29" s="4" t="s">
        <v>2546</v>
      </c>
      <c r="N29" s="27" t="s">
        <v>472</v>
      </c>
      <c r="O29" s="27" t="str">
        <f t="shared" si="3"/>
        <v>https://babel.hathitrust.org/cgi/pt?id=mdp.39015049037735;view=1up;seq=146</v>
      </c>
      <c r="P29" s="4" t="s">
        <v>2546</v>
      </c>
      <c r="Q29" s="27" t="str">
        <f t="shared" si="2"/>
        <v>https://babel.hathitrust.org/cgi/pt?id=mdp.39015049037735;view=1up;seq=146</v>
      </c>
      <c r="R29" s="27" t="s">
        <v>2550</v>
      </c>
      <c r="S29" s="4" t="s">
        <v>2546</v>
      </c>
      <c r="T29" s="27" t="s">
        <v>473</v>
      </c>
      <c r="U29" s="4"/>
      <c r="V29" s="4"/>
      <c r="W29" s="4"/>
      <c r="X29" s="4"/>
      <c r="Y29" s="4"/>
      <c r="Z29" s="4"/>
      <c r="AA29" s="4"/>
      <c r="AB29" s="4"/>
    </row>
    <row r="30" spans="1:28" x14ac:dyDescent="0.25">
      <c r="A30" s="27" t="s">
        <v>613</v>
      </c>
      <c r="B30" s="27" t="str">
        <f t="shared" si="0"/>
        <v>Alabama</v>
      </c>
      <c r="C30" s="27" t="str">
        <f t="shared" si="1"/>
        <v>Etowah</v>
      </c>
      <c r="D30" s="27">
        <v>2350</v>
      </c>
      <c r="E30" s="27">
        <f>'AL pre'!I29</f>
        <v>61</v>
      </c>
      <c r="F30" s="26">
        <f>'AL pre'!P29</f>
        <v>99.063829787234042</v>
      </c>
      <c r="G30" s="2">
        <v>7007</v>
      </c>
      <c r="H30" s="28">
        <f>'AL pre'!T29</f>
        <v>38.360655737704917</v>
      </c>
      <c r="I30" s="2">
        <f>'AL pre'!U29</f>
        <v>34070.480000000003</v>
      </c>
      <c r="J30" s="27">
        <v>61</v>
      </c>
      <c r="K30" s="27">
        <f>'AL pre'!Y29</f>
        <v>30000</v>
      </c>
      <c r="L30" s="27">
        <v>1905</v>
      </c>
      <c r="M30" s="4" t="s">
        <v>2546</v>
      </c>
      <c r="N30" s="27" t="s">
        <v>472</v>
      </c>
      <c r="O30" s="27" t="str">
        <f t="shared" si="3"/>
        <v>https://babel.hathitrust.org/cgi/pt?id=mdp.39015049037735;view=1up;seq=146</v>
      </c>
      <c r="P30" s="4" t="s">
        <v>2546</v>
      </c>
      <c r="Q30" s="27" t="str">
        <f t="shared" si="2"/>
        <v>https://babel.hathitrust.org/cgi/pt?id=mdp.39015049037735;view=1up;seq=146</v>
      </c>
      <c r="R30" s="27" t="s">
        <v>2550</v>
      </c>
      <c r="S30" s="4" t="s">
        <v>2546</v>
      </c>
      <c r="T30" s="27" t="s">
        <v>473</v>
      </c>
      <c r="U30" s="4"/>
      <c r="V30" s="4"/>
      <c r="W30" s="4"/>
      <c r="X30" s="4"/>
      <c r="Y30" s="4"/>
      <c r="Z30" s="4"/>
      <c r="AA30" s="4"/>
      <c r="AB30" s="4"/>
    </row>
    <row r="31" spans="1:28" x14ac:dyDescent="0.25">
      <c r="A31" s="27" t="s">
        <v>614</v>
      </c>
      <c r="B31" s="27" t="str">
        <f t="shared" si="0"/>
        <v>Alabama</v>
      </c>
      <c r="C31" s="27" t="str">
        <f t="shared" si="1"/>
        <v>Fayette</v>
      </c>
      <c r="D31" s="27">
        <v>1932</v>
      </c>
      <c r="E31" s="27">
        <f>'AL pre'!I30</f>
        <v>60</v>
      </c>
      <c r="F31" s="26">
        <f>'AL pre'!P30</f>
        <v>76.289855072463766</v>
      </c>
      <c r="G31" s="2">
        <v>4961</v>
      </c>
      <c r="H31" s="28">
        <f>'AL pre'!T30</f>
        <v>44</v>
      </c>
      <c r="I31" s="2">
        <f>'AL pre'!U30</f>
        <v>15180.67</v>
      </c>
      <c r="J31" s="27">
        <v>61</v>
      </c>
      <c r="K31" s="27">
        <f>'AL pre'!Y30</f>
        <v>7500</v>
      </c>
      <c r="L31" s="27">
        <v>1905</v>
      </c>
      <c r="M31" s="4" t="s">
        <v>2546</v>
      </c>
      <c r="N31" s="27" t="s">
        <v>472</v>
      </c>
      <c r="O31" s="27" t="str">
        <f t="shared" si="3"/>
        <v>https://babel.hathitrust.org/cgi/pt?id=mdp.39015049037735;view=1up;seq=146</v>
      </c>
      <c r="P31" s="4" t="s">
        <v>2546</v>
      </c>
      <c r="Q31" s="27" t="str">
        <f t="shared" si="2"/>
        <v>https://babel.hathitrust.org/cgi/pt?id=mdp.39015049037735;view=1up;seq=146</v>
      </c>
      <c r="R31" s="27" t="s">
        <v>2550</v>
      </c>
      <c r="S31" s="4" t="s">
        <v>2546</v>
      </c>
      <c r="T31" s="27" t="s">
        <v>473</v>
      </c>
      <c r="U31" s="4"/>
      <c r="V31" s="4"/>
      <c r="W31" s="4"/>
      <c r="X31" s="4"/>
      <c r="Y31" s="4"/>
      <c r="Z31" s="4"/>
      <c r="AA31" s="4"/>
      <c r="AB31" s="4"/>
    </row>
    <row r="32" spans="1:28" x14ac:dyDescent="0.25">
      <c r="A32" s="27" t="s">
        <v>615</v>
      </c>
      <c r="B32" s="27" t="str">
        <f t="shared" si="0"/>
        <v>Alabama</v>
      </c>
      <c r="C32" s="27" t="str">
        <f t="shared" si="1"/>
        <v>Franklin</v>
      </c>
      <c r="D32" s="27">
        <v>2140</v>
      </c>
      <c r="E32" s="27">
        <f>'AL pre'!I31</f>
        <v>54</v>
      </c>
      <c r="F32" s="26">
        <f>'AL pre'!P31</f>
        <v>89.345794392523359</v>
      </c>
      <c r="G32" s="2">
        <v>5144</v>
      </c>
      <c r="H32" s="28">
        <f>'AL pre'!T31</f>
        <v>37.944444444444443</v>
      </c>
      <c r="I32" s="2">
        <f>'AL pre'!U31</f>
        <v>17903.900000000001</v>
      </c>
      <c r="J32" s="27">
        <v>55</v>
      </c>
      <c r="K32" s="27">
        <f>'AL pre'!Y31</f>
        <v>11500</v>
      </c>
      <c r="L32" s="27">
        <v>1905</v>
      </c>
      <c r="M32" s="4" t="s">
        <v>2546</v>
      </c>
      <c r="N32" s="27" t="s">
        <v>472</v>
      </c>
      <c r="O32" s="27" t="str">
        <f t="shared" si="3"/>
        <v>https://babel.hathitrust.org/cgi/pt?id=mdp.39015049037735;view=1up;seq=146</v>
      </c>
      <c r="P32" s="4" t="s">
        <v>2546</v>
      </c>
      <c r="Q32" s="27" t="str">
        <f t="shared" si="2"/>
        <v>https://babel.hathitrust.org/cgi/pt?id=mdp.39015049037735;view=1up;seq=146</v>
      </c>
      <c r="R32" s="27" t="s">
        <v>2550</v>
      </c>
      <c r="S32" s="4" t="s">
        <v>2546</v>
      </c>
      <c r="T32" s="27" t="s">
        <v>473</v>
      </c>
      <c r="U32" s="4"/>
      <c r="V32" s="4"/>
      <c r="W32" s="4"/>
      <c r="X32" s="4"/>
      <c r="Y32" s="4"/>
      <c r="Z32" s="4"/>
      <c r="AA32" s="4"/>
      <c r="AB32" s="4"/>
    </row>
    <row r="33" spans="1:28" x14ac:dyDescent="0.25">
      <c r="A33" s="27" t="s">
        <v>616</v>
      </c>
      <c r="B33" s="27" t="str">
        <f t="shared" si="0"/>
        <v>Alabama</v>
      </c>
      <c r="C33" s="27" t="str">
        <f t="shared" si="1"/>
        <v>Geneva</v>
      </c>
      <c r="D33" s="27">
        <v>2497</v>
      </c>
      <c r="E33" s="27">
        <f>'AL pre'!I32</f>
        <v>87</v>
      </c>
      <c r="F33" s="26">
        <f>'AL pre'!P32</f>
        <v>99.303163796555864</v>
      </c>
      <c r="G33" s="2">
        <v>6986</v>
      </c>
      <c r="H33" s="28">
        <f>'AL pre'!T32</f>
        <v>39.775862068965516</v>
      </c>
      <c r="I33" s="2">
        <f>'AL pre'!U32</f>
        <v>18877.86</v>
      </c>
      <c r="J33" s="27">
        <v>60</v>
      </c>
      <c r="K33" s="27">
        <f>'AL pre'!Y32</f>
        <v>4200</v>
      </c>
      <c r="L33" s="27">
        <v>1905</v>
      </c>
      <c r="M33" s="4" t="s">
        <v>2546</v>
      </c>
      <c r="N33" s="27" t="s">
        <v>472</v>
      </c>
      <c r="O33" s="27" t="str">
        <f t="shared" si="3"/>
        <v>https://babel.hathitrust.org/cgi/pt?id=mdp.39015049037735;view=1up;seq=146</v>
      </c>
      <c r="P33" s="4" t="s">
        <v>2546</v>
      </c>
      <c r="Q33" s="27" t="str">
        <f t="shared" si="2"/>
        <v>https://babel.hathitrust.org/cgi/pt?id=mdp.39015049037735;view=1up;seq=146</v>
      </c>
      <c r="R33" s="27" t="s">
        <v>2550</v>
      </c>
      <c r="S33" s="4" t="s">
        <v>2546</v>
      </c>
      <c r="T33" s="27" t="s">
        <v>473</v>
      </c>
      <c r="U33" s="4"/>
      <c r="V33" s="4"/>
      <c r="W33" s="4"/>
      <c r="X33" s="4"/>
      <c r="Y33" s="4"/>
      <c r="Z33" s="4"/>
      <c r="AA33" s="4"/>
      <c r="AB33" s="4"/>
    </row>
    <row r="34" spans="1:28" x14ac:dyDescent="0.25">
      <c r="A34" s="27" t="s">
        <v>617</v>
      </c>
      <c r="B34" s="27" t="str">
        <f t="shared" si="0"/>
        <v>Alabama</v>
      </c>
      <c r="C34" s="27" t="str">
        <f t="shared" si="1"/>
        <v>Greene</v>
      </c>
      <c r="D34" s="27">
        <v>1856</v>
      </c>
      <c r="E34" s="27">
        <f>'AL pre'!I33</f>
        <v>67</v>
      </c>
      <c r="F34" s="26">
        <f>'AL pre'!P33</f>
        <v>114.22952586206897</v>
      </c>
      <c r="G34" s="2">
        <v>7233</v>
      </c>
      <c r="H34" s="28">
        <f>'AL pre'!T33</f>
        <v>29.03731343283582</v>
      </c>
      <c r="I34" s="2">
        <f>'AL pre'!U33</f>
        <v>17485</v>
      </c>
      <c r="J34" s="27">
        <v>63</v>
      </c>
      <c r="K34" s="27">
        <f>'AL pre'!Y33</f>
        <v>28450</v>
      </c>
      <c r="L34" s="27">
        <v>1905</v>
      </c>
      <c r="M34" s="4" t="s">
        <v>2546</v>
      </c>
      <c r="N34" s="27" t="s">
        <v>472</v>
      </c>
      <c r="O34" s="27" t="str">
        <f t="shared" si="3"/>
        <v>https://babel.hathitrust.org/cgi/pt?id=mdp.39015049037735;view=1up;seq=146</v>
      </c>
      <c r="P34" s="4" t="s">
        <v>2546</v>
      </c>
      <c r="Q34" s="27" t="str">
        <f t="shared" si="2"/>
        <v>https://babel.hathitrust.org/cgi/pt?id=mdp.39015049037735;view=1up;seq=146</v>
      </c>
      <c r="R34" s="27" t="s">
        <v>2550</v>
      </c>
      <c r="S34" s="4" t="s">
        <v>2546</v>
      </c>
      <c r="T34" s="27" t="s">
        <v>473</v>
      </c>
      <c r="U34" s="4"/>
      <c r="V34" s="4"/>
      <c r="W34" s="4"/>
      <c r="X34" s="4"/>
      <c r="Y34" s="4"/>
      <c r="Z34" s="4"/>
      <c r="AA34" s="4"/>
      <c r="AB34" s="4"/>
    </row>
    <row r="35" spans="1:28" x14ac:dyDescent="0.25">
      <c r="A35" s="27" t="s">
        <v>618</v>
      </c>
      <c r="B35" s="27" t="str">
        <f t="shared" si="0"/>
        <v>Alabama</v>
      </c>
      <c r="C35" s="27" t="str">
        <f t="shared" si="1"/>
        <v>Hale</v>
      </c>
      <c r="D35" s="27">
        <v>2660</v>
      </c>
      <c r="E35" s="27">
        <f>'AL pre'!I34</f>
        <v>59</v>
      </c>
      <c r="F35" s="26">
        <f>'AL pre'!P34</f>
        <v>112.15413533834587</v>
      </c>
      <c r="G35" s="2">
        <v>9861</v>
      </c>
      <c r="H35" s="28">
        <f>'AL pre'!T34</f>
        <v>32.163050847457626</v>
      </c>
      <c r="I35" s="2">
        <f>'AL pre'!U34</f>
        <v>24112.31</v>
      </c>
      <c r="J35" s="27">
        <v>70</v>
      </c>
      <c r="K35" s="27">
        <f>'AL pre'!Y34</f>
        <v>11600</v>
      </c>
      <c r="L35" s="27">
        <v>1905</v>
      </c>
      <c r="M35" s="4" t="s">
        <v>2546</v>
      </c>
      <c r="N35" s="27" t="s">
        <v>472</v>
      </c>
      <c r="O35" s="27" t="str">
        <f t="shared" si="3"/>
        <v>https://babel.hathitrust.org/cgi/pt?id=mdp.39015049037735;view=1up;seq=146</v>
      </c>
      <c r="P35" s="4" t="s">
        <v>2546</v>
      </c>
      <c r="Q35" s="27" t="str">
        <f t="shared" si="2"/>
        <v>https://babel.hathitrust.org/cgi/pt?id=mdp.39015049037735;view=1up;seq=146</v>
      </c>
      <c r="R35" s="27" t="s">
        <v>2550</v>
      </c>
      <c r="S35" s="4" t="s">
        <v>2546</v>
      </c>
      <c r="T35" s="27" t="s">
        <v>473</v>
      </c>
      <c r="U35" s="4"/>
      <c r="V35" s="4"/>
      <c r="W35" s="4"/>
      <c r="X35" s="4"/>
      <c r="Y35" s="4"/>
      <c r="Z35" s="4"/>
      <c r="AA35" s="4"/>
      <c r="AB35" s="4"/>
    </row>
    <row r="36" spans="1:28" x14ac:dyDescent="0.25">
      <c r="A36" s="27" t="s">
        <v>619</v>
      </c>
      <c r="B36" s="27" t="str">
        <f t="shared" si="0"/>
        <v>Alabama</v>
      </c>
      <c r="C36" s="27" t="str">
        <f t="shared" si="1"/>
        <v>Henry</v>
      </c>
      <c r="D36" s="27">
        <v>1451</v>
      </c>
      <c r="E36" s="27">
        <f>'AL pre'!I35</f>
        <v>60</v>
      </c>
      <c r="F36" s="26">
        <f>'AL pre'!P35</f>
        <v>95.246037215713301</v>
      </c>
      <c r="G36" s="2">
        <v>6397</v>
      </c>
      <c r="H36" s="28">
        <f>'AL pre'!T35</f>
        <v>36.423999999999999</v>
      </c>
      <c r="I36" s="2">
        <f>'AL pre'!U35</f>
        <v>13779.79</v>
      </c>
      <c r="J36" s="27">
        <v>45</v>
      </c>
      <c r="K36" s="27">
        <f>'AL pre'!Y35</f>
        <v>20000</v>
      </c>
      <c r="L36" s="27">
        <v>1905</v>
      </c>
      <c r="M36" s="4" t="s">
        <v>2546</v>
      </c>
      <c r="N36" s="27" t="s">
        <v>472</v>
      </c>
      <c r="O36" s="27" t="str">
        <f t="shared" si="3"/>
        <v>https://babel.hathitrust.org/cgi/pt?id=mdp.39015049037735;view=1up;seq=146</v>
      </c>
      <c r="P36" s="4" t="s">
        <v>2546</v>
      </c>
      <c r="Q36" s="27" t="str">
        <f t="shared" si="2"/>
        <v>https://babel.hathitrust.org/cgi/pt?id=mdp.39015049037735;view=1up;seq=146</v>
      </c>
      <c r="R36" s="27" t="s">
        <v>2550</v>
      </c>
      <c r="S36" s="4" t="s">
        <v>2546</v>
      </c>
      <c r="T36" s="27" t="s">
        <v>473</v>
      </c>
      <c r="U36" s="4"/>
      <c r="V36" s="4"/>
      <c r="W36" s="4"/>
      <c r="X36" s="4"/>
      <c r="Y36" s="4"/>
      <c r="Z36" s="4"/>
      <c r="AA36" s="4"/>
      <c r="AB36" s="4"/>
    </row>
    <row r="37" spans="1:28" x14ac:dyDescent="0.25">
      <c r="A37" s="27" t="s">
        <v>620</v>
      </c>
      <c r="B37" s="27" t="str">
        <f t="shared" si="0"/>
        <v>Alabama</v>
      </c>
      <c r="C37" s="27" t="str">
        <f t="shared" si="1"/>
        <v>Houston</v>
      </c>
      <c r="D37" s="27">
        <v>3273</v>
      </c>
      <c r="E37" s="27">
        <f>'AL pre'!I36</f>
        <v>100</v>
      </c>
      <c r="F37" s="26">
        <f>'AL pre'!P36</f>
        <v>99.127711579590596</v>
      </c>
      <c r="G37" s="2">
        <v>9685</v>
      </c>
      <c r="H37" s="28">
        <f>'AL pre'!T36</f>
        <v>33.6</v>
      </c>
      <c r="I37" s="2">
        <f>'AL pre'!U36</f>
        <v>21554.15</v>
      </c>
      <c r="J37" s="27">
        <v>72</v>
      </c>
      <c r="K37" s="27">
        <f>'AL pre'!Y36</f>
        <v>10850</v>
      </c>
      <c r="L37" s="27">
        <v>1905</v>
      </c>
      <c r="M37" s="4" t="s">
        <v>2546</v>
      </c>
      <c r="N37" s="27" t="s">
        <v>472</v>
      </c>
      <c r="O37" s="27" t="str">
        <f t="shared" si="3"/>
        <v>https://babel.hathitrust.org/cgi/pt?id=mdp.39015049037735;view=1up;seq=146</v>
      </c>
      <c r="P37" s="4" t="s">
        <v>2546</v>
      </c>
      <c r="Q37" s="27" t="str">
        <f t="shared" si="2"/>
        <v>https://babel.hathitrust.org/cgi/pt?id=mdp.39015049037735;view=1up;seq=146</v>
      </c>
      <c r="R37" s="27" t="s">
        <v>2550</v>
      </c>
      <c r="S37" s="4" t="s">
        <v>2546</v>
      </c>
      <c r="T37" s="27" t="s">
        <v>473</v>
      </c>
      <c r="U37" s="4"/>
      <c r="V37" s="4"/>
      <c r="W37" s="4"/>
      <c r="X37" s="4"/>
      <c r="Y37" s="4"/>
      <c r="Z37" s="4"/>
      <c r="AA37" s="4"/>
      <c r="AB37" s="4"/>
    </row>
    <row r="38" spans="1:28" x14ac:dyDescent="0.25">
      <c r="A38" s="27" t="s">
        <v>621</v>
      </c>
      <c r="B38" s="27" t="str">
        <f t="shared" si="0"/>
        <v>Alabama</v>
      </c>
      <c r="C38" s="27" t="str">
        <f t="shared" si="1"/>
        <v>Jackson</v>
      </c>
      <c r="D38" s="27">
        <v>2441</v>
      </c>
      <c r="E38" s="27">
        <f>'AL pre'!I37</f>
        <v>73</v>
      </c>
      <c r="F38" s="26">
        <f>'AL pre'!P37</f>
        <v>93.124539123310115</v>
      </c>
      <c r="G38" s="2">
        <v>10466</v>
      </c>
      <c r="H38" s="28">
        <f>'AL pre'!T37</f>
        <v>40</v>
      </c>
      <c r="I38" s="2">
        <f>'AL pre'!U37</f>
        <v>23878.959999999999</v>
      </c>
      <c r="J38" s="27">
        <v>88</v>
      </c>
      <c r="K38" s="27">
        <f>'AL pre'!Y37</f>
        <v>108000</v>
      </c>
      <c r="L38" s="27">
        <v>1905</v>
      </c>
      <c r="M38" s="4" t="s">
        <v>2546</v>
      </c>
      <c r="N38" s="27" t="s">
        <v>472</v>
      </c>
      <c r="O38" s="27" t="str">
        <f t="shared" si="3"/>
        <v>https://babel.hathitrust.org/cgi/pt?id=mdp.39015049037735;view=1up;seq=146</v>
      </c>
      <c r="P38" s="4" t="s">
        <v>2546</v>
      </c>
      <c r="Q38" s="27" t="str">
        <f t="shared" si="2"/>
        <v>https://babel.hathitrust.org/cgi/pt?id=mdp.39015049037735;view=1up;seq=146</v>
      </c>
      <c r="R38" s="27" t="s">
        <v>2550</v>
      </c>
      <c r="S38" s="4" t="s">
        <v>2546</v>
      </c>
      <c r="T38" s="27" t="s">
        <v>473</v>
      </c>
      <c r="U38" s="4"/>
      <c r="V38" s="4"/>
      <c r="W38" s="4"/>
      <c r="X38" s="4"/>
      <c r="Y38" s="4"/>
      <c r="Z38" s="4"/>
      <c r="AA38" s="4"/>
      <c r="AB38" s="4"/>
    </row>
    <row r="39" spans="1:28" x14ac:dyDescent="0.25">
      <c r="A39" s="27" t="s">
        <v>622</v>
      </c>
      <c r="B39" s="27" t="str">
        <f t="shared" si="0"/>
        <v>Alabama</v>
      </c>
      <c r="C39" s="27" t="str">
        <f t="shared" si="1"/>
        <v>Jefferson</v>
      </c>
      <c r="D39" s="27">
        <v>10794</v>
      </c>
      <c r="E39" s="27">
        <f>'AL pre'!I38</f>
        <v>338</v>
      </c>
      <c r="F39" s="26">
        <f>'AL pre'!P38</f>
        <v>139.60755975541969</v>
      </c>
      <c r="G39" s="2">
        <v>33319</v>
      </c>
      <c r="H39" s="28">
        <f>'AL pre'!T38</f>
        <v>39.494201183431954</v>
      </c>
      <c r="I39" s="2">
        <f>'AL pre'!U38</f>
        <v>296588.46999999997</v>
      </c>
      <c r="J39" s="27">
        <v>217</v>
      </c>
      <c r="K39" s="27">
        <f>'AL pre'!Y38</f>
        <v>19500</v>
      </c>
      <c r="L39" s="27">
        <v>1905</v>
      </c>
      <c r="M39" s="4" t="s">
        <v>2546</v>
      </c>
      <c r="N39" s="27" t="s">
        <v>472</v>
      </c>
      <c r="O39" s="27" t="str">
        <f t="shared" si="3"/>
        <v>https://babel.hathitrust.org/cgi/pt?id=mdp.39015049037735;view=1up;seq=146</v>
      </c>
      <c r="P39" s="4" t="s">
        <v>2546</v>
      </c>
      <c r="Q39" s="27" t="str">
        <f t="shared" si="2"/>
        <v>https://babel.hathitrust.org/cgi/pt?id=mdp.39015049037735;view=1up;seq=146</v>
      </c>
      <c r="R39" s="27" t="s">
        <v>2550</v>
      </c>
      <c r="S39" s="4" t="s">
        <v>2546</v>
      </c>
      <c r="T39" s="27" t="s">
        <v>473</v>
      </c>
      <c r="U39" s="4"/>
      <c r="V39" s="4"/>
      <c r="W39" s="4"/>
      <c r="X39" s="4"/>
      <c r="Y39" s="4"/>
      <c r="Z39" s="4"/>
      <c r="AA39" s="4"/>
      <c r="AB39" s="4"/>
    </row>
    <row r="40" spans="1:28" x14ac:dyDescent="0.25">
      <c r="A40" s="27" t="s">
        <v>623</v>
      </c>
      <c r="B40" s="27" t="str">
        <f t="shared" si="0"/>
        <v>Alabama</v>
      </c>
      <c r="C40" s="27" t="str">
        <f t="shared" si="1"/>
        <v>Lamar/Sanford</v>
      </c>
      <c r="D40" s="27">
        <v>2079</v>
      </c>
      <c r="E40" s="27">
        <f>'AL pre'!I39</f>
        <v>72</v>
      </c>
      <c r="F40" s="26">
        <f>'AL pre'!P39</f>
        <v>80</v>
      </c>
      <c r="G40" s="2">
        <v>5246</v>
      </c>
      <c r="H40" s="28">
        <f>'AL pre'!T39</f>
        <v>35</v>
      </c>
      <c r="I40" s="2">
        <f>'AL pre'!U39</f>
        <v>14993.26</v>
      </c>
      <c r="J40" s="27">
        <v>63</v>
      </c>
      <c r="K40" s="27">
        <f>'AL pre'!Y39</f>
        <v>160000</v>
      </c>
      <c r="L40" s="27">
        <v>1905</v>
      </c>
      <c r="M40" s="4" t="s">
        <v>2546</v>
      </c>
      <c r="N40" s="27" t="s">
        <v>472</v>
      </c>
      <c r="O40" s="27" t="str">
        <f t="shared" si="3"/>
        <v>https://babel.hathitrust.org/cgi/pt?id=mdp.39015049037735;view=1up;seq=146</v>
      </c>
      <c r="P40" s="4" t="s">
        <v>2546</v>
      </c>
      <c r="Q40" s="27" t="str">
        <f t="shared" si="2"/>
        <v>https://babel.hathitrust.org/cgi/pt?id=mdp.39015049037735;view=1up;seq=146</v>
      </c>
      <c r="R40" s="27" t="s">
        <v>2550</v>
      </c>
      <c r="S40" s="4" t="s">
        <v>2546</v>
      </c>
      <c r="T40" s="27" t="s">
        <v>473</v>
      </c>
      <c r="U40" s="4"/>
      <c r="V40" s="4"/>
      <c r="W40" s="4"/>
      <c r="X40" s="4"/>
      <c r="Y40" s="4"/>
      <c r="Z40" s="4"/>
      <c r="AA40" s="4"/>
      <c r="AB40" s="4"/>
    </row>
    <row r="41" spans="1:28" x14ac:dyDescent="0.25">
      <c r="A41" s="27" t="s">
        <v>624</v>
      </c>
      <c r="B41" s="27" t="str">
        <f t="shared" si="0"/>
        <v>Alabama</v>
      </c>
      <c r="C41" s="27" t="str">
        <f t="shared" si="1"/>
        <v>Lauderdale</v>
      </c>
      <c r="D41" s="27">
        <v>2176</v>
      </c>
      <c r="E41" s="27">
        <f>'AL pre'!I40</f>
        <v>81</v>
      </c>
      <c r="F41" s="26">
        <f>'AL pre'!P40</f>
        <v>92.587316176470594</v>
      </c>
      <c r="G41" s="2">
        <v>6831</v>
      </c>
      <c r="H41" s="28">
        <f>'AL pre'!T40</f>
        <v>28.913580246913579</v>
      </c>
      <c r="I41" s="2">
        <f>'AL pre'!U40</f>
        <v>24953.09</v>
      </c>
      <c r="J41" s="27">
        <v>81</v>
      </c>
      <c r="K41" s="27">
        <f>'AL pre'!Y40</f>
        <v>6000</v>
      </c>
      <c r="L41" s="27">
        <v>1905</v>
      </c>
      <c r="M41" s="4" t="s">
        <v>2546</v>
      </c>
      <c r="N41" s="27" t="s">
        <v>472</v>
      </c>
      <c r="O41" s="27" t="str">
        <f t="shared" si="3"/>
        <v>https://babel.hathitrust.org/cgi/pt?id=mdp.39015049037735;view=1up;seq=146</v>
      </c>
      <c r="P41" s="4" t="s">
        <v>2546</v>
      </c>
      <c r="Q41" s="27" t="str">
        <f t="shared" si="2"/>
        <v>https://babel.hathitrust.org/cgi/pt?id=mdp.39015049037735;view=1up;seq=146</v>
      </c>
      <c r="R41" s="4" t="s">
        <v>2551</v>
      </c>
      <c r="S41" s="4" t="s">
        <v>2546</v>
      </c>
      <c r="T41" s="27" t="s">
        <v>473</v>
      </c>
      <c r="U41" s="4"/>
      <c r="V41" s="4"/>
      <c r="W41" s="4"/>
      <c r="X41" s="4"/>
      <c r="Y41" s="4"/>
      <c r="Z41" s="4"/>
      <c r="AA41" s="4"/>
      <c r="AB41" s="4"/>
    </row>
    <row r="42" spans="1:28" x14ac:dyDescent="0.25">
      <c r="A42" s="27" t="s">
        <v>625</v>
      </c>
      <c r="B42" s="27" t="str">
        <f t="shared" si="0"/>
        <v>Alabama</v>
      </c>
      <c r="C42" s="27" t="str">
        <f t="shared" si="1"/>
        <v>Lawrence</v>
      </c>
      <c r="D42" s="27">
        <v>1926</v>
      </c>
      <c r="E42" s="27">
        <f>'AL pre'!I41</f>
        <v>57</v>
      </c>
      <c r="F42" s="26">
        <f>'AL pre'!P41</f>
        <v>84.006230529595015</v>
      </c>
      <c r="G42" s="2">
        <v>6631</v>
      </c>
      <c r="H42" s="28">
        <f>'AL pre'!T41</f>
        <v>29.987368421052633</v>
      </c>
      <c r="I42" s="2">
        <f>'AL pre'!U41</f>
        <v>15171.17</v>
      </c>
      <c r="J42" s="27">
        <v>48</v>
      </c>
      <c r="K42" s="27">
        <f>'AL pre'!Y41</f>
        <v>1200</v>
      </c>
      <c r="L42" s="27">
        <v>1905</v>
      </c>
      <c r="M42" s="4" t="s">
        <v>2546</v>
      </c>
      <c r="N42" s="27" t="s">
        <v>472</v>
      </c>
      <c r="O42" s="27" t="str">
        <f t="shared" si="3"/>
        <v>https://babel.hathitrust.org/cgi/pt?id=mdp.39015049037735;view=1up;seq=146</v>
      </c>
      <c r="P42" s="4" t="s">
        <v>2546</v>
      </c>
      <c r="Q42" s="27" t="str">
        <f t="shared" si="2"/>
        <v>https://babel.hathitrust.org/cgi/pt?id=mdp.39015049037735;view=1up;seq=146</v>
      </c>
      <c r="R42" s="27" t="s">
        <v>2551</v>
      </c>
      <c r="S42" s="4" t="s">
        <v>2546</v>
      </c>
      <c r="T42" s="27" t="s">
        <v>473</v>
      </c>
      <c r="U42" s="4"/>
      <c r="V42" s="4"/>
      <c r="W42" s="4"/>
      <c r="X42" s="4"/>
      <c r="Y42" s="4"/>
      <c r="Z42" s="4"/>
      <c r="AA42" s="4"/>
      <c r="AB42" s="4"/>
    </row>
    <row r="43" spans="1:28" x14ac:dyDescent="0.25">
      <c r="A43" s="27" t="s">
        <v>626</v>
      </c>
      <c r="B43" s="27" t="str">
        <f t="shared" si="0"/>
        <v>Alabama</v>
      </c>
      <c r="C43" s="27" t="str">
        <f t="shared" si="1"/>
        <v>Lee</v>
      </c>
      <c r="D43" s="27">
        <v>1343</v>
      </c>
      <c r="E43" s="27">
        <f>'AL pre'!I42</f>
        <v>55</v>
      </c>
      <c r="F43" s="26">
        <f>'AL pre'!P42</f>
        <v>99.318312559923299</v>
      </c>
      <c r="G43" s="2">
        <v>7832</v>
      </c>
      <c r="H43" s="28">
        <f>'AL pre'!T42</f>
        <v>30.379090909090912</v>
      </c>
      <c r="I43" s="2">
        <f>'AL pre'!U42</f>
        <v>26552.95</v>
      </c>
      <c r="J43" s="27">
        <v>55</v>
      </c>
      <c r="K43" s="27">
        <f>'AL pre'!Y42</f>
        <v>15000</v>
      </c>
      <c r="L43" s="27">
        <v>1905</v>
      </c>
      <c r="M43" s="4" t="s">
        <v>2547</v>
      </c>
      <c r="N43" s="27" t="s">
        <v>472</v>
      </c>
      <c r="O43" s="27" t="str">
        <f t="shared" si="3"/>
        <v>https://babel.hathitrust.org/cgi/pt?id=mdp.39015049037735;view=1up;seq=146</v>
      </c>
      <c r="P43" s="4" t="s">
        <v>2547</v>
      </c>
      <c r="Q43" s="27" t="str">
        <f t="shared" si="2"/>
        <v>https://babel.hathitrust.org/cgi/pt?id=mdp.39015049037735;view=1up;seq=146</v>
      </c>
      <c r="R43" s="27" t="s">
        <v>2551</v>
      </c>
      <c r="S43" s="4" t="s">
        <v>2547</v>
      </c>
      <c r="T43" s="27" t="s">
        <v>473</v>
      </c>
      <c r="U43" s="4"/>
      <c r="V43" s="4"/>
      <c r="W43" s="4"/>
      <c r="X43" s="4"/>
      <c r="Y43" s="4"/>
      <c r="Z43" s="4"/>
      <c r="AA43" s="4"/>
      <c r="AB43" s="4"/>
    </row>
    <row r="44" spans="1:28" x14ac:dyDescent="0.25">
      <c r="A44" s="27" t="s">
        <v>627</v>
      </c>
      <c r="B44" s="27" t="str">
        <f t="shared" si="0"/>
        <v>Alabama</v>
      </c>
      <c r="C44" s="27" t="str">
        <f t="shared" si="1"/>
        <v>Limestone</v>
      </c>
      <c r="D44" s="27">
        <v>2285</v>
      </c>
      <c r="E44" s="27">
        <f>'AL pre'!I43</f>
        <v>62</v>
      </c>
      <c r="F44" s="26">
        <f>'AL pre'!P43</f>
        <v>98.190371991247261</v>
      </c>
      <c r="G44" s="2">
        <v>7607</v>
      </c>
      <c r="H44" s="28">
        <f>'AL pre'!T43</f>
        <v>38.703225806451613</v>
      </c>
      <c r="I44" s="2">
        <f>'AL pre'!U43</f>
        <v>19027.21</v>
      </c>
      <c r="J44" s="27">
        <v>70</v>
      </c>
      <c r="K44" s="27">
        <f>'AL pre'!Y43</f>
        <v>8005</v>
      </c>
      <c r="L44" s="27">
        <v>1905</v>
      </c>
      <c r="M44" s="4" t="s">
        <v>2547</v>
      </c>
      <c r="N44" s="27" t="s">
        <v>474</v>
      </c>
      <c r="O44" s="27" t="str">
        <f t="shared" si="3"/>
        <v>https://babel.hathitrust.org/cgi/pt?id=mdp.39015049037735;view=1up;seq=146</v>
      </c>
      <c r="P44" s="4" t="s">
        <v>2547</v>
      </c>
      <c r="Q44" s="27" t="str">
        <f t="shared" si="2"/>
        <v>https://babel.hathitrust.org/cgi/pt?id=mdp.39015049037735;view=1up;seq=146</v>
      </c>
      <c r="R44" s="27" t="s">
        <v>2551</v>
      </c>
      <c r="S44" s="4" t="s">
        <v>2547</v>
      </c>
      <c r="T44" s="27" t="s">
        <v>473</v>
      </c>
      <c r="U44" s="4"/>
      <c r="V44" s="4"/>
      <c r="W44" s="4"/>
      <c r="X44" s="4"/>
      <c r="Y44" s="4"/>
      <c r="Z44" s="4"/>
      <c r="AA44" s="4"/>
      <c r="AB44" s="4"/>
    </row>
    <row r="45" spans="1:28" x14ac:dyDescent="0.25">
      <c r="A45" s="27" t="s">
        <v>628</v>
      </c>
      <c r="B45" s="27" t="str">
        <f t="shared" si="0"/>
        <v>Alabama</v>
      </c>
      <c r="C45" s="27" t="str">
        <f t="shared" si="1"/>
        <v>Lowndes</v>
      </c>
      <c r="D45" s="27">
        <v>4600</v>
      </c>
      <c r="E45" s="27">
        <f>'AL pre'!I44</f>
        <v>114</v>
      </c>
      <c r="F45" s="26">
        <f>'AL pre'!P44</f>
        <v>109.56521739130434</v>
      </c>
      <c r="G45" s="2">
        <v>17783</v>
      </c>
      <c r="H45" s="28">
        <f>'AL pre'!T44</f>
        <v>38.596491228070178</v>
      </c>
      <c r="I45" s="2">
        <f>'AL pre'!U44</f>
        <v>38340.94</v>
      </c>
      <c r="J45" s="27">
        <v>93</v>
      </c>
      <c r="K45" s="27">
        <f>'AL pre'!Y44</f>
        <v>11750</v>
      </c>
      <c r="L45" s="27">
        <v>1905</v>
      </c>
      <c r="M45" s="4" t="s">
        <v>2547</v>
      </c>
      <c r="N45" s="27" t="s">
        <v>474</v>
      </c>
      <c r="O45" s="27" t="str">
        <f t="shared" si="3"/>
        <v>https://babel.hathitrust.org/cgi/pt?id=mdp.39015049037735;view=1up;seq=146</v>
      </c>
      <c r="P45" s="4" t="s">
        <v>2547</v>
      </c>
      <c r="Q45" s="27" t="str">
        <f t="shared" si="2"/>
        <v>https://babel.hathitrust.org/cgi/pt?id=mdp.39015049037735;view=1up;seq=146</v>
      </c>
      <c r="R45" s="27" t="s">
        <v>2551</v>
      </c>
      <c r="S45" s="4" t="s">
        <v>2547</v>
      </c>
      <c r="T45" s="27" t="s">
        <v>473</v>
      </c>
      <c r="U45" s="4"/>
      <c r="V45" s="4"/>
      <c r="W45" s="4"/>
      <c r="X45" s="4"/>
      <c r="Y45" s="4"/>
      <c r="Z45" s="4"/>
      <c r="AA45" s="4"/>
      <c r="AB45" s="4"/>
    </row>
    <row r="46" spans="1:28" x14ac:dyDescent="0.25">
      <c r="A46" s="27" t="s">
        <v>629</v>
      </c>
      <c r="B46" s="27" t="str">
        <f t="shared" si="0"/>
        <v>Alabama</v>
      </c>
      <c r="C46" s="27" t="str">
        <f t="shared" si="1"/>
        <v>Macon</v>
      </c>
      <c r="D46" s="27">
        <v>2944</v>
      </c>
      <c r="E46" s="27">
        <f>'AL pre'!I45</f>
        <v>81</v>
      </c>
      <c r="F46" s="26">
        <f>'AL pre'!P45</f>
        <v>109.86413043478261</v>
      </c>
      <c r="G46" s="2">
        <v>8351</v>
      </c>
      <c r="H46" s="28">
        <f>'AL pre'!T45</f>
        <v>32.077654320987655</v>
      </c>
      <c r="I46" s="2">
        <f>'AL pre'!U45</f>
        <v>22382.63</v>
      </c>
      <c r="J46" s="27">
        <v>75</v>
      </c>
      <c r="K46" s="27">
        <f>'AL pre'!Y45</f>
        <v>57500</v>
      </c>
      <c r="L46" s="27">
        <v>1905</v>
      </c>
      <c r="M46" s="4" t="s">
        <v>2547</v>
      </c>
      <c r="N46" s="27" t="s">
        <v>474</v>
      </c>
      <c r="O46" s="27" t="str">
        <f t="shared" si="3"/>
        <v>https://babel.hathitrust.org/cgi/pt?id=mdp.39015049037735;view=1up;seq=146</v>
      </c>
      <c r="P46" s="4" t="s">
        <v>2547</v>
      </c>
      <c r="Q46" s="27" t="str">
        <f t="shared" si="2"/>
        <v>https://babel.hathitrust.org/cgi/pt?id=mdp.39015049037735;view=1up;seq=146</v>
      </c>
      <c r="R46" s="27" t="s">
        <v>2551</v>
      </c>
      <c r="S46" s="4" t="s">
        <v>2547</v>
      </c>
      <c r="T46" s="27" t="s">
        <v>473</v>
      </c>
      <c r="U46" s="4"/>
      <c r="V46" s="4"/>
      <c r="W46" s="4"/>
      <c r="X46" s="4"/>
      <c r="Y46" s="4"/>
      <c r="Z46" s="4"/>
      <c r="AA46" s="4"/>
      <c r="AB46" s="4"/>
    </row>
    <row r="47" spans="1:28" x14ac:dyDescent="0.25">
      <c r="A47" s="27" t="s">
        <v>630</v>
      </c>
      <c r="B47" s="27" t="str">
        <f t="shared" si="0"/>
        <v>Alabama</v>
      </c>
      <c r="C47" s="27" t="str">
        <f t="shared" si="1"/>
        <v>Madison</v>
      </c>
      <c r="D47" s="27">
        <v>4500</v>
      </c>
      <c r="E47" s="27">
        <f>'AL pre'!I46</f>
        <v>104</v>
      </c>
      <c r="F47" s="26">
        <f>'AL pre'!P46</f>
        <v>109.17777777777778</v>
      </c>
      <c r="G47" s="2">
        <v>13421</v>
      </c>
      <c r="H47" s="28">
        <f>'AL pre'!T46</f>
        <v>37.95432692307692</v>
      </c>
      <c r="I47" s="2">
        <f>'AL pre'!U46</f>
        <v>50665.75</v>
      </c>
      <c r="J47" s="27">
        <v>92</v>
      </c>
      <c r="K47" s="27">
        <f>'AL pre'!Y46</f>
        <v>9000</v>
      </c>
      <c r="L47" s="27">
        <v>1905</v>
      </c>
      <c r="M47" s="4" t="s">
        <v>2547</v>
      </c>
      <c r="N47" s="27" t="s">
        <v>474</v>
      </c>
      <c r="O47" s="27" t="str">
        <f t="shared" si="3"/>
        <v>https://babel.hathitrust.org/cgi/pt?id=mdp.39015049037735;view=1up;seq=146</v>
      </c>
      <c r="P47" s="4" t="s">
        <v>2547</v>
      </c>
      <c r="Q47" s="27" t="str">
        <f t="shared" si="2"/>
        <v>https://babel.hathitrust.org/cgi/pt?id=mdp.39015049037735;view=1up;seq=146</v>
      </c>
      <c r="R47" s="27" t="s">
        <v>2551</v>
      </c>
      <c r="S47" s="4" t="s">
        <v>2547</v>
      </c>
      <c r="T47" s="27" t="s">
        <v>473</v>
      </c>
      <c r="U47" s="4"/>
      <c r="V47" s="4"/>
      <c r="W47" s="4"/>
      <c r="X47" s="4"/>
      <c r="Y47" s="4"/>
      <c r="Z47" s="4"/>
      <c r="AA47" s="4"/>
      <c r="AB47" s="4"/>
    </row>
    <row r="48" spans="1:28" x14ac:dyDescent="0.25">
      <c r="A48" s="27" t="s">
        <v>631</v>
      </c>
      <c r="B48" s="27" t="str">
        <f t="shared" si="0"/>
        <v>Alabama</v>
      </c>
      <c r="C48" s="27" t="str">
        <f t="shared" si="1"/>
        <v>Marengo</v>
      </c>
      <c r="D48" s="27">
        <v>2022</v>
      </c>
      <c r="E48" s="27">
        <f>'AL pre'!I47</f>
        <v>105</v>
      </c>
      <c r="F48" s="26">
        <f>'AL pre'!P47</f>
        <v>96.685459940652819</v>
      </c>
      <c r="G48" s="2">
        <v>12459</v>
      </c>
      <c r="H48" s="28">
        <f>'AL pre'!T47</f>
        <v>30.266666666666666</v>
      </c>
      <c r="I48" s="2">
        <f>'AL pre'!U47</f>
        <v>47953.05</v>
      </c>
      <c r="J48" s="27">
        <v>93</v>
      </c>
      <c r="K48" s="27">
        <f>'AL pre'!Y47</f>
        <v>44500</v>
      </c>
      <c r="L48" s="27">
        <v>1905</v>
      </c>
      <c r="M48" s="4" t="s">
        <v>2547</v>
      </c>
      <c r="N48" s="27" t="s">
        <v>474</v>
      </c>
      <c r="O48" s="27" t="str">
        <f t="shared" si="3"/>
        <v>https://babel.hathitrust.org/cgi/pt?id=mdp.39015049037735;view=1up;seq=146</v>
      </c>
      <c r="P48" s="4" t="s">
        <v>2547</v>
      </c>
      <c r="Q48" s="27" t="str">
        <f t="shared" si="2"/>
        <v>https://babel.hathitrust.org/cgi/pt?id=mdp.39015049037735;view=1up;seq=146</v>
      </c>
      <c r="R48" s="27" t="s">
        <v>2551</v>
      </c>
      <c r="S48" s="4" t="s">
        <v>2547</v>
      </c>
      <c r="T48" s="27" t="s">
        <v>473</v>
      </c>
      <c r="U48" s="4"/>
      <c r="V48" s="4"/>
      <c r="W48" s="4"/>
      <c r="X48" s="4"/>
      <c r="Y48" s="4"/>
      <c r="Z48" s="4"/>
      <c r="AA48" s="4"/>
      <c r="AB48" s="4"/>
    </row>
    <row r="49" spans="1:28" x14ac:dyDescent="0.25">
      <c r="A49" s="27" t="s">
        <v>632</v>
      </c>
      <c r="B49" s="27" t="str">
        <f t="shared" si="0"/>
        <v>Alabama</v>
      </c>
      <c r="C49" s="27" t="str">
        <f t="shared" si="1"/>
        <v>Marion</v>
      </c>
      <c r="D49" s="27">
        <v>2445</v>
      </c>
      <c r="E49" s="27">
        <f>'AL pre'!I48</f>
        <v>76</v>
      </c>
      <c r="F49" s="26">
        <f>'AL pre'!P48</f>
        <v>77.425766871165649</v>
      </c>
      <c r="G49" s="2">
        <v>5790</v>
      </c>
      <c r="H49" s="28">
        <f>'AL pre'!T48</f>
        <v>34.463552631578949</v>
      </c>
      <c r="I49" s="2">
        <f>'AL pre'!U48</f>
        <v>17039.82</v>
      </c>
      <c r="J49" s="27">
        <v>72</v>
      </c>
      <c r="K49" s="27">
        <f>'AL pre'!Y48</f>
        <v>31372</v>
      </c>
      <c r="L49" s="27">
        <v>1905</v>
      </c>
      <c r="M49" s="4" t="s">
        <v>2547</v>
      </c>
      <c r="N49" s="27" t="s">
        <v>474</v>
      </c>
      <c r="O49" s="27" t="str">
        <f t="shared" si="3"/>
        <v>https://babel.hathitrust.org/cgi/pt?id=mdp.39015049037735;view=1up;seq=146</v>
      </c>
      <c r="P49" s="4" t="s">
        <v>2547</v>
      </c>
      <c r="Q49" s="27" t="str">
        <f t="shared" si="2"/>
        <v>https://babel.hathitrust.org/cgi/pt?id=mdp.39015049037735;view=1up;seq=146</v>
      </c>
      <c r="R49" s="27" t="s">
        <v>2551</v>
      </c>
      <c r="S49" s="4" t="s">
        <v>2547</v>
      </c>
      <c r="T49" s="27" t="s">
        <v>473</v>
      </c>
      <c r="U49" s="4"/>
      <c r="V49" s="4"/>
      <c r="W49" s="4"/>
      <c r="X49" s="4"/>
      <c r="Y49" s="4"/>
      <c r="Z49" s="4"/>
      <c r="AA49" s="4"/>
      <c r="AB49" s="4"/>
    </row>
    <row r="50" spans="1:28" x14ac:dyDescent="0.25">
      <c r="A50" s="27" t="s">
        <v>633</v>
      </c>
      <c r="B50" s="27" t="str">
        <f t="shared" si="0"/>
        <v>Alabama</v>
      </c>
      <c r="C50" s="27" t="str">
        <f t="shared" si="1"/>
        <v>Marshall</v>
      </c>
      <c r="D50" s="27">
        <v>3774</v>
      </c>
      <c r="E50" s="27">
        <f>'AL pre'!I49</f>
        <v>72</v>
      </c>
      <c r="F50" s="26">
        <f>'AL pre'!P49</f>
        <v>102.67700052994171</v>
      </c>
      <c r="G50" s="2">
        <v>7998</v>
      </c>
      <c r="H50" s="28">
        <f>'AL pre'!T49</f>
        <v>34.791666666666664</v>
      </c>
      <c r="I50" s="2">
        <f>'AL pre'!U49</f>
        <v>24516.85</v>
      </c>
      <c r="J50" s="27">
        <v>66</v>
      </c>
      <c r="K50" s="27">
        <f>'AL pre'!Y49</f>
        <v>10500</v>
      </c>
      <c r="L50" s="27">
        <v>1905</v>
      </c>
      <c r="M50" s="4" t="s">
        <v>2547</v>
      </c>
      <c r="N50" s="27" t="s">
        <v>474</v>
      </c>
      <c r="O50" s="27" t="str">
        <f t="shared" si="3"/>
        <v>https://babel.hathitrust.org/cgi/pt?id=mdp.39015049037735;view=1up;seq=146</v>
      </c>
      <c r="P50" s="4" t="s">
        <v>2547</v>
      </c>
      <c r="Q50" s="27" t="str">
        <f t="shared" si="2"/>
        <v>https://babel.hathitrust.org/cgi/pt?id=mdp.39015049037735;view=1up;seq=146</v>
      </c>
      <c r="R50" s="27" t="s">
        <v>2551</v>
      </c>
      <c r="S50" s="4" t="s">
        <v>2547</v>
      </c>
      <c r="T50" s="27" t="s">
        <v>473</v>
      </c>
      <c r="U50" s="4"/>
      <c r="V50" s="4"/>
      <c r="W50" s="4"/>
      <c r="X50" s="4"/>
      <c r="Y50" s="4"/>
      <c r="Z50" s="4"/>
      <c r="AA50" s="4"/>
      <c r="AB50" s="4"/>
    </row>
    <row r="51" spans="1:28" x14ac:dyDescent="0.25">
      <c r="A51" s="27" t="s">
        <v>634</v>
      </c>
      <c r="B51" s="27" t="str">
        <f t="shared" si="0"/>
        <v>Alabama</v>
      </c>
      <c r="C51" s="27" t="str">
        <f t="shared" si="1"/>
        <v>Mobile</v>
      </c>
      <c r="D51" s="27">
        <v>6802</v>
      </c>
      <c r="E51" s="27">
        <f>'AL pre'!I50</f>
        <v>234</v>
      </c>
      <c r="F51" s="26">
        <f>'AL pre'!P50</f>
        <v>140.00426345192591</v>
      </c>
      <c r="G51" s="2">
        <v>20276</v>
      </c>
      <c r="H51" s="28">
        <f>'AL pre'!T50</f>
        <v>51.233461538461533</v>
      </c>
      <c r="I51" s="2">
        <f>'AL pre'!U50</f>
        <v>161094.19</v>
      </c>
      <c r="J51" s="27">
        <v>122</v>
      </c>
      <c r="K51" s="27">
        <f>'AL pre'!Y50</f>
        <v>21000</v>
      </c>
      <c r="L51" s="27">
        <v>1905</v>
      </c>
      <c r="M51" s="4" t="s">
        <v>2547</v>
      </c>
      <c r="N51" s="27" t="s">
        <v>474</v>
      </c>
      <c r="O51" s="27" t="str">
        <f t="shared" si="3"/>
        <v>https://babel.hathitrust.org/cgi/pt?id=mdp.39015049037735;view=1up;seq=146</v>
      </c>
      <c r="P51" s="4" t="s">
        <v>2547</v>
      </c>
      <c r="Q51" s="27" t="str">
        <f t="shared" si="2"/>
        <v>https://babel.hathitrust.org/cgi/pt?id=mdp.39015049037735;view=1up;seq=146</v>
      </c>
      <c r="R51" s="27" t="s">
        <v>2551</v>
      </c>
      <c r="S51" s="4" t="s">
        <v>2547</v>
      </c>
      <c r="T51" s="27" t="s">
        <v>473</v>
      </c>
      <c r="U51" s="4"/>
      <c r="V51" s="4"/>
      <c r="W51" s="4"/>
      <c r="X51" s="4"/>
      <c r="Y51" s="4"/>
      <c r="Z51" s="4"/>
      <c r="AA51" s="4"/>
      <c r="AB51" s="4"/>
    </row>
    <row r="52" spans="1:28" x14ac:dyDescent="0.25">
      <c r="A52" s="27" t="s">
        <v>635</v>
      </c>
      <c r="B52" s="27" t="str">
        <f t="shared" si="0"/>
        <v>Alabama</v>
      </c>
      <c r="C52" s="27" t="str">
        <f t="shared" si="1"/>
        <v>Monroe</v>
      </c>
      <c r="D52" s="27">
        <v>5000</v>
      </c>
      <c r="E52" s="27">
        <f>'AL pre'!I51</f>
        <v>102</v>
      </c>
      <c r="F52" s="26">
        <f>'AL pre'!P51</f>
        <v>86</v>
      </c>
      <c r="G52" s="2">
        <v>8631</v>
      </c>
      <c r="H52" s="28">
        <f>'AL pre'!T51</f>
        <v>28.666666666666668</v>
      </c>
      <c r="I52" s="2">
        <f>'AL pre'!U51</f>
        <v>22064.22</v>
      </c>
      <c r="J52" s="27">
        <v>100</v>
      </c>
      <c r="K52" s="27">
        <f>'AL pre'!Y51</f>
        <v>165000</v>
      </c>
      <c r="L52" s="27">
        <v>1905</v>
      </c>
      <c r="M52" s="4" t="s">
        <v>2547</v>
      </c>
      <c r="N52" s="27" t="s">
        <v>474</v>
      </c>
      <c r="O52" s="27" t="str">
        <f t="shared" si="3"/>
        <v>https://babel.hathitrust.org/cgi/pt?id=mdp.39015049037735;view=1up;seq=146</v>
      </c>
      <c r="P52" s="4" t="s">
        <v>2547</v>
      </c>
      <c r="Q52" s="27" t="str">
        <f t="shared" si="2"/>
        <v>https://babel.hathitrust.org/cgi/pt?id=mdp.39015049037735;view=1up;seq=146</v>
      </c>
      <c r="R52" s="27" t="s">
        <v>2551</v>
      </c>
      <c r="S52" s="4" t="s">
        <v>2547</v>
      </c>
      <c r="T52" s="27" t="s">
        <v>473</v>
      </c>
      <c r="U52" s="4"/>
      <c r="V52" s="4"/>
      <c r="W52" s="4"/>
      <c r="X52" s="4"/>
      <c r="Y52" s="4"/>
      <c r="Z52" s="4"/>
      <c r="AA52" s="4"/>
      <c r="AB52" s="4"/>
    </row>
    <row r="53" spans="1:28" x14ac:dyDescent="0.25">
      <c r="A53" s="27" t="s">
        <v>636</v>
      </c>
      <c r="B53" s="27" t="str">
        <f t="shared" si="0"/>
        <v>Alabama</v>
      </c>
      <c r="C53" s="27" t="str">
        <f t="shared" si="1"/>
        <v>Montgomery</v>
      </c>
      <c r="D53" s="27">
        <v>6852</v>
      </c>
      <c r="E53" s="27">
        <f>'AL pre'!I52</f>
        <v>124</v>
      </c>
      <c r="F53" s="26">
        <f>'AL pre'!P52</f>
        <v>111.25043782837128</v>
      </c>
      <c r="G53" s="2">
        <v>16159</v>
      </c>
      <c r="H53" s="28">
        <f>'AL pre'!T52</f>
        <v>32.766129032258064</v>
      </c>
      <c r="I53" s="2">
        <f>'AL pre'!U52</f>
        <v>95973.55</v>
      </c>
      <c r="J53" s="27">
        <v>122</v>
      </c>
      <c r="K53" s="27">
        <f>'AL pre'!Y52</f>
        <v>42000</v>
      </c>
      <c r="L53" s="27">
        <v>1905</v>
      </c>
      <c r="M53" s="4" t="s">
        <v>2547</v>
      </c>
      <c r="N53" s="27" t="s">
        <v>474</v>
      </c>
      <c r="O53" s="27" t="str">
        <f t="shared" si="3"/>
        <v>https://babel.hathitrust.org/cgi/pt?id=mdp.39015049037735;view=1up;seq=146</v>
      </c>
      <c r="P53" s="4" t="s">
        <v>2547</v>
      </c>
      <c r="Q53" s="27" t="str">
        <f t="shared" si="2"/>
        <v>https://babel.hathitrust.org/cgi/pt?id=mdp.39015049037735;view=1up;seq=146</v>
      </c>
      <c r="R53" s="27" t="s">
        <v>2551</v>
      </c>
      <c r="S53" s="4" t="s">
        <v>2547</v>
      </c>
      <c r="T53" s="27" t="s">
        <v>473</v>
      </c>
      <c r="U53" s="4"/>
      <c r="V53" s="4"/>
      <c r="W53" s="4"/>
      <c r="X53" s="4"/>
      <c r="Y53" s="4"/>
      <c r="Z53" s="4"/>
      <c r="AA53" s="4"/>
      <c r="AB53" s="4"/>
    </row>
    <row r="54" spans="1:28" x14ac:dyDescent="0.25">
      <c r="A54" s="27" t="s">
        <v>1775</v>
      </c>
      <c r="B54" s="27" t="str">
        <f t="shared" si="0"/>
        <v>Alabama</v>
      </c>
      <c r="C54" s="27" t="str">
        <f t="shared" si="1"/>
        <v>Morgan/Cotaco</v>
      </c>
      <c r="D54" s="27">
        <v>2961</v>
      </c>
      <c r="E54" s="27">
        <f>'AL pre'!I53</f>
        <v>94</v>
      </c>
      <c r="F54" s="26">
        <f>'AL pre'!P53</f>
        <v>87</v>
      </c>
      <c r="G54" s="2">
        <v>9398</v>
      </c>
      <c r="H54" s="28">
        <f>'AL pre'!T53</f>
        <v>37.677446808510645</v>
      </c>
      <c r="I54" s="2">
        <f>'AL pre'!U53</f>
        <v>36834.949999999997</v>
      </c>
      <c r="J54" s="27">
        <v>81</v>
      </c>
      <c r="K54" s="27">
        <f>'AL pre'!Y53</f>
        <v>59775</v>
      </c>
      <c r="L54" s="27">
        <v>1905</v>
      </c>
      <c r="M54" s="4" t="s">
        <v>2547</v>
      </c>
      <c r="N54" s="27" t="s">
        <v>476</v>
      </c>
      <c r="O54" s="27" t="str">
        <f t="shared" si="3"/>
        <v>https://babel.hathitrust.org/cgi/pt?id=mdp.39015049037735;view=1up;seq=146</v>
      </c>
      <c r="P54" s="4" t="s">
        <v>2547</v>
      </c>
      <c r="Q54" s="27" t="str">
        <f t="shared" si="2"/>
        <v>https://babel.hathitrust.org/cgi/pt?id=mdp.39015049037735;view=1up;seq=146</v>
      </c>
      <c r="R54" s="4" t="s">
        <v>2552</v>
      </c>
      <c r="S54" s="4" t="s">
        <v>2547</v>
      </c>
      <c r="T54" s="27" t="s">
        <v>477</v>
      </c>
      <c r="U54" s="4"/>
      <c r="V54" s="4"/>
      <c r="W54" s="4"/>
      <c r="X54" s="4"/>
      <c r="Y54" s="4"/>
      <c r="Z54" s="4"/>
      <c r="AA54" s="4"/>
      <c r="AB54" s="4"/>
    </row>
    <row r="55" spans="1:28" x14ac:dyDescent="0.25">
      <c r="A55" s="27" t="s">
        <v>637</v>
      </c>
      <c r="B55" s="27" t="str">
        <f t="shared" si="0"/>
        <v>Alabama</v>
      </c>
      <c r="C55" s="27" t="str">
        <f t="shared" si="1"/>
        <v>Perry</v>
      </c>
      <c r="D55" s="27">
        <v>1560</v>
      </c>
      <c r="E55" s="27">
        <f>'AL pre'!I54</f>
        <v>55</v>
      </c>
      <c r="F55" s="26">
        <f>'AL pre'!P54</f>
        <v>96.041666666666671</v>
      </c>
      <c r="G55" s="2">
        <v>9238</v>
      </c>
      <c r="H55" s="28">
        <f>'AL pre'!T54</f>
        <v>28.491818181818186</v>
      </c>
      <c r="I55" s="2">
        <f>'AL pre'!U54</f>
        <v>33278.5</v>
      </c>
      <c r="J55" s="27">
        <v>64</v>
      </c>
      <c r="K55" s="27">
        <f>'AL pre'!Y54</f>
        <v>33320</v>
      </c>
      <c r="L55" s="27">
        <v>1905</v>
      </c>
      <c r="M55" s="4" t="s">
        <v>2547</v>
      </c>
      <c r="N55" s="27" t="s">
        <v>476</v>
      </c>
      <c r="O55" s="27" t="str">
        <f t="shared" si="3"/>
        <v>https://babel.hathitrust.org/cgi/pt?id=mdp.39015049037735;view=1up;seq=146</v>
      </c>
      <c r="P55" s="4" t="s">
        <v>2547</v>
      </c>
      <c r="Q55" s="27" t="str">
        <f t="shared" si="2"/>
        <v>https://babel.hathitrust.org/cgi/pt?id=mdp.39015049037735;view=1up;seq=146</v>
      </c>
      <c r="R55" s="27" t="s">
        <v>2552</v>
      </c>
      <c r="S55" s="4" t="s">
        <v>2547</v>
      </c>
      <c r="T55" s="27" t="s">
        <v>477</v>
      </c>
      <c r="U55" s="4"/>
      <c r="V55" s="4"/>
      <c r="W55" s="4"/>
      <c r="X55" s="4"/>
      <c r="Y55" s="4"/>
      <c r="Z55" s="4"/>
      <c r="AA55" s="4"/>
      <c r="AB55" s="4"/>
    </row>
    <row r="56" spans="1:28" x14ac:dyDescent="0.25">
      <c r="A56" s="27" t="s">
        <v>638</v>
      </c>
      <c r="B56" s="27" t="str">
        <f t="shared" si="0"/>
        <v>Alabama</v>
      </c>
      <c r="C56" s="27" t="str">
        <f t="shared" si="1"/>
        <v>Pickens</v>
      </c>
      <c r="D56" s="27">
        <v>2303</v>
      </c>
      <c r="E56" s="27">
        <f>'AL pre'!I55</f>
        <v>78</v>
      </c>
      <c r="F56" s="26">
        <f>'AL pre'!P55</f>
        <v>85.853234910985677</v>
      </c>
      <c r="G56" s="2">
        <v>7589</v>
      </c>
      <c r="H56" s="28">
        <f>'AL pre'!T55</f>
        <v>31.179487179487179</v>
      </c>
      <c r="I56" s="2">
        <f>'AL pre'!U55</f>
        <v>22547.26</v>
      </c>
      <c r="J56" s="27">
        <v>88</v>
      </c>
      <c r="K56" s="27">
        <f>'AL pre'!Y55</f>
        <v>10000</v>
      </c>
      <c r="L56" s="27">
        <v>1905</v>
      </c>
      <c r="M56" s="4" t="s">
        <v>2547</v>
      </c>
      <c r="N56" s="27" t="s">
        <v>476</v>
      </c>
      <c r="O56" s="27" t="str">
        <f t="shared" si="3"/>
        <v>https://babel.hathitrust.org/cgi/pt?id=mdp.39015049037735;view=1up;seq=146</v>
      </c>
      <c r="P56" s="4" t="s">
        <v>2547</v>
      </c>
      <c r="Q56" s="27" t="str">
        <f t="shared" si="2"/>
        <v>https://babel.hathitrust.org/cgi/pt?id=mdp.39015049037735;view=1up;seq=146</v>
      </c>
      <c r="R56" s="27" t="s">
        <v>2552</v>
      </c>
      <c r="S56" s="4" t="s">
        <v>2547</v>
      </c>
      <c r="T56" s="27" t="s">
        <v>477</v>
      </c>
      <c r="U56" s="4"/>
      <c r="V56" s="4"/>
      <c r="W56" s="4"/>
      <c r="X56" s="4"/>
      <c r="Y56" s="4"/>
      <c r="Z56" s="4"/>
      <c r="AA56" s="4"/>
      <c r="AB56" s="4"/>
    </row>
    <row r="57" spans="1:28" x14ac:dyDescent="0.25">
      <c r="A57" s="27" t="s">
        <v>639</v>
      </c>
      <c r="B57" s="27" t="str">
        <f t="shared" si="0"/>
        <v>Alabama</v>
      </c>
      <c r="C57" s="27" t="str">
        <f t="shared" si="1"/>
        <v>Pike</v>
      </c>
      <c r="D57" s="27">
        <v>3284</v>
      </c>
      <c r="E57" s="27">
        <f>'AL pre'!I56</f>
        <v>92</v>
      </c>
      <c r="F57" s="26">
        <f>'AL pre'!P56</f>
        <v>100</v>
      </c>
      <c r="G57" s="2">
        <v>9037</v>
      </c>
      <c r="H57" s="28">
        <f>'AL pre'!T56</f>
        <v>37.608695652173914</v>
      </c>
      <c r="I57" s="2">
        <f>'AL pre'!U56</f>
        <v>27296.32</v>
      </c>
      <c r="J57" s="27">
        <v>82</v>
      </c>
      <c r="K57" s="27">
        <f>'AL pre'!Y56</f>
        <v>65300</v>
      </c>
      <c r="L57" s="27">
        <v>1905</v>
      </c>
      <c r="M57" s="4" t="s">
        <v>2548</v>
      </c>
      <c r="N57" s="27" t="s">
        <v>476</v>
      </c>
      <c r="O57" s="27" t="str">
        <f t="shared" si="3"/>
        <v>https://babel.hathitrust.org/cgi/pt?id=mdp.39015049037735;view=1up;seq=146</v>
      </c>
      <c r="P57" s="4" t="s">
        <v>2548</v>
      </c>
      <c r="Q57" s="27" t="str">
        <f t="shared" si="2"/>
        <v>https://babel.hathitrust.org/cgi/pt?id=mdp.39015049037735;view=1up;seq=146</v>
      </c>
      <c r="R57" s="27" t="s">
        <v>2552</v>
      </c>
      <c r="S57" s="4" t="s">
        <v>2548</v>
      </c>
      <c r="T57" s="27" t="s">
        <v>477</v>
      </c>
      <c r="U57" s="4"/>
      <c r="V57" s="4"/>
      <c r="W57" s="4"/>
      <c r="X57" s="4"/>
      <c r="Y57" s="4"/>
      <c r="Z57" s="4"/>
      <c r="AA57" s="4"/>
      <c r="AB57" s="4"/>
    </row>
    <row r="58" spans="1:28" x14ac:dyDescent="0.25">
      <c r="A58" s="27" t="s">
        <v>640</v>
      </c>
      <c r="B58" s="27" t="str">
        <f t="shared" si="0"/>
        <v>Alabama</v>
      </c>
      <c r="C58" s="27" t="str">
        <f t="shared" si="1"/>
        <v>Randolph</v>
      </c>
      <c r="D58" s="27">
        <v>1953</v>
      </c>
      <c r="E58" s="27">
        <f>'AL pre'!I57</f>
        <v>73</v>
      </c>
      <c r="F58" s="26">
        <f>'AL pre'!P57</f>
        <v>115.08294930875576</v>
      </c>
      <c r="G58" s="2">
        <v>7848</v>
      </c>
      <c r="H58" s="28">
        <f>'AL pre'!T57</f>
        <v>39.041095890410958</v>
      </c>
      <c r="I58" s="2">
        <f>'AL pre'!U57</f>
        <v>18424.45</v>
      </c>
      <c r="J58" s="27">
        <v>64</v>
      </c>
      <c r="K58" s="27">
        <f>'AL pre'!Y57</f>
        <v>35000</v>
      </c>
      <c r="L58" s="27">
        <v>1905</v>
      </c>
      <c r="M58" s="4" t="s">
        <v>2548</v>
      </c>
      <c r="N58" s="27" t="s">
        <v>476</v>
      </c>
      <c r="O58" s="27" t="str">
        <f t="shared" si="3"/>
        <v>https://babel.hathitrust.org/cgi/pt?id=mdp.39015049037735;view=1up;seq=146</v>
      </c>
      <c r="P58" s="4" t="s">
        <v>2548</v>
      </c>
      <c r="Q58" s="27" t="str">
        <f t="shared" si="2"/>
        <v>https://babel.hathitrust.org/cgi/pt?id=mdp.39015049037735;view=1up;seq=146</v>
      </c>
      <c r="R58" s="27" t="s">
        <v>2552</v>
      </c>
      <c r="S58" s="4" t="s">
        <v>2548</v>
      </c>
      <c r="T58" s="27" t="s">
        <v>477</v>
      </c>
      <c r="U58" s="4"/>
      <c r="V58" s="4"/>
      <c r="W58" s="4"/>
      <c r="X58" s="4"/>
      <c r="Y58" s="4"/>
      <c r="Z58" s="4"/>
      <c r="AA58" s="4"/>
      <c r="AB58" s="4"/>
    </row>
    <row r="59" spans="1:28" x14ac:dyDescent="0.25">
      <c r="A59" s="27" t="s">
        <v>641</v>
      </c>
      <c r="B59" s="27" t="str">
        <f t="shared" si="0"/>
        <v>Alabama</v>
      </c>
      <c r="C59" s="27" t="str">
        <f t="shared" si="1"/>
        <v>Russell</v>
      </c>
      <c r="D59" s="27">
        <v>2787</v>
      </c>
      <c r="E59" s="27">
        <f>'AL pre'!I58</f>
        <v>75</v>
      </c>
      <c r="F59" s="26">
        <f>'AL pre'!P58</f>
        <v>104.85360602798708</v>
      </c>
      <c r="G59" s="2">
        <v>9955</v>
      </c>
      <c r="H59" s="28">
        <f>'AL pre'!T58</f>
        <v>30.995999999999999</v>
      </c>
      <c r="I59" s="2">
        <f>'AL pre'!U58</f>
        <v>22513.4</v>
      </c>
      <c r="J59" s="27">
        <v>70</v>
      </c>
      <c r="K59" s="27">
        <f>'AL pre'!Y58</f>
        <v>11300</v>
      </c>
      <c r="L59" s="27">
        <v>1905</v>
      </c>
      <c r="M59" s="4" t="s">
        <v>2548</v>
      </c>
      <c r="N59" s="27" t="s">
        <v>476</v>
      </c>
      <c r="O59" s="27" t="str">
        <f t="shared" si="3"/>
        <v>https://babel.hathitrust.org/cgi/pt?id=mdp.39015049037735;view=1up;seq=146</v>
      </c>
      <c r="P59" s="4" t="s">
        <v>2548</v>
      </c>
      <c r="Q59" s="27" t="str">
        <f t="shared" si="2"/>
        <v>https://babel.hathitrust.org/cgi/pt?id=mdp.39015049037735;view=1up;seq=146</v>
      </c>
      <c r="R59" s="27" t="s">
        <v>2552</v>
      </c>
      <c r="S59" s="4" t="s">
        <v>2548</v>
      </c>
      <c r="T59" s="27" t="s">
        <v>477</v>
      </c>
      <c r="U59" s="4"/>
      <c r="V59" s="4"/>
      <c r="W59" s="4"/>
      <c r="X59" s="4"/>
      <c r="Y59" s="4"/>
      <c r="Z59" s="4"/>
      <c r="AA59" s="4"/>
      <c r="AB59" s="4"/>
    </row>
    <row r="60" spans="1:28" x14ac:dyDescent="0.25">
      <c r="A60" s="27" t="s">
        <v>642</v>
      </c>
      <c r="B60" s="27" t="str">
        <f t="shared" si="0"/>
        <v>Alabama</v>
      </c>
      <c r="C60" s="27" t="str">
        <f t="shared" si="1"/>
        <v>Shelby</v>
      </c>
      <c r="D60" s="27">
        <v>1045</v>
      </c>
      <c r="E60" s="27">
        <f>'AL pre'!I59</f>
        <v>72</v>
      </c>
      <c r="F60" s="26">
        <f>'AL pre'!P59</f>
        <v>93.932029339853301</v>
      </c>
      <c r="G60" s="2">
        <v>6914</v>
      </c>
      <c r="H60" s="28">
        <f>'AL pre'!T59</f>
        <v>32.305555555555557</v>
      </c>
      <c r="I60" s="2">
        <f>'AL pre'!U59</f>
        <v>29608.560000000001</v>
      </c>
      <c r="J60" s="27">
        <v>82</v>
      </c>
      <c r="K60" s="27">
        <f>'AL pre'!Y59</f>
        <v>23365</v>
      </c>
      <c r="L60" s="27">
        <v>1905</v>
      </c>
      <c r="M60" s="4" t="s">
        <v>2548</v>
      </c>
      <c r="N60" s="27" t="s">
        <v>476</v>
      </c>
      <c r="O60" s="27" t="str">
        <f t="shared" si="3"/>
        <v>https://babel.hathitrust.org/cgi/pt?id=mdp.39015049037735;view=1up;seq=146</v>
      </c>
      <c r="P60" s="4" t="s">
        <v>2548</v>
      </c>
      <c r="Q60" s="27" t="str">
        <f t="shared" si="2"/>
        <v>https://babel.hathitrust.org/cgi/pt?id=mdp.39015049037735;view=1up;seq=146</v>
      </c>
      <c r="R60" s="27" t="s">
        <v>2552</v>
      </c>
      <c r="S60" s="4" t="s">
        <v>2548</v>
      </c>
      <c r="T60" s="27" t="s">
        <v>477</v>
      </c>
      <c r="U60" s="4"/>
      <c r="V60" s="4"/>
      <c r="W60" s="4"/>
      <c r="X60" s="4"/>
      <c r="Y60" s="4"/>
      <c r="Z60" s="4"/>
      <c r="AA60" s="4"/>
      <c r="AB60" s="4"/>
    </row>
    <row r="61" spans="1:28" x14ac:dyDescent="0.25">
      <c r="A61" s="27" t="s">
        <v>1745</v>
      </c>
      <c r="B61" s="27" t="str">
        <f t="shared" si="0"/>
        <v>Alabama</v>
      </c>
      <c r="C61" s="27" t="str">
        <f t="shared" si="1"/>
        <v>St Clair</v>
      </c>
      <c r="D61" s="27">
        <v>2525</v>
      </c>
      <c r="E61" s="27">
        <f>'AL pre'!I60</f>
        <v>77</v>
      </c>
      <c r="F61" s="26">
        <f>'AL pre'!P60</f>
        <v>92.67326732673267</v>
      </c>
      <c r="G61" s="2">
        <v>7454</v>
      </c>
      <c r="H61" s="28">
        <f>'AL pre'!T60</f>
        <v>31.09090909090909</v>
      </c>
      <c r="I61" s="2">
        <f>'AL pre'!U60</f>
        <v>2954.43</v>
      </c>
      <c r="J61" s="27">
        <v>67</v>
      </c>
      <c r="K61" s="27">
        <f>'AL pre'!Y60</f>
        <v>30000</v>
      </c>
      <c r="L61" s="27">
        <v>1905</v>
      </c>
      <c r="M61" s="4" t="s">
        <v>2548</v>
      </c>
      <c r="N61" s="27" t="s">
        <v>476</v>
      </c>
      <c r="O61" s="27" t="str">
        <f t="shared" si="3"/>
        <v>https://babel.hathitrust.org/cgi/pt?id=mdp.39015049037735;view=1up;seq=146</v>
      </c>
      <c r="P61" s="4" t="s">
        <v>2548</v>
      </c>
      <c r="Q61" s="27" t="str">
        <f t="shared" si="2"/>
        <v>https://babel.hathitrust.org/cgi/pt?id=mdp.39015049037735;view=1up;seq=146</v>
      </c>
      <c r="R61" s="27" t="s">
        <v>2552</v>
      </c>
      <c r="S61" s="4" t="s">
        <v>2548</v>
      </c>
      <c r="T61" s="27" t="s">
        <v>477</v>
      </c>
      <c r="U61" s="4"/>
      <c r="V61" s="4"/>
      <c r="W61" s="4"/>
      <c r="X61" s="4"/>
      <c r="Y61" s="4"/>
      <c r="Z61" s="4"/>
      <c r="AA61" s="4"/>
      <c r="AB61" s="4"/>
    </row>
    <row r="62" spans="1:28" x14ac:dyDescent="0.25">
      <c r="A62" s="27" t="s">
        <v>643</v>
      </c>
      <c r="B62" s="27" t="str">
        <f t="shared" si="0"/>
        <v>Alabama</v>
      </c>
      <c r="C62" s="27" t="str">
        <f t="shared" si="1"/>
        <v>Sumter</v>
      </c>
      <c r="D62" s="27">
        <v>2002</v>
      </c>
      <c r="E62" s="27">
        <f>'AL pre'!I61</f>
        <v>72</v>
      </c>
      <c r="F62" s="26">
        <f>'AL pre'!P61</f>
        <v>128.25874125874125</v>
      </c>
      <c r="G62" s="2">
        <v>12298</v>
      </c>
      <c r="H62" s="28">
        <f>'AL pre'!T61</f>
        <v>42.444444444444443</v>
      </c>
      <c r="I62" s="2">
        <f>'AL pre'!U61</f>
        <v>26483.1</v>
      </c>
      <c r="J62" s="27">
        <v>58</v>
      </c>
      <c r="K62" s="27">
        <f>'AL pre'!Y61</f>
        <v>10900</v>
      </c>
      <c r="L62" s="27">
        <v>1905</v>
      </c>
      <c r="M62" s="4" t="s">
        <v>2548</v>
      </c>
      <c r="N62" s="27" t="s">
        <v>476</v>
      </c>
      <c r="O62" s="27" t="str">
        <f t="shared" si="3"/>
        <v>https://babel.hathitrust.org/cgi/pt?id=mdp.39015049037735;view=1up;seq=146</v>
      </c>
      <c r="P62" s="4" t="s">
        <v>2548</v>
      </c>
      <c r="Q62" s="27" t="str">
        <f t="shared" si="2"/>
        <v>https://babel.hathitrust.org/cgi/pt?id=mdp.39015049037735;view=1up;seq=146</v>
      </c>
      <c r="R62" s="27" t="s">
        <v>2552</v>
      </c>
      <c r="S62" s="4" t="s">
        <v>2548</v>
      </c>
      <c r="T62" s="27" t="s">
        <v>477</v>
      </c>
      <c r="U62" s="4"/>
      <c r="V62" s="4"/>
      <c r="W62" s="4"/>
      <c r="X62" s="4"/>
      <c r="Y62" s="4"/>
      <c r="Z62" s="4"/>
      <c r="AA62" s="4"/>
      <c r="AB62" s="4"/>
    </row>
    <row r="63" spans="1:28" x14ac:dyDescent="0.25">
      <c r="A63" s="27" t="s">
        <v>644</v>
      </c>
      <c r="B63" s="27" t="str">
        <f t="shared" si="0"/>
        <v>Alabama</v>
      </c>
      <c r="C63" s="27" t="str">
        <f t="shared" si="1"/>
        <v>Talladega</v>
      </c>
      <c r="D63" s="27">
        <v>4391</v>
      </c>
      <c r="E63" s="27">
        <f>'AL pre'!I62</f>
        <v>126</v>
      </c>
      <c r="F63" s="26">
        <f>'AL pre'!P62</f>
        <v>137.43566385789114</v>
      </c>
      <c r="G63" s="2">
        <v>11789</v>
      </c>
      <c r="H63" s="28">
        <f>'AL pre'!T62</f>
        <v>29.580476190476194</v>
      </c>
      <c r="I63" s="2">
        <f>'AL pre'!U62</f>
        <v>33301.480000000003</v>
      </c>
      <c r="J63" s="27">
        <v>94</v>
      </c>
      <c r="K63" s="27">
        <f>'AL pre'!Y62</f>
        <v>85680</v>
      </c>
      <c r="L63" s="27">
        <v>1905</v>
      </c>
      <c r="M63" s="4" t="s">
        <v>2548</v>
      </c>
      <c r="N63" s="27" t="s">
        <v>476</v>
      </c>
      <c r="O63" s="27" t="str">
        <f t="shared" si="3"/>
        <v>https://babel.hathitrust.org/cgi/pt?id=mdp.39015049037735;view=1up;seq=146</v>
      </c>
      <c r="P63" s="4" t="s">
        <v>2548</v>
      </c>
      <c r="Q63" s="27" t="str">
        <f t="shared" si="2"/>
        <v>https://babel.hathitrust.org/cgi/pt?id=mdp.39015049037735;view=1up;seq=146</v>
      </c>
      <c r="R63" s="27" t="s">
        <v>2552</v>
      </c>
      <c r="S63" s="4" t="s">
        <v>2548</v>
      </c>
      <c r="T63" s="27" t="s">
        <v>477</v>
      </c>
      <c r="U63" s="4"/>
      <c r="V63" s="4"/>
      <c r="W63" s="4"/>
      <c r="X63" s="4"/>
      <c r="Y63" s="4"/>
      <c r="Z63" s="4"/>
      <c r="AA63" s="4"/>
      <c r="AB63" s="4"/>
    </row>
    <row r="64" spans="1:28" x14ac:dyDescent="0.25">
      <c r="A64" s="27" t="s">
        <v>645</v>
      </c>
      <c r="B64" s="27" t="str">
        <f t="shared" si="0"/>
        <v>Alabama</v>
      </c>
      <c r="C64" s="27" t="str">
        <f t="shared" si="1"/>
        <v>Tallapoosa</v>
      </c>
      <c r="D64" s="27">
        <v>3717</v>
      </c>
      <c r="E64" s="27">
        <f>'AL pre'!I63</f>
        <v>100</v>
      </c>
      <c r="F64" s="26">
        <f>'AL pre'!P63</f>
        <v>114.53645412967447</v>
      </c>
      <c r="G64" s="2">
        <v>10556</v>
      </c>
      <c r="H64" s="28">
        <f>'AL pre'!T63</f>
        <v>35.125</v>
      </c>
      <c r="I64" s="2">
        <f>'AL pre'!U63</f>
        <v>34875.61</v>
      </c>
      <c r="J64" s="27">
        <v>93</v>
      </c>
      <c r="K64" s="27">
        <f>'AL pre'!Y63</f>
        <v>46200</v>
      </c>
      <c r="L64" s="27">
        <v>1905</v>
      </c>
      <c r="M64" s="4" t="s">
        <v>2548</v>
      </c>
      <c r="N64" s="27" t="s">
        <v>476</v>
      </c>
      <c r="O64" s="27" t="str">
        <f t="shared" si="3"/>
        <v>https://babel.hathitrust.org/cgi/pt?id=mdp.39015049037735;view=1up;seq=146</v>
      </c>
      <c r="P64" s="4" t="s">
        <v>2548</v>
      </c>
      <c r="Q64" s="27" t="str">
        <f t="shared" si="2"/>
        <v>https://babel.hathitrust.org/cgi/pt?id=mdp.39015049037735;view=1up;seq=146</v>
      </c>
      <c r="R64" s="27" t="s">
        <v>2552</v>
      </c>
      <c r="S64" s="4" t="s">
        <v>2548</v>
      </c>
      <c r="T64" s="27" t="s">
        <v>477</v>
      </c>
      <c r="U64" s="4"/>
      <c r="V64" s="4"/>
      <c r="W64" s="4"/>
      <c r="X64" s="4"/>
      <c r="Y64" s="4"/>
      <c r="Z64" s="4"/>
      <c r="AA64" s="4"/>
      <c r="AB64" s="4"/>
    </row>
    <row r="65" spans="1:28" x14ac:dyDescent="0.25">
      <c r="A65" s="27" t="s">
        <v>646</v>
      </c>
      <c r="B65" s="27" t="str">
        <f t="shared" si="0"/>
        <v>Alabama</v>
      </c>
      <c r="C65" s="27" t="str">
        <f t="shared" si="1"/>
        <v>Tuscaloosa</v>
      </c>
      <c r="D65" s="27">
        <v>2636</v>
      </c>
      <c r="E65" s="27">
        <f>'AL pre'!I64</f>
        <v>110</v>
      </c>
      <c r="F65" s="26">
        <f>'AL pre'!P64</f>
        <v>84.3046282245827</v>
      </c>
      <c r="G65" s="2">
        <v>9435</v>
      </c>
      <c r="H65" s="28">
        <f>'AL pre'!T64</f>
        <v>39.069818181818185</v>
      </c>
      <c r="I65" s="2">
        <f>'AL pre'!U64</f>
        <v>48212.05</v>
      </c>
      <c r="J65" s="27">
        <v>104</v>
      </c>
      <c r="K65" s="27">
        <f>'AL pre'!Y64</f>
        <v>35500</v>
      </c>
      <c r="L65" s="27">
        <v>1905</v>
      </c>
      <c r="M65" s="4" t="s">
        <v>2548</v>
      </c>
      <c r="N65" s="27" t="s">
        <v>476</v>
      </c>
      <c r="O65" s="27" t="str">
        <f t="shared" si="3"/>
        <v>https://babel.hathitrust.org/cgi/pt?id=mdp.39015049037735;view=1up;seq=146</v>
      </c>
      <c r="P65" s="4" t="s">
        <v>2548</v>
      </c>
      <c r="Q65" s="27" t="str">
        <f t="shared" si="2"/>
        <v>https://babel.hathitrust.org/cgi/pt?id=mdp.39015049037735;view=1up;seq=146</v>
      </c>
      <c r="R65" s="27" t="s">
        <v>2552</v>
      </c>
      <c r="S65" s="4" t="s">
        <v>2548</v>
      </c>
      <c r="T65" s="27" t="s">
        <v>477</v>
      </c>
      <c r="U65" s="4"/>
      <c r="V65" s="4"/>
      <c r="W65" s="4"/>
      <c r="X65" s="4"/>
      <c r="Y65" s="4"/>
      <c r="Z65" s="4"/>
      <c r="AA65" s="4"/>
      <c r="AB65" s="4"/>
    </row>
    <row r="66" spans="1:28" x14ac:dyDescent="0.25">
      <c r="A66" s="27" t="s">
        <v>647</v>
      </c>
      <c r="B66" s="27" t="str">
        <f t="shared" si="0"/>
        <v>Alabama</v>
      </c>
      <c r="C66" s="27" t="str">
        <f t="shared" si="1"/>
        <v>Walker</v>
      </c>
      <c r="D66" s="27">
        <v>3145</v>
      </c>
      <c r="E66" s="27">
        <f>'AL pre'!I65</f>
        <v>86</v>
      </c>
      <c r="F66" s="26">
        <f>'AL pre'!P65</f>
        <v>103.94531001589826</v>
      </c>
      <c r="G66" s="2">
        <v>8709</v>
      </c>
      <c r="H66" s="28">
        <f>'AL pre'!T65</f>
        <v>42.352325581395348</v>
      </c>
      <c r="I66" s="2">
        <f>'AL pre'!U65</f>
        <v>55166.79</v>
      </c>
      <c r="J66" s="27">
        <v>91</v>
      </c>
      <c r="K66" s="27">
        <f>'AL pre'!Y65</f>
        <v>59225</v>
      </c>
      <c r="L66" s="27">
        <v>1905</v>
      </c>
      <c r="M66" s="4" t="s">
        <v>2548</v>
      </c>
      <c r="N66" s="27" t="s">
        <v>476</v>
      </c>
      <c r="O66" s="27" t="str">
        <f t="shared" si="3"/>
        <v>https://babel.hathitrust.org/cgi/pt?id=mdp.39015049037735;view=1up;seq=146</v>
      </c>
      <c r="P66" s="4" t="s">
        <v>2548</v>
      </c>
      <c r="Q66" s="27" t="str">
        <f t="shared" si="2"/>
        <v>https://babel.hathitrust.org/cgi/pt?id=mdp.39015049037735;view=1up;seq=146</v>
      </c>
      <c r="R66" s="27" t="s">
        <v>2552</v>
      </c>
      <c r="S66" s="4" t="s">
        <v>2548</v>
      </c>
      <c r="T66" s="27" t="s">
        <v>477</v>
      </c>
      <c r="U66" s="4"/>
      <c r="V66" s="4"/>
      <c r="W66" s="4"/>
      <c r="X66" s="4"/>
      <c r="Y66" s="4"/>
      <c r="Z66" s="4"/>
      <c r="AA66" s="4"/>
      <c r="AB66" s="4"/>
    </row>
    <row r="67" spans="1:28" x14ac:dyDescent="0.25">
      <c r="A67" s="27" t="s">
        <v>648</v>
      </c>
      <c r="B67" s="27" t="str">
        <f t="shared" si="0"/>
        <v>Alabama</v>
      </c>
      <c r="C67" s="27" t="str">
        <f t="shared" si="1"/>
        <v>Washington</v>
      </c>
      <c r="D67" s="27">
        <v>825</v>
      </c>
      <c r="E67" s="27">
        <f>'AL pre'!I66</f>
        <v>31</v>
      </c>
      <c r="F67" s="26">
        <f>'AL pre'!P66</f>
        <v>120</v>
      </c>
      <c r="G67" s="2">
        <v>4211</v>
      </c>
      <c r="H67" s="28">
        <f>'AL pre'!T66</f>
        <v>31.29032258064516</v>
      </c>
      <c r="I67" s="2">
        <f>'AL pre'!U66</f>
        <v>12249.39</v>
      </c>
      <c r="J67" s="27">
        <v>31</v>
      </c>
      <c r="K67" s="27">
        <f>'AL pre'!Y66</f>
        <v>1100</v>
      </c>
      <c r="L67" s="27">
        <v>1905</v>
      </c>
      <c r="M67" s="4" t="s">
        <v>2548</v>
      </c>
      <c r="N67" s="27" t="s">
        <v>476</v>
      </c>
      <c r="O67" s="27" t="str">
        <f t="shared" si="3"/>
        <v>https://babel.hathitrust.org/cgi/pt?id=mdp.39015049037735;view=1up;seq=146</v>
      </c>
      <c r="P67" s="4" t="s">
        <v>2548</v>
      </c>
      <c r="Q67" s="27" t="str">
        <f t="shared" si="2"/>
        <v>https://babel.hathitrust.org/cgi/pt?id=mdp.39015049037735;view=1up;seq=146</v>
      </c>
      <c r="R67" s="27" t="s">
        <v>2552</v>
      </c>
      <c r="S67" s="4" t="s">
        <v>2548</v>
      </c>
      <c r="T67" s="27" t="s">
        <v>477</v>
      </c>
      <c r="U67" s="4"/>
      <c r="V67" s="4"/>
      <c r="W67" s="4"/>
      <c r="X67" s="4"/>
      <c r="Y67" s="4"/>
      <c r="Z67" s="4"/>
      <c r="AA67" s="4"/>
      <c r="AB67" s="4"/>
    </row>
    <row r="68" spans="1:28" x14ac:dyDescent="0.25">
      <c r="A68" s="27" t="s">
        <v>649</v>
      </c>
      <c r="B68" s="27" t="str">
        <f>LEFT(A68,FIND(";",A68)-1)</f>
        <v>Alabama</v>
      </c>
      <c r="C68" s="27" t="str">
        <f>MID(A68,FIND(";",A68)+1,100)</f>
        <v>Wilcox</v>
      </c>
      <c r="D68" s="27">
        <v>7500</v>
      </c>
      <c r="E68" s="27">
        <f>'AL pre'!I67</f>
        <v>100</v>
      </c>
      <c r="F68" s="26">
        <f>'AL pre'!P67</f>
        <v>100</v>
      </c>
      <c r="G68" s="2">
        <v>13121</v>
      </c>
      <c r="H68" s="28">
        <f>'AL pre'!T67</f>
        <v>37.200000000000003</v>
      </c>
      <c r="I68" s="2">
        <f>'AL pre'!U67</f>
        <v>28108.18</v>
      </c>
      <c r="J68" s="27">
        <v>100</v>
      </c>
      <c r="K68" s="27">
        <f>'AL pre'!Y67</f>
        <v>66050</v>
      </c>
      <c r="L68" s="27">
        <v>1905</v>
      </c>
      <c r="M68" s="4" t="s">
        <v>2548</v>
      </c>
      <c r="N68" s="27" t="s">
        <v>476</v>
      </c>
      <c r="O68" s="27" t="str">
        <f t="shared" si="3"/>
        <v>https://babel.hathitrust.org/cgi/pt?id=mdp.39015049037735;view=1up;seq=146</v>
      </c>
      <c r="P68" s="4" t="s">
        <v>2548</v>
      </c>
      <c r="Q68" s="27" t="str">
        <f t="shared" ref="Q68:Q69" si="4">O68</f>
        <v>https://babel.hathitrust.org/cgi/pt?id=mdp.39015049037735;view=1up;seq=146</v>
      </c>
      <c r="R68" s="27" t="s">
        <v>2552</v>
      </c>
      <c r="S68" s="4" t="s">
        <v>2548</v>
      </c>
      <c r="T68" s="27" t="s">
        <v>477</v>
      </c>
      <c r="U68" s="4"/>
      <c r="V68" s="4"/>
      <c r="W68" s="4"/>
      <c r="X68" s="4"/>
      <c r="Y68" s="4"/>
      <c r="Z68" s="4"/>
      <c r="AA68" s="4"/>
      <c r="AB68" s="4"/>
    </row>
    <row r="69" spans="1:28" x14ac:dyDescent="0.25">
      <c r="A69" s="27" t="s">
        <v>1776</v>
      </c>
      <c r="B69" s="27" t="str">
        <f>LEFT(A69,FIND(";",A69)-1)</f>
        <v>Alabama</v>
      </c>
      <c r="C69" s="27" t="str">
        <f>MID(A69,FIND(";",A69)+1,100)</f>
        <v>Winston/Hancock</v>
      </c>
      <c r="D69" s="27">
        <v>1300</v>
      </c>
      <c r="E69" s="27">
        <f>'AL pre'!I68</f>
        <v>31</v>
      </c>
      <c r="F69" s="26">
        <f>'AL pre'!P68</f>
        <v>82</v>
      </c>
      <c r="G69" s="2">
        <v>3702</v>
      </c>
      <c r="H69" s="28">
        <f>'AL pre'!T68</f>
        <v>33</v>
      </c>
      <c r="I69" s="2">
        <f>'AL pre'!U68</f>
        <v>12868.91</v>
      </c>
      <c r="J69" s="27">
        <v>39</v>
      </c>
      <c r="K69" s="27">
        <f>'AL pre'!Y68</f>
        <v>11200</v>
      </c>
      <c r="L69" s="27">
        <v>1905</v>
      </c>
      <c r="M69" s="4" t="s">
        <v>2548</v>
      </c>
      <c r="N69" s="27" t="s">
        <v>476</v>
      </c>
      <c r="O69" s="27" t="str">
        <f t="shared" ref="O69" si="5">O68</f>
        <v>https://babel.hathitrust.org/cgi/pt?id=mdp.39015049037735;view=1up;seq=146</v>
      </c>
      <c r="P69" s="4" t="s">
        <v>2548</v>
      </c>
      <c r="Q69" s="27" t="str">
        <f t="shared" si="4"/>
        <v>https://babel.hathitrust.org/cgi/pt?id=mdp.39015049037735;view=1up;seq=146</v>
      </c>
      <c r="R69" s="27" t="s">
        <v>2552</v>
      </c>
      <c r="S69" s="4" t="s">
        <v>2548</v>
      </c>
      <c r="T69" s="27" t="s">
        <v>477</v>
      </c>
      <c r="U69" s="4"/>
      <c r="V69" s="4"/>
      <c r="W69" s="4"/>
      <c r="X69" s="4"/>
      <c r="Y69" s="4"/>
      <c r="Z69" s="4"/>
      <c r="AA69" s="4"/>
      <c r="AB69" s="4"/>
    </row>
    <row r="70" spans="1:28" x14ac:dyDescent="0.25">
      <c r="A70" s="27" t="s">
        <v>1367</v>
      </c>
      <c r="B70" s="27" t="str">
        <f>LEFT(A70,FIND(";",A70)-1)</f>
        <v/>
      </c>
      <c r="C70" s="27" t="str">
        <f>MID(A70,FIND(";",A70)+1,100)</f>
        <v/>
      </c>
      <c r="D70" s="27"/>
      <c r="E70" s="27"/>
      <c r="F70" s="27"/>
      <c r="G70" s="27"/>
      <c r="H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8" x14ac:dyDescent="0.25">
      <c r="A71" s="27" t="s">
        <v>652</v>
      </c>
      <c r="B71" s="27" t="str">
        <f t="shared" ref="B71:B134" si="6">LEFT(A71,FIND(";",A71)-1)</f>
        <v>Arkansas</v>
      </c>
      <c r="C71" s="27" t="str">
        <f t="shared" ref="C71:C134" si="7">MID(A71,FIND(";",A71)+1,100)</f>
        <v>Arkansas</v>
      </c>
      <c r="D71" s="27">
        <v>2314</v>
      </c>
      <c r="E71" s="2">
        <v>114</v>
      </c>
      <c r="F71" s="27">
        <v>105</v>
      </c>
      <c r="G71" s="2">
        <v>3522</v>
      </c>
      <c r="H71" s="12">
        <f>'AR pre'!U2</f>
        <v>35.9588596491228</v>
      </c>
      <c r="I71" s="2">
        <v>22319.53</v>
      </c>
      <c r="J71" s="27">
        <v>73</v>
      </c>
      <c r="K71" s="27">
        <v>36045</v>
      </c>
      <c r="L71" s="27">
        <v>1905</v>
      </c>
      <c r="M71" s="27" t="s">
        <v>478</v>
      </c>
      <c r="N71" s="27" t="s">
        <v>479</v>
      </c>
      <c r="O71" s="27" t="s">
        <v>2554</v>
      </c>
      <c r="P71" s="27" t="s">
        <v>480</v>
      </c>
      <c r="Q71" s="27" t="s">
        <v>2554</v>
      </c>
      <c r="R71" s="27" t="s">
        <v>481</v>
      </c>
      <c r="S71" s="7" t="s">
        <v>2555</v>
      </c>
      <c r="T71" s="27" t="s">
        <v>482</v>
      </c>
      <c r="U71" s="4"/>
      <c r="V71" s="4"/>
      <c r="W71" s="4"/>
      <c r="X71" s="4"/>
      <c r="Y71" s="4"/>
      <c r="Z71" s="4"/>
      <c r="AA71" s="4"/>
      <c r="AB71" s="4"/>
    </row>
    <row r="72" spans="1:28" x14ac:dyDescent="0.25">
      <c r="A72" s="27" t="s">
        <v>653</v>
      </c>
      <c r="B72" s="27" t="str">
        <f t="shared" si="6"/>
        <v>Arkansas</v>
      </c>
      <c r="C72" s="27" t="str">
        <f t="shared" si="7"/>
        <v>Ashley</v>
      </c>
      <c r="D72" s="27">
        <v>3317</v>
      </c>
      <c r="E72" s="2">
        <v>136</v>
      </c>
      <c r="F72" s="27">
        <v>93</v>
      </c>
      <c r="G72" s="2">
        <v>5256</v>
      </c>
      <c r="H72" s="12">
        <f>'AR pre'!U3</f>
        <v>29.428235294117648</v>
      </c>
      <c r="I72" s="2">
        <v>28027.56</v>
      </c>
      <c r="J72" s="27">
        <v>83</v>
      </c>
      <c r="K72" s="27">
        <v>41370</v>
      </c>
      <c r="L72" s="27">
        <v>1905</v>
      </c>
      <c r="M72" s="27" t="s">
        <v>478</v>
      </c>
      <c r="N72" s="27" t="s">
        <v>479</v>
      </c>
      <c r="O72" s="27" t="str">
        <f>O71</f>
        <v>https://babel.hathitrust.org/cgi/pt?id=mdp.39015076515900;view=1up;seq=220</v>
      </c>
      <c r="P72" s="27" t="s">
        <v>480</v>
      </c>
      <c r="Q72" s="27" t="str">
        <f>Q71</f>
        <v>https://babel.hathitrust.org/cgi/pt?id=mdp.39015076515900;view=1up;seq=220</v>
      </c>
      <c r="R72" s="27" t="s">
        <v>481</v>
      </c>
      <c r="S72" s="27" t="str">
        <f>S71</f>
        <v>https://babel.hathitrust.org/cgi/pt?id=mdp.39015076515900;view=1up;seq=223</v>
      </c>
      <c r="T72" s="27" t="s">
        <v>482</v>
      </c>
      <c r="U72" s="4"/>
      <c r="V72" s="4"/>
      <c r="W72" s="4"/>
      <c r="X72" s="4"/>
      <c r="Y72" s="4"/>
      <c r="Z72" s="4"/>
      <c r="AA72" s="4"/>
      <c r="AB72" s="4"/>
    </row>
    <row r="73" spans="1:28" x14ac:dyDescent="0.25">
      <c r="A73" s="27" t="s">
        <v>654</v>
      </c>
      <c r="B73" s="27" t="str">
        <f t="shared" si="6"/>
        <v>Arkansas</v>
      </c>
      <c r="C73" s="27" t="str">
        <f t="shared" si="7"/>
        <v>Baxter</v>
      </c>
      <c r="D73" s="27">
        <v>1584</v>
      </c>
      <c r="E73" s="2">
        <v>66</v>
      </c>
      <c r="F73" s="27">
        <v>63</v>
      </c>
      <c r="G73" s="2">
        <v>2580</v>
      </c>
      <c r="H73" s="12">
        <f>'AR pre'!U4</f>
        <v>29.542878787878792</v>
      </c>
      <c r="I73" s="2">
        <v>9130.3700000000008</v>
      </c>
      <c r="J73" s="27">
        <v>42</v>
      </c>
      <c r="K73" s="27">
        <v>11093.65</v>
      </c>
      <c r="L73" s="27">
        <v>1905</v>
      </c>
      <c r="M73" s="27" t="s">
        <v>478</v>
      </c>
      <c r="N73" s="27" t="s">
        <v>479</v>
      </c>
      <c r="O73" s="27" t="str">
        <f t="shared" ref="O73:O136" si="8">O72</f>
        <v>https://babel.hathitrust.org/cgi/pt?id=mdp.39015076515900;view=1up;seq=220</v>
      </c>
      <c r="P73" s="27" t="s">
        <v>480</v>
      </c>
      <c r="Q73" s="27" t="str">
        <f t="shared" ref="Q73:Q136" si="9">Q72</f>
        <v>https://babel.hathitrust.org/cgi/pt?id=mdp.39015076515900;view=1up;seq=220</v>
      </c>
      <c r="R73" s="27" t="s">
        <v>481</v>
      </c>
      <c r="S73" s="27" t="str">
        <f t="shared" ref="S73:S136" si="10">S72</f>
        <v>https://babel.hathitrust.org/cgi/pt?id=mdp.39015076515900;view=1up;seq=223</v>
      </c>
      <c r="T73" s="27" t="s">
        <v>482</v>
      </c>
      <c r="U73" s="4"/>
      <c r="V73" s="4"/>
      <c r="W73" s="4"/>
      <c r="X73" s="4"/>
      <c r="Y73" s="4"/>
      <c r="Z73" s="4"/>
      <c r="AA73" s="4"/>
      <c r="AB73" s="4"/>
    </row>
    <row r="74" spans="1:28" x14ac:dyDescent="0.25">
      <c r="A74" s="27" t="s">
        <v>655</v>
      </c>
      <c r="B74" s="27" t="str">
        <f t="shared" si="6"/>
        <v>Arkansas</v>
      </c>
      <c r="C74" s="27" t="str">
        <f t="shared" si="7"/>
        <v>Benton</v>
      </c>
      <c r="D74" s="27">
        <v>4236</v>
      </c>
      <c r="E74" s="2">
        <v>119</v>
      </c>
      <c r="F74" s="27">
        <v>54</v>
      </c>
      <c r="G74" s="2">
        <v>7597</v>
      </c>
      <c r="H74" s="12">
        <f>'AR pre'!U5</f>
        <v>29.365546218487395</v>
      </c>
      <c r="I74" s="2">
        <v>43008.03</v>
      </c>
      <c r="J74" s="27">
        <v>140</v>
      </c>
      <c r="K74" s="27">
        <v>62194</v>
      </c>
      <c r="L74" s="27">
        <v>1905</v>
      </c>
      <c r="M74" s="27" t="s">
        <v>478</v>
      </c>
      <c r="N74" s="27" t="s">
        <v>479</v>
      </c>
      <c r="O74" s="27" t="str">
        <f t="shared" si="8"/>
        <v>https://babel.hathitrust.org/cgi/pt?id=mdp.39015076515900;view=1up;seq=220</v>
      </c>
      <c r="P74" s="27" t="s">
        <v>480</v>
      </c>
      <c r="Q74" s="27" t="str">
        <f t="shared" si="9"/>
        <v>https://babel.hathitrust.org/cgi/pt?id=mdp.39015076515900;view=1up;seq=220</v>
      </c>
      <c r="R74" s="27" t="s">
        <v>481</v>
      </c>
      <c r="S74" s="27" t="str">
        <f t="shared" si="10"/>
        <v>https://babel.hathitrust.org/cgi/pt?id=mdp.39015076515900;view=1up;seq=223</v>
      </c>
      <c r="T74" s="27" t="s">
        <v>482</v>
      </c>
      <c r="U74" s="4"/>
      <c r="V74" s="4"/>
      <c r="W74" s="4"/>
      <c r="X74" s="4"/>
      <c r="Y74" s="4"/>
      <c r="Z74" s="4"/>
      <c r="AA74" s="4"/>
      <c r="AB74" s="4"/>
    </row>
    <row r="75" spans="1:28" x14ac:dyDescent="0.25">
      <c r="A75" s="27" t="s">
        <v>656</v>
      </c>
      <c r="B75" s="27" t="str">
        <f t="shared" si="6"/>
        <v>Arkansas</v>
      </c>
      <c r="C75" s="27" t="str">
        <f t="shared" si="7"/>
        <v>Boone</v>
      </c>
      <c r="D75" s="27">
        <v>3044</v>
      </c>
      <c r="E75" s="2">
        <v>113</v>
      </c>
      <c r="F75" s="27">
        <v>82</v>
      </c>
      <c r="G75" s="2">
        <v>4706</v>
      </c>
      <c r="H75" s="12">
        <f>'AR pre'!U6</f>
        <v>30.63646017699115</v>
      </c>
      <c r="I75" s="2">
        <v>12514.53</v>
      </c>
      <c r="J75" s="27">
        <v>87</v>
      </c>
      <c r="K75" s="27">
        <v>40480</v>
      </c>
      <c r="L75" s="27">
        <v>1905</v>
      </c>
      <c r="M75" s="27" t="s">
        <v>478</v>
      </c>
      <c r="N75" s="27" t="s">
        <v>479</v>
      </c>
      <c r="O75" s="27" t="str">
        <f t="shared" si="8"/>
        <v>https://babel.hathitrust.org/cgi/pt?id=mdp.39015076515900;view=1up;seq=220</v>
      </c>
      <c r="P75" s="27" t="s">
        <v>480</v>
      </c>
      <c r="Q75" s="27" t="str">
        <f t="shared" si="9"/>
        <v>https://babel.hathitrust.org/cgi/pt?id=mdp.39015076515900;view=1up;seq=220</v>
      </c>
      <c r="R75" s="27" t="s">
        <v>481</v>
      </c>
      <c r="S75" s="27" t="str">
        <f t="shared" si="10"/>
        <v>https://babel.hathitrust.org/cgi/pt?id=mdp.39015076515900;view=1up;seq=223</v>
      </c>
      <c r="T75" s="27" t="s">
        <v>482</v>
      </c>
      <c r="U75" s="4"/>
      <c r="V75" s="4"/>
      <c r="W75" s="4"/>
      <c r="X75" s="4"/>
      <c r="Y75" s="4"/>
      <c r="Z75" s="4"/>
      <c r="AA75" s="4"/>
      <c r="AB75" s="4"/>
    </row>
    <row r="76" spans="1:28" x14ac:dyDescent="0.25">
      <c r="A76" s="27" t="s">
        <v>657</v>
      </c>
      <c r="B76" s="27" t="str">
        <f t="shared" si="6"/>
        <v>Arkansas</v>
      </c>
      <c r="C76" s="27" t="str">
        <f t="shared" si="7"/>
        <v>Bradley</v>
      </c>
      <c r="D76" s="27">
        <v>1281</v>
      </c>
      <c r="E76" s="2">
        <v>62</v>
      </c>
      <c r="F76" s="27">
        <v>70</v>
      </c>
      <c r="G76" s="2">
        <v>2487</v>
      </c>
      <c r="H76" s="12">
        <f>'AR pre'!U7</f>
        <v>42.183064516129029</v>
      </c>
      <c r="I76" s="2">
        <v>19545.43</v>
      </c>
      <c r="J76" s="27">
        <v>52</v>
      </c>
      <c r="K76" s="27">
        <v>21609.5</v>
      </c>
      <c r="L76" s="27">
        <v>1905</v>
      </c>
      <c r="M76" s="27" t="s">
        <v>478</v>
      </c>
      <c r="N76" s="27" t="s">
        <v>479</v>
      </c>
      <c r="O76" s="27" t="str">
        <f t="shared" si="8"/>
        <v>https://babel.hathitrust.org/cgi/pt?id=mdp.39015076515900;view=1up;seq=220</v>
      </c>
      <c r="P76" s="27" t="s">
        <v>480</v>
      </c>
      <c r="Q76" s="27" t="str">
        <f t="shared" si="9"/>
        <v>https://babel.hathitrust.org/cgi/pt?id=mdp.39015076515900;view=1up;seq=220</v>
      </c>
      <c r="R76" s="27" t="s">
        <v>481</v>
      </c>
      <c r="S76" s="27" t="str">
        <f t="shared" si="10"/>
        <v>https://babel.hathitrust.org/cgi/pt?id=mdp.39015076515900;view=1up;seq=223</v>
      </c>
      <c r="T76" s="27" t="s">
        <v>482</v>
      </c>
      <c r="U76" s="4"/>
      <c r="V76" s="4"/>
      <c r="W76" s="4"/>
      <c r="X76" s="4"/>
      <c r="Y76" s="4"/>
      <c r="Z76" s="4"/>
      <c r="AA76" s="4"/>
      <c r="AB76" s="4"/>
    </row>
    <row r="77" spans="1:28" x14ac:dyDescent="0.25">
      <c r="A77" s="27" t="s">
        <v>658</v>
      </c>
      <c r="B77" s="27" t="str">
        <f t="shared" si="6"/>
        <v>Arkansas</v>
      </c>
      <c r="C77" s="27" t="str">
        <f t="shared" si="7"/>
        <v>Calhoun</v>
      </c>
      <c r="D77" s="27">
        <v>1139</v>
      </c>
      <c r="E77" s="2">
        <v>69</v>
      </c>
      <c r="F77" s="27">
        <v>60</v>
      </c>
      <c r="G77" s="2">
        <v>2156</v>
      </c>
      <c r="H77" s="12">
        <f>'AR pre'!U8</f>
        <v>20.289855072463769</v>
      </c>
      <c r="I77" s="2">
        <v>12373.91</v>
      </c>
      <c r="J77" s="27">
        <v>44</v>
      </c>
      <c r="K77" s="27">
        <v>6903</v>
      </c>
      <c r="L77" s="27">
        <v>1905</v>
      </c>
      <c r="M77" s="27" t="s">
        <v>478</v>
      </c>
      <c r="N77" s="27" t="s">
        <v>479</v>
      </c>
      <c r="O77" s="27" t="str">
        <f t="shared" si="8"/>
        <v>https://babel.hathitrust.org/cgi/pt?id=mdp.39015076515900;view=1up;seq=220</v>
      </c>
      <c r="P77" s="27" t="s">
        <v>480</v>
      </c>
      <c r="Q77" s="27" t="str">
        <f t="shared" si="9"/>
        <v>https://babel.hathitrust.org/cgi/pt?id=mdp.39015076515900;view=1up;seq=220</v>
      </c>
      <c r="R77" s="27" t="s">
        <v>481</v>
      </c>
      <c r="S77" s="27" t="str">
        <f t="shared" si="10"/>
        <v>https://babel.hathitrust.org/cgi/pt?id=mdp.39015076515900;view=1up;seq=223</v>
      </c>
      <c r="T77" s="27" t="s">
        <v>482</v>
      </c>
      <c r="U77" s="4"/>
      <c r="V77" s="4"/>
      <c r="W77" s="4"/>
      <c r="X77" s="4"/>
      <c r="Y77" s="4"/>
      <c r="Z77" s="4"/>
      <c r="AA77" s="4"/>
      <c r="AB77" s="4"/>
    </row>
    <row r="78" spans="1:28" x14ac:dyDescent="0.25">
      <c r="A78" s="27" t="s">
        <v>659</v>
      </c>
      <c r="B78" s="27" t="str">
        <f t="shared" si="6"/>
        <v>Arkansas</v>
      </c>
      <c r="C78" s="27" t="str">
        <f t="shared" si="7"/>
        <v>Carroll</v>
      </c>
      <c r="D78" s="27">
        <v>2673</v>
      </c>
      <c r="E78" s="2">
        <v>92</v>
      </c>
      <c r="F78" s="27">
        <v>72</v>
      </c>
      <c r="G78" s="2">
        <v>4161</v>
      </c>
      <c r="H78" s="12">
        <f>'AR pre'!U9</f>
        <v>29.403260869565212</v>
      </c>
      <c r="I78" s="2">
        <v>20574.560000000001</v>
      </c>
      <c r="J78" s="27">
        <v>86</v>
      </c>
      <c r="K78" s="27">
        <v>38610</v>
      </c>
      <c r="L78" s="27">
        <v>1905</v>
      </c>
      <c r="M78" s="27" t="s">
        <v>478</v>
      </c>
      <c r="N78" s="27" t="s">
        <v>479</v>
      </c>
      <c r="O78" s="27" t="str">
        <f t="shared" si="8"/>
        <v>https://babel.hathitrust.org/cgi/pt?id=mdp.39015076515900;view=1up;seq=220</v>
      </c>
      <c r="P78" s="27" t="s">
        <v>480</v>
      </c>
      <c r="Q78" s="27" t="str">
        <f t="shared" si="9"/>
        <v>https://babel.hathitrust.org/cgi/pt?id=mdp.39015076515900;view=1up;seq=220</v>
      </c>
      <c r="R78" s="27" t="s">
        <v>481</v>
      </c>
      <c r="S78" s="27" t="str">
        <f t="shared" si="10"/>
        <v>https://babel.hathitrust.org/cgi/pt?id=mdp.39015076515900;view=1up;seq=223</v>
      </c>
      <c r="T78" s="27" t="s">
        <v>482</v>
      </c>
      <c r="U78" s="4"/>
      <c r="V78" s="4"/>
      <c r="W78" s="4"/>
      <c r="X78" s="4"/>
      <c r="Y78" s="4"/>
      <c r="Z78" s="4"/>
      <c r="AA78" s="4"/>
      <c r="AB78" s="4"/>
    </row>
    <row r="79" spans="1:28" x14ac:dyDescent="0.25">
      <c r="A79" s="27" t="s">
        <v>660</v>
      </c>
      <c r="B79" s="27" t="str">
        <f t="shared" si="6"/>
        <v>Arkansas</v>
      </c>
      <c r="C79" s="27" t="str">
        <f t="shared" si="7"/>
        <v>Chicot</v>
      </c>
      <c r="D79" s="27">
        <v>1386</v>
      </c>
      <c r="E79" s="2">
        <v>70</v>
      </c>
      <c r="F79" s="27">
        <v>97</v>
      </c>
      <c r="G79" s="2">
        <v>2978</v>
      </c>
      <c r="H79" s="12">
        <f>'AR pre'!U10</f>
        <v>38.142857142857146</v>
      </c>
      <c r="I79" s="2">
        <v>23015.37</v>
      </c>
      <c r="J79" s="27">
        <v>29</v>
      </c>
      <c r="K79" s="27">
        <v>8658</v>
      </c>
      <c r="L79" s="27">
        <v>1905</v>
      </c>
      <c r="M79" s="27" t="s">
        <v>478</v>
      </c>
      <c r="N79" s="27" t="s">
        <v>479</v>
      </c>
      <c r="O79" s="27" t="str">
        <f t="shared" si="8"/>
        <v>https://babel.hathitrust.org/cgi/pt?id=mdp.39015076515900;view=1up;seq=220</v>
      </c>
      <c r="P79" s="27" t="s">
        <v>480</v>
      </c>
      <c r="Q79" s="27" t="str">
        <f t="shared" si="9"/>
        <v>https://babel.hathitrust.org/cgi/pt?id=mdp.39015076515900;view=1up;seq=220</v>
      </c>
      <c r="R79" s="27" t="s">
        <v>481</v>
      </c>
      <c r="S79" s="27" t="str">
        <f t="shared" si="10"/>
        <v>https://babel.hathitrust.org/cgi/pt?id=mdp.39015076515900;view=1up;seq=223</v>
      </c>
      <c r="T79" s="27" t="s">
        <v>482</v>
      </c>
      <c r="U79" s="4"/>
      <c r="V79" s="4"/>
      <c r="W79" s="4"/>
      <c r="X79" s="4"/>
      <c r="Y79" s="4"/>
      <c r="Z79" s="4"/>
      <c r="AA79" s="4"/>
      <c r="AB79" s="4"/>
    </row>
    <row r="80" spans="1:28" x14ac:dyDescent="0.25">
      <c r="A80" s="27" t="s">
        <v>661</v>
      </c>
      <c r="B80" s="27" t="str">
        <f t="shared" si="6"/>
        <v>Arkansas</v>
      </c>
      <c r="C80" s="27" t="str">
        <f t="shared" si="7"/>
        <v>Clark</v>
      </c>
      <c r="D80" s="27">
        <v>4070</v>
      </c>
      <c r="E80" s="2">
        <v>114</v>
      </c>
      <c r="F80" s="27">
        <v>103</v>
      </c>
      <c r="G80" s="2">
        <v>6291</v>
      </c>
      <c r="H80" s="12">
        <f>'AR pre'!U11</f>
        <v>36.708684210526314</v>
      </c>
      <c r="I80" s="2">
        <v>32318.25</v>
      </c>
      <c r="J80" s="27">
        <v>100</v>
      </c>
      <c r="K80" s="27">
        <v>35705</v>
      </c>
      <c r="L80" s="27">
        <v>1905</v>
      </c>
      <c r="M80" s="27" t="s">
        <v>478</v>
      </c>
      <c r="N80" s="27" t="s">
        <v>479</v>
      </c>
      <c r="O80" s="27" t="str">
        <f t="shared" si="8"/>
        <v>https://babel.hathitrust.org/cgi/pt?id=mdp.39015076515900;view=1up;seq=220</v>
      </c>
      <c r="P80" s="27" t="s">
        <v>480</v>
      </c>
      <c r="Q80" s="27" t="str">
        <f t="shared" si="9"/>
        <v>https://babel.hathitrust.org/cgi/pt?id=mdp.39015076515900;view=1up;seq=220</v>
      </c>
      <c r="R80" s="27" t="s">
        <v>481</v>
      </c>
      <c r="S80" s="27" t="str">
        <f t="shared" si="10"/>
        <v>https://babel.hathitrust.org/cgi/pt?id=mdp.39015076515900;view=1up;seq=223</v>
      </c>
      <c r="T80" s="27" t="s">
        <v>482</v>
      </c>
      <c r="U80" s="4"/>
      <c r="V80" s="4"/>
      <c r="W80" s="4"/>
      <c r="X80" s="4"/>
      <c r="Y80" s="4"/>
      <c r="Z80" s="4"/>
      <c r="AA80" s="4"/>
      <c r="AB80" s="4"/>
    </row>
    <row r="81" spans="1:28" x14ac:dyDescent="0.25">
      <c r="A81" s="27" t="s">
        <v>662</v>
      </c>
      <c r="B81" s="27" t="str">
        <f t="shared" si="6"/>
        <v>Arkansas</v>
      </c>
      <c r="C81" s="27" t="str">
        <f t="shared" si="7"/>
        <v>Clay</v>
      </c>
      <c r="D81" s="27">
        <v>2353</v>
      </c>
      <c r="E81" s="2">
        <v>136</v>
      </c>
      <c r="F81" s="27">
        <v>73</v>
      </c>
      <c r="G81" s="2">
        <v>4580</v>
      </c>
      <c r="H81" s="12">
        <f>'AR pre'!U12</f>
        <v>27.992205882352941</v>
      </c>
      <c r="I81" s="2">
        <v>19090.41</v>
      </c>
      <c r="J81" s="27">
        <v>80</v>
      </c>
      <c r="K81" s="27">
        <v>32484.62</v>
      </c>
      <c r="L81" s="27">
        <v>1905</v>
      </c>
      <c r="M81" s="27" t="s">
        <v>478</v>
      </c>
      <c r="N81" s="27" t="s">
        <v>479</v>
      </c>
      <c r="O81" s="27" t="str">
        <f t="shared" si="8"/>
        <v>https://babel.hathitrust.org/cgi/pt?id=mdp.39015076515900;view=1up;seq=220</v>
      </c>
      <c r="P81" s="27" t="s">
        <v>480</v>
      </c>
      <c r="Q81" s="27" t="str">
        <f t="shared" si="9"/>
        <v>https://babel.hathitrust.org/cgi/pt?id=mdp.39015076515900;view=1up;seq=220</v>
      </c>
      <c r="R81" s="27" t="s">
        <v>481</v>
      </c>
      <c r="S81" s="27" t="str">
        <f t="shared" si="10"/>
        <v>https://babel.hathitrust.org/cgi/pt?id=mdp.39015076515900;view=1up;seq=223</v>
      </c>
      <c r="T81" s="27" t="s">
        <v>482</v>
      </c>
      <c r="U81" s="4"/>
      <c r="V81" s="4"/>
      <c r="W81" s="4"/>
      <c r="X81" s="4"/>
      <c r="Y81" s="4"/>
      <c r="Z81" s="4"/>
      <c r="AA81" s="4"/>
      <c r="AB81" s="4"/>
    </row>
    <row r="82" spans="1:28" x14ac:dyDescent="0.25">
      <c r="A82" s="27" t="s">
        <v>663</v>
      </c>
      <c r="B82" s="27" t="str">
        <f t="shared" si="6"/>
        <v>Arkansas</v>
      </c>
      <c r="C82" s="27" t="str">
        <f t="shared" si="7"/>
        <v>Cleburne</v>
      </c>
      <c r="D82" s="27">
        <v>1128</v>
      </c>
      <c r="E82" s="2">
        <v>66</v>
      </c>
      <c r="F82" s="27">
        <v>70</v>
      </c>
      <c r="G82" s="2">
        <v>2077</v>
      </c>
      <c r="H82" s="12">
        <f>'AR pre'!U13</f>
        <v>29.405757575757576</v>
      </c>
      <c r="I82" s="2">
        <v>9722.52</v>
      </c>
      <c r="J82" s="27">
        <v>55</v>
      </c>
      <c r="K82" s="27">
        <v>9792</v>
      </c>
      <c r="L82" s="27">
        <v>1905</v>
      </c>
      <c r="M82" s="27" t="s">
        <v>478</v>
      </c>
      <c r="N82" s="27" t="s">
        <v>479</v>
      </c>
      <c r="O82" s="27" t="str">
        <f t="shared" si="8"/>
        <v>https://babel.hathitrust.org/cgi/pt?id=mdp.39015076515900;view=1up;seq=220</v>
      </c>
      <c r="P82" s="27" t="s">
        <v>480</v>
      </c>
      <c r="Q82" s="27" t="str">
        <f t="shared" si="9"/>
        <v>https://babel.hathitrust.org/cgi/pt?id=mdp.39015076515900;view=1up;seq=220</v>
      </c>
      <c r="R82" s="27" t="s">
        <v>481</v>
      </c>
      <c r="S82" s="27" t="str">
        <f t="shared" si="10"/>
        <v>https://babel.hathitrust.org/cgi/pt?id=mdp.39015076515900;view=1up;seq=223</v>
      </c>
      <c r="T82" s="27" t="s">
        <v>482</v>
      </c>
      <c r="U82" s="4"/>
      <c r="V82" s="4"/>
      <c r="W82" s="4"/>
      <c r="X82" s="4"/>
      <c r="Y82" s="4"/>
      <c r="Z82" s="4"/>
      <c r="AA82" s="4"/>
      <c r="AB82" s="4"/>
    </row>
    <row r="83" spans="1:28" x14ac:dyDescent="0.25">
      <c r="A83" s="27" t="s">
        <v>1777</v>
      </c>
      <c r="B83" s="27" t="str">
        <f t="shared" si="6"/>
        <v>Arkansas</v>
      </c>
      <c r="C83" s="27" t="str">
        <f t="shared" si="7"/>
        <v>Cleveland/Dorsey</v>
      </c>
      <c r="D83" s="27">
        <v>1611</v>
      </c>
      <c r="E83" s="2">
        <v>79</v>
      </c>
      <c r="F83" s="27">
        <v>83</v>
      </c>
      <c r="G83" s="2">
        <v>3055</v>
      </c>
      <c r="H83" s="12">
        <f>'AR pre'!U14</f>
        <v>34.373670886075949</v>
      </c>
      <c r="I83" s="2">
        <v>14485.82</v>
      </c>
      <c r="J83" s="27">
        <v>68</v>
      </c>
      <c r="K83" s="27">
        <v>14435</v>
      </c>
      <c r="L83" s="27">
        <v>1905</v>
      </c>
      <c r="M83" s="27" t="s">
        <v>478</v>
      </c>
      <c r="N83" s="27" t="s">
        <v>479</v>
      </c>
      <c r="O83" s="27" t="str">
        <f t="shared" si="8"/>
        <v>https://babel.hathitrust.org/cgi/pt?id=mdp.39015076515900;view=1up;seq=220</v>
      </c>
      <c r="P83" s="27" t="s">
        <v>480</v>
      </c>
      <c r="Q83" s="27" t="str">
        <f t="shared" si="9"/>
        <v>https://babel.hathitrust.org/cgi/pt?id=mdp.39015076515900;view=1up;seq=220</v>
      </c>
      <c r="R83" s="27" t="s">
        <v>481</v>
      </c>
      <c r="S83" s="27" t="str">
        <f t="shared" si="10"/>
        <v>https://babel.hathitrust.org/cgi/pt?id=mdp.39015076515900;view=1up;seq=223</v>
      </c>
      <c r="T83" s="27" t="s">
        <v>482</v>
      </c>
      <c r="U83" s="4"/>
      <c r="V83" s="4"/>
      <c r="W83" s="4"/>
      <c r="X83" s="4"/>
      <c r="Y83" s="4"/>
      <c r="Z83" s="4"/>
      <c r="AA83" s="4"/>
      <c r="AB83" s="4"/>
    </row>
    <row r="84" spans="1:28" x14ac:dyDescent="0.25">
      <c r="A84" s="27" t="s">
        <v>664</v>
      </c>
      <c r="B84" s="27" t="str">
        <f t="shared" si="6"/>
        <v>Arkansas</v>
      </c>
      <c r="C84" s="27" t="str">
        <f t="shared" si="7"/>
        <v>Columbia</v>
      </c>
      <c r="D84" s="27">
        <v>3830</v>
      </c>
      <c r="E84" s="2">
        <v>144</v>
      </c>
      <c r="F84" s="27">
        <v>79</v>
      </c>
      <c r="G84" s="2">
        <v>6027</v>
      </c>
      <c r="H84" s="12">
        <f>'AR pre'!U15</f>
        <v>45.038819444444442</v>
      </c>
      <c r="I84" s="2">
        <v>24441.9</v>
      </c>
      <c r="J84" s="27">
        <v>74</v>
      </c>
      <c r="K84" s="27">
        <v>55711.95</v>
      </c>
      <c r="L84" s="27">
        <v>1905</v>
      </c>
      <c r="M84" s="27" t="s">
        <v>478</v>
      </c>
      <c r="N84" s="27" t="s">
        <v>479</v>
      </c>
      <c r="O84" s="27" t="str">
        <f t="shared" si="8"/>
        <v>https://babel.hathitrust.org/cgi/pt?id=mdp.39015076515900;view=1up;seq=220</v>
      </c>
      <c r="P84" s="27" t="s">
        <v>480</v>
      </c>
      <c r="Q84" s="27" t="str">
        <f t="shared" si="9"/>
        <v>https://babel.hathitrust.org/cgi/pt?id=mdp.39015076515900;view=1up;seq=220</v>
      </c>
      <c r="R84" s="27" t="s">
        <v>481</v>
      </c>
      <c r="S84" s="27" t="str">
        <f t="shared" si="10"/>
        <v>https://babel.hathitrust.org/cgi/pt?id=mdp.39015076515900;view=1up;seq=223</v>
      </c>
      <c r="T84" s="27" t="s">
        <v>482</v>
      </c>
      <c r="U84" s="4"/>
      <c r="V84" s="4"/>
      <c r="W84" s="4"/>
      <c r="X84" s="4"/>
      <c r="Y84" s="4"/>
      <c r="Z84" s="4"/>
      <c r="AA84" s="4"/>
      <c r="AB84" s="4"/>
    </row>
    <row r="85" spans="1:28" x14ac:dyDescent="0.25">
      <c r="A85" s="27" t="s">
        <v>665</v>
      </c>
      <c r="B85" s="27" t="str">
        <f t="shared" si="6"/>
        <v>Arkansas</v>
      </c>
      <c r="C85" s="27" t="str">
        <f t="shared" si="7"/>
        <v>Conway</v>
      </c>
      <c r="D85" s="27">
        <v>3449</v>
      </c>
      <c r="E85" s="2">
        <v>159</v>
      </c>
      <c r="F85" s="27">
        <v>77</v>
      </c>
      <c r="G85" s="2">
        <v>6159</v>
      </c>
      <c r="H85" s="12">
        <f>'AR pre'!U16</f>
        <v>34.602138364779876</v>
      </c>
      <c r="I85" s="2">
        <v>23963.63</v>
      </c>
      <c r="J85" s="27">
        <v>86</v>
      </c>
      <c r="K85" s="27">
        <v>36455</v>
      </c>
      <c r="L85" s="27">
        <v>1905</v>
      </c>
      <c r="M85" s="27" t="s">
        <v>478</v>
      </c>
      <c r="N85" s="27" t="s">
        <v>479</v>
      </c>
      <c r="O85" s="27" t="str">
        <f t="shared" si="8"/>
        <v>https://babel.hathitrust.org/cgi/pt?id=mdp.39015076515900;view=1up;seq=220</v>
      </c>
      <c r="P85" s="27" t="s">
        <v>480</v>
      </c>
      <c r="Q85" s="27" t="str">
        <f t="shared" si="9"/>
        <v>https://babel.hathitrust.org/cgi/pt?id=mdp.39015076515900;view=1up;seq=220</v>
      </c>
      <c r="R85" s="27" t="s">
        <v>481</v>
      </c>
      <c r="S85" s="27" t="str">
        <f t="shared" si="10"/>
        <v>https://babel.hathitrust.org/cgi/pt?id=mdp.39015076515900;view=1up;seq=223</v>
      </c>
      <c r="T85" s="27" t="s">
        <v>482</v>
      </c>
      <c r="U85" s="4"/>
      <c r="V85" s="4"/>
      <c r="W85" s="4"/>
      <c r="X85" s="4"/>
      <c r="Y85" s="4"/>
      <c r="Z85" s="4"/>
      <c r="AA85" s="4"/>
      <c r="AB85" s="4"/>
    </row>
    <row r="86" spans="1:28" x14ac:dyDescent="0.25">
      <c r="A86" s="27" t="s">
        <v>666</v>
      </c>
      <c r="B86" s="27" t="str">
        <f t="shared" si="6"/>
        <v>Arkansas</v>
      </c>
      <c r="C86" s="27" t="str">
        <f t="shared" si="7"/>
        <v>Craighead</v>
      </c>
      <c r="D86" s="27">
        <v>3217</v>
      </c>
      <c r="E86" s="2">
        <v>104</v>
      </c>
      <c r="F86" s="27">
        <v>114</v>
      </c>
      <c r="G86" s="2">
        <v>5976</v>
      </c>
      <c r="H86" s="12">
        <f>'AR pre'!U17</f>
        <v>40</v>
      </c>
      <c r="I86" s="2">
        <v>38895.67</v>
      </c>
      <c r="J86" s="27">
        <v>78</v>
      </c>
      <c r="K86" s="27">
        <v>76478</v>
      </c>
      <c r="L86" s="27">
        <v>1905</v>
      </c>
      <c r="M86" s="27" t="s">
        <v>478</v>
      </c>
      <c r="N86" s="27" t="s">
        <v>479</v>
      </c>
      <c r="O86" s="27" t="str">
        <f t="shared" si="8"/>
        <v>https://babel.hathitrust.org/cgi/pt?id=mdp.39015076515900;view=1up;seq=220</v>
      </c>
      <c r="P86" s="27" t="s">
        <v>480</v>
      </c>
      <c r="Q86" s="27" t="str">
        <f t="shared" si="9"/>
        <v>https://babel.hathitrust.org/cgi/pt?id=mdp.39015076515900;view=1up;seq=220</v>
      </c>
      <c r="R86" s="27" t="s">
        <v>481</v>
      </c>
      <c r="S86" s="27" t="str">
        <f t="shared" si="10"/>
        <v>https://babel.hathitrust.org/cgi/pt?id=mdp.39015076515900;view=1up;seq=223</v>
      </c>
      <c r="T86" s="27" t="s">
        <v>482</v>
      </c>
      <c r="U86" s="4"/>
      <c r="V86" s="4"/>
      <c r="W86" s="4"/>
      <c r="X86" s="4"/>
      <c r="Y86" s="4"/>
      <c r="Z86" s="4"/>
      <c r="AA86" s="4"/>
      <c r="AB86" s="4"/>
    </row>
    <row r="87" spans="1:28" x14ac:dyDescent="0.25">
      <c r="A87" s="27" t="s">
        <v>667</v>
      </c>
      <c r="B87" s="27" t="str">
        <f t="shared" si="6"/>
        <v>Arkansas</v>
      </c>
      <c r="C87" s="27" t="str">
        <f t="shared" si="7"/>
        <v>Crawford</v>
      </c>
      <c r="D87" s="27">
        <v>3145</v>
      </c>
      <c r="E87" s="2">
        <v>117</v>
      </c>
      <c r="F87" s="27">
        <v>94</v>
      </c>
      <c r="G87" s="2">
        <v>5013</v>
      </c>
      <c r="H87" s="12">
        <f>'AR pre'!U18</f>
        <v>33.495726495726494</v>
      </c>
      <c r="I87" s="2">
        <v>27205.42</v>
      </c>
      <c r="J87" s="27">
        <v>97</v>
      </c>
      <c r="K87" s="27">
        <v>74779</v>
      </c>
      <c r="L87" s="27">
        <v>1905</v>
      </c>
      <c r="M87" s="27" t="s">
        <v>478</v>
      </c>
      <c r="N87" s="27" t="s">
        <v>479</v>
      </c>
      <c r="O87" s="27" t="str">
        <f t="shared" si="8"/>
        <v>https://babel.hathitrust.org/cgi/pt?id=mdp.39015076515900;view=1up;seq=220</v>
      </c>
      <c r="P87" s="27" t="s">
        <v>480</v>
      </c>
      <c r="Q87" s="27" t="str">
        <f t="shared" si="9"/>
        <v>https://babel.hathitrust.org/cgi/pt?id=mdp.39015076515900;view=1up;seq=220</v>
      </c>
      <c r="R87" s="27" t="s">
        <v>481</v>
      </c>
      <c r="S87" s="27" t="str">
        <f t="shared" si="10"/>
        <v>https://babel.hathitrust.org/cgi/pt?id=mdp.39015076515900;view=1up;seq=223</v>
      </c>
      <c r="T87" s="27" t="s">
        <v>482</v>
      </c>
      <c r="U87" s="4"/>
      <c r="V87" s="4"/>
      <c r="W87" s="4"/>
      <c r="X87" s="4"/>
      <c r="Y87" s="4"/>
      <c r="Z87" s="4"/>
      <c r="AA87" s="4"/>
      <c r="AB87" s="4"/>
    </row>
    <row r="88" spans="1:28" x14ac:dyDescent="0.25">
      <c r="A88" s="27" t="s">
        <v>668</v>
      </c>
      <c r="B88" s="27" t="str">
        <f t="shared" si="6"/>
        <v>Arkansas</v>
      </c>
      <c r="C88" s="27" t="str">
        <f t="shared" si="7"/>
        <v>Crittenden</v>
      </c>
      <c r="D88" s="27">
        <v>992</v>
      </c>
      <c r="E88" s="2">
        <v>78</v>
      </c>
      <c r="F88" s="27">
        <v>80</v>
      </c>
      <c r="G88" s="2">
        <v>2257</v>
      </c>
      <c r="H88" s="12">
        <f>'AR pre'!U19</f>
        <v>37.898333333333333</v>
      </c>
      <c r="I88" s="2">
        <v>25025.79</v>
      </c>
      <c r="J88" s="27">
        <v>47</v>
      </c>
      <c r="K88" s="27">
        <v>22528</v>
      </c>
      <c r="L88" s="27">
        <v>1905</v>
      </c>
      <c r="M88" s="27" t="s">
        <v>478</v>
      </c>
      <c r="N88" s="27" t="s">
        <v>479</v>
      </c>
      <c r="O88" s="27" t="str">
        <f t="shared" si="8"/>
        <v>https://babel.hathitrust.org/cgi/pt?id=mdp.39015076515900;view=1up;seq=220</v>
      </c>
      <c r="P88" s="27" t="s">
        <v>480</v>
      </c>
      <c r="Q88" s="27" t="str">
        <f t="shared" si="9"/>
        <v>https://babel.hathitrust.org/cgi/pt?id=mdp.39015076515900;view=1up;seq=220</v>
      </c>
      <c r="R88" s="27" t="s">
        <v>481</v>
      </c>
      <c r="S88" s="27" t="str">
        <f t="shared" si="10"/>
        <v>https://babel.hathitrust.org/cgi/pt?id=mdp.39015076515900;view=1up;seq=223</v>
      </c>
      <c r="T88" s="27" t="s">
        <v>482</v>
      </c>
      <c r="U88" s="4"/>
      <c r="V88" s="4"/>
      <c r="W88" s="4"/>
      <c r="X88" s="4"/>
      <c r="Y88" s="4"/>
      <c r="Z88" s="4"/>
      <c r="AA88" s="4"/>
      <c r="AB88" s="4"/>
    </row>
    <row r="89" spans="1:28" x14ac:dyDescent="0.25">
      <c r="A89" s="27" t="s">
        <v>669</v>
      </c>
      <c r="B89" s="27" t="str">
        <f t="shared" si="6"/>
        <v>Arkansas</v>
      </c>
      <c r="C89" s="27" t="str">
        <f t="shared" si="7"/>
        <v>Cross</v>
      </c>
      <c r="D89" s="27">
        <v>1563</v>
      </c>
      <c r="E89" s="2">
        <v>79</v>
      </c>
      <c r="F89" s="27">
        <v>88</v>
      </c>
      <c r="G89" s="2">
        <v>2959</v>
      </c>
      <c r="H89" s="12">
        <f>'AR pre'!U20</f>
        <v>41.27405063291139</v>
      </c>
      <c r="I89" s="2">
        <v>18980.810000000001</v>
      </c>
      <c r="J89" s="27">
        <v>52</v>
      </c>
      <c r="K89" s="27">
        <v>35760</v>
      </c>
      <c r="L89" s="27">
        <v>1905</v>
      </c>
      <c r="M89" s="27" t="s">
        <v>478</v>
      </c>
      <c r="N89" s="27" t="s">
        <v>479</v>
      </c>
      <c r="O89" s="27" t="str">
        <f t="shared" si="8"/>
        <v>https://babel.hathitrust.org/cgi/pt?id=mdp.39015076515900;view=1up;seq=220</v>
      </c>
      <c r="P89" s="27" t="s">
        <v>480</v>
      </c>
      <c r="Q89" s="27" t="str">
        <f t="shared" si="9"/>
        <v>https://babel.hathitrust.org/cgi/pt?id=mdp.39015076515900;view=1up;seq=220</v>
      </c>
      <c r="R89" s="27" t="s">
        <v>481</v>
      </c>
      <c r="S89" s="27" t="str">
        <f t="shared" si="10"/>
        <v>https://babel.hathitrust.org/cgi/pt?id=mdp.39015076515900;view=1up;seq=223</v>
      </c>
      <c r="T89" s="27" t="s">
        <v>482</v>
      </c>
      <c r="U89" s="4"/>
      <c r="V89" s="4"/>
      <c r="W89" s="4"/>
      <c r="X89" s="4"/>
      <c r="Y89" s="4"/>
      <c r="Z89" s="4"/>
      <c r="AA89" s="4"/>
      <c r="AB89" s="4"/>
    </row>
    <row r="90" spans="1:28" x14ac:dyDescent="0.25">
      <c r="A90" s="27" t="s">
        <v>670</v>
      </c>
      <c r="B90" s="27" t="str">
        <f t="shared" si="6"/>
        <v>Arkansas</v>
      </c>
      <c r="C90" s="27" t="str">
        <f t="shared" si="7"/>
        <v>Dallas</v>
      </c>
      <c r="D90" s="27">
        <v>2204</v>
      </c>
      <c r="E90" s="2">
        <v>87</v>
      </c>
      <c r="F90" s="27">
        <v>69</v>
      </c>
      <c r="G90" s="2">
        <v>2990</v>
      </c>
      <c r="H90" s="12">
        <f>'AR pre'!U21</f>
        <v>41.390804597701148</v>
      </c>
      <c r="I90" s="2">
        <v>13875.92</v>
      </c>
      <c r="J90" s="27">
        <v>60</v>
      </c>
      <c r="K90" s="27">
        <v>21470</v>
      </c>
      <c r="L90" s="27">
        <v>1905</v>
      </c>
      <c r="M90" s="27" t="s">
        <v>478</v>
      </c>
      <c r="N90" s="27" t="s">
        <v>479</v>
      </c>
      <c r="O90" s="27" t="str">
        <f t="shared" si="8"/>
        <v>https://babel.hathitrust.org/cgi/pt?id=mdp.39015076515900;view=1up;seq=220</v>
      </c>
      <c r="P90" s="27" t="s">
        <v>480</v>
      </c>
      <c r="Q90" s="27" t="str">
        <f t="shared" si="9"/>
        <v>https://babel.hathitrust.org/cgi/pt?id=mdp.39015076515900;view=1up;seq=220</v>
      </c>
      <c r="R90" s="27" t="s">
        <v>481</v>
      </c>
      <c r="S90" s="27" t="str">
        <f t="shared" si="10"/>
        <v>https://babel.hathitrust.org/cgi/pt?id=mdp.39015076515900;view=1up;seq=223</v>
      </c>
      <c r="T90" s="27" t="s">
        <v>482</v>
      </c>
      <c r="U90" s="4"/>
      <c r="V90" s="4"/>
      <c r="W90" s="4"/>
      <c r="X90" s="4"/>
      <c r="Y90" s="4"/>
      <c r="Z90" s="4"/>
      <c r="AA90" s="4"/>
      <c r="AB90" s="4"/>
    </row>
    <row r="91" spans="1:28" x14ac:dyDescent="0.25">
      <c r="A91" s="27" t="s">
        <v>671</v>
      </c>
      <c r="B91" s="27" t="str">
        <f t="shared" si="6"/>
        <v>Arkansas</v>
      </c>
      <c r="C91" s="27" t="str">
        <f t="shared" si="7"/>
        <v>Desha</v>
      </c>
      <c r="D91" s="27">
        <v>1661</v>
      </c>
      <c r="E91" s="2">
        <v>36</v>
      </c>
      <c r="F91" s="27">
        <v>70</v>
      </c>
      <c r="G91" s="2">
        <v>2442</v>
      </c>
      <c r="H91" s="12">
        <f>'AR pre'!U22</f>
        <v>46.25</v>
      </c>
      <c r="I91" s="2">
        <v>12380.65</v>
      </c>
      <c r="J91" s="27">
        <v>51</v>
      </c>
      <c r="K91" s="27">
        <v>5500</v>
      </c>
      <c r="L91" s="27">
        <v>1905</v>
      </c>
      <c r="M91" s="27" t="s">
        <v>478</v>
      </c>
      <c r="N91" s="27" t="s">
        <v>479</v>
      </c>
      <c r="O91" s="27" t="str">
        <f t="shared" si="8"/>
        <v>https://babel.hathitrust.org/cgi/pt?id=mdp.39015076515900;view=1up;seq=220</v>
      </c>
      <c r="P91" s="27" t="s">
        <v>480</v>
      </c>
      <c r="Q91" s="27" t="str">
        <f t="shared" si="9"/>
        <v>https://babel.hathitrust.org/cgi/pt?id=mdp.39015076515900;view=1up;seq=220</v>
      </c>
      <c r="R91" s="27" t="s">
        <v>481</v>
      </c>
      <c r="S91" s="27" t="str">
        <f t="shared" si="10"/>
        <v>https://babel.hathitrust.org/cgi/pt?id=mdp.39015076515900;view=1up;seq=223</v>
      </c>
      <c r="T91" s="27" t="s">
        <v>482</v>
      </c>
      <c r="U91" s="4"/>
      <c r="V91" s="4"/>
      <c r="W91" s="4"/>
      <c r="X91" s="4"/>
      <c r="Y91" s="4"/>
      <c r="Z91" s="4"/>
      <c r="AA91" s="4"/>
      <c r="AB91" s="4"/>
    </row>
    <row r="92" spans="1:28" x14ac:dyDescent="0.25">
      <c r="A92" s="27" t="s">
        <v>672</v>
      </c>
      <c r="B92" s="27" t="str">
        <f t="shared" si="6"/>
        <v>Arkansas</v>
      </c>
      <c r="C92" s="27" t="str">
        <f t="shared" si="7"/>
        <v>Drew</v>
      </c>
      <c r="D92" s="27">
        <v>3222</v>
      </c>
      <c r="E92" s="2">
        <v>139</v>
      </c>
      <c r="F92" s="27">
        <v>89</v>
      </c>
      <c r="G92" s="2">
        <v>5141</v>
      </c>
      <c r="H92" s="12">
        <f>'AR pre'!U23</f>
        <v>34.197841726618705</v>
      </c>
      <c r="I92" s="2">
        <v>24876.31</v>
      </c>
      <c r="J92" s="27">
        <v>94</v>
      </c>
      <c r="K92" s="27">
        <v>33700</v>
      </c>
      <c r="L92" s="27">
        <v>1905</v>
      </c>
      <c r="M92" s="27" t="s">
        <v>478</v>
      </c>
      <c r="N92" s="27" t="s">
        <v>479</v>
      </c>
      <c r="O92" s="27" t="str">
        <f t="shared" si="8"/>
        <v>https://babel.hathitrust.org/cgi/pt?id=mdp.39015076515900;view=1up;seq=220</v>
      </c>
      <c r="P92" s="27" t="s">
        <v>480</v>
      </c>
      <c r="Q92" s="27" t="str">
        <f t="shared" si="9"/>
        <v>https://babel.hathitrust.org/cgi/pt?id=mdp.39015076515900;view=1up;seq=220</v>
      </c>
      <c r="R92" s="27" t="s">
        <v>481</v>
      </c>
      <c r="S92" s="27" t="str">
        <f t="shared" si="10"/>
        <v>https://babel.hathitrust.org/cgi/pt?id=mdp.39015076515900;view=1up;seq=223</v>
      </c>
      <c r="T92" s="27" t="s">
        <v>482</v>
      </c>
      <c r="U92" s="4"/>
      <c r="V92" s="4"/>
      <c r="W92" s="4"/>
      <c r="X92" s="4"/>
      <c r="Y92" s="4"/>
      <c r="Z92" s="4"/>
      <c r="AA92" s="4"/>
      <c r="AB92" s="4"/>
    </row>
    <row r="93" spans="1:28" x14ac:dyDescent="0.25">
      <c r="A93" s="27" t="s">
        <v>1746</v>
      </c>
      <c r="B93" s="27" t="str">
        <f t="shared" si="6"/>
        <v>Arkansas</v>
      </c>
      <c r="C93" s="27" t="str">
        <f t="shared" si="7"/>
        <v>Faulkner</v>
      </c>
      <c r="D93" s="27">
        <v>3841</v>
      </c>
      <c r="E93" s="2">
        <v>148</v>
      </c>
      <c r="F93" s="27">
        <v>81</v>
      </c>
      <c r="G93" s="2">
        <v>6050</v>
      </c>
      <c r="H93" s="12">
        <f>'AR pre'!U24</f>
        <v>33.899189189189187</v>
      </c>
      <c r="I93" s="2">
        <v>25822.47</v>
      </c>
      <c r="J93" s="27">
        <v>91</v>
      </c>
      <c r="K93" s="27">
        <v>28070</v>
      </c>
      <c r="L93" s="27">
        <v>1905</v>
      </c>
      <c r="M93" s="27" t="s">
        <v>478</v>
      </c>
      <c r="N93" s="27" t="s">
        <v>479</v>
      </c>
      <c r="O93" s="27" t="str">
        <f t="shared" si="8"/>
        <v>https://babel.hathitrust.org/cgi/pt?id=mdp.39015076515900;view=1up;seq=220</v>
      </c>
      <c r="P93" s="27" t="s">
        <v>480</v>
      </c>
      <c r="Q93" s="27" t="str">
        <f t="shared" si="9"/>
        <v>https://babel.hathitrust.org/cgi/pt?id=mdp.39015076515900;view=1up;seq=220</v>
      </c>
      <c r="R93" s="27" t="s">
        <v>481</v>
      </c>
      <c r="S93" s="27" t="str">
        <f t="shared" si="10"/>
        <v>https://babel.hathitrust.org/cgi/pt?id=mdp.39015076515900;view=1up;seq=223</v>
      </c>
      <c r="T93" s="27" t="s">
        <v>482</v>
      </c>
      <c r="U93" s="4"/>
      <c r="V93" s="4"/>
      <c r="W93" s="4"/>
      <c r="X93" s="4"/>
      <c r="Y93" s="4"/>
      <c r="Z93" s="4"/>
      <c r="AA93" s="4"/>
      <c r="AB93" s="4"/>
    </row>
    <row r="94" spans="1:28" x14ac:dyDescent="0.25">
      <c r="A94" s="27" t="s">
        <v>673</v>
      </c>
      <c r="B94" s="27" t="str">
        <f t="shared" si="6"/>
        <v>Arkansas</v>
      </c>
      <c r="C94" s="27" t="str">
        <f t="shared" si="7"/>
        <v>Franklin</v>
      </c>
      <c r="D94" s="27">
        <v>3077</v>
      </c>
      <c r="E94" s="2">
        <v>131</v>
      </c>
      <c r="F94" s="27">
        <v>103</v>
      </c>
      <c r="G94" s="2">
        <v>5155</v>
      </c>
      <c r="H94" s="12">
        <f>'AR pre'!U25</f>
        <v>39.873053435114493</v>
      </c>
      <c r="I94" s="2">
        <v>21124.39</v>
      </c>
      <c r="J94" s="27">
        <v>91</v>
      </c>
      <c r="K94" s="27">
        <v>36857</v>
      </c>
      <c r="L94" s="27">
        <v>1905</v>
      </c>
      <c r="M94" s="27" t="s">
        <v>478</v>
      </c>
      <c r="N94" s="27" t="s">
        <v>479</v>
      </c>
      <c r="O94" s="27" t="str">
        <f t="shared" si="8"/>
        <v>https://babel.hathitrust.org/cgi/pt?id=mdp.39015076515900;view=1up;seq=220</v>
      </c>
      <c r="P94" s="27" t="s">
        <v>480</v>
      </c>
      <c r="Q94" s="27" t="str">
        <f t="shared" si="9"/>
        <v>https://babel.hathitrust.org/cgi/pt?id=mdp.39015076515900;view=1up;seq=220</v>
      </c>
      <c r="R94" s="27" t="s">
        <v>481</v>
      </c>
      <c r="S94" s="27" t="str">
        <f t="shared" si="10"/>
        <v>https://babel.hathitrust.org/cgi/pt?id=mdp.39015076515900;view=1up;seq=223</v>
      </c>
      <c r="T94" s="27" t="s">
        <v>482</v>
      </c>
      <c r="U94" s="4"/>
      <c r="V94" s="4"/>
      <c r="W94" s="4"/>
      <c r="X94" s="4"/>
      <c r="Y94" s="4"/>
      <c r="Z94" s="4"/>
      <c r="AA94" s="4"/>
      <c r="AB94" s="4"/>
    </row>
    <row r="95" spans="1:28" x14ac:dyDescent="0.25">
      <c r="A95" s="27" t="s">
        <v>674</v>
      </c>
      <c r="B95" s="27" t="str">
        <f t="shared" si="6"/>
        <v>Arkansas</v>
      </c>
      <c r="C95" s="27" t="str">
        <f t="shared" si="7"/>
        <v>Fulton</v>
      </c>
      <c r="D95" s="27">
        <v>1987</v>
      </c>
      <c r="E95" s="2">
        <v>81</v>
      </c>
      <c r="F95" s="27">
        <v>71</v>
      </c>
      <c r="G95" s="2">
        <v>3342</v>
      </c>
      <c r="H95" s="12">
        <f>'AR pre'!U26</f>
        <v>27.271604938271604</v>
      </c>
      <c r="I95" s="2">
        <v>11204.15</v>
      </c>
      <c r="J95" s="27">
        <v>72</v>
      </c>
      <c r="K95" s="27">
        <v>21507</v>
      </c>
      <c r="L95" s="27">
        <v>1905</v>
      </c>
      <c r="M95" s="27" t="s">
        <v>478</v>
      </c>
      <c r="N95" s="27" t="s">
        <v>479</v>
      </c>
      <c r="O95" s="27" t="str">
        <f t="shared" si="8"/>
        <v>https://babel.hathitrust.org/cgi/pt?id=mdp.39015076515900;view=1up;seq=220</v>
      </c>
      <c r="P95" s="27" t="s">
        <v>480</v>
      </c>
      <c r="Q95" s="27" t="str">
        <f t="shared" si="9"/>
        <v>https://babel.hathitrust.org/cgi/pt?id=mdp.39015076515900;view=1up;seq=220</v>
      </c>
      <c r="R95" s="27" t="s">
        <v>481</v>
      </c>
      <c r="S95" s="27" t="str">
        <f t="shared" si="10"/>
        <v>https://babel.hathitrust.org/cgi/pt?id=mdp.39015076515900;view=1up;seq=223</v>
      </c>
      <c r="T95" s="27" t="s">
        <v>482</v>
      </c>
      <c r="U95" s="4"/>
      <c r="V95" s="4"/>
      <c r="W95" s="4"/>
      <c r="X95" s="4"/>
      <c r="Y95" s="4"/>
      <c r="Z95" s="4"/>
      <c r="AA95" s="4"/>
      <c r="AB95" s="4"/>
    </row>
    <row r="96" spans="1:28" x14ac:dyDescent="0.25">
      <c r="A96" s="27" t="s">
        <v>675</v>
      </c>
      <c r="B96" s="27" t="str">
        <f t="shared" si="6"/>
        <v>Arkansas</v>
      </c>
      <c r="C96" s="27" t="str">
        <f t="shared" si="7"/>
        <v>Garland</v>
      </c>
      <c r="D96" s="27"/>
      <c r="E96" s="22"/>
      <c r="F96" s="27"/>
      <c r="G96" s="27"/>
      <c r="H96" s="12"/>
      <c r="I96" s="2">
        <v>49033.73</v>
      </c>
      <c r="J96" s="27"/>
      <c r="K96" s="27"/>
      <c r="L96" s="27">
        <v>1905</v>
      </c>
      <c r="M96" s="27" t="s">
        <v>478</v>
      </c>
      <c r="N96" s="27" t="s">
        <v>479</v>
      </c>
      <c r="O96" s="27" t="str">
        <f t="shared" si="8"/>
        <v>https://babel.hathitrust.org/cgi/pt?id=mdp.39015076515900;view=1up;seq=220</v>
      </c>
      <c r="P96" s="27" t="s">
        <v>480</v>
      </c>
      <c r="Q96" s="27" t="str">
        <f t="shared" si="9"/>
        <v>https://babel.hathitrust.org/cgi/pt?id=mdp.39015076515900;view=1up;seq=220</v>
      </c>
      <c r="R96" s="27" t="s">
        <v>481</v>
      </c>
      <c r="S96" s="27" t="str">
        <f t="shared" si="10"/>
        <v>https://babel.hathitrust.org/cgi/pt?id=mdp.39015076515900;view=1up;seq=223</v>
      </c>
      <c r="T96" s="27" t="s">
        <v>482</v>
      </c>
      <c r="U96" s="4"/>
      <c r="V96" s="4"/>
      <c r="W96" s="4"/>
      <c r="X96" s="4"/>
      <c r="Y96" s="4"/>
      <c r="Z96" s="4"/>
      <c r="AA96" s="4"/>
      <c r="AB96" s="4"/>
    </row>
    <row r="97" spans="1:28" x14ac:dyDescent="0.25">
      <c r="A97" s="27" t="s">
        <v>676</v>
      </c>
      <c r="B97" s="27" t="str">
        <f t="shared" si="6"/>
        <v>Arkansas</v>
      </c>
      <c r="C97" s="27" t="str">
        <f t="shared" si="7"/>
        <v>Grant</v>
      </c>
      <c r="D97" s="27">
        <v>1337</v>
      </c>
      <c r="E97" s="2">
        <v>63</v>
      </c>
      <c r="F97" s="27">
        <v>74</v>
      </c>
      <c r="G97" s="2">
        <v>2283</v>
      </c>
      <c r="H97" s="12">
        <f>'AR pre'!U28</f>
        <v>39.22523809523809</v>
      </c>
      <c r="I97" s="2">
        <v>10011.73</v>
      </c>
      <c r="J97" s="27">
        <v>52</v>
      </c>
      <c r="K97" s="27">
        <v>12214</v>
      </c>
      <c r="L97" s="27">
        <v>1905</v>
      </c>
      <c r="M97" s="27" t="s">
        <v>478</v>
      </c>
      <c r="N97" s="27" t="s">
        <v>479</v>
      </c>
      <c r="O97" s="27" t="str">
        <f t="shared" si="8"/>
        <v>https://babel.hathitrust.org/cgi/pt?id=mdp.39015076515900;view=1up;seq=220</v>
      </c>
      <c r="P97" s="27" t="s">
        <v>480</v>
      </c>
      <c r="Q97" s="27" t="str">
        <f t="shared" si="9"/>
        <v>https://babel.hathitrust.org/cgi/pt?id=mdp.39015076515900;view=1up;seq=220</v>
      </c>
      <c r="R97" s="27" t="s">
        <v>483</v>
      </c>
      <c r="S97" s="27" t="str">
        <f t="shared" si="10"/>
        <v>https://babel.hathitrust.org/cgi/pt?id=mdp.39015076515900;view=1up;seq=223</v>
      </c>
      <c r="T97" s="27" t="s">
        <v>482</v>
      </c>
      <c r="U97" s="4"/>
      <c r="V97" s="4"/>
      <c r="W97" s="4"/>
      <c r="X97" s="4"/>
      <c r="Y97" s="4"/>
      <c r="Z97" s="4"/>
      <c r="AA97" s="4"/>
      <c r="AB97" s="4"/>
    </row>
    <row r="98" spans="1:28" x14ac:dyDescent="0.25">
      <c r="A98" s="27" t="s">
        <v>677</v>
      </c>
      <c r="B98" s="27" t="str">
        <f t="shared" si="6"/>
        <v>Arkansas</v>
      </c>
      <c r="C98" s="27" t="str">
        <f t="shared" si="7"/>
        <v>Greene</v>
      </c>
      <c r="D98" s="27">
        <v>2947</v>
      </c>
      <c r="E98" s="2">
        <v>116</v>
      </c>
      <c r="F98" s="27">
        <v>102</v>
      </c>
      <c r="G98" s="2">
        <v>4844</v>
      </c>
      <c r="H98" s="12">
        <f>'AR pre'!U29</f>
        <v>31.46043103448276</v>
      </c>
      <c r="I98" s="2">
        <v>25678.81</v>
      </c>
      <c r="J98" s="27">
        <v>77</v>
      </c>
      <c r="K98" s="27">
        <v>35682</v>
      </c>
      <c r="L98" s="27">
        <v>1905</v>
      </c>
      <c r="M98" s="27" t="s">
        <v>478</v>
      </c>
      <c r="N98" s="27" t="s">
        <v>479</v>
      </c>
      <c r="O98" s="27" t="str">
        <f t="shared" si="8"/>
        <v>https://babel.hathitrust.org/cgi/pt?id=mdp.39015076515900;view=1up;seq=220</v>
      </c>
      <c r="P98" s="27" t="s">
        <v>480</v>
      </c>
      <c r="Q98" s="27" t="str">
        <f t="shared" si="9"/>
        <v>https://babel.hathitrust.org/cgi/pt?id=mdp.39015076515900;view=1up;seq=220</v>
      </c>
      <c r="R98" s="27" t="s">
        <v>483</v>
      </c>
      <c r="S98" s="27" t="str">
        <f t="shared" si="10"/>
        <v>https://babel.hathitrust.org/cgi/pt?id=mdp.39015076515900;view=1up;seq=223</v>
      </c>
      <c r="T98" s="27" t="s">
        <v>482</v>
      </c>
      <c r="U98" s="4"/>
      <c r="V98" s="4"/>
      <c r="W98" s="4"/>
      <c r="X98" s="4"/>
      <c r="Y98" s="4"/>
      <c r="Z98" s="4"/>
      <c r="AA98" s="4"/>
      <c r="AB98" s="4"/>
    </row>
    <row r="99" spans="1:28" x14ac:dyDescent="0.25">
      <c r="A99" s="27" t="s">
        <v>678</v>
      </c>
      <c r="B99" s="27" t="str">
        <f t="shared" si="6"/>
        <v>Arkansas</v>
      </c>
      <c r="C99" s="27" t="str">
        <f t="shared" si="7"/>
        <v>Hempstead</v>
      </c>
      <c r="D99" s="27">
        <v>4484</v>
      </c>
      <c r="E99" s="2">
        <v>164</v>
      </c>
      <c r="F99" s="27">
        <v>87</v>
      </c>
      <c r="G99" s="2">
        <v>7315</v>
      </c>
      <c r="H99" s="12">
        <f>'AR pre'!U30</f>
        <v>39.269268292682924</v>
      </c>
      <c r="I99" s="2">
        <v>36968.339999999997</v>
      </c>
      <c r="J99" s="27">
        <v>101</v>
      </c>
      <c r="K99" s="27">
        <v>37581</v>
      </c>
      <c r="L99" s="27">
        <v>1905</v>
      </c>
      <c r="M99" s="27" t="s">
        <v>484</v>
      </c>
      <c r="N99" s="27" t="s">
        <v>479</v>
      </c>
      <c r="O99" s="27" t="str">
        <f t="shared" si="8"/>
        <v>https://babel.hathitrust.org/cgi/pt?id=mdp.39015076515900;view=1up;seq=220</v>
      </c>
      <c r="P99" s="27" t="s">
        <v>485</v>
      </c>
      <c r="Q99" s="27" t="str">
        <f t="shared" si="9"/>
        <v>https://babel.hathitrust.org/cgi/pt?id=mdp.39015076515900;view=1up;seq=220</v>
      </c>
      <c r="R99" s="27" t="s">
        <v>483</v>
      </c>
      <c r="S99" s="27" t="str">
        <f t="shared" si="10"/>
        <v>https://babel.hathitrust.org/cgi/pt?id=mdp.39015076515900;view=1up;seq=223</v>
      </c>
      <c r="T99" s="27" t="s">
        <v>482</v>
      </c>
      <c r="U99" s="4"/>
      <c r="V99" s="4"/>
      <c r="W99" s="4"/>
      <c r="X99" s="4"/>
      <c r="Y99" s="4"/>
      <c r="Z99" s="4"/>
      <c r="AA99" s="4"/>
      <c r="AB99" s="4"/>
    </row>
    <row r="100" spans="1:28" x14ac:dyDescent="0.25">
      <c r="A100" s="27" t="s">
        <v>679</v>
      </c>
      <c r="B100" s="27" t="str">
        <f t="shared" si="6"/>
        <v>Arkansas</v>
      </c>
      <c r="C100" s="27" t="str">
        <f t="shared" si="7"/>
        <v>Hot Spring</v>
      </c>
      <c r="D100" s="27">
        <v>2410</v>
      </c>
      <c r="E100" s="2">
        <v>74</v>
      </c>
      <c r="F100" s="27">
        <v>80</v>
      </c>
      <c r="G100" s="2">
        <v>3705</v>
      </c>
      <c r="H100" s="12">
        <f>'AR pre'!U31</f>
        <v>57.851351351351354</v>
      </c>
      <c r="I100" s="2">
        <v>20027.12</v>
      </c>
      <c r="J100" s="27">
        <v>69</v>
      </c>
      <c r="K100" s="27">
        <v>20801.150000000001</v>
      </c>
      <c r="L100" s="27">
        <v>1905</v>
      </c>
      <c r="M100" s="27" t="s">
        <v>484</v>
      </c>
      <c r="N100" s="27" t="s">
        <v>479</v>
      </c>
      <c r="O100" s="27" t="str">
        <f t="shared" si="8"/>
        <v>https://babel.hathitrust.org/cgi/pt?id=mdp.39015076515900;view=1up;seq=220</v>
      </c>
      <c r="P100" s="27" t="s">
        <v>485</v>
      </c>
      <c r="Q100" s="27" t="str">
        <f t="shared" si="9"/>
        <v>https://babel.hathitrust.org/cgi/pt?id=mdp.39015076515900;view=1up;seq=220</v>
      </c>
      <c r="R100" s="27" t="s">
        <v>483</v>
      </c>
      <c r="S100" s="27" t="str">
        <f t="shared" si="10"/>
        <v>https://babel.hathitrust.org/cgi/pt?id=mdp.39015076515900;view=1up;seq=223</v>
      </c>
      <c r="T100" s="27" t="s">
        <v>486</v>
      </c>
      <c r="U100" s="4"/>
      <c r="V100" s="4"/>
      <c r="W100" s="4"/>
      <c r="X100" s="4"/>
      <c r="Y100" s="4"/>
      <c r="Z100" s="4"/>
      <c r="AA100" s="4"/>
      <c r="AB100" s="4"/>
    </row>
    <row r="101" spans="1:28" x14ac:dyDescent="0.25">
      <c r="A101" s="27" t="s">
        <v>680</v>
      </c>
      <c r="B101" s="27" t="str">
        <f t="shared" si="6"/>
        <v>Arkansas</v>
      </c>
      <c r="C101" s="27" t="str">
        <f t="shared" si="7"/>
        <v>Howard</v>
      </c>
      <c r="D101" s="27">
        <v>2532</v>
      </c>
      <c r="E101" s="2">
        <v>102</v>
      </c>
      <c r="F101" s="27">
        <v>70</v>
      </c>
      <c r="G101" s="2">
        <v>4129</v>
      </c>
      <c r="H101" s="12">
        <f>'AR pre'!U32</f>
        <v>40.174509803921573</v>
      </c>
      <c r="I101" s="2">
        <v>16700.650000000001</v>
      </c>
      <c r="J101" s="27">
        <v>67</v>
      </c>
      <c r="K101" s="27">
        <v>20064.599999999999</v>
      </c>
      <c r="L101" s="27">
        <v>1905</v>
      </c>
      <c r="M101" s="27" t="s">
        <v>484</v>
      </c>
      <c r="N101" s="27" t="s">
        <v>479</v>
      </c>
      <c r="O101" s="27" t="str">
        <f t="shared" si="8"/>
        <v>https://babel.hathitrust.org/cgi/pt?id=mdp.39015076515900;view=1up;seq=220</v>
      </c>
      <c r="P101" s="27" t="s">
        <v>485</v>
      </c>
      <c r="Q101" s="27" t="str">
        <f t="shared" si="9"/>
        <v>https://babel.hathitrust.org/cgi/pt?id=mdp.39015076515900;view=1up;seq=220</v>
      </c>
      <c r="R101" s="27" t="s">
        <v>483</v>
      </c>
      <c r="S101" s="27" t="str">
        <f t="shared" si="10"/>
        <v>https://babel.hathitrust.org/cgi/pt?id=mdp.39015076515900;view=1up;seq=223</v>
      </c>
      <c r="T101" s="27" t="s">
        <v>486</v>
      </c>
      <c r="U101" s="4"/>
      <c r="V101" s="4"/>
      <c r="W101" s="4"/>
      <c r="X101" s="4"/>
      <c r="Y101" s="4"/>
      <c r="Z101" s="4"/>
      <c r="AA101" s="4"/>
      <c r="AB101" s="4"/>
    </row>
    <row r="102" spans="1:28" x14ac:dyDescent="0.25">
      <c r="A102" s="27" t="s">
        <v>681</v>
      </c>
      <c r="B102" s="27" t="str">
        <f t="shared" si="6"/>
        <v>Arkansas</v>
      </c>
      <c r="C102" s="27" t="str">
        <f t="shared" si="7"/>
        <v>Independence</v>
      </c>
      <c r="D102" s="27">
        <v>3115</v>
      </c>
      <c r="E102" s="2">
        <v>124</v>
      </c>
      <c r="F102" s="27">
        <v>96</v>
      </c>
      <c r="G102" s="2">
        <v>5745</v>
      </c>
      <c r="H102" s="12">
        <f>'AR pre'!U33</f>
        <v>32.258064516129032</v>
      </c>
      <c r="I102" s="2">
        <v>25424.86</v>
      </c>
      <c r="J102" s="27">
        <v>95</v>
      </c>
      <c r="K102" s="27">
        <v>44740</v>
      </c>
      <c r="L102" s="27">
        <v>1905</v>
      </c>
      <c r="M102" s="27" t="s">
        <v>484</v>
      </c>
      <c r="N102" s="27" t="s">
        <v>479</v>
      </c>
      <c r="O102" s="27" t="str">
        <f t="shared" si="8"/>
        <v>https://babel.hathitrust.org/cgi/pt?id=mdp.39015076515900;view=1up;seq=220</v>
      </c>
      <c r="P102" s="27" t="s">
        <v>485</v>
      </c>
      <c r="Q102" s="27" t="str">
        <f t="shared" si="9"/>
        <v>https://babel.hathitrust.org/cgi/pt?id=mdp.39015076515900;view=1up;seq=220</v>
      </c>
      <c r="R102" s="27" t="s">
        <v>483</v>
      </c>
      <c r="S102" s="27" t="str">
        <f t="shared" si="10"/>
        <v>https://babel.hathitrust.org/cgi/pt?id=mdp.39015076515900;view=1up;seq=223</v>
      </c>
      <c r="T102" s="27" t="s">
        <v>486</v>
      </c>
      <c r="U102" s="4"/>
      <c r="V102" s="4"/>
      <c r="W102" s="4"/>
      <c r="X102" s="4"/>
      <c r="Y102" s="4"/>
      <c r="Z102" s="4"/>
      <c r="AA102" s="4"/>
      <c r="AB102" s="4"/>
    </row>
    <row r="103" spans="1:28" x14ac:dyDescent="0.25">
      <c r="A103" s="27" t="s">
        <v>682</v>
      </c>
      <c r="B103" s="27" t="str">
        <f t="shared" si="6"/>
        <v>Arkansas</v>
      </c>
      <c r="C103" s="27" t="str">
        <f t="shared" si="7"/>
        <v>Izard</v>
      </c>
      <c r="D103" s="27">
        <v>2238</v>
      </c>
      <c r="E103" s="2">
        <v>101</v>
      </c>
      <c r="F103" s="27">
        <v>74</v>
      </c>
      <c r="G103" s="2">
        <v>3767</v>
      </c>
      <c r="H103" s="12">
        <f>'AR pre'!U34</f>
        <v>29.564455445544553</v>
      </c>
      <c r="I103" s="2">
        <v>13635.52</v>
      </c>
      <c r="J103" s="27">
        <v>84</v>
      </c>
      <c r="K103" s="27">
        <v>18223</v>
      </c>
      <c r="L103" s="27">
        <v>1905</v>
      </c>
      <c r="M103" s="27" t="s">
        <v>484</v>
      </c>
      <c r="N103" s="27" t="s">
        <v>479</v>
      </c>
      <c r="O103" s="27" t="str">
        <f t="shared" si="8"/>
        <v>https://babel.hathitrust.org/cgi/pt?id=mdp.39015076515900;view=1up;seq=220</v>
      </c>
      <c r="P103" s="27" t="s">
        <v>485</v>
      </c>
      <c r="Q103" s="27" t="str">
        <f t="shared" si="9"/>
        <v>https://babel.hathitrust.org/cgi/pt?id=mdp.39015076515900;view=1up;seq=220</v>
      </c>
      <c r="R103" s="27" t="s">
        <v>483</v>
      </c>
      <c r="S103" s="27" t="str">
        <f t="shared" si="10"/>
        <v>https://babel.hathitrust.org/cgi/pt?id=mdp.39015076515900;view=1up;seq=223</v>
      </c>
      <c r="T103" s="27" t="s">
        <v>486</v>
      </c>
      <c r="U103" s="4"/>
      <c r="V103" s="4"/>
      <c r="W103" s="4"/>
      <c r="X103" s="4"/>
      <c r="Y103" s="4"/>
      <c r="Z103" s="4"/>
      <c r="AA103" s="4"/>
      <c r="AB103" s="4"/>
    </row>
    <row r="104" spans="1:28" x14ac:dyDescent="0.25">
      <c r="A104" s="27" t="s">
        <v>683</v>
      </c>
      <c r="B104" s="27" t="str">
        <f t="shared" si="6"/>
        <v>Arkansas</v>
      </c>
      <c r="C104" s="27" t="str">
        <f t="shared" si="7"/>
        <v>Jackson</v>
      </c>
      <c r="D104" s="27">
        <v>2488</v>
      </c>
      <c r="E104" s="2">
        <v>118</v>
      </c>
      <c r="F104" s="27">
        <v>102</v>
      </c>
      <c r="G104" s="2">
        <v>5023</v>
      </c>
      <c r="H104" s="12">
        <f>'AR pre'!U35</f>
        <v>41.78516949152543</v>
      </c>
      <c r="I104" s="2">
        <v>30627.55</v>
      </c>
      <c r="J104" s="27">
        <v>76</v>
      </c>
      <c r="K104" s="27"/>
      <c r="L104" s="27">
        <v>1905</v>
      </c>
      <c r="M104" s="27" t="s">
        <v>484</v>
      </c>
      <c r="N104" s="27" t="s">
        <v>479</v>
      </c>
      <c r="O104" s="27" t="str">
        <f t="shared" si="8"/>
        <v>https://babel.hathitrust.org/cgi/pt?id=mdp.39015076515900;view=1up;seq=220</v>
      </c>
      <c r="P104" s="27" t="s">
        <v>485</v>
      </c>
      <c r="Q104" s="27" t="str">
        <f t="shared" si="9"/>
        <v>https://babel.hathitrust.org/cgi/pt?id=mdp.39015076515900;view=1up;seq=220</v>
      </c>
      <c r="R104" s="27" t="s">
        <v>483</v>
      </c>
      <c r="S104" s="27" t="str">
        <f t="shared" si="10"/>
        <v>https://babel.hathitrust.org/cgi/pt?id=mdp.39015076515900;view=1up;seq=223</v>
      </c>
      <c r="T104" s="27" t="s">
        <v>486</v>
      </c>
      <c r="U104" s="4"/>
      <c r="V104" s="4"/>
      <c r="W104" s="4"/>
      <c r="X104" s="4"/>
      <c r="Y104" s="4"/>
      <c r="Z104" s="4"/>
      <c r="AA104" s="4"/>
      <c r="AB104" s="4"/>
    </row>
    <row r="105" spans="1:28" x14ac:dyDescent="0.25">
      <c r="A105" s="27" t="s">
        <v>684</v>
      </c>
      <c r="B105" s="27" t="str">
        <f t="shared" si="6"/>
        <v>Arkansas</v>
      </c>
      <c r="C105" s="27" t="str">
        <f t="shared" si="7"/>
        <v>Jefferson</v>
      </c>
      <c r="D105" s="27">
        <v>7131</v>
      </c>
      <c r="E105" s="2">
        <v>221</v>
      </c>
      <c r="F105" s="27">
        <v>115</v>
      </c>
      <c r="G105" s="2">
        <v>11235</v>
      </c>
      <c r="H105" s="12">
        <f>'AR pre'!U36</f>
        <v>36.615384615384613</v>
      </c>
      <c r="I105" s="2">
        <v>78609.56</v>
      </c>
      <c r="J105" s="27">
        <v>116</v>
      </c>
      <c r="K105" s="27">
        <v>143969.29999999999</v>
      </c>
      <c r="L105" s="27">
        <v>1905</v>
      </c>
      <c r="M105" s="27" t="s">
        <v>484</v>
      </c>
      <c r="N105" s="27" t="s">
        <v>479</v>
      </c>
      <c r="O105" s="27" t="str">
        <f t="shared" si="8"/>
        <v>https://babel.hathitrust.org/cgi/pt?id=mdp.39015076515900;view=1up;seq=220</v>
      </c>
      <c r="P105" s="27" t="s">
        <v>485</v>
      </c>
      <c r="Q105" s="27" t="str">
        <f t="shared" si="9"/>
        <v>https://babel.hathitrust.org/cgi/pt?id=mdp.39015076515900;view=1up;seq=220</v>
      </c>
      <c r="R105" s="27" t="s">
        <v>483</v>
      </c>
      <c r="S105" s="27" t="str">
        <f t="shared" si="10"/>
        <v>https://babel.hathitrust.org/cgi/pt?id=mdp.39015076515900;view=1up;seq=223</v>
      </c>
      <c r="T105" s="27" t="s">
        <v>486</v>
      </c>
      <c r="U105" s="4"/>
      <c r="V105" s="4"/>
      <c r="W105" s="4"/>
      <c r="X105" s="4"/>
      <c r="Y105" s="4"/>
      <c r="Z105" s="4"/>
      <c r="AA105" s="4"/>
      <c r="AB105" s="4"/>
    </row>
    <row r="106" spans="1:28" x14ac:dyDescent="0.25">
      <c r="A106" s="27" t="s">
        <v>685</v>
      </c>
      <c r="B106" s="27" t="str">
        <f t="shared" si="6"/>
        <v>Arkansas</v>
      </c>
      <c r="C106" s="27" t="str">
        <f t="shared" si="7"/>
        <v>Johnson</v>
      </c>
      <c r="D106" s="27">
        <v>3276</v>
      </c>
      <c r="E106" s="2">
        <v>125</v>
      </c>
      <c r="F106" s="27">
        <v>91</v>
      </c>
      <c r="G106" s="2">
        <v>5066</v>
      </c>
      <c r="H106" s="12">
        <f>'AR pre'!U37</f>
        <v>43.14</v>
      </c>
      <c r="I106" s="2">
        <v>22260.240000000002</v>
      </c>
      <c r="J106" s="27">
        <v>82</v>
      </c>
      <c r="K106" s="27">
        <v>43979.5</v>
      </c>
      <c r="L106" s="27">
        <v>1905</v>
      </c>
      <c r="M106" s="27" t="s">
        <v>484</v>
      </c>
      <c r="N106" s="27" t="s">
        <v>479</v>
      </c>
      <c r="O106" s="27" t="str">
        <f t="shared" si="8"/>
        <v>https://babel.hathitrust.org/cgi/pt?id=mdp.39015076515900;view=1up;seq=220</v>
      </c>
      <c r="P106" s="27" t="s">
        <v>485</v>
      </c>
      <c r="Q106" s="27" t="str">
        <f t="shared" si="9"/>
        <v>https://babel.hathitrust.org/cgi/pt?id=mdp.39015076515900;view=1up;seq=220</v>
      </c>
      <c r="R106" s="27" t="s">
        <v>483</v>
      </c>
      <c r="S106" s="27" t="str">
        <f t="shared" si="10"/>
        <v>https://babel.hathitrust.org/cgi/pt?id=mdp.39015076515900;view=1up;seq=223</v>
      </c>
      <c r="T106" s="27" t="s">
        <v>486</v>
      </c>
      <c r="U106" s="4"/>
      <c r="V106" s="4"/>
      <c r="W106" s="4"/>
      <c r="X106" s="4"/>
      <c r="Y106" s="4"/>
      <c r="Z106" s="4"/>
      <c r="AA106" s="4"/>
      <c r="AB106" s="4"/>
    </row>
    <row r="107" spans="1:28" x14ac:dyDescent="0.25">
      <c r="A107" s="27" t="s">
        <v>686</v>
      </c>
      <c r="B107" s="27" t="str">
        <f t="shared" si="6"/>
        <v>Arkansas</v>
      </c>
      <c r="C107" s="27" t="str">
        <f t="shared" si="7"/>
        <v>Lafayette</v>
      </c>
      <c r="D107" s="27">
        <v>1872</v>
      </c>
      <c r="E107" s="2">
        <v>68</v>
      </c>
      <c r="F107" s="27">
        <v>79</v>
      </c>
      <c r="G107" s="2">
        <v>3074</v>
      </c>
      <c r="H107" s="12">
        <f>'AR pre'!U38</f>
        <v>44.058823529411768</v>
      </c>
      <c r="I107" s="2">
        <v>17632.34</v>
      </c>
      <c r="J107" s="27">
        <v>45</v>
      </c>
      <c r="K107" s="27">
        <v>30305</v>
      </c>
      <c r="L107" s="27">
        <v>1905</v>
      </c>
      <c r="M107" s="27" t="s">
        <v>484</v>
      </c>
      <c r="N107" s="27" t="s">
        <v>479</v>
      </c>
      <c r="O107" s="27" t="str">
        <f t="shared" si="8"/>
        <v>https://babel.hathitrust.org/cgi/pt?id=mdp.39015076515900;view=1up;seq=220</v>
      </c>
      <c r="P107" s="27" t="s">
        <v>485</v>
      </c>
      <c r="Q107" s="27" t="str">
        <f t="shared" si="9"/>
        <v>https://babel.hathitrust.org/cgi/pt?id=mdp.39015076515900;view=1up;seq=220</v>
      </c>
      <c r="R107" s="27" t="s">
        <v>483</v>
      </c>
      <c r="S107" s="27" t="str">
        <f t="shared" si="10"/>
        <v>https://babel.hathitrust.org/cgi/pt?id=mdp.39015076515900;view=1up;seq=223</v>
      </c>
      <c r="T107" s="27" t="s">
        <v>486</v>
      </c>
      <c r="U107" s="4"/>
      <c r="V107" s="4"/>
      <c r="W107" s="4"/>
      <c r="X107" s="4"/>
      <c r="Y107" s="4"/>
      <c r="Z107" s="4"/>
      <c r="AA107" s="4"/>
      <c r="AB107" s="4"/>
    </row>
    <row r="108" spans="1:28" x14ac:dyDescent="0.25">
      <c r="A108" s="27" t="s">
        <v>687</v>
      </c>
      <c r="B108" s="27" t="str">
        <f t="shared" si="6"/>
        <v>Arkansas</v>
      </c>
      <c r="C108" s="27" t="str">
        <f t="shared" si="7"/>
        <v>Lawrence</v>
      </c>
      <c r="D108" s="27">
        <v>2452</v>
      </c>
      <c r="E108" s="2">
        <v>111</v>
      </c>
      <c r="F108" s="27">
        <v>91</v>
      </c>
      <c r="G108" s="2">
        <v>4171</v>
      </c>
      <c r="H108" s="12">
        <f>'AR pre'!U39</f>
        <v>40.141261261261263</v>
      </c>
      <c r="I108" s="2">
        <v>25964.83</v>
      </c>
      <c r="J108" s="27">
        <v>69</v>
      </c>
      <c r="K108" s="27">
        <v>37246</v>
      </c>
      <c r="L108" s="27">
        <v>1905</v>
      </c>
      <c r="M108" s="27" t="s">
        <v>484</v>
      </c>
      <c r="N108" s="27" t="s">
        <v>479</v>
      </c>
      <c r="O108" s="27" t="str">
        <f t="shared" si="8"/>
        <v>https://babel.hathitrust.org/cgi/pt?id=mdp.39015076515900;view=1up;seq=220</v>
      </c>
      <c r="P108" s="27" t="s">
        <v>485</v>
      </c>
      <c r="Q108" s="27" t="str">
        <f t="shared" si="9"/>
        <v>https://babel.hathitrust.org/cgi/pt?id=mdp.39015076515900;view=1up;seq=220</v>
      </c>
      <c r="R108" s="27" t="s">
        <v>483</v>
      </c>
      <c r="S108" s="27" t="str">
        <f t="shared" si="10"/>
        <v>https://babel.hathitrust.org/cgi/pt?id=mdp.39015076515900;view=1up;seq=223</v>
      </c>
      <c r="T108" s="27" t="s">
        <v>486</v>
      </c>
      <c r="U108" s="4"/>
      <c r="V108" s="4"/>
      <c r="W108" s="4"/>
      <c r="X108" s="4"/>
      <c r="Y108" s="4"/>
      <c r="Z108" s="4"/>
      <c r="AA108" s="4"/>
      <c r="AB108" s="4"/>
    </row>
    <row r="109" spans="1:28" x14ac:dyDescent="0.25">
      <c r="A109" s="27" t="s">
        <v>688</v>
      </c>
      <c r="B109" s="27" t="str">
        <f t="shared" si="6"/>
        <v>Arkansas</v>
      </c>
      <c r="C109" s="27" t="str">
        <f t="shared" si="7"/>
        <v>Lee</v>
      </c>
      <c r="D109" s="27">
        <v>5770</v>
      </c>
      <c r="E109" s="2">
        <v>111</v>
      </c>
      <c r="F109" s="27">
        <v>135</v>
      </c>
      <c r="G109" s="2">
        <v>7302</v>
      </c>
      <c r="H109" s="12">
        <f>'AR pre'!U40</f>
        <v>46.846846846846844</v>
      </c>
      <c r="I109" s="2">
        <v>26766.28</v>
      </c>
      <c r="J109" s="27">
        <v>99</v>
      </c>
      <c r="K109" s="27">
        <v>55382</v>
      </c>
      <c r="L109" s="27">
        <v>1905</v>
      </c>
      <c r="M109" s="27" t="s">
        <v>484</v>
      </c>
      <c r="N109" s="27" t="s">
        <v>479</v>
      </c>
      <c r="O109" s="27" t="str">
        <f t="shared" si="8"/>
        <v>https://babel.hathitrust.org/cgi/pt?id=mdp.39015076515900;view=1up;seq=220</v>
      </c>
      <c r="P109" s="27" t="s">
        <v>485</v>
      </c>
      <c r="Q109" s="27" t="str">
        <f t="shared" si="9"/>
        <v>https://babel.hathitrust.org/cgi/pt?id=mdp.39015076515900;view=1up;seq=220</v>
      </c>
      <c r="R109" s="27" t="s">
        <v>483</v>
      </c>
      <c r="S109" s="27" t="str">
        <f t="shared" si="10"/>
        <v>https://babel.hathitrust.org/cgi/pt?id=mdp.39015076515900;view=1up;seq=223</v>
      </c>
      <c r="T109" s="27" t="s">
        <v>486</v>
      </c>
      <c r="U109" s="4"/>
      <c r="V109" s="4"/>
      <c r="W109" s="4"/>
      <c r="X109" s="4"/>
      <c r="Y109" s="4"/>
      <c r="Z109" s="4"/>
      <c r="AA109" s="4"/>
      <c r="AB109" s="4"/>
    </row>
    <row r="110" spans="1:28" x14ac:dyDescent="0.25">
      <c r="A110" s="27" t="s">
        <v>689</v>
      </c>
      <c r="B110" s="27" t="str">
        <f t="shared" si="6"/>
        <v>Arkansas</v>
      </c>
      <c r="C110" s="27" t="str">
        <f t="shared" si="7"/>
        <v>Lincoln</v>
      </c>
      <c r="D110" s="27">
        <v>2159</v>
      </c>
      <c r="E110" s="2">
        <v>77</v>
      </c>
      <c r="F110" s="27">
        <v>82</v>
      </c>
      <c r="G110" s="2">
        <v>3285</v>
      </c>
      <c r="H110" s="12">
        <f>'AR pre'!U41</f>
        <v>33.823116883116882</v>
      </c>
      <c r="I110" s="2">
        <v>9268.26</v>
      </c>
      <c r="J110" s="27">
        <v>63</v>
      </c>
      <c r="K110" s="27">
        <v>15680</v>
      </c>
      <c r="L110" s="27">
        <v>1905</v>
      </c>
      <c r="M110" s="27" t="s">
        <v>484</v>
      </c>
      <c r="N110" s="27" t="s">
        <v>479</v>
      </c>
      <c r="O110" s="27" t="str">
        <f t="shared" si="8"/>
        <v>https://babel.hathitrust.org/cgi/pt?id=mdp.39015076515900;view=1up;seq=220</v>
      </c>
      <c r="P110" s="27" t="s">
        <v>485</v>
      </c>
      <c r="Q110" s="27" t="str">
        <f t="shared" si="9"/>
        <v>https://babel.hathitrust.org/cgi/pt?id=mdp.39015076515900;view=1up;seq=220</v>
      </c>
      <c r="R110" s="27" t="s">
        <v>483</v>
      </c>
      <c r="S110" s="27" t="str">
        <f t="shared" si="10"/>
        <v>https://babel.hathitrust.org/cgi/pt?id=mdp.39015076515900;view=1up;seq=223</v>
      </c>
      <c r="T110" s="27" t="s">
        <v>486</v>
      </c>
      <c r="U110" s="4"/>
      <c r="V110" s="4"/>
      <c r="W110" s="4"/>
      <c r="X110" s="4"/>
      <c r="Y110" s="4"/>
      <c r="Z110" s="4"/>
      <c r="AA110" s="4"/>
      <c r="AB110" s="4"/>
    </row>
    <row r="111" spans="1:28" x14ac:dyDescent="0.25">
      <c r="A111" s="27" t="s">
        <v>690</v>
      </c>
      <c r="B111" s="27" t="str">
        <f t="shared" si="6"/>
        <v>Arkansas</v>
      </c>
      <c r="C111" s="27" t="str">
        <f t="shared" si="7"/>
        <v>Little River</v>
      </c>
      <c r="D111" s="27">
        <v>2306</v>
      </c>
      <c r="E111" s="2">
        <v>69</v>
      </c>
      <c r="F111" s="27">
        <v>78</v>
      </c>
      <c r="G111" s="2">
        <v>3679</v>
      </c>
      <c r="H111" s="12">
        <f>'AR pre'!U42</f>
        <v>53.028985507246375</v>
      </c>
      <c r="I111" s="2">
        <v>17279.669999999998</v>
      </c>
      <c r="J111" s="27">
        <v>49</v>
      </c>
      <c r="K111" s="27">
        <v>28320</v>
      </c>
      <c r="L111" s="27">
        <v>1905</v>
      </c>
      <c r="M111" s="27" t="s">
        <v>484</v>
      </c>
      <c r="N111" s="27" t="s">
        <v>479</v>
      </c>
      <c r="O111" s="27" t="str">
        <f t="shared" si="8"/>
        <v>https://babel.hathitrust.org/cgi/pt?id=mdp.39015076515900;view=1up;seq=220</v>
      </c>
      <c r="P111" s="27" t="s">
        <v>485</v>
      </c>
      <c r="Q111" s="27" t="str">
        <f t="shared" si="9"/>
        <v>https://babel.hathitrust.org/cgi/pt?id=mdp.39015076515900;view=1up;seq=220</v>
      </c>
      <c r="R111" s="27" t="s">
        <v>483</v>
      </c>
      <c r="S111" s="27" t="str">
        <f t="shared" si="10"/>
        <v>https://babel.hathitrust.org/cgi/pt?id=mdp.39015076515900;view=1up;seq=223</v>
      </c>
      <c r="T111" s="27" t="s">
        <v>486</v>
      </c>
      <c r="U111" s="4"/>
      <c r="V111" s="4"/>
      <c r="W111" s="4"/>
      <c r="X111" s="4"/>
      <c r="Y111" s="4"/>
      <c r="Z111" s="4"/>
      <c r="AA111" s="4"/>
      <c r="AB111" s="4"/>
    </row>
    <row r="112" spans="1:28" x14ac:dyDescent="0.25">
      <c r="A112" s="27" t="s">
        <v>691</v>
      </c>
      <c r="B112" s="27" t="str">
        <f t="shared" si="6"/>
        <v>Arkansas</v>
      </c>
      <c r="C112" s="27" t="str">
        <f t="shared" si="7"/>
        <v>Logan</v>
      </c>
      <c r="D112" s="27">
        <v>3564</v>
      </c>
      <c r="E112" s="2">
        <v>133</v>
      </c>
      <c r="F112" s="27">
        <v>84</v>
      </c>
      <c r="G112" s="2">
        <v>6208</v>
      </c>
      <c r="H112" s="12">
        <f>'AR pre'!U43</f>
        <v>28.337368421052634</v>
      </c>
      <c r="I112" s="2">
        <v>28840.31</v>
      </c>
      <c r="J112" s="27">
        <v>96</v>
      </c>
      <c r="K112" s="27">
        <v>42470.45</v>
      </c>
      <c r="L112" s="27">
        <v>1905</v>
      </c>
      <c r="M112" s="27" t="s">
        <v>484</v>
      </c>
      <c r="N112" s="27" t="s">
        <v>479</v>
      </c>
      <c r="O112" s="27" t="str">
        <f t="shared" si="8"/>
        <v>https://babel.hathitrust.org/cgi/pt?id=mdp.39015076515900;view=1up;seq=220</v>
      </c>
      <c r="P112" s="27" t="s">
        <v>485</v>
      </c>
      <c r="Q112" s="27" t="str">
        <f t="shared" si="9"/>
        <v>https://babel.hathitrust.org/cgi/pt?id=mdp.39015076515900;view=1up;seq=220</v>
      </c>
      <c r="R112" s="27" t="s">
        <v>483</v>
      </c>
      <c r="S112" s="27" t="str">
        <f t="shared" si="10"/>
        <v>https://babel.hathitrust.org/cgi/pt?id=mdp.39015076515900;view=1up;seq=223</v>
      </c>
      <c r="T112" s="27" t="s">
        <v>486</v>
      </c>
      <c r="U112" s="4"/>
      <c r="V112" s="4"/>
      <c r="W112" s="4"/>
      <c r="X112" s="4"/>
      <c r="Y112" s="4"/>
      <c r="Z112" s="4"/>
      <c r="AA112" s="4"/>
      <c r="AB112" s="4"/>
    </row>
    <row r="113" spans="1:28" x14ac:dyDescent="0.25">
      <c r="A113" s="27" t="s">
        <v>692</v>
      </c>
      <c r="B113" s="27" t="str">
        <f t="shared" si="6"/>
        <v>Arkansas</v>
      </c>
      <c r="C113" s="27" t="str">
        <f t="shared" si="7"/>
        <v>Lonoke</v>
      </c>
      <c r="D113" s="27">
        <v>4366</v>
      </c>
      <c r="E113" s="2">
        <v>176</v>
      </c>
      <c r="F113" s="27">
        <v>106</v>
      </c>
      <c r="G113" s="2">
        <v>6408</v>
      </c>
      <c r="H113" s="12">
        <f>'AR pre'!U44</f>
        <v>36.954545454545453</v>
      </c>
      <c r="I113" s="2">
        <v>35201</v>
      </c>
      <c r="J113" s="27">
        <v>109</v>
      </c>
      <c r="K113" s="27">
        <v>58825</v>
      </c>
      <c r="L113" s="27">
        <v>1905</v>
      </c>
      <c r="M113" s="27" t="s">
        <v>484</v>
      </c>
      <c r="N113" s="27" t="s">
        <v>479</v>
      </c>
      <c r="O113" s="27" t="str">
        <f t="shared" si="8"/>
        <v>https://babel.hathitrust.org/cgi/pt?id=mdp.39015076515900;view=1up;seq=220</v>
      </c>
      <c r="P113" s="27" t="s">
        <v>485</v>
      </c>
      <c r="Q113" s="27" t="str">
        <f t="shared" si="9"/>
        <v>https://babel.hathitrust.org/cgi/pt?id=mdp.39015076515900;view=1up;seq=220</v>
      </c>
      <c r="R113" s="27" t="s">
        <v>483</v>
      </c>
      <c r="S113" s="27" t="str">
        <f t="shared" si="10"/>
        <v>https://babel.hathitrust.org/cgi/pt?id=mdp.39015076515900;view=1up;seq=223</v>
      </c>
      <c r="T113" s="27" t="s">
        <v>486</v>
      </c>
      <c r="U113" s="4"/>
      <c r="V113" s="4"/>
      <c r="W113" s="4"/>
      <c r="X113" s="4"/>
      <c r="Y113" s="4"/>
      <c r="Z113" s="4"/>
      <c r="AA113" s="4"/>
      <c r="AB113" s="4"/>
    </row>
    <row r="114" spans="1:28" x14ac:dyDescent="0.25">
      <c r="A114" s="27" t="s">
        <v>693</v>
      </c>
      <c r="B114" s="27" t="str">
        <f t="shared" si="6"/>
        <v>Arkansas</v>
      </c>
      <c r="C114" s="27" t="str">
        <f t="shared" si="7"/>
        <v>Madison</v>
      </c>
      <c r="D114" s="27">
        <v>3661</v>
      </c>
      <c r="E114" s="2">
        <v>105</v>
      </c>
      <c r="F114" s="27"/>
      <c r="G114" s="2">
        <v>5509</v>
      </c>
      <c r="H114" s="12">
        <f>'AR pre'!U45</f>
        <v>29.61904761904762</v>
      </c>
      <c r="I114" s="2">
        <v>27615.16</v>
      </c>
      <c r="J114" s="27">
        <v>119</v>
      </c>
      <c r="K114" s="27">
        <v>30000</v>
      </c>
      <c r="L114" s="27">
        <v>1905</v>
      </c>
      <c r="M114" s="27" t="s">
        <v>484</v>
      </c>
      <c r="N114" s="27" t="s">
        <v>479</v>
      </c>
      <c r="O114" s="27" t="str">
        <f t="shared" si="8"/>
        <v>https://babel.hathitrust.org/cgi/pt?id=mdp.39015076515900;view=1up;seq=220</v>
      </c>
      <c r="P114" s="27" t="s">
        <v>485</v>
      </c>
      <c r="Q114" s="27" t="str">
        <f t="shared" si="9"/>
        <v>https://babel.hathitrust.org/cgi/pt?id=mdp.39015076515900;view=1up;seq=220</v>
      </c>
      <c r="R114" s="27" t="s">
        <v>483</v>
      </c>
      <c r="S114" s="27" t="str">
        <f t="shared" si="10"/>
        <v>https://babel.hathitrust.org/cgi/pt?id=mdp.39015076515900;view=1up;seq=223</v>
      </c>
      <c r="T114" s="27" t="s">
        <v>486</v>
      </c>
      <c r="U114" s="4"/>
      <c r="V114" s="4"/>
      <c r="W114" s="4"/>
      <c r="X114" s="4"/>
      <c r="Y114" s="4"/>
      <c r="Z114" s="4"/>
      <c r="AA114" s="4"/>
      <c r="AB114" s="4"/>
    </row>
    <row r="115" spans="1:28" x14ac:dyDescent="0.25">
      <c r="A115" s="27" t="s">
        <v>694</v>
      </c>
      <c r="B115" s="27" t="str">
        <f t="shared" si="6"/>
        <v>Arkansas</v>
      </c>
      <c r="C115" s="27" t="str">
        <f t="shared" si="7"/>
        <v>Marion</v>
      </c>
      <c r="D115" s="27">
        <v>2105</v>
      </c>
      <c r="E115" s="2">
        <v>86</v>
      </c>
      <c r="F115" s="27">
        <v>77</v>
      </c>
      <c r="G115" s="2">
        <v>2923</v>
      </c>
      <c r="H115" s="12">
        <f>'AR pre'!U46</f>
        <v>27.826744186046511</v>
      </c>
      <c r="I115" s="2">
        <v>12235.76</v>
      </c>
      <c r="J115" s="27">
        <v>65</v>
      </c>
      <c r="K115" s="27">
        <v>24830</v>
      </c>
      <c r="L115" s="27">
        <v>1905</v>
      </c>
      <c r="M115" s="27" t="s">
        <v>484</v>
      </c>
      <c r="N115" s="27" t="s">
        <v>479</v>
      </c>
      <c r="O115" s="27" t="str">
        <f t="shared" si="8"/>
        <v>https://babel.hathitrust.org/cgi/pt?id=mdp.39015076515900;view=1up;seq=220</v>
      </c>
      <c r="P115" s="27" t="s">
        <v>485</v>
      </c>
      <c r="Q115" s="27" t="str">
        <f t="shared" si="9"/>
        <v>https://babel.hathitrust.org/cgi/pt?id=mdp.39015076515900;view=1up;seq=220</v>
      </c>
      <c r="R115" s="27" t="s">
        <v>483</v>
      </c>
      <c r="S115" s="27" t="str">
        <f t="shared" si="10"/>
        <v>https://babel.hathitrust.org/cgi/pt?id=mdp.39015076515900;view=1up;seq=223</v>
      </c>
      <c r="T115" s="27" t="s">
        <v>486</v>
      </c>
      <c r="U115" s="4"/>
      <c r="V115" s="4"/>
      <c r="W115" s="4"/>
      <c r="X115" s="4"/>
      <c r="Y115" s="4"/>
      <c r="Z115" s="4"/>
      <c r="AA115" s="4"/>
      <c r="AB115" s="4"/>
    </row>
    <row r="116" spans="1:28" x14ac:dyDescent="0.25">
      <c r="A116" s="27" t="s">
        <v>695</v>
      </c>
      <c r="B116" s="27" t="str">
        <f t="shared" si="6"/>
        <v>Arkansas</v>
      </c>
      <c r="C116" s="27" t="str">
        <f t="shared" si="7"/>
        <v>Miller</v>
      </c>
      <c r="D116" s="27">
        <v>2807</v>
      </c>
      <c r="E116" s="2">
        <v>99</v>
      </c>
      <c r="F116" s="27">
        <v>108</v>
      </c>
      <c r="G116" s="2">
        <v>4746</v>
      </c>
      <c r="H116" s="12">
        <f>'AR pre'!U47</f>
        <v>50.434343434343432</v>
      </c>
      <c r="I116" s="2">
        <v>34210.83</v>
      </c>
      <c r="J116" s="27">
        <v>54</v>
      </c>
      <c r="K116" s="27">
        <v>85300</v>
      </c>
      <c r="L116" s="27">
        <v>1905</v>
      </c>
      <c r="M116" s="27" t="s">
        <v>484</v>
      </c>
      <c r="N116" s="27" t="s">
        <v>479</v>
      </c>
      <c r="O116" s="27" t="str">
        <f t="shared" si="8"/>
        <v>https://babel.hathitrust.org/cgi/pt?id=mdp.39015076515900;view=1up;seq=220</v>
      </c>
      <c r="P116" s="27" t="s">
        <v>485</v>
      </c>
      <c r="Q116" s="27" t="str">
        <f t="shared" si="9"/>
        <v>https://babel.hathitrust.org/cgi/pt?id=mdp.39015076515900;view=1up;seq=220</v>
      </c>
      <c r="R116" s="27" t="s">
        <v>483</v>
      </c>
      <c r="S116" s="27" t="str">
        <f t="shared" si="10"/>
        <v>https://babel.hathitrust.org/cgi/pt?id=mdp.39015076515900;view=1up;seq=223</v>
      </c>
      <c r="T116" s="27" t="s">
        <v>486</v>
      </c>
      <c r="U116" s="4"/>
      <c r="V116" s="4"/>
      <c r="W116" s="4"/>
      <c r="X116" s="4"/>
      <c r="Y116" s="4"/>
      <c r="Z116" s="4"/>
      <c r="AA116" s="4"/>
      <c r="AB116" s="4"/>
    </row>
    <row r="117" spans="1:28" x14ac:dyDescent="0.25">
      <c r="A117" s="27" t="s">
        <v>696</v>
      </c>
      <c r="B117" s="27" t="str">
        <f t="shared" si="6"/>
        <v>Arkansas</v>
      </c>
      <c r="C117" s="27" t="str">
        <f t="shared" si="7"/>
        <v>Mississippi</v>
      </c>
      <c r="D117" s="27">
        <v>2372</v>
      </c>
      <c r="E117" s="2">
        <v>72</v>
      </c>
      <c r="F117" s="27">
        <v>84</v>
      </c>
      <c r="G117" s="2">
        <v>4130</v>
      </c>
      <c r="H117" s="12">
        <f>'AR pre'!U48</f>
        <v>30.220138888888886</v>
      </c>
      <c r="I117" s="2">
        <v>34208.29</v>
      </c>
      <c r="J117" s="27">
        <v>32</v>
      </c>
      <c r="K117" s="27">
        <v>37452.949999999997</v>
      </c>
      <c r="L117" s="27">
        <v>1905</v>
      </c>
      <c r="M117" s="27" t="s">
        <v>484</v>
      </c>
      <c r="N117" s="27" t="s">
        <v>479</v>
      </c>
      <c r="O117" s="27" t="str">
        <f t="shared" si="8"/>
        <v>https://babel.hathitrust.org/cgi/pt?id=mdp.39015076515900;view=1up;seq=220</v>
      </c>
      <c r="P117" s="27" t="s">
        <v>485</v>
      </c>
      <c r="Q117" s="27" t="str">
        <f t="shared" si="9"/>
        <v>https://babel.hathitrust.org/cgi/pt?id=mdp.39015076515900;view=1up;seq=220</v>
      </c>
      <c r="R117" s="27" t="s">
        <v>483</v>
      </c>
      <c r="S117" s="27" t="str">
        <f t="shared" si="10"/>
        <v>https://babel.hathitrust.org/cgi/pt?id=mdp.39015076515900;view=1up;seq=223</v>
      </c>
      <c r="T117" s="27" t="s">
        <v>486</v>
      </c>
      <c r="U117" s="4"/>
      <c r="V117" s="4"/>
      <c r="W117" s="4"/>
      <c r="X117" s="4"/>
      <c r="Y117" s="4"/>
      <c r="Z117" s="4"/>
      <c r="AA117" s="4"/>
      <c r="AB117" s="4"/>
    </row>
    <row r="118" spans="1:28" x14ac:dyDescent="0.25">
      <c r="A118" s="27" t="s">
        <v>697</v>
      </c>
      <c r="B118" s="27" t="str">
        <f t="shared" si="6"/>
        <v>Arkansas</v>
      </c>
      <c r="C118" s="27" t="str">
        <f t="shared" si="7"/>
        <v>Monroe</v>
      </c>
      <c r="D118" s="27">
        <v>2649</v>
      </c>
      <c r="E118" s="2">
        <v>105</v>
      </c>
      <c r="F118" s="27">
        <v>98</v>
      </c>
      <c r="G118" s="2">
        <v>3371</v>
      </c>
      <c r="H118" s="12">
        <f>'AR pre'!U49</f>
        <v>30.463428571428569</v>
      </c>
      <c r="I118" s="2">
        <v>32470.79</v>
      </c>
      <c r="J118" s="27">
        <v>55</v>
      </c>
      <c r="K118" s="27">
        <v>25648.75</v>
      </c>
      <c r="L118" s="27">
        <v>1905</v>
      </c>
      <c r="M118" s="27" t="s">
        <v>484</v>
      </c>
      <c r="N118" s="27" t="s">
        <v>479</v>
      </c>
      <c r="O118" s="27" t="str">
        <f t="shared" si="8"/>
        <v>https://babel.hathitrust.org/cgi/pt?id=mdp.39015076515900;view=1up;seq=220</v>
      </c>
      <c r="P118" s="27" t="s">
        <v>485</v>
      </c>
      <c r="Q118" s="27" t="str">
        <f t="shared" si="9"/>
        <v>https://babel.hathitrust.org/cgi/pt?id=mdp.39015076515900;view=1up;seq=220</v>
      </c>
      <c r="R118" s="27" t="s">
        <v>483</v>
      </c>
      <c r="S118" s="27" t="str">
        <f t="shared" si="10"/>
        <v>https://babel.hathitrust.org/cgi/pt?id=mdp.39015076515900;view=1up;seq=223</v>
      </c>
      <c r="T118" s="27" t="s">
        <v>486</v>
      </c>
      <c r="U118" s="4"/>
      <c r="V118" s="4"/>
      <c r="W118" s="4"/>
      <c r="X118" s="4"/>
      <c r="Y118" s="4"/>
      <c r="Z118" s="4"/>
      <c r="AA118" s="4"/>
      <c r="AB118" s="4"/>
    </row>
    <row r="119" spans="1:28" x14ac:dyDescent="0.25">
      <c r="A119" s="27" t="s">
        <v>1713</v>
      </c>
      <c r="B119" s="27" t="str">
        <f t="shared" si="6"/>
        <v>Arkansas</v>
      </c>
      <c r="C119" s="27" t="str">
        <f t="shared" si="7"/>
        <v>Montgomery</v>
      </c>
      <c r="D119" s="27">
        <v>2049</v>
      </c>
      <c r="E119" s="2">
        <v>81</v>
      </c>
      <c r="F119" s="27">
        <v>82</v>
      </c>
      <c r="G119" s="2">
        <v>3223</v>
      </c>
      <c r="H119" s="12">
        <f>'AR pre'!U50</f>
        <v>32.58765432098766</v>
      </c>
      <c r="I119" s="2">
        <v>8668.89</v>
      </c>
      <c r="J119" s="27">
        <v>57</v>
      </c>
      <c r="K119" s="27">
        <v>10997</v>
      </c>
      <c r="L119" s="27">
        <v>1905</v>
      </c>
      <c r="M119" s="27" t="s">
        <v>484</v>
      </c>
      <c r="N119" s="27" t="s">
        <v>479</v>
      </c>
      <c r="O119" s="27" t="str">
        <f t="shared" si="8"/>
        <v>https://babel.hathitrust.org/cgi/pt?id=mdp.39015076515900;view=1up;seq=220</v>
      </c>
      <c r="P119" s="27" t="s">
        <v>485</v>
      </c>
      <c r="Q119" s="27" t="str">
        <f t="shared" si="9"/>
        <v>https://babel.hathitrust.org/cgi/pt?id=mdp.39015076515900;view=1up;seq=220</v>
      </c>
      <c r="R119" s="27" t="s">
        <v>483</v>
      </c>
      <c r="S119" s="27" t="str">
        <f t="shared" si="10"/>
        <v>https://babel.hathitrust.org/cgi/pt?id=mdp.39015076515900;view=1up;seq=223</v>
      </c>
      <c r="T119" s="27" t="s">
        <v>486</v>
      </c>
      <c r="U119" s="4"/>
      <c r="V119" s="4"/>
      <c r="W119" s="4"/>
      <c r="X119" s="4"/>
      <c r="Y119" s="4"/>
      <c r="Z119" s="4"/>
      <c r="AA119" s="4"/>
      <c r="AB119" s="4"/>
    </row>
    <row r="120" spans="1:28" x14ac:dyDescent="0.25">
      <c r="A120" s="27" t="s">
        <v>698</v>
      </c>
      <c r="B120" s="27" t="str">
        <f t="shared" si="6"/>
        <v>Arkansas</v>
      </c>
      <c r="C120" s="27" t="str">
        <f t="shared" si="7"/>
        <v>Nevada</v>
      </c>
      <c r="D120" s="27">
        <v>3140</v>
      </c>
      <c r="E120" s="2">
        <v>125</v>
      </c>
      <c r="F120" s="27">
        <v>102</v>
      </c>
      <c r="G120" s="2">
        <v>4775</v>
      </c>
      <c r="H120" s="12">
        <f>'AR pre'!U51</f>
        <v>35.32</v>
      </c>
      <c r="I120" s="2">
        <v>24235.02</v>
      </c>
      <c r="J120" s="27">
        <v>72</v>
      </c>
      <c r="K120" s="27">
        <v>31465</v>
      </c>
      <c r="L120" s="27">
        <v>1905</v>
      </c>
      <c r="M120" s="27" t="s">
        <v>484</v>
      </c>
      <c r="N120" s="27" t="s">
        <v>479</v>
      </c>
      <c r="O120" s="27" t="str">
        <f t="shared" si="8"/>
        <v>https://babel.hathitrust.org/cgi/pt?id=mdp.39015076515900;view=1up;seq=220</v>
      </c>
      <c r="P120" s="27" t="s">
        <v>485</v>
      </c>
      <c r="Q120" s="27" t="str">
        <f t="shared" si="9"/>
        <v>https://babel.hathitrust.org/cgi/pt?id=mdp.39015076515900;view=1up;seq=220</v>
      </c>
      <c r="R120" s="27" t="s">
        <v>483</v>
      </c>
      <c r="S120" s="27" t="str">
        <f t="shared" si="10"/>
        <v>https://babel.hathitrust.org/cgi/pt?id=mdp.39015076515900;view=1up;seq=223</v>
      </c>
      <c r="T120" s="27" t="s">
        <v>486</v>
      </c>
      <c r="U120" s="4"/>
      <c r="V120" s="4"/>
      <c r="W120" s="4"/>
      <c r="X120" s="4"/>
      <c r="Y120" s="4"/>
      <c r="Z120" s="4"/>
      <c r="AA120" s="4"/>
      <c r="AB120" s="4"/>
    </row>
    <row r="121" spans="1:28" x14ac:dyDescent="0.25">
      <c r="A121" s="27" t="s">
        <v>699</v>
      </c>
      <c r="B121" s="27" t="str">
        <f t="shared" si="6"/>
        <v>Arkansas</v>
      </c>
      <c r="C121" s="27" t="str">
        <f t="shared" si="7"/>
        <v>Newton</v>
      </c>
      <c r="D121" s="27">
        <v>2616</v>
      </c>
      <c r="E121" s="2">
        <v>101</v>
      </c>
      <c r="F121" s="27">
        <v>53</v>
      </c>
      <c r="G121" s="2">
        <v>3793</v>
      </c>
      <c r="H121" s="12">
        <f>'AR pre'!U52</f>
        <v>25.702970297029704</v>
      </c>
      <c r="I121" s="2">
        <v>10739.36</v>
      </c>
      <c r="J121" s="27">
        <v>59</v>
      </c>
      <c r="K121" s="27">
        <v>14648</v>
      </c>
      <c r="L121" s="27">
        <v>1905</v>
      </c>
      <c r="M121" s="27" t="s">
        <v>484</v>
      </c>
      <c r="N121" s="27" t="s">
        <v>479</v>
      </c>
      <c r="O121" s="27" t="str">
        <f t="shared" si="8"/>
        <v>https://babel.hathitrust.org/cgi/pt?id=mdp.39015076515900;view=1up;seq=220</v>
      </c>
      <c r="P121" s="27" t="s">
        <v>485</v>
      </c>
      <c r="Q121" s="27" t="str">
        <f t="shared" si="9"/>
        <v>https://babel.hathitrust.org/cgi/pt?id=mdp.39015076515900;view=1up;seq=220</v>
      </c>
      <c r="R121" s="27" t="s">
        <v>483</v>
      </c>
      <c r="S121" s="27" t="str">
        <f t="shared" si="10"/>
        <v>https://babel.hathitrust.org/cgi/pt?id=mdp.39015076515900;view=1up;seq=223</v>
      </c>
      <c r="T121" s="27" t="s">
        <v>486</v>
      </c>
      <c r="U121" s="4"/>
      <c r="V121" s="4"/>
      <c r="W121" s="4"/>
      <c r="X121" s="4"/>
      <c r="Y121" s="4"/>
      <c r="Z121" s="4"/>
      <c r="AA121" s="4"/>
      <c r="AB121" s="4"/>
    </row>
    <row r="122" spans="1:28" x14ac:dyDescent="0.25">
      <c r="A122" s="27" t="s">
        <v>700</v>
      </c>
      <c r="B122" s="27" t="str">
        <f t="shared" si="6"/>
        <v>Arkansas</v>
      </c>
      <c r="C122" s="27" t="str">
        <f t="shared" si="7"/>
        <v>Ouachita</v>
      </c>
      <c r="D122" s="27">
        <v>3496</v>
      </c>
      <c r="E122" s="2">
        <v>110</v>
      </c>
      <c r="F122" s="27">
        <v>101</v>
      </c>
      <c r="G122" s="2">
        <v>5565</v>
      </c>
      <c r="H122" s="12">
        <f>'AR pre'!U53</f>
        <v>40.395454545454548</v>
      </c>
      <c r="I122" s="2">
        <v>30774.68</v>
      </c>
      <c r="J122" s="27">
        <v>73</v>
      </c>
      <c r="K122" s="27">
        <v>27958</v>
      </c>
      <c r="L122" s="27">
        <v>1905</v>
      </c>
      <c r="M122" s="27" t="s">
        <v>484</v>
      </c>
      <c r="N122" s="27" t="s">
        <v>479</v>
      </c>
      <c r="O122" s="27" t="str">
        <f t="shared" si="8"/>
        <v>https://babel.hathitrust.org/cgi/pt?id=mdp.39015076515900;view=1up;seq=220</v>
      </c>
      <c r="P122" s="27" t="s">
        <v>485</v>
      </c>
      <c r="Q122" s="27" t="str">
        <f t="shared" si="9"/>
        <v>https://babel.hathitrust.org/cgi/pt?id=mdp.39015076515900;view=1up;seq=220</v>
      </c>
      <c r="R122" s="27" t="s">
        <v>483</v>
      </c>
      <c r="S122" s="27" t="str">
        <f t="shared" si="10"/>
        <v>https://babel.hathitrust.org/cgi/pt?id=mdp.39015076515900;view=1up;seq=223</v>
      </c>
      <c r="T122" s="27" t="s">
        <v>486</v>
      </c>
      <c r="U122" s="4"/>
      <c r="V122" s="4"/>
      <c r="W122" s="4"/>
      <c r="X122" s="4"/>
      <c r="Y122" s="4"/>
      <c r="Z122" s="4"/>
      <c r="AA122" s="4"/>
      <c r="AB122" s="4"/>
    </row>
    <row r="123" spans="1:28" x14ac:dyDescent="0.25">
      <c r="A123" s="27" t="s">
        <v>701</v>
      </c>
      <c r="B123" s="27" t="str">
        <f t="shared" si="6"/>
        <v>Arkansas</v>
      </c>
      <c r="C123" s="27" t="str">
        <f t="shared" si="7"/>
        <v>Perry</v>
      </c>
      <c r="D123" s="27">
        <v>1147</v>
      </c>
      <c r="E123" s="2">
        <v>42</v>
      </c>
      <c r="F123" s="27">
        <v>81</v>
      </c>
      <c r="G123" s="2">
        <v>2228</v>
      </c>
      <c r="H123" s="12">
        <f>'AR pre'!U54</f>
        <v>37.52095238095238</v>
      </c>
      <c r="I123" s="2">
        <v>12396.95</v>
      </c>
      <c r="J123" s="27">
        <v>34</v>
      </c>
      <c r="K123" s="27">
        <v>8712.17</v>
      </c>
      <c r="L123" s="27">
        <v>1905</v>
      </c>
      <c r="M123" s="27" t="s">
        <v>484</v>
      </c>
      <c r="N123" s="27" t="s">
        <v>479</v>
      </c>
      <c r="O123" s="27" t="str">
        <f t="shared" si="8"/>
        <v>https://babel.hathitrust.org/cgi/pt?id=mdp.39015076515900;view=1up;seq=220</v>
      </c>
      <c r="P123" s="27" t="s">
        <v>485</v>
      </c>
      <c r="Q123" s="27" t="str">
        <f t="shared" si="9"/>
        <v>https://babel.hathitrust.org/cgi/pt?id=mdp.39015076515900;view=1up;seq=220</v>
      </c>
      <c r="R123" s="27" t="s">
        <v>487</v>
      </c>
      <c r="S123" s="27" t="str">
        <f t="shared" si="10"/>
        <v>https://babel.hathitrust.org/cgi/pt?id=mdp.39015076515900;view=1up;seq=223</v>
      </c>
      <c r="T123" s="27" t="s">
        <v>486</v>
      </c>
      <c r="U123" s="4"/>
      <c r="V123" s="4"/>
      <c r="W123" s="4"/>
      <c r="X123" s="4"/>
      <c r="Y123" s="4"/>
      <c r="Z123" s="4"/>
      <c r="AA123" s="4"/>
      <c r="AB123" s="4"/>
    </row>
    <row r="124" spans="1:28" x14ac:dyDescent="0.25">
      <c r="A124" s="27" t="s">
        <v>702</v>
      </c>
      <c r="B124" s="27" t="str">
        <f t="shared" si="6"/>
        <v>Arkansas</v>
      </c>
      <c r="C124" s="27" t="str">
        <f t="shared" si="7"/>
        <v>Phillips</v>
      </c>
      <c r="D124" s="27">
        <v>3323</v>
      </c>
      <c r="E124" s="2">
        <v>118</v>
      </c>
      <c r="F124" s="27">
        <v>116</v>
      </c>
      <c r="G124" s="2">
        <v>5101</v>
      </c>
      <c r="H124" s="12">
        <f>'AR pre'!U55</f>
        <v>42.149067796610169</v>
      </c>
      <c r="I124" s="2">
        <v>37087.019999999997</v>
      </c>
      <c r="J124" s="27">
        <v>64</v>
      </c>
      <c r="K124" s="27">
        <v>65000</v>
      </c>
      <c r="L124" s="27">
        <v>1905</v>
      </c>
      <c r="M124" s="27" t="s">
        <v>484</v>
      </c>
      <c r="N124" s="27" t="s">
        <v>479</v>
      </c>
      <c r="O124" s="27" t="str">
        <f t="shared" si="8"/>
        <v>https://babel.hathitrust.org/cgi/pt?id=mdp.39015076515900;view=1up;seq=220</v>
      </c>
      <c r="P124" s="27" t="s">
        <v>485</v>
      </c>
      <c r="Q124" s="27" t="str">
        <f t="shared" si="9"/>
        <v>https://babel.hathitrust.org/cgi/pt?id=mdp.39015076515900;view=1up;seq=220</v>
      </c>
      <c r="R124" s="27" t="s">
        <v>487</v>
      </c>
      <c r="S124" s="27" t="str">
        <f t="shared" si="10"/>
        <v>https://babel.hathitrust.org/cgi/pt?id=mdp.39015076515900;view=1up;seq=223</v>
      </c>
      <c r="T124" s="27" t="s">
        <v>486</v>
      </c>
      <c r="U124" s="4"/>
      <c r="V124" s="4"/>
      <c r="W124" s="4"/>
      <c r="X124" s="4"/>
      <c r="Y124" s="4"/>
      <c r="Z124" s="4"/>
      <c r="AA124" s="4"/>
      <c r="AB124" s="4"/>
    </row>
    <row r="125" spans="1:28" x14ac:dyDescent="0.25">
      <c r="A125" s="27" t="s">
        <v>703</v>
      </c>
      <c r="B125" s="27" t="str">
        <f t="shared" si="6"/>
        <v>Arkansas</v>
      </c>
      <c r="C125" s="27" t="str">
        <f t="shared" si="7"/>
        <v>Pike</v>
      </c>
      <c r="D125" s="27">
        <v>1553</v>
      </c>
      <c r="E125" s="2">
        <v>69</v>
      </c>
      <c r="F125" s="27">
        <v>69</v>
      </c>
      <c r="G125" s="2">
        <v>2897</v>
      </c>
      <c r="H125" s="12">
        <f>'AR pre'!U56</f>
        <v>36.366666666666667</v>
      </c>
      <c r="I125" s="2">
        <v>12813.41</v>
      </c>
      <c r="J125" s="27">
        <v>50</v>
      </c>
      <c r="K125" s="27">
        <v>11750</v>
      </c>
      <c r="L125" s="27">
        <v>1905</v>
      </c>
      <c r="M125" s="27" t="s">
        <v>484</v>
      </c>
      <c r="N125" s="27" t="s">
        <v>479</v>
      </c>
      <c r="O125" s="27" t="str">
        <f t="shared" si="8"/>
        <v>https://babel.hathitrust.org/cgi/pt?id=mdp.39015076515900;view=1up;seq=220</v>
      </c>
      <c r="P125" s="27" t="s">
        <v>485</v>
      </c>
      <c r="Q125" s="27" t="str">
        <f t="shared" si="9"/>
        <v>https://babel.hathitrust.org/cgi/pt?id=mdp.39015076515900;view=1up;seq=220</v>
      </c>
      <c r="R125" s="27" t="s">
        <v>487</v>
      </c>
      <c r="S125" s="27" t="str">
        <f t="shared" si="10"/>
        <v>https://babel.hathitrust.org/cgi/pt?id=mdp.39015076515900;view=1up;seq=223</v>
      </c>
      <c r="T125" s="27" t="s">
        <v>486</v>
      </c>
      <c r="U125" s="4"/>
      <c r="V125" s="4"/>
      <c r="W125" s="4"/>
      <c r="X125" s="4"/>
      <c r="Y125" s="4"/>
      <c r="Z125" s="4"/>
      <c r="AA125" s="4"/>
      <c r="AB125" s="4"/>
    </row>
    <row r="126" spans="1:28" x14ac:dyDescent="0.25">
      <c r="A126" s="27" t="s">
        <v>704</v>
      </c>
      <c r="B126" s="27" t="str">
        <f t="shared" si="6"/>
        <v>Arkansas</v>
      </c>
      <c r="C126" s="27" t="str">
        <f t="shared" si="7"/>
        <v>Poinsett</v>
      </c>
      <c r="D126" s="27">
        <v>765</v>
      </c>
      <c r="E126" s="2">
        <v>44</v>
      </c>
      <c r="F126" s="27">
        <v>116</v>
      </c>
      <c r="G126" s="2">
        <v>1532</v>
      </c>
      <c r="H126" s="12">
        <f>'AR pre'!U57</f>
        <v>40.62954545454545</v>
      </c>
      <c r="I126" s="2">
        <v>13646.06</v>
      </c>
      <c r="J126" s="27">
        <v>29</v>
      </c>
      <c r="K126" s="27">
        <v>17530</v>
      </c>
      <c r="L126" s="27">
        <v>1905</v>
      </c>
      <c r="M126" s="27" t="s">
        <v>484</v>
      </c>
      <c r="N126" s="27" t="s">
        <v>479</v>
      </c>
      <c r="O126" s="27" t="str">
        <f t="shared" si="8"/>
        <v>https://babel.hathitrust.org/cgi/pt?id=mdp.39015076515900;view=1up;seq=220</v>
      </c>
      <c r="P126" s="27" t="s">
        <v>485</v>
      </c>
      <c r="Q126" s="27" t="str">
        <f t="shared" si="9"/>
        <v>https://babel.hathitrust.org/cgi/pt?id=mdp.39015076515900;view=1up;seq=220</v>
      </c>
      <c r="R126" s="27" t="s">
        <v>487</v>
      </c>
      <c r="S126" s="27" t="str">
        <f t="shared" si="10"/>
        <v>https://babel.hathitrust.org/cgi/pt?id=mdp.39015076515900;view=1up;seq=223</v>
      </c>
      <c r="T126" s="27" t="s">
        <v>486</v>
      </c>
      <c r="U126" s="4"/>
      <c r="V126" s="4"/>
      <c r="W126" s="4"/>
      <c r="X126" s="4"/>
      <c r="Y126" s="4"/>
      <c r="Z126" s="4"/>
      <c r="AA126" s="4"/>
      <c r="AB126" s="4"/>
    </row>
    <row r="127" spans="1:28" x14ac:dyDescent="0.25">
      <c r="A127" s="27" t="s">
        <v>705</v>
      </c>
      <c r="B127" s="27" t="str">
        <f t="shared" si="6"/>
        <v>Arkansas</v>
      </c>
      <c r="C127" s="27" t="str">
        <f t="shared" si="7"/>
        <v>Polk</v>
      </c>
      <c r="D127" s="27">
        <v>2980</v>
      </c>
      <c r="E127" s="2">
        <v>90</v>
      </c>
      <c r="F127" s="27">
        <v>78</v>
      </c>
      <c r="G127" s="2">
        <v>4744</v>
      </c>
      <c r="H127" s="12">
        <f>'AR pre'!U58</f>
        <v>25.116222222222223</v>
      </c>
      <c r="I127" s="2">
        <v>21772.28</v>
      </c>
      <c r="J127" s="27">
        <v>74</v>
      </c>
      <c r="K127" s="27">
        <v>31658</v>
      </c>
      <c r="L127" s="27">
        <v>1905</v>
      </c>
      <c r="M127" s="27" t="s">
        <v>488</v>
      </c>
      <c r="N127" s="27" t="s">
        <v>489</v>
      </c>
      <c r="O127" s="27" t="str">
        <f t="shared" si="8"/>
        <v>https://babel.hathitrust.org/cgi/pt?id=mdp.39015076515900;view=1up;seq=220</v>
      </c>
      <c r="P127" s="27" t="s">
        <v>490</v>
      </c>
      <c r="Q127" s="27" t="str">
        <f t="shared" si="9"/>
        <v>https://babel.hathitrust.org/cgi/pt?id=mdp.39015076515900;view=1up;seq=220</v>
      </c>
      <c r="R127" s="27" t="s">
        <v>487</v>
      </c>
      <c r="S127" s="27" t="str">
        <f t="shared" si="10"/>
        <v>https://babel.hathitrust.org/cgi/pt?id=mdp.39015076515900;view=1up;seq=223</v>
      </c>
      <c r="T127" s="27" t="s">
        <v>486</v>
      </c>
      <c r="U127" s="4"/>
      <c r="V127" s="4"/>
      <c r="W127" s="4"/>
      <c r="X127" s="4"/>
      <c r="Y127" s="4"/>
      <c r="Z127" s="4"/>
      <c r="AA127" s="4"/>
      <c r="AB127" s="4"/>
    </row>
    <row r="128" spans="1:28" x14ac:dyDescent="0.25">
      <c r="A128" s="27" t="s">
        <v>706</v>
      </c>
      <c r="B128" s="27" t="str">
        <f t="shared" si="6"/>
        <v>Arkansas</v>
      </c>
      <c r="C128" s="27" t="str">
        <f t="shared" si="7"/>
        <v>Pope</v>
      </c>
      <c r="D128" s="27">
        <v>3973</v>
      </c>
      <c r="E128" s="2">
        <v>165</v>
      </c>
      <c r="F128" s="27">
        <v>116</v>
      </c>
      <c r="G128" s="2">
        <v>5403</v>
      </c>
      <c r="H128" s="12">
        <f>'AR pre'!U59</f>
        <v>34.016363636363636</v>
      </c>
      <c r="I128" s="2">
        <v>29472.45</v>
      </c>
      <c r="J128" s="27">
        <v>103</v>
      </c>
      <c r="K128" s="27">
        <v>42670</v>
      </c>
      <c r="L128" s="27">
        <v>1905</v>
      </c>
      <c r="M128" s="27" t="s">
        <v>488</v>
      </c>
      <c r="N128" s="27" t="s">
        <v>489</v>
      </c>
      <c r="O128" s="27" t="str">
        <f t="shared" si="8"/>
        <v>https://babel.hathitrust.org/cgi/pt?id=mdp.39015076515900;view=1up;seq=220</v>
      </c>
      <c r="P128" s="27" t="s">
        <v>490</v>
      </c>
      <c r="Q128" s="27" t="str">
        <f t="shared" si="9"/>
        <v>https://babel.hathitrust.org/cgi/pt?id=mdp.39015076515900;view=1up;seq=220</v>
      </c>
      <c r="R128" s="27" t="s">
        <v>487</v>
      </c>
      <c r="S128" s="27" t="str">
        <f t="shared" si="10"/>
        <v>https://babel.hathitrust.org/cgi/pt?id=mdp.39015076515900;view=1up;seq=223</v>
      </c>
      <c r="T128" s="27" t="s">
        <v>486</v>
      </c>
      <c r="U128" s="4"/>
      <c r="V128" s="4"/>
      <c r="W128" s="4"/>
      <c r="X128" s="4"/>
      <c r="Y128" s="4"/>
      <c r="Z128" s="4"/>
      <c r="AA128" s="4"/>
      <c r="AB128" s="4"/>
    </row>
    <row r="129" spans="1:28" x14ac:dyDescent="0.25">
      <c r="A129" s="27" t="s">
        <v>707</v>
      </c>
      <c r="B129" s="27" t="str">
        <f t="shared" si="6"/>
        <v>Arkansas</v>
      </c>
      <c r="C129" s="27" t="str">
        <f t="shared" si="7"/>
        <v>Prairie</v>
      </c>
      <c r="D129" s="27">
        <v>1936</v>
      </c>
      <c r="E129" s="2">
        <v>95</v>
      </c>
      <c r="F129" s="27">
        <v>108</v>
      </c>
      <c r="G129" s="2">
        <v>3486</v>
      </c>
      <c r="H129" s="12">
        <f>'AR pre'!U60</f>
        <v>33.586842105263159</v>
      </c>
      <c r="I129" s="2">
        <v>19238.54</v>
      </c>
      <c r="J129" s="27">
        <v>72</v>
      </c>
      <c r="K129" s="27">
        <v>32568</v>
      </c>
      <c r="L129" s="27">
        <v>1905</v>
      </c>
      <c r="M129" s="27" t="s">
        <v>488</v>
      </c>
      <c r="N129" s="27" t="s">
        <v>489</v>
      </c>
      <c r="O129" s="27" t="str">
        <f t="shared" si="8"/>
        <v>https://babel.hathitrust.org/cgi/pt?id=mdp.39015076515900;view=1up;seq=220</v>
      </c>
      <c r="P129" s="27" t="s">
        <v>490</v>
      </c>
      <c r="Q129" s="27" t="str">
        <f t="shared" si="9"/>
        <v>https://babel.hathitrust.org/cgi/pt?id=mdp.39015076515900;view=1up;seq=220</v>
      </c>
      <c r="R129" s="27" t="s">
        <v>487</v>
      </c>
      <c r="S129" s="27" t="str">
        <f t="shared" si="10"/>
        <v>https://babel.hathitrust.org/cgi/pt?id=mdp.39015076515900;view=1up;seq=223</v>
      </c>
      <c r="T129" s="27" t="s">
        <v>491</v>
      </c>
      <c r="U129" s="4"/>
      <c r="V129" s="4"/>
      <c r="W129" s="4"/>
      <c r="X129" s="4"/>
      <c r="Y129" s="4"/>
      <c r="Z129" s="4"/>
      <c r="AA129" s="4"/>
      <c r="AB129" s="4"/>
    </row>
    <row r="130" spans="1:28" x14ac:dyDescent="0.25">
      <c r="A130" s="27" t="s">
        <v>708</v>
      </c>
      <c r="B130" s="27" t="str">
        <f t="shared" si="6"/>
        <v>Arkansas</v>
      </c>
      <c r="C130" s="27" t="str">
        <f t="shared" si="7"/>
        <v>Pulaski</v>
      </c>
      <c r="D130" s="27">
        <v>7429</v>
      </c>
      <c r="E130" s="2">
        <v>191</v>
      </c>
      <c r="F130" s="27">
        <v>81</v>
      </c>
      <c r="G130" s="2">
        <v>10610</v>
      </c>
      <c r="H130" s="12">
        <f>'AR pre'!U61</f>
        <v>43.324607329842934</v>
      </c>
      <c r="I130" s="2">
        <v>192439.41</v>
      </c>
      <c r="J130" s="27">
        <v>91</v>
      </c>
      <c r="K130" s="27">
        <v>434437.4</v>
      </c>
      <c r="L130" s="27">
        <v>1905</v>
      </c>
      <c r="M130" s="27" t="s">
        <v>488</v>
      </c>
      <c r="N130" s="27" t="s">
        <v>489</v>
      </c>
      <c r="O130" s="27" t="str">
        <f t="shared" si="8"/>
        <v>https://babel.hathitrust.org/cgi/pt?id=mdp.39015076515900;view=1up;seq=220</v>
      </c>
      <c r="P130" s="27" t="s">
        <v>490</v>
      </c>
      <c r="Q130" s="27" t="str">
        <f t="shared" si="9"/>
        <v>https://babel.hathitrust.org/cgi/pt?id=mdp.39015076515900;view=1up;seq=220</v>
      </c>
      <c r="R130" s="27" t="s">
        <v>487</v>
      </c>
      <c r="S130" s="27" t="str">
        <f t="shared" si="10"/>
        <v>https://babel.hathitrust.org/cgi/pt?id=mdp.39015076515900;view=1up;seq=223</v>
      </c>
      <c r="T130" s="27" t="s">
        <v>491</v>
      </c>
      <c r="U130" s="4"/>
      <c r="V130" s="4"/>
      <c r="W130" s="4"/>
      <c r="X130" s="4"/>
      <c r="Y130" s="4"/>
      <c r="Z130" s="4"/>
      <c r="AA130" s="4"/>
      <c r="AB130" s="4"/>
    </row>
    <row r="131" spans="1:28" x14ac:dyDescent="0.25">
      <c r="A131" s="27" t="s">
        <v>709</v>
      </c>
      <c r="B131" s="27" t="str">
        <f t="shared" si="6"/>
        <v>Arkansas</v>
      </c>
      <c r="C131" s="27" t="str">
        <f t="shared" si="7"/>
        <v>Randolph</v>
      </c>
      <c r="D131" s="27">
        <v>2565</v>
      </c>
      <c r="E131" s="2">
        <v>115</v>
      </c>
      <c r="F131" s="27">
        <v>76</v>
      </c>
      <c r="G131" s="2">
        <v>4289</v>
      </c>
      <c r="H131" s="12">
        <f>'AR pre'!U62</f>
        <v>33.185565217391307</v>
      </c>
      <c r="I131" s="2">
        <v>26723.26</v>
      </c>
      <c r="J131" s="27">
        <v>88</v>
      </c>
      <c r="K131" s="27">
        <v>34148</v>
      </c>
      <c r="L131" s="27">
        <v>1905</v>
      </c>
      <c r="M131" s="27" t="s">
        <v>488</v>
      </c>
      <c r="N131" s="27" t="s">
        <v>489</v>
      </c>
      <c r="O131" s="27" t="str">
        <f t="shared" si="8"/>
        <v>https://babel.hathitrust.org/cgi/pt?id=mdp.39015076515900;view=1up;seq=220</v>
      </c>
      <c r="P131" s="27" t="s">
        <v>490</v>
      </c>
      <c r="Q131" s="27" t="str">
        <f t="shared" si="9"/>
        <v>https://babel.hathitrust.org/cgi/pt?id=mdp.39015076515900;view=1up;seq=220</v>
      </c>
      <c r="R131" s="27" t="s">
        <v>487</v>
      </c>
      <c r="S131" s="27" t="str">
        <f t="shared" si="10"/>
        <v>https://babel.hathitrust.org/cgi/pt?id=mdp.39015076515900;view=1up;seq=223</v>
      </c>
      <c r="T131" s="27" t="s">
        <v>491</v>
      </c>
      <c r="U131" s="4"/>
      <c r="V131" s="4"/>
      <c r="W131" s="4"/>
      <c r="X131" s="4"/>
      <c r="Y131" s="4"/>
      <c r="Z131" s="4"/>
      <c r="AA131" s="4"/>
      <c r="AB131" s="4"/>
    </row>
    <row r="132" spans="1:28" x14ac:dyDescent="0.25">
      <c r="A132" s="27" t="s">
        <v>710</v>
      </c>
      <c r="B132" s="27" t="str">
        <f t="shared" si="6"/>
        <v>Arkansas</v>
      </c>
      <c r="C132" s="27" t="str">
        <f t="shared" si="7"/>
        <v>Saline</v>
      </c>
      <c r="D132" s="27">
        <v>1924</v>
      </c>
      <c r="E132" s="2">
        <v>74</v>
      </c>
      <c r="F132" s="27">
        <v>82</v>
      </c>
      <c r="G132" s="2">
        <v>3321</v>
      </c>
      <c r="H132" s="12">
        <f>'AR pre'!U63</f>
        <v>36.033783783783782</v>
      </c>
      <c r="I132" s="2">
        <v>17300.080000000002</v>
      </c>
      <c r="J132" s="27">
        <v>66</v>
      </c>
      <c r="K132" s="27">
        <v>35150.699999999997</v>
      </c>
      <c r="L132" s="27">
        <v>1905</v>
      </c>
      <c r="M132" s="27" t="s">
        <v>488</v>
      </c>
      <c r="N132" s="27" t="s">
        <v>489</v>
      </c>
      <c r="O132" s="27" t="str">
        <f t="shared" si="8"/>
        <v>https://babel.hathitrust.org/cgi/pt?id=mdp.39015076515900;view=1up;seq=220</v>
      </c>
      <c r="P132" s="27" t="s">
        <v>490</v>
      </c>
      <c r="Q132" s="27" t="str">
        <f t="shared" si="9"/>
        <v>https://babel.hathitrust.org/cgi/pt?id=mdp.39015076515900;view=1up;seq=220</v>
      </c>
      <c r="R132" s="27" t="s">
        <v>487</v>
      </c>
      <c r="S132" s="27" t="str">
        <f t="shared" si="10"/>
        <v>https://babel.hathitrust.org/cgi/pt?id=mdp.39015076515900;view=1up;seq=223</v>
      </c>
      <c r="T132" s="27" t="s">
        <v>491</v>
      </c>
      <c r="U132" s="4"/>
      <c r="V132" s="4"/>
      <c r="W132" s="4"/>
      <c r="X132" s="4"/>
      <c r="Y132" s="4"/>
      <c r="Z132" s="4"/>
      <c r="AA132" s="4"/>
      <c r="AB132" s="4"/>
    </row>
    <row r="133" spans="1:28" x14ac:dyDescent="0.25">
      <c r="A133" s="27" t="s">
        <v>711</v>
      </c>
      <c r="B133" s="27" t="str">
        <f t="shared" si="6"/>
        <v>Arkansas</v>
      </c>
      <c r="C133" s="27" t="str">
        <f t="shared" si="7"/>
        <v>Scott</v>
      </c>
      <c r="D133" s="27">
        <v>2095</v>
      </c>
      <c r="E133" s="2">
        <v>82</v>
      </c>
      <c r="F133" s="27">
        <v>74</v>
      </c>
      <c r="G133" s="2">
        <v>3475</v>
      </c>
      <c r="H133" s="12">
        <f>'AR pre'!U64</f>
        <v>40.226951219512188</v>
      </c>
      <c r="I133" s="2">
        <v>17215.080000000002</v>
      </c>
      <c r="J133" s="27">
        <v>71</v>
      </c>
      <c r="K133" s="27">
        <v>29250</v>
      </c>
      <c r="L133" s="27">
        <v>1905</v>
      </c>
      <c r="M133" s="27" t="s">
        <v>488</v>
      </c>
      <c r="N133" s="27" t="s">
        <v>489</v>
      </c>
      <c r="O133" s="27" t="str">
        <f t="shared" si="8"/>
        <v>https://babel.hathitrust.org/cgi/pt?id=mdp.39015076515900;view=1up;seq=220</v>
      </c>
      <c r="P133" s="27" t="s">
        <v>490</v>
      </c>
      <c r="Q133" s="27" t="str">
        <f t="shared" si="9"/>
        <v>https://babel.hathitrust.org/cgi/pt?id=mdp.39015076515900;view=1up;seq=220</v>
      </c>
      <c r="R133" s="27" t="s">
        <v>487</v>
      </c>
      <c r="S133" s="27" t="str">
        <f t="shared" si="10"/>
        <v>https://babel.hathitrust.org/cgi/pt?id=mdp.39015076515900;view=1up;seq=223</v>
      </c>
      <c r="T133" s="27" t="s">
        <v>491</v>
      </c>
      <c r="U133" s="4"/>
      <c r="V133" s="4"/>
      <c r="W133" s="4"/>
      <c r="X133" s="4"/>
      <c r="Y133" s="4"/>
      <c r="Z133" s="4"/>
      <c r="AA133" s="4"/>
      <c r="AB133" s="4"/>
    </row>
    <row r="134" spans="1:28" x14ac:dyDescent="0.25">
      <c r="A134" s="27" t="s">
        <v>712</v>
      </c>
      <c r="B134" s="27" t="str">
        <f t="shared" si="6"/>
        <v>Arkansas</v>
      </c>
      <c r="C134" s="27" t="str">
        <f t="shared" si="7"/>
        <v>Searcy</v>
      </c>
      <c r="D134" s="27">
        <v>1989</v>
      </c>
      <c r="E134" s="2">
        <v>76</v>
      </c>
      <c r="F134" s="27">
        <v>77</v>
      </c>
      <c r="G134" s="2">
        <v>3254</v>
      </c>
      <c r="H134" s="12">
        <f>'AR pre'!U65</f>
        <v>29.030131578947369</v>
      </c>
      <c r="I134" s="2">
        <v>10507.52</v>
      </c>
      <c r="J134" s="27">
        <v>67</v>
      </c>
      <c r="K134" s="27">
        <v>17484</v>
      </c>
      <c r="L134" s="27">
        <v>1905</v>
      </c>
      <c r="M134" s="27" t="s">
        <v>488</v>
      </c>
      <c r="N134" s="27" t="s">
        <v>489</v>
      </c>
      <c r="O134" s="27" t="str">
        <f t="shared" si="8"/>
        <v>https://babel.hathitrust.org/cgi/pt?id=mdp.39015076515900;view=1up;seq=220</v>
      </c>
      <c r="P134" s="27" t="s">
        <v>490</v>
      </c>
      <c r="Q134" s="27" t="str">
        <f t="shared" si="9"/>
        <v>https://babel.hathitrust.org/cgi/pt?id=mdp.39015076515900;view=1up;seq=220</v>
      </c>
      <c r="R134" s="27" t="s">
        <v>487</v>
      </c>
      <c r="S134" s="27" t="str">
        <f t="shared" si="10"/>
        <v>https://babel.hathitrust.org/cgi/pt?id=mdp.39015076515900;view=1up;seq=223</v>
      </c>
      <c r="T134" s="27" t="s">
        <v>491</v>
      </c>
      <c r="U134" s="4"/>
      <c r="V134" s="4"/>
      <c r="W134" s="4"/>
      <c r="X134" s="4"/>
      <c r="Y134" s="4"/>
      <c r="Z134" s="4"/>
      <c r="AA134" s="4"/>
      <c r="AB134" s="4"/>
    </row>
    <row r="135" spans="1:28" x14ac:dyDescent="0.25">
      <c r="A135" s="27" t="s">
        <v>713</v>
      </c>
      <c r="B135" s="27" t="str">
        <f t="shared" ref="B135:B198" si="11">LEFT(A135,FIND(";",A135)-1)</f>
        <v>Arkansas</v>
      </c>
      <c r="C135" s="27" t="str">
        <f t="shared" ref="C135:C198" si="12">MID(A135,FIND(";",A135)+1,100)</f>
        <v>Sebastian</v>
      </c>
      <c r="D135" s="27">
        <v>6283</v>
      </c>
      <c r="E135" s="2">
        <v>224</v>
      </c>
      <c r="F135" s="27">
        <v>124</v>
      </c>
      <c r="G135" s="2">
        <v>9722</v>
      </c>
      <c r="H135" s="12">
        <f>'AR pre'!U66</f>
        <v>48.374553571428571</v>
      </c>
      <c r="I135" s="2">
        <v>78932.67</v>
      </c>
      <c r="J135" s="27">
        <v>99</v>
      </c>
      <c r="K135" s="27">
        <v>355751.75</v>
      </c>
      <c r="L135" s="27">
        <v>1905</v>
      </c>
      <c r="M135" s="27" t="s">
        <v>488</v>
      </c>
      <c r="N135" s="27" t="s">
        <v>489</v>
      </c>
      <c r="O135" s="27" t="str">
        <f t="shared" si="8"/>
        <v>https://babel.hathitrust.org/cgi/pt?id=mdp.39015076515900;view=1up;seq=220</v>
      </c>
      <c r="P135" s="27" t="s">
        <v>490</v>
      </c>
      <c r="Q135" s="27" t="str">
        <f t="shared" si="9"/>
        <v>https://babel.hathitrust.org/cgi/pt?id=mdp.39015076515900;view=1up;seq=220</v>
      </c>
      <c r="R135" s="27" t="s">
        <v>487</v>
      </c>
      <c r="S135" s="27" t="str">
        <f t="shared" si="10"/>
        <v>https://babel.hathitrust.org/cgi/pt?id=mdp.39015076515900;view=1up;seq=223</v>
      </c>
      <c r="T135" s="27" t="s">
        <v>491</v>
      </c>
      <c r="U135" s="4"/>
      <c r="V135" s="4"/>
      <c r="W135" s="4"/>
      <c r="X135" s="4"/>
      <c r="Y135" s="4"/>
      <c r="Z135" s="4"/>
      <c r="AA135" s="4"/>
      <c r="AB135" s="4"/>
    </row>
    <row r="136" spans="1:28" x14ac:dyDescent="0.25">
      <c r="A136" s="27" t="s">
        <v>714</v>
      </c>
      <c r="B136" s="27" t="str">
        <f t="shared" si="11"/>
        <v>Arkansas</v>
      </c>
      <c r="C136" s="27" t="str">
        <f t="shared" si="12"/>
        <v>Sevier</v>
      </c>
      <c r="D136" s="27">
        <v>3133</v>
      </c>
      <c r="E136" s="2">
        <v>95</v>
      </c>
      <c r="F136" s="27">
        <v>105</v>
      </c>
      <c r="G136" s="2">
        <v>4662</v>
      </c>
      <c r="H136" s="12">
        <f>'AR pre'!U67</f>
        <v>37.210526315789473</v>
      </c>
      <c r="I136" s="2">
        <v>21775.97</v>
      </c>
      <c r="J136" s="27">
        <v>65</v>
      </c>
      <c r="K136" s="27">
        <v>19409</v>
      </c>
      <c r="L136" s="27">
        <v>1905</v>
      </c>
      <c r="M136" s="27" t="s">
        <v>488</v>
      </c>
      <c r="N136" s="27" t="s">
        <v>489</v>
      </c>
      <c r="O136" s="27" t="str">
        <f t="shared" si="8"/>
        <v>https://babel.hathitrust.org/cgi/pt?id=mdp.39015076515900;view=1up;seq=220</v>
      </c>
      <c r="P136" s="27" t="s">
        <v>490</v>
      </c>
      <c r="Q136" s="27" t="str">
        <f t="shared" si="9"/>
        <v>https://babel.hathitrust.org/cgi/pt?id=mdp.39015076515900;view=1up;seq=220</v>
      </c>
      <c r="R136" s="27" t="s">
        <v>487</v>
      </c>
      <c r="S136" s="27" t="str">
        <f t="shared" si="10"/>
        <v>https://babel.hathitrust.org/cgi/pt?id=mdp.39015076515900;view=1up;seq=223</v>
      </c>
      <c r="T136" s="27" t="s">
        <v>491</v>
      </c>
      <c r="U136" s="4"/>
      <c r="V136" s="4"/>
      <c r="W136" s="4"/>
      <c r="X136" s="4"/>
      <c r="Y136" s="4"/>
      <c r="Z136" s="4"/>
      <c r="AA136" s="4"/>
      <c r="AB136" s="4"/>
    </row>
    <row r="137" spans="1:28" x14ac:dyDescent="0.25">
      <c r="A137" s="27" t="s">
        <v>715</v>
      </c>
      <c r="B137" s="27" t="str">
        <f t="shared" si="11"/>
        <v>Arkansas</v>
      </c>
      <c r="C137" s="27" t="str">
        <f t="shared" si="12"/>
        <v>Sharp</v>
      </c>
      <c r="D137" s="27"/>
      <c r="E137" s="2"/>
      <c r="F137" s="27"/>
      <c r="G137" s="27"/>
      <c r="H137" s="12"/>
      <c r="I137" s="2">
        <v>13990.56</v>
      </c>
      <c r="J137" s="27"/>
      <c r="K137" s="27"/>
      <c r="L137" s="27">
        <v>1905</v>
      </c>
      <c r="M137" s="27" t="s">
        <v>488</v>
      </c>
      <c r="N137" s="27" t="s">
        <v>489</v>
      </c>
      <c r="O137" s="27" t="str">
        <f t="shared" ref="O137:O145" si="13">O136</f>
        <v>https://babel.hathitrust.org/cgi/pt?id=mdp.39015076515900;view=1up;seq=220</v>
      </c>
      <c r="P137" s="27" t="s">
        <v>490</v>
      </c>
      <c r="Q137" s="27" t="str">
        <f t="shared" ref="Q137:Q145" si="14">Q136</f>
        <v>https://babel.hathitrust.org/cgi/pt?id=mdp.39015076515900;view=1up;seq=220</v>
      </c>
      <c r="R137" s="27" t="s">
        <v>487</v>
      </c>
      <c r="S137" s="27" t="str">
        <f t="shared" ref="S137:S145" si="15">S136</f>
        <v>https://babel.hathitrust.org/cgi/pt?id=mdp.39015076515900;view=1up;seq=223</v>
      </c>
      <c r="T137" s="27" t="s">
        <v>491</v>
      </c>
      <c r="U137" s="4"/>
      <c r="V137" s="4"/>
      <c r="W137" s="4"/>
      <c r="X137" s="4"/>
      <c r="Y137" s="4"/>
      <c r="Z137" s="4"/>
      <c r="AA137" s="4"/>
      <c r="AB137" s="4"/>
    </row>
    <row r="138" spans="1:28" x14ac:dyDescent="0.25">
      <c r="A138" s="27" t="s">
        <v>1747</v>
      </c>
      <c r="B138" s="27" t="str">
        <f t="shared" si="11"/>
        <v>Arkansas</v>
      </c>
      <c r="C138" s="27" t="str">
        <f t="shared" si="12"/>
        <v>St Francis</v>
      </c>
      <c r="D138" s="27">
        <v>2610</v>
      </c>
      <c r="E138" s="2">
        <v>95</v>
      </c>
      <c r="F138" s="27">
        <v>88</v>
      </c>
      <c r="G138" s="2">
        <v>4197</v>
      </c>
      <c r="H138" s="12">
        <f>'AR pre'!U69</f>
        <v>37.157368421052631</v>
      </c>
      <c r="I138" s="2">
        <v>21579.84</v>
      </c>
      <c r="J138" s="27">
        <v>65</v>
      </c>
      <c r="K138" s="27">
        <v>34766</v>
      </c>
      <c r="L138" s="27">
        <v>1905</v>
      </c>
      <c r="M138" s="27" t="s">
        <v>488</v>
      </c>
      <c r="N138" s="27" t="s">
        <v>489</v>
      </c>
      <c r="O138" s="27" t="str">
        <f t="shared" si="13"/>
        <v>https://babel.hathitrust.org/cgi/pt?id=mdp.39015076515900;view=1up;seq=220</v>
      </c>
      <c r="P138" s="27" t="s">
        <v>490</v>
      </c>
      <c r="Q138" s="27" t="str">
        <f t="shared" si="14"/>
        <v>https://babel.hathitrust.org/cgi/pt?id=mdp.39015076515900;view=1up;seq=220</v>
      </c>
      <c r="R138" s="27" t="s">
        <v>487</v>
      </c>
      <c r="S138" s="27" t="str">
        <f t="shared" si="15"/>
        <v>https://babel.hathitrust.org/cgi/pt?id=mdp.39015076515900;view=1up;seq=223</v>
      </c>
      <c r="T138" s="27" t="s">
        <v>491</v>
      </c>
      <c r="U138" s="4"/>
      <c r="V138" s="4"/>
      <c r="W138" s="4"/>
      <c r="X138" s="4"/>
      <c r="Y138" s="4"/>
      <c r="Z138" s="4"/>
      <c r="AA138" s="4"/>
      <c r="AB138" s="4"/>
    </row>
    <row r="139" spans="1:28" x14ac:dyDescent="0.25">
      <c r="A139" s="27" t="s">
        <v>716</v>
      </c>
      <c r="B139" s="27" t="str">
        <f t="shared" si="11"/>
        <v>Arkansas</v>
      </c>
      <c r="C139" s="27" t="str">
        <f t="shared" si="12"/>
        <v>Stone</v>
      </c>
      <c r="D139" s="27">
        <v>1556</v>
      </c>
      <c r="E139" s="2">
        <v>68</v>
      </c>
      <c r="F139" s="27">
        <v>71</v>
      </c>
      <c r="G139" s="2">
        <v>2484</v>
      </c>
      <c r="H139" s="12">
        <f>'AR pre'!U70</f>
        <v>26.788235294117648</v>
      </c>
      <c r="I139" s="2">
        <v>7131.96</v>
      </c>
      <c r="J139" s="27">
        <v>40</v>
      </c>
      <c r="K139" s="27">
        <v>5865.25</v>
      </c>
      <c r="L139" s="27">
        <v>1905</v>
      </c>
      <c r="M139" s="27" t="s">
        <v>488</v>
      </c>
      <c r="N139" s="27" t="s">
        <v>489</v>
      </c>
      <c r="O139" s="27" t="str">
        <f t="shared" si="13"/>
        <v>https://babel.hathitrust.org/cgi/pt?id=mdp.39015076515900;view=1up;seq=220</v>
      </c>
      <c r="P139" s="27" t="s">
        <v>490</v>
      </c>
      <c r="Q139" s="27" t="str">
        <f t="shared" si="14"/>
        <v>https://babel.hathitrust.org/cgi/pt?id=mdp.39015076515900;view=1up;seq=220</v>
      </c>
      <c r="R139" s="27" t="s">
        <v>487</v>
      </c>
      <c r="S139" s="27" t="str">
        <f t="shared" si="15"/>
        <v>https://babel.hathitrust.org/cgi/pt?id=mdp.39015076515900;view=1up;seq=223</v>
      </c>
      <c r="T139" s="27" t="s">
        <v>491</v>
      </c>
      <c r="U139" s="4"/>
      <c r="V139" s="4"/>
      <c r="W139" s="4"/>
      <c r="X139" s="4"/>
      <c r="Y139" s="4"/>
      <c r="Z139" s="4"/>
      <c r="AA139" s="4"/>
      <c r="AB139" s="4"/>
    </row>
    <row r="140" spans="1:28" x14ac:dyDescent="0.25">
      <c r="A140" s="27" t="s">
        <v>717</v>
      </c>
      <c r="B140" s="27" t="str">
        <f t="shared" si="11"/>
        <v>Arkansas</v>
      </c>
      <c r="C140" s="27" t="str">
        <f t="shared" si="12"/>
        <v>Union</v>
      </c>
      <c r="D140" s="27">
        <v>3690</v>
      </c>
      <c r="E140" s="2">
        <v>159</v>
      </c>
      <c r="F140" s="27">
        <v>79</v>
      </c>
      <c r="G140" s="2">
        <v>5949</v>
      </c>
      <c r="H140" s="12">
        <f>'AR pre'!U71</f>
        <v>40.682389937106919</v>
      </c>
      <c r="I140" s="2">
        <v>27823.18</v>
      </c>
      <c r="J140" s="27">
        <v>118</v>
      </c>
      <c r="K140" s="27">
        <v>32797.599999999999</v>
      </c>
      <c r="L140" s="27">
        <v>1905</v>
      </c>
      <c r="M140" s="27" t="s">
        <v>488</v>
      </c>
      <c r="N140" s="27" t="s">
        <v>489</v>
      </c>
      <c r="O140" s="27" t="str">
        <f t="shared" si="13"/>
        <v>https://babel.hathitrust.org/cgi/pt?id=mdp.39015076515900;view=1up;seq=220</v>
      </c>
      <c r="P140" s="27" t="s">
        <v>490</v>
      </c>
      <c r="Q140" s="27" t="str">
        <f t="shared" si="14"/>
        <v>https://babel.hathitrust.org/cgi/pt?id=mdp.39015076515900;view=1up;seq=220</v>
      </c>
      <c r="R140" s="27" t="s">
        <v>487</v>
      </c>
      <c r="S140" s="27" t="str">
        <f t="shared" si="15"/>
        <v>https://babel.hathitrust.org/cgi/pt?id=mdp.39015076515900;view=1up;seq=223</v>
      </c>
      <c r="T140" s="27" t="s">
        <v>491</v>
      </c>
      <c r="U140" s="4"/>
      <c r="V140" s="4"/>
      <c r="W140" s="4"/>
      <c r="X140" s="4"/>
      <c r="Y140" s="4"/>
      <c r="Z140" s="4"/>
      <c r="AA140" s="4"/>
      <c r="AB140" s="4"/>
    </row>
    <row r="141" spans="1:28" x14ac:dyDescent="0.25">
      <c r="A141" s="27" t="s">
        <v>718</v>
      </c>
      <c r="B141" s="27" t="str">
        <f t="shared" si="11"/>
        <v>Arkansas</v>
      </c>
      <c r="C141" s="27" t="str">
        <f t="shared" si="12"/>
        <v>Van Buren</v>
      </c>
      <c r="D141" s="27">
        <v>2024</v>
      </c>
      <c r="E141" s="2">
        <v>75</v>
      </c>
      <c r="F141" s="27">
        <v>62</v>
      </c>
      <c r="G141" s="2">
        <v>3423</v>
      </c>
      <c r="H141" s="12">
        <f>'AR pre'!U72</f>
        <v>29.702666666666666</v>
      </c>
      <c r="I141" s="2">
        <v>8670.7099999999991</v>
      </c>
      <c r="J141" s="27">
        <v>77</v>
      </c>
      <c r="K141" s="27">
        <v>11213</v>
      </c>
      <c r="L141" s="27">
        <v>1905</v>
      </c>
      <c r="M141" s="27" t="s">
        <v>488</v>
      </c>
      <c r="N141" s="27" t="s">
        <v>489</v>
      </c>
      <c r="O141" s="27" t="str">
        <f t="shared" si="13"/>
        <v>https://babel.hathitrust.org/cgi/pt?id=mdp.39015076515900;view=1up;seq=220</v>
      </c>
      <c r="P141" s="27" t="s">
        <v>490</v>
      </c>
      <c r="Q141" s="27" t="str">
        <f t="shared" si="14"/>
        <v>https://babel.hathitrust.org/cgi/pt?id=mdp.39015076515900;view=1up;seq=220</v>
      </c>
      <c r="R141" s="27" t="s">
        <v>487</v>
      </c>
      <c r="S141" s="27" t="str">
        <f t="shared" si="15"/>
        <v>https://babel.hathitrust.org/cgi/pt?id=mdp.39015076515900;view=1up;seq=223</v>
      </c>
      <c r="T141" s="27" t="s">
        <v>491</v>
      </c>
      <c r="U141" s="4"/>
      <c r="V141" s="4"/>
      <c r="W141" s="4"/>
      <c r="X141" s="4"/>
      <c r="Y141" s="4"/>
      <c r="Z141" s="4"/>
      <c r="AA141" s="4"/>
      <c r="AB141" s="4"/>
    </row>
    <row r="142" spans="1:28" x14ac:dyDescent="0.25">
      <c r="A142" s="27" t="s">
        <v>719</v>
      </c>
      <c r="B142" s="27" t="str">
        <f t="shared" si="11"/>
        <v>Arkansas</v>
      </c>
      <c r="C142" s="27" t="str">
        <f t="shared" si="12"/>
        <v>Washington</v>
      </c>
      <c r="D142" s="27">
        <v>5801</v>
      </c>
      <c r="E142" s="2">
        <v>208</v>
      </c>
      <c r="F142" s="27">
        <v>137</v>
      </c>
      <c r="G142" s="2">
        <v>9311</v>
      </c>
      <c r="H142" s="12">
        <f>'AR pre'!U73</f>
        <v>31.284374999999997</v>
      </c>
      <c r="I142" s="2">
        <v>36601</v>
      </c>
      <c r="J142" s="27">
        <v>155</v>
      </c>
      <c r="K142" s="27">
        <v>92810</v>
      </c>
      <c r="L142" s="27">
        <v>1905</v>
      </c>
      <c r="M142" s="27" t="s">
        <v>488</v>
      </c>
      <c r="N142" s="27" t="s">
        <v>489</v>
      </c>
      <c r="O142" s="27" t="str">
        <f t="shared" si="13"/>
        <v>https://babel.hathitrust.org/cgi/pt?id=mdp.39015076515900;view=1up;seq=220</v>
      </c>
      <c r="P142" s="27" t="s">
        <v>490</v>
      </c>
      <c r="Q142" s="27" t="str">
        <f t="shared" si="14"/>
        <v>https://babel.hathitrust.org/cgi/pt?id=mdp.39015076515900;view=1up;seq=220</v>
      </c>
      <c r="R142" s="27" t="s">
        <v>487</v>
      </c>
      <c r="S142" s="27" t="str">
        <f t="shared" si="15"/>
        <v>https://babel.hathitrust.org/cgi/pt?id=mdp.39015076515900;view=1up;seq=223</v>
      </c>
      <c r="T142" s="27" t="s">
        <v>491</v>
      </c>
      <c r="U142" s="4"/>
      <c r="V142" s="4"/>
      <c r="W142" s="4"/>
      <c r="X142" s="4"/>
      <c r="Y142" s="4"/>
      <c r="Z142" s="4"/>
      <c r="AA142" s="4"/>
      <c r="AB142" s="4"/>
    </row>
    <row r="143" spans="1:28" x14ac:dyDescent="0.25">
      <c r="A143" s="27" t="s">
        <v>720</v>
      </c>
      <c r="B143" s="27" t="str">
        <f t="shared" si="11"/>
        <v>Arkansas</v>
      </c>
      <c r="C143" s="27" t="str">
        <f t="shared" si="12"/>
        <v>White</v>
      </c>
      <c r="D143" s="27">
        <v>3370</v>
      </c>
      <c r="E143" s="2">
        <v>130</v>
      </c>
      <c r="F143" s="27">
        <v>89</v>
      </c>
      <c r="G143" s="2">
        <v>5809</v>
      </c>
      <c r="H143" s="12">
        <f>'AR pre'!U74</f>
        <v>43.260769230769228</v>
      </c>
      <c r="I143" s="2">
        <v>33629.199999999997</v>
      </c>
      <c r="J143" s="27">
        <v>122</v>
      </c>
      <c r="K143" s="27">
        <v>40420</v>
      </c>
      <c r="L143" s="27">
        <v>1905</v>
      </c>
      <c r="M143" s="27" t="s">
        <v>488</v>
      </c>
      <c r="N143" s="27" t="s">
        <v>489</v>
      </c>
      <c r="O143" s="27" t="str">
        <f t="shared" si="13"/>
        <v>https://babel.hathitrust.org/cgi/pt?id=mdp.39015076515900;view=1up;seq=220</v>
      </c>
      <c r="P143" s="27" t="s">
        <v>490</v>
      </c>
      <c r="Q143" s="27" t="str">
        <f t="shared" si="14"/>
        <v>https://babel.hathitrust.org/cgi/pt?id=mdp.39015076515900;view=1up;seq=220</v>
      </c>
      <c r="R143" s="27" t="s">
        <v>487</v>
      </c>
      <c r="S143" s="27" t="str">
        <f t="shared" si="15"/>
        <v>https://babel.hathitrust.org/cgi/pt?id=mdp.39015076515900;view=1up;seq=223</v>
      </c>
      <c r="T143" s="27" t="s">
        <v>491</v>
      </c>
      <c r="U143" s="4"/>
      <c r="V143" s="4"/>
      <c r="W143" s="4"/>
      <c r="X143" s="4"/>
      <c r="Y143" s="4"/>
      <c r="Z143" s="4"/>
      <c r="AA143" s="4"/>
      <c r="AB143" s="4"/>
    </row>
    <row r="144" spans="1:28" x14ac:dyDescent="0.25">
      <c r="A144" s="27" t="s">
        <v>721</v>
      </c>
      <c r="B144" s="27" t="str">
        <f t="shared" si="11"/>
        <v>Arkansas</v>
      </c>
      <c r="C144" s="27" t="str">
        <f t="shared" si="12"/>
        <v>Woodruff</v>
      </c>
      <c r="D144" s="27">
        <v>2358</v>
      </c>
      <c r="E144" s="2">
        <v>92</v>
      </c>
      <c r="F144" s="27">
        <v>93</v>
      </c>
      <c r="G144" s="2">
        <v>3853</v>
      </c>
      <c r="H144" s="12">
        <f>'AR pre'!U75</f>
        <v>39.896739130434781</v>
      </c>
      <c r="I144" s="2">
        <v>25114.36</v>
      </c>
      <c r="J144" s="27">
        <v>45</v>
      </c>
      <c r="K144" s="27">
        <v>25636</v>
      </c>
      <c r="L144" s="27">
        <v>1905</v>
      </c>
      <c r="M144" s="27" t="s">
        <v>488</v>
      </c>
      <c r="N144" s="27" t="s">
        <v>489</v>
      </c>
      <c r="O144" s="27" t="str">
        <f t="shared" si="13"/>
        <v>https://babel.hathitrust.org/cgi/pt?id=mdp.39015076515900;view=1up;seq=220</v>
      </c>
      <c r="P144" s="27" t="s">
        <v>490</v>
      </c>
      <c r="Q144" s="27" t="str">
        <f t="shared" si="14"/>
        <v>https://babel.hathitrust.org/cgi/pt?id=mdp.39015076515900;view=1up;seq=220</v>
      </c>
      <c r="R144" s="27" t="s">
        <v>487</v>
      </c>
      <c r="S144" s="27" t="str">
        <f t="shared" si="15"/>
        <v>https://babel.hathitrust.org/cgi/pt?id=mdp.39015076515900;view=1up;seq=223</v>
      </c>
      <c r="T144" s="27" t="s">
        <v>491</v>
      </c>
      <c r="U144" s="4"/>
      <c r="V144" s="4"/>
      <c r="W144" s="4"/>
      <c r="X144" s="4"/>
      <c r="Y144" s="4"/>
      <c r="Z144" s="4"/>
      <c r="AA144" s="4"/>
      <c r="AB144" s="4"/>
    </row>
    <row r="145" spans="1:28" x14ac:dyDescent="0.25">
      <c r="A145" s="27" t="s">
        <v>722</v>
      </c>
      <c r="B145" s="27" t="str">
        <f t="shared" si="11"/>
        <v>Arkansas</v>
      </c>
      <c r="C145" s="27" t="str">
        <f t="shared" si="12"/>
        <v>Yell</v>
      </c>
      <c r="D145" s="27">
        <v>3270</v>
      </c>
      <c r="E145" s="2">
        <v>143</v>
      </c>
      <c r="F145" s="27">
        <v>103</v>
      </c>
      <c r="G145" s="2">
        <v>5784</v>
      </c>
      <c r="H145" s="12">
        <f>'AR pre'!U76</f>
        <v>37.555944055944053</v>
      </c>
      <c r="I145" s="2">
        <v>30553.32</v>
      </c>
      <c r="J145" s="27">
        <v>87</v>
      </c>
      <c r="K145" s="27">
        <v>50356</v>
      </c>
      <c r="L145" s="27">
        <v>1905</v>
      </c>
      <c r="M145" s="27" t="s">
        <v>488</v>
      </c>
      <c r="N145" s="27" t="s">
        <v>489</v>
      </c>
      <c r="O145" s="27" t="str">
        <f t="shared" si="13"/>
        <v>https://babel.hathitrust.org/cgi/pt?id=mdp.39015076515900;view=1up;seq=220</v>
      </c>
      <c r="P145" s="27" t="s">
        <v>490</v>
      </c>
      <c r="Q145" s="27" t="str">
        <f t="shared" si="14"/>
        <v>https://babel.hathitrust.org/cgi/pt?id=mdp.39015076515900;view=1up;seq=220</v>
      </c>
      <c r="R145" s="27" t="s">
        <v>487</v>
      </c>
      <c r="S145" s="27" t="str">
        <f t="shared" si="15"/>
        <v>https://babel.hathitrust.org/cgi/pt?id=mdp.39015076515900;view=1up;seq=223</v>
      </c>
      <c r="T145" s="27" t="s">
        <v>491</v>
      </c>
      <c r="U145" s="4"/>
      <c r="V145" s="4"/>
      <c r="W145" s="4"/>
      <c r="X145" s="4"/>
      <c r="Y145" s="4"/>
      <c r="Z145" s="4"/>
      <c r="AA145" s="4"/>
      <c r="AB145" s="4"/>
    </row>
    <row r="146" spans="1:28" x14ac:dyDescent="0.25">
      <c r="A146" s="27" t="s">
        <v>1367</v>
      </c>
      <c r="B146" s="27" t="str">
        <f t="shared" si="11"/>
        <v/>
      </c>
      <c r="C146" s="27" t="str">
        <f t="shared" si="12"/>
        <v/>
      </c>
      <c r="D146" s="27"/>
      <c r="E146" s="2"/>
      <c r="F146" s="27"/>
      <c r="G146" s="2"/>
      <c r="H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8" x14ac:dyDescent="0.25">
      <c r="A147" s="27" t="s">
        <v>723</v>
      </c>
      <c r="B147" s="27" t="str">
        <f t="shared" si="11"/>
        <v>Georgia</v>
      </c>
      <c r="C147" s="27" t="str">
        <f t="shared" si="12"/>
        <v>Appling</v>
      </c>
      <c r="D147" s="27">
        <v>1922</v>
      </c>
      <c r="E147" s="2">
        <f>'GA pre'!K2</f>
        <v>80</v>
      </c>
      <c r="F147" s="27">
        <v>80</v>
      </c>
      <c r="G147" s="2">
        <v>2972</v>
      </c>
      <c r="H147" s="28">
        <f>'GA pre'!U2</f>
        <v>23.6875</v>
      </c>
      <c r="I147" s="2">
        <v>7601.22</v>
      </c>
      <c r="J147" s="27">
        <v>80</v>
      </c>
      <c r="K147" s="2">
        <f>'GA pre'!AB2</f>
        <v>17650</v>
      </c>
      <c r="L147" s="23">
        <v>1905</v>
      </c>
      <c r="M147" s="27" t="s">
        <v>492</v>
      </c>
      <c r="N147" s="27" t="s">
        <v>493</v>
      </c>
      <c r="O147" s="27" t="s">
        <v>492</v>
      </c>
      <c r="P147" s="27" t="s">
        <v>492</v>
      </c>
      <c r="Q147" s="27" t="s">
        <v>2556</v>
      </c>
      <c r="R147" s="27" t="s">
        <v>494</v>
      </c>
      <c r="S147" s="27" t="s">
        <v>492</v>
      </c>
      <c r="T147" s="27" t="s">
        <v>2394</v>
      </c>
      <c r="U147" s="4"/>
      <c r="V147" s="4"/>
      <c r="W147" s="4"/>
      <c r="X147" s="4"/>
      <c r="Y147" s="4"/>
      <c r="Z147" s="4"/>
      <c r="AA147" s="4"/>
      <c r="AB147" s="4"/>
    </row>
    <row r="148" spans="1:28" x14ac:dyDescent="0.25">
      <c r="A148" s="27" t="s">
        <v>726</v>
      </c>
      <c r="B148" s="27" t="str">
        <f t="shared" si="11"/>
        <v>Georgia</v>
      </c>
      <c r="C148" s="27" t="str">
        <f t="shared" si="12"/>
        <v>Baker</v>
      </c>
      <c r="D148" s="27">
        <v>1309</v>
      </c>
      <c r="E148" s="2">
        <f>'GA pre'!K3</f>
        <v>39</v>
      </c>
      <c r="F148" s="27">
        <v>100</v>
      </c>
      <c r="G148" s="2">
        <v>1621</v>
      </c>
      <c r="H148" s="28">
        <f>'GA pre'!U3</f>
        <v>28.076923076923077</v>
      </c>
      <c r="I148" s="2">
        <v>5965.3</v>
      </c>
      <c r="J148" s="27">
        <v>38</v>
      </c>
      <c r="K148" s="2">
        <f>'GA pre'!AB3</f>
        <v>5040</v>
      </c>
      <c r="L148" s="23">
        <v>1905</v>
      </c>
      <c r="M148" s="27" t="s">
        <v>492</v>
      </c>
      <c r="N148" s="27" t="s">
        <v>493</v>
      </c>
      <c r="O148" s="27" t="str">
        <f>O147</f>
        <v>http://hdl.handle.net/2027/uc1.b2986586?urlappend=%3Bseq=313</v>
      </c>
      <c r="P148" s="27" t="s">
        <v>492</v>
      </c>
      <c r="Q148" s="27" t="str">
        <f>Q147</f>
        <v>https://babel.hathitrust.org/cgi/pt?id=uc1.b2986586;view=1up;seq=306</v>
      </c>
      <c r="R148" s="27" t="s">
        <v>494</v>
      </c>
      <c r="S148" s="27" t="s">
        <v>492</v>
      </c>
      <c r="T148" s="27" t="str">
        <f>T147</f>
        <v>https://babel.hathitrust.org/cgi/pt?id=uc1.b2986586;view=1up;seq=318</v>
      </c>
      <c r="U148" s="4"/>
      <c r="V148" s="4"/>
      <c r="W148" s="4"/>
      <c r="X148" s="4"/>
      <c r="Y148" s="4"/>
      <c r="Z148" s="4"/>
      <c r="AA148" s="4"/>
      <c r="AB148" s="4"/>
    </row>
    <row r="149" spans="1:28" x14ac:dyDescent="0.25">
      <c r="A149" s="27" t="s">
        <v>727</v>
      </c>
      <c r="B149" s="27" t="str">
        <f t="shared" si="11"/>
        <v>Georgia</v>
      </c>
      <c r="C149" s="27" t="str">
        <f t="shared" si="12"/>
        <v>Baldwin</v>
      </c>
      <c r="D149" s="27">
        <v>1988</v>
      </c>
      <c r="E149" s="2">
        <f>'GA pre'!K4</f>
        <v>64</v>
      </c>
      <c r="F149" s="27">
        <v>140</v>
      </c>
      <c r="G149" s="2">
        <v>3164</v>
      </c>
      <c r="H149" s="28">
        <f>'GA pre'!U4</f>
        <v>29</v>
      </c>
      <c r="I149" s="2">
        <v>11390.94</v>
      </c>
      <c r="J149" s="27">
        <v>48</v>
      </c>
      <c r="K149" s="2">
        <f>'GA pre'!AB4</f>
        <v>37500</v>
      </c>
      <c r="L149" s="23">
        <v>1905</v>
      </c>
      <c r="M149" s="27" t="s">
        <v>492</v>
      </c>
      <c r="N149" s="27" t="s">
        <v>493</v>
      </c>
      <c r="O149" s="27" t="str">
        <f t="shared" ref="O149:O212" si="16">O148</f>
        <v>http://hdl.handle.net/2027/uc1.b2986586?urlappend=%3Bseq=313</v>
      </c>
      <c r="P149" s="27" t="s">
        <v>492</v>
      </c>
      <c r="Q149" s="27" t="str">
        <f t="shared" ref="Q149:Q212" si="17">Q148</f>
        <v>https://babel.hathitrust.org/cgi/pt?id=uc1.b2986586;view=1up;seq=306</v>
      </c>
      <c r="R149" s="27" t="s">
        <v>494</v>
      </c>
      <c r="S149" s="27" t="s">
        <v>492</v>
      </c>
      <c r="T149" s="27" t="str">
        <f t="shared" ref="T149:T212" si="18">T148</f>
        <v>https://babel.hathitrust.org/cgi/pt?id=uc1.b2986586;view=1up;seq=318</v>
      </c>
      <c r="U149" s="4"/>
      <c r="V149" s="4"/>
      <c r="W149" s="4"/>
      <c r="X149" s="4"/>
      <c r="Y149" s="4"/>
      <c r="Z149" s="4"/>
      <c r="AA149" s="4"/>
      <c r="AB149" s="4"/>
    </row>
    <row r="150" spans="1:28" x14ac:dyDescent="0.25">
      <c r="A150" s="27" t="s">
        <v>728</v>
      </c>
      <c r="B150" s="27" t="str">
        <f t="shared" si="11"/>
        <v>Georgia</v>
      </c>
      <c r="C150" s="27" t="str">
        <f t="shared" si="12"/>
        <v>Banks</v>
      </c>
      <c r="D150" s="27">
        <v>1360</v>
      </c>
      <c r="E150" s="2">
        <f>'GA pre'!K5</f>
        <v>52</v>
      </c>
      <c r="F150" s="27">
        <v>100</v>
      </c>
      <c r="G150" s="2">
        <v>2819</v>
      </c>
      <c r="H150" s="28">
        <f>'GA pre'!U5</f>
        <v>24.521538461538462</v>
      </c>
      <c r="I150" s="2">
        <v>7642.36</v>
      </c>
      <c r="J150" s="27">
        <v>46</v>
      </c>
      <c r="K150" s="2">
        <f>'GA pre'!AB5</f>
        <v>9650</v>
      </c>
      <c r="L150" s="23">
        <v>1905</v>
      </c>
      <c r="M150" s="27" t="s">
        <v>492</v>
      </c>
      <c r="N150" s="27" t="s">
        <v>493</v>
      </c>
      <c r="O150" s="27" t="str">
        <f t="shared" si="16"/>
        <v>http://hdl.handle.net/2027/uc1.b2986586?urlappend=%3Bseq=313</v>
      </c>
      <c r="P150" s="27" t="s">
        <v>492</v>
      </c>
      <c r="Q150" s="27" t="str">
        <f t="shared" si="17"/>
        <v>https://babel.hathitrust.org/cgi/pt?id=uc1.b2986586;view=1up;seq=306</v>
      </c>
      <c r="R150" s="27" t="s">
        <v>494</v>
      </c>
      <c r="S150" s="27" t="s">
        <v>492</v>
      </c>
      <c r="T150" s="27" t="str">
        <f t="shared" si="18"/>
        <v>https://babel.hathitrust.org/cgi/pt?id=uc1.b2986586;view=1up;seq=318</v>
      </c>
      <c r="U150" s="4"/>
      <c r="V150" s="4"/>
      <c r="W150" s="4"/>
      <c r="X150" s="4"/>
      <c r="Y150" s="4"/>
      <c r="Z150" s="4"/>
      <c r="AA150" s="4"/>
      <c r="AB150" s="4"/>
    </row>
    <row r="151" spans="1:28" x14ac:dyDescent="0.25">
      <c r="A151" s="27" t="s">
        <v>1778</v>
      </c>
      <c r="B151" s="27" t="str">
        <f t="shared" si="11"/>
        <v>Georgia</v>
      </c>
      <c r="C151" s="27" t="str">
        <f t="shared" si="12"/>
        <v>Bartow/Cass</v>
      </c>
      <c r="D151" s="27">
        <v>2107</v>
      </c>
      <c r="E151" s="2">
        <f>'GA pre'!K6</f>
        <v>63</v>
      </c>
      <c r="F151" s="27">
        <v>100</v>
      </c>
      <c r="G151" s="2">
        <v>4456</v>
      </c>
      <c r="H151" s="28">
        <f>'GA pre'!U6</f>
        <v>27.38095238095238</v>
      </c>
      <c r="I151" s="2">
        <v>14979.8</v>
      </c>
      <c r="J151" s="27">
        <v>61</v>
      </c>
      <c r="K151" s="2">
        <f>'GA pre'!AB6</f>
        <v>25880</v>
      </c>
      <c r="L151" s="23">
        <v>1905</v>
      </c>
      <c r="M151" s="27" t="s">
        <v>492</v>
      </c>
      <c r="N151" s="27" t="s">
        <v>493</v>
      </c>
      <c r="O151" s="27" t="str">
        <f t="shared" si="16"/>
        <v>http://hdl.handle.net/2027/uc1.b2986586?urlappend=%3Bseq=313</v>
      </c>
      <c r="P151" s="27" t="s">
        <v>492</v>
      </c>
      <c r="Q151" s="27" t="str">
        <f t="shared" si="17"/>
        <v>https://babel.hathitrust.org/cgi/pt?id=uc1.b2986586;view=1up;seq=306</v>
      </c>
      <c r="R151" s="27" t="s">
        <v>494</v>
      </c>
      <c r="S151" s="27" t="s">
        <v>492</v>
      </c>
      <c r="T151" s="27" t="str">
        <f t="shared" si="18"/>
        <v>https://babel.hathitrust.org/cgi/pt?id=uc1.b2986586;view=1up;seq=318</v>
      </c>
      <c r="U151" s="4"/>
      <c r="V151" s="4"/>
      <c r="W151" s="4"/>
      <c r="X151" s="4"/>
      <c r="Y151" s="4"/>
      <c r="Z151" s="4"/>
      <c r="AA151" s="4"/>
      <c r="AB151" s="4"/>
    </row>
    <row r="152" spans="1:28" x14ac:dyDescent="0.25">
      <c r="A152" s="27" t="s">
        <v>731</v>
      </c>
      <c r="B152" s="27" t="str">
        <f t="shared" si="11"/>
        <v>Georgia</v>
      </c>
      <c r="C152" s="27" t="str">
        <f t="shared" si="12"/>
        <v>Berrien</v>
      </c>
      <c r="D152" s="27">
        <v>4000</v>
      </c>
      <c r="E152" s="2">
        <f>'GA pre'!K7</f>
        <v>90</v>
      </c>
      <c r="F152" s="27">
        <v>100</v>
      </c>
      <c r="G152" s="2">
        <v>5900</v>
      </c>
      <c r="H152" s="28">
        <f>'GA pre'!U7</f>
        <v>27.222222222222221</v>
      </c>
      <c r="I152" s="2">
        <v>12167.76</v>
      </c>
      <c r="J152" s="27">
        <v>75</v>
      </c>
      <c r="K152" s="2">
        <f>'GA pre'!AB7</f>
        <v>51000</v>
      </c>
      <c r="L152" s="23">
        <v>1905</v>
      </c>
      <c r="M152" s="27" t="s">
        <v>492</v>
      </c>
      <c r="N152" s="27" t="s">
        <v>493</v>
      </c>
      <c r="O152" s="27" t="str">
        <f t="shared" si="16"/>
        <v>http://hdl.handle.net/2027/uc1.b2986586?urlappend=%3Bseq=313</v>
      </c>
      <c r="P152" s="27" t="s">
        <v>492</v>
      </c>
      <c r="Q152" s="27" t="str">
        <f t="shared" si="17"/>
        <v>https://babel.hathitrust.org/cgi/pt?id=uc1.b2986586;view=1up;seq=306</v>
      </c>
      <c r="R152" s="27" t="s">
        <v>494</v>
      </c>
      <c r="S152" s="27" t="s">
        <v>492</v>
      </c>
      <c r="T152" s="27" t="str">
        <f t="shared" si="18"/>
        <v>https://babel.hathitrust.org/cgi/pt?id=uc1.b2986586;view=1up;seq=318</v>
      </c>
      <c r="U152" s="4"/>
      <c r="V152" s="4"/>
      <c r="W152" s="4"/>
      <c r="X152" s="4"/>
      <c r="Y152" s="4"/>
      <c r="Z152" s="4"/>
      <c r="AA152" s="4"/>
      <c r="AB152" s="4"/>
    </row>
    <row r="153" spans="1:28" x14ac:dyDescent="0.25">
      <c r="A153" s="27" t="s">
        <v>735</v>
      </c>
      <c r="B153" s="27" t="str">
        <f t="shared" si="11"/>
        <v>Georgia</v>
      </c>
      <c r="C153" s="27" t="str">
        <f t="shared" si="12"/>
        <v>Brooks</v>
      </c>
      <c r="D153" s="27">
        <v>1697</v>
      </c>
      <c r="E153" s="2">
        <f>'GA pre'!K8</f>
        <v>69</v>
      </c>
      <c r="F153" s="27">
        <v>120</v>
      </c>
      <c r="G153" s="2">
        <v>3290</v>
      </c>
      <c r="H153" s="28">
        <f>'GA pre'!U8</f>
        <v>26.304347826086957</v>
      </c>
      <c r="I153" s="2">
        <v>14490.96</v>
      </c>
      <c r="J153" s="27">
        <v>70</v>
      </c>
      <c r="K153" s="2">
        <f>'GA pre'!AB8</f>
        <v>14500</v>
      </c>
      <c r="L153" s="23">
        <v>1905</v>
      </c>
      <c r="M153" s="27" t="s">
        <v>492</v>
      </c>
      <c r="N153" s="27" t="s">
        <v>493</v>
      </c>
      <c r="O153" s="27" t="str">
        <f t="shared" si="16"/>
        <v>http://hdl.handle.net/2027/uc1.b2986586?urlappend=%3Bseq=313</v>
      </c>
      <c r="P153" s="27" t="s">
        <v>492</v>
      </c>
      <c r="Q153" s="27" t="str">
        <f t="shared" si="17"/>
        <v>https://babel.hathitrust.org/cgi/pt?id=uc1.b2986586;view=1up;seq=306</v>
      </c>
      <c r="R153" s="27" t="s">
        <v>494</v>
      </c>
      <c r="S153" s="27" t="s">
        <v>492</v>
      </c>
      <c r="T153" s="27" t="str">
        <f t="shared" si="18"/>
        <v>https://babel.hathitrust.org/cgi/pt?id=uc1.b2986586;view=1up;seq=318</v>
      </c>
      <c r="U153" s="4"/>
      <c r="V153" s="4"/>
      <c r="W153" s="4"/>
      <c r="X153" s="4"/>
      <c r="Y153" s="4"/>
      <c r="Z153" s="4"/>
      <c r="AA153" s="4"/>
      <c r="AB153" s="4"/>
    </row>
    <row r="154" spans="1:28" x14ac:dyDescent="0.25">
      <c r="A154" s="27" t="s">
        <v>736</v>
      </c>
      <c r="B154" s="27" t="str">
        <f t="shared" si="11"/>
        <v>Georgia</v>
      </c>
      <c r="C154" s="27" t="str">
        <f t="shared" si="12"/>
        <v>Bryan</v>
      </c>
      <c r="D154" s="27">
        <v>884</v>
      </c>
      <c r="E154" s="2">
        <f>'GA pre'!K9</f>
        <v>43</v>
      </c>
      <c r="F154" s="27">
        <v>100</v>
      </c>
      <c r="G154" s="2">
        <v>1495</v>
      </c>
      <c r="H154" s="28">
        <f>'GA pre'!U9</f>
        <v>22.302325581395348</v>
      </c>
      <c r="I154" s="2">
        <v>4554.4399999999996</v>
      </c>
      <c r="J154" s="27">
        <v>39</v>
      </c>
      <c r="K154" s="2">
        <f>'GA pre'!AB9</f>
        <v>8625</v>
      </c>
      <c r="L154" s="23">
        <v>1905</v>
      </c>
      <c r="M154" s="27" t="s">
        <v>492</v>
      </c>
      <c r="N154" s="27" t="s">
        <v>493</v>
      </c>
      <c r="O154" s="27" t="str">
        <f t="shared" si="16"/>
        <v>http://hdl.handle.net/2027/uc1.b2986586?urlappend=%3Bseq=313</v>
      </c>
      <c r="P154" s="27" t="s">
        <v>492</v>
      </c>
      <c r="Q154" s="27" t="str">
        <f t="shared" si="17"/>
        <v>https://babel.hathitrust.org/cgi/pt?id=uc1.b2986586;view=1up;seq=306</v>
      </c>
      <c r="R154" s="27" t="s">
        <v>494</v>
      </c>
      <c r="S154" s="27" t="s">
        <v>492</v>
      </c>
      <c r="T154" s="27" t="str">
        <f t="shared" si="18"/>
        <v>https://babel.hathitrust.org/cgi/pt?id=uc1.b2986586;view=1up;seq=318</v>
      </c>
      <c r="U154" s="4"/>
      <c r="V154" s="4"/>
      <c r="W154" s="4"/>
      <c r="X154" s="4"/>
      <c r="Y154" s="4"/>
      <c r="Z154" s="4"/>
      <c r="AA154" s="4"/>
      <c r="AB154" s="4"/>
    </row>
    <row r="155" spans="1:28" x14ac:dyDescent="0.25">
      <c r="A155" s="27" t="s">
        <v>737</v>
      </c>
      <c r="B155" s="27" t="str">
        <f t="shared" si="11"/>
        <v>Georgia</v>
      </c>
      <c r="C155" s="27" t="str">
        <f t="shared" si="12"/>
        <v>Bulloch</v>
      </c>
      <c r="D155" s="27">
        <v>3268</v>
      </c>
      <c r="E155" s="2">
        <f>'GA pre'!K10</f>
        <v>121</v>
      </c>
      <c r="F155" s="27">
        <v>100</v>
      </c>
      <c r="G155" s="2">
        <v>4778</v>
      </c>
      <c r="H155" s="28">
        <f>'GA pre'!U10</f>
        <v>26.239669421487605</v>
      </c>
      <c r="I155" s="2">
        <v>16889.18</v>
      </c>
      <c r="J155" s="27">
        <v>107</v>
      </c>
      <c r="K155" s="2">
        <f>'GA pre'!AB10</f>
        <v>29400</v>
      </c>
      <c r="L155" s="23">
        <v>1905</v>
      </c>
      <c r="M155" s="27" t="s">
        <v>492</v>
      </c>
      <c r="N155" s="27" t="s">
        <v>493</v>
      </c>
      <c r="O155" s="27" t="str">
        <f t="shared" si="16"/>
        <v>http://hdl.handle.net/2027/uc1.b2986586?urlappend=%3Bseq=313</v>
      </c>
      <c r="P155" s="27" t="s">
        <v>492</v>
      </c>
      <c r="Q155" s="27" t="str">
        <f t="shared" si="17"/>
        <v>https://babel.hathitrust.org/cgi/pt?id=uc1.b2986586;view=1up;seq=306</v>
      </c>
      <c r="R155" s="27" t="s">
        <v>494</v>
      </c>
      <c r="S155" s="27" t="s">
        <v>492</v>
      </c>
      <c r="T155" s="27" t="str">
        <f t="shared" si="18"/>
        <v>https://babel.hathitrust.org/cgi/pt?id=uc1.b2986586;view=1up;seq=318</v>
      </c>
      <c r="U155" s="4"/>
      <c r="V155" s="4"/>
      <c r="W155" s="4"/>
      <c r="X155" s="4"/>
      <c r="Y155" s="4"/>
      <c r="Z155" s="4"/>
      <c r="AA155" s="4"/>
      <c r="AB155" s="4"/>
    </row>
    <row r="156" spans="1:28" x14ac:dyDescent="0.25">
      <c r="A156" s="27" t="s">
        <v>738</v>
      </c>
      <c r="B156" s="27" t="str">
        <f t="shared" si="11"/>
        <v>Georgia</v>
      </c>
      <c r="C156" s="27" t="str">
        <f t="shared" si="12"/>
        <v>Burke</v>
      </c>
      <c r="D156" s="27">
        <v>3562</v>
      </c>
      <c r="E156" s="2">
        <f>'GA pre'!K11</f>
        <v>121</v>
      </c>
      <c r="F156" s="27">
        <v>120</v>
      </c>
      <c r="G156" s="2">
        <v>7562</v>
      </c>
      <c r="H156" s="28">
        <f>'GA pre'!U11</f>
        <v>30.132231404958677</v>
      </c>
      <c r="I156" s="2">
        <v>21479.919999999998</v>
      </c>
      <c r="J156" s="27">
        <v>108</v>
      </c>
      <c r="K156" s="2">
        <f>'GA pre'!AB11</f>
        <v>59733</v>
      </c>
      <c r="L156" s="23">
        <v>1905</v>
      </c>
      <c r="M156" s="27" t="s">
        <v>492</v>
      </c>
      <c r="N156" s="27" t="s">
        <v>493</v>
      </c>
      <c r="O156" s="27" t="str">
        <f t="shared" si="16"/>
        <v>http://hdl.handle.net/2027/uc1.b2986586?urlappend=%3Bseq=313</v>
      </c>
      <c r="P156" s="27" t="s">
        <v>492</v>
      </c>
      <c r="Q156" s="27" t="str">
        <f t="shared" si="17"/>
        <v>https://babel.hathitrust.org/cgi/pt?id=uc1.b2986586;view=1up;seq=306</v>
      </c>
      <c r="R156" s="27" t="s">
        <v>494</v>
      </c>
      <c r="S156" s="27" t="s">
        <v>492</v>
      </c>
      <c r="T156" s="27" t="str">
        <f t="shared" si="18"/>
        <v>https://babel.hathitrust.org/cgi/pt?id=uc1.b2986586;view=1up;seq=318</v>
      </c>
      <c r="U156" s="4"/>
      <c r="V156" s="4"/>
      <c r="W156" s="4"/>
      <c r="X156" s="4"/>
      <c r="Y156" s="4"/>
      <c r="Z156" s="4"/>
      <c r="AA156" s="4"/>
      <c r="AB156" s="4"/>
    </row>
    <row r="157" spans="1:28" x14ac:dyDescent="0.25">
      <c r="A157" s="27" t="s">
        <v>739</v>
      </c>
      <c r="B157" s="27" t="str">
        <f t="shared" si="11"/>
        <v>Georgia</v>
      </c>
      <c r="C157" s="27" t="str">
        <f t="shared" si="12"/>
        <v>Butts</v>
      </c>
      <c r="D157" s="27">
        <v>1374</v>
      </c>
      <c r="E157" s="2">
        <f>'GA pre'!K12</f>
        <v>61</v>
      </c>
      <c r="F157" s="27">
        <v>120</v>
      </c>
      <c r="G157" s="2">
        <v>2823</v>
      </c>
      <c r="H157" s="28">
        <f>'GA pre'!U12</f>
        <v>29.377049180327869</v>
      </c>
      <c r="I157" s="2">
        <v>9561.42</v>
      </c>
      <c r="J157" s="27">
        <v>42</v>
      </c>
      <c r="K157" s="2">
        <f>'GA pre'!AB12</f>
        <v>15000</v>
      </c>
      <c r="L157" s="23">
        <v>1905</v>
      </c>
      <c r="M157" s="27" t="s">
        <v>492</v>
      </c>
      <c r="N157" s="27" t="s">
        <v>493</v>
      </c>
      <c r="O157" s="27" t="str">
        <f t="shared" si="16"/>
        <v>http://hdl.handle.net/2027/uc1.b2986586?urlappend=%3Bseq=313</v>
      </c>
      <c r="P157" s="27" t="s">
        <v>492</v>
      </c>
      <c r="Q157" s="27" t="str">
        <f t="shared" si="17"/>
        <v>https://babel.hathitrust.org/cgi/pt?id=uc1.b2986586;view=1up;seq=306</v>
      </c>
      <c r="R157" s="27" t="s">
        <v>494</v>
      </c>
      <c r="S157" s="27" t="s">
        <v>492</v>
      </c>
      <c r="T157" s="27" t="str">
        <f t="shared" si="18"/>
        <v>https://babel.hathitrust.org/cgi/pt?id=uc1.b2986586;view=1up;seq=318</v>
      </c>
      <c r="U157" s="4"/>
      <c r="V157" s="4"/>
      <c r="W157" s="4"/>
      <c r="X157" s="4"/>
      <c r="Y157" s="4"/>
      <c r="Z157" s="4"/>
      <c r="AA157" s="4"/>
      <c r="AB157" s="4"/>
    </row>
    <row r="158" spans="1:28" x14ac:dyDescent="0.25">
      <c r="A158" s="27" t="s">
        <v>740</v>
      </c>
      <c r="B158" s="27" t="str">
        <f t="shared" si="11"/>
        <v>Georgia</v>
      </c>
      <c r="C158" s="27" t="str">
        <f t="shared" si="12"/>
        <v>Calhoun</v>
      </c>
      <c r="D158" s="27">
        <v>1275</v>
      </c>
      <c r="E158" s="2">
        <f>'GA pre'!K13</f>
        <v>38</v>
      </c>
      <c r="F158" s="27">
        <v>100</v>
      </c>
      <c r="G158" s="2">
        <v>2856</v>
      </c>
      <c r="H158" s="28">
        <f>'GA pre'!U13</f>
        <v>27.236842105263158</v>
      </c>
      <c r="I158" s="2">
        <v>8370.7800000000007</v>
      </c>
      <c r="J158" s="27">
        <v>35</v>
      </c>
      <c r="K158" s="2">
        <f>'GA pre'!AB13</f>
        <v>15950</v>
      </c>
      <c r="L158" s="23">
        <v>1905</v>
      </c>
      <c r="M158" s="27" t="s">
        <v>492</v>
      </c>
      <c r="N158" s="27" t="s">
        <v>493</v>
      </c>
      <c r="O158" s="27" t="str">
        <f t="shared" si="16"/>
        <v>http://hdl.handle.net/2027/uc1.b2986586?urlappend=%3Bseq=313</v>
      </c>
      <c r="P158" s="27" t="s">
        <v>492</v>
      </c>
      <c r="Q158" s="27" t="str">
        <f t="shared" si="17"/>
        <v>https://babel.hathitrust.org/cgi/pt?id=uc1.b2986586;view=1up;seq=306</v>
      </c>
      <c r="R158" s="27" t="s">
        <v>494</v>
      </c>
      <c r="S158" s="27" t="s">
        <v>492</v>
      </c>
      <c r="T158" s="27" t="str">
        <f t="shared" si="18"/>
        <v>https://babel.hathitrust.org/cgi/pt?id=uc1.b2986586;view=1up;seq=318</v>
      </c>
      <c r="U158" s="4"/>
      <c r="V158" s="4"/>
      <c r="W158" s="4"/>
      <c r="X158" s="4"/>
      <c r="Y158" s="4"/>
      <c r="Z158" s="4"/>
      <c r="AA158" s="4"/>
      <c r="AB158" s="4"/>
    </row>
    <row r="159" spans="1:28" x14ac:dyDescent="0.25">
      <c r="A159" s="27" t="s">
        <v>741</v>
      </c>
      <c r="B159" s="27" t="str">
        <f t="shared" si="11"/>
        <v>Georgia</v>
      </c>
      <c r="C159" s="27" t="str">
        <f t="shared" si="12"/>
        <v>Camden</v>
      </c>
      <c r="D159" s="27">
        <v>1155</v>
      </c>
      <c r="E159" s="2">
        <f>'GA pre'!K14</f>
        <v>77</v>
      </c>
      <c r="F159" s="27">
        <v>100</v>
      </c>
      <c r="G159" s="2">
        <v>1562</v>
      </c>
      <c r="H159" s="28">
        <f>'GA pre'!U14</f>
        <v>18.663376623376621</v>
      </c>
      <c r="I159" s="2">
        <v>5481.3</v>
      </c>
      <c r="J159" s="27">
        <v>52</v>
      </c>
      <c r="K159" s="2">
        <f>'GA pre'!AB14</f>
        <v>4850</v>
      </c>
      <c r="L159" s="23">
        <v>1905</v>
      </c>
      <c r="M159" s="27" t="s">
        <v>492</v>
      </c>
      <c r="N159" s="27" t="s">
        <v>493</v>
      </c>
      <c r="O159" s="27" t="str">
        <f t="shared" si="16"/>
        <v>http://hdl.handle.net/2027/uc1.b2986586?urlappend=%3Bseq=313</v>
      </c>
      <c r="P159" s="27" t="s">
        <v>492</v>
      </c>
      <c r="Q159" s="27" t="str">
        <f t="shared" si="17"/>
        <v>https://babel.hathitrust.org/cgi/pt?id=uc1.b2986586;view=1up;seq=306</v>
      </c>
      <c r="R159" s="27" t="s">
        <v>494</v>
      </c>
      <c r="S159" s="27" t="s">
        <v>492</v>
      </c>
      <c r="T159" s="27" t="str">
        <f t="shared" si="18"/>
        <v>https://babel.hathitrust.org/cgi/pt?id=uc1.b2986586;view=1up;seq=318</v>
      </c>
      <c r="U159" s="4"/>
      <c r="V159" s="4"/>
      <c r="W159" s="4"/>
      <c r="X159" s="4"/>
      <c r="Y159" s="4"/>
      <c r="Z159" s="4"/>
      <c r="AA159" s="4"/>
      <c r="AB159" s="4"/>
    </row>
    <row r="160" spans="1:28" x14ac:dyDescent="0.25">
      <c r="A160" s="27" t="s">
        <v>742</v>
      </c>
      <c r="B160" s="27" t="str">
        <f t="shared" si="11"/>
        <v>Georgia</v>
      </c>
      <c r="C160" s="27" t="str">
        <f t="shared" si="12"/>
        <v>Campbell</v>
      </c>
      <c r="D160" s="27">
        <v>1590</v>
      </c>
      <c r="E160" s="2">
        <f>'GA pre'!K15</f>
        <v>55</v>
      </c>
      <c r="F160" s="27">
        <v>120</v>
      </c>
      <c r="G160" s="2">
        <v>3110</v>
      </c>
      <c r="H160" s="28">
        <f>'GA pre'!U15</f>
        <v>28.8</v>
      </c>
      <c r="I160" s="2">
        <v>8198.9599999999991</v>
      </c>
      <c r="J160" s="27">
        <v>40</v>
      </c>
      <c r="K160" s="2">
        <f>'GA pre'!AB15</f>
        <v>12100</v>
      </c>
      <c r="L160" s="23">
        <v>1905</v>
      </c>
      <c r="M160" s="27" t="s">
        <v>492</v>
      </c>
      <c r="N160" s="27" t="s">
        <v>493</v>
      </c>
      <c r="O160" s="27" t="str">
        <f t="shared" si="16"/>
        <v>http://hdl.handle.net/2027/uc1.b2986586?urlappend=%3Bseq=313</v>
      </c>
      <c r="P160" s="27" t="s">
        <v>492</v>
      </c>
      <c r="Q160" s="27" t="str">
        <f t="shared" si="17"/>
        <v>https://babel.hathitrust.org/cgi/pt?id=uc1.b2986586;view=1up;seq=306</v>
      </c>
      <c r="R160" s="27" t="s">
        <v>494</v>
      </c>
      <c r="S160" s="27" t="s">
        <v>492</v>
      </c>
      <c r="T160" s="27" t="str">
        <f t="shared" si="18"/>
        <v>https://babel.hathitrust.org/cgi/pt?id=uc1.b2986586;view=1up;seq=318</v>
      </c>
      <c r="U160" s="4"/>
      <c r="V160" s="4"/>
      <c r="W160" s="4"/>
      <c r="X160" s="4"/>
      <c r="Y160" s="4"/>
      <c r="Z160" s="4"/>
      <c r="AA160" s="4"/>
      <c r="AB160" s="4"/>
    </row>
    <row r="161" spans="1:28" x14ac:dyDescent="0.25">
      <c r="A161" s="27" t="s">
        <v>744</v>
      </c>
      <c r="B161" s="27" t="str">
        <f t="shared" si="11"/>
        <v>Georgia</v>
      </c>
      <c r="C161" s="27" t="str">
        <f t="shared" si="12"/>
        <v>Carroll</v>
      </c>
      <c r="D161" s="27">
        <v>5224</v>
      </c>
      <c r="E161" s="2">
        <f>'GA pre'!K16</f>
        <v>151</v>
      </c>
      <c r="F161" s="27">
        <v>100</v>
      </c>
      <c r="G161" s="2">
        <v>7614</v>
      </c>
      <c r="H161" s="28">
        <f>'GA pre'!U16</f>
        <v>32.019867549668874</v>
      </c>
      <c r="I161" s="2">
        <v>20906.38</v>
      </c>
      <c r="J161" s="27">
        <v>99</v>
      </c>
      <c r="K161" s="2">
        <f>'GA pre'!AB16</f>
        <v>62200</v>
      </c>
      <c r="L161" s="23">
        <v>1905</v>
      </c>
      <c r="M161" s="27" t="s">
        <v>492</v>
      </c>
      <c r="N161" s="27" t="s">
        <v>493</v>
      </c>
      <c r="O161" s="27" t="str">
        <f t="shared" si="16"/>
        <v>http://hdl.handle.net/2027/uc1.b2986586?urlappend=%3Bseq=313</v>
      </c>
      <c r="P161" s="27" t="s">
        <v>492</v>
      </c>
      <c r="Q161" s="27" t="str">
        <f t="shared" si="17"/>
        <v>https://babel.hathitrust.org/cgi/pt?id=uc1.b2986586;view=1up;seq=306</v>
      </c>
      <c r="R161" s="27" t="s">
        <v>494</v>
      </c>
      <c r="S161" s="27" t="s">
        <v>492</v>
      </c>
      <c r="T161" s="27" t="str">
        <f t="shared" si="18"/>
        <v>https://babel.hathitrust.org/cgi/pt?id=uc1.b2986586;view=1up;seq=318</v>
      </c>
      <c r="U161" s="4"/>
      <c r="V161" s="4"/>
      <c r="W161" s="4"/>
      <c r="X161" s="4"/>
      <c r="Y161" s="4"/>
      <c r="Z161" s="4"/>
      <c r="AA161" s="4"/>
      <c r="AB161" s="4"/>
    </row>
    <row r="162" spans="1:28" x14ac:dyDescent="0.25">
      <c r="A162" s="27" t="s">
        <v>745</v>
      </c>
      <c r="B162" s="27" t="str">
        <f t="shared" si="11"/>
        <v>Georgia</v>
      </c>
      <c r="C162" s="27" t="str">
        <f t="shared" si="12"/>
        <v>Catoosa</v>
      </c>
      <c r="D162" s="27">
        <v>781</v>
      </c>
      <c r="E162" s="2">
        <f>'GA pre'!K17</f>
        <v>35</v>
      </c>
      <c r="F162" s="27">
        <v>100</v>
      </c>
      <c r="G162" s="2">
        <v>1348</v>
      </c>
      <c r="H162" s="28">
        <f>'GA pre'!U17</f>
        <v>30.541142857142859</v>
      </c>
      <c r="I162" s="2">
        <v>4169.66</v>
      </c>
      <c r="J162" s="27">
        <v>29</v>
      </c>
      <c r="K162" s="2">
        <f>'GA pre'!AB17</f>
        <v>11050</v>
      </c>
      <c r="L162" s="23">
        <v>1905</v>
      </c>
      <c r="M162" s="27" t="s">
        <v>492</v>
      </c>
      <c r="N162" s="27" t="s">
        <v>493</v>
      </c>
      <c r="O162" s="27" t="str">
        <f t="shared" si="16"/>
        <v>http://hdl.handle.net/2027/uc1.b2986586?urlappend=%3Bseq=313</v>
      </c>
      <c r="P162" s="27" t="s">
        <v>492</v>
      </c>
      <c r="Q162" s="27" t="str">
        <f t="shared" si="17"/>
        <v>https://babel.hathitrust.org/cgi/pt?id=uc1.b2986586;view=1up;seq=306</v>
      </c>
      <c r="R162" s="27" t="s">
        <v>494</v>
      </c>
      <c r="S162" s="27" t="s">
        <v>492</v>
      </c>
      <c r="T162" s="27" t="str">
        <f t="shared" si="18"/>
        <v>https://babel.hathitrust.org/cgi/pt?id=uc1.b2986586;view=1up;seq=318</v>
      </c>
      <c r="U162" s="4"/>
      <c r="V162" s="4"/>
      <c r="W162" s="4"/>
      <c r="X162" s="4"/>
      <c r="Y162" s="4"/>
      <c r="Z162" s="4"/>
      <c r="AA162" s="4"/>
      <c r="AB162" s="4"/>
    </row>
    <row r="163" spans="1:28" x14ac:dyDescent="0.25">
      <c r="A163" s="27" t="s">
        <v>746</v>
      </c>
      <c r="B163" s="27" t="str">
        <f t="shared" si="11"/>
        <v>Georgia</v>
      </c>
      <c r="C163" s="27" t="str">
        <f t="shared" si="12"/>
        <v>Charlton</v>
      </c>
      <c r="D163" s="27">
        <v>860</v>
      </c>
      <c r="E163" s="2">
        <f>'GA pre'!K18</f>
        <v>24</v>
      </c>
      <c r="F163" s="27">
        <v>80</v>
      </c>
      <c r="G163" s="2">
        <v>943</v>
      </c>
      <c r="H163" s="28">
        <f>'GA pre'!U18</f>
        <v>32.333333333333336</v>
      </c>
      <c r="I163" s="2">
        <v>3090.34</v>
      </c>
      <c r="J163" s="27">
        <v>31</v>
      </c>
      <c r="K163" s="2">
        <f>'GA pre'!AB18</f>
        <v>4900</v>
      </c>
      <c r="L163" s="23">
        <v>1905</v>
      </c>
      <c r="M163" s="27" t="s">
        <v>492</v>
      </c>
      <c r="N163" s="27" t="s">
        <v>493</v>
      </c>
      <c r="O163" s="27" t="str">
        <f t="shared" si="16"/>
        <v>http://hdl.handle.net/2027/uc1.b2986586?urlappend=%3Bseq=313</v>
      </c>
      <c r="P163" s="27" t="s">
        <v>492</v>
      </c>
      <c r="Q163" s="27" t="str">
        <f t="shared" si="17"/>
        <v>https://babel.hathitrust.org/cgi/pt?id=uc1.b2986586;view=1up;seq=306</v>
      </c>
      <c r="R163" s="27" t="s">
        <v>494</v>
      </c>
      <c r="S163" s="27" t="s">
        <v>492</v>
      </c>
      <c r="T163" s="27" t="str">
        <f t="shared" si="18"/>
        <v>https://babel.hathitrust.org/cgi/pt?id=uc1.b2986586;view=1up;seq=318</v>
      </c>
      <c r="U163" s="4"/>
      <c r="V163" s="4"/>
      <c r="W163" s="4"/>
      <c r="X163" s="4"/>
      <c r="Y163" s="4"/>
      <c r="Z163" s="4"/>
      <c r="AA163" s="4"/>
      <c r="AB163" s="4"/>
    </row>
    <row r="164" spans="1:28" x14ac:dyDescent="0.25">
      <c r="A164" s="27" t="s">
        <v>748</v>
      </c>
      <c r="B164" s="27" t="str">
        <f t="shared" si="11"/>
        <v>Georgia</v>
      </c>
      <c r="C164" s="27" t="str">
        <f t="shared" si="12"/>
        <v>Chattahoochee</v>
      </c>
      <c r="D164" s="27">
        <v>848</v>
      </c>
      <c r="E164" s="2">
        <f>'GA pre'!K19</f>
        <v>34</v>
      </c>
      <c r="F164" s="27">
        <v>100</v>
      </c>
      <c r="G164" s="2">
        <v>1435</v>
      </c>
      <c r="H164" s="28">
        <f>'GA pre'!U19</f>
        <v>23.705882352941178</v>
      </c>
      <c r="I164" s="2">
        <v>4489.1000000000004</v>
      </c>
      <c r="J164" s="27">
        <v>32</v>
      </c>
      <c r="K164" s="2">
        <f>'GA pre'!AB19</f>
        <v>2050</v>
      </c>
      <c r="L164" s="23">
        <v>1905</v>
      </c>
      <c r="M164" s="27" t="s">
        <v>492</v>
      </c>
      <c r="N164" s="27" t="s">
        <v>493</v>
      </c>
      <c r="O164" s="27" t="str">
        <f t="shared" si="16"/>
        <v>http://hdl.handle.net/2027/uc1.b2986586?urlappend=%3Bseq=313</v>
      </c>
      <c r="P164" s="27" t="s">
        <v>492</v>
      </c>
      <c r="Q164" s="27" t="str">
        <f t="shared" si="17"/>
        <v>https://babel.hathitrust.org/cgi/pt?id=uc1.b2986586;view=1up;seq=306</v>
      </c>
      <c r="R164" s="27" t="s">
        <v>494</v>
      </c>
      <c r="S164" s="27" t="s">
        <v>492</v>
      </c>
      <c r="T164" s="27" t="str">
        <f t="shared" si="18"/>
        <v>https://babel.hathitrust.org/cgi/pt?id=uc1.b2986586;view=1up;seq=318</v>
      </c>
      <c r="U164" s="4"/>
      <c r="V164" s="4"/>
      <c r="W164" s="4"/>
      <c r="X164" s="4"/>
      <c r="Y164" s="4"/>
      <c r="Z164" s="4"/>
      <c r="AA164" s="4"/>
      <c r="AB164" s="4"/>
    </row>
    <row r="165" spans="1:28" x14ac:dyDescent="0.25">
      <c r="A165" s="27" t="s">
        <v>749</v>
      </c>
      <c r="B165" s="27" t="str">
        <f t="shared" si="11"/>
        <v>Georgia</v>
      </c>
      <c r="C165" s="27" t="str">
        <f t="shared" si="12"/>
        <v>Chattooga</v>
      </c>
      <c r="D165" s="27">
        <v>1276</v>
      </c>
      <c r="E165" s="2">
        <f>'GA pre'!K20</f>
        <v>62</v>
      </c>
      <c r="F165" s="27">
        <v>120</v>
      </c>
      <c r="G165" s="2">
        <v>2723</v>
      </c>
      <c r="H165" s="28">
        <f>'GA pre'!U20</f>
        <v>34.274193548387096</v>
      </c>
      <c r="I165" s="2">
        <v>9568.68</v>
      </c>
      <c r="J165" s="27">
        <v>48</v>
      </c>
      <c r="K165" s="2">
        <f>'GA pre'!AB20</f>
        <v>26000</v>
      </c>
      <c r="L165" s="23">
        <v>1905</v>
      </c>
      <c r="M165" s="27" t="s">
        <v>492</v>
      </c>
      <c r="N165" s="27" t="s">
        <v>493</v>
      </c>
      <c r="O165" s="27" t="str">
        <f t="shared" si="16"/>
        <v>http://hdl.handle.net/2027/uc1.b2986586?urlappend=%3Bseq=313</v>
      </c>
      <c r="P165" s="27" t="s">
        <v>492</v>
      </c>
      <c r="Q165" s="27" t="str">
        <f t="shared" si="17"/>
        <v>https://babel.hathitrust.org/cgi/pt?id=uc1.b2986586;view=1up;seq=306</v>
      </c>
      <c r="R165" s="27" t="s">
        <v>494</v>
      </c>
      <c r="S165" s="27" t="s">
        <v>492</v>
      </c>
      <c r="T165" s="27" t="str">
        <f t="shared" si="18"/>
        <v>https://babel.hathitrust.org/cgi/pt?id=uc1.b2986586;view=1up;seq=318</v>
      </c>
      <c r="U165" s="4"/>
      <c r="V165" s="4"/>
      <c r="W165" s="4"/>
      <c r="X165" s="4"/>
      <c r="Y165" s="4"/>
      <c r="Z165" s="4"/>
      <c r="AA165" s="4"/>
      <c r="AB165" s="4"/>
    </row>
    <row r="166" spans="1:28" x14ac:dyDescent="0.25">
      <c r="A166" s="27" t="s">
        <v>750</v>
      </c>
      <c r="B166" s="27" t="str">
        <f t="shared" si="11"/>
        <v>Georgia</v>
      </c>
      <c r="C166" s="27" t="str">
        <f t="shared" si="12"/>
        <v>Cherokee</v>
      </c>
      <c r="D166" s="27">
        <v>1725</v>
      </c>
      <c r="E166" s="2">
        <f>'GA pre'!K21</f>
        <v>79</v>
      </c>
      <c r="F166" s="27">
        <v>100</v>
      </c>
      <c r="G166" s="2">
        <v>3873</v>
      </c>
      <c r="H166" s="28">
        <f>'GA pre'!U21</f>
        <v>33.101265822784811</v>
      </c>
      <c r="I166" s="2">
        <v>11347.38</v>
      </c>
      <c r="J166" s="27">
        <v>57</v>
      </c>
      <c r="K166" s="2">
        <f>'GA pre'!AB21</f>
        <v>28000</v>
      </c>
      <c r="L166" s="23">
        <v>1905</v>
      </c>
      <c r="M166" s="27" t="s">
        <v>492</v>
      </c>
      <c r="N166" s="27" t="s">
        <v>493</v>
      </c>
      <c r="O166" s="27" t="str">
        <f t="shared" si="16"/>
        <v>http://hdl.handle.net/2027/uc1.b2986586?urlappend=%3Bseq=313</v>
      </c>
      <c r="P166" s="27" t="s">
        <v>492</v>
      </c>
      <c r="Q166" s="27" t="str">
        <f t="shared" si="17"/>
        <v>https://babel.hathitrust.org/cgi/pt?id=uc1.b2986586;view=1up;seq=306</v>
      </c>
      <c r="R166" s="27" t="s">
        <v>494</v>
      </c>
      <c r="S166" s="27" t="s">
        <v>492</v>
      </c>
      <c r="T166" s="27" t="str">
        <f t="shared" si="18"/>
        <v>https://babel.hathitrust.org/cgi/pt?id=uc1.b2986586;view=1up;seq=318</v>
      </c>
      <c r="U166" s="4"/>
      <c r="V166" s="4"/>
      <c r="W166" s="4"/>
      <c r="X166" s="4"/>
      <c r="Y166" s="4"/>
      <c r="Z166" s="4"/>
      <c r="AA166" s="4"/>
      <c r="AB166" s="4"/>
    </row>
    <row r="167" spans="1:28" x14ac:dyDescent="0.25">
      <c r="A167" s="27" t="s">
        <v>751</v>
      </c>
      <c r="B167" s="27" t="str">
        <f t="shared" si="11"/>
        <v>Georgia</v>
      </c>
      <c r="C167" s="27" t="str">
        <f t="shared" si="12"/>
        <v>Clarke</v>
      </c>
      <c r="D167" s="27">
        <v>833</v>
      </c>
      <c r="E167" s="2">
        <f>'GA pre'!K22</f>
        <v>60</v>
      </c>
      <c r="F167" s="27">
        <v>100</v>
      </c>
      <c r="G167" s="2">
        <v>1917</v>
      </c>
      <c r="H167" s="28">
        <f>'GA pre'!U22</f>
        <v>39.237499999999997</v>
      </c>
      <c r="I167" s="2">
        <v>5510.34</v>
      </c>
      <c r="J167" s="27">
        <v>25</v>
      </c>
      <c r="K167" s="2">
        <f>'GA pre'!AB22</f>
        <v>11330</v>
      </c>
      <c r="L167" s="23">
        <v>1905</v>
      </c>
      <c r="M167" s="27" t="s">
        <v>492</v>
      </c>
      <c r="N167" s="27" t="s">
        <v>493</v>
      </c>
      <c r="O167" s="27" t="str">
        <f t="shared" si="16"/>
        <v>http://hdl.handle.net/2027/uc1.b2986586?urlappend=%3Bseq=313</v>
      </c>
      <c r="P167" s="27" t="s">
        <v>492</v>
      </c>
      <c r="Q167" s="27" t="str">
        <f t="shared" si="17"/>
        <v>https://babel.hathitrust.org/cgi/pt?id=uc1.b2986586;view=1up;seq=306</v>
      </c>
      <c r="R167" s="27" t="s">
        <v>494</v>
      </c>
      <c r="S167" s="27" t="s">
        <v>492</v>
      </c>
      <c r="T167" s="27" t="str">
        <f t="shared" si="18"/>
        <v>https://babel.hathitrust.org/cgi/pt?id=uc1.b2986586;view=1up;seq=318</v>
      </c>
      <c r="U167" s="4"/>
      <c r="V167" s="4"/>
      <c r="W167" s="4"/>
      <c r="X167" s="4"/>
      <c r="Y167" s="4"/>
      <c r="Z167" s="4"/>
      <c r="AA167" s="4"/>
      <c r="AB167" s="4"/>
    </row>
    <row r="168" spans="1:28" x14ac:dyDescent="0.25">
      <c r="A168" s="27" t="s">
        <v>752</v>
      </c>
      <c r="B168" s="27" t="str">
        <f t="shared" si="11"/>
        <v>Georgia</v>
      </c>
      <c r="C168" s="27" t="str">
        <f t="shared" si="12"/>
        <v>Clay</v>
      </c>
      <c r="D168" s="27">
        <v>716</v>
      </c>
      <c r="E168" s="2">
        <f>'GA pre'!K23</f>
        <v>28</v>
      </c>
      <c r="F168" s="27">
        <v>100</v>
      </c>
      <c r="G168" s="2">
        <v>1471</v>
      </c>
      <c r="H168" s="28">
        <f>'GA pre'!U23</f>
        <v>31.857142857142858</v>
      </c>
      <c r="I168" s="2">
        <v>6054.84</v>
      </c>
      <c r="J168" s="27">
        <v>26</v>
      </c>
      <c r="K168" s="2">
        <f>'GA pre'!AB23</f>
        <v>6100</v>
      </c>
      <c r="L168" s="23">
        <v>1905</v>
      </c>
      <c r="M168" s="27" t="s">
        <v>492</v>
      </c>
      <c r="N168" s="27" t="s">
        <v>493</v>
      </c>
      <c r="O168" s="27" t="str">
        <f t="shared" si="16"/>
        <v>http://hdl.handle.net/2027/uc1.b2986586?urlappend=%3Bseq=313</v>
      </c>
      <c r="P168" s="27" t="s">
        <v>492</v>
      </c>
      <c r="Q168" s="27" t="str">
        <f t="shared" si="17"/>
        <v>https://babel.hathitrust.org/cgi/pt?id=uc1.b2986586;view=1up;seq=306</v>
      </c>
      <c r="R168" s="27" t="s">
        <v>494</v>
      </c>
      <c r="S168" s="27" t="s">
        <v>492</v>
      </c>
      <c r="T168" s="27" t="str">
        <f t="shared" si="18"/>
        <v>https://babel.hathitrust.org/cgi/pt?id=uc1.b2986586;view=1up;seq=318</v>
      </c>
      <c r="U168" s="4"/>
      <c r="V168" s="4"/>
      <c r="W168" s="4"/>
      <c r="X168" s="4"/>
      <c r="Y168" s="4"/>
      <c r="Z168" s="4"/>
      <c r="AA168" s="4"/>
      <c r="AB168" s="4"/>
    </row>
    <row r="169" spans="1:28" x14ac:dyDescent="0.25">
      <c r="A169" s="27" t="s">
        <v>753</v>
      </c>
      <c r="B169" s="27" t="str">
        <f t="shared" si="11"/>
        <v>Georgia</v>
      </c>
      <c r="C169" s="27" t="str">
        <f t="shared" si="12"/>
        <v>Clayton</v>
      </c>
      <c r="D169" s="27">
        <v>1542</v>
      </c>
      <c r="E169" s="2">
        <f>'GA pre'!K24</f>
        <v>40</v>
      </c>
      <c r="F169" s="27">
        <v>100</v>
      </c>
      <c r="G169" s="2">
        <v>2663</v>
      </c>
      <c r="H169" s="28">
        <f>'GA pre'!U24</f>
        <v>33.875</v>
      </c>
      <c r="I169" s="2">
        <v>7214.02</v>
      </c>
      <c r="J169" s="27">
        <v>40</v>
      </c>
      <c r="K169" s="2">
        <f>'GA pre'!AB24</f>
        <v>17900</v>
      </c>
      <c r="L169" s="23">
        <v>1905</v>
      </c>
      <c r="M169" s="27" t="s">
        <v>492</v>
      </c>
      <c r="N169" s="27" t="s">
        <v>493</v>
      </c>
      <c r="O169" s="27" t="str">
        <f t="shared" si="16"/>
        <v>http://hdl.handle.net/2027/uc1.b2986586?urlappend=%3Bseq=313</v>
      </c>
      <c r="P169" s="27" t="s">
        <v>492</v>
      </c>
      <c r="Q169" s="27" t="str">
        <f t="shared" si="17"/>
        <v>https://babel.hathitrust.org/cgi/pt?id=uc1.b2986586;view=1up;seq=306</v>
      </c>
      <c r="R169" s="27" t="s">
        <v>494</v>
      </c>
      <c r="S169" s="27" t="s">
        <v>492</v>
      </c>
      <c r="T169" s="27" t="str">
        <f t="shared" si="18"/>
        <v>https://babel.hathitrust.org/cgi/pt?id=uc1.b2986586;view=1up;seq=318</v>
      </c>
      <c r="U169" s="4"/>
      <c r="V169" s="4"/>
      <c r="W169" s="4"/>
      <c r="X169" s="4"/>
      <c r="Y169" s="4"/>
      <c r="Z169" s="4"/>
      <c r="AA169" s="4"/>
      <c r="AB169" s="4"/>
    </row>
    <row r="170" spans="1:28" x14ac:dyDescent="0.25">
      <c r="A170" s="27" t="s">
        <v>754</v>
      </c>
      <c r="B170" s="27" t="str">
        <f t="shared" si="11"/>
        <v>Georgia</v>
      </c>
      <c r="C170" s="27" t="str">
        <f t="shared" si="12"/>
        <v>Clinch</v>
      </c>
      <c r="D170" s="27">
        <v>2515</v>
      </c>
      <c r="E170" s="2">
        <f>'GA pre'!K25</f>
        <v>40</v>
      </c>
      <c r="F170" s="27">
        <v>80</v>
      </c>
      <c r="G170" s="2">
        <v>2610</v>
      </c>
      <c r="H170" s="28">
        <f>'GA pre'!U25</f>
        <v>29.375</v>
      </c>
      <c r="I170" s="2">
        <v>5353.04</v>
      </c>
      <c r="J170" s="27">
        <v>52</v>
      </c>
      <c r="K170" s="2">
        <f>'GA pre'!AB25</f>
        <v>15000</v>
      </c>
      <c r="L170" s="23">
        <v>1905</v>
      </c>
      <c r="M170" s="27" t="s">
        <v>492</v>
      </c>
      <c r="N170" s="27" t="s">
        <v>493</v>
      </c>
      <c r="O170" s="27" t="str">
        <f t="shared" si="16"/>
        <v>http://hdl.handle.net/2027/uc1.b2986586?urlappend=%3Bseq=313</v>
      </c>
      <c r="P170" s="27" t="s">
        <v>492</v>
      </c>
      <c r="Q170" s="27" t="str">
        <f t="shared" si="17"/>
        <v>https://babel.hathitrust.org/cgi/pt?id=uc1.b2986586;view=1up;seq=306</v>
      </c>
      <c r="R170" s="27" t="s">
        <v>494</v>
      </c>
      <c r="S170" s="27" t="s">
        <v>492</v>
      </c>
      <c r="T170" s="27" t="str">
        <f t="shared" si="18"/>
        <v>https://babel.hathitrust.org/cgi/pt?id=uc1.b2986586;view=1up;seq=318</v>
      </c>
      <c r="U170" s="4"/>
      <c r="V170" s="4"/>
      <c r="W170" s="4"/>
      <c r="X170" s="4"/>
      <c r="Y170" s="4"/>
      <c r="Z170" s="4"/>
      <c r="AA170" s="4"/>
      <c r="AB170" s="4"/>
    </row>
    <row r="171" spans="1:28" x14ac:dyDescent="0.25">
      <c r="A171" s="27" t="s">
        <v>755</v>
      </c>
      <c r="B171" s="27" t="str">
        <f t="shared" si="11"/>
        <v>Georgia</v>
      </c>
      <c r="C171" s="27" t="str">
        <f t="shared" si="12"/>
        <v>Cobb</v>
      </c>
      <c r="D171" s="27">
        <v>2656</v>
      </c>
      <c r="E171" s="2">
        <f>'GA pre'!K26</f>
        <v>102</v>
      </c>
      <c r="F171" s="27">
        <v>100</v>
      </c>
      <c r="G171" s="2">
        <v>5869</v>
      </c>
      <c r="H171" s="28">
        <f>'GA pre'!U26</f>
        <v>28.823529411764707</v>
      </c>
      <c r="I171" s="2">
        <v>13411.64</v>
      </c>
      <c r="J171" s="27">
        <v>78</v>
      </c>
      <c r="K171" s="2">
        <f>'GA pre'!AB26</f>
        <v>59250</v>
      </c>
      <c r="L171" s="23">
        <v>1905</v>
      </c>
      <c r="M171" s="27" t="s">
        <v>492</v>
      </c>
      <c r="N171" s="27" t="s">
        <v>495</v>
      </c>
      <c r="O171" s="27" t="str">
        <f t="shared" si="16"/>
        <v>http://hdl.handle.net/2027/uc1.b2986586?urlappend=%3Bseq=313</v>
      </c>
      <c r="P171" s="27" t="s">
        <v>492</v>
      </c>
      <c r="Q171" s="27" t="str">
        <f t="shared" si="17"/>
        <v>https://babel.hathitrust.org/cgi/pt?id=uc1.b2986586;view=1up;seq=306</v>
      </c>
      <c r="R171" s="27" t="s">
        <v>494</v>
      </c>
      <c r="S171" s="27" t="s">
        <v>492</v>
      </c>
      <c r="T171" s="27" t="str">
        <f t="shared" si="18"/>
        <v>https://babel.hathitrust.org/cgi/pt?id=uc1.b2986586;view=1up;seq=318</v>
      </c>
      <c r="U171" s="4"/>
      <c r="V171" s="4"/>
      <c r="W171" s="4"/>
      <c r="X171" s="4"/>
      <c r="Y171" s="4"/>
      <c r="Z171" s="4"/>
      <c r="AA171" s="4"/>
      <c r="AB171" s="4"/>
    </row>
    <row r="172" spans="1:28" x14ac:dyDescent="0.25">
      <c r="A172" s="27" t="s">
        <v>756</v>
      </c>
      <c r="B172" s="27" t="str">
        <f t="shared" si="11"/>
        <v>Georgia</v>
      </c>
      <c r="C172" s="27" t="str">
        <f t="shared" si="12"/>
        <v>Coffee</v>
      </c>
      <c r="D172" s="27">
        <v>1660</v>
      </c>
      <c r="E172" s="2">
        <f>'GA pre'!K27</f>
        <v>80</v>
      </c>
      <c r="F172" s="27">
        <v>100</v>
      </c>
      <c r="G172" s="2">
        <v>2717</v>
      </c>
      <c r="H172" s="28">
        <f>'GA pre'!U27</f>
        <v>30.5625</v>
      </c>
      <c r="I172" s="2">
        <v>11250.58</v>
      </c>
      <c r="J172" s="27">
        <v>80</v>
      </c>
      <c r="K172" s="2">
        <f>'GA pre'!AB27</f>
        <v>21400</v>
      </c>
      <c r="L172" s="23">
        <v>1905</v>
      </c>
      <c r="M172" s="27" t="s">
        <v>492</v>
      </c>
      <c r="N172" s="27" t="s">
        <v>495</v>
      </c>
      <c r="O172" s="27" t="str">
        <f t="shared" si="16"/>
        <v>http://hdl.handle.net/2027/uc1.b2986586?urlappend=%3Bseq=313</v>
      </c>
      <c r="P172" s="27" t="s">
        <v>492</v>
      </c>
      <c r="Q172" s="27" t="str">
        <f t="shared" si="17"/>
        <v>https://babel.hathitrust.org/cgi/pt?id=uc1.b2986586;view=1up;seq=306</v>
      </c>
      <c r="R172" s="27" t="s">
        <v>494</v>
      </c>
      <c r="S172" s="27" t="s">
        <v>492</v>
      </c>
      <c r="T172" s="27" t="str">
        <f t="shared" si="18"/>
        <v>https://babel.hathitrust.org/cgi/pt?id=uc1.b2986586;view=1up;seq=318</v>
      </c>
      <c r="U172" s="4"/>
      <c r="V172" s="4"/>
      <c r="W172" s="4"/>
      <c r="X172" s="4"/>
      <c r="Y172" s="4"/>
      <c r="Z172" s="4"/>
      <c r="AA172" s="4"/>
      <c r="AB172" s="4"/>
    </row>
    <row r="173" spans="1:28" x14ac:dyDescent="0.25">
      <c r="A173" s="27" t="s">
        <v>757</v>
      </c>
      <c r="B173" s="27" t="str">
        <f t="shared" si="11"/>
        <v>Georgia</v>
      </c>
      <c r="C173" s="27" t="str">
        <f t="shared" si="12"/>
        <v>Colquitt</v>
      </c>
      <c r="D173" s="27">
        <v>1602</v>
      </c>
      <c r="E173" s="2">
        <f>'GA pre'!K28</f>
        <v>63</v>
      </c>
      <c r="F173" s="27">
        <v>100</v>
      </c>
      <c r="G173" s="2">
        <v>2565</v>
      </c>
      <c r="H173" s="28">
        <f>'GA pre'!U28</f>
        <v>25.126984126984127</v>
      </c>
      <c r="I173" s="2">
        <v>9885.7000000000007</v>
      </c>
      <c r="J173" s="27">
        <v>57</v>
      </c>
      <c r="K173" s="2">
        <f>'GA pre'!AB28</f>
        <v>100500</v>
      </c>
      <c r="L173" s="23">
        <v>1905</v>
      </c>
      <c r="M173" s="27" t="s">
        <v>492</v>
      </c>
      <c r="N173" s="27" t="s">
        <v>495</v>
      </c>
      <c r="O173" s="27" t="str">
        <f t="shared" si="16"/>
        <v>http://hdl.handle.net/2027/uc1.b2986586?urlappend=%3Bseq=313</v>
      </c>
      <c r="P173" s="27" t="s">
        <v>492</v>
      </c>
      <c r="Q173" s="27" t="str">
        <f t="shared" si="17"/>
        <v>https://babel.hathitrust.org/cgi/pt?id=uc1.b2986586;view=1up;seq=306</v>
      </c>
      <c r="R173" s="27" t="s">
        <v>494</v>
      </c>
      <c r="S173" s="27" t="s">
        <v>492</v>
      </c>
      <c r="T173" s="27" t="str">
        <f t="shared" si="18"/>
        <v>https://babel.hathitrust.org/cgi/pt?id=uc1.b2986586;view=1up;seq=318</v>
      </c>
      <c r="U173" s="4"/>
      <c r="V173" s="4"/>
      <c r="W173" s="4"/>
      <c r="X173" s="4"/>
      <c r="Y173" s="4"/>
      <c r="Z173" s="4"/>
      <c r="AA173" s="4"/>
      <c r="AB173" s="4"/>
    </row>
    <row r="174" spans="1:28" x14ac:dyDescent="0.25">
      <c r="A174" s="27" t="s">
        <v>758</v>
      </c>
      <c r="B174" s="27" t="str">
        <f t="shared" si="11"/>
        <v>Georgia</v>
      </c>
      <c r="C174" s="27" t="str">
        <f t="shared" si="12"/>
        <v>Columbia</v>
      </c>
      <c r="D174" s="27">
        <v>1377</v>
      </c>
      <c r="E174" s="2">
        <f>'GA pre'!K29</f>
        <v>51</v>
      </c>
      <c r="F174" s="27">
        <v>100</v>
      </c>
      <c r="G174" s="2">
        <v>2348</v>
      </c>
      <c r="H174" s="28">
        <f>'GA pre'!U29</f>
        <v>26.725490196078432</v>
      </c>
      <c r="I174" s="2">
        <v>8024.72</v>
      </c>
      <c r="J174" s="27">
        <v>44</v>
      </c>
      <c r="K174" s="2">
        <f>'GA pre'!AB29</f>
        <v>8080</v>
      </c>
      <c r="L174" s="23">
        <v>1905</v>
      </c>
      <c r="M174" s="27" t="s">
        <v>492</v>
      </c>
      <c r="N174" s="27" t="s">
        <v>495</v>
      </c>
      <c r="O174" s="27" t="str">
        <f t="shared" si="16"/>
        <v>http://hdl.handle.net/2027/uc1.b2986586?urlappend=%3Bseq=313</v>
      </c>
      <c r="P174" s="27" t="s">
        <v>492</v>
      </c>
      <c r="Q174" s="27" t="str">
        <f t="shared" si="17"/>
        <v>https://babel.hathitrust.org/cgi/pt?id=uc1.b2986586;view=1up;seq=306</v>
      </c>
      <c r="R174" s="27" t="s">
        <v>494</v>
      </c>
      <c r="S174" s="27" t="s">
        <v>492</v>
      </c>
      <c r="T174" s="27" t="str">
        <f t="shared" si="18"/>
        <v>https://babel.hathitrust.org/cgi/pt?id=uc1.b2986586;view=1up;seq=318</v>
      </c>
      <c r="U174" s="4"/>
      <c r="V174" s="4"/>
      <c r="W174" s="4"/>
      <c r="X174" s="4"/>
      <c r="Y174" s="4"/>
      <c r="Z174" s="4"/>
      <c r="AA174" s="4"/>
      <c r="AB174" s="4"/>
    </row>
    <row r="175" spans="1:28" x14ac:dyDescent="0.25">
      <c r="A175" s="27" t="s">
        <v>760</v>
      </c>
      <c r="B175" s="27" t="str">
        <f t="shared" si="11"/>
        <v>Georgia</v>
      </c>
      <c r="C175" s="27" t="str">
        <f t="shared" si="12"/>
        <v>Coweta</v>
      </c>
      <c r="D175" s="27">
        <v>3210</v>
      </c>
      <c r="E175" s="2">
        <f>'GA pre'!K30</f>
        <v>102</v>
      </c>
      <c r="F175" s="27">
        <v>100</v>
      </c>
      <c r="G175" s="2">
        <v>5615</v>
      </c>
      <c r="H175" s="28">
        <f>'GA pre'!U30</f>
        <v>32.303921568627452</v>
      </c>
      <c r="I175" s="2">
        <v>15129.84</v>
      </c>
      <c r="J175" s="27">
        <v>81</v>
      </c>
      <c r="K175" s="2">
        <f>'GA pre'!AB30</f>
        <v>23300</v>
      </c>
      <c r="L175" s="23">
        <v>1905</v>
      </c>
      <c r="M175" s="27" t="s">
        <v>492</v>
      </c>
      <c r="N175" s="27" t="s">
        <v>495</v>
      </c>
      <c r="O175" s="27" t="str">
        <f t="shared" si="16"/>
        <v>http://hdl.handle.net/2027/uc1.b2986586?urlappend=%3Bseq=313</v>
      </c>
      <c r="P175" s="27" t="s">
        <v>492</v>
      </c>
      <c r="Q175" s="27" t="str">
        <f t="shared" si="17"/>
        <v>https://babel.hathitrust.org/cgi/pt?id=uc1.b2986586;view=1up;seq=306</v>
      </c>
      <c r="R175" s="27" t="s">
        <v>494</v>
      </c>
      <c r="S175" s="27" t="s">
        <v>492</v>
      </c>
      <c r="T175" s="27" t="str">
        <f t="shared" si="18"/>
        <v>https://babel.hathitrust.org/cgi/pt?id=uc1.b2986586;view=1up;seq=318</v>
      </c>
      <c r="U175" s="4"/>
      <c r="V175" s="4"/>
      <c r="W175" s="4"/>
      <c r="X175" s="4"/>
      <c r="Y175" s="4"/>
      <c r="Z175" s="4"/>
      <c r="AA175" s="4"/>
      <c r="AB175" s="4"/>
    </row>
    <row r="176" spans="1:28" x14ac:dyDescent="0.25">
      <c r="A176" s="27" t="s">
        <v>761</v>
      </c>
      <c r="B176" s="27" t="str">
        <f t="shared" si="11"/>
        <v>Georgia</v>
      </c>
      <c r="C176" s="27" t="str">
        <f t="shared" si="12"/>
        <v>Crawford</v>
      </c>
      <c r="D176" s="27">
        <v>1010</v>
      </c>
      <c r="E176" s="2">
        <f>'GA pre'!K31</f>
        <v>48</v>
      </c>
      <c r="F176" s="27">
        <v>120</v>
      </c>
      <c r="G176" s="2">
        <v>2041</v>
      </c>
      <c r="H176" s="28">
        <f>'GA pre'!U31</f>
        <v>29.6875</v>
      </c>
      <c r="I176" s="2">
        <v>7456.02</v>
      </c>
      <c r="J176" s="27">
        <v>44</v>
      </c>
      <c r="K176" s="2">
        <f>'GA pre'!AB31</f>
        <v>6600</v>
      </c>
      <c r="L176" s="23">
        <v>1905</v>
      </c>
      <c r="M176" s="27" t="s">
        <v>492</v>
      </c>
      <c r="N176" s="27" t="s">
        <v>495</v>
      </c>
      <c r="O176" s="27" t="str">
        <f t="shared" si="16"/>
        <v>http://hdl.handle.net/2027/uc1.b2986586?urlappend=%3Bseq=313</v>
      </c>
      <c r="P176" s="27" t="s">
        <v>492</v>
      </c>
      <c r="Q176" s="27" t="str">
        <f t="shared" si="17"/>
        <v>https://babel.hathitrust.org/cgi/pt?id=uc1.b2986586;view=1up;seq=306</v>
      </c>
      <c r="R176" s="27" t="s">
        <v>494</v>
      </c>
      <c r="S176" s="27" t="s">
        <v>492</v>
      </c>
      <c r="T176" s="27" t="str">
        <f t="shared" si="18"/>
        <v>https://babel.hathitrust.org/cgi/pt?id=uc1.b2986586;view=1up;seq=318</v>
      </c>
      <c r="U176" s="4"/>
      <c r="V176" s="4"/>
      <c r="W176" s="4"/>
      <c r="X176" s="4"/>
      <c r="Y176" s="4"/>
      <c r="Z176" s="4"/>
      <c r="AA176" s="4"/>
      <c r="AB176" s="4"/>
    </row>
    <row r="177" spans="1:28" x14ac:dyDescent="0.25">
      <c r="A177" s="27" t="s">
        <v>762</v>
      </c>
      <c r="B177" s="27" t="str">
        <f t="shared" si="11"/>
        <v>Georgia</v>
      </c>
      <c r="C177" s="27" t="str">
        <f t="shared" si="12"/>
        <v>Crisp</v>
      </c>
      <c r="D177" s="27"/>
      <c r="E177" s="2"/>
      <c r="F177" s="27"/>
      <c r="G177" s="27"/>
      <c r="H177" s="28"/>
      <c r="I177" s="2">
        <v>5795.9</v>
      </c>
      <c r="J177" s="27">
        <v>20</v>
      </c>
      <c r="K177" s="2"/>
      <c r="L177" s="23">
        <v>1905</v>
      </c>
      <c r="M177" s="27" t="s">
        <v>492</v>
      </c>
      <c r="N177" s="27" t="s">
        <v>495</v>
      </c>
      <c r="O177" s="27" t="str">
        <f t="shared" si="16"/>
        <v>http://hdl.handle.net/2027/uc1.b2986586?urlappend=%3Bseq=313</v>
      </c>
      <c r="P177" s="27" t="s">
        <v>492</v>
      </c>
      <c r="Q177" s="27" t="str">
        <f t="shared" si="17"/>
        <v>https://babel.hathitrust.org/cgi/pt?id=uc1.b2986586;view=1up;seq=306</v>
      </c>
      <c r="R177" s="27" t="s">
        <v>494</v>
      </c>
      <c r="S177" s="27" t="s">
        <v>492</v>
      </c>
      <c r="T177" s="27" t="str">
        <f t="shared" si="18"/>
        <v>https://babel.hathitrust.org/cgi/pt?id=uc1.b2986586;view=1up;seq=318</v>
      </c>
      <c r="U177" s="4"/>
      <c r="V177" s="4"/>
      <c r="W177" s="4"/>
      <c r="X177" s="4"/>
      <c r="Y177" s="4"/>
      <c r="Z177" s="4"/>
      <c r="AA177" s="4"/>
      <c r="AB177" s="4"/>
    </row>
    <row r="178" spans="1:28" x14ac:dyDescent="0.25">
      <c r="A178" s="27" t="s">
        <v>763</v>
      </c>
      <c r="B178" s="27" t="str">
        <f t="shared" si="11"/>
        <v>Georgia</v>
      </c>
      <c r="C178" s="27" t="str">
        <f t="shared" si="12"/>
        <v>Dade</v>
      </c>
      <c r="D178" s="27">
        <v>555</v>
      </c>
      <c r="E178" s="2">
        <f>'GA pre'!K33</f>
        <v>20</v>
      </c>
      <c r="F178" s="27">
        <v>100</v>
      </c>
      <c r="G178" s="2">
        <v>972</v>
      </c>
      <c r="H178" s="28">
        <f>'GA pre'!U33</f>
        <v>34.200000000000003</v>
      </c>
      <c r="I178" s="2">
        <v>2930.62</v>
      </c>
      <c r="J178" s="27">
        <v>26</v>
      </c>
      <c r="K178" s="2"/>
      <c r="L178" s="23">
        <v>1905</v>
      </c>
      <c r="M178" s="27" t="s">
        <v>492</v>
      </c>
      <c r="N178" s="27" t="s">
        <v>495</v>
      </c>
      <c r="O178" s="27" t="str">
        <f t="shared" si="16"/>
        <v>http://hdl.handle.net/2027/uc1.b2986586?urlappend=%3Bseq=313</v>
      </c>
      <c r="P178" s="27" t="s">
        <v>492</v>
      </c>
      <c r="Q178" s="27" t="str">
        <f t="shared" si="17"/>
        <v>https://babel.hathitrust.org/cgi/pt?id=uc1.b2986586;view=1up;seq=306</v>
      </c>
      <c r="R178" s="27" t="s">
        <v>494</v>
      </c>
      <c r="S178" s="27" t="s">
        <v>492</v>
      </c>
      <c r="T178" s="27" t="str">
        <f t="shared" si="18"/>
        <v>https://babel.hathitrust.org/cgi/pt?id=uc1.b2986586;view=1up;seq=318</v>
      </c>
      <c r="U178" s="4"/>
      <c r="V178" s="4"/>
      <c r="W178" s="4"/>
      <c r="X178" s="4"/>
      <c r="Y178" s="4"/>
      <c r="Z178" s="4"/>
      <c r="AA178" s="4"/>
      <c r="AB178" s="4"/>
    </row>
    <row r="179" spans="1:28" x14ac:dyDescent="0.25">
      <c r="A179" s="27" t="s">
        <v>764</v>
      </c>
      <c r="B179" s="27" t="str">
        <f t="shared" si="11"/>
        <v>Georgia</v>
      </c>
      <c r="C179" s="27" t="str">
        <f t="shared" si="12"/>
        <v>Dawson</v>
      </c>
      <c r="D179" s="27">
        <v>608</v>
      </c>
      <c r="E179" s="2">
        <f>'GA pre'!K34</f>
        <v>27</v>
      </c>
      <c r="F179" s="27">
        <v>120</v>
      </c>
      <c r="G179" s="2">
        <v>1343</v>
      </c>
      <c r="H179" s="28">
        <f>'GA pre'!U34</f>
        <v>26.851851851851851</v>
      </c>
      <c r="I179" s="2">
        <v>3826.2</v>
      </c>
      <c r="J179" s="27">
        <v>114</v>
      </c>
      <c r="K179" s="2">
        <f>'GA pre'!AB34</f>
        <v>2300</v>
      </c>
      <c r="L179" s="23">
        <v>1905</v>
      </c>
      <c r="M179" s="27" t="s">
        <v>492</v>
      </c>
      <c r="N179" s="27" t="s">
        <v>495</v>
      </c>
      <c r="O179" s="27" t="str">
        <f t="shared" si="16"/>
        <v>http://hdl.handle.net/2027/uc1.b2986586?urlappend=%3Bseq=313</v>
      </c>
      <c r="P179" s="27" t="s">
        <v>492</v>
      </c>
      <c r="Q179" s="27" t="str">
        <f t="shared" si="17"/>
        <v>https://babel.hathitrust.org/cgi/pt?id=uc1.b2986586;view=1up;seq=306</v>
      </c>
      <c r="R179" s="27" t="s">
        <v>494</v>
      </c>
      <c r="S179" s="27" t="s">
        <v>492</v>
      </c>
      <c r="T179" s="27" t="str">
        <f t="shared" si="18"/>
        <v>https://babel.hathitrust.org/cgi/pt?id=uc1.b2986586;view=1up;seq=318</v>
      </c>
      <c r="U179" s="4"/>
      <c r="V179" s="4"/>
      <c r="W179" s="4"/>
      <c r="X179" s="4"/>
      <c r="Y179" s="4"/>
      <c r="Z179" s="4"/>
      <c r="AA179" s="4"/>
      <c r="AB179" s="4"/>
    </row>
    <row r="180" spans="1:28" x14ac:dyDescent="0.25">
      <c r="A180" s="27" t="s">
        <v>765</v>
      </c>
      <c r="B180" s="27" t="str">
        <f t="shared" si="11"/>
        <v>Georgia</v>
      </c>
      <c r="C180" s="27" t="str">
        <f t="shared" si="12"/>
        <v>Decatur</v>
      </c>
      <c r="D180" s="27">
        <v>4221</v>
      </c>
      <c r="E180" s="2">
        <f>'GA pre'!K35</f>
        <v>121</v>
      </c>
      <c r="F180" s="27">
        <v>120</v>
      </c>
      <c r="G180" s="2">
        <v>6982</v>
      </c>
      <c r="H180" s="28">
        <f>'GA pre'!U35</f>
        <v>24.90909090909091</v>
      </c>
      <c r="I180" s="2">
        <v>15836.48</v>
      </c>
      <c r="J180" s="27">
        <v>50</v>
      </c>
      <c r="K180" s="2">
        <f>'GA pre'!AB35</f>
        <v>42300</v>
      </c>
      <c r="L180" s="23">
        <v>1905</v>
      </c>
      <c r="M180" s="27" t="s">
        <v>492</v>
      </c>
      <c r="N180" s="27" t="s">
        <v>495</v>
      </c>
      <c r="O180" s="27" t="str">
        <f t="shared" si="16"/>
        <v>http://hdl.handle.net/2027/uc1.b2986586?urlappend=%3Bseq=313</v>
      </c>
      <c r="P180" s="27" t="s">
        <v>492</v>
      </c>
      <c r="Q180" s="27" t="str">
        <f t="shared" si="17"/>
        <v>https://babel.hathitrust.org/cgi/pt?id=uc1.b2986586;view=1up;seq=306</v>
      </c>
      <c r="R180" s="27" t="s">
        <v>494</v>
      </c>
      <c r="S180" s="27" t="s">
        <v>492</v>
      </c>
      <c r="T180" s="27" t="str">
        <f t="shared" si="18"/>
        <v>https://babel.hathitrust.org/cgi/pt?id=uc1.b2986586;view=1up;seq=318</v>
      </c>
      <c r="U180" s="4"/>
      <c r="V180" s="4"/>
      <c r="W180" s="4"/>
      <c r="X180" s="4"/>
      <c r="Y180" s="4"/>
      <c r="Z180" s="4"/>
      <c r="AA180" s="4"/>
      <c r="AB180" s="4"/>
    </row>
    <row r="181" spans="1:28" x14ac:dyDescent="0.25">
      <c r="A181" s="27" t="s">
        <v>766</v>
      </c>
      <c r="B181" s="27" t="str">
        <f t="shared" si="11"/>
        <v>Georgia</v>
      </c>
      <c r="C181" s="27" t="str">
        <f t="shared" si="12"/>
        <v>DeKalb</v>
      </c>
      <c r="D181" s="27">
        <v>1943</v>
      </c>
      <c r="E181" s="2">
        <f>'GA pre'!K36</f>
        <v>73</v>
      </c>
      <c r="F181" s="27">
        <v>100</v>
      </c>
      <c r="G181" s="2">
        <v>3421</v>
      </c>
      <c r="H181" s="28">
        <f>'GA pre'!U36</f>
        <v>33.013698630136986</v>
      </c>
      <c r="I181" s="2">
        <v>12550.12</v>
      </c>
      <c r="J181" s="27">
        <v>59</v>
      </c>
      <c r="K181" s="2">
        <f>'GA pre'!AB36</f>
        <v>25200</v>
      </c>
      <c r="L181" s="23">
        <v>1905</v>
      </c>
      <c r="M181" s="27" t="s">
        <v>492</v>
      </c>
      <c r="N181" s="27" t="s">
        <v>495</v>
      </c>
      <c r="O181" s="27" t="str">
        <f t="shared" si="16"/>
        <v>http://hdl.handle.net/2027/uc1.b2986586?urlappend=%3Bseq=313</v>
      </c>
      <c r="P181" s="27" t="s">
        <v>492</v>
      </c>
      <c r="Q181" s="27" t="str">
        <f t="shared" si="17"/>
        <v>https://babel.hathitrust.org/cgi/pt?id=uc1.b2986586;view=1up;seq=306</v>
      </c>
      <c r="R181" s="27" t="s">
        <v>494</v>
      </c>
      <c r="S181" s="27" t="s">
        <v>492</v>
      </c>
      <c r="T181" s="27" t="str">
        <f t="shared" si="18"/>
        <v>https://babel.hathitrust.org/cgi/pt?id=uc1.b2986586;view=1up;seq=318</v>
      </c>
      <c r="U181" s="4"/>
      <c r="V181" s="4"/>
      <c r="W181" s="4"/>
      <c r="X181" s="4"/>
      <c r="Y181" s="4"/>
      <c r="Z181" s="4"/>
      <c r="AA181" s="4"/>
      <c r="AB181" s="4"/>
    </row>
    <row r="182" spans="1:28" x14ac:dyDescent="0.25">
      <c r="A182" s="27" t="s">
        <v>767</v>
      </c>
      <c r="B182" s="27" t="str">
        <f t="shared" si="11"/>
        <v>Georgia</v>
      </c>
      <c r="C182" s="27" t="str">
        <f t="shared" si="12"/>
        <v>Dodge</v>
      </c>
      <c r="D182" s="27">
        <v>1470</v>
      </c>
      <c r="E182" s="2">
        <f>'GA pre'!K37</f>
        <v>65</v>
      </c>
      <c r="F182" s="27">
        <v>100</v>
      </c>
      <c r="G182" s="2">
        <v>2986</v>
      </c>
      <c r="H182" s="28">
        <f>'GA pre'!U37</f>
        <v>23.107692307692307</v>
      </c>
      <c r="I182" s="2">
        <v>12310.54</v>
      </c>
      <c r="J182" s="27">
        <v>92</v>
      </c>
      <c r="K182" s="2">
        <f>'GA pre'!AB37</f>
        <v>8700</v>
      </c>
      <c r="L182" s="23">
        <v>1905</v>
      </c>
      <c r="M182" s="27" t="s">
        <v>492</v>
      </c>
      <c r="N182" s="27" t="s">
        <v>495</v>
      </c>
      <c r="O182" s="27" t="str">
        <f t="shared" si="16"/>
        <v>http://hdl.handle.net/2027/uc1.b2986586?urlappend=%3Bseq=313</v>
      </c>
      <c r="P182" s="27" t="s">
        <v>492</v>
      </c>
      <c r="Q182" s="27" t="str">
        <f t="shared" si="17"/>
        <v>https://babel.hathitrust.org/cgi/pt?id=uc1.b2986586;view=1up;seq=306</v>
      </c>
      <c r="R182" s="27" t="s">
        <v>494</v>
      </c>
      <c r="S182" s="27" t="s">
        <v>492</v>
      </c>
      <c r="T182" s="27" t="str">
        <f t="shared" si="18"/>
        <v>https://babel.hathitrust.org/cgi/pt?id=uc1.b2986586;view=1up;seq=318</v>
      </c>
      <c r="U182" s="4"/>
      <c r="V182" s="4"/>
      <c r="W182" s="4"/>
      <c r="X182" s="4"/>
      <c r="Y182" s="4"/>
      <c r="Z182" s="4"/>
      <c r="AA182" s="4"/>
      <c r="AB182" s="4"/>
    </row>
    <row r="183" spans="1:28" x14ac:dyDescent="0.25">
      <c r="A183" s="27" t="s">
        <v>768</v>
      </c>
      <c r="B183" s="27" t="str">
        <f t="shared" si="11"/>
        <v>Georgia</v>
      </c>
      <c r="C183" s="27" t="str">
        <f t="shared" si="12"/>
        <v>Dooly</v>
      </c>
      <c r="D183" s="27">
        <v>2672</v>
      </c>
      <c r="E183" s="2">
        <f>'GA pre'!K38</f>
        <v>116</v>
      </c>
      <c r="F183" s="27">
        <v>120</v>
      </c>
      <c r="G183" s="2">
        <v>4784</v>
      </c>
      <c r="H183" s="28">
        <f>'GA pre'!U38</f>
        <v>23.862068965517242</v>
      </c>
      <c r="I183" s="2">
        <v>12131.46</v>
      </c>
      <c r="J183" s="27">
        <v>28</v>
      </c>
      <c r="K183" s="2">
        <f>'GA pre'!AB38</f>
        <v>23700</v>
      </c>
      <c r="L183" s="23">
        <v>1905</v>
      </c>
      <c r="M183" s="27" t="s">
        <v>492</v>
      </c>
      <c r="N183" s="27" t="s">
        <v>495</v>
      </c>
      <c r="O183" s="27" t="str">
        <f t="shared" si="16"/>
        <v>http://hdl.handle.net/2027/uc1.b2986586?urlappend=%3Bseq=313</v>
      </c>
      <c r="P183" s="27" t="s">
        <v>492</v>
      </c>
      <c r="Q183" s="27" t="str">
        <f t="shared" si="17"/>
        <v>https://babel.hathitrust.org/cgi/pt?id=uc1.b2986586;view=1up;seq=306</v>
      </c>
      <c r="R183" s="27" t="s">
        <v>494</v>
      </c>
      <c r="S183" s="27" t="s">
        <v>492</v>
      </c>
      <c r="T183" s="27" t="str">
        <f t="shared" si="18"/>
        <v>https://babel.hathitrust.org/cgi/pt?id=uc1.b2986586;view=1up;seq=318</v>
      </c>
      <c r="U183" s="4"/>
      <c r="V183" s="4"/>
      <c r="W183" s="4"/>
      <c r="X183" s="4"/>
      <c r="Y183" s="4"/>
      <c r="Z183" s="4"/>
      <c r="AA183" s="4"/>
      <c r="AB183" s="4"/>
    </row>
    <row r="184" spans="1:28" x14ac:dyDescent="0.25">
      <c r="A184" s="27" t="s">
        <v>769</v>
      </c>
      <c r="B184" s="27" t="str">
        <f t="shared" si="11"/>
        <v>Georgia</v>
      </c>
      <c r="C184" s="27" t="str">
        <f t="shared" si="12"/>
        <v>Dougherty</v>
      </c>
      <c r="D184" s="27">
        <v>1785</v>
      </c>
      <c r="E184" s="2">
        <f>'GA pre'!K39</f>
        <v>50</v>
      </c>
      <c r="F184" s="27">
        <v>100</v>
      </c>
      <c r="G184" s="2">
        <v>2381</v>
      </c>
      <c r="H184" s="28">
        <f>'GA pre'!U39</f>
        <v>34.28</v>
      </c>
      <c r="I184" s="29">
        <v>10643.16</v>
      </c>
      <c r="J184" s="27">
        <v>37</v>
      </c>
      <c r="K184" s="2">
        <f>'GA pre'!AB39</f>
        <v>28700</v>
      </c>
      <c r="L184" s="23">
        <v>1905</v>
      </c>
      <c r="M184" s="27" t="s">
        <v>492</v>
      </c>
      <c r="N184" s="27" t="s">
        <v>495</v>
      </c>
      <c r="O184" s="27" t="str">
        <f t="shared" si="16"/>
        <v>http://hdl.handle.net/2027/uc1.b2986586?urlappend=%3Bseq=313</v>
      </c>
      <c r="P184" s="27" t="s">
        <v>492</v>
      </c>
      <c r="Q184" s="27" t="str">
        <f t="shared" si="17"/>
        <v>https://babel.hathitrust.org/cgi/pt?id=uc1.b2986586;view=1up;seq=306</v>
      </c>
      <c r="R184" s="27" t="s">
        <v>494</v>
      </c>
      <c r="S184" s="27" t="s">
        <v>492</v>
      </c>
      <c r="T184" s="27" t="str">
        <f t="shared" si="18"/>
        <v>https://babel.hathitrust.org/cgi/pt?id=uc1.b2986586;view=1up;seq=318</v>
      </c>
      <c r="U184" s="4"/>
      <c r="V184" s="4"/>
      <c r="W184" s="4"/>
      <c r="X184" s="4"/>
      <c r="Y184" s="4"/>
      <c r="Z184" s="4"/>
      <c r="AA184" s="4"/>
      <c r="AB184" s="4"/>
    </row>
    <row r="185" spans="1:28" x14ac:dyDescent="0.25">
      <c r="A185" s="27" t="s">
        <v>770</v>
      </c>
      <c r="B185" s="27" t="str">
        <f t="shared" si="11"/>
        <v>Georgia</v>
      </c>
      <c r="C185" s="27" t="str">
        <f t="shared" si="12"/>
        <v>Douglas</v>
      </c>
      <c r="D185" s="27">
        <v>1699</v>
      </c>
      <c r="E185" s="2">
        <f>'GA pre'!K40</f>
        <v>48</v>
      </c>
      <c r="F185" s="27">
        <v>100</v>
      </c>
      <c r="G185" s="2">
        <v>2409</v>
      </c>
      <c r="H185" s="28">
        <f>'GA pre'!U40</f>
        <v>28.5</v>
      </c>
      <c r="I185" s="2">
        <v>6717.92</v>
      </c>
      <c r="J185" s="27">
        <v>42</v>
      </c>
      <c r="K185" s="2">
        <f>'GA pre'!AB40</f>
        <v>8900</v>
      </c>
      <c r="L185" s="23">
        <v>1905</v>
      </c>
      <c r="M185" s="27" t="s">
        <v>492</v>
      </c>
      <c r="N185" s="27" t="s">
        <v>495</v>
      </c>
      <c r="O185" s="27" t="str">
        <f t="shared" si="16"/>
        <v>http://hdl.handle.net/2027/uc1.b2986586?urlappend=%3Bseq=313</v>
      </c>
      <c r="P185" s="27" t="s">
        <v>492</v>
      </c>
      <c r="Q185" s="27" t="str">
        <f t="shared" si="17"/>
        <v>https://babel.hathitrust.org/cgi/pt?id=uc1.b2986586;view=1up;seq=306</v>
      </c>
      <c r="R185" s="27" t="s">
        <v>494</v>
      </c>
      <c r="S185" s="27" t="s">
        <v>492</v>
      </c>
      <c r="T185" s="27" t="str">
        <f t="shared" si="18"/>
        <v>https://babel.hathitrust.org/cgi/pt?id=uc1.b2986586;view=1up;seq=318</v>
      </c>
      <c r="U185" s="4"/>
      <c r="V185" s="4"/>
      <c r="W185" s="4"/>
      <c r="X185" s="4"/>
      <c r="Y185" s="4"/>
      <c r="Z185" s="4"/>
      <c r="AA185" s="4"/>
      <c r="AB185" s="4"/>
    </row>
    <row r="186" spans="1:28" x14ac:dyDescent="0.25">
      <c r="A186" s="27" t="s">
        <v>771</v>
      </c>
      <c r="B186" s="27" t="str">
        <f t="shared" si="11"/>
        <v>Georgia</v>
      </c>
      <c r="C186" s="27" t="str">
        <f t="shared" si="12"/>
        <v>Early</v>
      </c>
      <c r="D186" s="27">
        <v>2340</v>
      </c>
      <c r="E186" s="2">
        <f>'GA pre'!K41</f>
        <v>53</v>
      </c>
      <c r="F186" s="27">
        <v>120</v>
      </c>
      <c r="G186" s="2">
        <v>3620</v>
      </c>
      <c r="H186" s="28">
        <f>'GA pre'!U41</f>
        <v>32.264150943396224</v>
      </c>
      <c r="I186" s="2">
        <v>10030.9</v>
      </c>
      <c r="J186" s="27">
        <v>12</v>
      </c>
      <c r="K186" s="2">
        <f>'GA pre'!AB41</f>
        <v>16600</v>
      </c>
      <c r="L186" s="23">
        <v>1905</v>
      </c>
      <c r="M186" s="27" t="s">
        <v>492</v>
      </c>
      <c r="N186" s="27" t="s">
        <v>495</v>
      </c>
      <c r="O186" s="27" t="str">
        <f t="shared" si="16"/>
        <v>http://hdl.handle.net/2027/uc1.b2986586?urlappend=%3Bseq=313</v>
      </c>
      <c r="P186" s="27" t="s">
        <v>492</v>
      </c>
      <c r="Q186" s="27" t="str">
        <f t="shared" si="17"/>
        <v>https://babel.hathitrust.org/cgi/pt?id=uc1.b2986586;view=1up;seq=306</v>
      </c>
      <c r="R186" s="27" t="s">
        <v>494</v>
      </c>
      <c r="S186" s="27" t="s">
        <v>492</v>
      </c>
      <c r="T186" s="27" t="str">
        <f t="shared" si="18"/>
        <v>https://babel.hathitrust.org/cgi/pt?id=uc1.b2986586;view=1up;seq=318</v>
      </c>
      <c r="U186" s="4"/>
      <c r="V186" s="4"/>
      <c r="W186" s="4"/>
      <c r="X186" s="4"/>
      <c r="Y186" s="4"/>
      <c r="Z186" s="4"/>
      <c r="AA186" s="4"/>
      <c r="AB186" s="4"/>
    </row>
    <row r="187" spans="1:28" x14ac:dyDescent="0.25">
      <c r="A187" s="27" t="s">
        <v>772</v>
      </c>
      <c r="B187" s="27" t="str">
        <f t="shared" si="11"/>
        <v>Georgia</v>
      </c>
      <c r="C187" s="27" t="str">
        <f t="shared" si="12"/>
        <v>Echols</v>
      </c>
      <c r="D187" s="27">
        <v>202</v>
      </c>
      <c r="E187" s="2">
        <f>'GA pre'!K42</f>
        <v>12</v>
      </c>
      <c r="F187" s="27">
        <v>100</v>
      </c>
      <c r="G187" s="2">
        <v>482</v>
      </c>
      <c r="H187" s="28">
        <f>'GA pre'!U42</f>
        <v>31.666666666666668</v>
      </c>
      <c r="I187" s="2">
        <v>2026.15</v>
      </c>
      <c r="J187" s="27">
        <v>54</v>
      </c>
      <c r="K187" s="2">
        <f>'GA pre'!AB42</f>
        <v>1900</v>
      </c>
      <c r="L187" s="23">
        <v>1905</v>
      </c>
      <c r="M187" s="27" t="s">
        <v>492</v>
      </c>
      <c r="N187" s="27" t="s">
        <v>495</v>
      </c>
      <c r="O187" s="27" t="str">
        <f t="shared" si="16"/>
        <v>http://hdl.handle.net/2027/uc1.b2986586?urlappend=%3Bseq=313</v>
      </c>
      <c r="P187" s="27" t="s">
        <v>492</v>
      </c>
      <c r="Q187" s="27" t="str">
        <f t="shared" si="17"/>
        <v>https://babel.hathitrust.org/cgi/pt?id=uc1.b2986586;view=1up;seq=306</v>
      </c>
      <c r="R187" s="27" t="s">
        <v>494</v>
      </c>
      <c r="S187" s="27" t="s">
        <v>492</v>
      </c>
      <c r="T187" s="27" t="str">
        <f t="shared" si="18"/>
        <v>https://babel.hathitrust.org/cgi/pt?id=uc1.b2986586;view=1up;seq=318</v>
      </c>
      <c r="U187" s="4"/>
      <c r="V187" s="4"/>
      <c r="W187" s="4"/>
      <c r="X187" s="4"/>
      <c r="Y187" s="4"/>
      <c r="Z187" s="4"/>
      <c r="AA187" s="4"/>
      <c r="AB187" s="4"/>
    </row>
    <row r="188" spans="1:28" x14ac:dyDescent="0.25">
      <c r="A188" s="27" t="s">
        <v>773</v>
      </c>
      <c r="B188" s="27" t="str">
        <f t="shared" si="11"/>
        <v>Georgia</v>
      </c>
      <c r="C188" s="27" t="str">
        <f t="shared" si="12"/>
        <v>Effingham</v>
      </c>
      <c r="D188" s="27">
        <v>1236</v>
      </c>
      <c r="E188" s="2">
        <f>'GA pre'!K43</f>
        <v>63</v>
      </c>
      <c r="F188" s="27">
        <v>120</v>
      </c>
      <c r="G188" s="2">
        <v>1937</v>
      </c>
      <c r="H188" s="28">
        <f>'GA pre'!U43</f>
        <v>13.46031746031746</v>
      </c>
      <c r="I188" s="2">
        <v>6413</v>
      </c>
      <c r="J188" s="27">
        <v>81</v>
      </c>
      <c r="K188" s="2">
        <f>'GA pre'!AB43</f>
        <v>11300</v>
      </c>
      <c r="L188" s="23">
        <v>1905</v>
      </c>
      <c r="M188" s="27" t="s">
        <v>492</v>
      </c>
      <c r="N188" s="27" t="s">
        <v>495</v>
      </c>
      <c r="O188" s="27" t="str">
        <f t="shared" si="16"/>
        <v>http://hdl.handle.net/2027/uc1.b2986586?urlappend=%3Bseq=313</v>
      </c>
      <c r="P188" s="27" t="s">
        <v>492</v>
      </c>
      <c r="Q188" s="27" t="str">
        <f t="shared" si="17"/>
        <v>https://babel.hathitrust.org/cgi/pt?id=uc1.b2986586;view=1up;seq=306</v>
      </c>
      <c r="R188" s="27" t="s">
        <v>494</v>
      </c>
      <c r="S188" s="27" t="s">
        <v>492</v>
      </c>
      <c r="T188" s="27" t="str">
        <f t="shared" si="18"/>
        <v>https://babel.hathitrust.org/cgi/pt?id=uc1.b2986586;view=1up;seq=318</v>
      </c>
      <c r="U188" s="4"/>
      <c r="V188" s="4"/>
      <c r="W188" s="4"/>
      <c r="X188" s="4"/>
      <c r="Y188" s="4"/>
      <c r="Z188" s="4"/>
      <c r="AA188" s="4"/>
      <c r="AB188" s="4"/>
    </row>
    <row r="189" spans="1:28" x14ac:dyDescent="0.25">
      <c r="A189" s="27" t="s">
        <v>774</v>
      </c>
      <c r="B189" s="27" t="str">
        <f t="shared" si="11"/>
        <v>Georgia</v>
      </c>
      <c r="C189" s="27" t="str">
        <f t="shared" si="12"/>
        <v>Elbert</v>
      </c>
      <c r="D189" s="27">
        <v>2118</v>
      </c>
      <c r="E189" s="2">
        <f>'GA pre'!K44</f>
        <v>113</v>
      </c>
      <c r="F189" s="27">
        <v>120</v>
      </c>
      <c r="G189" s="2">
        <v>4125</v>
      </c>
      <c r="H189" s="28">
        <f>'GA pre'!U44</f>
        <v>22.053097345132745</v>
      </c>
      <c r="I189" s="2">
        <v>13385.02</v>
      </c>
      <c r="J189" s="27">
        <v>96</v>
      </c>
      <c r="K189" s="2">
        <f>'GA pre'!AB44</f>
        <v>9900</v>
      </c>
      <c r="L189" s="23">
        <v>1905</v>
      </c>
      <c r="M189" s="27" t="s">
        <v>492</v>
      </c>
      <c r="N189" s="27" t="s">
        <v>495</v>
      </c>
      <c r="O189" s="27" t="str">
        <f t="shared" si="16"/>
        <v>http://hdl.handle.net/2027/uc1.b2986586?urlappend=%3Bseq=313</v>
      </c>
      <c r="P189" s="27" t="s">
        <v>492</v>
      </c>
      <c r="Q189" s="27" t="str">
        <f t="shared" si="17"/>
        <v>https://babel.hathitrust.org/cgi/pt?id=uc1.b2986586;view=1up;seq=306</v>
      </c>
      <c r="R189" s="27" t="s">
        <v>494</v>
      </c>
      <c r="S189" s="27" t="s">
        <v>492</v>
      </c>
      <c r="T189" s="27" t="str">
        <f t="shared" si="18"/>
        <v>https://babel.hathitrust.org/cgi/pt?id=uc1.b2986586;view=1up;seq=318</v>
      </c>
      <c r="U189" s="4"/>
      <c r="V189" s="4"/>
      <c r="W189" s="4"/>
      <c r="X189" s="4"/>
      <c r="Y189" s="4"/>
      <c r="Z189" s="4"/>
      <c r="AA189" s="4"/>
      <c r="AB189" s="4"/>
    </row>
    <row r="190" spans="1:28" x14ac:dyDescent="0.25">
      <c r="A190" s="27" t="s">
        <v>775</v>
      </c>
      <c r="B190" s="27" t="str">
        <f t="shared" si="11"/>
        <v>Georgia</v>
      </c>
      <c r="C190" s="27" t="str">
        <f t="shared" si="12"/>
        <v>Emanuel</v>
      </c>
      <c r="D190" s="27">
        <v>2883</v>
      </c>
      <c r="E190" s="2">
        <f>'GA pre'!K45</f>
        <v>99</v>
      </c>
      <c r="F190" s="27">
        <v>100</v>
      </c>
      <c r="G190" s="2">
        <v>5235</v>
      </c>
      <c r="H190" s="28">
        <f>'GA pre'!U45</f>
        <v>27.474747474747474</v>
      </c>
      <c r="I190" s="2">
        <v>16896.98</v>
      </c>
      <c r="J190" s="27">
        <v>61</v>
      </c>
      <c r="K190" s="2">
        <f>'GA pre'!AB45</f>
        <v>48600</v>
      </c>
      <c r="L190" s="23">
        <v>1905</v>
      </c>
      <c r="M190" s="27" t="s">
        <v>492</v>
      </c>
      <c r="N190" s="27" t="s">
        <v>495</v>
      </c>
      <c r="O190" s="27" t="str">
        <f t="shared" si="16"/>
        <v>http://hdl.handle.net/2027/uc1.b2986586?urlappend=%3Bseq=313</v>
      </c>
      <c r="P190" s="27" t="s">
        <v>492</v>
      </c>
      <c r="Q190" s="27" t="str">
        <f t="shared" si="17"/>
        <v>https://babel.hathitrust.org/cgi/pt?id=uc1.b2986586;view=1up;seq=306</v>
      </c>
      <c r="R190" s="27" t="s">
        <v>494</v>
      </c>
      <c r="S190" s="27" t="s">
        <v>492</v>
      </c>
      <c r="T190" s="27" t="str">
        <f t="shared" si="18"/>
        <v>https://babel.hathitrust.org/cgi/pt?id=uc1.b2986586;view=1up;seq=318</v>
      </c>
      <c r="U190" s="4"/>
      <c r="V190" s="4"/>
      <c r="W190" s="4"/>
      <c r="X190" s="4"/>
      <c r="Y190" s="4"/>
      <c r="Z190" s="4"/>
      <c r="AA190" s="4"/>
      <c r="AB190" s="4"/>
    </row>
    <row r="191" spans="1:28" x14ac:dyDescent="0.25">
      <c r="A191" s="27" t="s">
        <v>777</v>
      </c>
      <c r="B191" s="27" t="str">
        <f t="shared" si="11"/>
        <v>Georgia</v>
      </c>
      <c r="C191" s="27" t="str">
        <f t="shared" si="12"/>
        <v>Fannin</v>
      </c>
      <c r="D191" s="27">
        <v>1787</v>
      </c>
      <c r="E191" s="2">
        <f>'GA pre'!K46</f>
        <v>77</v>
      </c>
      <c r="F191" s="27">
        <v>100</v>
      </c>
      <c r="G191" s="2">
        <v>3751</v>
      </c>
      <c r="H191" s="28">
        <f>'GA pre'!U46</f>
        <v>27.402597402597401</v>
      </c>
      <c r="I191" s="2">
        <v>9532.3799999999992</v>
      </c>
      <c r="J191" s="27">
        <v>40</v>
      </c>
      <c r="K191" s="2">
        <f>'GA pre'!AB46</f>
        <v>40100</v>
      </c>
      <c r="L191" s="23">
        <v>1905</v>
      </c>
      <c r="M191" s="27" t="s">
        <v>492</v>
      </c>
      <c r="N191" s="27" t="s">
        <v>495</v>
      </c>
      <c r="O191" s="27" t="str">
        <f t="shared" si="16"/>
        <v>http://hdl.handle.net/2027/uc1.b2986586?urlappend=%3Bseq=313</v>
      </c>
      <c r="P191" s="27" t="s">
        <v>492</v>
      </c>
      <c r="Q191" s="27" t="str">
        <f t="shared" si="17"/>
        <v>https://babel.hathitrust.org/cgi/pt?id=uc1.b2986586;view=1up;seq=306</v>
      </c>
      <c r="R191" s="27" t="s">
        <v>494</v>
      </c>
      <c r="S191" s="27" t="s">
        <v>492</v>
      </c>
      <c r="T191" s="27" t="str">
        <f t="shared" si="18"/>
        <v>https://babel.hathitrust.org/cgi/pt?id=uc1.b2986586;view=1up;seq=318</v>
      </c>
      <c r="U191" s="4"/>
      <c r="V191" s="4"/>
      <c r="W191" s="4"/>
      <c r="X191" s="4"/>
      <c r="Y191" s="4"/>
      <c r="Z191" s="4"/>
      <c r="AA191" s="4"/>
      <c r="AB191" s="4"/>
    </row>
    <row r="192" spans="1:28" x14ac:dyDescent="0.25">
      <c r="A192" s="27" t="s">
        <v>778</v>
      </c>
      <c r="B192" s="27" t="str">
        <f t="shared" si="11"/>
        <v>Georgia</v>
      </c>
      <c r="C192" s="27" t="str">
        <f t="shared" si="12"/>
        <v>Fayette</v>
      </c>
      <c r="D192" s="27">
        <v>1201</v>
      </c>
      <c r="E192" s="2">
        <f>'GA pre'!K47</f>
        <v>50</v>
      </c>
      <c r="F192" s="27">
        <v>100</v>
      </c>
      <c r="G192" s="2">
        <v>2360</v>
      </c>
      <c r="H192" s="28">
        <f>'GA pre'!U47</f>
        <v>32.24</v>
      </c>
      <c r="I192" s="2">
        <v>7209.18</v>
      </c>
      <c r="J192" s="27">
        <v>93</v>
      </c>
      <c r="K192" s="2">
        <f>'GA pre'!AB47</f>
        <v>23100</v>
      </c>
      <c r="L192" s="23">
        <v>1905</v>
      </c>
      <c r="M192" s="27" t="s">
        <v>492</v>
      </c>
      <c r="N192" s="27" t="s">
        <v>495</v>
      </c>
      <c r="O192" s="27" t="str">
        <f t="shared" si="16"/>
        <v>http://hdl.handle.net/2027/uc1.b2986586?urlappend=%3Bseq=313</v>
      </c>
      <c r="P192" s="27" t="s">
        <v>492</v>
      </c>
      <c r="Q192" s="27" t="str">
        <f t="shared" si="17"/>
        <v>https://babel.hathitrust.org/cgi/pt?id=uc1.b2986586;view=1up;seq=306</v>
      </c>
      <c r="R192" s="27" t="s">
        <v>494</v>
      </c>
      <c r="S192" s="27" t="s">
        <v>492</v>
      </c>
      <c r="T192" s="27" t="str">
        <f t="shared" si="18"/>
        <v>https://babel.hathitrust.org/cgi/pt?id=uc1.b2986586;view=1up;seq=318</v>
      </c>
      <c r="U192" s="4"/>
      <c r="V192" s="4"/>
      <c r="W192" s="4"/>
      <c r="X192" s="4"/>
      <c r="Y192" s="4"/>
      <c r="Z192" s="4"/>
      <c r="AA192" s="4"/>
      <c r="AB192" s="4"/>
    </row>
    <row r="193" spans="1:28" x14ac:dyDescent="0.25">
      <c r="A193" s="27" t="s">
        <v>779</v>
      </c>
      <c r="B193" s="27" t="str">
        <f t="shared" si="11"/>
        <v>Georgia</v>
      </c>
      <c r="C193" s="27" t="str">
        <f t="shared" si="12"/>
        <v>Floyd</v>
      </c>
      <c r="D193" s="27">
        <v>2389</v>
      </c>
      <c r="E193" s="2">
        <f>'GA pre'!K48</f>
        <v>117</v>
      </c>
      <c r="F193" s="27">
        <v>100</v>
      </c>
      <c r="G193" s="2">
        <v>5545</v>
      </c>
      <c r="H193" s="28">
        <f>'GA pre'!U48</f>
        <v>26.820512820512821</v>
      </c>
      <c r="I193" s="2">
        <v>17799.099999999999</v>
      </c>
      <c r="J193" s="27">
        <v>53</v>
      </c>
      <c r="K193" s="2">
        <f>'GA pre'!AB48</f>
        <v>25000</v>
      </c>
      <c r="L193" s="23">
        <v>1905</v>
      </c>
      <c r="M193" s="27" t="s">
        <v>492</v>
      </c>
      <c r="N193" s="27" t="s">
        <v>495</v>
      </c>
      <c r="O193" s="27" t="str">
        <f t="shared" si="16"/>
        <v>http://hdl.handle.net/2027/uc1.b2986586?urlappend=%3Bseq=313</v>
      </c>
      <c r="P193" s="27" t="s">
        <v>492</v>
      </c>
      <c r="Q193" s="27" t="str">
        <f t="shared" si="17"/>
        <v>https://babel.hathitrust.org/cgi/pt?id=uc1.b2986586;view=1up;seq=306</v>
      </c>
      <c r="R193" s="27" t="s">
        <v>494</v>
      </c>
      <c r="S193" s="27" t="s">
        <v>492</v>
      </c>
      <c r="T193" s="27" t="str">
        <f t="shared" si="18"/>
        <v>https://babel.hathitrust.org/cgi/pt?id=uc1.b2986586;view=1up;seq=318</v>
      </c>
      <c r="U193" s="4"/>
      <c r="V193" s="4"/>
      <c r="W193" s="4"/>
      <c r="X193" s="4"/>
      <c r="Y193" s="4"/>
      <c r="Z193" s="4"/>
      <c r="AA193" s="4"/>
      <c r="AB193" s="4"/>
    </row>
    <row r="194" spans="1:28" x14ac:dyDescent="0.25">
      <c r="A194" s="27" t="s">
        <v>780</v>
      </c>
      <c r="B194" s="27" t="str">
        <f t="shared" si="11"/>
        <v>Georgia</v>
      </c>
      <c r="C194" s="27" t="str">
        <f t="shared" si="12"/>
        <v>Forsyth</v>
      </c>
      <c r="D194" s="27">
        <v>1484</v>
      </c>
      <c r="E194" s="2">
        <f>'GA pre'!K49</f>
        <v>57</v>
      </c>
      <c r="F194" s="27">
        <v>100</v>
      </c>
      <c r="G194" s="2">
        <v>3335</v>
      </c>
      <c r="H194" s="28">
        <f>'GA pre'!U49</f>
        <v>0</v>
      </c>
      <c r="I194" s="2">
        <v>8646.66</v>
      </c>
      <c r="J194" s="27">
        <v>49</v>
      </c>
      <c r="K194" s="2">
        <f>'GA pre'!AB49</f>
        <v>8150</v>
      </c>
      <c r="L194" s="23">
        <v>1905</v>
      </c>
      <c r="M194" s="27" t="s">
        <v>492</v>
      </c>
      <c r="N194" s="27" t="s">
        <v>495</v>
      </c>
      <c r="O194" s="27" t="str">
        <f t="shared" si="16"/>
        <v>http://hdl.handle.net/2027/uc1.b2986586?urlappend=%3Bseq=313</v>
      </c>
      <c r="P194" s="27" t="s">
        <v>492</v>
      </c>
      <c r="Q194" s="27" t="str">
        <f t="shared" si="17"/>
        <v>https://babel.hathitrust.org/cgi/pt?id=uc1.b2986586;view=1up;seq=306</v>
      </c>
      <c r="R194" s="27" t="s">
        <v>494</v>
      </c>
      <c r="S194" s="27" t="s">
        <v>492</v>
      </c>
      <c r="T194" s="27" t="str">
        <f t="shared" si="18"/>
        <v>https://babel.hathitrust.org/cgi/pt?id=uc1.b2986586;view=1up;seq=318</v>
      </c>
      <c r="U194" s="4"/>
      <c r="V194" s="4"/>
      <c r="W194" s="4"/>
      <c r="X194" s="4"/>
      <c r="Y194" s="4"/>
      <c r="Z194" s="4"/>
      <c r="AA194" s="4"/>
      <c r="AB194" s="4"/>
    </row>
    <row r="195" spans="1:28" x14ac:dyDescent="0.25">
      <c r="A195" s="27" t="s">
        <v>781</v>
      </c>
      <c r="B195" s="27" t="str">
        <f t="shared" si="11"/>
        <v>Georgia</v>
      </c>
      <c r="C195" s="27" t="str">
        <f t="shared" si="12"/>
        <v>Franklin</v>
      </c>
      <c r="D195" s="27"/>
      <c r="E195" s="2">
        <f>'GA pre'!K50</f>
        <v>55</v>
      </c>
      <c r="F195" s="27">
        <v>100</v>
      </c>
      <c r="G195" s="27"/>
      <c r="H195" s="28">
        <f>'GA pre'!U50</f>
        <v>0</v>
      </c>
      <c r="I195" s="2">
        <v>10778.68</v>
      </c>
      <c r="J195" s="27">
        <v>40</v>
      </c>
      <c r="K195" s="2">
        <f>'GA pre'!AB50</f>
        <v>17790</v>
      </c>
      <c r="L195" s="23">
        <v>1905</v>
      </c>
      <c r="M195" s="27" t="s">
        <v>492</v>
      </c>
      <c r="N195" s="27" t="s">
        <v>495</v>
      </c>
      <c r="O195" s="27" t="str">
        <f t="shared" si="16"/>
        <v>http://hdl.handle.net/2027/uc1.b2986586?urlappend=%3Bseq=313</v>
      </c>
      <c r="P195" s="27" t="s">
        <v>492</v>
      </c>
      <c r="Q195" s="27" t="str">
        <f t="shared" si="17"/>
        <v>https://babel.hathitrust.org/cgi/pt?id=uc1.b2986586;view=1up;seq=306</v>
      </c>
      <c r="R195" s="27" t="s">
        <v>494</v>
      </c>
      <c r="S195" s="27" t="s">
        <v>492</v>
      </c>
      <c r="T195" s="27" t="str">
        <f t="shared" si="18"/>
        <v>https://babel.hathitrust.org/cgi/pt?id=uc1.b2986586;view=1up;seq=318</v>
      </c>
      <c r="U195" s="4"/>
      <c r="V195" s="4"/>
      <c r="W195" s="4"/>
      <c r="X195" s="4"/>
      <c r="Y195" s="4"/>
      <c r="Z195" s="4"/>
      <c r="AA195" s="4"/>
      <c r="AB195" s="4"/>
    </row>
    <row r="196" spans="1:28" x14ac:dyDescent="0.25">
      <c r="A196" s="27" t="s">
        <v>783</v>
      </c>
      <c r="B196" s="27" t="str">
        <f t="shared" si="11"/>
        <v>Georgia</v>
      </c>
      <c r="C196" s="27" t="str">
        <f t="shared" si="12"/>
        <v>Gilmer</v>
      </c>
      <c r="D196" s="27">
        <v>1543</v>
      </c>
      <c r="E196" s="2">
        <f>'GA pre'!K51</f>
        <v>68</v>
      </c>
      <c r="F196" s="27"/>
      <c r="G196" s="2">
        <v>2614</v>
      </c>
      <c r="H196" s="28">
        <f>'GA pre'!U51</f>
        <v>25.441176470588236</v>
      </c>
      <c r="I196" s="2">
        <v>7927.92</v>
      </c>
      <c r="J196" s="27">
        <v>21</v>
      </c>
      <c r="K196" s="2">
        <f>'GA pre'!AB51</f>
        <v>13075</v>
      </c>
      <c r="L196" s="23">
        <v>1905</v>
      </c>
      <c r="M196" s="27" t="s">
        <v>492</v>
      </c>
      <c r="N196" s="27" t="s">
        <v>495</v>
      </c>
      <c r="O196" s="27" t="str">
        <f t="shared" si="16"/>
        <v>http://hdl.handle.net/2027/uc1.b2986586?urlappend=%3Bseq=313</v>
      </c>
      <c r="P196" s="27" t="s">
        <v>492</v>
      </c>
      <c r="Q196" s="27" t="str">
        <f t="shared" si="17"/>
        <v>https://babel.hathitrust.org/cgi/pt?id=uc1.b2986586;view=1up;seq=306</v>
      </c>
      <c r="R196" s="27" t="s">
        <v>494</v>
      </c>
      <c r="S196" s="27" t="s">
        <v>492</v>
      </c>
      <c r="T196" s="27" t="str">
        <f t="shared" si="18"/>
        <v>https://babel.hathitrust.org/cgi/pt?id=uc1.b2986586;view=1up;seq=318</v>
      </c>
      <c r="U196" s="4"/>
      <c r="V196" s="4"/>
      <c r="W196" s="4"/>
      <c r="X196" s="4"/>
      <c r="Y196" s="4"/>
      <c r="Z196" s="4"/>
      <c r="AA196" s="4"/>
      <c r="AB196" s="4"/>
    </row>
    <row r="197" spans="1:28" x14ac:dyDescent="0.25">
      <c r="A197" s="27" t="s">
        <v>784</v>
      </c>
      <c r="B197" s="27" t="str">
        <f t="shared" si="11"/>
        <v>Georgia</v>
      </c>
      <c r="C197" s="27" t="str">
        <f t="shared" si="12"/>
        <v>Glascock</v>
      </c>
      <c r="D197" s="27">
        <v>668</v>
      </c>
      <c r="E197" s="2">
        <f>'GA pre'!K52</f>
        <v>21</v>
      </c>
      <c r="F197" s="27">
        <v>110</v>
      </c>
      <c r="G197" s="2">
        <v>1254</v>
      </c>
      <c r="H197" s="28">
        <f>'GA pre'!U52</f>
        <v>23.80952380952381</v>
      </c>
      <c r="I197" s="2">
        <v>3426.72</v>
      </c>
      <c r="J197" s="27">
        <v>54</v>
      </c>
      <c r="K197" s="2">
        <f>'GA pre'!AB52</f>
        <v>4800</v>
      </c>
      <c r="L197" s="23">
        <v>1905</v>
      </c>
      <c r="M197" s="27" t="s">
        <v>492</v>
      </c>
      <c r="N197" s="27" t="s">
        <v>495</v>
      </c>
      <c r="O197" s="27" t="str">
        <f t="shared" si="16"/>
        <v>http://hdl.handle.net/2027/uc1.b2986586?urlappend=%3Bseq=313</v>
      </c>
      <c r="P197" s="27" t="s">
        <v>492</v>
      </c>
      <c r="Q197" s="27" t="str">
        <f t="shared" si="17"/>
        <v>https://babel.hathitrust.org/cgi/pt?id=uc1.b2986586;view=1up;seq=306</v>
      </c>
      <c r="R197" s="27" t="s">
        <v>494</v>
      </c>
      <c r="S197" s="27" t="s">
        <v>492</v>
      </c>
      <c r="T197" s="27" t="str">
        <f t="shared" si="18"/>
        <v>https://babel.hathitrust.org/cgi/pt?id=uc1.b2986586;view=1up;seq=318</v>
      </c>
      <c r="U197" s="4"/>
      <c r="V197" s="4"/>
      <c r="W197" s="4"/>
      <c r="X197" s="4"/>
      <c r="Y197" s="4"/>
      <c r="Z197" s="4"/>
      <c r="AA197" s="4"/>
      <c r="AB197" s="4"/>
    </row>
    <row r="198" spans="1:28" x14ac:dyDescent="0.25">
      <c r="A198" s="27" t="s">
        <v>786</v>
      </c>
      <c r="B198" s="27" t="str">
        <f t="shared" si="11"/>
        <v>Georgia</v>
      </c>
      <c r="C198" s="27" t="str">
        <f t="shared" si="12"/>
        <v>Gordon</v>
      </c>
      <c r="D198" s="27">
        <v>1755</v>
      </c>
      <c r="E198" s="2">
        <f>'GA pre'!K53</f>
        <v>80</v>
      </c>
      <c r="F198" s="27">
        <v>100</v>
      </c>
      <c r="G198" s="2">
        <v>3341</v>
      </c>
      <c r="H198" s="28">
        <f>'GA pre'!U53</f>
        <v>26.9375</v>
      </c>
      <c r="I198" s="2">
        <v>10224.5</v>
      </c>
      <c r="J198" s="27">
        <v>59</v>
      </c>
      <c r="K198" s="2">
        <f>'GA pre'!AB53</f>
        <v>19500</v>
      </c>
      <c r="L198" s="23">
        <v>1905</v>
      </c>
      <c r="M198" s="27" t="s">
        <v>492</v>
      </c>
      <c r="N198" s="27" t="s">
        <v>495</v>
      </c>
      <c r="O198" s="27" t="str">
        <f t="shared" si="16"/>
        <v>http://hdl.handle.net/2027/uc1.b2986586?urlappend=%3Bseq=313</v>
      </c>
      <c r="P198" s="27" t="s">
        <v>492</v>
      </c>
      <c r="Q198" s="27" t="str">
        <f t="shared" si="17"/>
        <v>https://babel.hathitrust.org/cgi/pt?id=uc1.b2986586;view=1up;seq=306</v>
      </c>
      <c r="R198" s="27" t="s">
        <v>494</v>
      </c>
      <c r="S198" s="27" t="s">
        <v>492</v>
      </c>
      <c r="T198" s="27" t="str">
        <f t="shared" si="18"/>
        <v>https://babel.hathitrust.org/cgi/pt?id=uc1.b2986586;view=1up;seq=318</v>
      </c>
      <c r="U198" s="4"/>
      <c r="V198" s="4"/>
      <c r="W198" s="4"/>
      <c r="X198" s="4"/>
      <c r="Y198" s="4"/>
      <c r="Z198" s="4"/>
      <c r="AA198" s="4"/>
      <c r="AB198" s="4"/>
    </row>
    <row r="199" spans="1:28" x14ac:dyDescent="0.25">
      <c r="A199" s="27" t="s">
        <v>787</v>
      </c>
      <c r="B199" s="27" t="str">
        <f t="shared" ref="B199:B262" si="19">LEFT(A199,FIND(";",A199)-1)</f>
        <v>Georgia</v>
      </c>
      <c r="C199" s="27" t="str">
        <f t="shared" ref="C199:C262" si="20">MID(A199,FIND(";",A199)+1,100)</f>
        <v>Grady</v>
      </c>
      <c r="D199" s="27"/>
      <c r="E199" s="2"/>
      <c r="F199" s="27">
        <v>120</v>
      </c>
      <c r="G199" s="27"/>
      <c r="H199" s="28"/>
      <c r="I199" s="2">
        <v>12446.06</v>
      </c>
      <c r="J199" s="27">
        <v>87</v>
      </c>
      <c r="K199" s="2"/>
      <c r="L199" s="23">
        <v>1905</v>
      </c>
      <c r="M199" s="27" t="s">
        <v>492</v>
      </c>
      <c r="N199" s="27" t="s">
        <v>495</v>
      </c>
      <c r="O199" s="27" t="str">
        <f t="shared" si="16"/>
        <v>http://hdl.handle.net/2027/uc1.b2986586?urlappend=%3Bseq=313</v>
      </c>
      <c r="P199" s="27" t="s">
        <v>492</v>
      </c>
      <c r="Q199" s="27" t="str">
        <f t="shared" si="17"/>
        <v>https://babel.hathitrust.org/cgi/pt?id=uc1.b2986586;view=1up;seq=306</v>
      </c>
      <c r="R199" s="27" t="s">
        <v>494</v>
      </c>
      <c r="S199" s="27" t="s">
        <v>492</v>
      </c>
      <c r="T199" s="27" t="str">
        <f t="shared" si="18"/>
        <v>https://babel.hathitrust.org/cgi/pt?id=uc1.b2986586;view=1up;seq=318</v>
      </c>
      <c r="U199" s="4"/>
      <c r="V199" s="4"/>
      <c r="W199" s="4"/>
      <c r="X199" s="4"/>
      <c r="Y199" s="4"/>
      <c r="Z199" s="4"/>
      <c r="AA199" s="4"/>
      <c r="AB199" s="4"/>
    </row>
    <row r="200" spans="1:28" x14ac:dyDescent="0.25">
      <c r="A200" s="27" t="s">
        <v>788</v>
      </c>
      <c r="B200" s="27" t="str">
        <f t="shared" si="19"/>
        <v>Georgia</v>
      </c>
      <c r="C200" s="27" t="str">
        <f t="shared" si="20"/>
        <v>Greene</v>
      </c>
      <c r="D200" s="27">
        <v>1926</v>
      </c>
      <c r="E200" s="2">
        <f>'GA pre'!K55</f>
        <v>62</v>
      </c>
      <c r="F200" s="27">
        <v>120</v>
      </c>
      <c r="G200" s="2">
        <v>3411</v>
      </c>
      <c r="H200" s="28">
        <f>'GA pre'!U55</f>
        <v>28.637096774193548</v>
      </c>
      <c r="I200" s="2">
        <v>13535.06</v>
      </c>
      <c r="J200" s="27">
        <v>56</v>
      </c>
      <c r="K200" s="2">
        <f>'GA pre'!AB55</f>
        <v>12940</v>
      </c>
      <c r="L200" s="23">
        <v>1905</v>
      </c>
      <c r="M200" s="27" t="s">
        <v>492</v>
      </c>
      <c r="N200" s="27" t="s">
        <v>495</v>
      </c>
      <c r="O200" s="27" t="str">
        <f t="shared" si="16"/>
        <v>http://hdl.handle.net/2027/uc1.b2986586?urlappend=%3Bseq=313</v>
      </c>
      <c r="P200" s="27" t="s">
        <v>492</v>
      </c>
      <c r="Q200" s="27" t="str">
        <f t="shared" si="17"/>
        <v>https://babel.hathitrust.org/cgi/pt?id=uc1.b2986586;view=1up;seq=306</v>
      </c>
      <c r="R200" s="27" t="s">
        <v>494</v>
      </c>
      <c r="S200" s="27" t="s">
        <v>492</v>
      </c>
      <c r="T200" s="27" t="str">
        <f t="shared" si="18"/>
        <v>https://babel.hathitrust.org/cgi/pt?id=uc1.b2986586;view=1up;seq=318</v>
      </c>
      <c r="U200" s="4"/>
      <c r="V200" s="4"/>
      <c r="W200" s="4"/>
      <c r="X200" s="4"/>
      <c r="Y200" s="4"/>
      <c r="Z200" s="4"/>
      <c r="AA200" s="4"/>
      <c r="AB200" s="4"/>
    </row>
    <row r="201" spans="1:28" x14ac:dyDescent="0.25">
      <c r="A201" s="27" t="s">
        <v>789</v>
      </c>
      <c r="B201" s="27" t="str">
        <f t="shared" si="19"/>
        <v>Georgia</v>
      </c>
      <c r="C201" s="27" t="str">
        <f t="shared" si="20"/>
        <v>Gwinnett</v>
      </c>
      <c r="D201" s="27">
        <v>2411</v>
      </c>
      <c r="E201" s="2">
        <f>'GA pre'!K56</f>
        <v>112</v>
      </c>
      <c r="F201" s="27">
        <v>100</v>
      </c>
      <c r="G201" s="2">
        <v>6684</v>
      </c>
      <c r="H201" s="28">
        <f>'GA pre'!U56</f>
        <v>34.017857142857146</v>
      </c>
      <c r="I201" s="2">
        <v>18755</v>
      </c>
      <c r="J201" s="27">
        <v>78</v>
      </c>
      <c r="K201" s="2">
        <f>'GA pre'!AB56</f>
        <v>15000</v>
      </c>
      <c r="L201" s="23">
        <v>1905</v>
      </c>
      <c r="M201" s="27" t="s">
        <v>492</v>
      </c>
      <c r="N201" s="27" t="s">
        <v>495</v>
      </c>
      <c r="O201" s="27" t="str">
        <f t="shared" si="16"/>
        <v>http://hdl.handle.net/2027/uc1.b2986586?urlappend=%3Bseq=313</v>
      </c>
      <c r="P201" s="27" t="s">
        <v>492</v>
      </c>
      <c r="Q201" s="27" t="str">
        <f t="shared" si="17"/>
        <v>https://babel.hathitrust.org/cgi/pt?id=uc1.b2986586;view=1up;seq=306</v>
      </c>
      <c r="R201" s="27" t="s">
        <v>494</v>
      </c>
      <c r="S201" s="27" t="s">
        <v>492</v>
      </c>
      <c r="T201" s="27" t="str">
        <f t="shared" si="18"/>
        <v>https://babel.hathitrust.org/cgi/pt?id=uc1.b2986586;view=1up;seq=318</v>
      </c>
      <c r="U201" s="4"/>
      <c r="V201" s="4"/>
      <c r="W201" s="4"/>
      <c r="X201" s="4"/>
      <c r="Y201" s="4"/>
      <c r="Z201" s="4"/>
      <c r="AA201" s="4"/>
      <c r="AB201" s="4"/>
    </row>
    <row r="202" spans="1:28" x14ac:dyDescent="0.25">
      <c r="A202" s="27" t="s">
        <v>790</v>
      </c>
      <c r="B202" s="27" t="str">
        <f t="shared" si="19"/>
        <v>Georgia</v>
      </c>
      <c r="C202" s="27" t="str">
        <f t="shared" si="20"/>
        <v>Habersham</v>
      </c>
      <c r="D202" s="27">
        <v>1544</v>
      </c>
      <c r="E202" s="2">
        <f>'GA pre'!K57</f>
        <v>56</v>
      </c>
      <c r="F202" s="27">
        <v>100</v>
      </c>
      <c r="G202" s="2">
        <v>2581</v>
      </c>
      <c r="H202" s="28">
        <f>'GA pre'!U57</f>
        <v>23.401785714285715</v>
      </c>
      <c r="I202" s="2">
        <v>6596.92</v>
      </c>
      <c r="J202" s="27">
        <v>47</v>
      </c>
      <c r="K202" s="2">
        <f>'GA pre'!AB57</f>
        <v>12975</v>
      </c>
      <c r="L202" s="23">
        <v>1905</v>
      </c>
      <c r="M202" s="27" t="s">
        <v>492</v>
      </c>
      <c r="N202" s="27" t="s">
        <v>495</v>
      </c>
      <c r="O202" s="27" t="str">
        <f t="shared" si="16"/>
        <v>http://hdl.handle.net/2027/uc1.b2986586?urlappend=%3Bseq=313</v>
      </c>
      <c r="P202" s="27" t="s">
        <v>492</v>
      </c>
      <c r="Q202" s="27" t="str">
        <f t="shared" si="17"/>
        <v>https://babel.hathitrust.org/cgi/pt?id=uc1.b2986586;view=1up;seq=306</v>
      </c>
      <c r="R202" s="27" t="s">
        <v>494</v>
      </c>
      <c r="S202" s="27" t="s">
        <v>492</v>
      </c>
      <c r="T202" s="27" t="str">
        <f t="shared" si="18"/>
        <v>https://babel.hathitrust.org/cgi/pt?id=uc1.b2986586;view=1up;seq=318</v>
      </c>
      <c r="U202" s="4"/>
      <c r="V202" s="4"/>
      <c r="W202" s="4"/>
      <c r="X202" s="4"/>
      <c r="Y202" s="4"/>
      <c r="Z202" s="4"/>
      <c r="AA202" s="4"/>
      <c r="AB202" s="4"/>
    </row>
    <row r="203" spans="1:28" x14ac:dyDescent="0.25">
      <c r="A203" s="27" t="s">
        <v>791</v>
      </c>
      <c r="B203" s="27" t="str">
        <f t="shared" si="19"/>
        <v>Georgia</v>
      </c>
      <c r="C203" s="27" t="str">
        <f t="shared" si="20"/>
        <v>Hall</v>
      </c>
      <c r="D203" s="27">
        <v>2751</v>
      </c>
      <c r="E203" s="2">
        <f>'GA pre'!K58</f>
        <v>82</v>
      </c>
      <c r="F203" s="27">
        <v>100</v>
      </c>
      <c r="G203" s="2">
        <v>5089</v>
      </c>
      <c r="H203" s="28">
        <f>'GA pre'!U58</f>
        <v>30.292682926829269</v>
      </c>
      <c r="I203" s="2">
        <v>14827.34</v>
      </c>
      <c r="J203" s="27">
        <v>68</v>
      </c>
      <c r="K203" s="2">
        <f>'GA pre'!AB58</f>
        <v>70080</v>
      </c>
      <c r="L203" s="23">
        <v>1905</v>
      </c>
      <c r="M203" s="27" t="s">
        <v>492</v>
      </c>
      <c r="N203" s="27" t="s">
        <v>495</v>
      </c>
      <c r="O203" s="27" t="str">
        <f t="shared" si="16"/>
        <v>http://hdl.handle.net/2027/uc1.b2986586?urlappend=%3Bseq=313</v>
      </c>
      <c r="P203" s="27" t="s">
        <v>492</v>
      </c>
      <c r="Q203" s="27" t="str">
        <f t="shared" si="17"/>
        <v>https://babel.hathitrust.org/cgi/pt?id=uc1.b2986586;view=1up;seq=306</v>
      </c>
      <c r="R203" s="27" t="s">
        <v>494</v>
      </c>
      <c r="S203" s="27" t="s">
        <v>492</v>
      </c>
      <c r="T203" s="27" t="str">
        <f t="shared" si="18"/>
        <v>https://babel.hathitrust.org/cgi/pt?id=uc1.b2986586;view=1up;seq=318</v>
      </c>
      <c r="U203" s="4"/>
      <c r="V203" s="4"/>
      <c r="W203" s="4"/>
      <c r="X203" s="4"/>
      <c r="Y203" s="4"/>
      <c r="Z203" s="4"/>
      <c r="AA203" s="4"/>
      <c r="AB203" s="4"/>
    </row>
    <row r="204" spans="1:28" x14ac:dyDescent="0.25">
      <c r="A204" s="27" t="s">
        <v>793</v>
      </c>
      <c r="B204" s="27" t="str">
        <f t="shared" si="19"/>
        <v>Georgia</v>
      </c>
      <c r="C204" s="27" t="str">
        <f t="shared" si="20"/>
        <v>Haralson</v>
      </c>
      <c r="D204" s="27">
        <v>2018</v>
      </c>
      <c r="E204" s="2">
        <f>'GA pre'!K59</f>
        <v>53</v>
      </c>
      <c r="F204" s="27">
        <v>110</v>
      </c>
      <c r="G204" s="2">
        <v>3709</v>
      </c>
      <c r="H204" s="28">
        <f>'GA pre'!U59</f>
        <v>28.79245283018868</v>
      </c>
      <c r="I204" s="2">
        <v>9469.4599999999991</v>
      </c>
      <c r="J204" s="27">
        <v>56</v>
      </c>
      <c r="K204" s="2">
        <f>'GA pre'!AB59</f>
        <v>24800</v>
      </c>
      <c r="L204" s="23">
        <v>1905</v>
      </c>
      <c r="M204" s="27" t="s">
        <v>492</v>
      </c>
      <c r="N204" s="27" t="s">
        <v>495</v>
      </c>
      <c r="O204" s="27" t="str">
        <f t="shared" si="16"/>
        <v>http://hdl.handle.net/2027/uc1.b2986586?urlappend=%3Bseq=313</v>
      </c>
      <c r="P204" s="27" t="s">
        <v>492</v>
      </c>
      <c r="Q204" s="27" t="str">
        <f t="shared" si="17"/>
        <v>https://babel.hathitrust.org/cgi/pt?id=uc1.b2986586;view=1up;seq=306</v>
      </c>
      <c r="R204" s="27" t="s">
        <v>494</v>
      </c>
      <c r="S204" s="27" t="s">
        <v>492</v>
      </c>
      <c r="T204" s="27" t="str">
        <f t="shared" si="18"/>
        <v>https://babel.hathitrust.org/cgi/pt?id=uc1.b2986586;view=1up;seq=318</v>
      </c>
      <c r="U204" s="4"/>
      <c r="V204" s="4"/>
      <c r="W204" s="4"/>
      <c r="X204" s="4"/>
      <c r="Y204" s="4"/>
      <c r="Z204" s="4"/>
      <c r="AA204" s="4"/>
      <c r="AB204" s="4"/>
    </row>
    <row r="205" spans="1:28" x14ac:dyDescent="0.25">
      <c r="A205" s="27" t="s">
        <v>794</v>
      </c>
      <c r="B205" s="27" t="str">
        <f t="shared" si="19"/>
        <v>Georgia</v>
      </c>
      <c r="C205" s="27" t="str">
        <f t="shared" si="20"/>
        <v>Harris</v>
      </c>
      <c r="D205" s="27">
        <v>2352</v>
      </c>
      <c r="E205" s="2">
        <f>'GA pre'!K60</f>
        <v>66</v>
      </c>
      <c r="F205" s="27">
        <v>100</v>
      </c>
      <c r="G205" s="2">
        <v>3652</v>
      </c>
      <c r="H205" s="28">
        <f>'GA pre'!U60</f>
        <v>28.803030303030305</v>
      </c>
      <c r="I205" s="2">
        <v>12760.66</v>
      </c>
      <c r="J205" s="27">
        <v>62</v>
      </c>
      <c r="K205" s="2">
        <f>'GA pre'!AB60</f>
        <v>13550</v>
      </c>
      <c r="L205" s="23">
        <v>1905</v>
      </c>
      <c r="M205" s="27" t="s">
        <v>492</v>
      </c>
      <c r="N205" s="27" t="s">
        <v>495</v>
      </c>
      <c r="O205" s="27" t="str">
        <f t="shared" si="16"/>
        <v>http://hdl.handle.net/2027/uc1.b2986586?urlappend=%3Bseq=313</v>
      </c>
      <c r="P205" s="27" t="s">
        <v>492</v>
      </c>
      <c r="Q205" s="27" t="str">
        <f t="shared" si="17"/>
        <v>https://babel.hathitrust.org/cgi/pt?id=uc1.b2986586;view=1up;seq=306</v>
      </c>
      <c r="R205" s="27" t="s">
        <v>494</v>
      </c>
      <c r="S205" s="27" t="s">
        <v>492</v>
      </c>
      <c r="T205" s="27" t="str">
        <f t="shared" si="18"/>
        <v>https://babel.hathitrust.org/cgi/pt?id=uc1.b2986586;view=1up;seq=318</v>
      </c>
      <c r="U205" s="4"/>
      <c r="V205" s="4"/>
      <c r="W205" s="4"/>
      <c r="X205" s="4"/>
      <c r="Y205" s="4"/>
      <c r="Z205" s="4"/>
      <c r="AA205" s="4"/>
      <c r="AB205" s="4"/>
    </row>
    <row r="206" spans="1:28" x14ac:dyDescent="0.25">
      <c r="A206" s="27" t="s">
        <v>795</v>
      </c>
      <c r="B206" s="27" t="str">
        <f t="shared" si="19"/>
        <v>Georgia</v>
      </c>
      <c r="C206" s="27" t="str">
        <f t="shared" si="20"/>
        <v>Hart</v>
      </c>
      <c r="D206" s="27">
        <v>1795</v>
      </c>
      <c r="E206" s="2">
        <f>'GA pre'!K61</f>
        <v>87</v>
      </c>
      <c r="F206" s="27">
        <v>100</v>
      </c>
      <c r="G206" s="2">
        <v>3854</v>
      </c>
      <c r="H206" s="28">
        <f>'GA pre'!U61</f>
        <v>30.310344827586206</v>
      </c>
      <c r="I206" s="2">
        <v>10875.48</v>
      </c>
      <c r="J206" s="27">
        <v>57</v>
      </c>
      <c r="K206" s="2">
        <f>'GA pre'!AB61</f>
        <v>16400</v>
      </c>
      <c r="L206" s="23">
        <v>1905</v>
      </c>
      <c r="M206" s="27" t="s">
        <v>492</v>
      </c>
      <c r="N206" s="27" t="s">
        <v>495</v>
      </c>
      <c r="O206" s="27" t="str">
        <f t="shared" si="16"/>
        <v>http://hdl.handle.net/2027/uc1.b2986586?urlappend=%3Bseq=313</v>
      </c>
      <c r="P206" s="27" t="s">
        <v>492</v>
      </c>
      <c r="Q206" s="27" t="str">
        <f t="shared" si="17"/>
        <v>https://babel.hathitrust.org/cgi/pt?id=uc1.b2986586;view=1up;seq=306</v>
      </c>
      <c r="R206" s="27" t="s">
        <v>494</v>
      </c>
      <c r="S206" s="27" t="s">
        <v>492</v>
      </c>
      <c r="T206" s="27" t="str">
        <f t="shared" si="18"/>
        <v>https://babel.hathitrust.org/cgi/pt?id=uc1.b2986586;view=1up;seq=318</v>
      </c>
      <c r="U206" s="4"/>
      <c r="V206" s="4"/>
      <c r="W206" s="4"/>
      <c r="X206" s="4"/>
      <c r="Y206" s="4"/>
      <c r="Z206" s="4"/>
      <c r="AA206" s="4"/>
      <c r="AB206" s="4"/>
    </row>
    <row r="207" spans="1:28" x14ac:dyDescent="0.25">
      <c r="A207" s="27" t="s">
        <v>796</v>
      </c>
      <c r="B207" s="27" t="str">
        <f t="shared" si="19"/>
        <v>Georgia</v>
      </c>
      <c r="C207" s="27" t="str">
        <f t="shared" si="20"/>
        <v>Heard</v>
      </c>
      <c r="D207" s="27">
        <v>2240</v>
      </c>
      <c r="E207" s="2">
        <f>'GA pre'!K62</f>
        <v>62</v>
      </c>
      <c r="F207" s="27">
        <v>140</v>
      </c>
      <c r="G207" s="2">
        <v>3628</v>
      </c>
      <c r="H207" s="28">
        <f>'GA pre'!U62</f>
        <v>0</v>
      </c>
      <c r="I207" s="2">
        <v>8641.82</v>
      </c>
      <c r="J207" s="27">
        <v>62</v>
      </c>
      <c r="K207" s="2">
        <f>'GA pre'!AB62</f>
        <v>4600</v>
      </c>
      <c r="L207" s="23">
        <v>1905</v>
      </c>
      <c r="M207" s="27" t="s">
        <v>492</v>
      </c>
      <c r="N207" s="27" t="s">
        <v>495</v>
      </c>
      <c r="O207" s="27" t="str">
        <f t="shared" si="16"/>
        <v>http://hdl.handle.net/2027/uc1.b2986586?urlappend=%3Bseq=313</v>
      </c>
      <c r="P207" s="27" t="s">
        <v>492</v>
      </c>
      <c r="Q207" s="27" t="str">
        <f t="shared" si="17"/>
        <v>https://babel.hathitrust.org/cgi/pt?id=uc1.b2986586;view=1up;seq=306</v>
      </c>
      <c r="R207" s="27" t="s">
        <v>494</v>
      </c>
      <c r="S207" s="27" t="s">
        <v>492</v>
      </c>
      <c r="T207" s="27" t="str">
        <f t="shared" si="18"/>
        <v>https://babel.hathitrust.org/cgi/pt?id=uc1.b2986586;view=1up;seq=318</v>
      </c>
      <c r="U207" s="4"/>
      <c r="V207" s="4"/>
      <c r="W207" s="4"/>
      <c r="X207" s="4"/>
      <c r="Y207" s="4"/>
      <c r="Z207" s="4"/>
      <c r="AA207" s="4"/>
      <c r="AB207" s="4"/>
    </row>
    <row r="208" spans="1:28" x14ac:dyDescent="0.25">
      <c r="A208" s="27" t="s">
        <v>797</v>
      </c>
      <c r="B208" s="27" t="str">
        <f t="shared" si="19"/>
        <v>Georgia</v>
      </c>
      <c r="C208" s="27" t="str">
        <f t="shared" si="20"/>
        <v>Henry</v>
      </c>
      <c r="D208" s="27">
        <v>2987</v>
      </c>
      <c r="E208" s="2">
        <f>'GA pre'!K63</f>
        <v>104</v>
      </c>
      <c r="F208" s="27"/>
      <c r="G208" s="2">
        <v>5159</v>
      </c>
      <c r="H208" s="28">
        <f>'GA pre'!U63</f>
        <v>27.067307692307693</v>
      </c>
      <c r="I208" s="2">
        <v>13162.38</v>
      </c>
      <c r="J208" s="27">
        <v>74</v>
      </c>
      <c r="K208" s="2">
        <f>'GA pre'!AB63</f>
        <v>59500</v>
      </c>
      <c r="L208" s="23">
        <v>1905</v>
      </c>
      <c r="M208" s="27" t="s">
        <v>492</v>
      </c>
      <c r="N208" s="27" t="s">
        <v>495</v>
      </c>
      <c r="O208" s="27" t="str">
        <f t="shared" si="16"/>
        <v>http://hdl.handle.net/2027/uc1.b2986586?urlappend=%3Bseq=313</v>
      </c>
      <c r="P208" s="27" t="s">
        <v>492</v>
      </c>
      <c r="Q208" s="27" t="str">
        <f t="shared" si="17"/>
        <v>https://babel.hathitrust.org/cgi/pt?id=uc1.b2986586;view=1up;seq=306</v>
      </c>
      <c r="R208" s="27" t="s">
        <v>494</v>
      </c>
      <c r="S208" s="27" t="s">
        <v>492</v>
      </c>
      <c r="T208" s="27" t="str">
        <f t="shared" si="18"/>
        <v>https://babel.hathitrust.org/cgi/pt?id=uc1.b2986586;view=1up;seq=318</v>
      </c>
      <c r="U208" s="4"/>
      <c r="V208" s="4"/>
      <c r="W208" s="4"/>
      <c r="X208" s="4"/>
      <c r="Y208" s="4"/>
      <c r="Z208" s="4"/>
      <c r="AA208" s="4"/>
      <c r="AB208" s="4"/>
    </row>
    <row r="209" spans="1:28" x14ac:dyDescent="0.25">
      <c r="A209" s="27" t="s">
        <v>798</v>
      </c>
      <c r="B209" s="27" t="str">
        <f t="shared" si="19"/>
        <v>Georgia</v>
      </c>
      <c r="C209" s="27" t="str">
        <f t="shared" si="20"/>
        <v>Houston</v>
      </c>
      <c r="D209" s="27">
        <v>2156</v>
      </c>
      <c r="E209" s="2">
        <f>'GA pre'!K64</f>
        <v>102</v>
      </c>
      <c r="F209" s="27">
        <v>100</v>
      </c>
      <c r="G209" s="2">
        <v>3832</v>
      </c>
      <c r="H209" s="28">
        <f>'GA pre'!U64</f>
        <v>26.049019607843139</v>
      </c>
      <c r="I209" s="2">
        <v>17668.419999999998</v>
      </c>
      <c r="J209" s="27">
        <v>70</v>
      </c>
      <c r="K209" s="2">
        <f>'GA pre'!AB64</f>
        <v>51700</v>
      </c>
      <c r="L209" s="23">
        <v>1905</v>
      </c>
      <c r="M209" s="27" t="s">
        <v>492</v>
      </c>
      <c r="N209" s="27" t="s">
        <v>495</v>
      </c>
      <c r="O209" s="27" t="str">
        <f t="shared" si="16"/>
        <v>http://hdl.handle.net/2027/uc1.b2986586?urlappend=%3Bseq=313</v>
      </c>
      <c r="P209" s="27" t="s">
        <v>492</v>
      </c>
      <c r="Q209" s="27" t="str">
        <f t="shared" si="17"/>
        <v>https://babel.hathitrust.org/cgi/pt?id=uc1.b2986586;view=1up;seq=306</v>
      </c>
      <c r="R209" s="27" t="s">
        <v>494</v>
      </c>
      <c r="S209" s="27" t="s">
        <v>492</v>
      </c>
      <c r="T209" s="27" t="str">
        <f t="shared" si="18"/>
        <v>https://babel.hathitrust.org/cgi/pt?id=uc1.b2986586;view=1up;seq=318</v>
      </c>
      <c r="U209" s="4"/>
      <c r="V209" s="4"/>
      <c r="W209" s="4"/>
      <c r="X209" s="4"/>
      <c r="Y209" s="4"/>
      <c r="Z209" s="4"/>
      <c r="AA209" s="4"/>
      <c r="AB209" s="4"/>
    </row>
    <row r="210" spans="1:28" x14ac:dyDescent="0.25">
      <c r="A210" s="27" t="s">
        <v>799</v>
      </c>
      <c r="B210" s="27" t="str">
        <f t="shared" si="19"/>
        <v>Georgia</v>
      </c>
      <c r="C210" s="27" t="str">
        <f t="shared" si="20"/>
        <v>Irwin</v>
      </c>
      <c r="D210" s="27">
        <v>1898</v>
      </c>
      <c r="E210" s="2">
        <f>'GA pre'!K65</f>
        <v>71</v>
      </c>
      <c r="F210" s="27"/>
      <c r="G210" s="2">
        <v>2525</v>
      </c>
      <c r="H210" s="28">
        <f>'GA pre'!U65</f>
        <v>22.760563380281692</v>
      </c>
      <c r="I210" s="2">
        <v>7278.64</v>
      </c>
      <c r="J210" s="27">
        <v>46</v>
      </c>
      <c r="K210" s="2">
        <f>'GA pre'!AB65</f>
        <v>11900</v>
      </c>
      <c r="L210" s="23">
        <v>1905</v>
      </c>
      <c r="M210" s="27" t="s">
        <v>492</v>
      </c>
      <c r="N210" s="27" t="s">
        <v>495</v>
      </c>
      <c r="O210" s="27" t="str">
        <f t="shared" si="16"/>
        <v>http://hdl.handle.net/2027/uc1.b2986586?urlappend=%3Bseq=313</v>
      </c>
      <c r="P210" s="27" t="s">
        <v>492</v>
      </c>
      <c r="Q210" s="27" t="str">
        <f t="shared" si="17"/>
        <v>https://babel.hathitrust.org/cgi/pt?id=uc1.b2986586;view=1up;seq=306</v>
      </c>
      <c r="R210" s="27" t="s">
        <v>494</v>
      </c>
      <c r="S210" s="27" t="s">
        <v>492</v>
      </c>
      <c r="T210" s="27" t="str">
        <f t="shared" si="18"/>
        <v>https://babel.hathitrust.org/cgi/pt?id=uc1.b2986586;view=1up;seq=318</v>
      </c>
      <c r="U210" s="4"/>
      <c r="V210" s="4"/>
      <c r="W210" s="4"/>
      <c r="X210" s="4"/>
      <c r="Y210" s="4"/>
      <c r="Z210" s="4"/>
      <c r="AA210" s="4"/>
      <c r="AB210" s="4"/>
    </row>
    <row r="211" spans="1:28" x14ac:dyDescent="0.25">
      <c r="A211" s="27" t="s">
        <v>800</v>
      </c>
      <c r="B211" s="27" t="str">
        <f t="shared" si="19"/>
        <v>Georgia</v>
      </c>
      <c r="C211" s="27" t="str">
        <f t="shared" si="20"/>
        <v>Jackson</v>
      </c>
      <c r="D211" s="27">
        <v>3501</v>
      </c>
      <c r="E211" s="2">
        <f>'GA pre'!K66</f>
        <v>108</v>
      </c>
      <c r="F211" s="27">
        <v>100</v>
      </c>
      <c r="G211" s="2">
        <v>6469</v>
      </c>
      <c r="H211" s="28">
        <f>'GA pre'!U66</f>
        <v>32.462962962962962</v>
      </c>
      <c r="I211" s="2">
        <v>18912.3</v>
      </c>
      <c r="J211" s="27">
        <v>60</v>
      </c>
      <c r="K211" s="2">
        <f>'GA pre'!AB66</f>
        <v>72100</v>
      </c>
      <c r="L211" s="23">
        <v>1905</v>
      </c>
      <c r="M211" s="27" t="s">
        <v>492</v>
      </c>
      <c r="N211" s="27" t="s">
        <v>495</v>
      </c>
      <c r="O211" s="27" t="str">
        <f t="shared" si="16"/>
        <v>http://hdl.handle.net/2027/uc1.b2986586?urlappend=%3Bseq=313</v>
      </c>
      <c r="P211" s="27" t="s">
        <v>492</v>
      </c>
      <c r="Q211" s="27" t="str">
        <f t="shared" si="17"/>
        <v>https://babel.hathitrust.org/cgi/pt?id=uc1.b2986586;view=1up;seq=306</v>
      </c>
      <c r="R211" s="27" t="s">
        <v>494</v>
      </c>
      <c r="S211" s="27" t="s">
        <v>492</v>
      </c>
      <c r="T211" s="27" t="str">
        <f t="shared" si="18"/>
        <v>https://babel.hathitrust.org/cgi/pt?id=uc1.b2986586;view=1up;seq=318</v>
      </c>
      <c r="U211" s="4"/>
      <c r="V211" s="4"/>
      <c r="W211" s="4"/>
      <c r="X211" s="4"/>
      <c r="Y211" s="4"/>
      <c r="Z211" s="4"/>
      <c r="AA211" s="4"/>
      <c r="AB211" s="4"/>
    </row>
    <row r="212" spans="1:28" x14ac:dyDescent="0.25">
      <c r="A212" s="27" t="s">
        <v>801</v>
      </c>
      <c r="B212" s="27" t="str">
        <f t="shared" si="19"/>
        <v>Georgia</v>
      </c>
      <c r="C212" s="27" t="str">
        <f t="shared" si="20"/>
        <v>Jasper</v>
      </c>
      <c r="D212" s="27">
        <v>1588</v>
      </c>
      <c r="E212" s="2">
        <f>'GA pre'!K67</f>
        <v>49</v>
      </c>
      <c r="F212" s="27">
        <v>100</v>
      </c>
      <c r="G212" s="2">
        <v>2896</v>
      </c>
      <c r="H212" s="28">
        <f>'GA pre'!U67</f>
        <v>28.632653061224488</v>
      </c>
      <c r="I212" s="2">
        <v>11369.16</v>
      </c>
      <c r="J212" s="27">
        <v>47</v>
      </c>
      <c r="K212" s="2">
        <f>'GA pre'!AB67</f>
        <v>9950</v>
      </c>
      <c r="L212" s="23">
        <v>1905</v>
      </c>
      <c r="M212" s="27" t="s">
        <v>492</v>
      </c>
      <c r="N212" s="27" t="s">
        <v>495</v>
      </c>
      <c r="O212" s="27" t="str">
        <f t="shared" si="16"/>
        <v>http://hdl.handle.net/2027/uc1.b2986586?urlappend=%3Bseq=313</v>
      </c>
      <c r="P212" s="27" t="s">
        <v>492</v>
      </c>
      <c r="Q212" s="27" t="str">
        <f t="shared" si="17"/>
        <v>https://babel.hathitrust.org/cgi/pt?id=uc1.b2986586;view=1up;seq=306</v>
      </c>
      <c r="R212" s="27" t="s">
        <v>494</v>
      </c>
      <c r="S212" s="27" t="s">
        <v>492</v>
      </c>
      <c r="T212" s="27" t="str">
        <f t="shared" si="18"/>
        <v>https://babel.hathitrust.org/cgi/pt?id=uc1.b2986586;view=1up;seq=318</v>
      </c>
      <c r="U212" s="4"/>
      <c r="V212" s="4"/>
      <c r="W212" s="4"/>
      <c r="X212" s="4"/>
      <c r="Y212" s="4"/>
      <c r="Z212" s="4"/>
      <c r="AA212" s="4"/>
      <c r="AB212" s="4"/>
    </row>
    <row r="213" spans="1:28" x14ac:dyDescent="0.25">
      <c r="A213" s="27" t="s">
        <v>802</v>
      </c>
      <c r="B213" s="27" t="str">
        <f t="shared" si="19"/>
        <v>Georgia</v>
      </c>
      <c r="C213" s="27" t="str">
        <f t="shared" si="20"/>
        <v>Jeff Davis</v>
      </c>
      <c r="D213" s="27"/>
      <c r="E213" s="2"/>
      <c r="F213" s="27"/>
      <c r="G213" s="27"/>
      <c r="H213" s="28"/>
      <c r="I213" s="2">
        <v>2879.8</v>
      </c>
      <c r="J213" s="27"/>
      <c r="K213" s="2"/>
      <c r="L213" s="23">
        <v>1905</v>
      </c>
      <c r="M213" s="27" t="s">
        <v>492</v>
      </c>
      <c r="N213" s="27" t="s">
        <v>495</v>
      </c>
      <c r="O213" s="27" t="str">
        <f t="shared" ref="O213:O276" si="21">O212</f>
        <v>http://hdl.handle.net/2027/uc1.b2986586?urlappend=%3Bseq=313</v>
      </c>
      <c r="P213" s="27" t="s">
        <v>492</v>
      </c>
      <c r="Q213" s="27" t="str">
        <f t="shared" ref="Q213:Q276" si="22">Q212</f>
        <v>https://babel.hathitrust.org/cgi/pt?id=uc1.b2986586;view=1up;seq=306</v>
      </c>
      <c r="R213" s="27" t="s">
        <v>494</v>
      </c>
      <c r="S213" s="27" t="s">
        <v>492</v>
      </c>
      <c r="T213" s="27" t="str">
        <f t="shared" ref="T213:T276" si="23">T212</f>
        <v>https://babel.hathitrust.org/cgi/pt?id=uc1.b2986586;view=1up;seq=318</v>
      </c>
      <c r="U213" s="4"/>
      <c r="V213" s="4"/>
      <c r="W213" s="4"/>
      <c r="X213" s="4"/>
      <c r="Y213" s="4"/>
      <c r="Z213" s="4"/>
      <c r="AA213" s="4"/>
      <c r="AB213" s="4"/>
    </row>
    <row r="214" spans="1:28" x14ac:dyDescent="0.25">
      <c r="A214" s="27" t="s">
        <v>803</v>
      </c>
      <c r="B214" s="27" t="str">
        <f t="shared" si="19"/>
        <v>Georgia</v>
      </c>
      <c r="C214" s="27" t="str">
        <f t="shared" si="20"/>
        <v>Jefferson</v>
      </c>
      <c r="D214" s="27">
        <v>2117</v>
      </c>
      <c r="E214" s="2">
        <f>'GA pre'!K69</f>
        <v>78</v>
      </c>
      <c r="F214" s="27">
        <v>100</v>
      </c>
      <c r="G214" s="2">
        <v>3916</v>
      </c>
      <c r="H214" s="28">
        <f>'GA pre'!U69</f>
        <v>30.849358974358974</v>
      </c>
      <c r="I214" s="2">
        <v>15082.14</v>
      </c>
      <c r="J214" s="27">
        <v>63</v>
      </c>
      <c r="K214" s="2">
        <f>'GA pre'!AB69</f>
        <v>31700</v>
      </c>
      <c r="L214" s="23">
        <v>1905</v>
      </c>
      <c r="M214" s="27" t="s">
        <v>492</v>
      </c>
      <c r="N214" s="27" t="s">
        <v>495</v>
      </c>
      <c r="O214" s="27" t="str">
        <f t="shared" si="21"/>
        <v>http://hdl.handle.net/2027/uc1.b2986586?urlappend=%3Bseq=313</v>
      </c>
      <c r="P214" s="27" t="s">
        <v>492</v>
      </c>
      <c r="Q214" s="27" t="str">
        <f t="shared" si="22"/>
        <v>https://babel.hathitrust.org/cgi/pt?id=uc1.b2986586;view=1up;seq=306</v>
      </c>
      <c r="R214" s="27" t="s">
        <v>494</v>
      </c>
      <c r="S214" s="27" t="s">
        <v>492</v>
      </c>
      <c r="T214" s="27" t="str">
        <f t="shared" si="23"/>
        <v>https://babel.hathitrust.org/cgi/pt?id=uc1.b2986586;view=1up;seq=318</v>
      </c>
      <c r="U214" s="4"/>
      <c r="V214" s="4"/>
      <c r="W214" s="4"/>
      <c r="X214" s="4"/>
      <c r="Y214" s="4"/>
      <c r="Z214" s="4"/>
      <c r="AA214" s="4"/>
      <c r="AB214" s="4"/>
    </row>
    <row r="215" spans="1:28" x14ac:dyDescent="0.25">
      <c r="A215" s="27" t="s">
        <v>804</v>
      </c>
      <c r="B215" s="27" t="str">
        <f t="shared" si="19"/>
        <v>Georgia</v>
      </c>
      <c r="C215" s="27" t="str">
        <f t="shared" si="20"/>
        <v>Jenkins</v>
      </c>
      <c r="D215" s="27"/>
      <c r="E215" s="2"/>
      <c r="F215" s="27"/>
      <c r="G215" s="27"/>
      <c r="H215" s="28"/>
      <c r="I215" s="2">
        <v>9048.3799999999992</v>
      </c>
      <c r="J215" s="27"/>
      <c r="K215" s="2"/>
      <c r="L215" s="23">
        <v>1905</v>
      </c>
      <c r="M215" s="27" t="s">
        <v>492</v>
      </c>
      <c r="N215" s="27" t="s">
        <v>495</v>
      </c>
      <c r="O215" s="27" t="str">
        <f t="shared" si="21"/>
        <v>http://hdl.handle.net/2027/uc1.b2986586?urlappend=%3Bseq=313</v>
      </c>
      <c r="P215" s="27" t="s">
        <v>492</v>
      </c>
      <c r="Q215" s="27" t="str">
        <f t="shared" si="22"/>
        <v>https://babel.hathitrust.org/cgi/pt?id=uc1.b2986586;view=1up;seq=306</v>
      </c>
      <c r="R215" s="27" t="s">
        <v>494</v>
      </c>
      <c r="S215" s="27" t="s">
        <v>492</v>
      </c>
      <c r="T215" s="27" t="str">
        <f t="shared" si="23"/>
        <v>https://babel.hathitrust.org/cgi/pt?id=uc1.b2986586;view=1up;seq=318</v>
      </c>
      <c r="U215" s="4"/>
      <c r="V215" s="4"/>
      <c r="W215" s="4"/>
      <c r="X215" s="4"/>
      <c r="Y215" s="4"/>
      <c r="Z215" s="4"/>
      <c r="AA215" s="4"/>
      <c r="AB215" s="4"/>
    </row>
    <row r="216" spans="1:28" x14ac:dyDescent="0.25">
      <c r="A216" s="27" t="s">
        <v>805</v>
      </c>
      <c r="B216" s="27" t="str">
        <f t="shared" si="19"/>
        <v>Georgia</v>
      </c>
      <c r="C216" s="27" t="str">
        <f t="shared" si="20"/>
        <v>Johnson</v>
      </c>
      <c r="D216" s="27">
        <v>1446</v>
      </c>
      <c r="E216" s="2">
        <f>'GA pre'!K71</f>
        <v>57</v>
      </c>
      <c r="F216" s="27">
        <v>100</v>
      </c>
      <c r="G216" s="2">
        <v>3056</v>
      </c>
      <c r="H216" s="28">
        <f>'GA pre'!U71</f>
        <v>30.964912280701753</v>
      </c>
      <c r="I216" s="2">
        <v>9500.92</v>
      </c>
      <c r="J216" s="27">
        <v>99</v>
      </c>
      <c r="K216" s="2">
        <f>'GA pre'!AB71</f>
        <v>14100</v>
      </c>
      <c r="L216" s="23">
        <v>1905</v>
      </c>
      <c r="M216" s="27" t="s">
        <v>492</v>
      </c>
      <c r="N216" s="27" t="s">
        <v>495</v>
      </c>
      <c r="O216" s="27" t="str">
        <f t="shared" si="21"/>
        <v>http://hdl.handle.net/2027/uc1.b2986586?urlappend=%3Bseq=313</v>
      </c>
      <c r="P216" s="27" t="s">
        <v>492</v>
      </c>
      <c r="Q216" s="27" t="str">
        <f t="shared" si="22"/>
        <v>https://babel.hathitrust.org/cgi/pt?id=uc1.b2986586;view=1up;seq=306</v>
      </c>
      <c r="R216" s="27" t="s">
        <v>494</v>
      </c>
      <c r="S216" s="27" t="s">
        <v>492</v>
      </c>
      <c r="T216" s="27" t="str">
        <f t="shared" si="23"/>
        <v>https://babel.hathitrust.org/cgi/pt?id=uc1.b2986586;view=1up;seq=318</v>
      </c>
      <c r="U216" s="4"/>
      <c r="V216" s="4"/>
      <c r="W216" s="4"/>
      <c r="X216" s="4"/>
      <c r="Y216" s="4"/>
      <c r="Z216" s="4"/>
      <c r="AA216" s="4"/>
      <c r="AB216" s="4"/>
    </row>
    <row r="217" spans="1:28" x14ac:dyDescent="0.25">
      <c r="A217" s="27" t="s">
        <v>806</v>
      </c>
      <c r="B217" s="27" t="str">
        <f t="shared" si="19"/>
        <v>Georgia</v>
      </c>
      <c r="C217" s="27" t="str">
        <f t="shared" si="20"/>
        <v>Jones</v>
      </c>
      <c r="D217" s="27">
        <v>1628</v>
      </c>
      <c r="E217" s="2">
        <f>'GA pre'!K72</f>
        <v>73</v>
      </c>
      <c r="F217" s="27">
        <v>100</v>
      </c>
      <c r="G217" s="2">
        <v>2860</v>
      </c>
      <c r="H217" s="28">
        <f>'GA pre'!U72</f>
        <v>27.232876712328768</v>
      </c>
      <c r="I217" s="2">
        <v>10110.76</v>
      </c>
      <c r="J217" s="27">
        <v>34</v>
      </c>
      <c r="K217" s="2">
        <f>'GA pre'!AB72</f>
        <v>6850</v>
      </c>
      <c r="L217" s="23">
        <v>1905</v>
      </c>
      <c r="M217" s="27" t="s">
        <v>492</v>
      </c>
      <c r="N217" s="27" t="s">
        <v>495</v>
      </c>
      <c r="O217" s="27" t="str">
        <f t="shared" si="21"/>
        <v>http://hdl.handle.net/2027/uc1.b2986586?urlappend=%3Bseq=313</v>
      </c>
      <c r="P217" s="27" t="s">
        <v>492</v>
      </c>
      <c r="Q217" s="27" t="str">
        <f t="shared" si="22"/>
        <v>https://babel.hathitrust.org/cgi/pt?id=uc1.b2986586;view=1up;seq=306</v>
      </c>
      <c r="R217" s="27" t="s">
        <v>494</v>
      </c>
      <c r="S217" s="27" t="s">
        <v>492</v>
      </c>
      <c r="T217" s="27" t="str">
        <f t="shared" si="23"/>
        <v>https://babel.hathitrust.org/cgi/pt?id=uc1.b2986586;view=1up;seq=318</v>
      </c>
      <c r="U217" s="4"/>
      <c r="V217" s="4"/>
      <c r="W217" s="4"/>
      <c r="X217" s="4"/>
      <c r="Y217" s="4"/>
      <c r="Z217" s="4"/>
      <c r="AA217" s="4"/>
      <c r="AB217" s="4"/>
    </row>
    <row r="218" spans="1:28" x14ac:dyDescent="0.25">
      <c r="A218" s="27" t="s">
        <v>809</v>
      </c>
      <c r="B218" s="27" t="str">
        <f t="shared" si="19"/>
        <v>Georgia</v>
      </c>
      <c r="C218" s="27" t="str">
        <f t="shared" si="20"/>
        <v>Laurens</v>
      </c>
      <c r="D218" s="27">
        <v>2236</v>
      </c>
      <c r="E218" s="2">
        <f>'GA pre'!K73</f>
        <v>116</v>
      </c>
      <c r="F218" s="27">
        <v>120</v>
      </c>
      <c r="G218" s="2">
        <v>5762</v>
      </c>
      <c r="H218" s="28">
        <f>'GA pre'!U73</f>
        <v>35.836206896551722</v>
      </c>
      <c r="I218" s="2">
        <v>18900.2</v>
      </c>
      <c r="J218" s="27">
        <v>70</v>
      </c>
      <c r="K218" s="2">
        <f>'GA pre'!AB73</f>
        <v>23500</v>
      </c>
      <c r="L218" s="23">
        <v>1905</v>
      </c>
      <c r="M218" s="27" t="s">
        <v>492</v>
      </c>
      <c r="N218" s="27" t="s">
        <v>495</v>
      </c>
      <c r="O218" s="27" t="str">
        <f t="shared" si="21"/>
        <v>http://hdl.handle.net/2027/uc1.b2986586?urlappend=%3Bseq=313</v>
      </c>
      <c r="P218" s="27" t="s">
        <v>492</v>
      </c>
      <c r="Q218" s="27" t="str">
        <f t="shared" si="22"/>
        <v>https://babel.hathitrust.org/cgi/pt?id=uc1.b2986586;view=1up;seq=306</v>
      </c>
      <c r="R218" s="27" t="s">
        <v>494</v>
      </c>
      <c r="S218" s="27" t="s">
        <v>492</v>
      </c>
      <c r="T218" s="27" t="str">
        <f t="shared" si="23"/>
        <v>https://babel.hathitrust.org/cgi/pt?id=uc1.b2986586;view=1up;seq=318</v>
      </c>
      <c r="U218" s="4"/>
      <c r="V218" s="4"/>
      <c r="W218" s="4"/>
      <c r="X218" s="4"/>
      <c r="Y218" s="4"/>
      <c r="Z218" s="4"/>
      <c r="AA218" s="4"/>
      <c r="AB218" s="4"/>
    </row>
    <row r="219" spans="1:28" x14ac:dyDescent="0.25">
      <c r="A219" s="27" t="s">
        <v>810</v>
      </c>
      <c r="B219" s="27" t="str">
        <f t="shared" si="19"/>
        <v>Georgia</v>
      </c>
      <c r="C219" s="27" t="str">
        <f t="shared" si="20"/>
        <v>Lee</v>
      </c>
      <c r="D219" s="27">
        <v>1482</v>
      </c>
      <c r="E219" s="2">
        <f>'GA pre'!K74</f>
        <v>38</v>
      </c>
      <c r="F219" s="27">
        <v>100</v>
      </c>
      <c r="G219" s="2">
        <v>2080</v>
      </c>
      <c r="H219" s="28">
        <f>'GA pre'!U74</f>
        <v>24.710526315789473</v>
      </c>
      <c r="I219" s="2">
        <v>6814.72</v>
      </c>
      <c r="J219" s="27">
        <v>34</v>
      </c>
      <c r="K219" s="2">
        <f>'GA pre'!AB74</f>
        <v>20950</v>
      </c>
      <c r="L219" s="23">
        <v>1905</v>
      </c>
      <c r="M219" s="27" t="s">
        <v>492</v>
      </c>
      <c r="N219" s="27" t="s">
        <v>495</v>
      </c>
      <c r="O219" s="27" t="str">
        <f t="shared" si="21"/>
        <v>http://hdl.handle.net/2027/uc1.b2986586?urlappend=%3Bseq=313</v>
      </c>
      <c r="P219" s="27" t="s">
        <v>492</v>
      </c>
      <c r="Q219" s="27" t="str">
        <f t="shared" si="22"/>
        <v>https://babel.hathitrust.org/cgi/pt?id=uc1.b2986586;view=1up;seq=306</v>
      </c>
      <c r="R219" s="27" t="s">
        <v>494</v>
      </c>
      <c r="S219" s="27" t="s">
        <v>492</v>
      </c>
      <c r="T219" s="27" t="str">
        <f t="shared" si="23"/>
        <v>https://babel.hathitrust.org/cgi/pt?id=uc1.b2986586;view=1up;seq=318</v>
      </c>
      <c r="U219" s="4"/>
      <c r="V219" s="4"/>
      <c r="W219" s="4"/>
      <c r="X219" s="4"/>
      <c r="Y219" s="4"/>
      <c r="Z219" s="4"/>
      <c r="AA219" s="4"/>
      <c r="AB219" s="4"/>
    </row>
    <row r="220" spans="1:28" x14ac:dyDescent="0.25">
      <c r="A220" s="27" t="s">
        <v>811</v>
      </c>
      <c r="B220" s="27" t="str">
        <f t="shared" si="19"/>
        <v>Georgia</v>
      </c>
      <c r="C220" s="27" t="str">
        <f t="shared" si="20"/>
        <v>Liberty</v>
      </c>
      <c r="D220" s="27">
        <v>1496</v>
      </c>
      <c r="E220" s="2">
        <f>'GA pre'!K75</f>
        <v>59</v>
      </c>
      <c r="F220" s="27">
        <v>120</v>
      </c>
      <c r="G220" s="2">
        <v>3014</v>
      </c>
      <c r="H220" s="28">
        <f>'GA pre'!U75</f>
        <v>27.64406779661017</v>
      </c>
      <c r="I220" s="2">
        <v>9692.1</v>
      </c>
      <c r="J220" s="27">
        <v>73</v>
      </c>
      <c r="K220" s="2">
        <f>'GA pre'!AB75</f>
        <v>20600</v>
      </c>
      <c r="L220" s="23">
        <v>1905</v>
      </c>
      <c r="M220" s="27" t="s">
        <v>492</v>
      </c>
      <c r="N220" s="27" t="s">
        <v>495</v>
      </c>
      <c r="O220" s="27" t="str">
        <f t="shared" si="21"/>
        <v>http://hdl.handle.net/2027/uc1.b2986586?urlappend=%3Bseq=313</v>
      </c>
      <c r="P220" s="27" t="s">
        <v>492</v>
      </c>
      <c r="Q220" s="27" t="str">
        <f t="shared" si="22"/>
        <v>https://babel.hathitrust.org/cgi/pt?id=uc1.b2986586;view=1up;seq=306</v>
      </c>
      <c r="R220" s="27" t="s">
        <v>494</v>
      </c>
      <c r="S220" s="27" t="s">
        <v>492</v>
      </c>
      <c r="T220" s="27" t="str">
        <f t="shared" si="23"/>
        <v>https://babel.hathitrust.org/cgi/pt?id=uc1.b2986586;view=1up;seq=318</v>
      </c>
      <c r="U220" s="4"/>
      <c r="V220" s="4"/>
      <c r="W220" s="4"/>
      <c r="X220" s="4"/>
      <c r="Y220" s="4"/>
      <c r="Z220" s="4"/>
      <c r="AA220" s="4"/>
      <c r="AB220" s="4"/>
    </row>
    <row r="221" spans="1:28" x14ac:dyDescent="0.25">
      <c r="A221" s="27" t="s">
        <v>812</v>
      </c>
      <c r="B221" s="27" t="str">
        <f t="shared" si="19"/>
        <v>Georgia</v>
      </c>
      <c r="C221" s="27" t="str">
        <f t="shared" si="20"/>
        <v>Lincoln</v>
      </c>
      <c r="D221" s="27">
        <v>887</v>
      </c>
      <c r="E221" s="2">
        <f>'GA pre'!K76</f>
        <v>31</v>
      </c>
      <c r="F221" s="27">
        <v>100</v>
      </c>
      <c r="G221" s="2">
        <v>1711</v>
      </c>
      <c r="H221" s="28">
        <f>'GA pre'!U76</f>
        <v>30</v>
      </c>
      <c r="I221" s="2">
        <v>5478.88</v>
      </c>
      <c r="J221" s="27">
        <v>34</v>
      </c>
      <c r="K221" s="2">
        <f>'GA pre'!AB76</f>
        <v>11280</v>
      </c>
      <c r="L221" s="23">
        <v>1905</v>
      </c>
      <c r="M221" s="27" t="s">
        <v>492</v>
      </c>
      <c r="N221" s="27" t="s">
        <v>495</v>
      </c>
      <c r="O221" s="27" t="str">
        <f t="shared" si="21"/>
        <v>http://hdl.handle.net/2027/uc1.b2986586?urlappend=%3Bseq=313</v>
      </c>
      <c r="P221" s="27" t="s">
        <v>492</v>
      </c>
      <c r="Q221" s="27" t="str">
        <f t="shared" si="22"/>
        <v>https://babel.hathitrust.org/cgi/pt?id=uc1.b2986586;view=1up;seq=306</v>
      </c>
      <c r="R221" s="27" t="s">
        <v>494</v>
      </c>
      <c r="S221" s="27" t="s">
        <v>492</v>
      </c>
      <c r="T221" s="27" t="str">
        <f t="shared" si="23"/>
        <v>https://babel.hathitrust.org/cgi/pt?id=uc1.b2986586;view=1up;seq=318</v>
      </c>
      <c r="U221" s="4"/>
      <c r="V221" s="4"/>
      <c r="W221" s="4"/>
      <c r="X221" s="4"/>
      <c r="Y221" s="4"/>
      <c r="Z221" s="4"/>
      <c r="AA221" s="4"/>
      <c r="AB221" s="4"/>
    </row>
    <row r="222" spans="1:28" x14ac:dyDescent="0.25">
      <c r="A222" s="27" t="s">
        <v>814</v>
      </c>
      <c r="B222" s="27" t="str">
        <f t="shared" si="19"/>
        <v>Georgia</v>
      </c>
      <c r="C222" s="27" t="str">
        <f t="shared" si="20"/>
        <v>Lowndes</v>
      </c>
      <c r="D222" s="27">
        <v>1804</v>
      </c>
      <c r="E222" s="2">
        <f>'GA pre'!K77</f>
        <v>68</v>
      </c>
      <c r="F222" s="27">
        <v>120</v>
      </c>
      <c r="G222" s="2">
        <v>3349</v>
      </c>
      <c r="H222" s="28">
        <f>'GA pre'!U77</f>
        <v>31.029411764705884</v>
      </c>
      <c r="I222" s="2">
        <v>15945.38</v>
      </c>
      <c r="J222" s="27">
        <v>57</v>
      </c>
      <c r="K222" s="2">
        <f>'GA pre'!AB77</f>
        <v>47200</v>
      </c>
      <c r="L222" s="23">
        <v>1905</v>
      </c>
      <c r="M222" s="27" t="s">
        <v>492</v>
      </c>
      <c r="N222" s="27" t="s">
        <v>496</v>
      </c>
      <c r="O222" s="27" t="str">
        <f t="shared" si="21"/>
        <v>http://hdl.handle.net/2027/uc1.b2986586?urlappend=%3Bseq=313</v>
      </c>
      <c r="P222" s="27" t="s">
        <v>492</v>
      </c>
      <c r="Q222" s="27" t="str">
        <f t="shared" si="22"/>
        <v>https://babel.hathitrust.org/cgi/pt?id=uc1.b2986586;view=1up;seq=306</v>
      </c>
      <c r="R222" s="27" t="s">
        <v>494</v>
      </c>
      <c r="S222" s="27" t="s">
        <v>492</v>
      </c>
      <c r="T222" s="27" t="str">
        <f t="shared" si="23"/>
        <v>https://babel.hathitrust.org/cgi/pt?id=uc1.b2986586;view=1up;seq=318</v>
      </c>
      <c r="U222" s="4"/>
      <c r="V222" s="4"/>
      <c r="W222" s="4"/>
      <c r="X222" s="4"/>
      <c r="Y222" s="4"/>
      <c r="Z222" s="4"/>
      <c r="AA222" s="4"/>
      <c r="AB222" s="4"/>
    </row>
    <row r="223" spans="1:28" x14ac:dyDescent="0.25">
      <c r="A223" s="27" t="s">
        <v>815</v>
      </c>
      <c r="B223" s="27" t="str">
        <f t="shared" si="19"/>
        <v>Georgia</v>
      </c>
      <c r="C223" s="27" t="str">
        <f t="shared" si="20"/>
        <v>Lumpkin</v>
      </c>
      <c r="D223" s="27">
        <v>629</v>
      </c>
      <c r="E223" s="2">
        <f>'GA pre'!K78</f>
        <v>33</v>
      </c>
      <c r="F223" s="27">
        <v>100</v>
      </c>
      <c r="G223" s="2">
        <v>1351</v>
      </c>
      <c r="H223" s="28">
        <f>'GA pre'!U78</f>
        <v>25.606060606060606</v>
      </c>
      <c r="I223" s="2">
        <v>5062.6400000000003</v>
      </c>
      <c r="J223" s="27">
        <v>33</v>
      </c>
      <c r="K223" s="2">
        <f>'GA pre'!AB78</f>
        <v>6350</v>
      </c>
      <c r="L223" s="23">
        <v>1905</v>
      </c>
      <c r="M223" s="27" t="s">
        <v>492</v>
      </c>
      <c r="N223" s="27" t="s">
        <v>496</v>
      </c>
      <c r="O223" s="27" t="str">
        <f t="shared" si="21"/>
        <v>http://hdl.handle.net/2027/uc1.b2986586?urlappend=%3Bseq=313</v>
      </c>
      <c r="P223" s="27" t="s">
        <v>492</v>
      </c>
      <c r="Q223" s="27" t="str">
        <f t="shared" si="22"/>
        <v>https://babel.hathitrust.org/cgi/pt?id=uc1.b2986586;view=1up;seq=306</v>
      </c>
      <c r="R223" s="27" t="s">
        <v>494</v>
      </c>
      <c r="S223" s="27" t="s">
        <v>492</v>
      </c>
      <c r="T223" s="27" t="str">
        <f t="shared" si="23"/>
        <v>https://babel.hathitrust.org/cgi/pt?id=uc1.b2986586;view=1up;seq=318</v>
      </c>
      <c r="U223" s="4"/>
      <c r="V223" s="4"/>
      <c r="W223" s="4"/>
      <c r="X223" s="4"/>
      <c r="Y223" s="4"/>
      <c r="Z223" s="4"/>
      <c r="AA223" s="4"/>
      <c r="AB223" s="4"/>
    </row>
    <row r="224" spans="1:28" x14ac:dyDescent="0.25">
      <c r="A224" s="27" t="s">
        <v>818</v>
      </c>
      <c r="B224" s="27" t="str">
        <f t="shared" si="19"/>
        <v>Georgia</v>
      </c>
      <c r="C224" s="27" t="str">
        <f t="shared" si="20"/>
        <v>Macon</v>
      </c>
      <c r="D224" s="27">
        <v>1135</v>
      </c>
      <c r="E224" s="2">
        <f>'GA pre'!K79</f>
        <v>40</v>
      </c>
      <c r="F224" s="27">
        <v>100</v>
      </c>
      <c r="G224" s="2">
        <v>2002</v>
      </c>
      <c r="H224" s="28">
        <f>'GA pre'!U79</f>
        <v>24.537500000000001</v>
      </c>
      <c r="I224" s="2">
        <v>9721.14</v>
      </c>
      <c r="J224" s="27">
        <v>40</v>
      </c>
      <c r="K224" s="2">
        <f>'GA pre'!AB79</f>
        <v>26900</v>
      </c>
      <c r="L224" s="23">
        <v>1905</v>
      </c>
      <c r="M224" s="27" t="s">
        <v>492</v>
      </c>
      <c r="N224" s="27" t="s">
        <v>496</v>
      </c>
      <c r="O224" s="27" t="str">
        <f t="shared" si="21"/>
        <v>http://hdl.handle.net/2027/uc1.b2986586?urlappend=%3Bseq=313</v>
      </c>
      <c r="P224" s="27" t="s">
        <v>492</v>
      </c>
      <c r="Q224" s="27" t="str">
        <f t="shared" si="22"/>
        <v>https://babel.hathitrust.org/cgi/pt?id=uc1.b2986586;view=1up;seq=306</v>
      </c>
      <c r="R224" s="27" t="s">
        <v>494</v>
      </c>
      <c r="S224" s="27" t="s">
        <v>492</v>
      </c>
      <c r="T224" s="27" t="str">
        <f t="shared" si="23"/>
        <v>https://babel.hathitrust.org/cgi/pt?id=uc1.b2986586;view=1up;seq=318</v>
      </c>
      <c r="U224" s="4"/>
      <c r="V224" s="4"/>
      <c r="W224" s="4"/>
      <c r="X224" s="4"/>
      <c r="Y224" s="4"/>
      <c r="Z224" s="4"/>
      <c r="AA224" s="4"/>
      <c r="AB224" s="4"/>
    </row>
    <row r="225" spans="1:28" x14ac:dyDescent="0.25">
      <c r="A225" s="27" t="s">
        <v>819</v>
      </c>
      <c r="B225" s="27" t="str">
        <f t="shared" si="19"/>
        <v>Georgia</v>
      </c>
      <c r="C225" s="27" t="str">
        <f t="shared" si="20"/>
        <v>Madison</v>
      </c>
      <c r="D225" s="27">
        <v>1931</v>
      </c>
      <c r="E225" s="2">
        <f>'GA pre'!K80</f>
        <v>78</v>
      </c>
      <c r="F225" s="27">
        <v>100</v>
      </c>
      <c r="G225" s="2">
        <v>3910</v>
      </c>
      <c r="H225" s="28">
        <f>'GA pre'!U80</f>
        <v>26.282051282051281</v>
      </c>
      <c r="I225" s="2">
        <v>10876.1</v>
      </c>
      <c r="J225" s="27">
        <v>59</v>
      </c>
      <c r="K225" s="2">
        <f>'GA pre'!AB80</f>
        <v>15400</v>
      </c>
      <c r="L225" s="23">
        <v>1905</v>
      </c>
      <c r="M225" s="27" t="s">
        <v>492</v>
      </c>
      <c r="N225" s="27" t="s">
        <v>496</v>
      </c>
      <c r="O225" s="27" t="str">
        <f t="shared" si="21"/>
        <v>http://hdl.handle.net/2027/uc1.b2986586?urlappend=%3Bseq=313</v>
      </c>
      <c r="P225" s="27" t="s">
        <v>492</v>
      </c>
      <c r="Q225" s="27" t="str">
        <f t="shared" si="22"/>
        <v>https://babel.hathitrust.org/cgi/pt?id=uc1.b2986586;view=1up;seq=306</v>
      </c>
      <c r="R225" s="27" t="s">
        <v>494</v>
      </c>
      <c r="S225" s="27" t="s">
        <v>492</v>
      </c>
      <c r="T225" s="27" t="str">
        <f t="shared" si="23"/>
        <v>https://babel.hathitrust.org/cgi/pt?id=uc1.b2986586;view=1up;seq=318</v>
      </c>
      <c r="U225" s="4"/>
      <c r="V225" s="4"/>
      <c r="W225" s="4"/>
      <c r="X225" s="4"/>
      <c r="Y225" s="4"/>
      <c r="Z225" s="4"/>
      <c r="AA225" s="4"/>
      <c r="AB225" s="4"/>
    </row>
    <row r="226" spans="1:28" x14ac:dyDescent="0.25">
      <c r="A226" s="27" t="s">
        <v>820</v>
      </c>
      <c r="B226" s="27" t="str">
        <f t="shared" si="19"/>
        <v>Georgia</v>
      </c>
      <c r="C226" s="27" t="str">
        <f t="shared" si="20"/>
        <v>Marion</v>
      </c>
      <c r="D226" s="27">
        <v>1134</v>
      </c>
      <c r="E226" s="2">
        <f>'GA pre'!K81</f>
        <v>42</v>
      </c>
      <c r="F226" s="27">
        <v>100</v>
      </c>
      <c r="G226" s="2">
        <v>2051</v>
      </c>
      <c r="H226" s="28">
        <f>'GA pre'!U81</f>
        <v>24.166666666666668</v>
      </c>
      <c r="I226" s="2">
        <v>7463.23</v>
      </c>
      <c r="J226" s="27">
        <v>42</v>
      </c>
      <c r="K226" s="2">
        <f>'GA pre'!AB81</f>
        <v>19115</v>
      </c>
      <c r="L226" s="23">
        <v>1905</v>
      </c>
      <c r="M226" s="27" t="s">
        <v>492</v>
      </c>
      <c r="N226" s="27" t="s">
        <v>496</v>
      </c>
      <c r="O226" s="27" t="str">
        <f t="shared" si="21"/>
        <v>http://hdl.handle.net/2027/uc1.b2986586?urlappend=%3Bseq=313</v>
      </c>
      <c r="P226" s="27" t="s">
        <v>492</v>
      </c>
      <c r="Q226" s="27" t="str">
        <f t="shared" si="22"/>
        <v>https://babel.hathitrust.org/cgi/pt?id=uc1.b2986586;view=1up;seq=306</v>
      </c>
      <c r="R226" s="27" t="s">
        <v>494</v>
      </c>
      <c r="S226" s="27" t="s">
        <v>492</v>
      </c>
      <c r="T226" s="27" t="str">
        <f t="shared" si="23"/>
        <v>https://babel.hathitrust.org/cgi/pt?id=uc1.b2986586;view=1up;seq=318</v>
      </c>
      <c r="U226" s="4"/>
      <c r="V226" s="4"/>
      <c r="W226" s="4"/>
      <c r="X226" s="4"/>
      <c r="Y226" s="4"/>
      <c r="Z226" s="4"/>
      <c r="AA226" s="4"/>
      <c r="AB226" s="4"/>
    </row>
    <row r="227" spans="1:28" x14ac:dyDescent="0.25">
      <c r="A227" s="27" t="s">
        <v>816</v>
      </c>
      <c r="B227" s="27" t="str">
        <f t="shared" si="19"/>
        <v>Georgia</v>
      </c>
      <c r="C227" s="27" t="str">
        <f t="shared" si="20"/>
        <v>McDuffie</v>
      </c>
      <c r="D227" s="27">
        <v>1556</v>
      </c>
      <c r="E227" s="2">
        <f>'GA pre'!K82</f>
        <v>54</v>
      </c>
      <c r="F227" s="27">
        <v>60</v>
      </c>
      <c r="G227" s="2">
        <v>2483</v>
      </c>
      <c r="H227" s="28">
        <f>'GA pre'!U82</f>
        <v>13.333333333333334</v>
      </c>
      <c r="I227" s="2">
        <v>8772.5</v>
      </c>
      <c r="J227" s="27">
        <v>50</v>
      </c>
      <c r="K227" s="2">
        <f>'GA pre'!AB82</f>
        <v>11650</v>
      </c>
      <c r="L227" s="23">
        <v>1905</v>
      </c>
      <c r="M227" s="27" t="s">
        <v>492</v>
      </c>
      <c r="N227" s="27" t="s">
        <v>496</v>
      </c>
      <c r="O227" s="27" t="str">
        <f t="shared" si="21"/>
        <v>http://hdl.handle.net/2027/uc1.b2986586?urlappend=%3Bseq=313</v>
      </c>
      <c r="P227" s="27" t="s">
        <v>492</v>
      </c>
      <c r="Q227" s="27" t="str">
        <f t="shared" si="22"/>
        <v>https://babel.hathitrust.org/cgi/pt?id=uc1.b2986586;view=1up;seq=306</v>
      </c>
      <c r="R227" s="27" t="s">
        <v>494</v>
      </c>
      <c r="S227" s="27" t="s">
        <v>492</v>
      </c>
      <c r="T227" s="27" t="str">
        <f t="shared" si="23"/>
        <v>https://babel.hathitrust.org/cgi/pt?id=uc1.b2986586;view=1up;seq=318</v>
      </c>
      <c r="U227" s="4"/>
      <c r="V227" s="4"/>
      <c r="W227" s="4"/>
      <c r="X227" s="4"/>
      <c r="Y227" s="4"/>
      <c r="Z227" s="4"/>
      <c r="AA227" s="4"/>
      <c r="AB227" s="4"/>
    </row>
    <row r="228" spans="1:28" x14ac:dyDescent="0.25">
      <c r="A228" s="27" t="s">
        <v>817</v>
      </c>
      <c r="B228" s="27" t="str">
        <f t="shared" si="19"/>
        <v>Georgia</v>
      </c>
      <c r="C228" s="27" t="str">
        <f t="shared" si="20"/>
        <v>McIntosh</v>
      </c>
      <c r="D228" s="27">
        <v>905</v>
      </c>
      <c r="E228" s="2">
        <f>'GA pre'!K83</f>
        <v>26</v>
      </c>
      <c r="F228" s="27">
        <v>100</v>
      </c>
      <c r="G228" s="2">
        <v>1243</v>
      </c>
      <c r="H228" s="28">
        <f>'GA pre'!U83</f>
        <v>27.28846153846154</v>
      </c>
      <c r="I228" s="2">
        <v>5307.06</v>
      </c>
      <c r="J228" s="27">
        <v>23</v>
      </c>
      <c r="K228" s="2">
        <f>'GA pre'!AB83</f>
        <v>7500</v>
      </c>
      <c r="L228" s="23">
        <v>1905</v>
      </c>
      <c r="M228" s="27" t="s">
        <v>492</v>
      </c>
      <c r="N228" s="27" t="s">
        <v>496</v>
      </c>
      <c r="O228" s="27" t="str">
        <f t="shared" si="21"/>
        <v>http://hdl.handle.net/2027/uc1.b2986586?urlappend=%3Bseq=313</v>
      </c>
      <c r="P228" s="27" t="s">
        <v>492</v>
      </c>
      <c r="Q228" s="27" t="str">
        <f t="shared" si="22"/>
        <v>https://babel.hathitrust.org/cgi/pt?id=uc1.b2986586;view=1up;seq=306</v>
      </c>
      <c r="R228" s="27" t="s">
        <v>494</v>
      </c>
      <c r="S228" s="27" t="s">
        <v>492</v>
      </c>
      <c r="T228" s="27" t="str">
        <f t="shared" si="23"/>
        <v>https://babel.hathitrust.org/cgi/pt?id=uc1.b2986586;view=1up;seq=318</v>
      </c>
      <c r="U228" s="4"/>
      <c r="V228" s="4"/>
      <c r="W228" s="4"/>
      <c r="X228" s="4"/>
      <c r="Y228" s="4"/>
      <c r="Z228" s="4"/>
      <c r="AA228" s="4"/>
      <c r="AB228" s="4"/>
    </row>
    <row r="229" spans="1:28" x14ac:dyDescent="0.25">
      <c r="A229" s="27" t="s">
        <v>821</v>
      </c>
      <c r="B229" s="27" t="str">
        <f t="shared" si="19"/>
        <v>Georgia</v>
      </c>
      <c r="C229" s="27" t="str">
        <f t="shared" si="20"/>
        <v>Meriwether</v>
      </c>
      <c r="D229" s="27">
        <v>2761</v>
      </c>
      <c r="E229" s="2">
        <f>'GA pre'!K84</f>
        <v>83</v>
      </c>
      <c r="F229" s="27">
        <v>100</v>
      </c>
      <c r="G229" s="2">
        <v>4623</v>
      </c>
      <c r="H229" s="28">
        <f>'GA pre'!U84</f>
        <v>41.024096385542165</v>
      </c>
      <c r="I229" s="2">
        <v>21583.98</v>
      </c>
      <c r="J229" s="27">
        <v>83</v>
      </c>
      <c r="K229" s="2">
        <f>'GA pre'!AB84</f>
        <v>28600</v>
      </c>
      <c r="L229" s="23">
        <v>1905</v>
      </c>
      <c r="M229" s="27" t="s">
        <v>492</v>
      </c>
      <c r="N229" s="27" t="s">
        <v>496</v>
      </c>
      <c r="O229" s="27" t="str">
        <f t="shared" si="21"/>
        <v>http://hdl.handle.net/2027/uc1.b2986586?urlappend=%3Bseq=313</v>
      </c>
      <c r="P229" s="27" t="s">
        <v>492</v>
      </c>
      <c r="Q229" s="27" t="str">
        <f t="shared" si="22"/>
        <v>https://babel.hathitrust.org/cgi/pt?id=uc1.b2986586;view=1up;seq=306</v>
      </c>
      <c r="R229" s="27" t="s">
        <v>494</v>
      </c>
      <c r="S229" s="27" t="s">
        <v>492</v>
      </c>
      <c r="T229" s="27" t="str">
        <f t="shared" si="23"/>
        <v>https://babel.hathitrust.org/cgi/pt?id=uc1.b2986586;view=1up;seq=318</v>
      </c>
      <c r="U229" s="4"/>
      <c r="V229" s="4"/>
      <c r="W229" s="4"/>
      <c r="X229" s="4"/>
      <c r="Y229" s="4"/>
      <c r="Z229" s="4"/>
      <c r="AA229" s="4"/>
      <c r="AB229" s="4"/>
    </row>
    <row r="230" spans="1:28" x14ac:dyDescent="0.25">
      <c r="A230" s="27" t="s">
        <v>822</v>
      </c>
      <c r="B230" s="27" t="str">
        <f t="shared" si="19"/>
        <v>Georgia</v>
      </c>
      <c r="C230" s="27" t="str">
        <f t="shared" si="20"/>
        <v>Miller</v>
      </c>
      <c r="D230" s="27"/>
      <c r="E230" s="2"/>
      <c r="F230" s="27"/>
      <c r="G230" s="27"/>
      <c r="H230" s="28"/>
      <c r="I230" s="2">
        <v>4796.4399999999996</v>
      </c>
      <c r="J230" s="27"/>
      <c r="K230" s="2"/>
      <c r="L230" s="23">
        <v>1905</v>
      </c>
      <c r="M230" s="27" t="s">
        <v>492</v>
      </c>
      <c r="N230" s="27" t="s">
        <v>496</v>
      </c>
      <c r="O230" s="27" t="str">
        <f t="shared" si="21"/>
        <v>http://hdl.handle.net/2027/uc1.b2986586?urlappend=%3Bseq=313</v>
      </c>
      <c r="P230" s="27" t="s">
        <v>492</v>
      </c>
      <c r="Q230" s="27" t="str">
        <f t="shared" si="22"/>
        <v>https://babel.hathitrust.org/cgi/pt?id=uc1.b2986586;view=1up;seq=306</v>
      </c>
      <c r="R230" s="27" t="s">
        <v>494</v>
      </c>
      <c r="S230" s="27" t="s">
        <v>492</v>
      </c>
      <c r="T230" s="27" t="str">
        <f t="shared" si="23"/>
        <v>https://babel.hathitrust.org/cgi/pt?id=uc1.b2986586;view=1up;seq=318</v>
      </c>
      <c r="U230" s="4"/>
      <c r="V230" s="4"/>
      <c r="W230" s="4"/>
      <c r="X230" s="4"/>
      <c r="Y230" s="4"/>
      <c r="Z230" s="4"/>
      <c r="AA230" s="4"/>
      <c r="AB230" s="4"/>
    </row>
    <row r="231" spans="1:28" x14ac:dyDescent="0.25">
      <c r="A231" s="27" t="s">
        <v>823</v>
      </c>
      <c r="B231" s="27" t="str">
        <f t="shared" si="19"/>
        <v>Georgia</v>
      </c>
      <c r="C231" s="27" t="str">
        <f t="shared" si="20"/>
        <v>Milton</v>
      </c>
      <c r="D231" s="27">
        <v>963</v>
      </c>
      <c r="E231" s="2">
        <f>'GA pre'!K86</f>
        <v>38</v>
      </c>
      <c r="F231" s="27">
        <v>100</v>
      </c>
      <c r="G231" s="2">
        <v>1876</v>
      </c>
      <c r="H231" s="28">
        <f>'GA pre'!U86</f>
        <v>37.89473684210526</v>
      </c>
      <c r="I231" s="2">
        <v>4963.42</v>
      </c>
      <c r="J231" s="27">
        <v>23</v>
      </c>
      <c r="K231" s="2">
        <f>'GA pre'!AB86</f>
        <v>14250</v>
      </c>
      <c r="L231" s="23">
        <v>1905</v>
      </c>
      <c r="M231" s="27" t="s">
        <v>492</v>
      </c>
      <c r="N231" s="27" t="s">
        <v>496</v>
      </c>
      <c r="O231" s="27" t="str">
        <f t="shared" si="21"/>
        <v>http://hdl.handle.net/2027/uc1.b2986586?urlappend=%3Bseq=313</v>
      </c>
      <c r="P231" s="27" t="s">
        <v>492</v>
      </c>
      <c r="Q231" s="27" t="str">
        <f t="shared" si="22"/>
        <v>https://babel.hathitrust.org/cgi/pt?id=uc1.b2986586;view=1up;seq=306</v>
      </c>
      <c r="R231" s="27" t="s">
        <v>494</v>
      </c>
      <c r="S231" s="27" t="s">
        <v>492</v>
      </c>
      <c r="T231" s="27" t="str">
        <f t="shared" si="23"/>
        <v>https://babel.hathitrust.org/cgi/pt?id=uc1.b2986586;view=1up;seq=318</v>
      </c>
      <c r="U231" s="4"/>
      <c r="V231" s="4"/>
      <c r="W231" s="4"/>
      <c r="X231" s="4"/>
      <c r="Y231" s="4"/>
      <c r="Z231" s="4"/>
      <c r="AA231" s="4"/>
      <c r="AB231" s="4"/>
    </row>
    <row r="232" spans="1:28" x14ac:dyDescent="0.25">
      <c r="A232" s="27" t="s">
        <v>824</v>
      </c>
      <c r="B232" s="27" t="str">
        <f t="shared" si="19"/>
        <v>Georgia</v>
      </c>
      <c r="C232" s="27" t="str">
        <f t="shared" si="20"/>
        <v>Mitchell</v>
      </c>
      <c r="D232" s="27">
        <v>2447</v>
      </c>
      <c r="E232" s="2">
        <f>'GA pre'!K87</f>
        <v>77</v>
      </c>
      <c r="F232" s="27">
        <v>120</v>
      </c>
      <c r="G232" s="2">
        <v>4096</v>
      </c>
      <c r="H232" s="28">
        <f>'GA pre'!U87</f>
        <v>30.220779220779221</v>
      </c>
      <c r="I232" s="2">
        <v>13290.64</v>
      </c>
      <c r="J232" s="27">
        <v>68</v>
      </c>
      <c r="K232" s="2">
        <f>'GA pre'!AB87</f>
        <v>39100</v>
      </c>
      <c r="L232" s="23">
        <v>1905</v>
      </c>
      <c r="M232" s="27" t="s">
        <v>492</v>
      </c>
      <c r="N232" s="27" t="s">
        <v>496</v>
      </c>
      <c r="O232" s="27" t="str">
        <f t="shared" si="21"/>
        <v>http://hdl.handle.net/2027/uc1.b2986586?urlappend=%3Bseq=313</v>
      </c>
      <c r="P232" s="27" t="s">
        <v>492</v>
      </c>
      <c r="Q232" s="27" t="str">
        <f t="shared" si="22"/>
        <v>https://babel.hathitrust.org/cgi/pt?id=uc1.b2986586;view=1up;seq=306</v>
      </c>
      <c r="R232" s="27" t="s">
        <v>494</v>
      </c>
      <c r="S232" s="27" t="s">
        <v>492</v>
      </c>
      <c r="T232" s="27" t="str">
        <f t="shared" si="23"/>
        <v>https://babel.hathitrust.org/cgi/pt?id=uc1.b2986586;view=1up;seq=318</v>
      </c>
      <c r="U232" s="4"/>
      <c r="V232" s="4"/>
      <c r="W232" s="4"/>
      <c r="X232" s="4"/>
      <c r="Y232" s="4"/>
      <c r="Z232" s="4"/>
      <c r="AA232" s="4"/>
      <c r="AB232" s="4"/>
    </row>
    <row r="233" spans="1:28" x14ac:dyDescent="0.25">
      <c r="A233" s="27" t="s">
        <v>826</v>
      </c>
      <c r="B233" s="27" t="str">
        <f t="shared" si="19"/>
        <v>Georgia</v>
      </c>
      <c r="C233" s="27" t="str">
        <f t="shared" si="20"/>
        <v>Montgomery</v>
      </c>
      <c r="D233" s="27">
        <v>2471</v>
      </c>
      <c r="E233" s="2">
        <f>'GA pre'!K88</f>
        <v>81</v>
      </c>
      <c r="F233" s="27">
        <v>100</v>
      </c>
      <c r="G233" s="2">
        <v>3922</v>
      </c>
      <c r="H233" s="28">
        <f>'GA pre'!U88</f>
        <v>31.012345679012345</v>
      </c>
      <c r="I233" s="2">
        <v>12080.64</v>
      </c>
      <c r="J233" s="27">
        <v>78</v>
      </c>
      <c r="K233" s="2">
        <f>'GA pre'!AB88</f>
        <v>47200</v>
      </c>
      <c r="L233" s="23">
        <v>1905</v>
      </c>
      <c r="M233" s="27" t="s">
        <v>492</v>
      </c>
      <c r="N233" s="27" t="s">
        <v>496</v>
      </c>
      <c r="O233" s="27" t="str">
        <f t="shared" si="21"/>
        <v>http://hdl.handle.net/2027/uc1.b2986586?urlappend=%3Bseq=313</v>
      </c>
      <c r="P233" s="27" t="s">
        <v>492</v>
      </c>
      <c r="Q233" s="27" t="str">
        <f t="shared" si="22"/>
        <v>https://babel.hathitrust.org/cgi/pt?id=uc1.b2986586;view=1up;seq=306</v>
      </c>
      <c r="R233" s="27" t="s">
        <v>494</v>
      </c>
      <c r="S233" s="27" t="s">
        <v>492</v>
      </c>
      <c r="T233" s="27" t="str">
        <f t="shared" si="23"/>
        <v>https://babel.hathitrust.org/cgi/pt?id=uc1.b2986586;view=1up;seq=318</v>
      </c>
      <c r="U233" s="4"/>
      <c r="V233" s="4"/>
      <c r="W233" s="4"/>
      <c r="X233" s="4"/>
      <c r="Y233" s="4"/>
      <c r="Z233" s="4"/>
      <c r="AA233" s="4"/>
      <c r="AB233" s="4"/>
    </row>
    <row r="234" spans="1:28" x14ac:dyDescent="0.25">
      <c r="A234" s="27" t="s">
        <v>827</v>
      </c>
      <c r="B234" s="27" t="str">
        <f t="shared" si="19"/>
        <v>Georgia</v>
      </c>
      <c r="C234" s="27" t="str">
        <f t="shared" si="20"/>
        <v>Morgan</v>
      </c>
      <c r="D234" s="27">
        <v>1905</v>
      </c>
      <c r="E234" s="2">
        <f>'GA pre'!K89</f>
        <v>67</v>
      </c>
      <c r="F234" s="27">
        <v>100</v>
      </c>
      <c r="G234" s="2">
        <v>3624</v>
      </c>
      <c r="H234" s="28">
        <f>'GA pre'!U89</f>
        <v>30.701492537313431</v>
      </c>
      <c r="I234" s="2">
        <v>12315.38</v>
      </c>
      <c r="J234" s="27">
        <v>55</v>
      </c>
      <c r="K234" s="2">
        <f>'GA pre'!AB89</f>
        <v>27100</v>
      </c>
      <c r="L234" s="23">
        <v>1905</v>
      </c>
      <c r="M234" s="27" t="s">
        <v>492</v>
      </c>
      <c r="N234" s="27" t="s">
        <v>496</v>
      </c>
      <c r="O234" s="27" t="str">
        <f t="shared" si="21"/>
        <v>http://hdl.handle.net/2027/uc1.b2986586?urlappend=%3Bseq=313</v>
      </c>
      <c r="P234" s="27" t="s">
        <v>492</v>
      </c>
      <c r="Q234" s="27" t="str">
        <f t="shared" si="22"/>
        <v>https://babel.hathitrust.org/cgi/pt?id=uc1.b2986586;view=1up;seq=306</v>
      </c>
      <c r="R234" s="27" t="s">
        <v>494</v>
      </c>
      <c r="S234" s="27" t="s">
        <v>492</v>
      </c>
      <c r="T234" s="27" t="str">
        <f t="shared" si="23"/>
        <v>https://babel.hathitrust.org/cgi/pt?id=uc1.b2986586;view=1up;seq=318</v>
      </c>
      <c r="U234" s="4"/>
      <c r="V234" s="4"/>
      <c r="W234" s="4"/>
      <c r="X234" s="4"/>
      <c r="Y234" s="4"/>
      <c r="Z234" s="4"/>
      <c r="AA234" s="4"/>
      <c r="AB234" s="4"/>
    </row>
    <row r="235" spans="1:28" x14ac:dyDescent="0.25">
      <c r="A235" s="27" t="s">
        <v>828</v>
      </c>
      <c r="B235" s="27" t="str">
        <f t="shared" si="19"/>
        <v>Georgia</v>
      </c>
      <c r="C235" s="27" t="str">
        <f t="shared" si="20"/>
        <v>Murray</v>
      </c>
      <c r="D235" s="27">
        <v>1202</v>
      </c>
      <c r="E235" s="2">
        <f>'GA pre'!K90</f>
        <v>58</v>
      </c>
      <c r="F235" s="27">
        <v>90</v>
      </c>
      <c r="G235" s="2">
        <v>2226</v>
      </c>
      <c r="H235" s="28">
        <f>'GA pre'!U90</f>
        <v>25.068965517241381</v>
      </c>
      <c r="I235" s="2">
        <v>6050</v>
      </c>
      <c r="J235" s="27">
        <v>46</v>
      </c>
      <c r="K235" s="2">
        <f>'GA pre'!AB90</f>
        <v>11300</v>
      </c>
      <c r="L235" s="23">
        <v>1905</v>
      </c>
      <c r="M235" s="27" t="s">
        <v>492</v>
      </c>
      <c r="N235" s="27" t="s">
        <v>496</v>
      </c>
      <c r="O235" s="27" t="str">
        <f t="shared" si="21"/>
        <v>http://hdl.handle.net/2027/uc1.b2986586?urlappend=%3Bseq=313</v>
      </c>
      <c r="P235" s="27" t="s">
        <v>492</v>
      </c>
      <c r="Q235" s="27" t="str">
        <f t="shared" si="22"/>
        <v>https://babel.hathitrust.org/cgi/pt?id=uc1.b2986586;view=1up;seq=306</v>
      </c>
      <c r="R235" s="27" t="s">
        <v>494</v>
      </c>
      <c r="S235" s="27" t="s">
        <v>492</v>
      </c>
      <c r="T235" s="27" t="str">
        <f t="shared" si="23"/>
        <v>https://babel.hathitrust.org/cgi/pt?id=uc1.b2986586;view=1up;seq=318</v>
      </c>
      <c r="U235" s="4"/>
      <c r="V235" s="4"/>
      <c r="W235" s="4"/>
      <c r="X235" s="4"/>
      <c r="Y235" s="4"/>
      <c r="Z235" s="4"/>
      <c r="AA235" s="4"/>
      <c r="AB235" s="4"/>
    </row>
    <row r="236" spans="1:28" x14ac:dyDescent="0.25">
      <c r="A236" s="27" t="s">
        <v>829</v>
      </c>
      <c r="B236" s="27" t="str">
        <f t="shared" si="19"/>
        <v>Georgia</v>
      </c>
      <c r="C236" s="27" t="str">
        <f t="shared" si="20"/>
        <v>Muscogee</v>
      </c>
      <c r="D236" s="27">
        <v>1448</v>
      </c>
      <c r="E236" s="2">
        <f>'GA pre'!K91</f>
        <v>48</v>
      </c>
      <c r="F236" s="27">
        <v>120</v>
      </c>
      <c r="G236" s="2">
        <v>2444</v>
      </c>
      <c r="H236" s="28">
        <f>'GA pre'!U91</f>
        <v>35.166666666666664</v>
      </c>
      <c r="I236" s="2">
        <v>10173.68</v>
      </c>
      <c r="J236" s="27">
        <v>35</v>
      </c>
      <c r="K236" s="2">
        <f>'GA pre'!AB91</f>
        <v>13950</v>
      </c>
      <c r="L236" s="23">
        <v>1905</v>
      </c>
      <c r="M236" s="27" t="s">
        <v>492</v>
      </c>
      <c r="N236" s="27" t="s">
        <v>496</v>
      </c>
      <c r="O236" s="27" t="str">
        <f t="shared" si="21"/>
        <v>http://hdl.handle.net/2027/uc1.b2986586?urlappend=%3Bseq=313</v>
      </c>
      <c r="P236" s="27" t="s">
        <v>492</v>
      </c>
      <c r="Q236" s="27" t="str">
        <f t="shared" si="22"/>
        <v>https://babel.hathitrust.org/cgi/pt?id=uc1.b2986586;view=1up;seq=306</v>
      </c>
      <c r="R236" s="27" t="s">
        <v>494</v>
      </c>
      <c r="S236" s="27" t="s">
        <v>492</v>
      </c>
      <c r="T236" s="27" t="str">
        <f t="shared" si="23"/>
        <v>https://babel.hathitrust.org/cgi/pt?id=uc1.b2986586;view=1up;seq=318</v>
      </c>
      <c r="U236" s="4"/>
      <c r="V236" s="4"/>
      <c r="W236" s="4"/>
      <c r="X236" s="4"/>
      <c r="Y236" s="4"/>
      <c r="Z236" s="4"/>
      <c r="AA236" s="4"/>
      <c r="AB236" s="4"/>
    </row>
    <row r="237" spans="1:28" x14ac:dyDescent="0.25">
      <c r="A237" s="27" t="s">
        <v>830</v>
      </c>
      <c r="B237" s="27" t="str">
        <f t="shared" si="19"/>
        <v>Georgia</v>
      </c>
      <c r="C237" s="27" t="str">
        <f t="shared" si="20"/>
        <v>Newton</v>
      </c>
      <c r="D237" s="27">
        <v>2121</v>
      </c>
      <c r="E237" s="2">
        <f>'GA pre'!K92</f>
        <v>84</v>
      </c>
      <c r="F237" s="27">
        <v>100</v>
      </c>
      <c r="G237" s="2">
        <v>3730</v>
      </c>
      <c r="H237" s="28">
        <f>'GA pre'!U92</f>
        <v>26.5</v>
      </c>
      <c r="I237" s="2">
        <v>11233.64</v>
      </c>
      <c r="J237" s="27">
        <v>46</v>
      </c>
      <c r="K237" s="2">
        <f>'GA pre'!AB92</f>
        <v>20400</v>
      </c>
      <c r="L237" s="23">
        <v>1905</v>
      </c>
      <c r="M237" s="27" t="s">
        <v>492</v>
      </c>
      <c r="N237" s="27" t="s">
        <v>496</v>
      </c>
      <c r="O237" s="27" t="str">
        <f t="shared" si="21"/>
        <v>http://hdl.handle.net/2027/uc1.b2986586?urlappend=%3Bseq=313</v>
      </c>
      <c r="P237" s="27" t="s">
        <v>492</v>
      </c>
      <c r="Q237" s="27" t="str">
        <f t="shared" si="22"/>
        <v>https://babel.hathitrust.org/cgi/pt?id=uc1.b2986586;view=1up;seq=306</v>
      </c>
      <c r="R237" s="27" t="s">
        <v>494</v>
      </c>
      <c r="S237" s="27" t="s">
        <v>492</v>
      </c>
      <c r="T237" s="27" t="str">
        <f t="shared" si="23"/>
        <v>https://babel.hathitrust.org/cgi/pt?id=uc1.b2986586;view=1up;seq=318</v>
      </c>
      <c r="U237" s="4"/>
      <c r="V237" s="4"/>
      <c r="W237" s="4"/>
      <c r="X237" s="4"/>
      <c r="Y237" s="4"/>
      <c r="Z237" s="4"/>
      <c r="AA237" s="4"/>
      <c r="AB237" s="4"/>
    </row>
    <row r="238" spans="1:28" x14ac:dyDescent="0.25">
      <c r="A238" s="27" t="s">
        <v>831</v>
      </c>
      <c r="B238" s="27" t="str">
        <f t="shared" si="19"/>
        <v>Georgia</v>
      </c>
      <c r="C238" s="27" t="str">
        <f t="shared" si="20"/>
        <v>Oconee</v>
      </c>
      <c r="D238" s="27">
        <v>1293</v>
      </c>
      <c r="E238" s="2">
        <f>'GA pre'!K93</f>
        <v>35</v>
      </c>
      <c r="F238" s="27">
        <v>100</v>
      </c>
      <c r="G238" s="2">
        <v>2490</v>
      </c>
      <c r="H238" s="28">
        <f>'GA pre'!U93</f>
        <v>29.571428571428573</v>
      </c>
      <c r="I238" s="2">
        <v>6618.7</v>
      </c>
      <c r="J238" s="27">
        <v>35</v>
      </c>
      <c r="K238" s="2">
        <f>'GA pre'!AB93</f>
        <v>9925</v>
      </c>
      <c r="L238" s="23">
        <v>1905</v>
      </c>
      <c r="M238" s="27" t="s">
        <v>492</v>
      </c>
      <c r="N238" s="27" t="s">
        <v>496</v>
      </c>
      <c r="O238" s="27" t="str">
        <f t="shared" si="21"/>
        <v>http://hdl.handle.net/2027/uc1.b2986586?urlappend=%3Bseq=313</v>
      </c>
      <c r="P238" s="27" t="s">
        <v>492</v>
      </c>
      <c r="Q238" s="27" t="str">
        <f t="shared" si="22"/>
        <v>https://babel.hathitrust.org/cgi/pt?id=uc1.b2986586;view=1up;seq=306</v>
      </c>
      <c r="R238" s="27" t="s">
        <v>494</v>
      </c>
      <c r="S238" s="27" t="s">
        <v>492</v>
      </c>
      <c r="T238" s="27" t="str">
        <f t="shared" si="23"/>
        <v>https://babel.hathitrust.org/cgi/pt?id=uc1.b2986586;view=1up;seq=318</v>
      </c>
      <c r="U238" s="4"/>
      <c r="V238" s="4"/>
      <c r="W238" s="4"/>
      <c r="X238" s="4"/>
      <c r="Y238" s="4"/>
      <c r="Z238" s="4"/>
      <c r="AA238" s="4"/>
      <c r="AB238" s="4"/>
    </row>
    <row r="239" spans="1:28" x14ac:dyDescent="0.25">
      <c r="A239" s="27" t="s">
        <v>832</v>
      </c>
      <c r="B239" s="27" t="str">
        <f t="shared" si="19"/>
        <v>Georgia</v>
      </c>
      <c r="C239" s="27" t="str">
        <f t="shared" si="20"/>
        <v>Oglethorpe</v>
      </c>
      <c r="D239" s="27">
        <v>2138</v>
      </c>
      <c r="E239" s="2">
        <f>'GA pre'!K94</f>
        <v>72</v>
      </c>
      <c r="F239" s="27">
        <v>120</v>
      </c>
      <c r="G239" s="2">
        <v>3960</v>
      </c>
      <c r="H239" s="28">
        <f>'GA pre'!U94</f>
        <v>29.5</v>
      </c>
      <c r="I239" s="2">
        <v>12559.8</v>
      </c>
      <c r="J239" s="27">
        <v>72</v>
      </c>
      <c r="K239" s="2">
        <f>'GA pre'!AB94</f>
        <v>8700</v>
      </c>
      <c r="L239" s="23">
        <v>1905</v>
      </c>
      <c r="M239" s="27" t="s">
        <v>492</v>
      </c>
      <c r="N239" s="27" t="s">
        <v>496</v>
      </c>
      <c r="O239" s="27" t="str">
        <f t="shared" si="21"/>
        <v>http://hdl.handle.net/2027/uc1.b2986586?urlappend=%3Bseq=313</v>
      </c>
      <c r="P239" s="27" t="s">
        <v>492</v>
      </c>
      <c r="Q239" s="27" t="str">
        <f t="shared" si="22"/>
        <v>https://babel.hathitrust.org/cgi/pt?id=uc1.b2986586;view=1up;seq=306</v>
      </c>
      <c r="R239" s="27" t="s">
        <v>494</v>
      </c>
      <c r="S239" s="27" t="s">
        <v>492</v>
      </c>
      <c r="T239" s="27" t="str">
        <f t="shared" si="23"/>
        <v>https://babel.hathitrust.org/cgi/pt?id=uc1.b2986586;view=1up;seq=318</v>
      </c>
      <c r="U239" s="4"/>
      <c r="V239" s="4"/>
      <c r="W239" s="4"/>
      <c r="X239" s="4"/>
      <c r="Y239" s="4"/>
      <c r="Z239" s="4"/>
      <c r="AA239" s="4"/>
      <c r="AB239" s="4"/>
    </row>
    <row r="240" spans="1:28" x14ac:dyDescent="0.25">
      <c r="A240" s="27" t="s">
        <v>833</v>
      </c>
      <c r="B240" s="27" t="str">
        <f t="shared" si="19"/>
        <v>Georgia</v>
      </c>
      <c r="C240" s="27" t="str">
        <f t="shared" si="20"/>
        <v>Paulding</v>
      </c>
      <c r="D240" s="27">
        <v>2572</v>
      </c>
      <c r="E240" s="2">
        <f>'GA pre'!K95</f>
        <v>66</v>
      </c>
      <c r="F240" s="27">
        <v>100</v>
      </c>
      <c r="G240" s="2">
        <v>2976</v>
      </c>
      <c r="H240" s="28">
        <f>'GA pre'!U95</f>
        <v>28.484848484848484</v>
      </c>
      <c r="I240" s="2">
        <v>9931.68</v>
      </c>
      <c r="J240" s="27">
        <v>55</v>
      </c>
      <c r="K240" s="2">
        <f>'GA pre'!AB95</f>
        <v>17600</v>
      </c>
      <c r="L240" s="23">
        <v>1905</v>
      </c>
      <c r="M240" s="27" t="s">
        <v>492</v>
      </c>
      <c r="N240" s="27" t="s">
        <v>496</v>
      </c>
      <c r="O240" s="27" t="str">
        <f t="shared" si="21"/>
        <v>http://hdl.handle.net/2027/uc1.b2986586?urlappend=%3Bseq=313</v>
      </c>
      <c r="P240" s="27" t="s">
        <v>492</v>
      </c>
      <c r="Q240" s="27" t="str">
        <f t="shared" si="22"/>
        <v>https://babel.hathitrust.org/cgi/pt?id=uc1.b2986586;view=1up;seq=306</v>
      </c>
      <c r="R240" s="27" t="s">
        <v>494</v>
      </c>
      <c r="S240" s="27" t="s">
        <v>492</v>
      </c>
      <c r="T240" s="27" t="str">
        <f t="shared" si="23"/>
        <v>https://babel.hathitrust.org/cgi/pt?id=uc1.b2986586;view=1up;seq=318</v>
      </c>
      <c r="U240" s="4"/>
      <c r="V240" s="4"/>
      <c r="W240" s="4"/>
      <c r="X240" s="4"/>
      <c r="Y240" s="4"/>
      <c r="Z240" s="4"/>
      <c r="AA240" s="4"/>
      <c r="AB240" s="4"/>
    </row>
    <row r="241" spans="1:28" x14ac:dyDescent="0.25">
      <c r="A241" s="27" t="s">
        <v>835</v>
      </c>
      <c r="B241" s="27" t="str">
        <f t="shared" si="19"/>
        <v>Georgia</v>
      </c>
      <c r="C241" s="27" t="str">
        <f t="shared" si="20"/>
        <v>Pickens</v>
      </c>
      <c r="D241" s="27">
        <v>709</v>
      </c>
      <c r="E241" s="2">
        <f>'GA pre'!K96</f>
        <v>49</v>
      </c>
      <c r="F241" s="27">
        <v>110</v>
      </c>
      <c r="G241" s="2">
        <v>1730</v>
      </c>
      <c r="H241" s="28">
        <f>'GA pre'!U96</f>
        <v>28.551020408163264</v>
      </c>
      <c r="I241" s="2">
        <v>6415.42</v>
      </c>
      <c r="J241" s="27">
        <v>38</v>
      </c>
      <c r="K241" s="2">
        <f>'GA pre'!AB96</f>
        <v>20960</v>
      </c>
      <c r="L241" s="23">
        <v>1905</v>
      </c>
      <c r="M241" s="27" t="s">
        <v>492</v>
      </c>
      <c r="N241" s="27" t="s">
        <v>496</v>
      </c>
      <c r="O241" s="27" t="str">
        <f t="shared" si="21"/>
        <v>http://hdl.handle.net/2027/uc1.b2986586?urlappend=%3Bseq=313</v>
      </c>
      <c r="P241" s="27" t="s">
        <v>492</v>
      </c>
      <c r="Q241" s="27" t="str">
        <f t="shared" si="22"/>
        <v>https://babel.hathitrust.org/cgi/pt?id=uc1.b2986586;view=1up;seq=306</v>
      </c>
      <c r="R241" s="27" t="s">
        <v>494</v>
      </c>
      <c r="S241" s="27" t="s">
        <v>492</v>
      </c>
      <c r="T241" s="27" t="str">
        <f t="shared" si="23"/>
        <v>https://babel.hathitrust.org/cgi/pt?id=uc1.b2986586;view=1up;seq=318</v>
      </c>
      <c r="U241" s="4"/>
      <c r="V241" s="4"/>
      <c r="W241" s="4"/>
      <c r="X241" s="4"/>
      <c r="Y241" s="4"/>
      <c r="Z241" s="4"/>
      <c r="AA241" s="4"/>
      <c r="AB241" s="4"/>
    </row>
    <row r="242" spans="1:28" x14ac:dyDescent="0.25">
      <c r="A242" s="27" t="s">
        <v>836</v>
      </c>
      <c r="B242" s="27" t="str">
        <f t="shared" si="19"/>
        <v>Georgia</v>
      </c>
      <c r="C242" s="27" t="str">
        <f t="shared" si="20"/>
        <v>Pierce</v>
      </c>
      <c r="D242" s="27">
        <v>1458</v>
      </c>
      <c r="E242" s="2">
        <f>'GA pre'!K97</f>
        <v>54</v>
      </c>
      <c r="F242" s="27">
        <v>100</v>
      </c>
      <c r="G242" s="2">
        <v>1999</v>
      </c>
      <c r="H242" s="28">
        <f>'GA pre'!U97</f>
        <v>33.24074074074074</v>
      </c>
      <c r="I242" s="2">
        <v>6577.56</v>
      </c>
      <c r="J242" s="27">
        <v>52</v>
      </c>
      <c r="K242" s="2">
        <f>'GA pre'!AB97</f>
        <v>34500</v>
      </c>
      <c r="L242" s="23">
        <v>1905</v>
      </c>
      <c r="M242" s="27" t="s">
        <v>492</v>
      </c>
      <c r="N242" s="27" t="s">
        <v>496</v>
      </c>
      <c r="O242" s="27" t="str">
        <f t="shared" si="21"/>
        <v>http://hdl.handle.net/2027/uc1.b2986586?urlappend=%3Bseq=313</v>
      </c>
      <c r="P242" s="27" t="s">
        <v>492</v>
      </c>
      <c r="Q242" s="27" t="str">
        <f t="shared" si="22"/>
        <v>https://babel.hathitrust.org/cgi/pt?id=uc1.b2986586;view=1up;seq=306</v>
      </c>
      <c r="R242" s="27" t="s">
        <v>494</v>
      </c>
      <c r="S242" s="27" t="s">
        <v>492</v>
      </c>
      <c r="T242" s="27" t="str">
        <f t="shared" si="23"/>
        <v>https://babel.hathitrust.org/cgi/pt?id=uc1.b2986586;view=1up;seq=318</v>
      </c>
      <c r="U242" s="4"/>
      <c r="V242" s="4"/>
      <c r="W242" s="4"/>
      <c r="X242" s="4"/>
      <c r="Y242" s="4"/>
      <c r="Z242" s="4"/>
      <c r="AA242" s="4"/>
      <c r="AB242" s="4"/>
    </row>
    <row r="243" spans="1:28" x14ac:dyDescent="0.25">
      <c r="A243" s="27" t="s">
        <v>837</v>
      </c>
      <c r="B243" s="27" t="str">
        <f t="shared" si="19"/>
        <v>Georgia</v>
      </c>
      <c r="C243" s="27" t="str">
        <f t="shared" si="20"/>
        <v>Pike</v>
      </c>
      <c r="D243" s="27">
        <v>2749</v>
      </c>
      <c r="E243" s="2">
        <f>'GA pre'!K98</f>
        <v>64</v>
      </c>
      <c r="F243" s="27">
        <v>120</v>
      </c>
      <c r="G243" s="2">
        <v>4647</v>
      </c>
      <c r="H243" s="28">
        <f>'GA pre'!U98</f>
        <v>24.921875</v>
      </c>
      <c r="I243" s="2">
        <v>13781.9</v>
      </c>
      <c r="J243" s="27">
        <v>56</v>
      </c>
      <c r="K243" s="2">
        <f>'GA pre'!AB98</f>
        <v>55210</v>
      </c>
      <c r="L243" s="23">
        <v>1905</v>
      </c>
      <c r="M243" s="27" t="s">
        <v>492</v>
      </c>
      <c r="N243" s="27" t="s">
        <v>496</v>
      </c>
      <c r="O243" s="27" t="str">
        <f t="shared" si="21"/>
        <v>http://hdl.handle.net/2027/uc1.b2986586?urlappend=%3Bseq=313</v>
      </c>
      <c r="P243" s="27" t="s">
        <v>492</v>
      </c>
      <c r="Q243" s="27" t="str">
        <f t="shared" si="22"/>
        <v>https://babel.hathitrust.org/cgi/pt?id=uc1.b2986586;view=1up;seq=306</v>
      </c>
      <c r="R243" s="27" t="s">
        <v>497</v>
      </c>
      <c r="S243" s="27" t="s">
        <v>492</v>
      </c>
      <c r="T243" s="27" t="str">
        <f t="shared" si="23"/>
        <v>https://babel.hathitrust.org/cgi/pt?id=uc1.b2986586;view=1up;seq=318</v>
      </c>
      <c r="U243" s="4"/>
      <c r="V243" s="4"/>
      <c r="W243" s="4"/>
      <c r="X243" s="4"/>
      <c r="Y243" s="4"/>
      <c r="Z243" s="4"/>
      <c r="AA243" s="4"/>
      <c r="AB243" s="4"/>
    </row>
    <row r="244" spans="1:28" x14ac:dyDescent="0.25">
      <c r="A244" s="27" t="s">
        <v>838</v>
      </c>
      <c r="B244" s="27" t="str">
        <f t="shared" si="19"/>
        <v>Georgia</v>
      </c>
      <c r="C244" s="27" t="str">
        <f t="shared" si="20"/>
        <v>Polk</v>
      </c>
      <c r="D244" s="27">
        <v>3373</v>
      </c>
      <c r="E244" s="2">
        <f>'GA pre'!K99</f>
        <v>69</v>
      </c>
      <c r="F244" s="27">
        <v>120</v>
      </c>
      <c r="G244" s="2">
        <v>4820</v>
      </c>
      <c r="H244" s="28">
        <f>'GA pre'!U99</f>
        <v>31.434782608695652</v>
      </c>
      <c r="I244" s="2">
        <v>14290.1</v>
      </c>
      <c r="J244" s="27">
        <v>40</v>
      </c>
      <c r="K244" s="2">
        <f>'GA pre'!AB99</f>
        <v>34900</v>
      </c>
      <c r="L244" s="23">
        <v>1905</v>
      </c>
      <c r="M244" s="27" t="s">
        <v>492</v>
      </c>
      <c r="N244" s="27" t="s">
        <v>496</v>
      </c>
      <c r="O244" s="27" t="str">
        <f t="shared" si="21"/>
        <v>http://hdl.handle.net/2027/uc1.b2986586?urlappend=%3Bseq=313</v>
      </c>
      <c r="P244" s="27" t="s">
        <v>492</v>
      </c>
      <c r="Q244" s="27" t="str">
        <f t="shared" si="22"/>
        <v>https://babel.hathitrust.org/cgi/pt?id=uc1.b2986586;view=1up;seq=306</v>
      </c>
      <c r="R244" s="27" t="s">
        <v>497</v>
      </c>
      <c r="S244" s="27" t="s">
        <v>492</v>
      </c>
      <c r="T244" s="27" t="str">
        <f t="shared" si="23"/>
        <v>https://babel.hathitrust.org/cgi/pt?id=uc1.b2986586;view=1up;seq=318</v>
      </c>
      <c r="U244" s="4"/>
      <c r="V244" s="4"/>
      <c r="W244" s="4"/>
      <c r="X244" s="4"/>
      <c r="Y244" s="4"/>
      <c r="Z244" s="4"/>
      <c r="AA244" s="4"/>
      <c r="AB244" s="4"/>
    </row>
    <row r="245" spans="1:28" x14ac:dyDescent="0.25">
      <c r="A245" s="27" t="s">
        <v>839</v>
      </c>
      <c r="B245" s="27" t="str">
        <f t="shared" si="19"/>
        <v>Georgia</v>
      </c>
      <c r="C245" s="27" t="str">
        <f t="shared" si="20"/>
        <v>Pulaski</v>
      </c>
      <c r="D245" s="27">
        <v>1735</v>
      </c>
      <c r="E245" s="2">
        <f>'GA pre'!K100</f>
        <v>79</v>
      </c>
      <c r="F245" s="27">
        <v>140</v>
      </c>
      <c r="G245" s="2">
        <v>3936</v>
      </c>
      <c r="H245" s="28">
        <f>'GA pre'!U100</f>
        <v>31.075949367088608</v>
      </c>
      <c r="I245" s="2">
        <v>14350.6</v>
      </c>
      <c r="J245" s="27">
        <v>62</v>
      </c>
      <c r="K245" s="2">
        <f>'GA pre'!AB100</f>
        <v>39000</v>
      </c>
      <c r="L245" s="23">
        <v>1905</v>
      </c>
      <c r="M245" s="27" t="s">
        <v>492</v>
      </c>
      <c r="N245" s="27" t="s">
        <v>496</v>
      </c>
      <c r="O245" s="27" t="str">
        <f t="shared" si="21"/>
        <v>http://hdl.handle.net/2027/uc1.b2986586?urlappend=%3Bseq=313</v>
      </c>
      <c r="P245" s="27" t="s">
        <v>492</v>
      </c>
      <c r="Q245" s="27" t="str">
        <f t="shared" si="22"/>
        <v>https://babel.hathitrust.org/cgi/pt?id=uc1.b2986586;view=1up;seq=306</v>
      </c>
      <c r="R245" s="27" t="s">
        <v>497</v>
      </c>
      <c r="S245" s="27" t="s">
        <v>492</v>
      </c>
      <c r="T245" s="27" t="str">
        <f t="shared" si="23"/>
        <v>https://babel.hathitrust.org/cgi/pt?id=uc1.b2986586;view=1up;seq=318</v>
      </c>
      <c r="U245" s="4"/>
      <c r="V245" s="4"/>
      <c r="W245" s="4"/>
      <c r="X245" s="4"/>
      <c r="Y245" s="4"/>
      <c r="Z245" s="4"/>
      <c r="AA245" s="4"/>
      <c r="AB245" s="4"/>
    </row>
    <row r="246" spans="1:28" x14ac:dyDescent="0.25">
      <c r="A246" s="27" t="s">
        <v>840</v>
      </c>
      <c r="B246" s="27" t="str">
        <f t="shared" si="19"/>
        <v>Georgia</v>
      </c>
      <c r="C246" s="27" t="str">
        <f t="shared" si="20"/>
        <v>Putnam</v>
      </c>
      <c r="D246" s="27">
        <v>911</v>
      </c>
      <c r="E246" s="2">
        <f>'GA pre'!K101</f>
        <v>42</v>
      </c>
      <c r="F246" s="27">
        <v>140</v>
      </c>
      <c r="G246" s="2">
        <v>1737</v>
      </c>
      <c r="H246" s="28">
        <f>'GA pre'!U101</f>
        <v>30</v>
      </c>
      <c r="I246" s="2">
        <v>10785.94</v>
      </c>
      <c r="J246" s="27">
        <v>37</v>
      </c>
      <c r="K246" s="2">
        <f>'GA pre'!AB101</f>
        <v>18100</v>
      </c>
      <c r="L246" s="23">
        <v>1905</v>
      </c>
      <c r="M246" s="27" t="s">
        <v>492</v>
      </c>
      <c r="N246" s="27" t="s">
        <v>496</v>
      </c>
      <c r="O246" s="27" t="str">
        <f t="shared" si="21"/>
        <v>http://hdl.handle.net/2027/uc1.b2986586?urlappend=%3Bseq=313</v>
      </c>
      <c r="P246" s="27" t="s">
        <v>492</v>
      </c>
      <c r="Q246" s="27" t="str">
        <f t="shared" si="22"/>
        <v>https://babel.hathitrust.org/cgi/pt?id=uc1.b2986586;view=1up;seq=306</v>
      </c>
      <c r="R246" s="27" t="s">
        <v>497</v>
      </c>
      <c r="S246" s="27" t="s">
        <v>492</v>
      </c>
      <c r="T246" s="27" t="str">
        <f t="shared" si="23"/>
        <v>https://babel.hathitrust.org/cgi/pt?id=uc1.b2986586;view=1up;seq=318</v>
      </c>
      <c r="U246" s="4"/>
      <c r="V246" s="4"/>
      <c r="W246" s="4"/>
      <c r="X246" s="4"/>
      <c r="Y246" s="4"/>
      <c r="Z246" s="4"/>
      <c r="AA246" s="4"/>
      <c r="AB246" s="4"/>
    </row>
    <row r="247" spans="1:28" x14ac:dyDescent="0.25">
      <c r="A247" s="27" t="s">
        <v>841</v>
      </c>
      <c r="B247" s="27" t="str">
        <f t="shared" si="19"/>
        <v>Georgia</v>
      </c>
      <c r="C247" s="27" t="str">
        <f t="shared" si="20"/>
        <v>Quitman</v>
      </c>
      <c r="D247" s="27">
        <v>435</v>
      </c>
      <c r="E247" s="2">
        <f>'GA pre'!K102</f>
        <v>33</v>
      </c>
      <c r="F247" s="27">
        <v>115</v>
      </c>
      <c r="G247" s="2">
        <v>837</v>
      </c>
      <c r="H247" s="28">
        <f>'GA pre'!U102</f>
        <v>16.727272727272727</v>
      </c>
      <c r="I247" s="2">
        <v>3332.34</v>
      </c>
      <c r="J247" s="27">
        <v>21</v>
      </c>
      <c r="K247" s="2">
        <f>'GA pre'!AB102</f>
        <v>2050</v>
      </c>
      <c r="L247" s="23">
        <v>1905</v>
      </c>
      <c r="M247" s="27" t="s">
        <v>492</v>
      </c>
      <c r="N247" s="27" t="s">
        <v>496</v>
      </c>
      <c r="O247" s="27" t="str">
        <f t="shared" si="21"/>
        <v>http://hdl.handle.net/2027/uc1.b2986586?urlappend=%3Bseq=313</v>
      </c>
      <c r="P247" s="27" t="s">
        <v>492</v>
      </c>
      <c r="Q247" s="27" t="str">
        <f t="shared" si="22"/>
        <v>https://babel.hathitrust.org/cgi/pt?id=uc1.b2986586;view=1up;seq=306</v>
      </c>
      <c r="R247" s="27" t="s">
        <v>497</v>
      </c>
      <c r="S247" s="27" t="s">
        <v>492</v>
      </c>
      <c r="T247" s="27" t="str">
        <f t="shared" si="23"/>
        <v>https://babel.hathitrust.org/cgi/pt?id=uc1.b2986586;view=1up;seq=318</v>
      </c>
      <c r="U247" s="4"/>
      <c r="V247" s="4"/>
      <c r="W247" s="4"/>
      <c r="X247" s="4"/>
      <c r="Y247" s="4"/>
      <c r="Z247" s="4"/>
      <c r="AA247" s="4"/>
      <c r="AB247" s="4"/>
    </row>
    <row r="248" spans="1:28" x14ac:dyDescent="0.25">
      <c r="A248" s="27" t="s">
        <v>842</v>
      </c>
      <c r="B248" s="27" t="str">
        <f t="shared" si="19"/>
        <v>Georgia</v>
      </c>
      <c r="C248" s="27" t="str">
        <f t="shared" si="20"/>
        <v>Rabun</v>
      </c>
      <c r="D248" s="27">
        <v>936</v>
      </c>
      <c r="E248" s="2">
        <f>'GA pre'!K103</f>
        <v>40</v>
      </c>
      <c r="F248" s="27">
        <v>90</v>
      </c>
      <c r="G248" s="2">
        <v>1456</v>
      </c>
      <c r="H248" s="28">
        <f>'GA pre'!U103</f>
        <v>25.9</v>
      </c>
      <c r="I248" s="2">
        <v>4881.1400000000003</v>
      </c>
      <c r="J248" s="27">
        <v>33</v>
      </c>
      <c r="K248" s="2">
        <f>'GA pre'!AB103</f>
        <v>11200</v>
      </c>
      <c r="L248" s="23">
        <v>1905</v>
      </c>
      <c r="M248" s="27" t="s">
        <v>492</v>
      </c>
      <c r="N248" s="27" t="s">
        <v>496</v>
      </c>
      <c r="O248" s="27" t="str">
        <f t="shared" si="21"/>
        <v>http://hdl.handle.net/2027/uc1.b2986586?urlappend=%3Bseq=313</v>
      </c>
      <c r="P248" s="27" t="s">
        <v>492</v>
      </c>
      <c r="Q248" s="27" t="str">
        <f t="shared" si="22"/>
        <v>https://babel.hathitrust.org/cgi/pt?id=uc1.b2986586;view=1up;seq=306</v>
      </c>
      <c r="R248" s="27" t="s">
        <v>497</v>
      </c>
      <c r="S248" s="27" t="s">
        <v>492</v>
      </c>
      <c r="T248" s="27" t="str">
        <f t="shared" si="23"/>
        <v>https://babel.hathitrust.org/cgi/pt?id=uc1.b2986586;view=1up;seq=318</v>
      </c>
      <c r="U248" s="4"/>
      <c r="V248" s="4"/>
      <c r="W248" s="4"/>
      <c r="X248" s="4"/>
      <c r="Y248" s="4"/>
      <c r="Z248" s="4"/>
      <c r="AA248" s="4"/>
      <c r="AB248" s="4"/>
    </row>
    <row r="249" spans="1:28" x14ac:dyDescent="0.25">
      <c r="A249" s="27" t="s">
        <v>843</v>
      </c>
      <c r="B249" s="27" t="str">
        <f t="shared" si="19"/>
        <v>Georgia</v>
      </c>
      <c r="C249" s="27" t="str">
        <f t="shared" si="20"/>
        <v>Randolph</v>
      </c>
      <c r="D249" s="27">
        <v>1892</v>
      </c>
      <c r="E249" s="2">
        <f>'GA pre'!K104</f>
        <v>60</v>
      </c>
      <c r="F249" s="27">
        <v>120</v>
      </c>
      <c r="G249" s="2">
        <v>3243</v>
      </c>
      <c r="H249" s="28">
        <f>'GA pre'!U104</f>
        <v>34.75</v>
      </c>
      <c r="I249" s="2">
        <v>14599.86</v>
      </c>
      <c r="J249" s="27">
        <v>39</v>
      </c>
      <c r="K249" s="2">
        <f>'GA pre'!AB104</f>
        <v>25475</v>
      </c>
      <c r="L249" s="23">
        <v>1905</v>
      </c>
      <c r="M249" s="27" t="s">
        <v>492</v>
      </c>
      <c r="N249" s="27" t="s">
        <v>496</v>
      </c>
      <c r="O249" s="27" t="str">
        <f t="shared" si="21"/>
        <v>http://hdl.handle.net/2027/uc1.b2986586?urlappend=%3Bseq=313</v>
      </c>
      <c r="P249" s="27" t="s">
        <v>492</v>
      </c>
      <c r="Q249" s="27" t="str">
        <f t="shared" si="22"/>
        <v>https://babel.hathitrust.org/cgi/pt?id=uc1.b2986586;view=1up;seq=306</v>
      </c>
      <c r="R249" s="27" t="s">
        <v>497</v>
      </c>
      <c r="S249" s="27" t="s">
        <v>492</v>
      </c>
      <c r="T249" s="27" t="str">
        <f t="shared" si="23"/>
        <v>https://babel.hathitrust.org/cgi/pt?id=uc1.b2986586;view=1up;seq=318</v>
      </c>
      <c r="U249" s="4"/>
      <c r="V249" s="4"/>
      <c r="W249" s="4"/>
      <c r="X249" s="4"/>
      <c r="Y249" s="4"/>
      <c r="Z249" s="4"/>
      <c r="AA249" s="4"/>
      <c r="AB249" s="4"/>
    </row>
    <row r="250" spans="1:28" x14ac:dyDescent="0.25">
      <c r="A250" s="27" t="s">
        <v>845</v>
      </c>
      <c r="B250" s="27" t="str">
        <f t="shared" si="19"/>
        <v>Georgia</v>
      </c>
      <c r="C250" s="27" t="str">
        <f t="shared" si="20"/>
        <v>Rockdale</v>
      </c>
      <c r="D250" s="27">
        <v>838</v>
      </c>
      <c r="E250" s="2">
        <f>'GA pre'!K105</f>
        <v>36</v>
      </c>
      <c r="F250" s="27">
        <v>82</v>
      </c>
      <c r="G250" s="2">
        <v>1654</v>
      </c>
      <c r="H250" s="28">
        <f>'GA pre'!U105</f>
        <v>24.638888888888889</v>
      </c>
      <c r="I250" s="2">
        <v>4687.54</v>
      </c>
      <c r="J250" s="27">
        <v>27</v>
      </c>
      <c r="K250" s="2">
        <f>'GA pre'!AB105</f>
        <v>18235</v>
      </c>
      <c r="L250" s="23">
        <v>1905</v>
      </c>
      <c r="M250" s="27" t="s">
        <v>492</v>
      </c>
      <c r="N250" s="27" t="s">
        <v>496</v>
      </c>
      <c r="O250" s="27" t="str">
        <f t="shared" si="21"/>
        <v>http://hdl.handle.net/2027/uc1.b2986586?urlappend=%3Bseq=313</v>
      </c>
      <c r="P250" s="27" t="s">
        <v>492</v>
      </c>
      <c r="Q250" s="27" t="str">
        <f t="shared" si="22"/>
        <v>https://babel.hathitrust.org/cgi/pt?id=uc1.b2986586;view=1up;seq=306</v>
      </c>
      <c r="R250" s="27" t="s">
        <v>497</v>
      </c>
      <c r="S250" s="27" t="s">
        <v>492</v>
      </c>
      <c r="T250" s="27" t="str">
        <f t="shared" si="23"/>
        <v>https://babel.hathitrust.org/cgi/pt?id=uc1.b2986586;view=1up;seq=318</v>
      </c>
      <c r="U250" s="4"/>
      <c r="V250" s="4"/>
      <c r="W250" s="4"/>
      <c r="X250" s="4"/>
      <c r="Y250" s="4"/>
      <c r="Z250" s="4"/>
      <c r="AA250" s="4"/>
      <c r="AB250" s="4"/>
    </row>
    <row r="251" spans="1:28" x14ac:dyDescent="0.25">
      <c r="A251" s="27" t="s">
        <v>846</v>
      </c>
      <c r="B251" s="27" t="str">
        <f t="shared" si="19"/>
        <v>Georgia</v>
      </c>
      <c r="C251" s="27" t="str">
        <f t="shared" si="20"/>
        <v>Schley</v>
      </c>
      <c r="D251" s="27">
        <v>734</v>
      </c>
      <c r="E251" s="2">
        <f>'GA pre'!K106</f>
        <v>26</v>
      </c>
      <c r="F251" s="27">
        <v>120</v>
      </c>
      <c r="G251" s="2">
        <v>1437</v>
      </c>
      <c r="H251" s="28">
        <f>'GA pre'!U106</f>
        <v>31.153846153846153</v>
      </c>
      <c r="I251" s="2">
        <v>4353.58</v>
      </c>
      <c r="J251" s="27">
        <v>17</v>
      </c>
      <c r="K251" s="2">
        <f>'GA pre'!AB106</f>
        <v>6000</v>
      </c>
      <c r="L251" s="23">
        <v>1905</v>
      </c>
      <c r="M251" s="27" t="s">
        <v>492</v>
      </c>
      <c r="N251" s="27" t="s">
        <v>496</v>
      </c>
      <c r="O251" s="27" t="str">
        <f t="shared" si="21"/>
        <v>http://hdl.handle.net/2027/uc1.b2986586?urlappend=%3Bseq=313</v>
      </c>
      <c r="P251" s="27" t="s">
        <v>492</v>
      </c>
      <c r="Q251" s="27" t="str">
        <f t="shared" si="22"/>
        <v>https://babel.hathitrust.org/cgi/pt?id=uc1.b2986586;view=1up;seq=306</v>
      </c>
      <c r="R251" s="27" t="s">
        <v>497</v>
      </c>
      <c r="S251" s="27" t="s">
        <v>492</v>
      </c>
      <c r="T251" s="27" t="str">
        <f t="shared" si="23"/>
        <v>https://babel.hathitrust.org/cgi/pt?id=uc1.b2986586;view=1up;seq=318</v>
      </c>
      <c r="U251" s="4"/>
      <c r="V251" s="4"/>
      <c r="W251" s="4"/>
      <c r="X251" s="4"/>
      <c r="Y251" s="4"/>
      <c r="Z251" s="4"/>
      <c r="AA251" s="4"/>
      <c r="AB251" s="4"/>
    </row>
    <row r="252" spans="1:28" x14ac:dyDescent="0.25">
      <c r="A252" s="27" t="s">
        <v>847</v>
      </c>
      <c r="B252" s="27" t="str">
        <f t="shared" si="19"/>
        <v>Georgia</v>
      </c>
      <c r="C252" s="27" t="str">
        <f t="shared" si="20"/>
        <v>Screven</v>
      </c>
      <c r="D252" s="27">
        <v>2759</v>
      </c>
      <c r="E252" s="2">
        <f>'GA pre'!K107</f>
        <v>100</v>
      </c>
      <c r="F252" s="27">
        <v>110</v>
      </c>
      <c r="G252" s="2">
        <v>4865</v>
      </c>
      <c r="H252" s="28">
        <f>'GA pre'!U107</f>
        <v>31.37</v>
      </c>
      <c r="I252" s="2">
        <v>13554.42</v>
      </c>
      <c r="J252" s="27">
        <v>95</v>
      </c>
      <c r="K252" s="2">
        <f>'GA pre'!AB107</f>
        <v>27775</v>
      </c>
      <c r="L252" s="23">
        <v>1905</v>
      </c>
      <c r="M252" s="27" t="s">
        <v>492</v>
      </c>
      <c r="N252" s="27" t="s">
        <v>496</v>
      </c>
      <c r="O252" s="27" t="str">
        <f t="shared" si="21"/>
        <v>http://hdl.handle.net/2027/uc1.b2986586?urlappend=%3Bseq=313</v>
      </c>
      <c r="P252" s="27" t="s">
        <v>492</v>
      </c>
      <c r="Q252" s="27" t="str">
        <f t="shared" si="22"/>
        <v>https://babel.hathitrust.org/cgi/pt?id=uc1.b2986586;view=1up;seq=306</v>
      </c>
      <c r="R252" s="27" t="s">
        <v>497</v>
      </c>
      <c r="S252" s="27" t="s">
        <v>492</v>
      </c>
      <c r="T252" s="27" t="str">
        <f t="shared" si="23"/>
        <v>https://babel.hathitrust.org/cgi/pt?id=uc1.b2986586;view=1up;seq=318</v>
      </c>
      <c r="U252" s="4"/>
      <c r="V252" s="4"/>
      <c r="W252" s="4"/>
      <c r="X252" s="4"/>
      <c r="Y252" s="4"/>
      <c r="Z252" s="4"/>
      <c r="AA252" s="4"/>
      <c r="AB252" s="4"/>
    </row>
    <row r="253" spans="1:28" x14ac:dyDescent="0.25">
      <c r="A253" s="27" t="s">
        <v>849</v>
      </c>
      <c r="B253" s="27" t="str">
        <f t="shared" si="19"/>
        <v>Georgia</v>
      </c>
      <c r="C253" s="27" t="str">
        <f t="shared" si="20"/>
        <v>Spalding</v>
      </c>
      <c r="D253" s="27">
        <v>1545</v>
      </c>
      <c r="E253" s="2">
        <f>'GA pre'!K108</f>
        <v>52</v>
      </c>
      <c r="F253" s="27">
        <v>110</v>
      </c>
      <c r="G253" s="2">
        <v>2741</v>
      </c>
      <c r="H253" s="28">
        <f>'GA pre'!U108</f>
        <v>31.73076923076923</v>
      </c>
      <c r="I253" s="2">
        <v>9166.9599999999991</v>
      </c>
      <c r="J253" s="27">
        <v>37</v>
      </c>
      <c r="K253" s="2">
        <f>'GA pre'!AB108</f>
        <v>55700</v>
      </c>
      <c r="L253" s="23">
        <v>1905</v>
      </c>
      <c r="M253" s="27" t="s">
        <v>492</v>
      </c>
      <c r="N253" s="27" t="s">
        <v>498</v>
      </c>
      <c r="O253" s="27" t="str">
        <f t="shared" si="21"/>
        <v>http://hdl.handle.net/2027/uc1.b2986586?urlappend=%3Bseq=313</v>
      </c>
      <c r="P253" s="27" t="s">
        <v>492</v>
      </c>
      <c r="Q253" s="27" t="str">
        <f t="shared" si="22"/>
        <v>https://babel.hathitrust.org/cgi/pt?id=uc1.b2986586;view=1up;seq=306</v>
      </c>
      <c r="R253" s="27" t="s">
        <v>497</v>
      </c>
      <c r="S253" s="27" t="s">
        <v>492</v>
      </c>
      <c r="T253" s="27" t="str">
        <f t="shared" si="23"/>
        <v>https://babel.hathitrust.org/cgi/pt?id=uc1.b2986586;view=1up;seq=318</v>
      </c>
      <c r="U253" s="4"/>
      <c r="V253" s="4"/>
      <c r="W253" s="4"/>
      <c r="X253" s="4"/>
      <c r="Y253" s="4"/>
      <c r="Z253" s="4"/>
      <c r="AA253" s="4"/>
      <c r="AB253" s="4"/>
    </row>
    <row r="254" spans="1:28" x14ac:dyDescent="0.25">
      <c r="A254" s="27" t="s">
        <v>850</v>
      </c>
      <c r="B254" s="27" t="str">
        <f t="shared" si="19"/>
        <v>Georgia</v>
      </c>
      <c r="C254" s="27" t="str">
        <f t="shared" si="20"/>
        <v>Stephens</v>
      </c>
      <c r="D254" s="27"/>
      <c r="E254" s="2"/>
      <c r="F254" s="27"/>
      <c r="G254" s="27"/>
      <c r="H254" s="28"/>
      <c r="I254" s="2">
        <v>4447.96</v>
      </c>
      <c r="J254" s="27"/>
      <c r="K254" s="2"/>
      <c r="L254" s="23">
        <v>1905</v>
      </c>
      <c r="M254" s="27" t="s">
        <v>492</v>
      </c>
      <c r="N254" s="27" t="s">
        <v>498</v>
      </c>
      <c r="O254" s="27" t="str">
        <f t="shared" si="21"/>
        <v>http://hdl.handle.net/2027/uc1.b2986586?urlappend=%3Bseq=313</v>
      </c>
      <c r="P254" s="27" t="s">
        <v>492</v>
      </c>
      <c r="Q254" s="27" t="str">
        <f t="shared" si="22"/>
        <v>https://babel.hathitrust.org/cgi/pt?id=uc1.b2986586;view=1up;seq=306</v>
      </c>
      <c r="R254" s="27" t="s">
        <v>497</v>
      </c>
      <c r="S254" s="27" t="s">
        <v>492</v>
      </c>
      <c r="T254" s="27" t="str">
        <f t="shared" si="23"/>
        <v>https://babel.hathitrust.org/cgi/pt?id=uc1.b2986586;view=1up;seq=318</v>
      </c>
      <c r="U254" s="4"/>
      <c r="V254" s="4"/>
      <c r="W254" s="4"/>
      <c r="X254" s="4"/>
      <c r="Y254" s="4"/>
      <c r="Z254" s="4"/>
      <c r="AA254" s="4"/>
      <c r="AB254" s="4"/>
    </row>
    <row r="255" spans="1:28" x14ac:dyDescent="0.25">
      <c r="A255" s="27" t="s">
        <v>851</v>
      </c>
      <c r="B255" s="27" t="str">
        <f t="shared" si="19"/>
        <v>Georgia</v>
      </c>
      <c r="C255" s="27" t="str">
        <f t="shared" si="20"/>
        <v>Stewart</v>
      </c>
      <c r="D255" s="27">
        <v>661</v>
      </c>
      <c r="E255" s="2">
        <f>'GA pre'!K110</f>
        <v>53</v>
      </c>
      <c r="F255" s="27">
        <v>120</v>
      </c>
      <c r="G255" s="2">
        <v>3437</v>
      </c>
      <c r="H255" s="28">
        <f>'GA pre'!U110</f>
        <v>30.471698113207548</v>
      </c>
      <c r="I255" s="2">
        <v>13092.2</v>
      </c>
      <c r="J255" s="27">
        <v>55</v>
      </c>
      <c r="K255" s="2">
        <f>'GA pre'!AB110</f>
        <v>9000</v>
      </c>
      <c r="L255" s="23">
        <v>1905</v>
      </c>
      <c r="M255" s="27" t="s">
        <v>492</v>
      </c>
      <c r="N255" s="27" t="s">
        <v>498</v>
      </c>
      <c r="O255" s="27" t="str">
        <f t="shared" si="21"/>
        <v>http://hdl.handle.net/2027/uc1.b2986586?urlappend=%3Bseq=313</v>
      </c>
      <c r="P255" s="27" t="s">
        <v>492</v>
      </c>
      <c r="Q255" s="27" t="str">
        <f t="shared" si="22"/>
        <v>https://babel.hathitrust.org/cgi/pt?id=uc1.b2986586;view=1up;seq=306</v>
      </c>
      <c r="R255" s="27" t="s">
        <v>497</v>
      </c>
      <c r="S255" s="27" t="s">
        <v>492</v>
      </c>
      <c r="T255" s="27" t="str">
        <f t="shared" si="23"/>
        <v>https://babel.hathitrust.org/cgi/pt?id=uc1.b2986586;view=1up;seq=318</v>
      </c>
      <c r="U255" s="4"/>
      <c r="V255" s="4"/>
      <c r="W255" s="4"/>
      <c r="X255" s="4"/>
      <c r="Y255" s="4"/>
      <c r="Z255" s="4"/>
      <c r="AA255" s="4"/>
      <c r="AB255" s="4"/>
    </row>
    <row r="256" spans="1:28" x14ac:dyDescent="0.25">
      <c r="A256" s="27" t="s">
        <v>852</v>
      </c>
      <c r="B256" s="27" t="str">
        <f t="shared" si="19"/>
        <v>Georgia</v>
      </c>
      <c r="C256" s="27" t="str">
        <f t="shared" si="20"/>
        <v>Sumter</v>
      </c>
      <c r="D256" s="27">
        <v>1007</v>
      </c>
      <c r="E256" s="2">
        <f>'GA pre'!K111</f>
        <v>65</v>
      </c>
      <c r="F256" s="27">
        <v>140</v>
      </c>
      <c r="G256" s="2">
        <v>3852</v>
      </c>
      <c r="H256" s="28">
        <f>'GA pre'!U111</f>
        <v>22.76923076923077</v>
      </c>
      <c r="I256" s="2">
        <v>14169.1</v>
      </c>
      <c r="J256" s="27">
        <v>61</v>
      </c>
      <c r="K256" s="2">
        <f>'GA pre'!AB111</f>
        <v>26150</v>
      </c>
      <c r="L256" s="23">
        <v>1905</v>
      </c>
      <c r="M256" s="27" t="s">
        <v>492</v>
      </c>
      <c r="N256" s="27" t="s">
        <v>498</v>
      </c>
      <c r="O256" s="27" t="str">
        <f t="shared" si="21"/>
        <v>http://hdl.handle.net/2027/uc1.b2986586?urlappend=%3Bseq=313</v>
      </c>
      <c r="P256" s="27" t="s">
        <v>492</v>
      </c>
      <c r="Q256" s="27" t="str">
        <f t="shared" si="22"/>
        <v>https://babel.hathitrust.org/cgi/pt?id=uc1.b2986586;view=1up;seq=306</v>
      </c>
      <c r="R256" s="27" t="s">
        <v>497</v>
      </c>
      <c r="S256" s="27" t="s">
        <v>492</v>
      </c>
      <c r="T256" s="27" t="str">
        <f t="shared" si="23"/>
        <v>https://babel.hathitrust.org/cgi/pt?id=uc1.b2986586;view=1up;seq=318</v>
      </c>
      <c r="U256" s="4"/>
      <c r="V256" s="4"/>
      <c r="W256" s="4"/>
      <c r="X256" s="4"/>
      <c r="Y256" s="4"/>
      <c r="Z256" s="4"/>
      <c r="AA256" s="4"/>
      <c r="AB256" s="4"/>
    </row>
    <row r="257" spans="1:28" x14ac:dyDescent="0.25">
      <c r="A257" s="27" t="s">
        <v>853</v>
      </c>
      <c r="B257" s="27" t="str">
        <f t="shared" si="19"/>
        <v>Georgia</v>
      </c>
      <c r="C257" s="27" t="str">
        <f t="shared" si="20"/>
        <v>Talbot</v>
      </c>
      <c r="D257" s="27">
        <v>874</v>
      </c>
      <c r="E257" s="2">
        <f>'GA pre'!K112</f>
        <v>47</v>
      </c>
      <c r="F257" s="27">
        <v>120</v>
      </c>
      <c r="G257" s="2">
        <v>2951</v>
      </c>
      <c r="H257" s="28">
        <f>'GA pre'!U112</f>
        <v>31.787234042553191</v>
      </c>
      <c r="I257" s="2">
        <v>9239.56</v>
      </c>
      <c r="J257" s="27">
        <v>45</v>
      </c>
      <c r="K257" s="2">
        <f>'GA pre'!AB112</f>
        <v>8700</v>
      </c>
      <c r="L257" s="23">
        <v>1905</v>
      </c>
      <c r="M257" s="27" t="s">
        <v>492</v>
      </c>
      <c r="N257" s="27" t="s">
        <v>498</v>
      </c>
      <c r="O257" s="27" t="str">
        <f t="shared" si="21"/>
        <v>http://hdl.handle.net/2027/uc1.b2986586?urlappend=%3Bseq=313</v>
      </c>
      <c r="P257" s="27" t="s">
        <v>492</v>
      </c>
      <c r="Q257" s="27" t="str">
        <f t="shared" si="22"/>
        <v>https://babel.hathitrust.org/cgi/pt?id=uc1.b2986586;view=1up;seq=306</v>
      </c>
      <c r="R257" s="27" t="s">
        <v>497</v>
      </c>
      <c r="S257" s="27" t="s">
        <v>492</v>
      </c>
      <c r="T257" s="27" t="str">
        <f t="shared" si="23"/>
        <v>https://babel.hathitrust.org/cgi/pt?id=uc1.b2986586;view=1up;seq=318</v>
      </c>
      <c r="U257" s="4"/>
      <c r="V257" s="4"/>
      <c r="W257" s="4"/>
      <c r="X257" s="4"/>
      <c r="Y257" s="4"/>
      <c r="Z257" s="4"/>
      <c r="AA257" s="4"/>
      <c r="AB257" s="4"/>
    </row>
    <row r="258" spans="1:28" x14ac:dyDescent="0.25">
      <c r="A258" s="27" t="s">
        <v>854</v>
      </c>
      <c r="B258" s="27" t="str">
        <f t="shared" si="19"/>
        <v>Georgia</v>
      </c>
      <c r="C258" s="27" t="str">
        <f t="shared" si="20"/>
        <v>Taliaferro</v>
      </c>
      <c r="D258" s="27">
        <v>559</v>
      </c>
      <c r="E258" s="2">
        <f>'GA pre'!K113</f>
        <v>38</v>
      </c>
      <c r="F258" s="27">
        <v>100</v>
      </c>
      <c r="G258" s="2">
        <v>1884</v>
      </c>
      <c r="H258" s="28">
        <f>'GA pre'!U113</f>
        <v>28.631578947368421</v>
      </c>
      <c r="I258" s="2">
        <v>5757.18</v>
      </c>
      <c r="J258" s="27">
        <v>34</v>
      </c>
      <c r="K258" s="2">
        <f>'GA pre'!AB113</f>
        <v>9100</v>
      </c>
      <c r="L258" s="23">
        <v>1905</v>
      </c>
      <c r="M258" s="27" t="s">
        <v>492</v>
      </c>
      <c r="N258" s="27" t="s">
        <v>498</v>
      </c>
      <c r="O258" s="27" t="str">
        <f t="shared" si="21"/>
        <v>http://hdl.handle.net/2027/uc1.b2986586?urlappend=%3Bseq=313</v>
      </c>
      <c r="P258" s="27" t="s">
        <v>492</v>
      </c>
      <c r="Q258" s="27" t="str">
        <f t="shared" si="22"/>
        <v>https://babel.hathitrust.org/cgi/pt?id=uc1.b2986586;view=1up;seq=306</v>
      </c>
      <c r="R258" s="27" t="s">
        <v>497</v>
      </c>
      <c r="S258" s="27" t="s">
        <v>492</v>
      </c>
      <c r="T258" s="27" t="str">
        <f t="shared" si="23"/>
        <v>https://babel.hathitrust.org/cgi/pt?id=uc1.b2986586;view=1up;seq=318</v>
      </c>
      <c r="U258" s="4"/>
      <c r="V258" s="4"/>
      <c r="W258" s="4"/>
      <c r="X258" s="4"/>
      <c r="Y258" s="4"/>
      <c r="Z258" s="4"/>
      <c r="AA258" s="4"/>
      <c r="AB258" s="4"/>
    </row>
    <row r="259" spans="1:28" x14ac:dyDescent="0.25">
      <c r="A259" s="27" t="s">
        <v>855</v>
      </c>
      <c r="B259" s="27" t="str">
        <f t="shared" si="19"/>
        <v>Georgia</v>
      </c>
      <c r="C259" s="27" t="str">
        <f t="shared" si="20"/>
        <v>Tattnall</v>
      </c>
      <c r="D259" s="27">
        <v>3605</v>
      </c>
      <c r="E259" s="2">
        <f>'GA pre'!K114</f>
        <v>110</v>
      </c>
      <c r="F259" s="27">
        <v>100</v>
      </c>
      <c r="G259" s="2">
        <v>4464</v>
      </c>
      <c r="H259" s="28">
        <f>'GA pre'!U114</f>
        <v>26.881818181818183</v>
      </c>
      <c r="I259" s="2">
        <v>11768.46</v>
      </c>
      <c r="J259" s="27">
        <v>90</v>
      </c>
      <c r="K259" s="2">
        <f>'GA pre'!AB114</f>
        <v>19450</v>
      </c>
      <c r="L259" s="23">
        <v>1905</v>
      </c>
      <c r="M259" s="27" t="s">
        <v>492</v>
      </c>
      <c r="N259" s="27" t="s">
        <v>498</v>
      </c>
      <c r="O259" s="27" t="str">
        <f t="shared" si="21"/>
        <v>http://hdl.handle.net/2027/uc1.b2986586?urlappend=%3Bseq=313</v>
      </c>
      <c r="P259" s="27" t="s">
        <v>492</v>
      </c>
      <c r="Q259" s="27" t="str">
        <f t="shared" si="22"/>
        <v>https://babel.hathitrust.org/cgi/pt?id=uc1.b2986586;view=1up;seq=306</v>
      </c>
      <c r="R259" s="27" t="s">
        <v>497</v>
      </c>
      <c r="S259" s="27" t="s">
        <v>492</v>
      </c>
      <c r="T259" s="27" t="str">
        <f t="shared" si="23"/>
        <v>https://babel.hathitrust.org/cgi/pt?id=uc1.b2986586;view=1up;seq=318</v>
      </c>
      <c r="U259" s="4"/>
      <c r="V259" s="4"/>
      <c r="W259" s="4"/>
      <c r="X259" s="4"/>
      <c r="Y259" s="4"/>
      <c r="Z259" s="4"/>
      <c r="AA259" s="4"/>
      <c r="AB259" s="4"/>
    </row>
    <row r="260" spans="1:28" x14ac:dyDescent="0.25">
      <c r="A260" s="27" t="s">
        <v>856</v>
      </c>
      <c r="B260" s="27" t="str">
        <f t="shared" si="19"/>
        <v>Georgia</v>
      </c>
      <c r="C260" s="27" t="str">
        <f t="shared" si="20"/>
        <v>Taylor</v>
      </c>
      <c r="D260" s="27">
        <v>1337</v>
      </c>
      <c r="E260" s="2">
        <f>'GA pre'!K115</f>
        <v>51</v>
      </c>
      <c r="F260" s="27">
        <v>100</v>
      </c>
      <c r="G260" s="2">
        <v>2412</v>
      </c>
      <c r="H260" s="28">
        <f>'GA pre'!U115</f>
        <v>23.607843137254903</v>
      </c>
      <c r="I260" s="2">
        <v>7615.74</v>
      </c>
      <c r="J260" s="27">
        <v>41</v>
      </c>
      <c r="K260" s="2">
        <f>'GA pre'!AB115</f>
        <v>9350</v>
      </c>
      <c r="L260" s="23">
        <v>1905</v>
      </c>
      <c r="M260" s="27" t="s">
        <v>492</v>
      </c>
      <c r="N260" s="27" t="s">
        <v>498</v>
      </c>
      <c r="O260" s="27" t="str">
        <f t="shared" si="21"/>
        <v>http://hdl.handle.net/2027/uc1.b2986586?urlappend=%3Bseq=313</v>
      </c>
      <c r="P260" s="27" t="s">
        <v>492</v>
      </c>
      <c r="Q260" s="27" t="str">
        <f t="shared" si="22"/>
        <v>https://babel.hathitrust.org/cgi/pt?id=uc1.b2986586;view=1up;seq=306</v>
      </c>
      <c r="R260" s="27" t="s">
        <v>497</v>
      </c>
      <c r="S260" s="27" t="s">
        <v>492</v>
      </c>
      <c r="T260" s="27" t="str">
        <f t="shared" si="23"/>
        <v>https://babel.hathitrust.org/cgi/pt?id=uc1.b2986586;view=1up;seq=318</v>
      </c>
      <c r="U260" s="4"/>
      <c r="V260" s="4"/>
      <c r="W260" s="4"/>
      <c r="X260" s="4"/>
      <c r="Y260" s="4"/>
      <c r="Z260" s="4"/>
      <c r="AA260" s="4"/>
      <c r="AB260" s="4"/>
    </row>
    <row r="261" spans="1:28" x14ac:dyDescent="0.25">
      <c r="A261" s="27" t="s">
        <v>857</v>
      </c>
      <c r="B261" s="27" t="str">
        <f t="shared" si="19"/>
        <v>Georgia</v>
      </c>
      <c r="C261" s="27" t="str">
        <f t="shared" si="20"/>
        <v>Telfair</v>
      </c>
      <c r="D261" s="27">
        <v>1463</v>
      </c>
      <c r="E261" s="2">
        <f>'GA pre'!K116</f>
        <v>56</v>
      </c>
      <c r="F261" s="27">
        <v>100</v>
      </c>
      <c r="G261" s="2">
        <v>2122</v>
      </c>
      <c r="H261" s="28">
        <f>'GA pre'!U116</f>
        <v>24.285714285714285</v>
      </c>
      <c r="I261" s="2">
        <v>7927.92</v>
      </c>
      <c r="J261" s="27">
        <v>58</v>
      </c>
      <c r="K261" s="2">
        <f>'GA pre'!AB116</f>
        <v>4600</v>
      </c>
      <c r="L261" s="23">
        <v>1905</v>
      </c>
      <c r="M261" s="27" t="s">
        <v>492</v>
      </c>
      <c r="N261" s="27" t="s">
        <v>498</v>
      </c>
      <c r="O261" s="27" t="str">
        <f t="shared" si="21"/>
        <v>http://hdl.handle.net/2027/uc1.b2986586?urlappend=%3Bseq=313</v>
      </c>
      <c r="P261" s="27" t="s">
        <v>492</v>
      </c>
      <c r="Q261" s="27" t="str">
        <f t="shared" si="22"/>
        <v>https://babel.hathitrust.org/cgi/pt?id=uc1.b2986586;view=1up;seq=306</v>
      </c>
      <c r="R261" s="27" t="s">
        <v>497</v>
      </c>
      <c r="S261" s="27" t="s">
        <v>492</v>
      </c>
      <c r="T261" s="27" t="str">
        <f t="shared" si="23"/>
        <v>https://babel.hathitrust.org/cgi/pt?id=uc1.b2986586;view=1up;seq=318</v>
      </c>
      <c r="U261" s="4"/>
      <c r="V261" s="4"/>
      <c r="W261" s="4"/>
      <c r="X261" s="4"/>
      <c r="Y261" s="4"/>
      <c r="Z261" s="4"/>
      <c r="AA261" s="4"/>
      <c r="AB261" s="4"/>
    </row>
    <row r="262" spans="1:28" x14ac:dyDescent="0.25">
      <c r="A262" s="27" t="s">
        <v>858</v>
      </c>
      <c r="B262" s="27" t="str">
        <f t="shared" si="19"/>
        <v>Georgia</v>
      </c>
      <c r="C262" s="27" t="str">
        <f t="shared" si="20"/>
        <v>Terrell</v>
      </c>
      <c r="D262" s="27">
        <v>764</v>
      </c>
      <c r="E262" s="2">
        <f>'GA pre'!K117</f>
        <v>57</v>
      </c>
      <c r="F262" s="27">
        <v>120</v>
      </c>
      <c r="G262" s="2">
        <v>2241</v>
      </c>
      <c r="H262" s="28">
        <f>'GA pre'!U117</f>
        <v>35.438596491228068</v>
      </c>
      <c r="I262" s="2">
        <v>12550.12</v>
      </c>
      <c r="J262" s="27">
        <v>43</v>
      </c>
      <c r="K262" s="2">
        <f>'GA pre'!AB117</f>
        <v>12400</v>
      </c>
      <c r="L262" s="23">
        <v>1905</v>
      </c>
      <c r="M262" s="27" t="s">
        <v>492</v>
      </c>
      <c r="N262" s="27" t="s">
        <v>498</v>
      </c>
      <c r="O262" s="27" t="str">
        <f t="shared" si="21"/>
        <v>http://hdl.handle.net/2027/uc1.b2986586?urlappend=%3Bseq=313</v>
      </c>
      <c r="P262" s="27" t="s">
        <v>492</v>
      </c>
      <c r="Q262" s="27" t="str">
        <f t="shared" si="22"/>
        <v>https://babel.hathitrust.org/cgi/pt?id=uc1.b2986586;view=1up;seq=306</v>
      </c>
      <c r="R262" s="27" t="s">
        <v>497</v>
      </c>
      <c r="S262" s="27" t="s">
        <v>492</v>
      </c>
      <c r="T262" s="27" t="str">
        <f t="shared" si="23"/>
        <v>https://babel.hathitrust.org/cgi/pt?id=uc1.b2986586;view=1up;seq=318</v>
      </c>
      <c r="U262" s="4"/>
      <c r="V262" s="4"/>
      <c r="W262" s="4"/>
      <c r="X262" s="4"/>
      <c r="Y262" s="4"/>
      <c r="Z262" s="4"/>
      <c r="AA262" s="4"/>
      <c r="AB262" s="4"/>
    </row>
    <row r="263" spans="1:28" x14ac:dyDescent="0.25">
      <c r="A263" s="27" t="s">
        <v>859</v>
      </c>
      <c r="B263" s="27" t="str">
        <f t="shared" ref="B263:B326" si="24">LEFT(A263,FIND(";",A263)-1)</f>
        <v>Georgia</v>
      </c>
      <c r="C263" s="27" t="str">
        <f t="shared" ref="C263:C326" si="25">MID(A263,FIND(";",A263)+1,100)</f>
        <v>Thomas</v>
      </c>
      <c r="D263" s="27">
        <v>3017</v>
      </c>
      <c r="E263" s="2">
        <f>'GA pre'!K118</f>
        <v>87</v>
      </c>
      <c r="F263" s="27">
        <v>100</v>
      </c>
      <c r="G263" s="2">
        <v>5788</v>
      </c>
      <c r="H263" s="28">
        <f>'GA pre'!U118</f>
        <v>33.689655172413794</v>
      </c>
      <c r="I263" s="2">
        <v>15079.02</v>
      </c>
      <c r="J263" s="27">
        <v>106</v>
      </c>
      <c r="K263" s="2">
        <f>'GA pre'!AB118</f>
        <v>46000</v>
      </c>
      <c r="L263" s="23">
        <v>1905</v>
      </c>
      <c r="M263" s="27" t="s">
        <v>492</v>
      </c>
      <c r="N263" s="27" t="s">
        <v>498</v>
      </c>
      <c r="O263" s="27" t="str">
        <f t="shared" si="21"/>
        <v>http://hdl.handle.net/2027/uc1.b2986586?urlappend=%3Bseq=313</v>
      </c>
      <c r="P263" s="27" t="s">
        <v>492</v>
      </c>
      <c r="Q263" s="27" t="str">
        <f t="shared" si="22"/>
        <v>https://babel.hathitrust.org/cgi/pt?id=uc1.b2986586;view=1up;seq=306</v>
      </c>
      <c r="R263" s="27" t="s">
        <v>497</v>
      </c>
      <c r="S263" s="27" t="s">
        <v>492</v>
      </c>
      <c r="T263" s="27" t="str">
        <f t="shared" si="23"/>
        <v>https://babel.hathitrust.org/cgi/pt?id=uc1.b2986586;view=1up;seq=318</v>
      </c>
      <c r="U263" s="4"/>
      <c r="V263" s="4"/>
      <c r="W263" s="4"/>
      <c r="X263" s="4"/>
      <c r="Y263" s="4"/>
      <c r="Z263" s="4"/>
      <c r="AA263" s="4"/>
      <c r="AB263" s="4"/>
    </row>
    <row r="264" spans="1:28" x14ac:dyDescent="0.25">
      <c r="A264" s="27" t="s">
        <v>860</v>
      </c>
      <c r="B264" s="27" t="str">
        <f t="shared" si="24"/>
        <v>Georgia</v>
      </c>
      <c r="C264" s="27" t="str">
        <f t="shared" si="25"/>
        <v>Tift</v>
      </c>
      <c r="D264" s="27"/>
      <c r="E264" s="2"/>
      <c r="F264" s="27"/>
      <c r="G264" s="27"/>
      <c r="H264" s="28"/>
      <c r="I264" s="2">
        <v>4619.78</v>
      </c>
      <c r="J264" s="27"/>
      <c r="K264" s="2"/>
      <c r="L264" s="23">
        <v>1905</v>
      </c>
      <c r="M264" s="27" t="s">
        <v>492</v>
      </c>
      <c r="N264" s="27" t="s">
        <v>498</v>
      </c>
      <c r="O264" s="27" t="str">
        <f t="shared" si="21"/>
        <v>http://hdl.handle.net/2027/uc1.b2986586?urlappend=%3Bseq=313</v>
      </c>
      <c r="P264" s="27" t="s">
        <v>492</v>
      </c>
      <c r="Q264" s="27" t="str">
        <f t="shared" si="22"/>
        <v>https://babel.hathitrust.org/cgi/pt?id=uc1.b2986586;view=1up;seq=306</v>
      </c>
      <c r="R264" s="27" t="s">
        <v>497</v>
      </c>
      <c r="S264" s="27" t="s">
        <v>492</v>
      </c>
      <c r="T264" s="27" t="str">
        <f t="shared" si="23"/>
        <v>https://babel.hathitrust.org/cgi/pt?id=uc1.b2986586;view=1up;seq=318</v>
      </c>
      <c r="U264" s="4"/>
      <c r="V264" s="4"/>
      <c r="W264" s="4"/>
      <c r="X264" s="4"/>
      <c r="Y264" s="4"/>
      <c r="Z264" s="4"/>
      <c r="AA264" s="4"/>
      <c r="AB264" s="4"/>
    </row>
    <row r="265" spans="1:28" x14ac:dyDescent="0.25">
      <c r="A265" s="27" t="s">
        <v>861</v>
      </c>
      <c r="B265" s="27" t="str">
        <f t="shared" si="24"/>
        <v>Georgia</v>
      </c>
      <c r="C265" s="27" t="str">
        <f t="shared" si="25"/>
        <v>Toombs</v>
      </c>
      <c r="D265" s="27"/>
      <c r="E265" s="2"/>
      <c r="F265" s="27"/>
      <c r="G265" s="27"/>
      <c r="H265" s="28"/>
      <c r="I265" s="2">
        <v>5921.74</v>
      </c>
      <c r="J265" s="27"/>
      <c r="K265" s="2"/>
      <c r="L265" s="23">
        <v>1905</v>
      </c>
      <c r="M265" s="27" t="s">
        <v>492</v>
      </c>
      <c r="N265" s="27" t="s">
        <v>498</v>
      </c>
      <c r="O265" s="27" t="str">
        <f t="shared" si="21"/>
        <v>http://hdl.handle.net/2027/uc1.b2986586?urlappend=%3Bseq=313</v>
      </c>
      <c r="P265" s="27" t="s">
        <v>492</v>
      </c>
      <c r="Q265" s="27" t="str">
        <f t="shared" si="22"/>
        <v>https://babel.hathitrust.org/cgi/pt?id=uc1.b2986586;view=1up;seq=306</v>
      </c>
      <c r="R265" s="27" t="s">
        <v>497</v>
      </c>
      <c r="S265" s="27" t="s">
        <v>492</v>
      </c>
      <c r="T265" s="27" t="str">
        <f t="shared" si="23"/>
        <v>https://babel.hathitrust.org/cgi/pt?id=uc1.b2986586;view=1up;seq=318</v>
      </c>
      <c r="U265" s="4"/>
      <c r="V265" s="4"/>
      <c r="W265" s="4"/>
      <c r="X265" s="4"/>
      <c r="Y265" s="4"/>
      <c r="Z265" s="4"/>
      <c r="AA265" s="4"/>
      <c r="AB265" s="4"/>
    </row>
    <row r="266" spans="1:28" x14ac:dyDescent="0.25">
      <c r="A266" s="27" t="s">
        <v>862</v>
      </c>
      <c r="B266" s="27" t="str">
        <f t="shared" si="24"/>
        <v>Georgia</v>
      </c>
      <c r="C266" s="27" t="str">
        <f t="shared" si="25"/>
        <v>Towns</v>
      </c>
      <c r="D266" s="27">
        <v>1328</v>
      </c>
      <c r="E266" s="2">
        <f>'GA pre'!K121</f>
        <v>28</v>
      </c>
      <c r="F266" s="27">
        <v>100</v>
      </c>
      <c r="G266" s="2">
        <v>1344</v>
      </c>
      <c r="H266" s="28">
        <f>'GA pre'!U121</f>
        <v>25.285714285714285</v>
      </c>
      <c r="I266" s="2">
        <v>3574.34</v>
      </c>
      <c r="J266" s="27">
        <v>25</v>
      </c>
      <c r="K266" s="2">
        <f>'GA pre'!AB121</f>
        <v>14090</v>
      </c>
      <c r="L266" s="23">
        <v>1905</v>
      </c>
      <c r="M266" s="27" t="s">
        <v>492</v>
      </c>
      <c r="N266" s="27" t="s">
        <v>498</v>
      </c>
      <c r="O266" s="27" t="str">
        <f t="shared" si="21"/>
        <v>http://hdl.handle.net/2027/uc1.b2986586?urlappend=%3Bseq=313</v>
      </c>
      <c r="P266" s="27" t="s">
        <v>492</v>
      </c>
      <c r="Q266" s="27" t="str">
        <f t="shared" si="22"/>
        <v>https://babel.hathitrust.org/cgi/pt?id=uc1.b2986586;view=1up;seq=306</v>
      </c>
      <c r="R266" s="27" t="s">
        <v>497</v>
      </c>
      <c r="S266" s="27" t="s">
        <v>492</v>
      </c>
      <c r="T266" s="27" t="str">
        <f t="shared" si="23"/>
        <v>https://babel.hathitrust.org/cgi/pt?id=uc1.b2986586;view=1up;seq=318</v>
      </c>
      <c r="U266" s="4"/>
      <c r="V266" s="4"/>
      <c r="W266" s="4"/>
      <c r="X266" s="4"/>
      <c r="Y266" s="4"/>
      <c r="Z266" s="4"/>
      <c r="AA266" s="4"/>
      <c r="AB266" s="4"/>
    </row>
    <row r="267" spans="1:28" x14ac:dyDescent="0.25">
      <c r="A267" s="27" t="s">
        <v>864</v>
      </c>
      <c r="B267" s="27" t="str">
        <f t="shared" si="24"/>
        <v>Georgia</v>
      </c>
      <c r="C267" s="27" t="str">
        <f t="shared" si="25"/>
        <v>Troup</v>
      </c>
      <c r="D267" s="27">
        <v>1142</v>
      </c>
      <c r="E267" s="2">
        <f>'GA pre'!K122</f>
        <v>74</v>
      </c>
      <c r="F267" s="27">
        <v>140</v>
      </c>
      <c r="G267" s="2">
        <v>3831</v>
      </c>
      <c r="H267" s="28">
        <f>'GA pre'!U122</f>
        <v>24.945945945945947</v>
      </c>
      <c r="I267" s="2">
        <v>15475.9</v>
      </c>
      <c r="J267" s="27">
        <v>62</v>
      </c>
      <c r="K267" s="2">
        <f>'GA pre'!AB122</f>
        <v>9800</v>
      </c>
      <c r="L267" s="23">
        <v>1905</v>
      </c>
      <c r="M267" s="27" t="s">
        <v>492</v>
      </c>
      <c r="N267" s="27" t="s">
        <v>498</v>
      </c>
      <c r="O267" s="27" t="str">
        <f t="shared" si="21"/>
        <v>http://hdl.handle.net/2027/uc1.b2986586?urlappend=%3Bseq=313</v>
      </c>
      <c r="P267" s="27" t="s">
        <v>492</v>
      </c>
      <c r="Q267" s="27" t="str">
        <f t="shared" si="22"/>
        <v>https://babel.hathitrust.org/cgi/pt?id=uc1.b2986586;view=1up;seq=306</v>
      </c>
      <c r="R267" s="27" t="s">
        <v>497</v>
      </c>
      <c r="S267" s="27" t="s">
        <v>492</v>
      </c>
      <c r="T267" s="27" t="str">
        <f t="shared" si="23"/>
        <v>https://babel.hathitrust.org/cgi/pt?id=uc1.b2986586;view=1up;seq=318</v>
      </c>
      <c r="U267" s="4"/>
      <c r="V267" s="4"/>
      <c r="W267" s="4"/>
      <c r="X267" s="4"/>
      <c r="Y267" s="4"/>
      <c r="Z267" s="4"/>
      <c r="AA267" s="4"/>
      <c r="AB267" s="4"/>
    </row>
    <row r="268" spans="1:28" x14ac:dyDescent="0.25">
      <c r="A268" s="27" t="s">
        <v>865</v>
      </c>
      <c r="B268" s="27" t="str">
        <f t="shared" si="24"/>
        <v>Georgia</v>
      </c>
      <c r="C268" s="27" t="str">
        <f t="shared" si="25"/>
        <v>Turner</v>
      </c>
      <c r="D268" s="27"/>
      <c r="E268" s="2"/>
      <c r="F268" s="27"/>
      <c r="G268" s="27"/>
      <c r="H268" s="28"/>
      <c r="I268" s="2">
        <v>3990.58</v>
      </c>
      <c r="J268" s="27"/>
      <c r="K268" s="2"/>
      <c r="L268" s="23">
        <v>1905</v>
      </c>
      <c r="M268" s="27" t="s">
        <v>492</v>
      </c>
      <c r="N268" s="27" t="s">
        <v>498</v>
      </c>
      <c r="O268" s="27" t="str">
        <f t="shared" si="21"/>
        <v>http://hdl.handle.net/2027/uc1.b2986586?urlappend=%3Bseq=313</v>
      </c>
      <c r="P268" s="27" t="s">
        <v>492</v>
      </c>
      <c r="Q268" s="27" t="str">
        <f t="shared" si="22"/>
        <v>https://babel.hathitrust.org/cgi/pt?id=uc1.b2986586;view=1up;seq=306</v>
      </c>
      <c r="R268" s="27" t="s">
        <v>497</v>
      </c>
      <c r="S268" s="27" t="s">
        <v>492</v>
      </c>
      <c r="T268" s="27" t="str">
        <f t="shared" si="23"/>
        <v>https://babel.hathitrust.org/cgi/pt?id=uc1.b2986586;view=1up;seq=318</v>
      </c>
      <c r="U268" s="4"/>
      <c r="V268" s="4"/>
      <c r="W268" s="4"/>
      <c r="X268" s="4"/>
      <c r="Y268" s="4"/>
      <c r="Z268" s="4"/>
      <c r="AA268" s="4"/>
      <c r="AB268" s="4"/>
    </row>
    <row r="269" spans="1:28" x14ac:dyDescent="0.25">
      <c r="A269" s="27" t="s">
        <v>866</v>
      </c>
      <c r="B269" s="27" t="str">
        <f t="shared" si="24"/>
        <v>Georgia</v>
      </c>
      <c r="C269" s="27" t="str">
        <f t="shared" si="25"/>
        <v>Twiggs</v>
      </c>
      <c r="D269" s="27">
        <v>667</v>
      </c>
      <c r="E269" s="2">
        <f>'GA pre'!K124</f>
        <v>51</v>
      </c>
      <c r="F269" s="27">
        <v>140</v>
      </c>
      <c r="G269" s="2">
        <v>1980</v>
      </c>
      <c r="H269" s="28">
        <f>'GA pre'!U124</f>
        <v>25.980392156862745</v>
      </c>
      <c r="I269" s="2">
        <v>7891.62</v>
      </c>
      <c r="J269" s="27">
        <v>39</v>
      </c>
      <c r="K269" s="2">
        <f>'GA pre'!AB124</f>
        <v>10870</v>
      </c>
      <c r="L269" s="23">
        <v>1905</v>
      </c>
      <c r="M269" s="27" t="s">
        <v>492</v>
      </c>
      <c r="N269" s="27" t="s">
        <v>498</v>
      </c>
      <c r="O269" s="27" t="str">
        <f t="shared" si="21"/>
        <v>http://hdl.handle.net/2027/uc1.b2986586?urlappend=%3Bseq=313</v>
      </c>
      <c r="P269" s="27" t="s">
        <v>492</v>
      </c>
      <c r="Q269" s="27" t="str">
        <f t="shared" si="22"/>
        <v>https://babel.hathitrust.org/cgi/pt?id=uc1.b2986586;view=1up;seq=306</v>
      </c>
      <c r="R269" s="27" t="s">
        <v>497</v>
      </c>
      <c r="S269" s="27" t="s">
        <v>492</v>
      </c>
      <c r="T269" s="27" t="str">
        <f t="shared" si="23"/>
        <v>https://babel.hathitrust.org/cgi/pt?id=uc1.b2986586;view=1up;seq=318</v>
      </c>
      <c r="U269" s="4"/>
      <c r="V269" s="4"/>
      <c r="W269" s="4"/>
      <c r="X269" s="4"/>
      <c r="Y269" s="4"/>
      <c r="Z269" s="4"/>
      <c r="AA269" s="4"/>
      <c r="AB269" s="4"/>
    </row>
    <row r="270" spans="1:28" x14ac:dyDescent="0.25">
      <c r="A270" s="27" t="s">
        <v>867</v>
      </c>
      <c r="B270" s="27" t="str">
        <f t="shared" si="24"/>
        <v>Georgia</v>
      </c>
      <c r="C270" s="27" t="str">
        <f t="shared" si="25"/>
        <v>Union</v>
      </c>
      <c r="D270" s="27">
        <v>2670</v>
      </c>
      <c r="E270" s="2">
        <f>'GA pre'!K125</f>
        <v>62</v>
      </c>
      <c r="F270" s="27">
        <v>100</v>
      </c>
      <c r="G270" s="2">
        <v>2694</v>
      </c>
      <c r="H270" s="28">
        <f>'GA pre'!U125</f>
        <v>22.701612903225808</v>
      </c>
      <c r="I270" s="2">
        <v>6100.82</v>
      </c>
      <c r="J270" s="27">
        <v>49</v>
      </c>
      <c r="K270" s="2">
        <f>'GA pre'!AB125</f>
        <v>7800</v>
      </c>
      <c r="L270" s="23">
        <v>1905</v>
      </c>
      <c r="M270" s="27" t="s">
        <v>492</v>
      </c>
      <c r="N270" s="27" t="s">
        <v>498</v>
      </c>
      <c r="O270" s="27" t="str">
        <f t="shared" si="21"/>
        <v>http://hdl.handle.net/2027/uc1.b2986586?urlappend=%3Bseq=313</v>
      </c>
      <c r="P270" s="27" t="s">
        <v>492</v>
      </c>
      <c r="Q270" s="27" t="str">
        <f t="shared" si="22"/>
        <v>https://babel.hathitrust.org/cgi/pt?id=uc1.b2986586;view=1up;seq=306</v>
      </c>
      <c r="R270" s="27" t="s">
        <v>497</v>
      </c>
      <c r="S270" s="27" t="s">
        <v>492</v>
      </c>
      <c r="T270" s="27" t="str">
        <f t="shared" si="23"/>
        <v>https://babel.hathitrust.org/cgi/pt?id=uc1.b2986586;view=1up;seq=318</v>
      </c>
      <c r="U270" s="4"/>
      <c r="V270" s="4"/>
      <c r="W270" s="4"/>
      <c r="X270" s="4"/>
      <c r="Y270" s="4"/>
      <c r="Z270" s="4"/>
      <c r="AA270" s="4"/>
      <c r="AB270" s="4"/>
    </row>
    <row r="271" spans="1:28" x14ac:dyDescent="0.25">
      <c r="A271" s="27" t="s">
        <v>868</v>
      </c>
      <c r="B271" s="27" t="str">
        <f t="shared" si="24"/>
        <v>Georgia</v>
      </c>
      <c r="C271" s="27" t="str">
        <f t="shared" si="25"/>
        <v>Upson</v>
      </c>
      <c r="D271" s="27">
        <v>1481</v>
      </c>
      <c r="E271" s="2">
        <f>'GA pre'!K126</f>
        <v>54</v>
      </c>
      <c r="F271" s="27">
        <v>140</v>
      </c>
      <c r="G271" s="2">
        <v>3297</v>
      </c>
      <c r="H271" s="28">
        <f>'GA pre'!U126</f>
        <v>36.444444444444443</v>
      </c>
      <c r="I271" s="2">
        <v>12097.16</v>
      </c>
      <c r="J271" s="27">
        <v>44</v>
      </c>
      <c r="K271" s="2">
        <f>'GA pre'!AB126</f>
        <v>35660</v>
      </c>
      <c r="L271" s="23">
        <v>1905</v>
      </c>
      <c r="M271" s="27" t="s">
        <v>492</v>
      </c>
      <c r="N271" s="27" t="s">
        <v>498</v>
      </c>
      <c r="O271" s="27" t="str">
        <f t="shared" si="21"/>
        <v>http://hdl.handle.net/2027/uc1.b2986586?urlappend=%3Bseq=313</v>
      </c>
      <c r="P271" s="27" t="s">
        <v>492</v>
      </c>
      <c r="Q271" s="27" t="str">
        <f t="shared" si="22"/>
        <v>https://babel.hathitrust.org/cgi/pt?id=uc1.b2986586;view=1up;seq=306</v>
      </c>
      <c r="R271" s="27" t="s">
        <v>497</v>
      </c>
      <c r="S271" s="27" t="s">
        <v>492</v>
      </c>
      <c r="T271" s="27" t="str">
        <f t="shared" si="23"/>
        <v>https://babel.hathitrust.org/cgi/pt?id=uc1.b2986586;view=1up;seq=318</v>
      </c>
      <c r="U271" s="4"/>
      <c r="V271" s="4"/>
      <c r="W271" s="4"/>
      <c r="X271" s="4"/>
      <c r="Y271" s="4"/>
      <c r="Z271" s="4"/>
      <c r="AA271" s="4"/>
      <c r="AB271" s="4"/>
    </row>
    <row r="272" spans="1:28" x14ac:dyDescent="0.25">
      <c r="A272" s="27" t="s">
        <v>869</v>
      </c>
      <c r="B272" s="27" t="str">
        <f t="shared" si="24"/>
        <v>Georgia</v>
      </c>
      <c r="C272" s="27" t="str">
        <f t="shared" si="25"/>
        <v>Walker</v>
      </c>
      <c r="D272" s="27">
        <v>3187</v>
      </c>
      <c r="E272" s="2">
        <f>'GA pre'!K127</f>
        <v>71</v>
      </c>
      <c r="F272" s="27">
        <v>100</v>
      </c>
      <c r="G272" s="2">
        <v>3852</v>
      </c>
      <c r="H272" s="28">
        <f>'GA pre'!U127</f>
        <v>29.929577464788732</v>
      </c>
      <c r="I272" s="2">
        <v>10785.62</v>
      </c>
      <c r="J272" s="27">
        <v>66</v>
      </c>
      <c r="K272" s="2">
        <f>'GA pre'!AB127</f>
        <v>39900</v>
      </c>
      <c r="L272" s="23">
        <v>1905</v>
      </c>
      <c r="M272" s="27" t="s">
        <v>492</v>
      </c>
      <c r="N272" s="27" t="s">
        <v>498</v>
      </c>
      <c r="O272" s="27" t="str">
        <f t="shared" si="21"/>
        <v>http://hdl.handle.net/2027/uc1.b2986586?urlappend=%3Bseq=313</v>
      </c>
      <c r="P272" s="27" t="s">
        <v>492</v>
      </c>
      <c r="Q272" s="27" t="str">
        <f t="shared" si="22"/>
        <v>https://babel.hathitrust.org/cgi/pt?id=uc1.b2986586;view=1up;seq=306</v>
      </c>
      <c r="R272" s="27" t="s">
        <v>497</v>
      </c>
      <c r="S272" s="27" t="s">
        <v>492</v>
      </c>
      <c r="T272" s="27" t="str">
        <f t="shared" si="23"/>
        <v>https://babel.hathitrust.org/cgi/pt?id=uc1.b2986586;view=1up;seq=318</v>
      </c>
      <c r="U272" s="4"/>
      <c r="V272" s="4"/>
      <c r="W272" s="4"/>
      <c r="X272" s="4"/>
      <c r="Y272" s="4"/>
      <c r="Z272" s="4"/>
      <c r="AA272" s="4"/>
      <c r="AB272" s="4"/>
    </row>
    <row r="273" spans="1:28" x14ac:dyDescent="0.25">
      <c r="A273" s="27" t="s">
        <v>870</v>
      </c>
      <c r="B273" s="27" t="str">
        <f t="shared" si="24"/>
        <v>Georgia</v>
      </c>
      <c r="C273" s="27" t="str">
        <f t="shared" si="25"/>
        <v>Walton</v>
      </c>
      <c r="D273" s="27">
        <v>3521</v>
      </c>
      <c r="E273" s="2">
        <f>'GA pre'!K128</f>
        <v>68</v>
      </c>
      <c r="F273" s="27">
        <v>120</v>
      </c>
      <c r="G273" s="2">
        <v>5341</v>
      </c>
      <c r="H273" s="28">
        <f>'GA pre'!U128</f>
        <v>36.176470588235297</v>
      </c>
      <c r="I273" s="2">
        <v>15853.42</v>
      </c>
      <c r="J273" s="27">
        <v>66</v>
      </c>
      <c r="K273" s="2">
        <f>'GA pre'!AB128</f>
        <v>17200</v>
      </c>
      <c r="L273" s="23">
        <v>1905</v>
      </c>
      <c r="M273" s="27" t="s">
        <v>492</v>
      </c>
      <c r="N273" s="27" t="s">
        <v>498</v>
      </c>
      <c r="O273" s="27" t="str">
        <f t="shared" si="21"/>
        <v>http://hdl.handle.net/2027/uc1.b2986586?urlappend=%3Bseq=313</v>
      </c>
      <c r="P273" s="27" t="s">
        <v>492</v>
      </c>
      <c r="Q273" s="27" t="str">
        <f t="shared" si="22"/>
        <v>https://babel.hathitrust.org/cgi/pt?id=uc1.b2986586;view=1up;seq=306</v>
      </c>
      <c r="R273" s="27" t="s">
        <v>497</v>
      </c>
      <c r="S273" s="27" t="s">
        <v>492</v>
      </c>
      <c r="T273" s="27" t="str">
        <f t="shared" si="23"/>
        <v>https://babel.hathitrust.org/cgi/pt?id=uc1.b2986586;view=1up;seq=318</v>
      </c>
      <c r="U273" s="4"/>
      <c r="V273" s="4"/>
      <c r="W273" s="4"/>
      <c r="X273" s="4"/>
      <c r="Y273" s="4"/>
      <c r="Z273" s="4"/>
      <c r="AA273" s="4"/>
      <c r="AB273" s="4"/>
    </row>
    <row r="274" spans="1:28" x14ac:dyDescent="0.25">
      <c r="A274" s="27" t="s">
        <v>871</v>
      </c>
      <c r="B274" s="27" t="str">
        <f t="shared" si="24"/>
        <v>Georgia</v>
      </c>
      <c r="C274" s="27" t="str">
        <f t="shared" si="25"/>
        <v>Ware</v>
      </c>
      <c r="D274" s="27">
        <v>1101</v>
      </c>
      <c r="E274" s="2">
        <f>'GA pre'!K129</f>
        <v>61</v>
      </c>
      <c r="F274" s="27">
        <v>80</v>
      </c>
      <c r="G274" s="2">
        <v>1392</v>
      </c>
      <c r="H274" s="28">
        <f>'GA pre'!U129</f>
        <v>28.688524590163933</v>
      </c>
      <c r="I274" s="2">
        <v>4818.22</v>
      </c>
      <c r="J274" s="27">
        <v>63</v>
      </c>
      <c r="K274" s="2">
        <f>'GA pre'!AB129</f>
        <v>3700</v>
      </c>
      <c r="L274" s="23">
        <v>1905</v>
      </c>
      <c r="M274" s="27" t="s">
        <v>492</v>
      </c>
      <c r="N274" s="27" t="s">
        <v>498</v>
      </c>
      <c r="O274" s="27" t="str">
        <f t="shared" si="21"/>
        <v>http://hdl.handle.net/2027/uc1.b2986586?urlappend=%3Bseq=313</v>
      </c>
      <c r="P274" s="27" t="s">
        <v>492</v>
      </c>
      <c r="Q274" s="27" t="str">
        <f t="shared" si="22"/>
        <v>https://babel.hathitrust.org/cgi/pt?id=uc1.b2986586;view=1up;seq=306</v>
      </c>
      <c r="R274" s="27" t="s">
        <v>497</v>
      </c>
      <c r="S274" s="27" t="s">
        <v>492</v>
      </c>
      <c r="T274" s="27" t="str">
        <f t="shared" si="23"/>
        <v>https://babel.hathitrust.org/cgi/pt?id=uc1.b2986586;view=1up;seq=318</v>
      </c>
      <c r="U274" s="4"/>
      <c r="V274" s="4"/>
      <c r="W274" s="4"/>
      <c r="X274" s="4"/>
      <c r="Y274" s="4"/>
      <c r="Z274" s="4"/>
      <c r="AA274" s="4"/>
      <c r="AB274" s="4"/>
    </row>
    <row r="275" spans="1:28" x14ac:dyDescent="0.25">
      <c r="A275" s="27" t="s">
        <v>872</v>
      </c>
      <c r="B275" s="27" t="str">
        <f t="shared" si="24"/>
        <v>Georgia</v>
      </c>
      <c r="C275" s="27" t="str">
        <f t="shared" si="25"/>
        <v>Warren</v>
      </c>
      <c r="D275" s="27">
        <v>877</v>
      </c>
      <c r="E275" s="2">
        <f>'GA pre'!K130</f>
        <v>59</v>
      </c>
      <c r="F275" s="27">
        <v>100</v>
      </c>
      <c r="G275" s="2">
        <v>2779</v>
      </c>
      <c r="H275" s="28">
        <f>'GA pre'!U130</f>
        <v>21.084745762711865</v>
      </c>
      <c r="I275" s="2">
        <v>8259.4599999999991</v>
      </c>
      <c r="J275" s="27">
        <v>47</v>
      </c>
      <c r="K275" s="2">
        <f>'GA pre'!AB130</f>
        <v>12000</v>
      </c>
      <c r="L275" s="23">
        <v>1905</v>
      </c>
      <c r="M275" s="27" t="s">
        <v>492</v>
      </c>
      <c r="N275" s="27" t="s">
        <v>498</v>
      </c>
      <c r="O275" s="27" t="str">
        <f t="shared" si="21"/>
        <v>http://hdl.handle.net/2027/uc1.b2986586?urlappend=%3Bseq=313</v>
      </c>
      <c r="P275" s="27" t="s">
        <v>492</v>
      </c>
      <c r="Q275" s="27" t="str">
        <f t="shared" si="22"/>
        <v>https://babel.hathitrust.org/cgi/pt?id=uc1.b2986586;view=1up;seq=306</v>
      </c>
      <c r="R275" s="27" t="s">
        <v>497</v>
      </c>
      <c r="S275" s="27" t="s">
        <v>492</v>
      </c>
      <c r="T275" s="27" t="str">
        <f t="shared" si="23"/>
        <v>https://babel.hathitrust.org/cgi/pt?id=uc1.b2986586;view=1up;seq=318</v>
      </c>
      <c r="U275" s="4"/>
      <c r="V275" s="4"/>
      <c r="W275" s="4"/>
      <c r="X275" s="4"/>
      <c r="Y275" s="4"/>
      <c r="Z275" s="4"/>
      <c r="AA275" s="4"/>
      <c r="AB275" s="4"/>
    </row>
    <row r="276" spans="1:28" x14ac:dyDescent="0.25">
      <c r="A276" s="27" t="s">
        <v>873</v>
      </c>
      <c r="B276" s="27" t="str">
        <f t="shared" si="24"/>
        <v>Georgia</v>
      </c>
      <c r="C276" s="27" t="str">
        <f t="shared" si="25"/>
        <v>Washington</v>
      </c>
      <c r="D276" s="27">
        <v>2230</v>
      </c>
      <c r="E276" s="2">
        <f>'GA pre'!K131</f>
        <v>126</v>
      </c>
      <c r="F276" s="27">
        <v>100</v>
      </c>
      <c r="G276" s="2">
        <v>5890</v>
      </c>
      <c r="H276" s="28">
        <f>'GA pre'!U131</f>
        <v>28.857142857142858</v>
      </c>
      <c r="I276" s="2">
        <v>23253.78</v>
      </c>
      <c r="J276" s="27">
        <v>83</v>
      </c>
      <c r="K276" s="2">
        <f>'GA pre'!AB131</f>
        <v>57000</v>
      </c>
      <c r="L276" s="23">
        <v>1905</v>
      </c>
      <c r="M276" s="27" t="s">
        <v>492</v>
      </c>
      <c r="N276" s="27" t="s">
        <v>498</v>
      </c>
      <c r="O276" s="27" t="str">
        <f t="shared" si="21"/>
        <v>http://hdl.handle.net/2027/uc1.b2986586?urlappend=%3Bseq=313</v>
      </c>
      <c r="P276" s="27" t="s">
        <v>492</v>
      </c>
      <c r="Q276" s="27" t="str">
        <f t="shared" si="22"/>
        <v>https://babel.hathitrust.org/cgi/pt?id=uc1.b2986586;view=1up;seq=306</v>
      </c>
      <c r="R276" s="27" t="s">
        <v>497</v>
      </c>
      <c r="S276" s="27" t="s">
        <v>492</v>
      </c>
      <c r="T276" s="27" t="str">
        <f t="shared" si="23"/>
        <v>https://babel.hathitrust.org/cgi/pt?id=uc1.b2986586;view=1up;seq=318</v>
      </c>
      <c r="U276" s="4"/>
      <c r="V276" s="4"/>
      <c r="W276" s="4"/>
      <c r="X276" s="4"/>
      <c r="Y276" s="4"/>
      <c r="Z276" s="4"/>
      <c r="AA276" s="4"/>
      <c r="AB276" s="4"/>
    </row>
    <row r="277" spans="1:28" x14ac:dyDescent="0.25">
      <c r="A277" s="27" t="s">
        <v>874</v>
      </c>
      <c r="B277" s="27" t="str">
        <f t="shared" si="24"/>
        <v>Georgia</v>
      </c>
      <c r="C277" s="27" t="str">
        <f t="shared" si="25"/>
        <v>Wayne</v>
      </c>
      <c r="D277" s="27">
        <v>1812</v>
      </c>
      <c r="E277" s="2">
        <f>'GA pre'!K132</f>
        <v>158</v>
      </c>
      <c r="F277" s="27">
        <v>80</v>
      </c>
      <c r="G277" s="2">
        <v>2236</v>
      </c>
      <c r="H277" s="28">
        <f>'GA pre'!U132</f>
        <v>26.791139240506329</v>
      </c>
      <c r="I277" s="2">
        <v>7233.38</v>
      </c>
      <c r="J277" s="27">
        <v>70</v>
      </c>
      <c r="K277" s="2">
        <f>'GA pre'!AB132</f>
        <v>13300</v>
      </c>
      <c r="L277" s="23">
        <v>1905</v>
      </c>
      <c r="M277" s="27" t="s">
        <v>492</v>
      </c>
      <c r="N277" s="27" t="s">
        <v>498</v>
      </c>
      <c r="O277" s="27" t="str">
        <f t="shared" ref="O277:O284" si="26">O276</f>
        <v>http://hdl.handle.net/2027/uc1.b2986586?urlappend=%3Bseq=313</v>
      </c>
      <c r="P277" s="27" t="s">
        <v>492</v>
      </c>
      <c r="Q277" s="27" t="str">
        <f t="shared" ref="Q277:Q284" si="27">Q276</f>
        <v>https://babel.hathitrust.org/cgi/pt?id=uc1.b2986586;view=1up;seq=306</v>
      </c>
      <c r="R277" s="27" t="s">
        <v>497</v>
      </c>
      <c r="S277" s="27" t="s">
        <v>492</v>
      </c>
      <c r="T277" s="27" t="str">
        <f t="shared" ref="T277:T284" si="28">T276</f>
        <v>https://babel.hathitrust.org/cgi/pt?id=uc1.b2986586;view=1up;seq=318</v>
      </c>
      <c r="U277" s="4"/>
      <c r="V277" s="4"/>
      <c r="W277" s="4"/>
      <c r="X277" s="4"/>
      <c r="Y277" s="4"/>
      <c r="Z277" s="4"/>
      <c r="AA277" s="4"/>
      <c r="AB277" s="4"/>
    </row>
    <row r="278" spans="1:28" x14ac:dyDescent="0.25">
      <c r="A278" s="27" t="s">
        <v>875</v>
      </c>
      <c r="B278" s="27" t="str">
        <f t="shared" si="24"/>
        <v>Georgia</v>
      </c>
      <c r="C278" s="27" t="str">
        <f t="shared" si="25"/>
        <v>Webster</v>
      </c>
      <c r="D278" s="27">
        <v>544</v>
      </c>
      <c r="E278" s="2">
        <f>'GA pre'!K133</f>
        <v>37</v>
      </c>
      <c r="F278" s="27">
        <v>120</v>
      </c>
      <c r="G278" s="2">
        <v>1416</v>
      </c>
      <c r="H278" s="28">
        <f>'GA pre'!U133</f>
        <v>31.243243243243242</v>
      </c>
      <c r="I278" s="2">
        <v>6336.1</v>
      </c>
      <c r="J278" s="27">
        <v>31</v>
      </c>
      <c r="K278" s="2">
        <f>'GA pre'!AB133</f>
        <v>5750</v>
      </c>
      <c r="L278" s="23">
        <v>1905</v>
      </c>
      <c r="M278" s="27" t="s">
        <v>492</v>
      </c>
      <c r="N278" s="27" t="s">
        <v>498</v>
      </c>
      <c r="O278" s="27" t="str">
        <f t="shared" si="26"/>
        <v>http://hdl.handle.net/2027/uc1.b2986586?urlappend=%3Bseq=313</v>
      </c>
      <c r="P278" s="27" t="s">
        <v>492</v>
      </c>
      <c r="Q278" s="27" t="str">
        <f t="shared" si="27"/>
        <v>https://babel.hathitrust.org/cgi/pt?id=uc1.b2986586;view=1up;seq=306</v>
      </c>
      <c r="R278" s="27" t="s">
        <v>497</v>
      </c>
      <c r="S278" s="27" t="s">
        <v>492</v>
      </c>
      <c r="T278" s="27" t="str">
        <f t="shared" si="28"/>
        <v>https://babel.hathitrust.org/cgi/pt?id=uc1.b2986586;view=1up;seq=318</v>
      </c>
      <c r="U278" s="4"/>
      <c r="V278" s="4"/>
      <c r="W278" s="4"/>
      <c r="X278" s="4"/>
      <c r="Y278" s="4"/>
      <c r="Z278" s="4"/>
      <c r="AA278" s="4"/>
      <c r="AB278" s="4"/>
    </row>
    <row r="279" spans="1:28" x14ac:dyDescent="0.25">
      <c r="A279" s="27" t="s">
        <v>877</v>
      </c>
      <c r="B279" s="27" t="str">
        <f t="shared" si="24"/>
        <v>Georgia</v>
      </c>
      <c r="C279" s="27" t="str">
        <f t="shared" si="25"/>
        <v>White</v>
      </c>
      <c r="D279" s="27">
        <v>1376</v>
      </c>
      <c r="E279" s="2">
        <f>'GA pre'!K134</f>
        <v>34</v>
      </c>
      <c r="F279" s="27">
        <v>100</v>
      </c>
      <c r="G279" s="2">
        <v>1520</v>
      </c>
      <c r="H279" s="28">
        <f>'GA pre'!U134</f>
        <v>24.058823529411764</v>
      </c>
      <c r="I279" s="2">
        <v>4464.8999999999996</v>
      </c>
      <c r="J279" s="27">
        <v>25</v>
      </c>
      <c r="K279" s="2">
        <f>'GA pre'!AB134</f>
        <v>5450</v>
      </c>
      <c r="L279" s="23">
        <v>1905</v>
      </c>
      <c r="M279" s="27" t="s">
        <v>492</v>
      </c>
      <c r="N279" s="27" t="s">
        <v>498</v>
      </c>
      <c r="O279" s="27" t="str">
        <f t="shared" si="26"/>
        <v>http://hdl.handle.net/2027/uc1.b2986586?urlappend=%3Bseq=313</v>
      </c>
      <c r="P279" s="27" t="s">
        <v>492</v>
      </c>
      <c r="Q279" s="27" t="str">
        <f t="shared" si="27"/>
        <v>https://babel.hathitrust.org/cgi/pt?id=uc1.b2986586;view=1up;seq=306</v>
      </c>
      <c r="R279" s="27" t="s">
        <v>497</v>
      </c>
      <c r="S279" s="27" t="s">
        <v>492</v>
      </c>
      <c r="T279" s="27" t="str">
        <f t="shared" si="28"/>
        <v>https://babel.hathitrust.org/cgi/pt?id=uc1.b2986586;view=1up;seq=318</v>
      </c>
      <c r="U279" s="4"/>
      <c r="V279" s="4"/>
      <c r="W279" s="4"/>
      <c r="X279" s="4"/>
      <c r="Y279" s="4"/>
      <c r="Z279" s="4"/>
      <c r="AA279" s="4"/>
      <c r="AB279" s="4"/>
    </row>
    <row r="280" spans="1:28" x14ac:dyDescent="0.25">
      <c r="A280" s="27" t="s">
        <v>878</v>
      </c>
      <c r="B280" s="27" t="str">
        <f t="shared" si="24"/>
        <v>Georgia</v>
      </c>
      <c r="C280" s="27" t="str">
        <f t="shared" si="25"/>
        <v>Whitfield</v>
      </c>
      <c r="D280" s="27">
        <v>2469</v>
      </c>
      <c r="E280" s="2">
        <f>'GA pre'!K135</f>
        <v>61</v>
      </c>
      <c r="F280" s="27">
        <v>120</v>
      </c>
      <c r="G280" s="2">
        <v>2751</v>
      </c>
      <c r="H280" s="28">
        <f>'GA pre'!U135</f>
        <v>28.868852459016395</v>
      </c>
      <c r="I280" s="2">
        <v>10134.959999999999</v>
      </c>
      <c r="J280" s="27">
        <v>48</v>
      </c>
      <c r="K280" s="2">
        <f>'GA pre'!AB135</f>
        <v>12100</v>
      </c>
      <c r="L280" s="23">
        <v>1905</v>
      </c>
      <c r="M280" s="27" t="s">
        <v>492</v>
      </c>
      <c r="N280" s="27" t="s">
        <v>498</v>
      </c>
      <c r="O280" s="27" t="str">
        <f t="shared" si="26"/>
        <v>http://hdl.handle.net/2027/uc1.b2986586?urlappend=%3Bseq=313</v>
      </c>
      <c r="P280" s="27" t="s">
        <v>492</v>
      </c>
      <c r="Q280" s="27" t="str">
        <f t="shared" si="27"/>
        <v>https://babel.hathitrust.org/cgi/pt?id=uc1.b2986586;view=1up;seq=306</v>
      </c>
      <c r="R280" s="27" t="s">
        <v>497</v>
      </c>
      <c r="S280" s="27" t="s">
        <v>492</v>
      </c>
      <c r="T280" s="27" t="str">
        <f t="shared" si="28"/>
        <v>https://babel.hathitrust.org/cgi/pt?id=uc1.b2986586;view=1up;seq=318</v>
      </c>
      <c r="U280" s="4"/>
      <c r="V280" s="4"/>
      <c r="W280" s="4"/>
      <c r="X280" s="4"/>
      <c r="Y280" s="4"/>
      <c r="Z280" s="4"/>
      <c r="AA280" s="4"/>
      <c r="AB280" s="4"/>
    </row>
    <row r="281" spans="1:28" x14ac:dyDescent="0.25">
      <c r="A281" s="27" t="s">
        <v>879</v>
      </c>
      <c r="B281" s="27" t="str">
        <f t="shared" si="24"/>
        <v>Georgia</v>
      </c>
      <c r="C281" s="27" t="str">
        <f t="shared" si="25"/>
        <v>Wilcox</v>
      </c>
      <c r="D281" s="27"/>
      <c r="E281" s="2"/>
      <c r="F281" s="27"/>
      <c r="G281" s="2"/>
      <c r="H281" s="28"/>
      <c r="I281" s="2">
        <v>7545.56</v>
      </c>
      <c r="J281" s="27"/>
      <c r="K281" s="2"/>
      <c r="L281" s="23">
        <v>1905</v>
      </c>
      <c r="M281" s="27" t="s">
        <v>492</v>
      </c>
      <c r="N281" s="27" t="s">
        <v>498</v>
      </c>
      <c r="O281" s="27" t="str">
        <f t="shared" si="26"/>
        <v>http://hdl.handle.net/2027/uc1.b2986586?urlappend=%3Bseq=313</v>
      </c>
      <c r="P281" s="27" t="s">
        <v>492</v>
      </c>
      <c r="Q281" s="27" t="str">
        <f t="shared" si="27"/>
        <v>https://babel.hathitrust.org/cgi/pt?id=uc1.b2986586;view=1up;seq=306</v>
      </c>
      <c r="R281" s="27" t="s">
        <v>497</v>
      </c>
      <c r="S281" s="27" t="s">
        <v>492</v>
      </c>
      <c r="T281" s="27" t="str">
        <f t="shared" si="28"/>
        <v>https://babel.hathitrust.org/cgi/pt?id=uc1.b2986586;view=1up;seq=318</v>
      </c>
      <c r="U281" s="4"/>
      <c r="V281" s="4"/>
      <c r="W281" s="4"/>
      <c r="X281" s="4"/>
      <c r="Y281" s="4"/>
      <c r="Z281" s="4"/>
      <c r="AA281" s="4"/>
      <c r="AB281" s="4"/>
    </row>
    <row r="282" spans="1:28" x14ac:dyDescent="0.25">
      <c r="A282" s="27" t="s">
        <v>880</v>
      </c>
      <c r="B282" s="27" t="str">
        <f t="shared" si="24"/>
        <v>Georgia</v>
      </c>
      <c r="C282" s="27" t="str">
        <f t="shared" si="25"/>
        <v>Wilkes</v>
      </c>
      <c r="D282" s="27">
        <v>1004</v>
      </c>
      <c r="E282" s="2">
        <f>'GA pre'!K137</f>
        <v>61</v>
      </c>
      <c r="F282" s="27">
        <v>120</v>
      </c>
      <c r="G282" s="2">
        <v>2584</v>
      </c>
      <c r="H282" s="28">
        <f>'GA pre'!U137</f>
        <v>25.311475409836067</v>
      </c>
      <c r="I282" s="2">
        <v>15030.62</v>
      </c>
      <c r="J282" s="27">
        <v>56</v>
      </c>
      <c r="K282" s="2">
        <f>'GA pre'!AB137</f>
        <v>47300</v>
      </c>
      <c r="L282" s="23">
        <v>1905</v>
      </c>
      <c r="M282" s="27" t="s">
        <v>492</v>
      </c>
      <c r="N282" s="27" t="s">
        <v>498</v>
      </c>
      <c r="O282" s="27" t="str">
        <f t="shared" si="26"/>
        <v>http://hdl.handle.net/2027/uc1.b2986586?urlappend=%3Bseq=313</v>
      </c>
      <c r="P282" s="27" t="s">
        <v>492</v>
      </c>
      <c r="Q282" s="27" t="str">
        <f t="shared" si="27"/>
        <v>https://babel.hathitrust.org/cgi/pt?id=uc1.b2986586;view=1up;seq=306</v>
      </c>
      <c r="R282" s="27" t="s">
        <v>497</v>
      </c>
      <c r="S282" s="27" t="s">
        <v>492</v>
      </c>
      <c r="T282" s="27" t="str">
        <f t="shared" si="28"/>
        <v>https://babel.hathitrust.org/cgi/pt?id=uc1.b2986586;view=1up;seq=318</v>
      </c>
      <c r="U282" s="4"/>
      <c r="V282" s="4"/>
      <c r="W282" s="4"/>
      <c r="X282" s="4"/>
      <c r="Y282" s="4"/>
      <c r="Z282" s="4"/>
      <c r="AA282" s="4"/>
      <c r="AB282" s="4"/>
    </row>
    <row r="283" spans="1:28" x14ac:dyDescent="0.25">
      <c r="A283" s="27" t="s">
        <v>881</v>
      </c>
      <c r="B283" s="27" t="str">
        <f t="shared" si="24"/>
        <v>Georgia</v>
      </c>
      <c r="C283" s="27" t="str">
        <f t="shared" si="25"/>
        <v>Wilkinson</v>
      </c>
      <c r="D283" s="27">
        <v>1106</v>
      </c>
      <c r="E283" s="2">
        <f>'GA pre'!K138</f>
        <v>49</v>
      </c>
      <c r="F283" s="27">
        <v>100</v>
      </c>
      <c r="G283" s="2">
        <v>2259</v>
      </c>
      <c r="H283" s="28">
        <f>'GA pre'!U138</f>
        <v>28.326530612244898</v>
      </c>
      <c r="I283" s="2">
        <v>8743.4599999999991</v>
      </c>
      <c r="J283" s="27">
        <v>43</v>
      </c>
      <c r="K283" s="2">
        <f>'GA pre'!AB138</f>
        <v>11200</v>
      </c>
      <c r="L283" s="23">
        <v>1905</v>
      </c>
      <c r="M283" s="27" t="s">
        <v>492</v>
      </c>
      <c r="N283" s="27" t="s">
        <v>498</v>
      </c>
      <c r="O283" s="27" t="str">
        <f t="shared" si="26"/>
        <v>http://hdl.handle.net/2027/uc1.b2986586?urlappend=%3Bseq=313</v>
      </c>
      <c r="P283" s="27" t="s">
        <v>492</v>
      </c>
      <c r="Q283" s="27" t="str">
        <f t="shared" si="27"/>
        <v>https://babel.hathitrust.org/cgi/pt?id=uc1.b2986586;view=1up;seq=306</v>
      </c>
      <c r="R283" s="27" t="s">
        <v>497</v>
      </c>
      <c r="S283" s="27" t="s">
        <v>492</v>
      </c>
      <c r="T283" s="27" t="str">
        <f t="shared" si="28"/>
        <v>https://babel.hathitrust.org/cgi/pt?id=uc1.b2986586;view=1up;seq=318</v>
      </c>
      <c r="U283" s="4"/>
      <c r="V283" s="4"/>
      <c r="W283" s="4"/>
      <c r="X283" s="4"/>
      <c r="Y283" s="4"/>
      <c r="Z283" s="4"/>
      <c r="AA283" s="4"/>
      <c r="AB283" s="4"/>
    </row>
    <row r="284" spans="1:28" x14ac:dyDescent="0.25">
      <c r="A284" s="27" t="s">
        <v>882</v>
      </c>
      <c r="B284" s="27" t="str">
        <f t="shared" si="24"/>
        <v>Georgia</v>
      </c>
      <c r="C284" s="27" t="str">
        <f t="shared" si="25"/>
        <v>Worth</v>
      </c>
      <c r="D284" s="27">
        <v>2844</v>
      </c>
      <c r="E284" s="2">
        <f>'GA pre'!K139</f>
        <v>110</v>
      </c>
      <c r="F284" s="27">
        <v>120</v>
      </c>
      <c r="G284" s="2">
        <v>4607</v>
      </c>
      <c r="H284" s="28">
        <f>'GA pre'!U139</f>
        <v>31.5</v>
      </c>
      <c r="I284" s="2">
        <v>11691.02</v>
      </c>
      <c r="J284" s="27">
        <v>73</v>
      </c>
      <c r="K284" s="2">
        <f>'GA pre'!AB139</f>
        <v>20350</v>
      </c>
      <c r="L284" s="23">
        <v>1905</v>
      </c>
      <c r="M284" s="27" t="s">
        <v>492</v>
      </c>
      <c r="N284" s="27" t="s">
        <v>498</v>
      </c>
      <c r="O284" s="27" t="str">
        <f t="shared" si="26"/>
        <v>http://hdl.handle.net/2027/uc1.b2986586?urlappend=%3Bseq=313</v>
      </c>
      <c r="P284" s="27" t="s">
        <v>492</v>
      </c>
      <c r="Q284" s="27" t="str">
        <f t="shared" si="27"/>
        <v>https://babel.hathitrust.org/cgi/pt?id=uc1.b2986586;view=1up;seq=306</v>
      </c>
      <c r="R284" s="27" t="s">
        <v>497</v>
      </c>
      <c r="S284" s="27" t="s">
        <v>492</v>
      </c>
      <c r="T284" s="27" t="str">
        <f t="shared" si="28"/>
        <v>https://babel.hathitrust.org/cgi/pt?id=uc1.b2986586;view=1up;seq=318</v>
      </c>
      <c r="U284" s="4"/>
      <c r="V284" s="4"/>
      <c r="W284" s="4"/>
      <c r="X284" s="4"/>
      <c r="Y284" s="4"/>
      <c r="Z284" s="4"/>
      <c r="AA284" s="4"/>
      <c r="AB284" s="4"/>
    </row>
    <row r="285" spans="1:28" x14ac:dyDescent="0.25">
      <c r="A285" s="27" t="s">
        <v>1367</v>
      </c>
      <c r="B285" s="27" t="str">
        <f t="shared" si="24"/>
        <v/>
      </c>
      <c r="C285" s="27" t="str">
        <f t="shared" si="25"/>
        <v/>
      </c>
      <c r="D285" s="27"/>
      <c r="E285" s="27"/>
      <c r="F285" s="27"/>
      <c r="G285" s="2"/>
      <c r="H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8" x14ac:dyDescent="0.25">
      <c r="A286" s="27" t="s">
        <v>883</v>
      </c>
      <c r="B286" s="27" t="str">
        <f t="shared" si="24"/>
        <v>Kentucky</v>
      </c>
      <c r="C286" s="27" t="str">
        <f t="shared" si="25"/>
        <v>Adair</v>
      </c>
      <c r="D286" s="27">
        <v>2007</v>
      </c>
      <c r="E286" s="2">
        <v>102</v>
      </c>
      <c r="F286" s="27">
        <f>'KY pre'!M2</f>
        <v>124.9968387776607</v>
      </c>
      <c r="G286" s="24">
        <v>3761</v>
      </c>
      <c r="H286" s="28">
        <f>'KY pre'!Q2</f>
        <v>29.083557548579968</v>
      </c>
      <c r="I286" s="2">
        <v>16830</v>
      </c>
      <c r="J286" s="27">
        <v>90</v>
      </c>
      <c r="K286" s="27">
        <f>'KY pre'!T2</f>
        <v>16830</v>
      </c>
      <c r="L286" s="27">
        <v>1905</v>
      </c>
      <c r="M286" s="27" t="s">
        <v>468</v>
      </c>
      <c r="N286" s="27" t="s">
        <v>499</v>
      </c>
      <c r="O286" s="27" t="str">
        <f>'KY pre'!X2</f>
        <v>https://archive.org/download/SOPIK1905/1905.pdf#page=330</v>
      </c>
      <c r="P286" s="27" t="s">
        <v>501</v>
      </c>
      <c r="Q286" s="4" t="s">
        <v>2557</v>
      </c>
      <c r="R286" s="27" t="s">
        <v>502</v>
      </c>
      <c r="S286" s="27" t="s">
        <v>503</v>
      </c>
      <c r="T286" s="4" t="s">
        <v>2558</v>
      </c>
      <c r="U286" s="27"/>
      <c r="V286" s="27"/>
      <c r="W286" s="27"/>
      <c r="X286" s="27"/>
      <c r="Y286" s="27"/>
      <c r="Z286" s="27"/>
      <c r="AA286" s="27"/>
    </row>
    <row r="287" spans="1:28" x14ac:dyDescent="0.25">
      <c r="A287" s="27" t="s">
        <v>884</v>
      </c>
      <c r="B287" s="27" t="str">
        <f t="shared" si="24"/>
        <v>Kentucky</v>
      </c>
      <c r="C287" s="27" t="str">
        <f t="shared" si="25"/>
        <v>Allen</v>
      </c>
      <c r="D287" s="27">
        <v>1927</v>
      </c>
      <c r="E287" s="2">
        <v>80</v>
      </c>
      <c r="F287" s="27">
        <f>'KY pre'!M3</f>
        <v>117.90729933790828</v>
      </c>
      <c r="G287" s="25">
        <v>3575</v>
      </c>
      <c r="H287" s="28">
        <f>'KY pre'!Q3</f>
        <v>30.739381227058207</v>
      </c>
      <c r="I287" s="2">
        <v>31600</v>
      </c>
      <c r="J287" s="27">
        <v>81</v>
      </c>
      <c r="K287" s="27">
        <f>'KY pre'!T3</f>
        <v>31600</v>
      </c>
      <c r="L287" s="27">
        <v>1905</v>
      </c>
      <c r="M287" s="27" t="s">
        <v>468</v>
      </c>
      <c r="N287" s="27" t="s">
        <v>499</v>
      </c>
      <c r="O287" s="27" t="str">
        <f>'KY pre'!X3</f>
        <v>https://archive.org/download/SOPIK1905/1905.pdf#page=330</v>
      </c>
      <c r="P287" s="27" t="s">
        <v>501</v>
      </c>
      <c r="Q287" s="27" t="str">
        <f>Q286</f>
        <v>https://archive.org/download/SOPIK1905/1905.pdf#page=382</v>
      </c>
      <c r="R287" s="27" t="s">
        <v>502</v>
      </c>
      <c r="S287" s="27" t="s">
        <v>503</v>
      </c>
      <c r="T287" s="4" t="s">
        <v>2558</v>
      </c>
      <c r="U287" s="27"/>
      <c r="V287" s="27"/>
      <c r="W287" s="27"/>
      <c r="X287" s="27"/>
      <c r="Y287" s="27"/>
      <c r="Z287" s="27"/>
      <c r="AA287" s="27"/>
    </row>
    <row r="288" spans="1:28" x14ac:dyDescent="0.25">
      <c r="A288" s="27" t="s">
        <v>885</v>
      </c>
      <c r="B288" s="27" t="str">
        <f t="shared" si="24"/>
        <v>Kentucky</v>
      </c>
      <c r="C288" s="27" t="str">
        <f t="shared" si="25"/>
        <v>Anderson</v>
      </c>
      <c r="D288" s="27">
        <v>1686</v>
      </c>
      <c r="E288" s="2">
        <v>80</v>
      </c>
      <c r="F288" s="27">
        <f>'KY pre'!M4</f>
        <v>117.05560383169491</v>
      </c>
      <c r="G288" s="25">
        <v>2478</v>
      </c>
      <c r="H288" s="28"/>
      <c r="I288" s="2">
        <v>19275</v>
      </c>
      <c r="J288" s="27">
        <v>48</v>
      </c>
      <c r="K288" s="27">
        <f>'KY pre'!T4</f>
        <v>19275</v>
      </c>
      <c r="L288" s="27">
        <v>1905</v>
      </c>
      <c r="M288" s="27" t="s">
        <v>468</v>
      </c>
      <c r="N288" s="27" t="s">
        <v>499</v>
      </c>
      <c r="O288" s="27" t="str">
        <f>'KY pre'!X4</f>
        <v>https://archive.org/download/SOPIK1905/1905.pdf#page=330</v>
      </c>
      <c r="P288" s="27" t="s">
        <v>501</v>
      </c>
      <c r="Q288" s="27" t="str">
        <f t="shared" ref="Q288:Q351" si="29">Q287</f>
        <v>https://archive.org/download/SOPIK1905/1905.pdf#page=382</v>
      </c>
      <c r="R288" s="27" t="s">
        <v>502</v>
      </c>
      <c r="S288" s="27" t="s">
        <v>503</v>
      </c>
      <c r="T288" s="4" t="s">
        <v>2558</v>
      </c>
      <c r="V288" s="27"/>
      <c r="W288" s="27"/>
      <c r="X288" s="27"/>
      <c r="Y288" s="27"/>
      <c r="Z288" s="27"/>
      <c r="AA288" s="27"/>
    </row>
    <row r="289" spans="1:27" x14ac:dyDescent="0.25">
      <c r="A289" s="27" t="s">
        <v>886</v>
      </c>
      <c r="B289" s="27" t="str">
        <f t="shared" si="24"/>
        <v>Kentucky</v>
      </c>
      <c r="C289" s="27" t="str">
        <f t="shared" si="25"/>
        <v>Ballard</v>
      </c>
      <c r="D289" s="27">
        <v>1462</v>
      </c>
      <c r="E289" s="2">
        <v>59</v>
      </c>
      <c r="F289" s="27">
        <f>'KY pre'!M5</f>
        <v>117.80705886198231</v>
      </c>
      <c r="G289" s="25">
        <v>3534</v>
      </c>
      <c r="H289" s="28">
        <f>'KY pre'!Q5</f>
        <v>33.645690834473321</v>
      </c>
      <c r="I289" s="2">
        <v>2900</v>
      </c>
      <c r="J289" s="27">
        <v>48</v>
      </c>
      <c r="K289" s="27">
        <f>'KY pre'!T5</f>
        <v>29800</v>
      </c>
      <c r="L289" s="27">
        <v>1905</v>
      </c>
      <c r="M289" s="27" t="s">
        <v>468</v>
      </c>
      <c r="N289" s="27" t="s">
        <v>499</v>
      </c>
      <c r="O289" s="27" t="str">
        <f>'KY pre'!X5</f>
        <v>https://archive.org/download/SOPIK1905/1905.pdf#page=330</v>
      </c>
      <c r="P289" s="27" t="s">
        <v>501</v>
      </c>
      <c r="Q289" s="27" t="str">
        <f t="shared" si="29"/>
        <v>https://archive.org/download/SOPIK1905/1905.pdf#page=382</v>
      </c>
      <c r="R289" s="27" t="s">
        <v>502</v>
      </c>
      <c r="S289" s="27" t="s">
        <v>503</v>
      </c>
      <c r="T289" s="4" t="s">
        <v>2558</v>
      </c>
      <c r="U289" s="27"/>
      <c r="V289" s="27"/>
      <c r="W289" s="27"/>
      <c r="X289" s="27"/>
      <c r="Y289" s="27"/>
      <c r="Z289" s="27"/>
      <c r="AA289" s="27"/>
    </row>
    <row r="290" spans="1:27" x14ac:dyDescent="0.25">
      <c r="A290" s="27" t="s">
        <v>887</v>
      </c>
      <c r="B290" s="27" t="str">
        <f t="shared" si="24"/>
        <v>Kentucky</v>
      </c>
      <c r="C290" s="27" t="str">
        <f t="shared" si="25"/>
        <v>Barren</v>
      </c>
      <c r="D290" s="27">
        <v>4391</v>
      </c>
      <c r="E290" s="2">
        <v>77</v>
      </c>
      <c r="F290" s="27">
        <f>'KY pre'!M6</f>
        <v>138.92246064336791</v>
      </c>
      <c r="G290" s="25">
        <v>5441</v>
      </c>
      <c r="H290" s="28">
        <f>'KY pre'!Q6</f>
        <v>32.234780300796224</v>
      </c>
      <c r="I290" s="2">
        <v>52600</v>
      </c>
      <c r="J290" s="27">
        <v>110</v>
      </c>
      <c r="K290" s="27">
        <f>'KY pre'!T6</f>
        <v>52600</v>
      </c>
      <c r="L290" s="27">
        <v>1905</v>
      </c>
      <c r="M290" s="27" t="s">
        <v>468</v>
      </c>
      <c r="N290" s="27" t="s">
        <v>499</v>
      </c>
      <c r="O290" s="27" t="str">
        <f>'KY pre'!X6</f>
        <v>https://archive.org/download/SOPIK1905/1905.pdf#page=330</v>
      </c>
      <c r="P290" s="27" t="s">
        <v>501</v>
      </c>
      <c r="Q290" s="27" t="str">
        <f t="shared" si="29"/>
        <v>https://archive.org/download/SOPIK1905/1905.pdf#page=382</v>
      </c>
      <c r="R290" s="27" t="s">
        <v>502</v>
      </c>
      <c r="S290" s="27" t="s">
        <v>503</v>
      </c>
      <c r="T290" s="4" t="s">
        <v>2558</v>
      </c>
      <c r="U290" s="27"/>
      <c r="V290" s="27"/>
      <c r="W290" s="27"/>
      <c r="X290" s="27"/>
      <c r="Y290" s="27"/>
      <c r="Z290" s="27"/>
      <c r="AA290" s="27"/>
    </row>
    <row r="291" spans="1:27" x14ac:dyDescent="0.25">
      <c r="A291" s="27" t="s">
        <v>888</v>
      </c>
      <c r="B291" s="27" t="str">
        <f t="shared" si="24"/>
        <v>Kentucky</v>
      </c>
      <c r="C291" s="27" t="str">
        <f t="shared" si="25"/>
        <v>Bath</v>
      </c>
      <c r="D291" s="27">
        <v>2270</v>
      </c>
      <c r="E291" s="2">
        <v>165</v>
      </c>
      <c r="F291" s="27">
        <f>'KY pre'!M7</f>
        <v>120.67009785462066</v>
      </c>
      <c r="G291" s="25">
        <v>3437</v>
      </c>
      <c r="H291" s="28">
        <f>'KY pre'!Q7</f>
        <v>36.07808370044053</v>
      </c>
      <c r="I291" s="2">
        <v>27000</v>
      </c>
      <c r="J291" s="27">
        <v>60</v>
      </c>
      <c r="K291" s="27">
        <f>'KY pre'!T7</f>
        <v>27000</v>
      </c>
      <c r="L291" s="27">
        <v>1905</v>
      </c>
      <c r="M291" s="27" t="s">
        <v>468</v>
      </c>
      <c r="N291" s="27" t="s">
        <v>499</v>
      </c>
      <c r="O291" s="27" t="str">
        <f>'KY pre'!X7</f>
        <v>https://archive.org/download/SOPIK1905/1905.pdf#page=330</v>
      </c>
      <c r="P291" s="27" t="s">
        <v>501</v>
      </c>
      <c r="Q291" s="27" t="str">
        <f t="shared" si="29"/>
        <v>https://archive.org/download/SOPIK1905/1905.pdf#page=382</v>
      </c>
      <c r="R291" s="27" t="s">
        <v>502</v>
      </c>
      <c r="S291" s="27" t="s">
        <v>503</v>
      </c>
      <c r="T291" s="4" t="s">
        <v>2558</v>
      </c>
      <c r="U291" s="27"/>
      <c r="V291" s="27"/>
      <c r="W291" s="27"/>
      <c r="X291" s="27"/>
      <c r="Y291" s="27"/>
      <c r="Z291" s="27"/>
      <c r="AA291" s="27"/>
    </row>
    <row r="292" spans="1:27" x14ac:dyDescent="0.25">
      <c r="A292" s="27" t="s">
        <v>889</v>
      </c>
      <c r="B292" s="27" t="str">
        <f t="shared" si="24"/>
        <v>Kentucky</v>
      </c>
      <c r="C292" s="27" t="str">
        <f t="shared" si="25"/>
        <v>Bell</v>
      </c>
      <c r="D292" s="27">
        <v>1777</v>
      </c>
      <c r="E292" s="2">
        <v>74</v>
      </c>
      <c r="F292" s="27">
        <f>'KY pre'!M8</f>
        <v>119.2895997551083</v>
      </c>
      <c r="G292" s="25">
        <v>3429</v>
      </c>
      <c r="H292" s="28">
        <f>'KY pre'!Q8</f>
        <v>34.016173325830053</v>
      </c>
      <c r="I292" s="2">
        <v>15250</v>
      </c>
      <c r="J292" s="27">
        <v>53</v>
      </c>
      <c r="K292" s="27">
        <f>'KY pre'!T8</f>
        <v>15250</v>
      </c>
      <c r="L292" s="27">
        <v>1905</v>
      </c>
      <c r="M292" s="27" t="s">
        <v>468</v>
      </c>
      <c r="N292" s="27" t="s">
        <v>499</v>
      </c>
      <c r="O292" s="27" t="str">
        <f>'KY pre'!X8</f>
        <v>https://archive.org/download/SOPIK1905/1905.pdf#page=330</v>
      </c>
      <c r="P292" s="27" t="s">
        <v>501</v>
      </c>
      <c r="Q292" s="27" t="str">
        <f t="shared" si="29"/>
        <v>https://archive.org/download/SOPIK1905/1905.pdf#page=382</v>
      </c>
      <c r="R292" s="27" t="s">
        <v>502</v>
      </c>
      <c r="S292" s="27" t="s">
        <v>503</v>
      </c>
      <c r="T292" s="27" t="str">
        <f>T291</f>
        <v>https://archive.org/download/SOPIK1905/1905.pdf#page=340</v>
      </c>
      <c r="U292" s="27"/>
      <c r="V292" s="27"/>
      <c r="W292" s="27"/>
      <c r="X292" s="27"/>
      <c r="Y292" s="27"/>
      <c r="Z292" s="27"/>
      <c r="AA292" s="27"/>
    </row>
    <row r="293" spans="1:27" x14ac:dyDescent="0.25">
      <c r="A293" s="27" t="s">
        <v>890</v>
      </c>
      <c r="B293" s="27" t="str">
        <f t="shared" si="24"/>
        <v>Kentucky</v>
      </c>
      <c r="C293" s="27" t="str">
        <f t="shared" si="25"/>
        <v>Boone</v>
      </c>
      <c r="D293" s="27">
        <v>1255</v>
      </c>
      <c r="E293" s="2">
        <v>58</v>
      </c>
      <c r="F293" s="27">
        <f>'KY pre'!M9</f>
        <v>136.42643146900656</v>
      </c>
      <c r="G293" s="25">
        <v>2200</v>
      </c>
      <c r="H293" s="28">
        <f>'KY pre'!Q9</f>
        <v>30.061155378486056</v>
      </c>
      <c r="I293" s="2">
        <v>38600</v>
      </c>
      <c r="J293" s="27">
        <v>50</v>
      </c>
      <c r="K293" s="27">
        <f>'KY pre'!T9</f>
        <v>30600</v>
      </c>
      <c r="L293" s="27">
        <v>1905</v>
      </c>
      <c r="M293" s="27" t="s">
        <v>468</v>
      </c>
      <c r="N293" s="27" t="s">
        <v>499</v>
      </c>
      <c r="O293" s="27" t="str">
        <f>'KY pre'!X9</f>
        <v>https://archive.org/download/SOPIK1905/1905.pdf#page=330</v>
      </c>
      <c r="P293" s="27" t="s">
        <v>501</v>
      </c>
      <c r="Q293" s="27" t="str">
        <f t="shared" si="29"/>
        <v>https://archive.org/download/SOPIK1905/1905.pdf#page=382</v>
      </c>
      <c r="R293" s="27" t="s">
        <v>502</v>
      </c>
      <c r="S293" s="27" t="s">
        <v>503</v>
      </c>
      <c r="T293" s="27" t="str">
        <f t="shared" ref="T293:T356" si="30">T292</f>
        <v>https://archive.org/download/SOPIK1905/1905.pdf#page=340</v>
      </c>
      <c r="U293" s="27"/>
      <c r="V293" s="27"/>
      <c r="W293" s="27"/>
      <c r="X293" s="27"/>
      <c r="Y293" s="27"/>
      <c r="Z293" s="27"/>
      <c r="AA293" s="27"/>
    </row>
    <row r="294" spans="1:27" x14ac:dyDescent="0.25">
      <c r="A294" s="27" t="s">
        <v>891</v>
      </c>
      <c r="B294" s="27" t="str">
        <f t="shared" si="24"/>
        <v>Kentucky</v>
      </c>
      <c r="C294" s="27" t="str">
        <f t="shared" si="25"/>
        <v>Bourbon</v>
      </c>
      <c r="D294" s="27">
        <v>1406</v>
      </c>
      <c r="E294" s="2">
        <v>61</v>
      </c>
      <c r="F294" s="27">
        <f>'KY pre'!M10</f>
        <v>102.92245725019167</v>
      </c>
      <c r="G294" s="25">
        <v>2135</v>
      </c>
      <c r="H294" s="28">
        <f>'KY pre'!Q10</f>
        <v>40.893100995732574</v>
      </c>
      <c r="I294" s="2">
        <v>20625</v>
      </c>
      <c r="J294" s="27">
        <v>57</v>
      </c>
      <c r="K294" s="27">
        <f>'KY pre'!T10</f>
        <v>30625</v>
      </c>
      <c r="L294" s="27">
        <v>1905</v>
      </c>
      <c r="M294" s="27" t="s">
        <v>468</v>
      </c>
      <c r="N294" s="27" t="s">
        <v>499</v>
      </c>
      <c r="O294" s="27" t="str">
        <f>'KY pre'!X10</f>
        <v>https://archive.org/download/SOPIK1905/1905.pdf#page=330</v>
      </c>
      <c r="P294" s="27" t="s">
        <v>501</v>
      </c>
      <c r="Q294" s="27" t="str">
        <f t="shared" si="29"/>
        <v>https://archive.org/download/SOPIK1905/1905.pdf#page=382</v>
      </c>
      <c r="R294" s="27" t="s">
        <v>502</v>
      </c>
      <c r="S294" s="27" t="s">
        <v>503</v>
      </c>
      <c r="T294" s="27" t="str">
        <f t="shared" si="30"/>
        <v>https://archive.org/download/SOPIK1905/1905.pdf#page=340</v>
      </c>
      <c r="U294" s="27"/>
      <c r="V294" s="27"/>
      <c r="W294" s="27"/>
      <c r="X294" s="27"/>
      <c r="Y294" s="27"/>
      <c r="Z294" s="27"/>
      <c r="AA294" s="27"/>
    </row>
    <row r="295" spans="1:27" x14ac:dyDescent="0.25">
      <c r="A295" s="27" t="s">
        <v>892</v>
      </c>
      <c r="B295" s="27" t="str">
        <f t="shared" si="24"/>
        <v>Kentucky</v>
      </c>
      <c r="C295" s="27" t="str">
        <f t="shared" si="25"/>
        <v>Boyd</v>
      </c>
      <c r="D295" s="27" t="s">
        <v>383</v>
      </c>
      <c r="E295" s="2">
        <v>47</v>
      </c>
      <c r="F295" s="27">
        <f>'KY pre'!M11</f>
        <v>140.50674747299985</v>
      </c>
      <c r="G295" s="25">
        <v>2929</v>
      </c>
      <c r="H295" s="28"/>
      <c r="I295" s="2">
        <v>17500</v>
      </c>
      <c r="J295" s="27">
        <v>34</v>
      </c>
      <c r="K295" s="27">
        <f>'KY pre'!T11</f>
        <v>17500</v>
      </c>
      <c r="L295" s="27">
        <v>1905</v>
      </c>
      <c r="M295" s="27" t="s">
        <v>468</v>
      </c>
      <c r="N295" s="27" t="s">
        <v>499</v>
      </c>
      <c r="O295" s="27" t="str">
        <f>'KY pre'!X11</f>
        <v>https://archive.org/download/SOPIK1905/1905.pdf#page=330</v>
      </c>
      <c r="P295" s="27" t="s">
        <v>501</v>
      </c>
      <c r="Q295" s="27" t="str">
        <f t="shared" si="29"/>
        <v>https://archive.org/download/SOPIK1905/1905.pdf#page=382</v>
      </c>
      <c r="R295" s="27" t="s">
        <v>502</v>
      </c>
      <c r="S295" s="27" t="s">
        <v>503</v>
      </c>
      <c r="T295" s="27" t="str">
        <f t="shared" si="30"/>
        <v>https://archive.org/download/SOPIK1905/1905.pdf#page=340</v>
      </c>
      <c r="U295" s="27"/>
      <c r="V295" s="27"/>
      <c r="W295" s="27"/>
      <c r="X295" s="27"/>
      <c r="Y295" s="27"/>
      <c r="Z295" s="27"/>
      <c r="AA295" s="27"/>
    </row>
    <row r="296" spans="1:27" x14ac:dyDescent="0.25">
      <c r="A296" s="27" t="s">
        <v>893</v>
      </c>
      <c r="B296" s="27" t="str">
        <f t="shared" si="24"/>
        <v>Kentucky</v>
      </c>
      <c r="C296" s="27" t="str">
        <f t="shared" si="25"/>
        <v>Boyle</v>
      </c>
      <c r="D296" s="27">
        <v>3103</v>
      </c>
      <c r="E296" s="2">
        <v>57</v>
      </c>
      <c r="F296" s="27">
        <f>'KY pre'!M12</f>
        <v>122.59007528056985</v>
      </c>
      <c r="G296" s="25">
        <v>3853</v>
      </c>
      <c r="H296" s="28">
        <f>'KY pre'!Q12</f>
        <v>37.881292297776341</v>
      </c>
      <c r="I296" s="2">
        <v>35385</v>
      </c>
      <c r="J296" s="27">
        <v>43</v>
      </c>
      <c r="K296" s="27">
        <f>'KY pre'!T12</f>
        <v>35385</v>
      </c>
      <c r="L296" s="27">
        <v>1905</v>
      </c>
      <c r="M296" s="27" t="s">
        <v>468</v>
      </c>
      <c r="N296" s="27" t="s">
        <v>499</v>
      </c>
      <c r="O296" s="27" t="str">
        <f>'KY pre'!X12</f>
        <v>https://archive.org/download/SOPIK1905/1905.pdf#page=330</v>
      </c>
      <c r="P296" s="27" t="s">
        <v>501</v>
      </c>
      <c r="Q296" s="27" t="str">
        <f t="shared" si="29"/>
        <v>https://archive.org/download/SOPIK1905/1905.pdf#page=382</v>
      </c>
      <c r="R296" s="27" t="s">
        <v>502</v>
      </c>
      <c r="S296" s="27" t="s">
        <v>503</v>
      </c>
      <c r="T296" s="27" t="str">
        <f t="shared" si="30"/>
        <v>https://archive.org/download/SOPIK1905/1905.pdf#page=340</v>
      </c>
      <c r="U296" s="27"/>
      <c r="V296" s="27"/>
      <c r="W296" s="27"/>
      <c r="X296" s="27"/>
      <c r="Y296" s="27"/>
      <c r="Z296" s="27"/>
      <c r="AA296" s="27"/>
    </row>
    <row r="297" spans="1:27" x14ac:dyDescent="0.25">
      <c r="A297" s="27" t="s">
        <v>894</v>
      </c>
      <c r="B297" s="27" t="str">
        <f t="shared" si="24"/>
        <v>Kentucky</v>
      </c>
      <c r="C297" s="27" t="str">
        <f t="shared" si="25"/>
        <v>Bracken</v>
      </c>
      <c r="D297" s="27">
        <v>2270</v>
      </c>
      <c r="E297" s="2">
        <v>37</v>
      </c>
      <c r="F297" s="27">
        <f>'KY pre'!M13</f>
        <v>139.78448113208992</v>
      </c>
      <c r="G297" s="25">
        <v>2655</v>
      </c>
      <c r="H297" s="28">
        <f>'KY pre'!Q13</f>
        <v>29.513233480176208</v>
      </c>
      <c r="I297" s="2">
        <v>28600</v>
      </c>
      <c r="J297" s="27">
        <v>49</v>
      </c>
      <c r="K297" s="27">
        <f>'KY pre'!T13</f>
        <v>28600</v>
      </c>
      <c r="L297" s="27">
        <v>1905</v>
      </c>
      <c r="M297" s="27" t="s">
        <v>468</v>
      </c>
      <c r="N297" s="27" t="s">
        <v>499</v>
      </c>
      <c r="O297" s="27" t="str">
        <f>'KY pre'!X13</f>
        <v>https://archive.org/download/SOPIK1905/1905.pdf#page=330</v>
      </c>
      <c r="P297" s="27" t="s">
        <v>501</v>
      </c>
      <c r="Q297" s="27" t="str">
        <f t="shared" si="29"/>
        <v>https://archive.org/download/SOPIK1905/1905.pdf#page=382</v>
      </c>
      <c r="R297" s="27" t="s">
        <v>502</v>
      </c>
      <c r="S297" s="27" t="s">
        <v>503</v>
      </c>
      <c r="T297" s="27" t="str">
        <f t="shared" si="30"/>
        <v>https://archive.org/download/SOPIK1905/1905.pdf#page=340</v>
      </c>
      <c r="U297" s="27"/>
      <c r="V297" s="27"/>
      <c r="W297" s="27"/>
      <c r="X297" s="27"/>
      <c r="Y297" s="27"/>
      <c r="Z297" s="27"/>
      <c r="AA297" s="27"/>
    </row>
    <row r="298" spans="1:27" x14ac:dyDescent="0.25">
      <c r="A298" s="27" t="s">
        <v>895</v>
      </c>
      <c r="B298" s="27" t="str">
        <f t="shared" si="24"/>
        <v>Kentucky</v>
      </c>
      <c r="C298" s="27" t="str">
        <f t="shared" si="25"/>
        <v>Breathitt</v>
      </c>
      <c r="D298" s="27">
        <v>2415</v>
      </c>
      <c r="E298" s="2">
        <v>158</v>
      </c>
      <c r="F298" s="27">
        <f>'KY pre'!M14</f>
        <v>124.9968387776607</v>
      </c>
      <c r="G298" s="25">
        <v>4528</v>
      </c>
      <c r="H298" s="28">
        <f>'KY pre'!Q14</f>
        <v>32.335142857142856</v>
      </c>
      <c r="I298" s="2">
        <v>12845</v>
      </c>
      <c r="J298" s="27">
        <v>92</v>
      </c>
      <c r="K298" s="27">
        <f>'KY pre'!T14</f>
        <v>12845</v>
      </c>
      <c r="L298" s="27">
        <v>1905</v>
      </c>
      <c r="M298" s="27" t="s">
        <v>468</v>
      </c>
      <c r="N298" s="27" t="s">
        <v>499</v>
      </c>
      <c r="O298" s="27" t="str">
        <f>'KY pre'!X14</f>
        <v>https://archive.org/download/SOPIK1905/1905.pdf#page=330</v>
      </c>
      <c r="P298" s="27" t="s">
        <v>501</v>
      </c>
      <c r="Q298" s="27" t="str">
        <f t="shared" si="29"/>
        <v>https://archive.org/download/SOPIK1905/1905.pdf#page=382</v>
      </c>
      <c r="R298" s="27" t="s">
        <v>502</v>
      </c>
      <c r="S298" s="27" t="s">
        <v>503</v>
      </c>
      <c r="T298" s="27" t="str">
        <f t="shared" si="30"/>
        <v>https://archive.org/download/SOPIK1905/1905.pdf#page=340</v>
      </c>
      <c r="U298" s="27"/>
      <c r="V298" s="27"/>
      <c r="W298" s="27"/>
      <c r="X298" s="27"/>
      <c r="Y298" s="27"/>
      <c r="Z298" s="27"/>
      <c r="AA298" s="27"/>
    </row>
    <row r="299" spans="1:27" x14ac:dyDescent="0.25">
      <c r="A299" s="27" t="s">
        <v>896</v>
      </c>
      <c r="B299" s="27" t="str">
        <f t="shared" si="24"/>
        <v>Kentucky</v>
      </c>
      <c r="C299" s="27" t="str">
        <f t="shared" si="25"/>
        <v>Breckinridge</v>
      </c>
      <c r="D299" s="27">
        <v>2610</v>
      </c>
      <c r="E299" s="2">
        <v>161</v>
      </c>
      <c r="F299" s="27">
        <f>'KY pre'!M15</f>
        <v>117.90729933790828</v>
      </c>
      <c r="G299" s="25">
        <v>5501</v>
      </c>
      <c r="H299" s="28">
        <f>'KY pre'!Q15</f>
        <v>29.086206896551722</v>
      </c>
      <c r="I299" s="2">
        <v>26000</v>
      </c>
      <c r="J299" s="27">
        <v>111</v>
      </c>
      <c r="K299" s="27">
        <f>'KY pre'!T15</f>
        <v>26000</v>
      </c>
      <c r="L299" s="27">
        <v>1905</v>
      </c>
      <c r="M299" s="27" t="s">
        <v>468</v>
      </c>
      <c r="N299" s="27" t="s">
        <v>499</v>
      </c>
      <c r="O299" s="27" t="str">
        <f>'KY pre'!X15</f>
        <v>https://archive.org/download/SOPIK1905/1905.pdf#page=330</v>
      </c>
      <c r="P299" s="27" t="s">
        <v>501</v>
      </c>
      <c r="Q299" s="27" t="str">
        <f t="shared" si="29"/>
        <v>https://archive.org/download/SOPIK1905/1905.pdf#page=382</v>
      </c>
      <c r="R299" s="27" t="s">
        <v>502</v>
      </c>
      <c r="S299" s="27" t="s">
        <v>503</v>
      </c>
      <c r="T299" s="27" t="str">
        <f t="shared" si="30"/>
        <v>https://archive.org/download/SOPIK1905/1905.pdf#page=340</v>
      </c>
      <c r="U299" s="27"/>
      <c r="V299" s="27"/>
      <c r="W299" s="27"/>
      <c r="X299" s="27"/>
      <c r="Y299" s="27"/>
      <c r="Z299" s="27"/>
      <c r="AA299" s="27"/>
    </row>
    <row r="300" spans="1:27" x14ac:dyDescent="0.25">
      <c r="A300" s="27" t="s">
        <v>897</v>
      </c>
      <c r="B300" s="27" t="str">
        <f t="shared" si="24"/>
        <v>Kentucky</v>
      </c>
      <c r="C300" s="27" t="str">
        <f t="shared" si="25"/>
        <v>Bullitt</v>
      </c>
      <c r="D300" s="27">
        <v>1225</v>
      </c>
      <c r="E300" s="2">
        <v>52</v>
      </c>
      <c r="F300" s="27">
        <f>'KY pre'!M16</f>
        <v>140.91472868217053</v>
      </c>
      <c r="G300" s="25">
        <v>2184</v>
      </c>
      <c r="H300" s="28">
        <f>'KY pre'!Q16</f>
        <v>32</v>
      </c>
      <c r="I300" s="2">
        <v>18400</v>
      </c>
      <c r="J300" s="27">
        <v>47</v>
      </c>
      <c r="K300" s="27">
        <f>'KY pre'!T16</f>
        <v>18400</v>
      </c>
      <c r="L300" s="27">
        <v>1905</v>
      </c>
      <c r="M300" s="27" t="s">
        <v>468</v>
      </c>
      <c r="N300" s="27" t="s">
        <v>499</v>
      </c>
      <c r="O300" s="27" t="str">
        <f>'KY pre'!X16</f>
        <v>https://archive.org/download/SOPIK1905/1905.pdf#page=330</v>
      </c>
      <c r="P300" s="27" t="s">
        <v>501</v>
      </c>
      <c r="Q300" s="27" t="str">
        <f t="shared" si="29"/>
        <v>https://archive.org/download/SOPIK1905/1905.pdf#page=382</v>
      </c>
      <c r="R300" s="27" t="s">
        <v>502</v>
      </c>
      <c r="S300" s="27" t="s">
        <v>503</v>
      </c>
      <c r="T300" s="27" t="str">
        <f t="shared" si="30"/>
        <v>https://archive.org/download/SOPIK1905/1905.pdf#page=340</v>
      </c>
      <c r="U300" s="27"/>
      <c r="V300" s="27"/>
      <c r="W300" s="27"/>
      <c r="X300" s="27"/>
      <c r="Y300" s="27"/>
      <c r="Z300" s="27"/>
      <c r="AA300" s="27"/>
    </row>
    <row r="301" spans="1:27" x14ac:dyDescent="0.25">
      <c r="A301" s="27" t="s">
        <v>898</v>
      </c>
      <c r="B301" s="27" t="str">
        <f t="shared" si="24"/>
        <v>Kentucky</v>
      </c>
      <c r="C301" s="27" t="str">
        <f t="shared" si="25"/>
        <v>Butler</v>
      </c>
      <c r="D301" s="27">
        <v>2130</v>
      </c>
      <c r="E301" s="2">
        <v>106</v>
      </c>
      <c r="F301" s="27">
        <f>'KY pre'!M17</f>
        <v>112.9089214932288</v>
      </c>
      <c r="G301" s="25">
        <v>4372</v>
      </c>
      <c r="H301" s="28">
        <f>'KY pre'!Q17</f>
        <v>32.660704225352113</v>
      </c>
      <c r="I301" s="2">
        <v>22600</v>
      </c>
      <c r="J301" s="27">
        <v>90</v>
      </c>
      <c r="K301" s="27">
        <f>'KY pre'!T17</f>
        <v>22600</v>
      </c>
      <c r="L301" s="27">
        <v>1905</v>
      </c>
      <c r="M301" s="27" t="s">
        <v>468</v>
      </c>
      <c r="N301" s="27" t="s">
        <v>499</v>
      </c>
      <c r="O301" s="27" t="str">
        <f>'KY pre'!X17</f>
        <v>https://archive.org/download/SOPIK1905/1905.pdf#page=330</v>
      </c>
      <c r="P301" s="27" t="s">
        <v>501</v>
      </c>
      <c r="Q301" s="27" t="str">
        <f t="shared" si="29"/>
        <v>https://archive.org/download/SOPIK1905/1905.pdf#page=382</v>
      </c>
      <c r="R301" s="27" t="s">
        <v>502</v>
      </c>
      <c r="S301" s="27" t="s">
        <v>503</v>
      </c>
      <c r="T301" s="27" t="str">
        <f t="shared" si="30"/>
        <v>https://archive.org/download/SOPIK1905/1905.pdf#page=340</v>
      </c>
      <c r="U301" s="27"/>
      <c r="V301" s="27"/>
      <c r="W301" s="27"/>
      <c r="X301" s="27"/>
      <c r="Y301" s="27"/>
      <c r="Z301" s="27"/>
      <c r="AA301" s="27"/>
    </row>
    <row r="302" spans="1:27" x14ac:dyDescent="0.25">
      <c r="A302" s="27" t="s">
        <v>899</v>
      </c>
      <c r="B302" s="27" t="str">
        <f t="shared" si="24"/>
        <v>Kentucky</v>
      </c>
      <c r="C302" s="27" t="str">
        <f t="shared" si="25"/>
        <v>Caldwell</v>
      </c>
      <c r="D302" s="27">
        <v>2094</v>
      </c>
      <c r="E302" s="2">
        <v>123</v>
      </c>
      <c r="F302" s="27">
        <f>'KY pre'!M18</f>
        <v>121.89106470580259</v>
      </c>
      <c r="G302" s="25">
        <v>4246</v>
      </c>
      <c r="H302" s="28">
        <f>'KY pre'!Q18</f>
        <v>35.57</v>
      </c>
      <c r="I302" s="2">
        <v>26635</v>
      </c>
      <c r="J302" s="27">
        <v>70</v>
      </c>
      <c r="K302" s="27">
        <f>'KY pre'!T18</f>
        <v>26635</v>
      </c>
      <c r="L302" s="27">
        <v>1905</v>
      </c>
      <c r="M302" s="27" t="s">
        <v>468</v>
      </c>
      <c r="N302" s="27" t="s">
        <v>499</v>
      </c>
      <c r="O302" s="27" t="str">
        <f>'KY pre'!X18</f>
        <v>https://archive.org/download/SOPIK1905/1905.pdf#page=330</v>
      </c>
      <c r="P302" s="27" t="s">
        <v>501</v>
      </c>
      <c r="Q302" s="27" t="str">
        <f t="shared" si="29"/>
        <v>https://archive.org/download/SOPIK1905/1905.pdf#page=382</v>
      </c>
      <c r="R302" s="27" t="s">
        <v>502</v>
      </c>
      <c r="S302" s="27" t="s">
        <v>503</v>
      </c>
      <c r="T302" s="27" t="str">
        <f t="shared" si="30"/>
        <v>https://archive.org/download/SOPIK1905/1905.pdf#page=340</v>
      </c>
      <c r="U302" s="27"/>
      <c r="V302" s="27"/>
      <c r="W302" s="27"/>
      <c r="X302" s="27"/>
      <c r="Y302" s="27"/>
      <c r="Z302" s="27"/>
      <c r="AA302" s="27"/>
    </row>
    <row r="303" spans="1:27" x14ac:dyDescent="0.25">
      <c r="A303" s="27" t="s">
        <v>900</v>
      </c>
      <c r="B303" s="27" t="str">
        <f t="shared" si="24"/>
        <v>Kentucky</v>
      </c>
      <c r="C303" s="27" t="str">
        <f t="shared" si="25"/>
        <v>Calloway</v>
      </c>
      <c r="D303" s="27">
        <v>3128</v>
      </c>
      <c r="E303" s="2">
        <v>91</v>
      </c>
      <c r="F303" s="27">
        <f>'KY pre'!M19</f>
        <v>123.59189496243354</v>
      </c>
      <c r="G303" s="25">
        <v>5172</v>
      </c>
      <c r="H303" s="28">
        <f>'KY pre'!Q19</f>
        <v>32.20076726342711</v>
      </c>
      <c r="I303" s="2">
        <v>26800</v>
      </c>
      <c r="J303" s="27">
        <v>87</v>
      </c>
      <c r="K303" s="27">
        <f>'KY pre'!T19</f>
        <v>26800</v>
      </c>
      <c r="L303" s="27">
        <v>1905</v>
      </c>
      <c r="M303" s="27" t="s">
        <v>468</v>
      </c>
      <c r="N303" s="27" t="s">
        <v>499</v>
      </c>
      <c r="O303" s="27" t="str">
        <f>'KY pre'!X19</f>
        <v>https://archive.org/download/SOPIK1905/1905.pdf#page=330</v>
      </c>
      <c r="P303" s="27" t="s">
        <v>501</v>
      </c>
      <c r="Q303" s="27" t="str">
        <f t="shared" si="29"/>
        <v>https://archive.org/download/SOPIK1905/1905.pdf#page=382</v>
      </c>
      <c r="R303" s="27" t="s">
        <v>502</v>
      </c>
      <c r="S303" s="27" t="s">
        <v>503</v>
      </c>
      <c r="T303" s="27" t="str">
        <f t="shared" si="30"/>
        <v>https://archive.org/download/SOPIK1905/1905.pdf#page=340</v>
      </c>
      <c r="U303" s="27"/>
      <c r="V303" s="27"/>
      <c r="W303" s="27"/>
      <c r="X303" s="27"/>
      <c r="Y303" s="27"/>
      <c r="Z303" s="27"/>
      <c r="AA303" s="27"/>
    </row>
    <row r="304" spans="1:27" x14ac:dyDescent="0.25">
      <c r="A304" s="27" t="s">
        <v>901</v>
      </c>
      <c r="B304" s="27" t="str">
        <f t="shared" si="24"/>
        <v>Kentucky</v>
      </c>
      <c r="C304" s="27" t="str">
        <f t="shared" si="25"/>
        <v>Campbell</v>
      </c>
      <c r="D304" s="27">
        <v>2100</v>
      </c>
      <c r="E304" s="2">
        <v>60</v>
      </c>
      <c r="F304" s="27">
        <f>'KY pre'!M20</f>
        <v>107.74892018764774</v>
      </c>
      <c r="G304" s="27">
        <v>2605</v>
      </c>
      <c r="H304" s="28">
        <f>'KY pre'!Q20</f>
        <v>35</v>
      </c>
      <c r="I304" s="2">
        <v>45000</v>
      </c>
      <c r="J304" s="27">
        <v>46</v>
      </c>
      <c r="K304" s="27">
        <f>'KY pre'!T20</f>
        <v>45000</v>
      </c>
      <c r="L304" s="27">
        <v>1905</v>
      </c>
      <c r="M304" s="27" t="s">
        <v>468</v>
      </c>
      <c r="N304" s="27" t="s">
        <v>499</v>
      </c>
      <c r="O304" s="27" t="str">
        <f>'KY pre'!X20</f>
        <v>https://archive.org/download/SOPIK1905/1905.pdf#page=330</v>
      </c>
      <c r="P304" s="27" t="s">
        <v>501</v>
      </c>
      <c r="Q304" s="27" t="str">
        <f t="shared" si="29"/>
        <v>https://archive.org/download/SOPIK1905/1905.pdf#page=382</v>
      </c>
      <c r="R304" s="27" t="s">
        <v>502</v>
      </c>
      <c r="S304" s="27" t="s">
        <v>503</v>
      </c>
      <c r="T304" s="27" t="str">
        <f t="shared" si="30"/>
        <v>https://archive.org/download/SOPIK1905/1905.pdf#page=340</v>
      </c>
      <c r="U304" s="27"/>
      <c r="V304" s="27"/>
      <c r="W304" s="27"/>
      <c r="X304" s="27"/>
      <c r="Y304" s="27"/>
      <c r="Z304" s="27"/>
      <c r="AA304" s="27"/>
    </row>
    <row r="305" spans="1:27" x14ac:dyDescent="0.25">
      <c r="A305" s="27" t="s">
        <v>902</v>
      </c>
      <c r="B305" s="27" t="str">
        <f t="shared" si="24"/>
        <v>Kentucky</v>
      </c>
      <c r="C305" s="27" t="str">
        <f t="shared" si="25"/>
        <v>Carlisle</v>
      </c>
      <c r="D305" s="27">
        <v>1398</v>
      </c>
      <c r="E305" s="2">
        <v>49</v>
      </c>
      <c r="F305" s="27">
        <f>'KY pre'!M21</f>
        <v>136.42643146900656</v>
      </c>
      <c r="G305" s="25">
        <v>2524</v>
      </c>
      <c r="H305" s="28">
        <f>'KY pre'!Q21</f>
        <v>34</v>
      </c>
      <c r="I305" s="2">
        <v>27000</v>
      </c>
      <c r="J305" s="27">
        <v>40</v>
      </c>
      <c r="K305" s="27">
        <f>'KY pre'!T21</f>
        <v>27000</v>
      </c>
      <c r="L305" s="27">
        <v>1905</v>
      </c>
      <c r="M305" s="27" t="s">
        <v>468</v>
      </c>
      <c r="N305" s="27" t="s">
        <v>499</v>
      </c>
      <c r="O305" s="27" t="str">
        <f>'KY pre'!X21</f>
        <v>https://archive.org/download/SOPIK1905/1905.pdf#page=330</v>
      </c>
      <c r="P305" s="27" t="s">
        <v>501</v>
      </c>
      <c r="Q305" s="27" t="str">
        <f t="shared" si="29"/>
        <v>https://archive.org/download/SOPIK1905/1905.pdf#page=382</v>
      </c>
      <c r="R305" s="27" t="s">
        <v>502</v>
      </c>
      <c r="S305" s="27" t="s">
        <v>503</v>
      </c>
      <c r="T305" s="27" t="str">
        <f t="shared" si="30"/>
        <v>https://archive.org/download/SOPIK1905/1905.pdf#page=340</v>
      </c>
      <c r="U305" s="27"/>
      <c r="V305" s="27"/>
      <c r="W305" s="27"/>
      <c r="X305" s="27"/>
      <c r="Y305" s="27"/>
      <c r="Z305" s="27"/>
      <c r="AA305" s="27"/>
    </row>
    <row r="306" spans="1:27" x14ac:dyDescent="0.25">
      <c r="A306" s="27" t="s">
        <v>903</v>
      </c>
      <c r="B306" s="27" t="str">
        <f t="shared" si="24"/>
        <v>Kentucky</v>
      </c>
      <c r="C306" s="27" t="str">
        <f t="shared" si="25"/>
        <v>Carroll</v>
      </c>
      <c r="D306" s="27">
        <v>1119</v>
      </c>
      <c r="E306" s="2">
        <v>44</v>
      </c>
      <c r="F306" s="27">
        <f>'KY pre'!M22</f>
        <v>140.50674747299985</v>
      </c>
      <c r="G306" s="25">
        <v>1684</v>
      </c>
      <c r="H306" s="28">
        <f>'KY pre'!Q22</f>
        <v>31.853619302949067</v>
      </c>
      <c r="I306" s="2">
        <v>36500</v>
      </c>
      <c r="J306" s="27">
        <v>36</v>
      </c>
      <c r="K306" s="27">
        <f>'KY pre'!T22</f>
        <v>36500</v>
      </c>
      <c r="L306" s="27">
        <v>1905</v>
      </c>
      <c r="M306" s="27" t="s">
        <v>468</v>
      </c>
      <c r="N306" s="27" t="s">
        <v>499</v>
      </c>
      <c r="O306" s="27" t="str">
        <f>'KY pre'!X22</f>
        <v>https://archive.org/download/SOPIK1905/1905.pdf#page=330</v>
      </c>
      <c r="P306" s="27" t="s">
        <v>501</v>
      </c>
      <c r="Q306" s="27" t="str">
        <f t="shared" si="29"/>
        <v>https://archive.org/download/SOPIK1905/1905.pdf#page=382</v>
      </c>
      <c r="R306" s="27" t="s">
        <v>502</v>
      </c>
      <c r="S306" s="27" t="s">
        <v>503</v>
      </c>
      <c r="T306" s="27" t="str">
        <f t="shared" si="30"/>
        <v>https://archive.org/download/SOPIK1905/1905.pdf#page=340</v>
      </c>
      <c r="U306" s="27"/>
      <c r="V306" s="27"/>
      <c r="W306" s="27"/>
      <c r="X306" s="27"/>
      <c r="Y306" s="27"/>
      <c r="Z306" s="27"/>
      <c r="AA306" s="27"/>
    </row>
    <row r="307" spans="1:27" x14ac:dyDescent="0.25">
      <c r="A307" s="27" t="s">
        <v>904</v>
      </c>
      <c r="B307" s="27" t="str">
        <f t="shared" si="24"/>
        <v>Kentucky</v>
      </c>
      <c r="C307" s="27" t="str">
        <f t="shared" si="25"/>
        <v>Carter</v>
      </c>
      <c r="D307" s="27">
        <v>4618</v>
      </c>
      <c r="E307" s="2">
        <v>50</v>
      </c>
      <c r="F307" s="27">
        <f>'KY pre'!M23</f>
        <v>124.9968387776607</v>
      </c>
      <c r="G307" s="25">
        <v>7031</v>
      </c>
      <c r="H307" s="28">
        <f>'KY pre'!Q23</f>
        <v>36.942000866175832</v>
      </c>
      <c r="I307" s="2">
        <v>20100</v>
      </c>
      <c r="J307" s="27">
        <v>98</v>
      </c>
      <c r="K307" s="27">
        <f>'KY pre'!T23</f>
        <v>20100</v>
      </c>
      <c r="L307" s="27">
        <v>1905</v>
      </c>
      <c r="M307" s="27" t="s">
        <v>468</v>
      </c>
      <c r="N307" s="27" t="s">
        <v>499</v>
      </c>
      <c r="O307" s="27" t="str">
        <f>'KY pre'!X23</f>
        <v>https://archive.org/download/SOPIK1905/1905.pdf#page=330</v>
      </c>
      <c r="P307" s="27" t="s">
        <v>501</v>
      </c>
      <c r="Q307" s="27" t="str">
        <f t="shared" si="29"/>
        <v>https://archive.org/download/SOPIK1905/1905.pdf#page=382</v>
      </c>
      <c r="R307" s="27" t="s">
        <v>502</v>
      </c>
      <c r="S307" s="27" t="s">
        <v>503</v>
      </c>
      <c r="T307" s="27" t="str">
        <f t="shared" si="30"/>
        <v>https://archive.org/download/SOPIK1905/1905.pdf#page=340</v>
      </c>
      <c r="U307" s="27"/>
      <c r="V307" s="27"/>
      <c r="W307" s="27"/>
      <c r="X307" s="27"/>
      <c r="Y307" s="27"/>
      <c r="Z307" s="27"/>
      <c r="AA307" s="27"/>
    </row>
    <row r="308" spans="1:27" x14ac:dyDescent="0.25">
      <c r="A308" s="27" t="s">
        <v>905</v>
      </c>
      <c r="B308" s="27" t="str">
        <f t="shared" si="24"/>
        <v>Kentucky</v>
      </c>
      <c r="C308" s="27" t="str">
        <f t="shared" si="25"/>
        <v>Casey</v>
      </c>
      <c r="D308" s="27">
        <v>2922</v>
      </c>
      <c r="E308" s="27" t="s">
        <v>383</v>
      </c>
      <c r="F308" s="27">
        <f>'KY pre'!M24</f>
        <v>122.76475237091675</v>
      </c>
      <c r="G308" s="25">
        <v>4345</v>
      </c>
      <c r="H308" s="28"/>
      <c r="I308" s="2">
        <v>17431</v>
      </c>
      <c r="J308" s="27">
        <v>83</v>
      </c>
      <c r="K308" s="27">
        <f>'KY pre'!T24</f>
        <v>17431</v>
      </c>
      <c r="L308" s="27">
        <v>1905</v>
      </c>
      <c r="M308" s="27" t="s">
        <v>468</v>
      </c>
      <c r="N308" s="27" t="s">
        <v>499</v>
      </c>
      <c r="O308" s="27" t="str">
        <f>'KY pre'!X24</f>
        <v>https://archive.org/download/SOPIK1905/1905.pdf#page=330</v>
      </c>
      <c r="P308" s="27" t="s">
        <v>501</v>
      </c>
      <c r="Q308" s="27" t="str">
        <f t="shared" si="29"/>
        <v>https://archive.org/download/SOPIK1905/1905.pdf#page=382</v>
      </c>
      <c r="R308" s="27" t="s">
        <v>502</v>
      </c>
      <c r="S308" s="27" t="s">
        <v>503</v>
      </c>
      <c r="T308" s="27" t="str">
        <f t="shared" si="30"/>
        <v>https://archive.org/download/SOPIK1905/1905.pdf#page=340</v>
      </c>
      <c r="U308" s="27"/>
      <c r="V308" s="27"/>
      <c r="W308" s="27"/>
      <c r="X308" s="27"/>
      <c r="Y308" s="27"/>
      <c r="Z308" s="27"/>
      <c r="AA308" s="27"/>
    </row>
    <row r="309" spans="1:27" x14ac:dyDescent="0.25">
      <c r="A309" s="27" t="s">
        <v>906</v>
      </c>
      <c r="B309" s="27" t="str">
        <f t="shared" si="24"/>
        <v>Kentucky</v>
      </c>
      <c r="C309" s="27" t="str">
        <f t="shared" si="25"/>
        <v>Christian</v>
      </c>
      <c r="D309" s="27">
        <v>4042</v>
      </c>
      <c r="E309" s="2">
        <v>210</v>
      </c>
      <c r="F309" s="27">
        <f>'KY pre'!M25</f>
        <v>124.9968387776607</v>
      </c>
      <c r="G309" s="25">
        <v>8110</v>
      </c>
      <c r="H309" s="28">
        <f>'KY pre'!Q25</f>
        <v>37.432953983176645</v>
      </c>
      <c r="J309" s="27">
        <v>144</v>
      </c>
      <c r="K309" s="27"/>
      <c r="L309" s="27">
        <v>1905</v>
      </c>
      <c r="M309" s="27" t="s">
        <v>468</v>
      </c>
      <c r="N309" s="27" t="s">
        <v>499</v>
      </c>
      <c r="O309" s="27" t="str">
        <f>'KY pre'!X25</f>
        <v>https://archive.org/download/SOPIK1905/1905.pdf#page=330</v>
      </c>
      <c r="P309" s="27" t="s">
        <v>501</v>
      </c>
      <c r="Q309" s="27" t="str">
        <f t="shared" si="29"/>
        <v>https://archive.org/download/SOPIK1905/1905.pdf#page=382</v>
      </c>
      <c r="R309" s="27" t="s">
        <v>502</v>
      </c>
      <c r="S309" s="27" t="s">
        <v>503</v>
      </c>
      <c r="T309" s="27" t="str">
        <f t="shared" si="30"/>
        <v>https://archive.org/download/SOPIK1905/1905.pdf#page=340</v>
      </c>
      <c r="U309" s="27"/>
      <c r="V309" s="27"/>
      <c r="W309" s="27"/>
      <c r="X309" s="27"/>
      <c r="Y309" s="27"/>
      <c r="Z309" s="27"/>
      <c r="AA309" s="27"/>
    </row>
    <row r="310" spans="1:27" x14ac:dyDescent="0.25">
      <c r="A310" s="27" t="s">
        <v>907</v>
      </c>
      <c r="B310" s="27" t="str">
        <f t="shared" si="24"/>
        <v>Kentucky</v>
      </c>
      <c r="C310" s="27" t="str">
        <f t="shared" si="25"/>
        <v>Clark</v>
      </c>
      <c r="D310" s="27">
        <v>1448</v>
      </c>
      <c r="E310" s="2">
        <v>60</v>
      </c>
      <c r="F310" s="27">
        <f>'KY pre'!M26</f>
        <v>127.49603194534319</v>
      </c>
      <c r="G310" s="25">
        <v>2461</v>
      </c>
      <c r="H310" s="28">
        <f>'KY pre'!Q26</f>
        <v>31.879737569060772</v>
      </c>
      <c r="I310" s="2">
        <v>16510</v>
      </c>
      <c r="J310" s="27">
        <v>51</v>
      </c>
      <c r="K310" s="27">
        <f>'KY pre'!T26</f>
        <v>16510</v>
      </c>
      <c r="L310" s="27">
        <v>1905</v>
      </c>
      <c r="M310" s="27" t="s">
        <v>468</v>
      </c>
      <c r="N310" s="27" t="s">
        <v>499</v>
      </c>
      <c r="O310" s="27" t="str">
        <f>'KY pre'!X26</f>
        <v>https://archive.org/download/SOPIK1905/1905.pdf#page=330</v>
      </c>
      <c r="P310" s="27" t="s">
        <v>501</v>
      </c>
      <c r="Q310" s="27" t="str">
        <f t="shared" si="29"/>
        <v>https://archive.org/download/SOPIK1905/1905.pdf#page=382</v>
      </c>
      <c r="R310" s="27" t="s">
        <v>502</v>
      </c>
      <c r="S310" s="27" t="s">
        <v>503</v>
      </c>
      <c r="T310" s="27" t="str">
        <f t="shared" si="30"/>
        <v>https://archive.org/download/SOPIK1905/1905.pdf#page=340</v>
      </c>
      <c r="U310" s="27"/>
      <c r="V310" s="27"/>
      <c r="W310" s="27"/>
      <c r="X310" s="27"/>
      <c r="Y310" s="27"/>
      <c r="Z310" s="27"/>
      <c r="AA310" s="27"/>
    </row>
    <row r="311" spans="1:27" x14ac:dyDescent="0.25">
      <c r="A311" s="27" t="s">
        <v>908</v>
      </c>
      <c r="B311" s="27" t="str">
        <f t="shared" si="24"/>
        <v>Kentucky</v>
      </c>
      <c r="C311" s="27" t="str">
        <f t="shared" si="25"/>
        <v>Clay</v>
      </c>
      <c r="D311" s="27">
        <v>2032</v>
      </c>
      <c r="E311" s="2">
        <v>109</v>
      </c>
      <c r="F311" s="27">
        <f>'KY pre'!M27</f>
        <v>113.43634107675067</v>
      </c>
      <c r="G311" s="25">
        <v>62</v>
      </c>
      <c r="H311" s="28"/>
      <c r="I311" s="2">
        <v>8700</v>
      </c>
      <c r="J311" s="27">
        <v>100</v>
      </c>
      <c r="K311" s="27"/>
      <c r="L311" s="27">
        <v>1905</v>
      </c>
      <c r="M311" s="27" t="s">
        <v>468</v>
      </c>
      <c r="N311" s="27" t="s">
        <v>499</v>
      </c>
      <c r="O311" s="27" t="str">
        <f>'KY pre'!X27</f>
        <v>https://archive.org/download/SOPIK1905/1905.pdf#page=330</v>
      </c>
      <c r="P311" s="27" t="s">
        <v>501</v>
      </c>
      <c r="Q311" s="27" t="str">
        <f t="shared" si="29"/>
        <v>https://archive.org/download/SOPIK1905/1905.pdf#page=382</v>
      </c>
      <c r="R311" s="27" t="s">
        <v>502</v>
      </c>
      <c r="S311" s="27" t="s">
        <v>503</v>
      </c>
      <c r="T311" s="27" t="str">
        <f t="shared" si="30"/>
        <v>https://archive.org/download/SOPIK1905/1905.pdf#page=340</v>
      </c>
      <c r="U311" s="27"/>
      <c r="V311" s="27"/>
      <c r="W311" s="27"/>
      <c r="X311" s="27"/>
      <c r="Y311" s="27"/>
      <c r="Z311" s="27"/>
      <c r="AA311" s="27"/>
    </row>
    <row r="312" spans="1:27" x14ac:dyDescent="0.25">
      <c r="A312" s="27" t="s">
        <v>909</v>
      </c>
      <c r="B312" s="27" t="str">
        <f t="shared" si="24"/>
        <v>Kentucky</v>
      </c>
      <c r="C312" s="27" t="str">
        <f t="shared" si="25"/>
        <v>Clinton</v>
      </c>
      <c r="D312" s="27">
        <v>1458</v>
      </c>
      <c r="E312" s="2">
        <v>45</v>
      </c>
      <c r="F312" s="27">
        <f>'KY pre'!M28</f>
        <v>124.9968387776607</v>
      </c>
      <c r="G312" s="25">
        <v>2356</v>
      </c>
      <c r="H312" s="28">
        <f>'KY pre'!Q28</f>
        <v>38.344252400548697</v>
      </c>
      <c r="I312" s="2">
        <v>8250</v>
      </c>
      <c r="J312" s="27">
        <v>44</v>
      </c>
      <c r="K312" s="27">
        <f>'KY pre'!T28</f>
        <v>8250</v>
      </c>
      <c r="L312" s="27">
        <v>1905</v>
      </c>
      <c r="M312" s="27" t="s">
        <v>468</v>
      </c>
      <c r="N312" s="27" t="s">
        <v>499</v>
      </c>
      <c r="O312" s="27" t="str">
        <f>'KY pre'!X28</f>
        <v>https://archive.org/download/SOPIK1905/1905.pdf#page=330</v>
      </c>
      <c r="P312" s="27" t="s">
        <v>501</v>
      </c>
      <c r="Q312" s="27" t="str">
        <f t="shared" si="29"/>
        <v>https://archive.org/download/SOPIK1905/1905.pdf#page=382</v>
      </c>
      <c r="R312" s="27" t="s">
        <v>502</v>
      </c>
      <c r="S312" s="27" t="s">
        <v>503</v>
      </c>
      <c r="T312" s="27" t="str">
        <f t="shared" si="30"/>
        <v>https://archive.org/download/SOPIK1905/1905.pdf#page=340</v>
      </c>
      <c r="U312" s="27"/>
      <c r="V312" s="27"/>
      <c r="W312" s="27"/>
      <c r="X312" s="27"/>
      <c r="Y312" s="27"/>
      <c r="Z312" s="27"/>
      <c r="AA312" s="27"/>
    </row>
    <row r="313" spans="1:27" x14ac:dyDescent="0.25">
      <c r="A313" s="27" t="s">
        <v>910</v>
      </c>
      <c r="B313" s="27" t="str">
        <f t="shared" si="24"/>
        <v>Kentucky</v>
      </c>
      <c r="C313" s="27" t="str">
        <f t="shared" si="25"/>
        <v>Crittenden</v>
      </c>
      <c r="D313" s="27" t="s">
        <v>383</v>
      </c>
      <c r="E313" s="2">
        <v>70</v>
      </c>
      <c r="F313" s="27">
        <f>'KY pre'!M29</f>
        <v>124.9968387776607</v>
      </c>
      <c r="G313" s="25">
        <v>3836</v>
      </c>
      <c r="H313" s="28"/>
      <c r="I313" s="2">
        <v>30000</v>
      </c>
      <c r="J313" s="27">
        <v>76</v>
      </c>
      <c r="K313" s="27">
        <f>'KY pre'!T29</f>
        <v>30000</v>
      </c>
      <c r="L313" s="27">
        <v>1905</v>
      </c>
      <c r="M313" s="27" t="s">
        <v>468</v>
      </c>
      <c r="N313" s="27" t="s">
        <v>499</v>
      </c>
      <c r="O313" s="27" t="str">
        <f>'KY pre'!X29</f>
        <v>https://archive.org/download/SOPIK1905/1905.pdf#page=330</v>
      </c>
      <c r="P313" s="27" t="s">
        <v>501</v>
      </c>
      <c r="Q313" s="27" t="str">
        <f t="shared" si="29"/>
        <v>https://archive.org/download/SOPIK1905/1905.pdf#page=382</v>
      </c>
      <c r="R313" s="27" t="s">
        <v>502</v>
      </c>
      <c r="S313" s="27" t="s">
        <v>503</v>
      </c>
      <c r="T313" s="27" t="str">
        <f t="shared" si="30"/>
        <v>https://archive.org/download/SOPIK1905/1905.pdf#page=340</v>
      </c>
      <c r="U313" s="27"/>
      <c r="V313" s="27"/>
      <c r="W313" s="27"/>
      <c r="X313" s="27"/>
      <c r="Y313" s="27"/>
      <c r="Z313" s="27"/>
      <c r="AA313" s="27"/>
    </row>
    <row r="314" spans="1:27" x14ac:dyDescent="0.25">
      <c r="A314" s="27" t="s">
        <v>911</v>
      </c>
      <c r="B314" s="27" t="str">
        <f t="shared" si="24"/>
        <v>Kentucky</v>
      </c>
      <c r="C314" s="27" t="str">
        <f t="shared" si="25"/>
        <v>Cumberland</v>
      </c>
      <c r="D314" s="27" t="s">
        <v>383</v>
      </c>
      <c r="E314" s="27">
        <v>45</v>
      </c>
      <c r="F314" s="27">
        <f>'KY pre'!M30</f>
        <v>124.9968387776607</v>
      </c>
      <c r="G314" s="27"/>
      <c r="H314" s="28"/>
      <c r="I314" s="2">
        <v>8950</v>
      </c>
      <c r="J314" s="27">
        <v>54</v>
      </c>
      <c r="K314" s="27">
        <f>'KY pre'!T30</f>
        <v>8950</v>
      </c>
      <c r="L314" s="27">
        <v>1905</v>
      </c>
      <c r="M314" s="27" t="s">
        <v>468</v>
      </c>
      <c r="N314" s="27" t="s">
        <v>499</v>
      </c>
      <c r="O314" s="27" t="str">
        <f>'KY pre'!X30</f>
        <v>https://archive.org/download/SOPIK1905/1905.pdf#page=330</v>
      </c>
      <c r="P314" s="27" t="s">
        <v>501</v>
      </c>
      <c r="Q314" s="27" t="str">
        <f t="shared" si="29"/>
        <v>https://archive.org/download/SOPIK1905/1905.pdf#page=382</v>
      </c>
      <c r="R314" s="27" t="s">
        <v>502</v>
      </c>
      <c r="S314" s="27" t="s">
        <v>503</v>
      </c>
      <c r="T314" s="27" t="str">
        <f t="shared" si="30"/>
        <v>https://archive.org/download/SOPIK1905/1905.pdf#page=340</v>
      </c>
      <c r="U314" s="27"/>
      <c r="V314" s="27"/>
      <c r="W314" s="27"/>
      <c r="X314" s="27"/>
      <c r="Y314" s="27"/>
      <c r="Z314" s="27"/>
      <c r="AA314" s="27"/>
    </row>
    <row r="315" spans="1:27" x14ac:dyDescent="0.25">
      <c r="A315" s="27" t="s">
        <v>1748</v>
      </c>
      <c r="B315" s="27" t="str">
        <f t="shared" si="24"/>
        <v>Kentucky</v>
      </c>
      <c r="C315" s="27" t="str">
        <f t="shared" si="25"/>
        <v>Daviess</v>
      </c>
      <c r="D315" s="27">
        <v>3531</v>
      </c>
      <c r="E315" s="2">
        <v>210</v>
      </c>
      <c r="F315" s="27">
        <f>'KY pre'!M31</f>
        <v>112.3489973542418</v>
      </c>
      <c r="G315" s="25">
        <v>6268</v>
      </c>
      <c r="H315" s="28">
        <f>'KY pre'!Q31</f>
        <v>39.048054375531009</v>
      </c>
      <c r="I315" s="2">
        <v>45433</v>
      </c>
      <c r="J315" s="27">
        <v>120</v>
      </c>
      <c r="K315" s="27">
        <f>'KY pre'!T31</f>
        <v>45433</v>
      </c>
      <c r="L315" s="27">
        <v>1905</v>
      </c>
      <c r="M315" s="27" t="s">
        <v>468</v>
      </c>
      <c r="N315" s="27" t="s">
        <v>499</v>
      </c>
      <c r="O315" s="27" t="str">
        <f>'KY pre'!X31</f>
        <v>https://archive.org/download/SOPIK1905/1905.pdf#page=330</v>
      </c>
      <c r="P315" s="27" t="s">
        <v>501</v>
      </c>
      <c r="Q315" s="27" t="str">
        <f t="shared" si="29"/>
        <v>https://archive.org/download/SOPIK1905/1905.pdf#page=382</v>
      </c>
      <c r="R315" s="27" t="s">
        <v>502</v>
      </c>
      <c r="S315" s="27" t="s">
        <v>503</v>
      </c>
      <c r="T315" s="27" t="str">
        <f t="shared" si="30"/>
        <v>https://archive.org/download/SOPIK1905/1905.pdf#page=340</v>
      </c>
      <c r="U315" s="27"/>
      <c r="V315" s="27"/>
      <c r="W315" s="27"/>
      <c r="X315" s="27"/>
      <c r="Y315" s="27"/>
      <c r="Z315" s="27"/>
      <c r="AA315" s="27"/>
    </row>
    <row r="316" spans="1:27" x14ac:dyDescent="0.25">
      <c r="A316" s="27" t="s">
        <v>912</v>
      </c>
      <c r="B316" s="27" t="str">
        <f t="shared" si="24"/>
        <v>Kentucky</v>
      </c>
      <c r="C316" s="27" t="str">
        <f t="shared" si="25"/>
        <v>Edmonson</v>
      </c>
      <c r="D316" s="27">
        <v>1198</v>
      </c>
      <c r="E316" s="2">
        <v>88</v>
      </c>
      <c r="F316" s="27">
        <f>'KY pre'!M32</f>
        <v>119.71442703527575</v>
      </c>
      <c r="G316" s="25">
        <v>2776</v>
      </c>
      <c r="H316" s="28">
        <f>'KY pre'!Q32</f>
        <v>26.375</v>
      </c>
      <c r="I316" s="2">
        <v>10000</v>
      </c>
      <c r="J316" s="27">
        <v>53</v>
      </c>
      <c r="K316" s="27">
        <f>'KY pre'!T32</f>
        <v>10000</v>
      </c>
      <c r="L316" s="27">
        <v>1905</v>
      </c>
      <c r="M316" s="27" t="s">
        <v>468</v>
      </c>
      <c r="N316" s="27" t="s">
        <v>499</v>
      </c>
      <c r="O316" s="27" t="str">
        <f>'KY pre'!X32</f>
        <v>https://archive.org/download/SOPIK1905/1905.pdf#page=330</v>
      </c>
      <c r="P316" s="27" t="s">
        <v>501</v>
      </c>
      <c r="Q316" s="27" t="str">
        <f t="shared" si="29"/>
        <v>https://archive.org/download/SOPIK1905/1905.pdf#page=382</v>
      </c>
      <c r="R316" s="27" t="s">
        <v>504</v>
      </c>
      <c r="S316" s="27" t="s">
        <v>503</v>
      </c>
      <c r="T316" s="27" t="str">
        <f t="shared" si="30"/>
        <v>https://archive.org/download/SOPIK1905/1905.pdf#page=340</v>
      </c>
      <c r="U316" s="27"/>
      <c r="V316" s="27"/>
      <c r="W316" s="27"/>
      <c r="X316" s="27"/>
      <c r="Y316" s="27"/>
      <c r="Z316" s="27"/>
      <c r="AA316" s="27"/>
    </row>
    <row r="317" spans="1:27" x14ac:dyDescent="0.25">
      <c r="A317" s="27" t="s">
        <v>913</v>
      </c>
      <c r="B317" s="27" t="str">
        <f t="shared" si="24"/>
        <v>Kentucky</v>
      </c>
      <c r="C317" s="27" t="str">
        <f t="shared" si="25"/>
        <v>Elliott</v>
      </c>
      <c r="D317" s="27">
        <v>2064</v>
      </c>
      <c r="E317" s="2">
        <v>120</v>
      </c>
      <c r="F317" s="27">
        <f>'KY pre'!M33</f>
        <v>124.9968387776607</v>
      </c>
      <c r="G317" s="27">
        <v>3232</v>
      </c>
      <c r="H317" s="28">
        <f>'KY pre'!Q33</f>
        <v>33.81</v>
      </c>
      <c r="I317" s="2">
        <v>12000</v>
      </c>
      <c r="J317" s="27">
        <v>57</v>
      </c>
      <c r="K317" s="27">
        <f>'KY pre'!T33</f>
        <v>12000</v>
      </c>
      <c r="L317" s="27">
        <v>1905</v>
      </c>
      <c r="M317" s="27" t="s">
        <v>468</v>
      </c>
      <c r="N317" s="27" t="s">
        <v>499</v>
      </c>
      <c r="O317" s="27" t="str">
        <f>'KY pre'!X33</f>
        <v>https://archive.org/download/SOPIK1905/1905.pdf#page=330</v>
      </c>
      <c r="P317" s="27" t="s">
        <v>501</v>
      </c>
      <c r="Q317" s="27" t="str">
        <f t="shared" si="29"/>
        <v>https://archive.org/download/SOPIK1905/1905.pdf#page=382</v>
      </c>
      <c r="R317" s="27" t="s">
        <v>504</v>
      </c>
      <c r="S317" s="27" t="s">
        <v>503</v>
      </c>
      <c r="T317" s="27" t="str">
        <f t="shared" si="30"/>
        <v>https://archive.org/download/SOPIK1905/1905.pdf#page=340</v>
      </c>
      <c r="U317" s="27"/>
      <c r="V317" s="27"/>
      <c r="W317" s="27"/>
      <c r="X317" s="27"/>
      <c r="Y317" s="27"/>
      <c r="Z317" s="27"/>
      <c r="AA317" s="27"/>
    </row>
    <row r="318" spans="1:27" x14ac:dyDescent="0.25">
      <c r="A318" s="27" t="s">
        <v>914</v>
      </c>
      <c r="B318" s="27" t="str">
        <f t="shared" si="24"/>
        <v>Kentucky</v>
      </c>
      <c r="C318" s="27" t="str">
        <f t="shared" si="25"/>
        <v>Estill</v>
      </c>
      <c r="D318" s="27">
        <v>741</v>
      </c>
      <c r="E318" s="2">
        <v>77</v>
      </c>
      <c r="F318" s="27">
        <f>'KY pre'!M34</f>
        <v>124.9968387776607</v>
      </c>
      <c r="G318" s="25">
        <v>3357</v>
      </c>
      <c r="H318" s="28">
        <f>'KY pre'!Q34</f>
        <v>30.25</v>
      </c>
      <c r="I318" s="2">
        <v>2750</v>
      </c>
      <c r="J318" s="27">
        <v>59</v>
      </c>
      <c r="K318" s="27">
        <f>'KY pre'!T34</f>
        <v>2750</v>
      </c>
      <c r="L318" s="27">
        <v>1905</v>
      </c>
      <c r="M318" s="27" t="s">
        <v>468</v>
      </c>
      <c r="N318" s="27" t="s">
        <v>499</v>
      </c>
      <c r="O318" s="27" t="str">
        <f>'KY pre'!X34</f>
        <v>https://archive.org/download/SOPIK1905/1905.pdf#page=330</v>
      </c>
      <c r="P318" s="27" t="s">
        <v>501</v>
      </c>
      <c r="Q318" s="27" t="str">
        <f t="shared" si="29"/>
        <v>https://archive.org/download/SOPIK1905/1905.pdf#page=382</v>
      </c>
      <c r="R318" s="27" t="s">
        <v>504</v>
      </c>
      <c r="S318" s="27" t="s">
        <v>503</v>
      </c>
      <c r="T318" s="27" t="str">
        <f t="shared" si="30"/>
        <v>https://archive.org/download/SOPIK1905/1905.pdf#page=340</v>
      </c>
      <c r="U318" s="27"/>
      <c r="V318" s="27"/>
      <c r="W318" s="27"/>
      <c r="X318" s="27"/>
      <c r="Y318" s="27"/>
      <c r="Z318" s="27"/>
      <c r="AA318" s="27"/>
    </row>
    <row r="319" spans="1:27" x14ac:dyDescent="0.25">
      <c r="A319" s="27" t="s">
        <v>915</v>
      </c>
      <c r="B319" s="27" t="str">
        <f t="shared" si="24"/>
        <v>Kentucky</v>
      </c>
      <c r="C319" s="27" t="str">
        <f t="shared" si="25"/>
        <v>Fayette</v>
      </c>
      <c r="D319" s="27">
        <v>1504</v>
      </c>
      <c r="E319" s="2">
        <v>75</v>
      </c>
      <c r="F319" s="27">
        <f>'KY pre'!M35</f>
        <v>140.79440808612509</v>
      </c>
      <c r="G319" s="25">
        <v>2373</v>
      </c>
      <c r="H319" s="28">
        <f>'KY pre'!Q35</f>
        <v>42.75</v>
      </c>
      <c r="I319" s="2">
        <v>37000</v>
      </c>
      <c r="J319" s="27">
        <v>38</v>
      </c>
      <c r="K319" s="27">
        <f>'KY pre'!T35</f>
        <v>37000</v>
      </c>
      <c r="L319" s="27">
        <v>1905</v>
      </c>
      <c r="M319" s="27" t="s">
        <v>468</v>
      </c>
      <c r="N319" s="27" t="s">
        <v>499</v>
      </c>
      <c r="O319" s="27" t="str">
        <f>'KY pre'!X35</f>
        <v>https://archive.org/download/SOPIK1905/1905.pdf#page=330</v>
      </c>
      <c r="P319" s="27" t="s">
        <v>501</v>
      </c>
      <c r="Q319" s="27" t="str">
        <f t="shared" si="29"/>
        <v>https://archive.org/download/SOPIK1905/1905.pdf#page=382</v>
      </c>
      <c r="R319" s="27" t="s">
        <v>504</v>
      </c>
      <c r="S319" s="27" t="s">
        <v>503</v>
      </c>
      <c r="T319" s="27" t="str">
        <f t="shared" si="30"/>
        <v>https://archive.org/download/SOPIK1905/1905.pdf#page=340</v>
      </c>
      <c r="U319" s="27"/>
      <c r="V319" s="27"/>
      <c r="W319" s="27"/>
      <c r="X319" s="27"/>
      <c r="Y319" s="27"/>
      <c r="Z319" s="27"/>
      <c r="AA319" s="27"/>
    </row>
    <row r="320" spans="1:27" x14ac:dyDescent="0.25">
      <c r="A320" s="27" t="s">
        <v>916</v>
      </c>
      <c r="B320" s="27" t="str">
        <f t="shared" si="24"/>
        <v>Kentucky</v>
      </c>
      <c r="C320" s="27" t="str">
        <f t="shared" si="25"/>
        <v>Fleming</v>
      </c>
      <c r="D320" s="27">
        <v>3140</v>
      </c>
      <c r="E320" s="2">
        <v>78</v>
      </c>
      <c r="F320" s="27">
        <f>'KY pre'!M36</f>
        <v>124.9968387776607</v>
      </c>
      <c r="G320" s="25">
        <v>4090</v>
      </c>
      <c r="H320" s="28">
        <f>'KY pre'!Q36</f>
        <v>32.373407643312099</v>
      </c>
      <c r="I320" s="2">
        <v>23025</v>
      </c>
      <c r="J320" s="27">
        <v>79</v>
      </c>
      <c r="K320" s="27">
        <f>'KY pre'!T36</f>
        <v>23025</v>
      </c>
      <c r="L320" s="27">
        <v>1905</v>
      </c>
      <c r="M320" s="27" t="s">
        <v>468</v>
      </c>
      <c r="N320" s="27" t="s">
        <v>499</v>
      </c>
      <c r="O320" s="27" t="str">
        <f>'KY pre'!X36</f>
        <v>https://archive.org/download/SOPIK1905/1905.pdf#page=330</v>
      </c>
      <c r="P320" s="27" t="s">
        <v>501</v>
      </c>
      <c r="Q320" s="27" t="str">
        <f t="shared" si="29"/>
        <v>https://archive.org/download/SOPIK1905/1905.pdf#page=382</v>
      </c>
      <c r="R320" s="27" t="s">
        <v>504</v>
      </c>
      <c r="S320" s="27" t="s">
        <v>503</v>
      </c>
      <c r="T320" s="27" t="str">
        <f t="shared" si="30"/>
        <v>https://archive.org/download/SOPIK1905/1905.pdf#page=340</v>
      </c>
      <c r="U320" s="27"/>
      <c r="V320" s="27"/>
      <c r="W320" s="27"/>
      <c r="X320" s="27"/>
      <c r="Y320" s="27"/>
      <c r="Z320" s="27"/>
      <c r="AA320" s="27"/>
    </row>
    <row r="321" spans="1:27" x14ac:dyDescent="0.25">
      <c r="A321" s="27" t="s">
        <v>917</v>
      </c>
      <c r="B321" s="27" t="str">
        <f t="shared" si="24"/>
        <v>Kentucky</v>
      </c>
      <c r="C321" s="27" t="str">
        <f t="shared" si="25"/>
        <v>Floyd</v>
      </c>
      <c r="D321" s="27">
        <v>3683</v>
      </c>
      <c r="E321" s="2">
        <v>137</v>
      </c>
      <c r="F321" s="27">
        <f>'KY pre'!M37</f>
        <v>120.36041753546471</v>
      </c>
      <c r="G321" s="25">
        <v>5721</v>
      </c>
      <c r="H321" s="28">
        <f>'KY pre'!Q37</f>
        <v>29.963073581319577</v>
      </c>
      <c r="I321" s="2">
        <v>29700</v>
      </c>
      <c r="J321" s="27">
        <v>62</v>
      </c>
      <c r="K321" s="27">
        <f>'KY pre'!T37</f>
        <v>29700</v>
      </c>
      <c r="L321" s="27">
        <v>1905</v>
      </c>
      <c r="M321" s="27" t="s">
        <v>468</v>
      </c>
      <c r="N321" s="27" t="s">
        <v>499</v>
      </c>
      <c r="O321" s="27" t="str">
        <f>'KY pre'!X37</f>
        <v>https://archive.org/download/SOPIK1905/1905.pdf#page=330</v>
      </c>
      <c r="P321" s="27" t="s">
        <v>501</v>
      </c>
      <c r="Q321" s="27" t="str">
        <f t="shared" si="29"/>
        <v>https://archive.org/download/SOPIK1905/1905.pdf#page=382</v>
      </c>
      <c r="R321" s="27" t="s">
        <v>504</v>
      </c>
      <c r="S321" s="27" t="s">
        <v>503</v>
      </c>
      <c r="T321" s="27" t="str">
        <f t="shared" si="30"/>
        <v>https://archive.org/download/SOPIK1905/1905.pdf#page=340</v>
      </c>
      <c r="U321" s="27"/>
      <c r="V321" s="27"/>
      <c r="W321" s="27"/>
      <c r="X321" s="27"/>
      <c r="Y321" s="27"/>
      <c r="Z321" s="27"/>
      <c r="AA321" s="27"/>
    </row>
    <row r="322" spans="1:27" x14ac:dyDescent="0.25">
      <c r="A322" s="27" t="s">
        <v>918</v>
      </c>
      <c r="B322" s="27" t="str">
        <f t="shared" si="24"/>
        <v>Kentucky</v>
      </c>
      <c r="C322" s="27" t="str">
        <f t="shared" si="25"/>
        <v>Franklin</v>
      </c>
      <c r="D322" s="27">
        <v>1612</v>
      </c>
      <c r="E322" s="2">
        <v>64</v>
      </c>
      <c r="F322" s="27">
        <f>'KY pre'!M38</f>
        <v>124.9968387776607</v>
      </c>
      <c r="G322" s="25">
        <v>2564</v>
      </c>
      <c r="H322" s="28">
        <f>'KY pre'!Q38</f>
        <v>32.740694789081886</v>
      </c>
      <c r="I322" s="2">
        <v>10720</v>
      </c>
      <c r="J322" s="27">
        <v>59</v>
      </c>
      <c r="K322" s="27">
        <f>'KY pre'!T38</f>
        <v>10720</v>
      </c>
      <c r="L322" s="27">
        <v>1905</v>
      </c>
      <c r="M322" s="27" t="s">
        <v>468</v>
      </c>
      <c r="N322" s="27" t="s">
        <v>499</v>
      </c>
      <c r="O322" s="27" t="str">
        <f>'KY pre'!X38</f>
        <v>https://archive.org/download/SOPIK1905/1905.pdf#page=330</v>
      </c>
      <c r="P322" s="27" t="s">
        <v>501</v>
      </c>
      <c r="Q322" s="27" t="str">
        <f t="shared" si="29"/>
        <v>https://archive.org/download/SOPIK1905/1905.pdf#page=382</v>
      </c>
      <c r="R322" s="27" t="s">
        <v>504</v>
      </c>
      <c r="S322" s="27" t="s">
        <v>503</v>
      </c>
      <c r="T322" s="27" t="str">
        <f t="shared" si="30"/>
        <v>https://archive.org/download/SOPIK1905/1905.pdf#page=340</v>
      </c>
      <c r="U322" s="27"/>
      <c r="V322" s="27"/>
      <c r="W322" s="27"/>
      <c r="X322" s="27"/>
      <c r="Y322" s="27"/>
      <c r="Z322" s="27"/>
      <c r="AA322" s="27"/>
    </row>
    <row r="323" spans="1:27" x14ac:dyDescent="0.25">
      <c r="A323" s="27" t="s">
        <v>919</v>
      </c>
      <c r="B323" s="27" t="str">
        <f t="shared" si="24"/>
        <v>Kentucky</v>
      </c>
      <c r="C323" s="27" t="str">
        <f t="shared" si="25"/>
        <v>Fulton</v>
      </c>
      <c r="D323" s="27">
        <v>1554</v>
      </c>
      <c r="E323" s="2">
        <v>56</v>
      </c>
      <c r="F323" s="27">
        <f>'KY pre'!M39</f>
        <v>135.64466725084668</v>
      </c>
      <c r="G323" s="25">
        <v>2736</v>
      </c>
      <c r="H323" s="28"/>
      <c r="I323" s="2">
        <v>44750</v>
      </c>
      <c r="J323" s="27">
        <v>36</v>
      </c>
      <c r="K323" s="27">
        <f>'KY pre'!T39</f>
        <v>44750</v>
      </c>
      <c r="L323" s="27">
        <v>1905</v>
      </c>
      <c r="M323" s="27" t="s">
        <v>468</v>
      </c>
      <c r="N323" s="27" t="s">
        <v>499</v>
      </c>
      <c r="O323" s="27" t="str">
        <f>'KY pre'!X39</f>
        <v>https://archive.org/download/SOPIK1905/1905.pdf#page=330</v>
      </c>
      <c r="P323" s="27" t="s">
        <v>501</v>
      </c>
      <c r="Q323" s="27" t="str">
        <f t="shared" si="29"/>
        <v>https://archive.org/download/SOPIK1905/1905.pdf#page=382</v>
      </c>
      <c r="R323" s="27" t="s">
        <v>504</v>
      </c>
      <c r="S323" s="27" t="s">
        <v>503</v>
      </c>
      <c r="T323" s="27" t="str">
        <f t="shared" si="30"/>
        <v>https://archive.org/download/SOPIK1905/1905.pdf#page=340</v>
      </c>
      <c r="U323" s="27"/>
      <c r="V323" s="27"/>
      <c r="W323" s="27"/>
      <c r="X323" s="27"/>
      <c r="Y323" s="27"/>
      <c r="Z323" s="27"/>
      <c r="AA323" s="27"/>
    </row>
    <row r="324" spans="1:27" x14ac:dyDescent="0.25">
      <c r="A324" s="27" t="s">
        <v>920</v>
      </c>
      <c r="B324" s="27" t="str">
        <f t="shared" si="24"/>
        <v>Kentucky</v>
      </c>
      <c r="C324" s="27" t="str">
        <f t="shared" si="25"/>
        <v>Gallatin</v>
      </c>
      <c r="D324" s="27">
        <v>540</v>
      </c>
      <c r="E324" s="2">
        <v>25</v>
      </c>
      <c r="F324" s="27">
        <f>'KY pre'!M40</f>
        <v>118.34020239305154</v>
      </c>
      <c r="G324" s="25">
        <v>990</v>
      </c>
      <c r="H324" s="28">
        <f>'KY pre'!Q40</f>
        <v>27.38840740740741</v>
      </c>
      <c r="I324" s="2">
        <v>12000</v>
      </c>
      <c r="J324" s="27">
        <v>27</v>
      </c>
      <c r="K324" s="27">
        <f>'KY pre'!T40</f>
        <v>12000</v>
      </c>
      <c r="L324" s="27">
        <v>1905</v>
      </c>
      <c r="M324" s="27" t="s">
        <v>468</v>
      </c>
      <c r="N324" s="27" t="s">
        <v>499</v>
      </c>
      <c r="O324" s="27" t="str">
        <f>'KY pre'!X40</f>
        <v>https://archive.org/download/SOPIK1905/1905.pdf#page=330</v>
      </c>
      <c r="P324" s="27" t="s">
        <v>501</v>
      </c>
      <c r="Q324" s="27" t="str">
        <f t="shared" si="29"/>
        <v>https://archive.org/download/SOPIK1905/1905.pdf#page=382</v>
      </c>
      <c r="R324" s="27" t="s">
        <v>504</v>
      </c>
      <c r="S324" s="27" t="s">
        <v>503</v>
      </c>
      <c r="T324" s="27" t="str">
        <f t="shared" si="30"/>
        <v>https://archive.org/download/SOPIK1905/1905.pdf#page=340</v>
      </c>
      <c r="U324" s="27"/>
      <c r="V324" s="27"/>
      <c r="W324" s="27"/>
      <c r="X324" s="27"/>
      <c r="Y324" s="27"/>
      <c r="Z324" s="27"/>
      <c r="AA324" s="27"/>
    </row>
    <row r="325" spans="1:27" x14ac:dyDescent="0.25">
      <c r="A325" s="27" t="s">
        <v>921</v>
      </c>
      <c r="B325" s="27" t="str">
        <f t="shared" si="24"/>
        <v>Kentucky</v>
      </c>
      <c r="C325" s="27" t="str">
        <f t="shared" si="25"/>
        <v>Garrard</v>
      </c>
      <c r="D325" s="27">
        <v>1787</v>
      </c>
      <c r="E325" s="2">
        <v>51</v>
      </c>
      <c r="F325" s="27">
        <f>'KY pre'!M41</f>
        <v>119.06544111956012</v>
      </c>
      <c r="G325" s="25">
        <v>2869</v>
      </c>
      <c r="H325" s="28">
        <f>'KY pre'!Q41</f>
        <v>40.01238388360381</v>
      </c>
      <c r="I325" s="2">
        <v>81800</v>
      </c>
      <c r="J325" s="27">
        <v>55</v>
      </c>
      <c r="K325" s="27">
        <f>'KY pre'!T41</f>
        <v>31800</v>
      </c>
      <c r="L325" s="27">
        <v>1905</v>
      </c>
      <c r="M325" s="27" t="s">
        <v>468</v>
      </c>
      <c r="N325" s="27" t="s">
        <v>499</v>
      </c>
      <c r="O325" s="27" t="str">
        <f>'KY pre'!X41</f>
        <v>https://archive.org/download/SOPIK1905/1905.pdf#page=330</v>
      </c>
      <c r="P325" s="27" t="s">
        <v>501</v>
      </c>
      <c r="Q325" s="27" t="str">
        <f t="shared" si="29"/>
        <v>https://archive.org/download/SOPIK1905/1905.pdf#page=382</v>
      </c>
      <c r="R325" s="27" t="s">
        <v>504</v>
      </c>
      <c r="S325" s="27" t="s">
        <v>503</v>
      </c>
      <c r="T325" s="27" t="str">
        <f t="shared" si="30"/>
        <v>https://archive.org/download/SOPIK1905/1905.pdf#page=340</v>
      </c>
      <c r="U325" s="27"/>
      <c r="V325" s="27"/>
      <c r="W325" s="27"/>
      <c r="X325" s="27"/>
      <c r="Y325" s="27"/>
      <c r="Z325" s="27"/>
      <c r="AA325" s="27"/>
    </row>
    <row r="326" spans="1:27" x14ac:dyDescent="0.25">
      <c r="A326" s="27" t="s">
        <v>922</v>
      </c>
      <c r="B326" s="27" t="str">
        <f t="shared" si="24"/>
        <v>Kentucky</v>
      </c>
      <c r="C326" s="27" t="str">
        <f t="shared" si="25"/>
        <v>Grant</v>
      </c>
      <c r="D326" s="27">
        <v>1841</v>
      </c>
      <c r="E326" s="2">
        <v>56</v>
      </c>
      <c r="F326" s="27">
        <f>'KY pre'!M42</f>
        <v>138.1646513221304</v>
      </c>
      <c r="G326" s="25">
        <v>3000</v>
      </c>
      <c r="H326" s="28">
        <f>'KY pre'!Q42</f>
        <v>32.906572514937537</v>
      </c>
      <c r="I326" s="2">
        <v>40000</v>
      </c>
      <c r="J326" s="27">
        <v>57</v>
      </c>
      <c r="K326" s="27">
        <f>'KY pre'!T42</f>
        <v>40000</v>
      </c>
      <c r="L326" s="27">
        <v>1905</v>
      </c>
      <c r="M326" s="27" t="s">
        <v>468</v>
      </c>
      <c r="N326" s="27" t="s">
        <v>499</v>
      </c>
      <c r="O326" s="27" t="str">
        <f>'KY pre'!X42</f>
        <v>https://archive.org/download/SOPIK1905/1905.pdf#page=330</v>
      </c>
      <c r="P326" s="27" t="s">
        <v>501</v>
      </c>
      <c r="Q326" s="27" t="str">
        <f t="shared" si="29"/>
        <v>https://archive.org/download/SOPIK1905/1905.pdf#page=382</v>
      </c>
      <c r="R326" s="27" t="s">
        <v>504</v>
      </c>
      <c r="S326" s="27" t="s">
        <v>503</v>
      </c>
      <c r="T326" s="27" t="str">
        <f t="shared" si="30"/>
        <v>https://archive.org/download/SOPIK1905/1905.pdf#page=340</v>
      </c>
      <c r="U326" s="27"/>
      <c r="V326" s="27"/>
      <c r="W326" s="27"/>
      <c r="X326" s="27"/>
      <c r="Y326" s="27"/>
      <c r="Z326" s="27"/>
      <c r="AA326" s="27"/>
    </row>
    <row r="327" spans="1:27" x14ac:dyDescent="0.25">
      <c r="A327" s="27" t="s">
        <v>923</v>
      </c>
      <c r="B327" s="27" t="str">
        <f t="shared" ref="B327:B390" si="31">LEFT(A327,FIND(";",A327)-1)</f>
        <v>Kentucky</v>
      </c>
      <c r="C327" s="27" t="str">
        <f t="shared" ref="C327:C390" si="32">MID(A327,FIND(";",A327)+1,100)</f>
        <v>Graves</v>
      </c>
      <c r="D327" s="27">
        <v>4616</v>
      </c>
      <c r="E327" s="2">
        <v>196</v>
      </c>
      <c r="F327" s="27">
        <f>'KY pre'!M43</f>
        <v>124.9968387776607</v>
      </c>
      <c r="G327" s="25">
        <v>8966</v>
      </c>
      <c r="H327" s="139" t="s">
        <v>383</v>
      </c>
      <c r="I327" s="2">
        <v>50418</v>
      </c>
      <c r="J327" s="27">
        <v>125</v>
      </c>
      <c r="K327" s="27">
        <f>'KY pre'!T43</f>
        <v>50418</v>
      </c>
      <c r="L327" s="27">
        <v>1905</v>
      </c>
      <c r="M327" s="27" t="s">
        <v>468</v>
      </c>
      <c r="N327" s="27" t="s">
        <v>499</v>
      </c>
      <c r="O327" s="27" t="str">
        <f>'KY pre'!X43</f>
        <v>https://archive.org/download/SOPIK1905/1905.pdf#page=330</v>
      </c>
      <c r="P327" s="27" t="s">
        <v>501</v>
      </c>
      <c r="Q327" s="27" t="str">
        <f t="shared" si="29"/>
        <v>https://archive.org/download/SOPIK1905/1905.pdf#page=382</v>
      </c>
      <c r="R327" s="27" t="s">
        <v>504</v>
      </c>
      <c r="S327" s="27" t="s">
        <v>503</v>
      </c>
      <c r="T327" s="27" t="str">
        <f t="shared" si="30"/>
        <v>https://archive.org/download/SOPIK1905/1905.pdf#page=340</v>
      </c>
      <c r="U327" s="27"/>
      <c r="V327" s="27"/>
      <c r="W327" s="27"/>
      <c r="X327" s="27"/>
      <c r="Y327" s="27"/>
      <c r="Z327" s="27"/>
      <c r="AA327" s="27"/>
    </row>
    <row r="328" spans="1:27" x14ac:dyDescent="0.25">
      <c r="A328" s="27" t="s">
        <v>924</v>
      </c>
      <c r="B328" s="27" t="str">
        <f t="shared" si="31"/>
        <v>Kentucky</v>
      </c>
      <c r="C328" s="27" t="str">
        <f t="shared" si="32"/>
        <v>Grayson</v>
      </c>
      <c r="D328" s="27">
        <v>3138</v>
      </c>
      <c r="E328" s="2">
        <v>110</v>
      </c>
      <c r="F328" s="27">
        <f>'KY pre'!M44</f>
        <v>124.9968387776607</v>
      </c>
      <c r="G328" s="25">
        <v>5581</v>
      </c>
      <c r="H328" s="28">
        <f>'KY pre'!Q44</f>
        <v>31.138814531548753</v>
      </c>
      <c r="I328" s="2">
        <v>35860</v>
      </c>
      <c r="J328" s="27">
        <v>100</v>
      </c>
      <c r="K328" s="27">
        <f>'KY pre'!T44</f>
        <v>35860</v>
      </c>
      <c r="L328" s="27">
        <v>1905</v>
      </c>
      <c r="M328" s="27" t="s">
        <v>468</v>
      </c>
      <c r="N328" s="27" t="s">
        <v>499</v>
      </c>
      <c r="O328" s="27" t="str">
        <f>'KY pre'!X44</f>
        <v>https://archive.org/download/SOPIK1905/1905.pdf#page=330</v>
      </c>
      <c r="P328" s="27" t="s">
        <v>501</v>
      </c>
      <c r="Q328" s="27" t="str">
        <f t="shared" si="29"/>
        <v>https://archive.org/download/SOPIK1905/1905.pdf#page=382</v>
      </c>
      <c r="R328" s="27" t="s">
        <v>504</v>
      </c>
      <c r="S328" s="27" t="s">
        <v>503</v>
      </c>
      <c r="T328" s="27" t="str">
        <f t="shared" si="30"/>
        <v>https://archive.org/download/SOPIK1905/1905.pdf#page=340</v>
      </c>
      <c r="U328" s="27"/>
      <c r="V328" s="27"/>
      <c r="W328" s="27"/>
      <c r="X328" s="27"/>
      <c r="Y328" s="27"/>
      <c r="Z328" s="27"/>
      <c r="AA328" s="27"/>
    </row>
    <row r="329" spans="1:27" x14ac:dyDescent="0.25">
      <c r="A329" s="27" t="s">
        <v>925</v>
      </c>
      <c r="B329" s="27" t="str">
        <f t="shared" si="31"/>
        <v>Kentucky</v>
      </c>
      <c r="C329" s="27" t="str">
        <f t="shared" si="32"/>
        <v>Green</v>
      </c>
      <c r="D329" s="27">
        <v>1657</v>
      </c>
      <c r="E329" s="2">
        <v>34</v>
      </c>
      <c r="F329" s="27">
        <f>'KY pre'!M45</f>
        <v>124.9968387776607</v>
      </c>
      <c r="G329" s="25">
        <v>3130</v>
      </c>
      <c r="H329" s="28">
        <f>'KY pre'!Q45</f>
        <v>36.135485817742911</v>
      </c>
      <c r="I329" s="2">
        <v>17675</v>
      </c>
      <c r="J329" s="27">
        <v>73</v>
      </c>
      <c r="K329" s="27">
        <f>'KY pre'!T45</f>
        <v>17675</v>
      </c>
      <c r="L329" s="27">
        <v>1905</v>
      </c>
      <c r="M329" s="27" t="s">
        <v>468</v>
      </c>
      <c r="N329" s="27" t="s">
        <v>499</v>
      </c>
      <c r="O329" s="27" t="str">
        <f>'KY pre'!X45</f>
        <v>https://archive.org/download/SOPIK1905/1905.pdf#page=330</v>
      </c>
      <c r="P329" s="27" t="s">
        <v>501</v>
      </c>
      <c r="Q329" s="27" t="str">
        <f t="shared" si="29"/>
        <v>https://archive.org/download/SOPIK1905/1905.pdf#page=382</v>
      </c>
      <c r="R329" s="27" t="s">
        <v>504</v>
      </c>
      <c r="S329" s="27" t="s">
        <v>503</v>
      </c>
      <c r="T329" s="27" t="str">
        <f t="shared" si="30"/>
        <v>https://archive.org/download/SOPIK1905/1905.pdf#page=340</v>
      </c>
      <c r="U329" s="27"/>
      <c r="V329" s="27"/>
      <c r="W329" s="27"/>
      <c r="X329" s="27"/>
      <c r="Y329" s="27"/>
      <c r="Z329" s="27"/>
      <c r="AA329" s="27"/>
    </row>
    <row r="330" spans="1:27" x14ac:dyDescent="0.25">
      <c r="A330" s="27" t="s">
        <v>926</v>
      </c>
      <c r="B330" s="27" t="str">
        <f t="shared" si="31"/>
        <v>Kentucky</v>
      </c>
      <c r="C330" s="27" t="str">
        <f t="shared" si="32"/>
        <v>Greenup</v>
      </c>
      <c r="D330" s="27">
        <v>2035</v>
      </c>
      <c r="E330" s="2">
        <v>85</v>
      </c>
      <c r="F330" s="27">
        <f>'KY pre'!M46</f>
        <v>140.79440808612509</v>
      </c>
      <c r="G330" s="25">
        <v>4218</v>
      </c>
      <c r="H330" s="28">
        <f>'KY pre'!Q46</f>
        <v>35.85832923832924</v>
      </c>
      <c r="I330" s="2">
        <v>22500</v>
      </c>
      <c r="J330" s="27">
        <v>73</v>
      </c>
      <c r="K330" s="27">
        <f>'KY pre'!T46</f>
        <v>22500</v>
      </c>
      <c r="L330" s="27">
        <v>1905</v>
      </c>
      <c r="M330" s="27" t="s">
        <v>468</v>
      </c>
      <c r="N330" s="27" t="s">
        <v>499</v>
      </c>
      <c r="O330" s="27" t="str">
        <f>'KY pre'!X46</f>
        <v>https://archive.org/download/SOPIK1905/1905.pdf#page=330</v>
      </c>
      <c r="P330" s="27" t="s">
        <v>501</v>
      </c>
      <c r="Q330" s="27" t="str">
        <f t="shared" si="29"/>
        <v>https://archive.org/download/SOPIK1905/1905.pdf#page=382</v>
      </c>
      <c r="R330" s="27" t="s">
        <v>504</v>
      </c>
      <c r="S330" s="27" t="s">
        <v>503</v>
      </c>
      <c r="T330" s="27" t="str">
        <f t="shared" si="30"/>
        <v>https://archive.org/download/SOPIK1905/1905.pdf#page=340</v>
      </c>
      <c r="U330" s="27"/>
      <c r="V330" s="27"/>
      <c r="W330" s="27"/>
      <c r="X330" s="27"/>
      <c r="Y330" s="27"/>
      <c r="Z330" s="27"/>
      <c r="AA330" s="27"/>
    </row>
    <row r="331" spans="1:27" x14ac:dyDescent="0.25">
      <c r="A331" s="27" t="s">
        <v>927</v>
      </c>
      <c r="B331" s="27" t="str">
        <f t="shared" si="31"/>
        <v>Kentucky</v>
      </c>
      <c r="C331" s="27" t="str">
        <f t="shared" si="32"/>
        <v>Hancock</v>
      </c>
      <c r="D331" s="27">
        <v>1211</v>
      </c>
      <c r="E331" s="2">
        <v>93</v>
      </c>
      <c r="F331" s="27">
        <f>'KY pre'!M47</f>
        <v>123.77565757801216</v>
      </c>
      <c r="G331" s="25">
        <v>2170</v>
      </c>
      <c r="H331" s="28">
        <f>'KY pre'!Q47</f>
        <v>32.725020644095785</v>
      </c>
      <c r="I331" s="2">
        <v>18600</v>
      </c>
      <c r="J331" s="27">
        <v>44</v>
      </c>
      <c r="K331" s="27">
        <f>'KY pre'!T47</f>
        <v>18600</v>
      </c>
      <c r="L331" s="27">
        <v>1905</v>
      </c>
      <c r="M331" s="27" t="s">
        <v>468</v>
      </c>
      <c r="N331" s="27" t="s">
        <v>499</v>
      </c>
      <c r="O331" s="27" t="str">
        <f>'KY pre'!X47</f>
        <v>https://archive.org/download/SOPIK1905/1905.pdf#page=330</v>
      </c>
      <c r="P331" s="27" t="s">
        <v>501</v>
      </c>
      <c r="Q331" s="27" t="str">
        <f t="shared" si="29"/>
        <v>https://archive.org/download/SOPIK1905/1905.pdf#page=382</v>
      </c>
      <c r="R331" s="27" t="s">
        <v>504</v>
      </c>
      <c r="S331" s="27" t="s">
        <v>503</v>
      </c>
      <c r="T331" s="27" t="str">
        <f t="shared" si="30"/>
        <v>https://archive.org/download/SOPIK1905/1905.pdf#page=340</v>
      </c>
      <c r="U331" s="27"/>
      <c r="V331" s="27"/>
      <c r="W331" s="27"/>
      <c r="X331" s="27"/>
      <c r="Y331" s="27"/>
      <c r="Z331" s="27"/>
      <c r="AA331" s="27"/>
    </row>
    <row r="332" spans="1:27" x14ac:dyDescent="0.25">
      <c r="A332" s="27" t="s">
        <v>928</v>
      </c>
      <c r="B332" s="27" t="str">
        <f t="shared" si="31"/>
        <v>Kentucky</v>
      </c>
      <c r="C332" s="27" t="str">
        <f t="shared" si="32"/>
        <v>Hardin</v>
      </c>
      <c r="D332" s="27">
        <v>3125</v>
      </c>
      <c r="E332" s="2">
        <v>117</v>
      </c>
      <c r="F332" s="27">
        <f>'KY pre'!M48</f>
        <v>115.6863606373483</v>
      </c>
      <c r="G332" s="25">
        <v>5096</v>
      </c>
      <c r="H332" s="28">
        <f>'KY pre'!Q48</f>
        <v>30.48048</v>
      </c>
      <c r="I332" s="2">
        <v>31240</v>
      </c>
      <c r="J332" s="27">
        <v>115</v>
      </c>
      <c r="K332" s="27">
        <f>'KY pre'!T48</f>
        <v>31240</v>
      </c>
      <c r="L332" s="27">
        <v>1905</v>
      </c>
      <c r="M332" s="27" t="s">
        <v>468</v>
      </c>
      <c r="N332" s="27" t="s">
        <v>499</v>
      </c>
      <c r="O332" s="27" t="str">
        <f>'KY pre'!X48</f>
        <v>https://archive.org/download/SOPIK1905/1905.pdf#page=330</v>
      </c>
      <c r="P332" s="27" t="s">
        <v>501</v>
      </c>
      <c r="Q332" s="27" t="str">
        <f t="shared" si="29"/>
        <v>https://archive.org/download/SOPIK1905/1905.pdf#page=382</v>
      </c>
      <c r="R332" s="27" t="s">
        <v>504</v>
      </c>
      <c r="S332" s="27" t="s">
        <v>503</v>
      </c>
      <c r="T332" s="27" t="str">
        <f t="shared" si="30"/>
        <v>https://archive.org/download/SOPIK1905/1905.pdf#page=340</v>
      </c>
      <c r="U332" s="27"/>
      <c r="V332" s="27"/>
      <c r="W332" s="27"/>
      <c r="X332" s="27"/>
      <c r="Y332" s="27"/>
      <c r="Z332" s="27"/>
      <c r="AA332" s="27"/>
    </row>
    <row r="333" spans="1:27" x14ac:dyDescent="0.25">
      <c r="A333" s="27" t="s">
        <v>929</v>
      </c>
      <c r="B333" s="27" t="str">
        <f t="shared" si="31"/>
        <v>Kentucky</v>
      </c>
      <c r="C333" s="27" t="str">
        <f t="shared" si="32"/>
        <v>Harlan</v>
      </c>
      <c r="D333" s="27" t="s">
        <v>383</v>
      </c>
      <c r="E333" s="2">
        <v>90</v>
      </c>
      <c r="F333" s="27">
        <f>'KY pre'!M49</f>
        <v>133.01251976431965</v>
      </c>
      <c r="G333" s="25">
        <v>2946</v>
      </c>
      <c r="H333" s="28"/>
      <c r="I333" s="2">
        <v>10000</v>
      </c>
      <c r="J333" s="27">
        <v>43</v>
      </c>
      <c r="K333" s="27">
        <f>'KY pre'!T49</f>
        <v>10000</v>
      </c>
      <c r="L333" s="27">
        <v>1905</v>
      </c>
      <c r="M333" s="27" t="s">
        <v>468</v>
      </c>
      <c r="N333" s="27" t="s">
        <v>499</v>
      </c>
      <c r="O333" s="27" t="str">
        <f>'KY pre'!X49</f>
        <v>https://archive.org/download/SOPIK1905/1905.pdf#page=330</v>
      </c>
      <c r="P333" s="27" t="s">
        <v>501</v>
      </c>
      <c r="Q333" s="27" t="str">
        <f t="shared" si="29"/>
        <v>https://archive.org/download/SOPIK1905/1905.pdf#page=382</v>
      </c>
      <c r="R333" s="27" t="s">
        <v>504</v>
      </c>
      <c r="S333" s="27" t="s">
        <v>503</v>
      </c>
      <c r="T333" s="27" t="str">
        <f t="shared" si="30"/>
        <v>https://archive.org/download/SOPIK1905/1905.pdf#page=340</v>
      </c>
      <c r="U333" s="27"/>
      <c r="V333" s="27"/>
      <c r="W333" s="27"/>
      <c r="X333" s="27"/>
      <c r="Y333" s="27"/>
      <c r="Z333" s="27"/>
      <c r="AA333" s="27"/>
    </row>
    <row r="334" spans="1:27" x14ac:dyDescent="0.25">
      <c r="A334" s="27" t="s">
        <v>930</v>
      </c>
      <c r="B334" s="27" t="str">
        <f t="shared" si="31"/>
        <v>Kentucky</v>
      </c>
      <c r="C334" s="27" t="str">
        <f t="shared" si="32"/>
        <v>Harrison</v>
      </c>
      <c r="D334" s="27">
        <v>2068</v>
      </c>
      <c r="E334" s="2">
        <v>82</v>
      </c>
      <c r="F334" s="27">
        <f>'KY pre'!M50</f>
        <v>121.23897071006469</v>
      </c>
      <c r="G334" s="25">
        <v>3831</v>
      </c>
      <c r="H334" s="28">
        <f>'KY pre'!Q50</f>
        <v>32.898936170212764</v>
      </c>
      <c r="I334" s="2">
        <v>26290</v>
      </c>
      <c r="J334" s="27">
        <v>75</v>
      </c>
      <c r="K334" s="27">
        <f>'KY pre'!T50</f>
        <v>26290</v>
      </c>
      <c r="L334" s="27">
        <v>1905</v>
      </c>
      <c r="M334" s="27" t="s">
        <v>468</v>
      </c>
      <c r="N334" s="27" t="s">
        <v>499</v>
      </c>
      <c r="O334" s="27" t="str">
        <f>'KY pre'!X50</f>
        <v>https://archive.org/download/SOPIK1905/1905.pdf#page=330</v>
      </c>
      <c r="P334" s="27" t="s">
        <v>501</v>
      </c>
      <c r="Q334" s="27" t="str">
        <f t="shared" si="29"/>
        <v>https://archive.org/download/SOPIK1905/1905.pdf#page=382</v>
      </c>
      <c r="R334" s="27" t="s">
        <v>504</v>
      </c>
      <c r="S334" s="27" t="s">
        <v>503</v>
      </c>
      <c r="T334" s="27" t="str">
        <f t="shared" si="30"/>
        <v>https://archive.org/download/SOPIK1905/1905.pdf#page=340</v>
      </c>
      <c r="U334" s="27"/>
      <c r="V334" s="27"/>
      <c r="W334" s="27"/>
      <c r="X334" s="27"/>
      <c r="Y334" s="27"/>
      <c r="Z334" s="27"/>
      <c r="AA334" s="27"/>
    </row>
    <row r="335" spans="1:27" x14ac:dyDescent="0.25">
      <c r="A335" s="27" t="s">
        <v>931</v>
      </c>
      <c r="B335" s="27" t="str">
        <f t="shared" si="31"/>
        <v>Kentucky</v>
      </c>
      <c r="C335" s="27" t="str">
        <f t="shared" si="32"/>
        <v>Hart</v>
      </c>
      <c r="D335" s="27">
        <v>3600</v>
      </c>
      <c r="E335" s="2">
        <v>108</v>
      </c>
      <c r="F335" s="27">
        <f>'KY pre'!M51</f>
        <v>118.21091325403009</v>
      </c>
      <c r="G335" s="25">
        <v>4824</v>
      </c>
      <c r="H335" s="28">
        <f>'KY pre'!Q51</f>
        <v>26.620972222222221</v>
      </c>
      <c r="I335" s="2">
        <v>25371</v>
      </c>
      <c r="J335" s="27">
        <v>102</v>
      </c>
      <c r="K335" s="27">
        <f>'KY pre'!T51</f>
        <v>25371</v>
      </c>
      <c r="L335" s="27">
        <v>1905</v>
      </c>
      <c r="M335" s="27" t="s">
        <v>468</v>
      </c>
      <c r="N335" s="27" t="s">
        <v>499</v>
      </c>
      <c r="O335" s="27" t="str">
        <f>'KY pre'!X51</f>
        <v>https://archive.org/download/SOPIK1905/1905.pdf#page=330</v>
      </c>
      <c r="P335" s="27" t="s">
        <v>501</v>
      </c>
      <c r="Q335" s="27" t="str">
        <f t="shared" si="29"/>
        <v>https://archive.org/download/SOPIK1905/1905.pdf#page=382</v>
      </c>
      <c r="R335" s="27" t="s">
        <v>504</v>
      </c>
      <c r="S335" s="27" t="s">
        <v>503</v>
      </c>
      <c r="T335" s="27" t="str">
        <f t="shared" si="30"/>
        <v>https://archive.org/download/SOPIK1905/1905.pdf#page=340</v>
      </c>
      <c r="U335" s="27"/>
      <c r="V335" s="27"/>
      <c r="W335" s="27"/>
      <c r="X335" s="27"/>
      <c r="Y335" s="27"/>
      <c r="Z335" s="27"/>
      <c r="AA335" s="27"/>
    </row>
    <row r="336" spans="1:27" x14ac:dyDescent="0.25">
      <c r="A336" s="27" t="s">
        <v>932</v>
      </c>
      <c r="B336" s="27" t="str">
        <f t="shared" si="31"/>
        <v>Kentucky</v>
      </c>
      <c r="C336" s="27" t="str">
        <f t="shared" si="32"/>
        <v>Henderson</v>
      </c>
      <c r="D336" s="27">
        <v>3800</v>
      </c>
      <c r="E336" s="2">
        <v>132</v>
      </c>
      <c r="F336" s="27">
        <f>'KY pre'!M52</f>
        <v>112.15914361614786</v>
      </c>
      <c r="G336" s="25">
        <v>4900</v>
      </c>
      <c r="H336" s="28">
        <f>'KY pre'!Q52</f>
        <v>33.157894736842103</v>
      </c>
      <c r="I336" s="2">
        <v>64000</v>
      </c>
      <c r="J336" s="27">
        <v>109</v>
      </c>
      <c r="K336" s="27">
        <f>'KY pre'!T52</f>
        <v>64000</v>
      </c>
      <c r="L336" s="27">
        <v>1905</v>
      </c>
      <c r="M336" s="27" t="s">
        <v>468</v>
      </c>
      <c r="N336" s="27" t="s">
        <v>499</v>
      </c>
      <c r="O336" s="27" t="str">
        <f>'KY pre'!X52</f>
        <v>https://archive.org/download/SOPIK1905/1905.pdf#page=330</v>
      </c>
      <c r="P336" s="27" t="s">
        <v>501</v>
      </c>
      <c r="Q336" s="27" t="str">
        <f t="shared" si="29"/>
        <v>https://archive.org/download/SOPIK1905/1905.pdf#page=382</v>
      </c>
      <c r="R336" s="27" t="s">
        <v>504</v>
      </c>
      <c r="S336" s="27" t="s">
        <v>503</v>
      </c>
      <c r="T336" s="27" t="str">
        <f t="shared" si="30"/>
        <v>https://archive.org/download/SOPIK1905/1905.pdf#page=340</v>
      </c>
      <c r="U336" s="27"/>
      <c r="V336" s="27"/>
      <c r="W336" s="27"/>
      <c r="X336" s="27"/>
      <c r="Y336" s="27"/>
      <c r="Z336" s="27"/>
      <c r="AA336" s="27"/>
    </row>
    <row r="337" spans="1:27" x14ac:dyDescent="0.25">
      <c r="A337" s="27" t="s">
        <v>933</v>
      </c>
      <c r="B337" s="27" t="str">
        <f t="shared" si="31"/>
        <v>Kentucky</v>
      </c>
      <c r="C337" s="27" t="str">
        <f t="shared" si="32"/>
        <v>Henry</v>
      </c>
      <c r="D337" s="27">
        <v>1910</v>
      </c>
      <c r="E337" s="2">
        <v>79</v>
      </c>
      <c r="F337" s="27">
        <f>'KY pre'!M53</f>
        <v>128.62340386202894</v>
      </c>
      <c r="G337" s="25">
        <v>3295</v>
      </c>
      <c r="H337" s="28">
        <f>'KY pre'!Q53</f>
        <v>36.492146596858639</v>
      </c>
      <c r="I337" s="2">
        <v>23425</v>
      </c>
      <c r="J337" s="27">
        <v>61</v>
      </c>
      <c r="K337" s="27">
        <f>'KY pre'!T53</f>
        <v>23425</v>
      </c>
      <c r="L337" s="27">
        <v>1905</v>
      </c>
      <c r="M337" s="27" t="s">
        <v>468</v>
      </c>
      <c r="N337" s="27" t="s">
        <v>499</v>
      </c>
      <c r="O337" s="27" t="str">
        <f>'KY pre'!X53</f>
        <v>https://archive.org/download/SOPIK1905/1905.pdf#page=330</v>
      </c>
      <c r="P337" s="27" t="s">
        <v>501</v>
      </c>
      <c r="Q337" s="27" t="str">
        <f t="shared" si="29"/>
        <v>https://archive.org/download/SOPIK1905/1905.pdf#page=382</v>
      </c>
      <c r="R337" s="27" t="s">
        <v>504</v>
      </c>
      <c r="S337" s="27" t="s">
        <v>503</v>
      </c>
      <c r="T337" s="27" t="str">
        <f t="shared" si="30"/>
        <v>https://archive.org/download/SOPIK1905/1905.pdf#page=340</v>
      </c>
      <c r="U337" s="27"/>
      <c r="V337" s="27"/>
      <c r="W337" s="27"/>
      <c r="X337" s="27"/>
      <c r="Y337" s="27"/>
      <c r="Z337" s="27"/>
      <c r="AA337" s="27"/>
    </row>
    <row r="338" spans="1:27" x14ac:dyDescent="0.25">
      <c r="A338" s="27" t="s">
        <v>934</v>
      </c>
      <c r="B338" s="27" t="str">
        <f t="shared" si="31"/>
        <v>Kentucky</v>
      </c>
      <c r="C338" s="27" t="str">
        <f t="shared" si="32"/>
        <v>Hickman</v>
      </c>
      <c r="D338" s="27">
        <v>1573</v>
      </c>
      <c r="E338" s="2">
        <v>62</v>
      </c>
      <c r="F338" s="27">
        <f>'KY pre'!M54</f>
        <v>118.07901618929016</v>
      </c>
      <c r="G338" s="25">
        <v>3110</v>
      </c>
      <c r="H338" s="28">
        <f>'KY pre'!Q54</f>
        <v>36.3691354100445</v>
      </c>
      <c r="I338" s="2">
        <v>35375</v>
      </c>
      <c r="J338" s="27">
        <v>54</v>
      </c>
      <c r="K338" s="27">
        <f>'KY pre'!T54</f>
        <v>35375</v>
      </c>
      <c r="L338" s="27">
        <v>1905</v>
      </c>
      <c r="M338" s="27" t="s">
        <v>468</v>
      </c>
      <c r="N338" s="27" t="s">
        <v>499</v>
      </c>
      <c r="O338" s="27" t="str">
        <f>'KY pre'!X54</f>
        <v>https://archive.org/download/SOPIK1905/1905.pdf#page=330</v>
      </c>
      <c r="P338" s="27" t="s">
        <v>501</v>
      </c>
      <c r="Q338" s="27" t="str">
        <f t="shared" si="29"/>
        <v>https://archive.org/download/SOPIK1905/1905.pdf#page=382</v>
      </c>
      <c r="R338" s="27" t="s">
        <v>504</v>
      </c>
      <c r="S338" s="27" t="s">
        <v>503</v>
      </c>
      <c r="T338" s="27" t="str">
        <f t="shared" si="30"/>
        <v>https://archive.org/download/SOPIK1905/1905.pdf#page=340</v>
      </c>
      <c r="U338" s="27"/>
      <c r="V338" s="27"/>
      <c r="W338" s="27"/>
      <c r="X338" s="27"/>
      <c r="Y338" s="27"/>
      <c r="Z338" s="27"/>
      <c r="AA338" s="27"/>
    </row>
    <row r="339" spans="1:27" x14ac:dyDescent="0.25">
      <c r="A339" s="27" t="s">
        <v>935</v>
      </c>
      <c r="B339" s="27" t="str">
        <f t="shared" si="31"/>
        <v>Kentucky</v>
      </c>
      <c r="C339" s="27" t="str">
        <f t="shared" si="32"/>
        <v>Hopkins</v>
      </c>
      <c r="D339" s="27">
        <v>3123</v>
      </c>
      <c r="E339" s="2">
        <v>225</v>
      </c>
      <c r="F339" s="27">
        <f>'KY pre'!M55</f>
        <v>130.25887168326545</v>
      </c>
      <c r="G339" s="25">
        <v>6969</v>
      </c>
      <c r="H339" s="28">
        <f>'KY pre'!Q55</f>
        <v>34.671786743515845</v>
      </c>
      <c r="I339" s="2">
        <v>30690</v>
      </c>
      <c r="J339" s="27">
        <v>112</v>
      </c>
      <c r="K339" s="27">
        <f>'KY pre'!T55</f>
        <v>30690</v>
      </c>
      <c r="L339" s="27">
        <v>1905</v>
      </c>
      <c r="M339" s="27" t="s">
        <v>468</v>
      </c>
      <c r="N339" s="27" t="s">
        <v>499</v>
      </c>
      <c r="O339" s="27" t="str">
        <f>'KY pre'!X55</f>
        <v>https://archive.org/download/SOPIK1905/1905.pdf#page=330</v>
      </c>
      <c r="P339" s="27" t="s">
        <v>501</v>
      </c>
      <c r="Q339" s="27" t="str">
        <f t="shared" si="29"/>
        <v>https://archive.org/download/SOPIK1905/1905.pdf#page=382</v>
      </c>
      <c r="R339" s="27" t="s">
        <v>504</v>
      </c>
      <c r="S339" s="27" t="s">
        <v>503</v>
      </c>
      <c r="T339" s="27" t="str">
        <f t="shared" si="30"/>
        <v>https://archive.org/download/SOPIK1905/1905.pdf#page=340</v>
      </c>
      <c r="U339" s="27"/>
      <c r="V339" s="27"/>
      <c r="W339" s="27"/>
      <c r="X339" s="27"/>
      <c r="Y339" s="27"/>
      <c r="Z339" s="27"/>
      <c r="AA339" s="27"/>
    </row>
    <row r="340" spans="1:27" x14ac:dyDescent="0.25">
      <c r="A340" s="27" t="s">
        <v>936</v>
      </c>
      <c r="B340" s="27" t="str">
        <f t="shared" si="31"/>
        <v>Kentucky</v>
      </c>
      <c r="C340" s="27" t="str">
        <f t="shared" si="32"/>
        <v>Jackson</v>
      </c>
      <c r="D340" s="27">
        <v>2562</v>
      </c>
      <c r="E340" s="2">
        <v>70</v>
      </c>
      <c r="F340" s="27">
        <f>'KY pre'!M56</f>
        <v>116.14173002383164</v>
      </c>
      <c r="G340" s="27">
        <v>2917</v>
      </c>
      <c r="H340" s="28">
        <f>'KY pre'!Q56</f>
        <v>33.020000000000003</v>
      </c>
      <c r="I340" s="2">
        <v>13000</v>
      </c>
      <c r="J340" s="27">
        <v>65</v>
      </c>
      <c r="K340" s="27">
        <f>'KY pre'!T56</f>
        <v>13000</v>
      </c>
      <c r="L340" s="27">
        <v>1905</v>
      </c>
      <c r="M340" s="27" t="s">
        <v>468</v>
      </c>
      <c r="N340" s="27" t="s">
        <v>499</v>
      </c>
      <c r="O340" s="27" t="str">
        <f>'KY pre'!X56</f>
        <v>https://archive.org/download/SOPIK1905/1905.pdf#page=330</v>
      </c>
      <c r="P340" s="27" t="s">
        <v>501</v>
      </c>
      <c r="Q340" s="27" t="str">
        <f t="shared" si="29"/>
        <v>https://archive.org/download/SOPIK1905/1905.pdf#page=382</v>
      </c>
      <c r="R340" s="27" t="s">
        <v>504</v>
      </c>
      <c r="S340" s="27" t="s">
        <v>503</v>
      </c>
      <c r="T340" s="27" t="str">
        <f t="shared" si="30"/>
        <v>https://archive.org/download/SOPIK1905/1905.pdf#page=340</v>
      </c>
      <c r="U340" s="27"/>
      <c r="V340" s="27"/>
      <c r="W340" s="27"/>
      <c r="X340" s="27"/>
      <c r="Y340" s="27"/>
      <c r="Z340" s="27"/>
      <c r="AA340" s="27"/>
    </row>
    <row r="341" spans="1:27" x14ac:dyDescent="0.25">
      <c r="A341" s="27" t="s">
        <v>937</v>
      </c>
      <c r="B341" s="27" t="str">
        <f t="shared" si="31"/>
        <v>Kentucky</v>
      </c>
      <c r="C341" s="27" t="str">
        <f t="shared" si="32"/>
        <v>Jefferson</v>
      </c>
      <c r="D341" s="27">
        <v>3131</v>
      </c>
      <c r="E341" s="2">
        <v>44</v>
      </c>
      <c r="F341" s="27">
        <f>'KY pre'!M57</f>
        <v>112.1875</v>
      </c>
      <c r="G341" s="25">
        <v>4347</v>
      </c>
      <c r="H341" s="28">
        <f>'KY pre'!Q57</f>
        <v>35.576755030341744</v>
      </c>
      <c r="I341" s="2">
        <v>61305</v>
      </c>
      <c r="J341" s="27">
        <v>91</v>
      </c>
      <c r="K341" s="27">
        <f>'KY pre'!T57</f>
        <v>61305</v>
      </c>
      <c r="L341" s="27">
        <v>1905</v>
      </c>
      <c r="M341" s="27" t="s">
        <v>468</v>
      </c>
      <c r="N341" s="27" t="s">
        <v>499</v>
      </c>
      <c r="O341" s="27" t="str">
        <f>'KY pre'!X57</f>
        <v>https://archive.org/download/SOPIK1905/1905.pdf#page=330</v>
      </c>
      <c r="P341" s="27" t="s">
        <v>501</v>
      </c>
      <c r="Q341" s="27" t="str">
        <f t="shared" si="29"/>
        <v>https://archive.org/download/SOPIK1905/1905.pdf#page=382</v>
      </c>
      <c r="R341" s="27" t="s">
        <v>504</v>
      </c>
      <c r="S341" s="27" t="s">
        <v>503</v>
      </c>
      <c r="T341" s="27" t="str">
        <f t="shared" si="30"/>
        <v>https://archive.org/download/SOPIK1905/1905.pdf#page=340</v>
      </c>
      <c r="U341" s="27"/>
      <c r="V341" s="27"/>
      <c r="W341" s="27"/>
      <c r="X341" s="27"/>
      <c r="Y341" s="27"/>
      <c r="Z341" s="27"/>
      <c r="AA341" s="27"/>
    </row>
    <row r="342" spans="1:27" x14ac:dyDescent="0.25">
      <c r="A342" s="27" t="s">
        <v>938</v>
      </c>
      <c r="B342" s="27" t="str">
        <f t="shared" si="31"/>
        <v>Kentucky</v>
      </c>
      <c r="C342" s="27" t="str">
        <f t="shared" si="32"/>
        <v>Jessamine</v>
      </c>
      <c r="D342" s="27">
        <v>978</v>
      </c>
      <c r="E342" s="2">
        <v>62</v>
      </c>
      <c r="F342" s="27">
        <f>'KY pre'!M58</f>
        <v>136.94389424052176</v>
      </c>
      <c r="G342" s="25">
        <v>1751</v>
      </c>
      <c r="H342" s="28">
        <f>'KY pre'!Q58</f>
        <v>34.538343558282207</v>
      </c>
      <c r="I342" s="2">
        <v>18000</v>
      </c>
      <c r="J342" s="27">
        <v>38</v>
      </c>
      <c r="K342" s="27">
        <f>'KY pre'!T58</f>
        <v>18000</v>
      </c>
      <c r="L342" s="27">
        <v>1905</v>
      </c>
      <c r="M342" s="27" t="s">
        <v>468</v>
      </c>
      <c r="N342" s="27" t="s">
        <v>499</v>
      </c>
      <c r="O342" s="27" t="str">
        <f>'KY pre'!X58</f>
        <v>https://archive.org/download/SOPIK1905/1905.pdf#page=330</v>
      </c>
      <c r="P342" s="27" t="s">
        <v>501</v>
      </c>
      <c r="Q342" s="27" t="str">
        <f t="shared" si="29"/>
        <v>https://archive.org/download/SOPIK1905/1905.pdf#page=382</v>
      </c>
      <c r="R342" s="27" t="s">
        <v>504</v>
      </c>
      <c r="S342" s="27" t="s">
        <v>503</v>
      </c>
      <c r="T342" s="27" t="str">
        <f t="shared" si="30"/>
        <v>https://archive.org/download/SOPIK1905/1905.pdf#page=340</v>
      </c>
      <c r="U342" s="27"/>
      <c r="V342" s="27"/>
      <c r="W342" s="27"/>
      <c r="X342" s="27"/>
      <c r="Y342" s="27"/>
      <c r="Z342" s="27"/>
      <c r="AA342" s="27"/>
    </row>
    <row r="343" spans="1:27" x14ac:dyDescent="0.25">
      <c r="A343" s="27" t="s">
        <v>939</v>
      </c>
      <c r="B343" s="27" t="str">
        <f t="shared" si="31"/>
        <v>Kentucky</v>
      </c>
      <c r="C343" s="27" t="str">
        <f t="shared" si="32"/>
        <v>Johnson</v>
      </c>
      <c r="D343" s="27">
        <v>2275</v>
      </c>
      <c r="E343" s="2">
        <v>95</v>
      </c>
      <c r="F343" s="27">
        <f>'KY pre'!M59</f>
        <v>126.21845815822886</v>
      </c>
      <c r="G343" s="27">
        <v>4950</v>
      </c>
      <c r="H343" s="28">
        <f>'KY pre'!Q59</f>
        <v>37</v>
      </c>
      <c r="I343" s="2">
        <v>30000</v>
      </c>
      <c r="J343" s="27">
        <v>76</v>
      </c>
      <c r="K343" s="27">
        <f>'KY pre'!T59</f>
        <v>30000</v>
      </c>
      <c r="L343" s="27">
        <v>1905</v>
      </c>
      <c r="M343" s="27" t="s">
        <v>468</v>
      </c>
      <c r="N343" s="27" t="s">
        <v>499</v>
      </c>
      <c r="O343" s="27" t="str">
        <f>'KY pre'!X59</f>
        <v>https://archive.org/download/SOPIK1905/1905.pdf#page=330</v>
      </c>
      <c r="P343" s="27" t="s">
        <v>501</v>
      </c>
      <c r="Q343" s="27" t="str">
        <f t="shared" si="29"/>
        <v>https://archive.org/download/SOPIK1905/1905.pdf#page=382</v>
      </c>
      <c r="R343" s="27" t="s">
        <v>504</v>
      </c>
      <c r="S343" s="27" t="s">
        <v>503</v>
      </c>
      <c r="T343" s="27" t="str">
        <f t="shared" si="30"/>
        <v>https://archive.org/download/SOPIK1905/1905.pdf#page=340</v>
      </c>
      <c r="U343" s="27"/>
      <c r="V343" s="27"/>
      <c r="W343" s="27"/>
      <c r="X343" s="27"/>
      <c r="Y343" s="27"/>
      <c r="Z343" s="27"/>
      <c r="AA343" s="27"/>
    </row>
    <row r="344" spans="1:27" x14ac:dyDescent="0.25">
      <c r="A344" s="27" t="s">
        <v>940</v>
      </c>
      <c r="B344" s="27" t="str">
        <f t="shared" si="31"/>
        <v>Kentucky</v>
      </c>
      <c r="C344" s="27" t="str">
        <f t="shared" si="32"/>
        <v>Kenton</v>
      </c>
      <c r="D344" s="27">
        <v>1911</v>
      </c>
      <c r="E344" s="2">
        <v>65</v>
      </c>
      <c r="F344" s="27">
        <f>'KY pre'!M60</f>
        <v>111.86845020671127</v>
      </c>
      <c r="G344" s="25">
        <v>2816</v>
      </c>
      <c r="H344" s="28">
        <f>'KY pre'!Q60</f>
        <v>43.896326530612249</v>
      </c>
      <c r="I344" s="2">
        <v>86480</v>
      </c>
      <c r="J344" s="27">
        <v>49</v>
      </c>
      <c r="K344" s="27">
        <f>'KY pre'!T60</f>
        <v>36480</v>
      </c>
      <c r="L344" s="27">
        <v>1905</v>
      </c>
      <c r="M344" s="27" t="s">
        <v>468</v>
      </c>
      <c r="N344" s="27" t="s">
        <v>499</v>
      </c>
      <c r="O344" s="27" t="str">
        <f>'KY pre'!X60</f>
        <v>https://archive.org/download/SOPIK1905/1905.pdf#page=330</v>
      </c>
      <c r="P344" s="27" t="s">
        <v>501</v>
      </c>
      <c r="Q344" s="27" t="str">
        <f t="shared" si="29"/>
        <v>https://archive.org/download/SOPIK1905/1905.pdf#page=382</v>
      </c>
      <c r="R344" s="27" t="s">
        <v>504</v>
      </c>
      <c r="S344" s="27" t="s">
        <v>503</v>
      </c>
      <c r="T344" s="27" t="str">
        <f t="shared" si="30"/>
        <v>https://archive.org/download/SOPIK1905/1905.pdf#page=340</v>
      </c>
      <c r="U344" s="27"/>
      <c r="V344" s="27"/>
      <c r="W344" s="27"/>
      <c r="X344" s="27"/>
      <c r="Y344" s="27"/>
      <c r="Z344" s="27"/>
      <c r="AA344" s="27"/>
    </row>
    <row r="345" spans="1:27" x14ac:dyDescent="0.25">
      <c r="A345" s="27" t="s">
        <v>941</v>
      </c>
      <c r="B345" s="27" t="str">
        <f t="shared" si="31"/>
        <v>Kentucky</v>
      </c>
      <c r="C345" s="27" t="str">
        <f t="shared" si="32"/>
        <v>Knott</v>
      </c>
      <c r="D345" s="27">
        <v>1144</v>
      </c>
      <c r="E345" s="2">
        <v>41</v>
      </c>
      <c r="F345" s="27">
        <f>'KY pre'!M61</f>
        <v>124.9968387776607</v>
      </c>
      <c r="G345" s="25">
        <v>2714</v>
      </c>
      <c r="H345" s="28">
        <f>'KY pre'!Q61</f>
        <v>33.140559440559443</v>
      </c>
      <c r="I345" s="2">
        <v>13035</v>
      </c>
      <c r="J345" s="27">
        <v>52</v>
      </c>
      <c r="K345" s="27">
        <f>'KY pre'!T61</f>
        <v>13035</v>
      </c>
      <c r="L345" s="27">
        <v>1905</v>
      </c>
      <c r="M345" s="27" t="s">
        <v>468</v>
      </c>
      <c r="N345" s="27" t="s">
        <v>499</v>
      </c>
      <c r="O345" s="27" t="str">
        <f>'KY pre'!X61</f>
        <v>https://archive.org/download/SOPIK1905/1905.pdf#page=330</v>
      </c>
      <c r="P345" s="27" t="s">
        <v>505</v>
      </c>
      <c r="Q345" s="27" t="str">
        <f t="shared" si="29"/>
        <v>https://archive.org/download/SOPIK1905/1905.pdf#page=382</v>
      </c>
      <c r="R345" s="27" t="s">
        <v>504</v>
      </c>
      <c r="S345" s="27" t="s">
        <v>503</v>
      </c>
      <c r="T345" s="27" t="str">
        <f t="shared" si="30"/>
        <v>https://archive.org/download/SOPIK1905/1905.pdf#page=340</v>
      </c>
      <c r="U345" s="27"/>
      <c r="V345" s="27"/>
      <c r="W345" s="27"/>
      <c r="X345" s="27"/>
      <c r="Y345" s="27"/>
      <c r="Z345" s="27"/>
      <c r="AA345" s="27"/>
    </row>
    <row r="346" spans="1:27" x14ac:dyDescent="0.25">
      <c r="A346" s="27" t="s">
        <v>942</v>
      </c>
      <c r="B346" s="27" t="str">
        <f t="shared" si="31"/>
        <v>Kentucky</v>
      </c>
      <c r="C346" s="27" t="str">
        <f t="shared" si="32"/>
        <v>Knox</v>
      </c>
      <c r="D346" s="27">
        <v>3780</v>
      </c>
      <c r="E346" s="2">
        <v>113</v>
      </c>
      <c r="F346" s="27">
        <f>'KY pre'!M62</f>
        <v>124.9968387776607</v>
      </c>
      <c r="G346" s="25">
        <v>6260</v>
      </c>
      <c r="H346" s="28">
        <f>'KY pre'!Q62</f>
        <v>39.814814814814817</v>
      </c>
      <c r="I346" s="2">
        <v>20400</v>
      </c>
      <c r="J346" s="27">
        <v>88</v>
      </c>
      <c r="K346" s="27">
        <f>'KY pre'!T62</f>
        <v>20100</v>
      </c>
      <c r="L346" s="27">
        <v>1905</v>
      </c>
      <c r="M346" s="27" t="s">
        <v>468</v>
      </c>
      <c r="N346" s="27" t="s">
        <v>499</v>
      </c>
      <c r="O346" s="27" t="str">
        <f>'KY pre'!X62</f>
        <v>https://archive.org/download/SOPIK1905/1905.pdf#page=330</v>
      </c>
      <c r="P346" s="27" t="s">
        <v>505</v>
      </c>
      <c r="Q346" s="27" t="str">
        <f t="shared" si="29"/>
        <v>https://archive.org/download/SOPIK1905/1905.pdf#page=382</v>
      </c>
      <c r="R346" s="27" t="s">
        <v>504</v>
      </c>
      <c r="S346" s="27" t="s">
        <v>503</v>
      </c>
      <c r="T346" s="27" t="str">
        <f t="shared" si="30"/>
        <v>https://archive.org/download/SOPIK1905/1905.pdf#page=340</v>
      </c>
      <c r="U346" s="27"/>
      <c r="V346" s="27"/>
      <c r="W346" s="27"/>
      <c r="X346" s="27"/>
      <c r="Y346" s="27"/>
      <c r="Z346" s="27"/>
      <c r="AA346" s="27"/>
    </row>
    <row r="347" spans="1:27" x14ac:dyDescent="0.25">
      <c r="A347" s="27" t="s">
        <v>943</v>
      </c>
      <c r="B347" s="27" t="str">
        <f t="shared" si="31"/>
        <v>Kentucky</v>
      </c>
      <c r="C347" s="27" t="str">
        <f t="shared" si="32"/>
        <v>Larue</v>
      </c>
      <c r="D347" s="27">
        <v>1704</v>
      </c>
      <c r="E347" s="2">
        <v>81</v>
      </c>
      <c r="F347" s="27">
        <f>'KY pre'!M63</f>
        <v>122.83992719735912</v>
      </c>
      <c r="G347" s="25">
        <v>2575</v>
      </c>
      <c r="H347" s="28">
        <f>'KY pre'!Q63</f>
        <v>32.451643192488262</v>
      </c>
      <c r="I347" s="2">
        <v>16450</v>
      </c>
      <c r="J347" s="27">
        <v>58</v>
      </c>
      <c r="K347" s="27">
        <f>'KY pre'!T63</f>
        <v>16450</v>
      </c>
      <c r="L347" s="27">
        <v>1905</v>
      </c>
      <c r="M347" s="27" t="s">
        <v>468</v>
      </c>
      <c r="N347" s="27" t="s">
        <v>499</v>
      </c>
      <c r="O347" s="27" t="str">
        <f>'KY pre'!X63</f>
        <v>https://archive.org/download/SOPIK1905/1905.pdf#page=330</v>
      </c>
      <c r="P347" s="27" t="s">
        <v>505</v>
      </c>
      <c r="Q347" s="27" t="str">
        <f t="shared" si="29"/>
        <v>https://archive.org/download/SOPIK1905/1905.pdf#page=382</v>
      </c>
      <c r="R347" s="27" t="s">
        <v>504</v>
      </c>
      <c r="S347" s="27" t="s">
        <v>503</v>
      </c>
      <c r="T347" s="27" t="str">
        <f t="shared" si="30"/>
        <v>https://archive.org/download/SOPIK1905/1905.pdf#page=340</v>
      </c>
      <c r="U347" s="27"/>
      <c r="V347" s="27"/>
      <c r="W347" s="27"/>
      <c r="X347" s="27"/>
      <c r="Y347" s="27"/>
      <c r="Z347" s="27"/>
      <c r="AA347" s="27"/>
    </row>
    <row r="348" spans="1:27" x14ac:dyDescent="0.25">
      <c r="A348" s="27" t="s">
        <v>944</v>
      </c>
      <c r="B348" s="27" t="str">
        <f t="shared" si="31"/>
        <v>Kentucky</v>
      </c>
      <c r="C348" s="27" t="str">
        <f t="shared" si="32"/>
        <v>Laurel</v>
      </c>
      <c r="D348" s="27">
        <v>2818</v>
      </c>
      <c r="E348" s="2">
        <v>152</v>
      </c>
      <c r="F348" s="27">
        <f>'KY pre'!M64</f>
        <v>117.52361224753864</v>
      </c>
      <c r="G348" s="25">
        <v>5356</v>
      </c>
      <c r="H348" s="28">
        <f>'KY pre'!Q64</f>
        <v>33.252540809084458</v>
      </c>
      <c r="I348" s="2">
        <v>17500</v>
      </c>
      <c r="J348" s="27">
        <v>96</v>
      </c>
      <c r="K348" s="27">
        <f>'KY pre'!T64</f>
        <v>17900</v>
      </c>
      <c r="L348" s="27">
        <v>1905</v>
      </c>
      <c r="M348" s="27" t="s">
        <v>468</v>
      </c>
      <c r="N348" s="27" t="s">
        <v>499</v>
      </c>
      <c r="O348" s="27" t="str">
        <f>'KY pre'!X64</f>
        <v>https://archive.org/download/SOPIK1905/1905.pdf#page=330</v>
      </c>
      <c r="P348" s="27" t="s">
        <v>505</v>
      </c>
      <c r="Q348" s="27" t="str">
        <f t="shared" si="29"/>
        <v>https://archive.org/download/SOPIK1905/1905.pdf#page=382</v>
      </c>
      <c r="R348" s="27" t="s">
        <v>504</v>
      </c>
      <c r="S348" s="27" t="s">
        <v>503</v>
      </c>
      <c r="T348" s="27" t="str">
        <f t="shared" si="30"/>
        <v>https://archive.org/download/SOPIK1905/1905.pdf#page=340</v>
      </c>
      <c r="U348" s="27"/>
      <c r="V348" s="27"/>
      <c r="W348" s="27"/>
      <c r="X348" s="27"/>
      <c r="Y348" s="27"/>
      <c r="Z348" s="27"/>
      <c r="AA348" s="27"/>
    </row>
    <row r="349" spans="1:27" x14ac:dyDescent="0.25">
      <c r="A349" s="27" t="s">
        <v>945</v>
      </c>
      <c r="B349" s="27" t="str">
        <f t="shared" si="31"/>
        <v>Kentucky</v>
      </c>
      <c r="C349" s="27" t="str">
        <f t="shared" si="32"/>
        <v>Lawrence</v>
      </c>
      <c r="D349" s="27" t="s">
        <v>383</v>
      </c>
      <c r="E349" s="2">
        <v>98</v>
      </c>
      <c r="F349" s="27">
        <f>'KY pre'!M65</f>
        <v>124.9968387776607</v>
      </c>
      <c r="G349" s="25">
        <v>6031</v>
      </c>
      <c r="H349" s="28"/>
      <c r="I349" s="2">
        <v>24600</v>
      </c>
      <c r="J349" s="27">
        <v>92</v>
      </c>
      <c r="K349" s="27">
        <f>'KY pre'!T65</f>
        <v>24600</v>
      </c>
      <c r="L349" s="27">
        <v>1905</v>
      </c>
      <c r="M349" s="27" t="s">
        <v>468</v>
      </c>
      <c r="N349" s="27" t="s">
        <v>499</v>
      </c>
      <c r="O349" s="27" t="str">
        <f>'KY pre'!X65</f>
        <v>https://archive.org/download/SOPIK1905/1905.pdf#page=330</v>
      </c>
      <c r="P349" s="27" t="s">
        <v>505</v>
      </c>
      <c r="Q349" s="27" t="str">
        <f t="shared" si="29"/>
        <v>https://archive.org/download/SOPIK1905/1905.pdf#page=382</v>
      </c>
      <c r="R349" s="27" t="s">
        <v>504</v>
      </c>
      <c r="S349" s="27" t="s">
        <v>503</v>
      </c>
      <c r="T349" s="27" t="str">
        <f t="shared" si="30"/>
        <v>https://archive.org/download/SOPIK1905/1905.pdf#page=340</v>
      </c>
      <c r="U349" s="27"/>
      <c r="V349" s="27"/>
      <c r="W349" s="27"/>
      <c r="X349" s="27"/>
      <c r="Y349" s="27"/>
      <c r="Z349" s="27"/>
      <c r="AA349" s="27"/>
    </row>
    <row r="350" spans="1:27" x14ac:dyDescent="0.25">
      <c r="A350" s="27" t="s">
        <v>946</v>
      </c>
      <c r="B350" s="27" t="str">
        <f t="shared" si="31"/>
        <v>Kentucky</v>
      </c>
      <c r="C350" s="27" t="str">
        <f t="shared" si="32"/>
        <v>Lee</v>
      </c>
      <c r="D350" s="27" t="s">
        <v>383</v>
      </c>
      <c r="E350" s="2">
        <v>59</v>
      </c>
      <c r="F350" s="27">
        <f>'KY pre'!M66</f>
        <v>139.67300904601606</v>
      </c>
      <c r="G350" s="25">
        <v>2707</v>
      </c>
      <c r="H350" s="28"/>
      <c r="I350" s="2">
        <v>18060</v>
      </c>
      <c r="J350" s="27">
        <v>43</v>
      </c>
      <c r="K350" s="27">
        <f>'KY pre'!T66</f>
        <v>18060</v>
      </c>
      <c r="L350" s="27">
        <v>1905</v>
      </c>
      <c r="M350" s="27" t="s">
        <v>468</v>
      </c>
      <c r="N350" s="27" t="s">
        <v>499</v>
      </c>
      <c r="O350" s="27" t="str">
        <f>'KY pre'!X66</f>
        <v>https://archive.org/download/SOPIK1905/1905.pdf#page=330</v>
      </c>
      <c r="P350" s="27" t="s">
        <v>505</v>
      </c>
      <c r="Q350" s="27" t="str">
        <f t="shared" si="29"/>
        <v>https://archive.org/download/SOPIK1905/1905.pdf#page=382</v>
      </c>
      <c r="R350" s="27" t="s">
        <v>504</v>
      </c>
      <c r="S350" s="27" t="s">
        <v>503</v>
      </c>
      <c r="T350" s="27" t="str">
        <f t="shared" si="30"/>
        <v>https://archive.org/download/SOPIK1905/1905.pdf#page=340</v>
      </c>
      <c r="U350" s="27"/>
      <c r="V350" s="27"/>
      <c r="W350" s="27"/>
      <c r="X350" s="27"/>
      <c r="Y350" s="27"/>
      <c r="Z350" s="27"/>
      <c r="AA350" s="27"/>
    </row>
    <row r="351" spans="1:27" x14ac:dyDescent="0.25">
      <c r="A351" s="27" t="s">
        <v>947</v>
      </c>
      <c r="B351" s="27" t="str">
        <f t="shared" si="31"/>
        <v>Kentucky</v>
      </c>
      <c r="C351" s="27" t="str">
        <f t="shared" si="32"/>
        <v>Leslie</v>
      </c>
      <c r="D351" s="27" t="s">
        <v>383</v>
      </c>
      <c r="E351" s="2">
        <v>35</v>
      </c>
      <c r="F351" s="27">
        <f>'KY pre'!M67</f>
        <v>124.9968387776607</v>
      </c>
      <c r="G351" s="27"/>
      <c r="H351" s="28"/>
      <c r="I351" s="2">
        <v>5000</v>
      </c>
      <c r="J351" s="27">
        <v>45</v>
      </c>
      <c r="K351" s="27">
        <f>'KY pre'!T67</f>
        <v>5000</v>
      </c>
      <c r="L351" s="27">
        <v>1905</v>
      </c>
      <c r="M351" s="27" t="s">
        <v>468</v>
      </c>
      <c r="N351" s="27" t="s">
        <v>499</v>
      </c>
      <c r="O351" s="27" t="str">
        <f>'KY pre'!X67</f>
        <v>https://archive.org/download/SOPIK1905/1905.pdf#page=330</v>
      </c>
      <c r="P351" s="27" t="s">
        <v>505</v>
      </c>
      <c r="Q351" s="27" t="str">
        <f t="shared" si="29"/>
        <v>https://archive.org/download/SOPIK1905/1905.pdf#page=382</v>
      </c>
      <c r="R351" s="27" t="s">
        <v>504</v>
      </c>
      <c r="S351" s="27" t="s">
        <v>503</v>
      </c>
      <c r="T351" s="27" t="str">
        <f t="shared" si="30"/>
        <v>https://archive.org/download/SOPIK1905/1905.pdf#page=340</v>
      </c>
      <c r="U351" s="27"/>
      <c r="V351" s="27"/>
      <c r="W351" s="27"/>
      <c r="X351" s="27"/>
      <c r="Y351" s="27"/>
      <c r="Z351" s="27"/>
      <c r="AA351" s="27"/>
    </row>
    <row r="352" spans="1:27" x14ac:dyDescent="0.25">
      <c r="A352" s="27" t="s">
        <v>948</v>
      </c>
      <c r="B352" s="27" t="str">
        <f t="shared" si="31"/>
        <v>Kentucky</v>
      </c>
      <c r="C352" s="27" t="str">
        <f t="shared" si="32"/>
        <v>Letcher</v>
      </c>
      <c r="D352" s="27">
        <v>1474</v>
      </c>
      <c r="E352" s="2">
        <v>71</v>
      </c>
      <c r="F352" s="27">
        <f>'KY pre'!M68</f>
        <v>124.9968387776607</v>
      </c>
      <c r="G352" s="27">
        <v>3274</v>
      </c>
      <c r="H352" s="28">
        <f>'KY pre'!Q68</f>
        <v>30</v>
      </c>
      <c r="I352" s="2">
        <v>13600</v>
      </c>
      <c r="J352" s="27">
        <v>61</v>
      </c>
      <c r="K352" s="27">
        <f>'KY pre'!T68</f>
        <v>13600</v>
      </c>
      <c r="L352" s="27">
        <v>1905</v>
      </c>
      <c r="M352" s="27" t="s">
        <v>468</v>
      </c>
      <c r="N352" s="27" t="s">
        <v>499</v>
      </c>
      <c r="O352" s="27" t="str">
        <f>'KY pre'!X68</f>
        <v>https://archive.org/download/SOPIK1905/1905.pdf#page=330</v>
      </c>
      <c r="P352" s="27" t="s">
        <v>505</v>
      </c>
      <c r="Q352" s="27" t="str">
        <f t="shared" ref="Q352:Q405" si="33">Q351</f>
        <v>https://archive.org/download/SOPIK1905/1905.pdf#page=382</v>
      </c>
      <c r="R352" s="27" t="s">
        <v>504</v>
      </c>
      <c r="S352" s="27" t="s">
        <v>503</v>
      </c>
      <c r="T352" s="27" t="str">
        <f t="shared" si="30"/>
        <v>https://archive.org/download/SOPIK1905/1905.pdf#page=340</v>
      </c>
      <c r="U352" s="27"/>
      <c r="V352" s="27"/>
      <c r="W352" s="27"/>
      <c r="X352" s="27"/>
      <c r="Y352" s="27"/>
      <c r="Z352" s="27"/>
      <c r="AA352" s="27"/>
    </row>
    <row r="353" spans="1:27" x14ac:dyDescent="0.25">
      <c r="A353" s="27" t="s">
        <v>949</v>
      </c>
      <c r="B353" s="27" t="str">
        <f t="shared" si="31"/>
        <v>Kentucky</v>
      </c>
      <c r="C353" s="27" t="str">
        <f t="shared" si="32"/>
        <v>Lewis</v>
      </c>
      <c r="D353" s="27">
        <v>2020</v>
      </c>
      <c r="E353" s="2">
        <v>109</v>
      </c>
      <c r="F353" s="27">
        <f>'KY pre'!M69</f>
        <v>119.84953456733946</v>
      </c>
      <c r="G353" s="25">
        <v>3831</v>
      </c>
      <c r="H353" s="28">
        <f>'KY pre'!Q69</f>
        <v>30.130059405940592</v>
      </c>
      <c r="I353" s="2">
        <v>26680</v>
      </c>
      <c r="J353" s="27">
        <v>88</v>
      </c>
      <c r="K353" s="27">
        <f>'KY pre'!T69</f>
        <v>26680</v>
      </c>
      <c r="L353" s="27">
        <v>1905</v>
      </c>
      <c r="M353" s="27" t="s">
        <v>468</v>
      </c>
      <c r="N353" s="27" t="s">
        <v>499</v>
      </c>
      <c r="O353" s="27" t="str">
        <f>'KY pre'!X69</f>
        <v>https://archive.org/download/SOPIK1905/1905.pdf#page=330</v>
      </c>
      <c r="P353" s="27" t="s">
        <v>505</v>
      </c>
      <c r="Q353" s="27" t="str">
        <f t="shared" si="33"/>
        <v>https://archive.org/download/SOPIK1905/1905.pdf#page=382</v>
      </c>
      <c r="R353" s="27" t="s">
        <v>506</v>
      </c>
      <c r="S353" s="27" t="s">
        <v>503</v>
      </c>
      <c r="T353" s="27" t="str">
        <f t="shared" si="30"/>
        <v>https://archive.org/download/SOPIK1905/1905.pdf#page=340</v>
      </c>
      <c r="U353" s="27"/>
      <c r="V353" s="27"/>
      <c r="W353" s="27"/>
      <c r="X353" s="27"/>
      <c r="Y353" s="27"/>
      <c r="Z353" s="27"/>
      <c r="AA353" s="27"/>
    </row>
    <row r="354" spans="1:27" x14ac:dyDescent="0.25">
      <c r="A354" s="27" t="s">
        <v>950</v>
      </c>
      <c r="B354" s="27" t="str">
        <f t="shared" si="31"/>
        <v>Kentucky</v>
      </c>
      <c r="C354" s="27" t="str">
        <f t="shared" si="32"/>
        <v>Lincoln</v>
      </c>
      <c r="D354" s="27">
        <v>3810</v>
      </c>
      <c r="E354" s="2">
        <v>80</v>
      </c>
      <c r="F354" s="27">
        <f>'KY pre'!M70</f>
        <v>124.9968387776607</v>
      </c>
      <c r="G354" s="25">
        <v>4710</v>
      </c>
      <c r="H354" s="28">
        <f>'KY pre'!Q70</f>
        <v>32.375328083989501</v>
      </c>
      <c r="I354" s="2">
        <v>37700</v>
      </c>
      <c r="J354" s="27">
        <v>78</v>
      </c>
      <c r="K354" s="27">
        <f>'KY pre'!T70</f>
        <v>37700</v>
      </c>
      <c r="L354" s="27">
        <v>1905</v>
      </c>
      <c r="M354" s="27" t="s">
        <v>468</v>
      </c>
      <c r="N354" s="27" t="s">
        <v>499</v>
      </c>
      <c r="O354" s="27" t="str">
        <f>'KY pre'!X70</f>
        <v>https://archive.org/download/SOPIK1905/1905.pdf#page=330</v>
      </c>
      <c r="P354" s="27" t="s">
        <v>505</v>
      </c>
      <c r="Q354" s="27" t="str">
        <f t="shared" si="33"/>
        <v>https://archive.org/download/SOPIK1905/1905.pdf#page=382</v>
      </c>
      <c r="R354" s="27" t="s">
        <v>506</v>
      </c>
      <c r="S354" s="27" t="s">
        <v>503</v>
      </c>
      <c r="T354" s="27" t="str">
        <f t="shared" si="30"/>
        <v>https://archive.org/download/SOPIK1905/1905.pdf#page=340</v>
      </c>
      <c r="U354" s="27"/>
      <c r="V354" s="27"/>
      <c r="W354" s="27"/>
      <c r="X354" s="27"/>
      <c r="Y354" s="27"/>
      <c r="Z354" s="27"/>
      <c r="AA354" s="27"/>
    </row>
    <row r="355" spans="1:27" x14ac:dyDescent="0.25">
      <c r="A355" s="27" t="s">
        <v>951</v>
      </c>
      <c r="B355" s="27" t="str">
        <f t="shared" si="31"/>
        <v>Kentucky</v>
      </c>
      <c r="C355" s="27" t="str">
        <f t="shared" si="32"/>
        <v>Livingston</v>
      </c>
      <c r="D355" s="27">
        <v>1896</v>
      </c>
      <c r="E355" s="2">
        <v>87</v>
      </c>
      <c r="F355" s="27">
        <f>'KY pre'!M71</f>
        <v>122.09835234471424</v>
      </c>
      <c r="G355" s="25">
        <v>2899</v>
      </c>
      <c r="H355" s="28">
        <f>'KY pre'!Q71</f>
        <v>34.212025316455694</v>
      </c>
      <c r="I355" s="2">
        <v>27000</v>
      </c>
      <c r="J355" s="27">
        <v>58</v>
      </c>
      <c r="K355" s="27">
        <f>'KY pre'!T71</f>
        <v>27000</v>
      </c>
      <c r="L355" s="27">
        <v>1905</v>
      </c>
      <c r="M355" s="27" t="s">
        <v>468</v>
      </c>
      <c r="N355" s="27" t="s">
        <v>499</v>
      </c>
      <c r="O355" s="27" t="str">
        <f>'KY pre'!X71</f>
        <v>https://archive.org/download/SOPIK1905/1905.pdf#page=330</v>
      </c>
      <c r="P355" s="27" t="s">
        <v>505</v>
      </c>
      <c r="Q355" s="27" t="str">
        <f t="shared" si="33"/>
        <v>https://archive.org/download/SOPIK1905/1905.pdf#page=382</v>
      </c>
      <c r="R355" s="27" t="s">
        <v>506</v>
      </c>
      <c r="S355" s="27" t="s">
        <v>503</v>
      </c>
      <c r="T355" s="27" t="str">
        <f t="shared" si="30"/>
        <v>https://archive.org/download/SOPIK1905/1905.pdf#page=340</v>
      </c>
      <c r="U355" s="27"/>
      <c r="V355" s="27"/>
      <c r="W355" s="27"/>
      <c r="X355" s="27"/>
      <c r="Y355" s="27"/>
      <c r="Z355" s="27"/>
      <c r="AA355" s="27"/>
    </row>
    <row r="356" spans="1:27" x14ac:dyDescent="0.25">
      <c r="A356" s="27" t="s">
        <v>952</v>
      </c>
      <c r="B356" s="27" t="str">
        <f t="shared" si="31"/>
        <v>Kentucky</v>
      </c>
      <c r="C356" s="27" t="str">
        <f t="shared" si="32"/>
        <v>Logan</v>
      </c>
      <c r="D356" s="27">
        <v>3355</v>
      </c>
      <c r="E356" s="2">
        <v>104</v>
      </c>
      <c r="F356" s="27">
        <f>'KY pre'!M72</f>
        <v>122.98673460875001</v>
      </c>
      <c r="G356" s="25">
        <v>5100</v>
      </c>
      <c r="H356" s="28">
        <f>'KY pre'!Q72</f>
        <v>32.630381520119222</v>
      </c>
      <c r="I356" s="2">
        <v>32672</v>
      </c>
      <c r="J356" s="27">
        <v>111</v>
      </c>
      <c r="K356" s="27">
        <f>'KY pre'!T72</f>
        <v>32672</v>
      </c>
      <c r="L356" s="27">
        <v>1905</v>
      </c>
      <c r="M356" s="27" t="s">
        <v>468</v>
      </c>
      <c r="N356" s="27" t="s">
        <v>499</v>
      </c>
      <c r="O356" s="27" t="str">
        <f>'KY pre'!X72</f>
        <v>https://archive.org/download/SOPIK1905/1905.pdf#page=330</v>
      </c>
      <c r="P356" s="27" t="s">
        <v>505</v>
      </c>
      <c r="Q356" s="27" t="str">
        <f t="shared" si="33"/>
        <v>https://archive.org/download/SOPIK1905/1905.pdf#page=382</v>
      </c>
      <c r="R356" s="27" t="s">
        <v>506</v>
      </c>
      <c r="S356" s="27" t="s">
        <v>503</v>
      </c>
      <c r="T356" s="27" t="str">
        <f t="shared" si="30"/>
        <v>https://archive.org/download/SOPIK1905/1905.pdf#page=340</v>
      </c>
      <c r="U356" s="27"/>
      <c r="V356" s="27"/>
      <c r="W356" s="27"/>
      <c r="X356" s="27"/>
      <c r="Y356" s="27"/>
      <c r="Z356" s="27"/>
      <c r="AA356" s="27"/>
    </row>
    <row r="357" spans="1:27" x14ac:dyDescent="0.25">
      <c r="A357" s="27" t="s">
        <v>953</v>
      </c>
      <c r="B357" s="27" t="str">
        <f t="shared" si="31"/>
        <v>Kentucky</v>
      </c>
      <c r="C357" s="27" t="str">
        <f t="shared" si="32"/>
        <v>Lyon</v>
      </c>
      <c r="D357" s="27">
        <v>1359</v>
      </c>
      <c r="E357" s="2">
        <v>51</v>
      </c>
      <c r="F357" s="27">
        <f>'KY pre'!M73</f>
        <v>124.9968387776607</v>
      </c>
      <c r="G357" s="25">
        <v>2311</v>
      </c>
      <c r="H357" s="28">
        <f>'KY pre'!Q73</f>
        <v>31.64456217807211</v>
      </c>
      <c r="I357" s="2">
        <v>14850</v>
      </c>
      <c r="J357" s="27">
        <v>41</v>
      </c>
      <c r="K357" s="27">
        <f>'KY pre'!T73</f>
        <v>14850</v>
      </c>
      <c r="L357" s="27">
        <v>1905</v>
      </c>
      <c r="M357" s="27" t="s">
        <v>468</v>
      </c>
      <c r="N357" s="27" t="s">
        <v>499</v>
      </c>
      <c r="O357" s="27" t="str">
        <f>'KY pre'!X73</f>
        <v>https://archive.org/download/SOPIK1905/1905.pdf#page=330</v>
      </c>
      <c r="P357" s="27" t="s">
        <v>505</v>
      </c>
      <c r="Q357" s="27" t="str">
        <f t="shared" si="33"/>
        <v>https://archive.org/download/SOPIK1905/1905.pdf#page=382</v>
      </c>
      <c r="R357" s="27" t="s">
        <v>506</v>
      </c>
      <c r="S357" s="27" t="s">
        <v>503</v>
      </c>
      <c r="T357" s="27" t="str">
        <f t="shared" ref="T357:T404" si="34">T356</f>
        <v>https://archive.org/download/SOPIK1905/1905.pdf#page=340</v>
      </c>
      <c r="U357" s="27"/>
      <c r="V357" s="27"/>
      <c r="W357" s="27"/>
      <c r="X357" s="27"/>
      <c r="Y357" s="27"/>
      <c r="Z357" s="27"/>
      <c r="AA357" s="27"/>
    </row>
    <row r="358" spans="1:27" x14ac:dyDescent="0.25">
      <c r="A358" s="27" t="s">
        <v>957</v>
      </c>
      <c r="B358" s="27" t="str">
        <f t="shared" si="31"/>
        <v>Kentucky</v>
      </c>
      <c r="C358" s="27" t="str">
        <f t="shared" si="32"/>
        <v>Madison</v>
      </c>
      <c r="D358" s="27">
        <v>2686</v>
      </c>
      <c r="E358" s="2">
        <v>124</v>
      </c>
      <c r="F358" s="27">
        <f>'KY pre'!M74</f>
        <v>124.86462460025774</v>
      </c>
      <c r="G358" s="25">
        <v>4834</v>
      </c>
      <c r="H358" s="28">
        <f>'KY pre'!Q74</f>
        <v>34.205882352941174</v>
      </c>
      <c r="I358" s="2">
        <v>47000</v>
      </c>
      <c r="J358" s="27">
        <v>102</v>
      </c>
      <c r="K358" s="27">
        <f>'KY pre'!T74</f>
        <v>47000</v>
      </c>
      <c r="L358" s="27">
        <v>1905</v>
      </c>
      <c r="M358" s="27" t="s">
        <v>468</v>
      </c>
      <c r="N358" s="27" t="s">
        <v>499</v>
      </c>
      <c r="O358" s="27" t="str">
        <f>'KY pre'!X74</f>
        <v>https://archive.org/download/SOPIK1905/1905.pdf#page=330</v>
      </c>
      <c r="P358" s="27" t="s">
        <v>505</v>
      </c>
      <c r="Q358" s="27" t="str">
        <f t="shared" si="33"/>
        <v>https://archive.org/download/SOPIK1905/1905.pdf#page=382</v>
      </c>
      <c r="R358" s="27" t="s">
        <v>506</v>
      </c>
      <c r="S358" s="27" t="s">
        <v>503</v>
      </c>
      <c r="T358" s="27" t="str">
        <f t="shared" si="34"/>
        <v>https://archive.org/download/SOPIK1905/1905.pdf#page=340</v>
      </c>
      <c r="U358" s="27"/>
      <c r="V358" s="27"/>
      <c r="W358" s="27"/>
      <c r="X358" s="27"/>
      <c r="Y358" s="27"/>
      <c r="Z358" s="27"/>
      <c r="AA358" s="27"/>
    </row>
    <row r="359" spans="1:27" x14ac:dyDescent="0.25">
      <c r="A359" s="27" t="s">
        <v>958</v>
      </c>
      <c r="B359" s="27" t="str">
        <f t="shared" si="31"/>
        <v>Kentucky</v>
      </c>
      <c r="C359" s="27" t="str">
        <f t="shared" si="32"/>
        <v>Magoffin</v>
      </c>
      <c r="D359" s="27">
        <v>1578</v>
      </c>
      <c r="E359" s="2">
        <v>101</v>
      </c>
      <c r="F359" s="27">
        <f>'KY pre'!M75</f>
        <v>124.9968387776607</v>
      </c>
      <c r="G359" s="25">
        <v>4381</v>
      </c>
      <c r="H359" s="28"/>
      <c r="I359" s="2">
        <v>15000</v>
      </c>
      <c r="J359" s="27">
        <v>80</v>
      </c>
      <c r="K359" s="27">
        <f>'KY pre'!T75</f>
        <v>15000</v>
      </c>
      <c r="L359" s="27">
        <v>1905</v>
      </c>
      <c r="M359" s="27" t="s">
        <v>468</v>
      </c>
      <c r="N359" s="27" t="s">
        <v>499</v>
      </c>
      <c r="O359" s="27" t="str">
        <f>'KY pre'!X75</f>
        <v>https://archive.org/download/SOPIK1905/1905.pdf#page=330</v>
      </c>
      <c r="P359" s="27" t="s">
        <v>505</v>
      </c>
      <c r="Q359" s="27" t="str">
        <f t="shared" si="33"/>
        <v>https://archive.org/download/SOPIK1905/1905.pdf#page=382</v>
      </c>
      <c r="R359" s="27" t="s">
        <v>506</v>
      </c>
      <c r="S359" s="27" t="s">
        <v>503</v>
      </c>
      <c r="T359" s="27" t="str">
        <f t="shared" si="34"/>
        <v>https://archive.org/download/SOPIK1905/1905.pdf#page=340</v>
      </c>
      <c r="U359" s="27"/>
      <c r="V359" s="27"/>
      <c r="W359" s="27"/>
      <c r="X359" s="27"/>
      <c r="Y359" s="27"/>
      <c r="Z359" s="27"/>
      <c r="AA359" s="27"/>
    </row>
    <row r="360" spans="1:27" x14ac:dyDescent="0.25">
      <c r="A360" s="27" t="s">
        <v>959</v>
      </c>
      <c r="B360" s="27" t="str">
        <f t="shared" si="31"/>
        <v>Kentucky</v>
      </c>
      <c r="C360" s="27" t="str">
        <f t="shared" si="32"/>
        <v>Marion</v>
      </c>
      <c r="D360" s="27">
        <v>3785</v>
      </c>
      <c r="E360" s="2">
        <v>90</v>
      </c>
      <c r="F360" s="27">
        <f>'KY pre'!M76</f>
        <v>132.66885580157245</v>
      </c>
      <c r="G360" s="25">
        <v>4300</v>
      </c>
      <c r="H360" s="28"/>
      <c r="I360" s="2">
        <v>37200</v>
      </c>
      <c r="J360" s="27">
        <v>73</v>
      </c>
      <c r="K360" s="27">
        <f>'KY pre'!T76</f>
        <v>37200</v>
      </c>
      <c r="L360" s="27">
        <v>1905</v>
      </c>
      <c r="M360" s="27" t="s">
        <v>468</v>
      </c>
      <c r="N360" s="27" t="s">
        <v>499</v>
      </c>
      <c r="O360" s="27" t="str">
        <f>'KY pre'!X76</f>
        <v>https://archive.org/download/SOPIK1905/1905.pdf#page=330</v>
      </c>
      <c r="P360" s="27" t="s">
        <v>505</v>
      </c>
      <c r="Q360" s="27" t="str">
        <f t="shared" si="33"/>
        <v>https://archive.org/download/SOPIK1905/1905.pdf#page=382</v>
      </c>
      <c r="R360" s="27" t="s">
        <v>506</v>
      </c>
      <c r="S360" s="27" t="s">
        <v>503</v>
      </c>
      <c r="T360" s="27" t="str">
        <f t="shared" si="34"/>
        <v>https://archive.org/download/SOPIK1905/1905.pdf#page=340</v>
      </c>
      <c r="U360" s="27"/>
      <c r="V360" s="27"/>
      <c r="W360" s="27"/>
      <c r="X360" s="27"/>
      <c r="Y360" s="27"/>
      <c r="Z360" s="27"/>
      <c r="AA360" s="27"/>
    </row>
    <row r="361" spans="1:27" x14ac:dyDescent="0.25">
      <c r="A361" s="27" t="s">
        <v>960</v>
      </c>
      <c r="B361" s="27" t="str">
        <f t="shared" si="31"/>
        <v>Kentucky</v>
      </c>
      <c r="C361" s="27" t="str">
        <f t="shared" si="32"/>
        <v>Marshall</v>
      </c>
      <c r="D361" s="27" t="s">
        <v>383</v>
      </c>
      <c r="E361" s="2">
        <v>167</v>
      </c>
      <c r="F361" s="27">
        <f>'KY pre'!M77</f>
        <v>110.6757109419935</v>
      </c>
      <c r="G361" s="25">
        <v>4090</v>
      </c>
      <c r="H361" s="28"/>
      <c r="I361" s="2">
        <v>25500</v>
      </c>
      <c r="J361" s="27">
        <v>66</v>
      </c>
      <c r="K361" s="27">
        <f>'KY pre'!T77</f>
        <v>25500</v>
      </c>
      <c r="L361" s="27">
        <v>1905</v>
      </c>
      <c r="M361" s="27" t="s">
        <v>468</v>
      </c>
      <c r="N361" s="27" t="s">
        <v>499</v>
      </c>
      <c r="O361" s="27" t="str">
        <f>'KY pre'!X77</f>
        <v>https://archive.org/download/SOPIK1905/1905.pdf#page=330</v>
      </c>
      <c r="P361" s="27" t="s">
        <v>505</v>
      </c>
      <c r="Q361" s="27" t="str">
        <f t="shared" si="33"/>
        <v>https://archive.org/download/SOPIK1905/1905.pdf#page=382</v>
      </c>
      <c r="R361" s="27" t="s">
        <v>506</v>
      </c>
      <c r="S361" s="27" t="s">
        <v>503</v>
      </c>
      <c r="T361" s="27" t="str">
        <f t="shared" si="34"/>
        <v>https://archive.org/download/SOPIK1905/1905.pdf#page=340</v>
      </c>
      <c r="U361" s="27"/>
      <c r="V361" s="27"/>
      <c r="W361" s="27"/>
      <c r="X361" s="27"/>
      <c r="Y361" s="27"/>
      <c r="Z361" s="27"/>
      <c r="AA361" s="27"/>
    </row>
    <row r="362" spans="1:27" x14ac:dyDescent="0.25">
      <c r="A362" s="27" t="s">
        <v>961</v>
      </c>
      <c r="B362" s="27" t="str">
        <f t="shared" si="31"/>
        <v>Kentucky</v>
      </c>
      <c r="C362" s="27" t="str">
        <f t="shared" si="32"/>
        <v>Martin</v>
      </c>
      <c r="D362" s="27">
        <v>1196</v>
      </c>
      <c r="E362" s="2">
        <v>40</v>
      </c>
      <c r="F362" s="27">
        <f>'KY pre'!M78</f>
        <v>115.32023409261451</v>
      </c>
      <c r="G362" s="27">
        <v>1567</v>
      </c>
      <c r="H362" s="28">
        <f>'KY pre'!Q78</f>
        <v>35.94</v>
      </c>
      <c r="I362" s="2">
        <v>13000</v>
      </c>
      <c r="J362" s="27">
        <v>34</v>
      </c>
      <c r="K362" s="27">
        <f>'KY pre'!T78</f>
        <v>13000</v>
      </c>
      <c r="L362" s="27">
        <v>1905</v>
      </c>
      <c r="M362" s="27" t="s">
        <v>468</v>
      </c>
      <c r="N362" s="27" t="s">
        <v>499</v>
      </c>
      <c r="O362" s="27" t="str">
        <f>'KY pre'!X78</f>
        <v>https://archive.org/download/SOPIK1905/1905.pdf#page=330</v>
      </c>
      <c r="P362" s="27" t="s">
        <v>505</v>
      </c>
      <c r="Q362" s="27" t="str">
        <f t="shared" si="33"/>
        <v>https://archive.org/download/SOPIK1905/1905.pdf#page=382</v>
      </c>
      <c r="R362" s="27" t="s">
        <v>506</v>
      </c>
      <c r="S362" s="27" t="s">
        <v>503</v>
      </c>
      <c r="T362" s="27" t="str">
        <f t="shared" si="34"/>
        <v>https://archive.org/download/SOPIK1905/1905.pdf#page=340</v>
      </c>
      <c r="U362" s="27"/>
      <c r="V362" s="27"/>
      <c r="W362" s="27"/>
      <c r="X362" s="27"/>
      <c r="Y362" s="27"/>
      <c r="Z362" s="27"/>
      <c r="AA362" s="27"/>
    </row>
    <row r="363" spans="1:27" x14ac:dyDescent="0.25">
      <c r="A363" s="27" t="s">
        <v>962</v>
      </c>
      <c r="B363" s="27" t="str">
        <f t="shared" si="31"/>
        <v>Kentucky</v>
      </c>
      <c r="C363" s="27" t="str">
        <f t="shared" si="32"/>
        <v>Mason</v>
      </c>
      <c r="D363" s="27">
        <v>1836</v>
      </c>
      <c r="E363" s="2">
        <v>71</v>
      </c>
      <c r="F363" s="27">
        <f>'KY pre'!M79</f>
        <v>140.00426345192591</v>
      </c>
      <c r="G363" s="25">
        <v>2789</v>
      </c>
      <c r="H363" s="28">
        <f>'KY pre'!Q79</f>
        <v>44.79</v>
      </c>
      <c r="I363" s="2">
        <v>27000</v>
      </c>
      <c r="J363" s="27">
        <v>58</v>
      </c>
      <c r="K363" s="27">
        <f>'KY pre'!T79</f>
        <v>27000</v>
      </c>
      <c r="L363" s="27">
        <v>1905</v>
      </c>
      <c r="M363" s="27" t="s">
        <v>468</v>
      </c>
      <c r="N363" s="27" t="s">
        <v>499</v>
      </c>
      <c r="O363" s="27" t="str">
        <f>'KY pre'!X79</f>
        <v>https://archive.org/download/SOPIK1905/1905.pdf#page=330</v>
      </c>
      <c r="P363" s="27" t="s">
        <v>505</v>
      </c>
      <c r="Q363" s="27" t="str">
        <f t="shared" si="33"/>
        <v>https://archive.org/download/SOPIK1905/1905.pdf#page=382</v>
      </c>
      <c r="R363" s="27" t="s">
        <v>506</v>
      </c>
      <c r="S363" s="27" t="s">
        <v>503</v>
      </c>
      <c r="T363" s="27" t="str">
        <f t="shared" si="34"/>
        <v>https://archive.org/download/SOPIK1905/1905.pdf#page=340</v>
      </c>
      <c r="U363" s="27"/>
      <c r="V363" s="27"/>
      <c r="W363" s="27"/>
      <c r="X363" s="27"/>
      <c r="Y363" s="27"/>
      <c r="Z363" s="27"/>
      <c r="AA363" s="27"/>
    </row>
    <row r="364" spans="1:27" x14ac:dyDescent="0.25">
      <c r="A364" s="27" t="s">
        <v>954</v>
      </c>
      <c r="B364" s="27" t="str">
        <f t="shared" si="31"/>
        <v>Kentucky</v>
      </c>
      <c r="C364" s="27" t="str">
        <f t="shared" si="32"/>
        <v>McCracken</v>
      </c>
      <c r="D364" s="27">
        <v>1341</v>
      </c>
      <c r="E364" s="2">
        <v>71</v>
      </c>
      <c r="F364" s="27">
        <f>'KY pre'!M80</f>
        <v>133.9180301382566</v>
      </c>
      <c r="G364" s="25">
        <v>2836</v>
      </c>
      <c r="H364" s="28">
        <f>'KY pre'!Q80</f>
        <v>37.564340044742728</v>
      </c>
      <c r="I364" s="2">
        <v>19000</v>
      </c>
      <c r="J364" s="27">
        <v>54</v>
      </c>
      <c r="K364" s="27">
        <f>'KY pre'!T80</f>
        <v>19000</v>
      </c>
      <c r="L364" s="27">
        <v>1905</v>
      </c>
      <c r="M364" s="27" t="s">
        <v>468</v>
      </c>
      <c r="N364" s="27" t="s">
        <v>499</v>
      </c>
      <c r="O364" s="27" t="str">
        <f>'KY pre'!X80</f>
        <v>https://archive.org/download/SOPIK1905/1905.pdf#page=330</v>
      </c>
      <c r="P364" s="27" t="s">
        <v>505</v>
      </c>
      <c r="Q364" s="27" t="str">
        <f t="shared" si="33"/>
        <v>https://archive.org/download/SOPIK1905/1905.pdf#page=382</v>
      </c>
      <c r="R364" s="27" t="s">
        <v>506</v>
      </c>
      <c r="S364" s="27" t="s">
        <v>503</v>
      </c>
      <c r="T364" s="27" t="str">
        <f t="shared" si="34"/>
        <v>https://archive.org/download/SOPIK1905/1905.pdf#page=340</v>
      </c>
      <c r="U364" s="27"/>
      <c r="V364" s="27"/>
      <c r="W364" s="27"/>
      <c r="X364" s="27"/>
      <c r="Y364" s="27"/>
      <c r="Z364" s="27"/>
      <c r="AA364" s="27"/>
    </row>
    <row r="365" spans="1:27" x14ac:dyDescent="0.25">
      <c r="A365" s="27" t="s">
        <v>955</v>
      </c>
      <c r="B365" s="27" t="str">
        <f t="shared" si="31"/>
        <v>Kentucky</v>
      </c>
      <c r="C365" s="27" t="str">
        <f t="shared" si="32"/>
        <v>McCreary</v>
      </c>
      <c r="D365" s="27" t="s">
        <v>383</v>
      </c>
      <c r="E365" s="27" t="s">
        <v>383</v>
      </c>
      <c r="F365" s="27" t="e">
        <f>'KY pre'!M81</f>
        <v>#DIV/0!</v>
      </c>
      <c r="G365" s="27"/>
      <c r="H365" s="28"/>
      <c r="I365" s="2">
        <v>16800</v>
      </c>
      <c r="J365" s="27">
        <v>0</v>
      </c>
      <c r="K365" s="27">
        <f>'KY pre'!T81</f>
        <v>16800</v>
      </c>
      <c r="L365" s="27">
        <v>1905</v>
      </c>
      <c r="M365" s="27" t="s">
        <v>468</v>
      </c>
      <c r="N365" s="27" t="s">
        <v>499</v>
      </c>
      <c r="O365" s="27" t="str">
        <f>'KY pre'!X81</f>
        <v>https://archive.org/download/SOPIK1905/1905.pdf#page=330</v>
      </c>
      <c r="P365" s="27" t="s">
        <v>505</v>
      </c>
      <c r="Q365" s="27" t="str">
        <f t="shared" si="33"/>
        <v>https://archive.org/download/SOPIK1905/1905.pdf#page=382</v>
      </c>
      <c r="R365" s="27" t="s">
        <v>506</v>
      </c>
      <c r="S365" s="27" t="s">
        <v>503</v>
      </c>
      <c r="T365" s="27" t="str">
        <f t="shared" si="34"/>
        <v>https://archive.org/download/SOPIK1905/1905.pdf#page=340</v>
      </c>
      <c r="U365" s="27"/>
      <c r="V365" s="27"/>
      <c r="W365" s="27"/>
      <c r="X365" s="27"/>
      <c r="Y365" s="27"/>
      <c r="Z365" s="27"/>
      <c r="AA365" s="27"/>
    </row>
    <row r="366" spans="1:27" x14ac:dyDescent="0.25">
      <c r="A366" s="27" t="s">
        <v>956</v>
      </c>
      <c r="B366" s="27" t="str">
        <f t="shared" si="31"/>
        <v>Kentucky</v>
      </c>
      <c r="C366" s="27" t="str">
        <f t="shared" si="32"/>
        <v>McLean</v>
      </c>
      <c r="D366" s="27">
        <v>3353</v>
      </c>
      <c r="E366" s="2">
        <v>80</v>
      </c>
      <c r="F366" s="27">
        <f>'KY pre'!M82</f>
        <v>140.69823877159959</v>
      </c>
      <c r="G366" s="25">
        <v>3915</v>
      </c>
      <c r="H366" s="28">
        <f>'KY pre'!Q82</f>
        <v>33.49088577393379</v>
      </c>
      <c r="J366" s="27">
        <v>65</v>
      </c>
      <c r="K366" s="27"/>
      <c r="L366" s="27">
        <v>1905</v>
      </c>
      <c r="M366" s="27" t="s">
        <v>468</v>
      </c>
      <c r="N366" s="27" t="s">
        <v>499</v>
      </c>
      <c r="O366" s="27" t="str">
        <f>'KY pre'!X82</f>
        <v>https://archive.org/download/SOPIK1905/1905.pdf#page=330</v>
      </c>
      <c r="P366" s="27" t="s">
        <v>505</v>
      </c>
      <c r="Q366" s="27" t="str">
        <f t="shared" si="33"/>
        <v>https://archive.org/download/SOPIK1905/1905.pdf#page=382</v>
      </c>
      <c r="R366" s="27" t="s">
        <v>506</v>
      </c>
      <c r="S366" s="27" t="s">
        <v>503</v>
      </c>
      <c r="T366" s="27" t="str">
        <f t="shared" si="34"/>
        <v>https://archive.org/download/SOPIK1905/1905.pdf#page=340</v>
      </c>
      <c r="U366" s="27"/>
      <c r="V366" s="27"/>
      <c r="W366" s="27"/>
      <c r="X366" s="27"/>
      <c r="Y366" s="27"/>
      <c r="Z366" s="27"/>
      <c r="AA366" s="27"/>
    </row>
    <row r="367" spans="1:27" x14ac:dyDescent="0.25">
      <c r="A367" s="27" t="s">
        <v>963</v>
      </c>
      <c r="B367" s="27" t="str">
        <f t="shared" si="31"/>
        <v>Kentucky</v>
      </c>
      <c r="C367" s="27" t="str">
        <f t="shared" si="32"/>
        <v>Meade</v>
      </c>
      <c r="D367" s="27">
        <v>1396</v>
      </c>
      <c r="E367" s="2">
        <v>45</v>
      </c>
      <c r="F367" s="27">
        <f>'KY pre'!M83</f>
        <v>115.9647886825415</v>
      </c>
      <c r="G367" s="25">
        <v>2778</v>
      </c>
      <c r="H367" s="28">
        <f>'KY pre'!Q83</f>
        <v>25.592406876790832</v>
      </c>
      <c r="I367" s="2">
        <v>12575</v>
      </c>
      <c r="J367" s="27">
        <v>67</v>
      </c>
      <c r="K367" s="27">
        <f>'KY pre'!T83</f>
        <v>12575</v>
      </c>
      <c r="L367" s="27">
        <v>1905</v>
      </c>
      <c r="M367" s="27" t="s">
        <v>468</v>
      </c>
      <c r="N367" s="27" t="s">
        <v>499</v>
      </c>
      <c r="O367" s="27" t="str">
        <f>'KY pre'!X83</f>
        <v>https://archive.org/download/SOPIK1905/1905.pdf#page=330</v>
      </c>
      <c r="P367" s="27" t="s">
        <v>505</v>
      </c>
      <c r="Q367" s="27" t="str">
        <f t="shared" si="33"/>
        <v>https://archive.org/download/SOPIK1905/1905.pdf#page=382</v>
      </c>
      <c r="R367" s="27" t="s">
        <v>506</v>
      </c>
      <c r="S367" s="27" t="s">
        <v>503</v>
      </c>
      <c r="T367" s="27" t="str">
        <f t="shared" si="34"/>
        <v>https://archive.org/download/SOPIK1905/1905.pdf#page=340</v>
      </c>
      <c r="U367" s="27"/>
      <c r="V367" s="27"/>
      <c r="W367" s="27"/>
      <c r="X367" s="27"/>
      <c r="Y367" s="27"/>
      <c r="Z367" s="27"/>
      <c r="AA367" s="27"/>
    </row>
    <row r="368" spans="1:27" x14ac:dyDescent="0.25">
      <c r="A368" s="27" t="s">
        <v>964</v>
      </c>
      <c r="B368" s="27" t="str">
        <f t="shared" si="31"/>
        <v>Kentucky</v>
      </c>
      <c r="C368" s="27" t="str">
        <f t="shared" si="32"/>
        <v>Menifee</v>
      </c>
      <c r="D368" s="27" t="s">
        <v>383</v>
      </c>
      <c r="E368" s="2">
        <v>42</v>
      </c>
      <c r="F368" s="27">
        <f>'KY pre'!M84</f>
        <v>124.9968387776607</v>
      </c>
      <c r="G368" s="25">
        <v>1675</v>
      </c>
      <c r="H368" s="28"/>
      <c r="I368" s="2">
        <v>4150</v>
      </c>
      <c r="J368" s="27">
        <v>39</v>
      </c>
      <c r="K368" s="27">
        <f>'KY pre'!T84</f>
        <v>4150</v>
      </c>
      <c r="L368" s="27">
        <v>1905</v>
      </c>
      <c r="M368" s="27" t="s">
        <v>468</v>
      </c>
      <c r="N368" s="27" t="s">
        <v>499</v>
      </c>
      <c r="O368" s="27" t="str">
        <f>'KY pre'!X84</f>
        <v>https://archive.org/download/SOPIK1905/1905.pdf#page=330</v>
      </c>
      <c r="P368" s="27" t="s">
        <v>505</v>
      </c>
      <c r="Q368" s="27" t="str">
        <f t="shared" si="33"/>
        <v>https://archive.org/download/SOPIK1905/1905.pdf#page=382</v>
      </c>
      <c r="R368" s="27" t="s">
        <v>506</v>
      </c>
      <c r="S368" s="27" t="s">
        <v>503</v>
      </c>
      <c r="T368" s="27" t="str">
        <f t="shared" si="34"/>
        <v>https://archive.org/download/SOPIK1905/1905.pdf#page=340</v>
      </c>
      <c r="U368" s="27"/>
      <c r="V368" s="27"/>
      <c r="W368" s="27"/>
      <c r="X368" s="27"/>
      <c r="Y368" s="27"/>
      <c r="Z368" s="27"/>
      <c r="AA368" s="27"/>
    </row>
    <row r="369" spans="1:27" x14ac:dyDescent="0.25">
      <c r="A369" s="27" t="s">
        <v>965</v>
      </c>
      <c r="B369" s="27" t="str">
        <f t="shared" si="31"/>
        <v>Kentucky</v>
      </c>
      <c r="C369" s="27" t="str">
        <f t="shared" si="32"/>
        <v>Mercer</v>
      </c>
      <c r="D369" s="27">
        <v>2130</v>
      </c>
      <c r="E369" s="2">
        <v>67</v>
      </c>
      <c r="F369" s="27">
        <f>'KY pre'!M85</f>
        <v>124.9968387776607</v>
      </c>
      <c r="G369" s="25">
        <v>3120</v>
      </c>
      <c r="H369" s="28">
        <f>'KY pre'!Q85</f>
        <v>35.91549295774648</v>
      </c>
      <c r="I369" s="2">
        <v>32800</v>
      </c>
      <c r="J369" s="27">
        <v>56</v>
      </c>
      <c r="K369" s="27">
        <f>'KY pre'!T85</f>
        <v>32800</v>
      </c>
      <c r="L369" s="27">
        <v>1905</v>
      </c>
      <c r="M369" s="27" t="s">
        <v>468</v>
      </c>
      <c r="N369" s="27" t="s">
        <v>499</v>
      </c>
      <c r="O369" s="27" t="str">
        <f>'KY pre'!X85</f>
        <v>https://archive.org/download/SOPIK1905/1905.pdf#page=330</v>
      </c>
      <c r="P369" s="27" t="s">
        <v>505</v>
      </c>
      <c r="Q369" s="27" t="str">
        <f t="shared" si="33"/>
        <v>https://archive.org/download/SOPIK1905/1905.pdf#page=382</v>
      </c>
      <c r="R369" s="27" t="s">
        <v>506</v>
      </c>
      <c r="S369" s="27" t="s">
        <v>503</v>
      </c>
      <c r="T369" s="27" t="str">
        <f t="shared" si="34"/>
        <v>https://archive.org/download/SOPIK1905/1905.pdf#page=340</v>
      </c>
      <c r="U369" s="27"/>
      <c r="V369" s="27"/>
      <c r="W369" s="27"/>
      <c r="X369" s="27"/>
      <c r="Y369" s="27"/>
      <c r="Z369" s="27"/>
      <c r="AA369" s="27"/>
    </row>
    <row r="370" spans="1:27" x14ac:dyDescent="0.25">
      <c r="A370" s="27" t="s">
        <v>1749</v>
      </c>
      <c r="B370" s="27" t="str">
        <f t="shared" si="31"/>
        <v>Kentucky</v>
      </c>
      <c r="C370" s="27" t="str">
        <f t="shared" si="32"/>
        <v>Metcalfe</v>
      </c>
      <c r="D370" s="27">
        <v>1166</v>
      </c>
      <c r="E370" s="2">
        <v>74</v>
      </c>
      <c r="F370" s="27">
        <f>'KY pre'!M86</f>
        <v>124.9968387776607</v>
      </c>
      <c r="G370" s="25">
        <v>2401</v>
      </c>
      <c r="H370" s="28">
        <f>'KY pre'!Q86</f>
        <v>26.178816466552316</v>
      </c>
      <c r="I370" s="2">
        <v>14100</v>
      </c>
      <c r="J370" s="27">
        <v>63</v>
      </c>
      <c r="K370" s="27">
        <f>'KY pre'!T86</f>
        <v>14100</v>
      </c>
      <c r="L370" s="27">
        <v>1905</v>
      </c>
      <c r="M370" s="27" t="s">
        <v>468</v>
      </c>
      <c r="N370" s="27" t="s">
        <v>499</v>
      </c>
      <c r="O370" s="27" t="str">
        <f>'KY pre'!X86</f>
        <v>https://archive.org/download/SOPIK1905/1905.pdf#page=330</v>
      </c>
      <c r="P370" s="27" t="s">
        <v>505</v>
      </c>
      <c r="Q370" s="27" t="str">
        <f t="shared" si="33"/>
        <v>https://archive.org/download/SOPIK1905/1905.pdf#page=382</v>
      </c>
      <c r="R370" s="27" t="s">
        <v>506</v>
      </c>
      <c r="S370" s="27" t="s">
        <v>503</v>
      </c>
      <c r="T370" s="27" t="str">
        <f t="shared" si="34"/>
        <v>https://archive.org/download/SOPIK1905/1905.pdf#page=340</v>
      </c>
      <c r="U370" s="27"/>
      <c r="V370" s="27"/>
      <c r="W370" s="27"/>
      <c r="X370" s="27"/>
      <c r="Y370" s="27"/>
      <c r="Z370" s="27"/>
      <c r="AA370" s="27"/>
    </row>
    <row r="371" spans="1:27" x14ac:dyDescent="0.25">
      <c r="A371" s="27" t="s">
        <v>967</v>
      </c>
      <c r="B371" s="27" t="str">
        <f t="shared" si="31"/>
        <v>Kentucky</v>
      </c>
      <c r="C371" s="27" t="str">
        <f t="shared" si="32"/>
        <v>Monroe</v>
      </c>
      <c r="D371" s="27">
        <v>1807</v>
      </c>
      <c r="E371" s="2">
        <v>79</v>
      </c>
      <c r="F371" s="27">
        <f>'KY pre'!M87</f>
        <v>124.9968387776607</v>
      </c>
      <c r="G371" s="25">
        <v>3406</v>
      </c>
      <c r="H371" s="28">
        <f>'KY pre'!Q87</f>
        <v>37.087437742113998</v>
      </c>
      <c r="I371" s="2">
        <v>32350</v>
      </c>
      <c r="J371" s="27">
        <v>71</v>
      </c>
      <c r="K371" s="27">
        <f>'KY pre'!T87</f>
        <v>32350</v>
      </c>
      <c r="L371" s="27">
        <v>1905</v>
      </c>
      <c r="M371" s="27" t="s">
        <v>468</v>
      </c>
      <c r="N371" s="27" t="s">
        <v>499</v>
      </c>
      <c r="O371" s="27" t="str">
        <f>'KY pre'!X87</f>
        <v>https://archive.org/download/SOPIK1905/1905.pdf#page=330</v>
      </c>
      <c r="P371" s="27" t="s">
        <v>505</v>
      </c>
      <c r="Q371" s="27" t="str">
        <f t="shared" si="33"/>
        <v>https://archive.org/download/SOPIK1905/1905.pdf#page=382</v>
      </c>
      <c r="R371" s="27" t="s">
        <v>506</v>
      </c>
      <c r="S371" s="27" t="s">
        <v>503</v>
      </c>
      <c r="T371" s="27" t="str">
        <f t="shared" si="34"/>
        <v>https://archive.org/download/SOPIK1905/1905.pdf#page=340</v>
      </c>
      <c r="U371" s="27"/>
      <c r="V371" s="27"/>
      <c r="W371" s="27"/>
      <c r="X371" s="27"/>
      <c r="Y371" s="27"/>
      <c r="Z371" s="27"/>
      <c r="AA371" s="27"/>
    </row>
    <row r="372" spans="1:27" x14ac:dyDescent="0.25">
      <c r="A372" s="27" t="s">
        <v>968</v>
      </c>
      <c r="B372" s="27" t="str">
        <f t="shared" si="31"/>
        <v>Kentucky</v>
      </c>
      <c r="C372" s="27" t="str">
        <f t="shared" si="32"/>
        <v>Montgomery</v>
      </c>
      <c r="D372" s="27">
        <v>2685</v>
      </c>
      <c r="E372" s="2">
        <v>43</v>
      </c>
      <c r="F372" s="27">
        <f>'KY pre'!M88</f>
        <v>124.9968387776607</v>
      </c>
      <c r="G372" s="25">
        <v>3510</v>
      </c>
      <c r="H372" s="28"/>
      <c r="I372" s="2">
        <v>53000</v>
      </c>
      <c r="J372" s="27">
        <v>40</v>
      </c>
      <c r="K372" s="27">
        <f>'KY pre'!T88</f>
        <v>53000</v>
      </c>
      <c r="L372" s="27">
        <v>1905</v>
      </c>
      <c r="M372" s="27" t="s">
        <v>468</v>
      </c>
      <c r="N372" s="27" t="s">
        <v>499</v>
      </c>
      <c r="O372" s="27" t="str">
        <f>'KY pre'!X88</f>
        <v>https://archive.org/download/SOPIK1905/1905.pdf#page=330</v>
      </c>
      <c r="P372" s="27" t="s">
        <v>505</v>
      </c>
      <c r="Q372" s="27" t="str">
        <f t="shared" si="33"/>
        <v>https://archive.org/download/SOPIK1905/1905.pdf#page=382</v>
      </c>
      <c r="R372" s="27" t="s">
        <v>506</v>
      </c>
      <c r="S372" s="27" t="s">
        <v>503</v>
      </c>
      <c r="T372" s="27" t="str">
        <f t="shared" si="34"/>
        <v>https://archive.org/download/SOPIK1905/1905.pdf#page=340</v>
      </c>
      <c r="U372" s="27"/>
      <c r="V372" s="27"/>
      <c r="W372" s="27"/>
      <c r="X372" s="27"/>
      <c r="Y372" s="27"/>
      <c r="Z372" s="27"/>
      <c r="AA372" s="27"/>
    </row>
    <row r="373" spans="1:27" x14ac:dyDescent="0.25">
      <c r="A373" s="27" t="s">
        <v>969</v>
      </c>
      <c r="B373" s="27" t="str">
        <f t="shared" si="31"/>
        <v>Kentucky</v>
      </c>
      <c r="C373" s="27" t="str">
        <f t="shared" si="32"/>
        <v>Morgan</v>
      </c>
      <c r="D373" s="27">
        <v>3223</v>
      </c>
      <c r="E373" s="2">
        <v>84</v>
      </c>
      <c r="F373" s="27">
        <f>'KY pre'!M89</f>
        <v>124.9968387776607</v>
      </c>
      <c r="G373" s="27">
        <v>3595</v>
      </c>
      <c r="H373" s="28">
        <f>'KY pre'!Q89</f>
        <v>31.18</v>
      </c>
      <c r="I373" s="2">
        <v>24680</v>
      </c>
      <c r="J373" s="27">
        <v>77</v>
      </c>
      <c r="K373" s="27">
        <f>'KY pre'!T89</f>
        <v>24690</v>
      </c>
      <c r="L373" s="27">
        <v>1905</v>
      </c>
      <c r="M373" s="27" t="s">
        <v>468</v>
      </c>
      <c r="N373" s="27" t="s">
        <v>499</v>
      </c>
      <c r="O373" s="27" t="str">
        <f>'KY pre'!X89</f>
        <v>https://archive.org/download/SOPIK1905/1905.pdf#page=330</v>
      </c>
      <c r="P373" s="27" t="s">
        <v>505</v>
      </c>
      <c r="Q373" s="27" t="str">
        <f t="shared" si="33"/>
        <v>https://archive.org/download/SOPIK1905/1905.pdf#page=382</v>
      </c>
      <c r="R373" s="27" t="s">
        <v>506</v>
      </c>
      <c r="S373" s="27" t="s">
        <v>503</v>
      </c>
      <c r="T373" s="27" t="str">
        <f t="shared" si="34"/>
        <v>https://archive.org/download/SOPIK1905/1905.pdf#page=340</v>
      </c>
      <c r="U373" s="27"/>
      <c r="V373" s="27"/>
      <c r="W373" s="27"/>
      <c r="X373" s="27"/>
      <c r="Y373" s="27"/>
      <c r="Z373" s="27"/>
      <c r="AA373" s="27"/>
    </row>
    <row r="374" spans="1:27" x14ac:dyDescent="0.25">
      <c r="A374" s="27" t="s">
        <v>970</v>
      </c>
      <c r="B374" s="27" t="str">
        <f t="shared" si="31"/>
        <v>Kentucky</v>
      </c>
      <c r="C374" s="27" t="str">
        <f t="shared" si="32"/>
        <v>Muhlenberg</v>
      </c>
      <c r="D374" s="27">
        <v>3515</v>
      </c>
      <c r="E374" s="2">
        <v>84</v>
      </c>
      <c r="F374" s="27">
        <f>'KY pre'!M90</f>
        <v>114.20864289223874</v>
      </c>
      <c r="G374" s="25">
        <v>6000</v>
      </c>
      <c r="H374" s="28">
        <f>'KY pre'!Q90</f>
        <v>34.14651493598862</v>
      </c>
      <c r="I374" s="2">
        <v>27500</v>
      </c>
      <c r="J374" s="27">
        <v>99</v>
      </c>
      <c r="K374" s="27">
        <f>'KY pre'!T90</f>
        <v>27500</v>
      </c>
      <c r="L374" s="27">
        <v>1905</v>
      </c>
      <c r="M374" s="27" t="s">
        <v>468</v>
      </c>
      <c r="N374" s="27" t="s">
        <v>499</v>
      </c>
      <c r="O374" s="27" t="str">
        <f>'KY pre'!X90</f>
        <v>https://archive.org/download/SOPIK1905/1905.pdf#page=330</v>
      </c>
      <c r="P374" s="27" t="s">
        <v>505</v>
      </c>
      <c r="Q374" s="27" t="str">
        <f t="shared" si="33"/>
        <v>https://archive.org/download/SOPIK1905/1905.pdf#page=382</v>
      </c>
      <c r="R374" s="27" t="s">
        <v>506</v>
      </c>
      <c r="S374" s="27" t="s">
        <v>503</v>
      </c>
      <c r="T374" s="27" t="str">
        <f t="shared" si="34"/>
        <v>https://archive.org/download/SOPIK1905/1905.pdf#page=340</v>
      </c>
      <c r="U374" s="27"/>
      <c r="V374" s="27"/>
      <c r="W374" s="27"/>
      <c r="X374" s="27"/>
      <c r="Y374" s="27"/>
      <c r="Z374" s="27"/>
      <c r="AA374" s="27"/>
    </row>
    <row r="375" spans="1:27" x14ac:dyDescent="0.25">
      <c r="A375" s="27" t="s">
        <v>971</v>
      </c>
      <c r="B375" s="27" t="str">
        <f t="shared" si="31"/>
        <v>Kentucky</v>
      </c>
      <c r="C375" s="27" t="str">
        <f t="shared" si="32"/>
        <v>Nelson</v>
      </c>
      <c r="D375" s="27" t="s">
        <v>383</v>
      </c>
      <c r="E375" s="2" t="s">
        <v>383</v>
      </c>
      <c r="F375" s="27">
        <f>'KY pre'!M91</f>
        <v>124.9968387776607</v>
      </c>
      <c r="G375" s="27"/>
      <c r="H375" s="28"/>
      <c r="I375" s="2">
        <v>37175</v>
      </c>
      <c r="J375" s="27">
        <v>81</v>
      </c>
      <c r="K375" s="27">
        <f>'KY pre'!T91</f>
        <v>37175</v>
      </c>
      <c r="L375" s="27">
        <v>1905</v>
      </c>
      <c r="M375" s="27" t="s">
        <v>468</v>
      </c>
      <c r="N375" s="27" t="s">
        <v>499</v>
      </c>
      <c r="O375" s="27" t="str">
        <f>'KY pre'!X91</f>
        <v>https://archive.org/download/SOPIK1905/1905.pdf#page=330</v>
      </c>
      <c r="P375" s="27" t="s">
        <v>505</v>
      </c>
      <c r="Q375" s="27" t="str">
        <f t="shared" si="33"/>
        <v>https://archive.org/download/SOPIK1905/1905.pdf#page=382</v>
      </c>
      <c r="R375" s="27" t="s">
        <v>506</v>
      </c>
      <c r="S375" s="27" t="s">
        <v>503</v>
      </c>
      <c r="T375" s="27" t="str">
        <f t="shared" si="34"/>
        <v>https://archive.org/download/SOPIK1905/1905.pdf#page=340</v>
      </c>
      <c r="U375" s="27"/>
      <c r="V375" s="27"/>
      <c r="W375" s="27"/>
      <c r="X375" s="27"/>
      <c r="Y375" s="27"/>
      <c r="Z375" s="27"/>
      <c r="AA375" s="27"/>
    </row>
    <row r="376" spans="1:27" x14ac:dyDescent="0.25">
      <c r="A376" s="27" t="s">
        <v>972</v>
      </c>
      <c r="B376" s="27" t="str">
        <f t="shared" si="31"/>
        <v>Kentucky</v>
      </c>
      <c r="C376" s="27" t="str">
        <f t="shared" si="32"/>
        <v>Nicholas</v>
      </c>
      <c r="D376" s="27">
        <v>1280</v>
      </c>
      <c r="E376" s="2">
        <v>54</v>
      </c>
      <c r="F376" s="27">
        <f>'KY pre'!M92</f>
        <v>117.22788986362185</v>
      </c>
      <c r="G376" s="25">
        <v>2248</v>
      </c>
      <c r="H376" s="28">
        <f>'KY pre'!Q92</f>
        <v>29.285718750000001</v>
      </c>
      <c r="I376" s="2">
        <v>51500</v>
      </c>
      <c r="J376" s="27">
        <v>48</v>
      </c>
      <c r="K376" s="27">
        <f>'KY pre'!T92</f>
        <v>51500</v>
      </c>
      <c r="L376" s="27">
        <v>1905</v>
      </c>
      <c r="M376" s="27" t="s">
        <v>468</v>
      </c>
      <c r="N376" s="27" t="s">
        <v>499</v>
      </c>
      <c r="O376" s="27" t="str">
        <f>'KY pre'!X92</f>
        <v>https://archive.org/download/SOPIK1905/1905.pdf#page=330</v>
      </c>
      <c r="P376" s="27" t="s">
        <v>505</v>
      </c>
      <c r="Q376" s="27" t="str">
        <f t="shared" si="33"/>
        <v>https://archive.org/download/SOPIK1905/1905.pdf#page=382</v>
      </c>
      <c r="R376" s="27" t="s">
        <v>506</v>
      </c>
      <c r="S376" s="27" t="s">
        <v>503</v>
      </c>
      <c r="T376" s="27" t="str">
        <f t="shared" si="34"/>
        <v>https://archive.org/download/SOPIK1905/1905.pdf#page=340</v>
      </c>
      <c r="U376" s="27"/>
      <c r="V376" s="27"/>
      <c r="W376" s="27"/>
      <c r="X376" s="27"/>
      <c r="Y376" s="27"/>
      <c r="Z376" s="27"/>
      <c r="AA376" s="27"/>
    </row>
    <row r="377" spans="1:27" x14ac:dyDescent="0.25">
      <c r="A377" s="27" t="s">
        <v>973</v>
      </c>
      <c r="B377" s="27" t="str">
        <f t="shared" si="31"/>
        <v>Kentucky</v>
      </c>
      <c r="C377" s="27" t="str">
        <f t="shared" si="32"/>
        <v>Ohio</v>
      </c>
      <c r="D377" s="27">
        <v>6060</v>
      </c>
      <c r="E377" s="2">
        <v>126</v>
      </c>
      <c r="F377" s="27">
        <f>'KY pre'!M93</f>
        <v>115.78162844059187</v>
      </c>
      <c r="G377" s="27">
        <v>6300</v>
      </c>
      <c r="H377" s="28">
        <f>'KY pre'!Q93</f>
        <v>28.666666666666668</v>
      </c>
      <c r="I377" s="2">
        <v>35900</v>
      </c>
      <c r="J377" s="27">
        <v>131</v>
      </c>
      <c r="K377" s="27">
        <f>'KY pre'!T93</f>
        <v>35900</v>
      </c>
      <c r="L377" s="27">
        <v>1905</v>
      </c>
      <c r="M377" s="27" t="s">
        <v>468</v>
      </c>
      <c r="N377" s="27" t="s">
        <v>499</v>
      </c>
      <c r="O377" s="27" t="str">
        <f>'KY pre'!X93</f>
        <v>https://archive.org/download/SOPIK1905/1905.pdf#page=330</v>
      </c>
      <c r="P377" s="27" t="s">
        <v>505</v>
      </c>
      <c r="Q377" s="27" t="str">
        <f t="shared" si="33"/>
        <v>https://archive.org/download/SOPIK1905/1905.pdf#page=382</v>
      </c>
      <c r="R377" s="27" t="s">
        <v>506</v>
      </c>
      <c r="S377" s="27" t="s">
        <v>503</v>
      </c>
      <c r="T377" s="27" t="str">
        <f t="shared" si="34"/>
        <v>https://archive.org/download/SOPIK1905/1905.pdf#page=340</v>
      </c>
      <c r="U377" s="27"/>
      <c r="V377" s="27"/>
      <c r="W377" s="27"/>
      <c r="X377" s="27"/>
      <c r="Y377" s="27"/>
      <c r="Z377" s="27"/>
      <c r="AA377" s="27"/>
    </row>
    <row r="378" spans="1:27" x14ac:dyDescent="0.25">
      <c r="A378" s="27" t="s">
        <v>974</v>
      </c>
      <c r="B378" s="27" t="str">
        <f t="shared" si="31"/>
        <v>Kentucky</v>
      </c>
      <c r="C378" s="27" t="str">
        <f t="shared" si="32"/>
        <v>Oldham</v>
      </c>
      <c r="D378" s="27" t="s">
        <v>383</v>
      </c>
      <c r="E378" s="2">
        <v>33</v>
      </c>
      <c r="F378" s="27">
        <f>'KY pre'!M94</f>
        <v>114.53645412967447</v>
      </c>
      <c r="G378" s="25">
        <v>1157</v>
      </c>
      <c r="H378" s="28"/>
      <c r="I378" s="2">
        <v>12600</v>
      </c>
      <c r="J378" s="27">
        <v>27</v>
      </c>
      <c r="K378" s="27">
        <f>'KY pre'!T94</f>
        <v>12600</v>
      </c>
      <c r="L378" s="27">
        <v>1905</v>
      </c>
      <c r="M378" s="27" t="s">
        <v>468</v>
      </c>
      <c r="N378" s="27" t="s">
        <v>499</v>
      </c>
      <c r="O378" s="27" t="str">
        <f>'KY pre'!X94</f>
        <v>https://archive.org/download/SOPIK1905/1905.pdf#page=330</v>
      </c>
      <c r="P378" s="27" t="s">
        <v>505</v>
      </c>
      <c r="Q378" s="27" t="str">
        <f t="shared" si="33"/>
        <v>https://archive.org/download/SOPIK1905/1905.pdf#page=382</v>
      </c>
      <c r="R378" s="27" t="s">
        <v>506</v>
      </c>
      <c r="S378" s="27" t="s">
        <v>503</v>
      </c>
      <c r="T378" s="27" t="str">
        <f t="shared" si="34"/>
        <v>https://archive.org/download/SOPIK1905/1905.pdf#page=340</v>
      </c>
      <c r="U378" s="27"/>
      <c r="V378" s="27"/>
      <c r="W378" s="27"/>
      <c r="X378" s="27"/>
      <c r="Y378" s="27"/>
      <c r="Z378" s="27"/>
      <c r="AA378" s="27"/>
    </row>
    <row r="379" spans="1:27" x14ac:dyDescent="0.25">
      <c r="A379" s="27" t="s">
        <v>975</v>
      </c>
      <c r="B379" s="27" t="str">
        <f t="shared" si="31"/>
        <v>Kentucky</v>
      </c>
      <c r="C379" s="27" t="str">
        <f t="shared" si="32"/>
        <v>Owen</v>
      </c>
      <c r="D379" s="27" t="s">
        <v>383</v>
      </c>
      <c r="E379" s="2">
        <v>28</v>
      </c>
      <c r="F379" s="27">
        <f>'KY pre'!M95</f>
        <v>112.9089214932288</v>
      </c>
      <c r="G379" s="27">
        <v>2786</v>
      </c>
      <c r="H379" s="28"/>
      <c r="I379" s="2">
        <v>36000</v>
      </c>
      <c r="J379" s="27">
        <v>86</v>
      </c>
      <c r="K379" s="27">
        <f>'KY pre'!T95</f>
        <v>36000</v>
      </c>
      <c r="L379" s="27">
        <v>1905</v>
      </c>
      <c r="M379" s="27" t="s">
        <v>468</v>
      </c>
      <c r="N379" s="27" t="s">
        <v>499</v>
      </c>
      <c r="O379" s="27" t="str">
        <f>'KY pre'!X95</f>
        <v>https://archive.org/download/SOPIK1905/1905.pdf#page=330</v>
      </c>
      <c r="P379" s="27" t="s">
        <v>505</v>
      </c>
      <c r="Q379" s="27" t="str">
        <f t="shared" si="33"/>
        <v>https://archive.org/download/SOPIK1905/1905.pdf#page=382</v>
      </c>
      <c r="R379" s="27" t="s">
        <v>506</v>
      </c>
      <c r="S379" s="27" t="s">
        <v>503</v>
      </c>
      <c r="T379" s="27" t="str">
        <f t="shared" si="34"/>
        <v>https://archive.org/download/SOPIK1905/1905.pdf#page=340</v>
      </c>
      <c r="U379" s="27"/>
      <c r="V379" s="27"/>
      <c r="W379" s="27"/>
      <c r="X379" s="27"/>
      <c r="Y379" s="27"/>
      <c r="Z379" s="27"/>
      <c r="AA379" s="27"/>
    </row>
    <row r="380" spans="1:27" x14ac:dyDescent="0.25">
      <c r="A380" s="27" t="s">
        <v>976</v>
      </c>
      <c r="B380" s="27" t="str">
        <f t="shared" si="31"/>
        <v>Kentucky</v>
      </c>
      <c r="C380" s="27" t="str">
        <f t="shared" si="32"/>
        <v>Owsley</v>
      </c>
      <c r="D380" s="27">
        <v>1263</v>
      </c>
      <c r="E380" s="2">
        <v>58</v>
      </c>
      <c r="F380" s="27">
        <f>'KY pre'!M96</f>
        <v>124.9968387776607</v>
      </c>
      <c r="G380" s="25">
        <v>2147</v>
      </c>
      <c r="H380" s="28">
        <f>'KY pre'!Q96</f>
        <v>31.052430720506731</v>
      </c>
      <c r="I380" s="2">
        <v>12150</v>
      </c>
      <c r="J380" s="27">
        <v>42</v>
      </c>
      <c r="K380" s="27">
        <f>'KY pre'!T96</f>
        <v>12150</v>
      </c>
      <c r="L380" s="27">
        <v>1905</v>
      </c>
      <c r="M380" s="27" t="s">
        <v>468</v>
      </c>
      <c r="N380" s="27" t="s">
        <v>499</v>
      </c>
      <c r="O380" s="27" t="str">
        <f>'KY pre'!X96</f>
        <v>https://archive.org/download/SOPIK1905/1905.pdf#page=330</v>
      </c>
      <c r="P380" s="27" t="s">
        <v>505</v>
      </c>
      <c r="Q380" s="27" t="str">
        <f t="shared" si="33"/>
        <v>https://archive.org/download/SOPIK1905/1905.pdf#page=382</v>
      </c>
      <c r="R380" s="27" t="s">
        <v>506</v>
      </c>
      <c r="S380" s="27" t="s">
        <v>503</v>
      </c>
      <c r="T380" s="27" t="str">
        <f t="shared" si="34"/>
        <v>https://archive.org/download/SOPIK1905/1905.pdf#page=340</v>
      </c>
      <c r="U380" s="27"/>
      <c r="V380" s="27"/>
      <c r="W380" s="27"/>
      <c r="X380" s="27"/>
      <c r="Y380" s="27"/>
      <c r="Z380" s="27"/>
      <c r="AA380" s="27"/>
    </row>
    <row r="381" spans="1:27" x14ac:dyDescent="0.25">
      <c r="A381" s="27" t="s">
        <v>977</v>
      </c>
      <c r="B381" s="27" t="str">
        <f t="shared" si="31"/>
        <v>Kentucky</v>
      </c>
      <c r="C381" s="27" t="str">
        <f t="shared" si="32"/>
        <v>Pendleton</v>
      </c>
      <c r="D381" s="27">
        <v>3250</v>
      </c>
      <c r="E381" s="2">
        <v>63</v>
      </c>
      <c r="F381" s="27">
        <f>'KY pre'!M97</f>
        <v>121.75218996404156</v>
      </c>
      <c r="G381" s="27">
        <v>2780</v>
      </c>
      <c r="H381" s="28">
        <f>'KY pre'!Q97</f>
        <v>38.5</v>
      </c>
      <c r="I381" s="2">
        <v>34900</v>
      </c>
      <c r="J381" s="27">
        <v>70</v>
      </c>
      <c r="K381" s="27">
        <f>'KY pre'!T97</f>
        <v>34900</v>
      </c>
      <c r="L381" s="27">
        <v>1905</v>
      </c>
      <c r="M381" s="27" t="s">
        <v>468</v>
      </c>
      <c r="N381" s="27" t="s">
        <v>499</v>
      </c>
      <c r="O381" s="27" t="str">
        <f>'KY pre'!X97</f>
        <v>https://archive.org/download/SOPIK1905/1905.pdf#page=330</v>
      </c>
      <c r="P381" s="27" t="s">
        <v>505</v>
      </c>
      <c r="Q381" s="27" t="str">
        <f t="shared" si="33"/>
        <v>https://archive.org/download/SOPIK1905/1905.pdf#page=382</v>
      </c>
      <c r="R381" s="27" t="s">
        <v>506</v>
      </c>
      <c r="S381" s="27" t="s">
        <v>503</v>
      </c>
      <c r="T381" s="27" t="str">
        <f t="shared" si="34"/>
        <v>https://archive.org/download/SOPIK1905/1905.pdf#page=340</v>
      </c>
      <c r="U381" s="27"/>
      <c r="V381" s="27"/>
      <c r="W381" s="27"/>
      <c r="X381" s="27"/>
      <c r="Y381" s="27"/>
      <c r="Z381" s="27"/>
      <c r="AA381" s="27"/>
    </row>
    <row r="382" spans="1:27" x14ac:dyDescent="0.25">
      <c r="A382" s="27" t="s">
        <v>978</v>
      </c>
      <c r="B382" s="27" t="str">
        <f t="shared" si="31"/>
        <v>Kentucky</v>
      </c>
      <c r="C382" s="27" t="str">
        <f t="shared" si="32"/>
        <v>Perry</v>
      </c>
      <c r="D382" s="27">
        <v>1370</v>
      </c>
      <c r="E382" s="2">
        <v>70</v>
      </c>
      <c r="F382" s="27">
        <f>'KY pre'!M98</f>
        <v>124.9968387776607</v>
      </c>
      <c r="G382" s="25">
        <v>2800</v>
      </c>
      <c r="H382" s="28">
        <f>'KY pre'!Q98</f>
        <v>39.735021897810221</v>
      </c>
      <c r="I382" s="2">
        <v>10425</v>
      </c>
      <c r="J382" s="27">
        <v>56</v>
      </c>
      <c r="K382" s="27">
        <f>'KY pre'!T98</f>
        <v>10435</v>
      </c>
      <c r="L382" s="27">
        <v>1905</v>
      </c>
      <c r="M382" s="27" t="s">
        <v>468</v>
      </c>
      <c r="N382" s="27" t="s">
        <v>499</v>
      </c>
      <c r="O382" s="27" t="str">
        <f>'KY pre'!X98</f>
        <v>https://archive.org/download/SOPIK1905/1905.pdf#page=330</v>
      </c>
      <c r="P382" s="27" t="s">
        <v>505</v>
      </c>
      <c r="Q382" s="27" t="str">
        <f t="shared" si="33"/>
        <v>https://archive.org/download/SOPIK1905/1905.pdf#page=382</v>
      </c>
      <c r="R382" s="27" t="s">
        <v>506</v>
      </c>
      <c r="S382" s="27" t="s">
        <v>503</v>
      </c>
      <c r="T382" s="27" t="str">
        <f t="shared" si="34"/>
        <v>https://archive.org/download/SOPIK1905/1905.pdf#page=340</v>
      </c>
      <c r="U382" s="27"/>
      <c r="V382" s="27"/>
      <c r="W382" s="27"/>
      <c r="X382" s="27"/>
      <c r="Y382" s="27"/>
      <c r="Z382" s="27"/>
      <c r="AA382" s="27"/>
    </row>
    <row r="383" spans="1:27" x14ac:dyDescent="0.25">
      <c r="A383" s="27" t="s">
        <v>979</v>
      </c>
      <c r="B383" s="27" t="str">
        <f t="shared" si="31"/>
        <v>Kentucky</v>
      </c>
      <c r="C383" s="27" t="str">
        <f t="shared" si="32"/>
        <v>Pike</v>
      </c>
      <c r="D383" s="27">
        <v>2879</v>
      </c>
      <c r="E383" s="2">
        <v>145</v>
      </c>
      <c r="F383" s="27">
        <f>'KY pre'!M99</f>
        <v>127.85784569591306</v>
      </c>
      <c r="G383" s="27">
        <v>6457</v>
      </c>
      <c r="H383" s="28">
        <f>'KY pre'!Q99</f>
        <v>34.2245710316082</v>
      </c>
      <c r="I383" s="2">
        <v>36198</v>
      </c>
      <c r="J383" s="27">
        <v>138</v>
      </c>
      <c r="K383" s="27">
        <f>'KY pre'!T99</f>
        <v>36198</v>
      </c>
      <c r="L383" s="27">
        <v>1905</v>
      </c>
      <c r="M383" s="27" t="s">
        <v>468</v>
      </c>
      <c r="N383" s="27" t="s">
        <v>499</v>
      </c>
      <c r="O383" s="27" t="str">
        <f>'KY pre'!X99</f>
        <v>https://archive.org/download/SOPIK1905/1905.pdf#page=330</v>
      </c>
      <c r="P383" s="27" t="s">
        <v>505</v>
      </c>
      <c r="Q383" s="27" t="str">
        <f t="shared" si="33"/>
        <v>https://archive.org/download/SOPIK1905/1905.pdf#page=382</v>
      </c>
      <c r="R383" s="27" t="s">
        <v>506</v>
      </c>
      <c r="S383" s="27" t="s">
        <v>503</v>
      </c>
      <c r="T383" s="27" t="str">
        <f t="shared" si="34"/>
        <v>https://archive.org/download/SOPIK1905/1905.pdf#page=340</v>
      </c>
      <c r="U383" s="27"/>
      <c r="V383" s="27"/>
      <c r="W383" s="27"/>
      <c r="X383" s="27"/>
      <c r="Y383" s="27"/>
      <c r="Z383" s="27"/>
      <c r="AA383" s="27"/>
    </row>
    <row r="384" spans="1:27" x14ac:dyDescent="0.25">
      <c r="A384" s="27" t="s">
        <v>980</v>
      </c>
      <c r="B384" s="27" t="str">
        <f t="shared" si="31"/>
        <v>Kentucky</v>
      </c>
      <c r="C384" s="27" t="str">
        <f t="shared" si="32"/>
        <v>Powell</v>
      </c>
      <c r="D384" s="27" t="s">
        <v>383</v>
      </c>
      <c r="E384" s="2" t="s">
        <v>383</v>
      </c>
      <c r="F384" s="27">
        <f>'KY pre'!M100</f>
        <v>124.9968387776607</v>
      </c>
      <c r="G384" s="27"/>
      <c r="H384" s="28"/>
      <c r="I384" s="2">
        <v>9040</v>
      </c>
      <c r="J384" s="27">
        <v>38</v>
      </c>
      <c r="K384" s="27">
        <f>'KY pre'!T100</f>
        <v>9040</v>
      </c>
      <c r="L384" s="27">
        <v>1905</v>
      </c>
      <c r="M384" s="27" t="s">
        <v>468</v>
      </c>
      <c r="N384" s="27" t="s">
        <v>499</v>
      </c>
      <c r="O384" s="27" t="str">
        <f>'KY pre'!X100</f>
        <v>https://archive.org/download/SOPIK1905/1905.pdf#page=330</v>
      </c>
      <c r="P384" s="27" t="s">
        <v>505</v>
      </c>
      <c r="Q384" s="27" t="str">
        <f t="shared" si="33"/>
        <v>https://archive.org/download/SOPIK1905/1905.pdf#page=382</v>
      </c>
      <c r="R384" s="27" t="s">
        <v>506</v>
      </c>
      <c r="S384" s="27" t="s">
        <v>503</v>
      </c>
      <c r="T384" s="27" t="str">
        <f t="shared" si="34"/>
        <v>https://archive.org/download/SOPIK1905/1905.pdf#page=340</v>
      </c>
      <c r="U384" s="27"/>
      <c r="V384" s="27"/>
      <c r="W384" s="27"/>
      <c r="X384" s="27"/>
      <c r="Y384" s="27"/>
      <c r="Z384" s="27"/>
      <c r="AA384" s="27"/>
    </row>
    <row r="385" spans="1:27" x14ac:dyDescent="0.25">
      <c r="A385" s="27" t="s">
        <v>981</v>
      </c>
      <c r="B385" s="27" t="str">
        <f t="shared" si="31"/>
        <v>Kentucky</v>
      </c>
      <c r="C385" s="27" t="str">
        <f t="shared" si="32"/>
        <v>Pulaski</v>
      </c>
      <c r="D385" s="27">
        <v>5701</v>
      </c>
      <c r="E385" s="2">
        <v>207</v>
      </c>
      <c r="F385" s="27">
        <f>'KY pre'!M101</f>
        <v>140.9145851241847</v>
      </c>
      <c r="G385" s="27">
        <v>9433</v>
      </c>
      <c r="H385" s="28">
        <f>'KY pre'!Q101</f>
        <v>30.65602525872654</v>
      </c>
      <c r="I385" s="2">
        <v>71500</v>
      </c>
      <c r="J385" s="27">
        <v>168</v>
      </c>
      <c r="K385" s="27">
        <f>'KY pre'!T101</f>
        <v>71500</v>
      </c>
      <c r="L385" s="27">
        <v>1905</v>
      </c>
      <c r="M385" s="27" t="s">
        <v>468</v>
      </c>
      <c r="N385" s="27" t="s">
        <v>499</v>
      </c>
      <c r="O385" s="27" t="str">
        <f>'KY pre'!X101</f>
        <v>https://archive.org/download/SOPIK1905/1905.pdf#page=330</v>
      </c>
      <c r="P385" s="27" t="s">
        <v>505</v>
      </c>
      <c r="Q385" s="27" t="str">
        <f t="shared" si="33"/>
        <v>https://archive.org/download/SOPIK1905/1905.pdf#page=382</v>
      </c>
      <c r="R385" s="27" t="s">
        <v>506</v>
      </c>
      <c r="S385" s="27" t="s">
        <v>503</v>
      </c>
      <c r="T385" s="27" t="str">
        <f t="shared" si="34"/>
        <v>https://archive.org/download/SOPIK1905/1905.pdf#page=340</v>
      </c>
      <c r="U385" s="27"/>
      <c r="V385" s="27"/>
      <c r="W385" s="27"/>
      <c r="X385" s="27"/>
      <c r="Y385" s="27"/>
      <c r="Z385" s="27"/>
      <c r="AA385" s="27"/>
    </row>
    <row r="386" spans="1:27" x14ac:dyDescent="0.25">
      <c r="A386" s="27" t="s">
        <v>982</v>
      </c>
      <c r="B386" s="27" t="str">
        <f t="shared" si="31"/>
        <v>Kentucky</v>
      </c>
      <c r="C386" s="27" t="str">
        <f t="shared" si="32"/>
        <v>Robertson</v>
      </c>
      <c r="D386" s="27">
        <v>4661</v>
      </c>
      <c r="E386" s="2">
        <v>23</v>
      </c>
      <c r="F386" s="27">
        <f>'KY pre'!M102</f>
        <v>115.90359890185479</v>
      </c>
      <c r="G386" s="27">
        <v>851</v>
      </c>
      <c r="H386" s="28">
        <f>'KY pre'!Q102</f>
        <v>27.206901952370735</v>
      </c>
      <c r="I386" s="2">
        <v>5500</v>
      </c>
      <c r="J386" s="27">
        <v>22</v>
      </c>
      <c r="K386" s="27">
        <f>'KY pre'!T102</f>
        <v>5500</v>
      </c>
      <c r="L386" s="27">
        <v>1905</v>
      </c>
      <c r="M386" s="27" t="s">
        <v>468</v>
      </c>
      <c r="N386" s="27" t="s">
        <v>499</v>
      </c>
      <c r="O386" s="27" t="str">
        <f>'KY pre'!X102</f>
        <v>https://archive.org/download/SOPIK1905/1905.pdf#page=330</v>
      </c>
      <c r="P386" s="27" t="s">
        <v>505</v>
      </c>
      <c r="Q386" s="27" t="str">
        <f t="shared" si="33"/>
        <v>https://archive.org/download/SOPIK1905/1905.pdf#page=382</v>
      </c>
      <c r="R386" s="27" t="s">
        <v>506</v>
      </c>
      <c r="S386" s="27" t="s">
        <v>503</v>
      </c>
      <c r="T386" s="27" t="str">
        <f t="shared" si="34"/>
        <v>https://archive.org/download/SOPIK1905/1905.pdf#page=340</v>
      </c>
      <c r="U386" s="27"/>
      <c r="V386" s="27"/>
      <c r="W386" s="27"/>
      <c r="X386" s="27"/>
      <c r="Y386" s="27"/>
      <c r="Z386" s="27"/>
      <c r="AA386" s="27"/>
    </row>
    <row r="387" spans="1:27" x14ac:dyDescent="0.25">
      <c r="A387" s="27" t="s">
        <v>983</v>
      </c>
      <c r="B387" s="27" t="str">
        <f t="shared" si="31"/>
        <v>Kentucky</v>
      </c>
      <c r="C387" s="27" t="str">
        <f t="shared" si="32"/>
        <v>Rockcastle</v>
      </c>
      <c r="D387" s="27">
        <v>3625</v>
      </c>
      <c r="E387" s="2">
        <v>73</v>
      </c>
      <c r="F387" s="27">
        <f>'KY pre'!M103</f>
        <v>124.9968387776607</v>
      </c>
      <c r="G387" s="27">
        <v>3598</v>
      </c>
      <c r="H387" s="28">
        <f>'KY pre'!Q103</f>
        <v>32.64</v>
      </c>
      <c r="I387" s="2">
        <v>18200</v>
      </c>
      <c r="J387" s="27">
        <v>71</v>
      </c>
      <c r="K387" s="27">
        <f>'KY pre'!T103</f>
        <v>18200</v>
      </c>
      <c r="L387" s="27">
        <v>1905</v>
      </c>
      <c r="M387" s="27" t="s">
        <v>468</v>
      </c>
      <c r="N387" s="27" t="s">
        <v>499</v>
      </c>
      <c r="O387" s="27" t="str">
        <f>'KY pre'!X103</f>
        <v>https://archive.org/download/SOPIK1905/1905.pdf#page=330</v>
      </c>
      <c r="P387" s="27" t="s">
        <v>505</v>
      </c>
      <c r="Q387" s="27" t="str">
        <f t="shared" si="33"/>
        <v>https://archive.org/download/SOPIK1905/1905.pdf#page=382</v>
      </c>
      <c r="R387" s="27" t="s">
        <v>506</v>
      </c>
      <c r="S387" s="27" t="s">
        <v>503</v>
      </c>
      <c r="T387" s="27" t="str">
        <f t="shared" si="34"/>
        <v>https://archive.org/download/SOPIK1905/1905.pdf#page=340</v>
      </c>
      <c r="U387" s="27"/>
      <c r="V387" s="27"/>
      <c r="W387" s="27"/>
      <c r="X387" s="27"/>
      <c r="Y387" s="27"/>
      <c r="Z387" s="27"/>
      <c r="AA387" s="27"/>
    </row>
    <row r="388" spans="1:27" x14ac:dyDescent="0.25">
      <c r="A388" s="27" t="s">
        <v>984</v>
      </c>
      <c r="B388" s="27" t="str">
        <f t="shared" si="31"/>
        <v>Kentucky</v>
      </c>
      <c r="C388" s="27" t="str">
        <f t="shared" si="32"/>
        <v>Rowan</v>
      </c>
      <c r="D388" s="27">
        <v>1586</v>
      </c>
      <c r="E388" s="2">
        <v>70</v>
      </c>
      <c r="F388" s="27">
        <f>'KY pre'!M104</f>
        <v>124.9968387776607</v>
      </c>
      <c r="G388" s="27">
        <v>2355</v>
      </c>
      <c r="H388" s="28">
        <f>'KY pre'!Q104</f>
        <v>32.936078184110968</v>
      </c>
      <c r="I388" s="2">
        <v>11000</v>
      </c>
      <c r="J388" s="27">
        <v>46</v>
      </c>
      <c r="K388" s="27">
        <f>'KY pre'!T104</f>
        <v>11000</v>
      </c>
      <c r="L388" s="27">
        <v>1905</v>
      </c>
      <c r="M388" s="27" t="s">
        <v>468</v>
      </c>
      <c r="N388" s="27" t="s">
        <v>499</v>
      </c>
      <c r="O388" s="27" t="str">
        <f>'KY pre'!X104</f>
        <v>https://archive.org/download/SOPIK1905/1905.pdf#page=330</v>
      </c>
      <c r="P388" s="27" t="s">
        <v>505</v>
      </c>
      <c r="Q388" s="27" t="str">
        <f t="shared" si="33"/>
        <v>https://archive.org/download/SOPIK1905/1905.pdf#page=382</v>
      </c>
      <c r="R388" s="27" t="s">
        <v>506</v>
      </c>
      <c r="S388" s="27" t="s">
        <v>503</v>
      </c>
      <c r="T388" s="27" t="str">
        <f t="shared" si="34"/>
        <v>https://archive.org/download/SOPIK1905/1905.pdf#page=340</v>
      </c>
      <c r="U388" s="27"/>
      <c r="V388" s="27"/>
      <c r="W388" s="27"/>
      <c r="X388" s="27"/>
      <c r="Y388" s="27"/>
      <c r="Z388" s="27"/>
      <c r="AA388" s="27"/>
    </row>
    <row r="389" spans="1:27" x14ac:dyDescent="0.25">
      <c r="A389" s="27" t="s">
        <v>985</v>
      </c>
      <c r="B389" s="27" t="str">
        <f t="shared" si="31"/>
        <v>Kentucky</v>
      </c>
      <c r="C389" s="27" t="str">
        <f t="shared" si="32"/>
        <v>Russell</v>
      </c>
      <c r="D389" s="27">
        <v>1523</v>
      </c>
      <c r="E389" s="2">
        <v>105</v>
      </c>
      <c r="F389" s="27">
        <f>'KY pre'!M105</f>
        <v>124.9968387776607</v>
      </c>
      <c r="G389" s="27">
        <v>2552</v>
      </c>
      <c r="H389" s="28">
        <f>'KY pre'!Q105</f>
        <v>28.479225213394617</v>
      </c>
      <c r="I389" s="2">
        <v>12400</v>
      </c>
      <c r="J389" s="27">
        <v>60</v>
      </c>
      <c r="K389" s="27">
        <f>'KY pre'!T105</f>
        <v>12400</v>
      </c>
      <c r="L389" s="27">
        <v>1905</v>
      </c>
      <c r="M389" s="27" t="s">
        <v>468</v>
      </c>
      <c r="N389" s="27" t="s">
        <v>499</v>
      </c>
      <c r="O389" s="27" t="str">
        <f>'KY pre'!X105</f>
        <v>https://archive.org/download/SOPIK1905/1905.pdf#page=330</v>
      </c>
      <c r="P389" s="27" t="s">
        <v>505</v>
      </c>
      <c r="Q389" s="27" t="str">
        <f t="shared" si="33"/>
        <v>https://archive.org/download/SOPIK1905/1905.pdf#page=382</v>
      </c>
      <c r="R389" s="27" t="s">
        <v>506</v>
      </c>
      <c r="S389" s="27" t="s">
        <v>503</v>
      </c>
      <c r="T389" s="27" t="str">
        <f t="shared" si="34"/>
        <v>https://archive.org/download/SOPIK1905/1905.pdf#page=340</v>
      </c>
      <c r="U389" s="27"/>
      <c r="V389" s="27"/>
      <c r="W389" s="27"/>
      <c r="X389" s="27"/>
      <c r="Y389" s="27"/>
      <c r="Z389" s="27"/>
      <c r="AA389" s="27"/>
    </row>
    <row r="390" spans="1:27" x14ac:dyDescent="0.25">
      <c r="A390" s="27" t="s">
        <v>986</v>
      </c>
      <c r="B390" s="27" t="str">
        <f t="shared" si="31"/>
        <v>Kentucky</v>
      </c>
      <c r="C390" s="27" t="str">
        <f t="shared" si="32"/>
        <v>Scott</v>
      </c>
      <c r="D390" s="27">
        <v>1590</v>
      </c>
      <c r="E390" s="2">
        <v>61</v>
      </c>
      <c r="F390" s="27">
        <f>'KY pre'!M106</f>
        <v>140.00426345192591</v>
      </c>
      <c r="G390" s="27">
        <v>2857</v>
      </c>
      <c r="H390" s="28">
        <f>'KY pre'!Q106</f>
        <v>34.132754716981133</v>
      </c>
      <c r="I390" s="2">
        <v>17075</v>
      </c>
      <c r="J390" s="27">
        <v>56</v>
      </c>
      <c r="K390" s="27">
        <f>'KY pre'!T106</f>
        <v>17075</v>
      </c>
      <c r="L390" s="27">
        <v>1905</v>
      </c>
      <c r="M390" s="27" t="s">
        <v>468</v>
      </c>
      <c r="N390" s="27" t="s">
        <v>499</v>
      </c>
      <c r="O390" s="27" t="str">
        <f>'KY pre'!X106</f>
        <v>https://archive.org/download/SOPIK1905/1905.pdf#page=330</v>
      </c>
      <c r="P390" s="27" t="s">
        <v>505</v>
      </c>
      <c r="Q390" s="27" t="str">
        <f t="shared" si="33"/>
        <v>https://archive.org/download/SOPIK1905/1905.pdf#page=382</v>
      </c>
      <c r="R390" s="27" t="s">
        <v>506</v>
      </c>
      <c r="S390" s="27" t="s">
        <v>503</v>
      </c>
      <c r="T390" s="27" t="str">
        <f t="shared" si="34"/>
        <v>https://archive.org/download/SOPIK1905/1905.pdf#page=340</v>
      </c>
      <c r="U390" s="27"/>
      <c r="V390" s="27"/>
      <c r="W390" s="27"/>
      <c r="X390" s="27"/>
      <c r="Y390" s="27"/>
      <c r="Z390" s="27"/>
      <c r="AA390" s="27"/>
    </row>
    <row r="391" spans="1:27" x14ac:dyDescent="0.25">
      <c r="A391" s="27" t="s">
        <v>987</v>
      </c>
      <c r="B391" s="27" t="str">
        <f t="shared" ref="B391:B454" si="35">LEFT(A391,FIND(";",A391)-1)</f>
        <v>Kentucky</v>
      </c>
      <c r="C391" s="27" t="str">
        <f t="shared" ref="C391:C454" si="36">MID(A391,FIND(";",A391)+1,100)</f>
        <v>Shelby</v>
      </c>
      <c r="D391" s="27" t="s">
        <v>383</v>
      </c>
      <c r="E391" s="2">
        <v>89</v>
      </c>
      <c r="F391" s="27">
        <f>'KY pre'!M107</f>
        <v>124.9968387776607</v>
      </c>
      <c r="G391" s="27"/>
      <c r="H391" s="28"/>
      <c r="I391" s="2">
        <v>20000</v>
      </c>
      <c r="J391" s="27">
        <v>68</v>
      </c>
      <c r="K391" s="27">
        <f>'KY pre'!T107</f>
        <v>20000</v>
      </c>
      <c r="L391" s="27">
        <v>1905</v>
      </c>
      <c r="M391" s="27" t="s">
        <v>468</v>
      </c>
      <c r="N391" s="27" t="s">
        <v>499</v>
      </c>
      <c r="O391" s="27" t="str">
        <f>'KY pre'!X107</f>
        <v>https://archive.org/download/SOPIK1905/1905.pdf#page=330</v>
      </c>
      <c r="P391" s="27" t="s">
        <v>505</v>
      </c>
      <c r="Q391" s="27" t="str">
        <f t="shared" si="33"/>
        <v>https://archive.org/download/SOPIK1905/1905.pdf#page=382</v>
      </c>
      <c r="R391" s="27" t="s">
        <v>506</v>
      </c>
      <c r="S391" s="27" t="s">
        <v>503</v>
      </c>
      <c r="T391" s="27" t="str">
        <f t="shared" si="34"/>
        <v>https://archive.org/download/SOPIK1905/1905.pdf#page=340</v>
      </c>
      <c r="U391" s="27"/>
      <c r="V391" s="27"/>
      <c r="W391" s="27"/>
      <c r="X391" s="27"/>
      <c r="Y391" s="27"/>
      <c r="Z391" s="27"/>
      <c r="AA391" s="27"/>
    </row>
    <row r="392" spans="1:27" x14ac:dyDescent="0.25">
      <c r="A392" s="27" t="s">
        <v>988</v>
      </c>
      <c r="B392" s="27" t="str">
        <f t="shared" si="35"/>
        <v>Kentucky</v>
      </c>
      <c r="C392" s="27" t="str">
        <f t="shared" si="36"/>
        <v>Simpson</v>
      </c>
      <c r="D392" s="27">
        <v>1730</v>
      </c>
      <c r="E392" s="2">
        <v>113</v>
      </c>
      <c r="F392" s="27">
        <f>'KY pre'!M108</f>
        <v>124.9968387776607</v>
      </c>
      <c r="G392" s="27">
        <v>2390</v>
      </c>
      <c r="H392" s="28">
        <f>'KY pre'!Q108</f>
        <v>32.046242774566473</v>
      </c>
      <c r="I392" s="2">
        <v>20000</v>
      </c>
      <c r="J392" s="27">
        <v>53</v>
      </c>
      <c r="K392" s="27">
        <f>'KY pre'!T108</f>
        <v>20000</v>
      </c>
      <c r="L392" s="27">
        <v>1905</v>
      </c>
      <c r="M392" s="27" t="s">
        <v>468</v>
      </c>
      <c r="N392" s="27" t="s">
        <v>499</v>
      </c>
      <c r="O392" s="27" t="str">
        <f>'KY pre'!X108</f>
        <v>https://archive.org/download/SOPIK1905/1905.pdf#page=330</v>
      </c>
      <c r="P392" s="27" t="s">
        <v>505</v>
      </c>
      <c r="Q392" s="27" t="str">
        <f t="shared" si="33"/>
        <v>https://archive.org/download/SOPIK1905/1905.pdf#page=382</v>
      </c>
      <c r="R392" s="27" t="s">
        <v>506</v>
      </c>
      <c r="S392" s="27" t="s">
        <v>503</v>
      </c>
      <c r="T392" s="27" t="str">
        <f t="shared" si="34"/>
        <v>https://archive.org/download/SOPIK1905/1905.pdf#page=340</v>
      </c>
      <c r="U392" s="27"/>
      <c r="V392" s="27"/>
      <c r="W392" s="27"/>
      <c r="X392" s="27"/>
      <c r="Y392" s="27"/>
      <c r="Z392" s="27"/>
      <c r="AA392" s="27"/>
    </row>
    <row r="393" spans="1:27" x14ac:dyDescent="0.25">
      <c r="A393" s="27" t="s">
        <v>989</v>
      </c>
      <c r="B393" s="27" t="str">
        <f t="shared" si="35"/>
        <v>Kentucky</v>
      </c>
      <c r="C393" s="27" t="str">
        <f t="shared" si="36"/>
        <v>Spencer</v>
      </c>
      <c r="D393" s="27">
        <v>1681</v>
      </c>
      <c r="E393" s="2">
        <v>42</v>
      </c>
      <c r="F393" s="27">
        <f>'KY pre'!M109</f>
        <v>113.63745094168142</v>
      </c>
      <c r="G393" s="27">
        <v>2089</v>
      </c>
      <c r="H393" s="28">
        <f>'KY pre'!Q109</f>
        <v>35.582724568709104</v>
      </c>
      <c r="I393" s="2">
        <v>6900</v>
      </c>
      <c r="J393" s="27">
        <v>41</v>
      </c>
      <c r="K393" s="27">
        <f>'KY pre'!T109</f>
        <v>6900</v>
      </c>
      <c r="L393" s="27">
        <v>1905</v>
      </c>
      <c r="M393" s="27" t="s">
        <v>468</v>
      </c>
      <c r="N393" s="27" t="s">
        <v>499</v>
      </c>
      <c r="O393" s="27" t="str">
        <f>'KY pre'!X109</f>
        <v>https://archive.org/download/SOPIK1905/1905.pdf#page=330</v>
      </c>
      <c r="P393" s="27" t="s">
        <v>505</v>
      </c>
      <c r="Q393" s="27" t="str">
        <f t="shared" si="33"/>
        <v>https://archive.org/download/SOPIK1905/1905.pdf#page=382</v>
      </c>
      <c r="R393" s="27" t="s">
        <v>506</v>
      </c>
      <c r="S393" s="27" t="s">
        <v>503</v>
      </c>
      <c r="T393" s="27" t="str">
        <f t="shared" si="34"/>
        <v>https://archive.org/download/SOPIK1905/1905.pdf#page=340</v>
      </c>
      <c r="U393" s="27"/>
      <c r="V393" s="27"/>
      <c r="W393" s="27"/>
      <c r="X393" s="27"/>
      <c r="Y393" s="27"/>
      <c r="Z393" s="27"/>
      <c r="AA393" s="27"/>
    </row>
    <row r="394" spans="1:27" x14ac:dyDescent="0.25">
      <c r="A394" s="27" t="s">
        <v>990</v>
      </c>
      <c r="B394" s="27" t="str">
        <f t="shared" si="35"/>
        <v>Kentucky</v>
      </c>
      <c r="C394" s="27" t="str">
        <f t="shared" si="36"/>
        <v>Taylor</v>
      </c>
      <c r="D394" s="27">
        <v>2100</v>
      </c>
      <c r="E394" s="2">
        <v>78</v>
      </c>
      <c r="F394" s="27">
        <f>'KY pre'!M110</f>
        <v>124.9968387776607</v>
      </c>
      <c r="G394" s="27">
        <v>3000</v>
      </c>
      <c r="H394" s="28">
        <f>'KY pre'!Q110</f>
        <v>30.257142857142856</v>
      </c>
      <c r="I394" s="2">
        <v>12100</v>
      </c>
      <c r="J394" s="27">
        <v>61</v>
      </c>
      <c r="K394" s="27">
        <f>'KY pre'!T110</f>
        <v>12100</v>
      </c>
      <c r="L394" s="27">
        <v>1905</v>
      </c>
      <c r="M394" s="27" t="s">
        <v>468</v>
      </c>
      <c r="N394" s="27" t="s">
        <v>499</v>
      </c>
      <c r="O394" s="27" t="str">
        <f>'KY pre'!X110</f>
        <v>https://archive.org/download/SOPIK1905/1905.pdf#page=330</v>
      </c>
      <c r="P394" s="27" t="s">
        <v>505</v>
      </c>
      <c r="Q394" s="27" t="str">
        <f t="shared" si="33"/>
        <v>https://archive.org/download/SOPIK1905/1905.pdf#page=382</v>
      </c>
      <c r="R394" s="27" t="s">
        <v>506</v>
      </c>
      <c r="S394" s="27" t="s">
        <v>503</v>
      </c>
      <c r="T394" s="27" t="str">
        <f t="shared" si="34"/>
        <v>https://archive.org/download/SOPIK1905/1905.pdf#page=340</v>
      </c>
      <c r="U394" s="27"/>
      <c r="V394" s="27"/>
      <c r="W394" s="27"/>
      <c r="X394" s="27"/>
      <c r="Y394" s="27"/>
      <c r="Z394" s="27"/>
      <c r="AA394" s="27"/>
    </row>
    <row r="395" spans="1:27" x14ac:dyDescent="0.25">
      <c r="A395" s="27" t="s">
        <v>991</v>
      </c>
      <c r="B395" s="27" t="str">
        <f t="shared" si="35"/>
        <v>Kentucky</v>
      </c>
      <c r="C395" s="27" t="str">
        <f t="shared" si="36"/>
        <v>Todd</v>
      </c>
      <c r="D395" s="27">
        <v>4500</v>
      </c>
      <c r="E395" s="2">
        <v>90</v>
      </c>
      <c r="F395" s="27">
        <f>'KY pre'!M111</f>
        <v>138.56257980710271</v>
      </c>
      <c r="G395" s="27">
        <v>5335</v>
      </c>
      <c r="H395" s="28">
        <f>'KY pre'!Q111</f>
        <v>40.083333333333336</v>
      </c>
      <c r="I395" s="2">
        <v>19400</v>
      </c>
      <c r="J395" s="27">
        <v>74</v>
      </c>
      <c r="K395" s="27">
        <f>'KY pre'!T111</f>
        <v>19400</v>
      </c>
      <c r="L395" s="27">
        <v>1905</v>
      </c>
      <c r="M395" s="27" t="s">
        <v>468</v>
      </c>
      <c r="N395" s="27" t="s">
        <v>499</v>
      </c>
      <c r="O395" s="27" t="str">
        <f>'KY pre'!X111</f>
        <v>https://archive.org/download/SOPIK1905/1905.pdf#page=330</v>
      </c>
      <c r="P395" s="27" t="s">
        <v>505</v>
      </c>
      <c r="Q395" s="27" t="str">
        <f t="shared" si="33"/>
        <v>https://archive.org/download/SOPIK1905/1905.pdf#page=382</v>
      </c>
      <c r="R395" s="27" t="s">
        <v>506</v>
      </c>
      <c r="S395" s="27" t="s">
        <v>503</v>
      </c>
      <c r="T395" s="27" t="str">
        <f t="shared" si="34"/>
        <v>https://archive.org/download/SOPIK1905/1905.pdf#page=340</v>
      </c>
      <c r="U395" s="27"/>
      <c r="V395" s="27"/>
      <c r="W395" s="27"/>
      <c r="X395" s="27"/>
      <c r="Y395" s="27"/>
      <c r="Z395" s="27"/>
      <c r="AA395" s="27"/>
    </row>
    <row r="396" spans="1:27" x14ac:dyDescent="0.25">
      <c r="A396" s="27" t="s">
        <v>1795</v>
      </c>
      <c r="B396" s="27" t="str">
        <f t="shared" si="35"/>
        <v>Kentucky</v>
      </c>
      <c r="C396" s="27" t="str">
        <f t="shared" si="36"/>
        <v>Trigg</v>
      </c>
      <c r="D396" s="27">
        <v>2625</v>
      </c>
      <c r="E396" s="2">
        <v>82</v>
      </c>
      <c r="F396" s="27">
        <f>'KY pre'!M112</f>
        <v>140.07043860284375</v>
      </c>
      <c r="G396" s="27">
        <v>4045</v>
      </c>
      <c r="H396" s="28">
        <f>'KY pre'!Q112</f>
        <v>33.247619047619047</v>
      </c>
      <c r="I396" s="2">
        <v>14155</v>
      </c>
      <c r="J396" s="27">
        <v>76</v>
      </c>
      <c r="K396" s="27">
        <f>'KY pre'!T112</f>
        <v>14155</v>
      </c>
      <c r="L396" s="27">
        <v>1905</v>
      </c>
      <c r="M396" s="27" t="s">
        <v>468</v>
      </c>
      <c r="N396" s="27" t="s">
        <v>499</v>
      </c>
      <c r="O396" s="27" t="str">
        <f>'KY pre'!X112</f>
        <v>https://archive.org/download/SOPIK1905/1905.pdf#page=330</v>
      </c>
      <c r="P396" s="27" t="s">
        <v>505</v>
      </c>
      <c r="Q396" s="27" t="str">
        <f t="shared" si="33"/>
        <v>https://archive.org/download/SOPIK1905/1905.pdf#page=382</v>
      </c>
      <c r="R396" s="27" t="s">
        <v>506</v>
      </c>
      <c r="S396" s="27" t="s">
        <v>503</v>
      </c>
      <c r="T396" s="27" t="str">
        <f t="shared" si="34"/>
        <v>https://archive.org/download/SOPIK1905/1905.pdf#page=340</v>
      </c>
      <c r="U396" s="27"/>
      <c r="V396" s="27"/>
      <c r="W396" s="27"/>
      <c r="X396" s="27"/>
      <c r="Y396" s="27"/>
      <c r="Z396" s="27"/>
      <c r="AA396" s="27"/>
    </row>
    <row r="397" spans="1:27" x14ac:dyDescent="0.25">
      <c r="A397" s="27" t="s">
        <v>992</v>
      </c>
      <c r="B397" s="27" t="str">
        <f t="shared" si="35"/>
        <v>Kentucky</v>
      </c>
      <c r="C397" s="27" t="str">
        <f t="shared" si="36"/>
        <v>Trimble</v>
      </c>
      <c r="D397" s="27">
        <v>1125</v>
      </c>
      <c r="E397" s="2">
        <v>38</v>
      </c>
      <c r="F397" s="27">
        <f>'KY pre'!M113</f>
        <v>122.76475237091675</v>
      </c>
      <c r="G397" s="27">
        <v>1748</v>
      </c>
      <c r="H397" s="28">
        <f>'KY pre'!Q113</f>
        <v>25.098222222222223</v>
      </c>
      <c r="I397" s="2">
        <v>10250</v>
      </c>
      <c r="J397" s="27">
        <v>39</v>
      </c>
      <c r="K397" s="27">
        <f>'KY pre'!T113</f>
        <v>10250</v>
      </c>
      <c r="L397" s="27">
        <v>1905</v>
      </c>
      <c r="M397" s="27" t="s">
        <v>468</v>
      </c>
      <c r="N397" s="27" t="s">
        <v>499</v>
      </c>
      <c r="O397" s="27" t="str">
        <f>'KY pre'!X113</f>
        <v>https://archive.org/download/SOPIK1905/1905.pdf#page=330</v>
      </c>
      <c r="P397" s="27" t="s">
        <v>505</v>
      </c>
      <c r="Q397" s="27" t="str">
        <f t="shared" si="33"/>
        <v>https://archive.org/download/SOPIK1905/1905.pdf#page=382</v>
      </c>
      <c r="R397" s="27" t="s">
        <v>506</v>
      </c>
      <c r="S397" s="27" t="s">
        <v>503</v>
      </c>
      <c r="T397" s="27" t="str">
        <f t="shared" si="34"/>
        <v>https://archive.org/download/SOPIK1905/1905.pdf#page=340</v>
      </c>
      <c r="U397" s="27"/>
      <c r="V397" s="27"/>
      <c r="W397" s="27"/>
      <c r="X397" s="27"/>
      <c r="Y397" s="27"/>
      <c r="Z397" s="27"/>
      <c r="AA397" s="27"/>
    </row>
    <row r="398" spans="1:27" x14ac:dyDescent="0.25">
      <c r="A398" s="27" t="s">
        <v>993</v>
      </c>
      <c r="B398" s="27" t="str">
        <f t="shared" si="35"/>
        <v>Kentucky</v>
      </c>
      <c r="C398" s="27" t="str">
        <f t="shared" si="36"/>
        <v>Union</v>
      </c>
      <c r="D398" s="27" t="s">
        <v>383</v>
      </c>
      <c r="E398" s="2" t="s">
        <v>383</v>
      </c>
      <c r="F398" s="27">
        <f>'KY pre'!M114</f>
        <v>128.30006170128368</v>
      </c>
      <c r="G398" s="27"/>
      <c r="H398" s="28"/>
      <c r="I398" s="2">
        <v>51200</v>
      </c>
      <c r="J398" s="27">
        <v>75</v>
      </c>
      <c r="K398" s="27">
        <f>'KY pre'!T114</f>
        <v>51200</v>
      </c>
      <c r="L398" s="27">
        <v>1905</v>
      </c>
      <c r="M398" s="27" t="s">
        <v>468</v>
      </c>
      <c r="N398" s="27" t="s">
        <v>499</v>
      </c>
      <c r="O398" s="27" t="str">
        <f>'KY pre'!X114</f>
        <v>https://archive.org/download/SOPIK1905/1905.pdf#page=330</v>
      </c>
      <c r="P398" s="27" t="s">
        <v>505</v>
      </c>
      <c r="Q398" s="27" t="str">
        <f t="shared" si="33"/>
        <v>https://archive.org/download/SOPIK1905/1905.pdf#page=382</v>
      </c>
      <c r="R398" s="27" t="s">
        <v>506</v>
      </c>
      <c r="S398" s="27" t="s">
        <v>503</v>
      </c>
      <c r="T398" s="27" t="str">
        <f t="shared" si="34"/>
        <v>https://archive.org/download/SOPIK1905/1905.pdf#page=340</v>
      </c>
      <c r="U398" s="27"/>
      <c r="V398" s="27"/>
      <c r="W398" s="27"/>
      <c r="X398" s="27"/>
      <c r="Y398" s="27"/>
      <c r="Z398" s="27"/>
      <c r="AA398" s="27"/>
    </row>
    <row r="399" spans="1:27" x14ac:dyDescent="0.25">
      <c r="A399" s="27" t="s">
        <v>994</v>
      </c>
      <c r="B399" s="27" t="str">
        <f t="shared" si="35"/>
        <v>Kentucky</v>
      </c>
      <c r="C399" s="27" t="str">
        <f t="shared" si="36"/>
        <v>Warren</v>
      </c>
      <c r="D399" s="27">
        <v>2536</v>
      </c>
      <c r="E399" s="2">
        <v>142</v>
      </c>
      <c r="F399" s="27">
        <f>'KY pre'!M115</f>
        <v>124.9968387776607</v>
      </c>
      <c r="G399" s="27">
        <v>4943</v>
      </c>
      <c r="H399" s="28">
        <f>'KY pre'!Q115</f>
        <v>31.729388801261827</v>
      </c>
      <c r="I399" s="2">
        <v>34600</v>
      </c>
      <c r="J399" s="27">
        <v>120</v>
      </c>
      <c r="K399" s="27">
        <f>'KY pre'!T115</f>
        <v>34600</v>
      </c>
      <c r="L399" s="27">
        <v>1905</v>
      </c>
      <c r="M399" s="27" t="s">
        <v>468</v>
      </c>
      <c r="N399" s="27" t="s">
        <v>499</v>
      </c>
      <c r="O399" s="27" t="str">
        <f>'KY pre'!X115</f>
        <v>https://archive.org/download/SOPIK1905/1905.pdf#page=330</v>
      </c>
      <c r="P399" s="27" t="s">
        <v>505</v>
      </c>
      <c r="Q399" s="27" t="str">
        <f t="shared" si="33"/>
        <v>https://archive.org/download/SOPIK1905/1905.pdf#page=382</v>
      </c>
      <c r="R399" s="27" t="s">
        <v>506</v>
      </c>
      <c r="S399" s="27" t="s">
        <v>503</v>
      </c>
      <c r="T399" s="27" t="str">
        <f t="shared" si="34"/>
        <v>https://archive.org/download/SOPIK1905/1905.pdf#page=340</v>
      </c>
      <c r="U399" s="27"/>
      <c r="V399" s="27"/>
      <c r="W399" s="27"/>
      <c r="X399" s="27"/>
      <c r="Y399" s="27"/>
      <c r="Z399" s="27"/>
      <c r="AA399" s="27"/>
    </row>
    <row r="400" spans="1:27" x14ac:dyDescent="0.25">
      <c r="A400" s="27" t="s">
        <v>995</v>
      </c>
      <c r="B400" s="27" t="str">
        <f t="shared" si="35"/>
        <v>Kentucky</v>
      </c>
      <c r="C400" s="27" t="str">
        <f t="shared" si="36"/>
        <v>Washington</v>
      </c>
      <c r="D400" s="27">
        <v>1802</v>
      </c>
      <c r="E400" s="2">
        <v>80</v>
      </c>
      <c r="F400" s="27">
        <f>'KY pre'!M116</f>
        <v>121.60933355223594</v>
      </c>
      <c r="G400" s="27">
        <v>3232</v>
      </c>
      <c r="H400" s="28">
        <f>'KY pre'!Q116</f>
        <v>34.744339622641512</v>
      </c>
      <c r="I400" s="2">
        <v>33715</v>
      </c>
      <c r="J400" s="27">
        <v>65</v>
      </c>
      <c r="K400" s="27">
        <f>'KY pre'!T116</f>
        <v>33715</v>
      </c>
      <c r="L400" s="27">
        <v>1905</v>
      </c>
      <c r="M400" s="27" t="s">
        <v>468</v>
      </c>
      <c r="N400" s="27" t="s">
        <v>499</v>
      </c>
      <c r="O400" s="27" t="str">
        <f>'KY pre'!X116</f>
        <v>https://archive.org/download/SOPIK1905/1905.pdf#page=330</v>
      </c>
      <c r="P400" s="27" t="s">
        <v>505</v>
      </c>
      <c r="Q400" s="27" t="str">
        <f t="shared" si="33"/>
        <v>https://archive.org/download/SOPIK1905/1905.pdf#page=382</v>
      </c>
      <c r="R400" s="27" t="s">
        <v>506</v>
      </c>
      <c r="S400" s="27" t="s">
        <v>503</v>
      </c>
      <c r="T400" s="27" t="str">
        <f t="shared" si="34"/>
        <v>https://archive.org/download/SOPIK1905/1905.pdf#page=340</v>
      </c>
      <c r="U400" s="27"/>
      <c r="V400" s="27"/>
      <c r="W400" s="27"/>
      <c r="X400" s="27"/>
      <c r="Y400" s="27"/>
      <c r="Z400" s="27"/>
      <c r="AA400" s="27"/>
    </row>
    <row r="401" spans="1:28" x14ac:dyDescent="0.25">
      <c r="A401" s="27" t="s">
        <v>996</v>
      </c>
      <c r="B401" s="27" t="str">
        <f t="shared" si="35"/>
        <v>Kentucky</v>
      </c>
      <c r="C401" s="27" t="str">
        <f t="shared" si="36"/>
        <v>Wayne</v>
      </c>
      <c r="D401" s="27">
        <v>2333</v>
      </c>
      <c r="E401" s="2">
        <v>106</v>
      </c>
      <c r="F401" s="27">
        <f>'KY pre'!M117</f>
        <v>124.9968387776607</v>
      </c>
      <c r="G401" s="27">
        <v>4782</v>
      </c>
      <c r="H401" s="28">
        <f>'KY pre'!Q117</f>
        <v>28.48074582083154</v>
      </c>
      <c r="I401" s="2">
        <v>20600</v>
      </c>
      <c r="J401" s="27">
        <v>102</v>
      </c>
      <c r="K401" s="27">
        <f>'KY pre'!T117</f>
        <v>20600</v>
      </c>
      <c r="L401" s="27">
        <v>1905</v>
      </c>
      <c r="M401" s="27" t="s">
        <v>468</v>
      </c>
      <c r="N401" s="27" t="s">
        <v>499</v>
      </c>
      <c r="O401" s="27" t="str">
        <f>'KY pre'!X117</f>
        <v>https://archive.org/download/SOPIK1905/1905.pdf#page=330</v>
      </c>
      <c r="P401" s="27" t="s">
        <v>505</v>
      </c>
      <c r="Q401" s="27" t="str">
        <f t="shared" si="33"/>
        <v>https://archive.org/download/SOPIK1905/1905.pdf#page=382</v>
      </c>
      <c r="R401" s="27" t="s">
        <v>506</v>
      </c>
      <c r="S401" s="27" t="s">
        <v>503</v>
      </c>
      <c r="T401" s="27" t="str">
        <f t="shared" si="34"/>
        <v>https://archive.org/download/SOPIK1905/1905.pdf#page=340</v>
      </c>
      <c r="U401" s="27"/>
      <c r="V401" s="27"/>
      <c r="W401" s="27"/>
      <c r="X401" s="27"/>
      <c r="Y401" s="27"/>
      <c r="Z401" s="27"/>
      <c r="AA401" s="27"/>
    </row>
    <row r="402" spans="1:28" x14ac:dyDescent="0.25">
      <c r="A402" s="27" t="s">
        <v>997</v>
      </c>
      <c r="B402" s="27" t="str">
        <f t="shared" si="35"/>
        <v>Kentucky</v>
      </c>
      <c r="C402" s="27" t="str">
        <f t="shared" si="36"/>
        <v>Webster</v>
      </c>
      <c r="D402" s="27">
        <v>3318</v>
      </c>
      <c r="E402" s="2">
        <v>103</v>
      </c>
      <c r="F402" s="27">
        <f>'KY pre'!M118</f>
        <v>123.39958088893557</v>
      </c>
      <c r="G402" s="27">
        <v>5502</v>
      </c>
      <c r="H402" s="28">
        <f>'KY pre'!Q118</f>
        <v>34.70835443037975</v>
      </c>
      <c r="I402" s="2">
        <v>38600</v>
      </c>
      <c r="J402" s="27">
        <v>84</v>
      </c>
      <c r="K402" s="27">
        <f>'KY pre'!T118</f>
        <v>38600</v>
      </c>
      <c r="L402" s="27">
        <v>1905</v>
      </c>
      <c r="M402" s="27" t="s">
        <v>468</v>
      </c>
      <c r="N402" s="27" t="s">
        <v>499</v>
      </c>
      <c r="O402" s="27" t="str">
        <f>'KY pre'!X118</f>
        <v>https://archive.org/download/SOPIK1905/1905.pdf#page=330</v>
      </c>
      <c r="P402" s="27" t="s">
        <v>505</v>
      </c>
      <c r="Q402" s="27" t="str">
        <f t="shared" si="33"/>
        <v>https://archive.org/download/SOPIK1905/1905.pdf#page=382</v>
      </c>
      <c r="R402" s="27" t="s">
        <v>506</v>
      </c>
      <c r="S402" s="27" t="s">
        <v>503</v>
      </c>
      <c r="T402" s="27" t="str">
        <f t="shared" si="34"/>
        <v>https://archive.org/download/SOPIK1905/1905.pdf#page=340</v>
      </c>
      <c r="U402" s="27"/>
      <c r="V402" s="27"/>
      <c r="W402" s="27"/>
      <c r="X402" s="27"/>
      <c r="Y402" s="27"/>
      <c r="Z402" s="27"/>
      <c r="AA402" s="27"/>
    </row>
    <row r="403" spans="1:28" x14ac:dyDescent="0.25">
      <c r="A403" s="27" t="s">
        <v>998</v>
      </c>
      <c r="B403" s="27" t="str">
        <f t="shared" si="35"/>
        <v>Kentucky</v>
      </c>
      <c r="C403" s="27" t="str">
        <f t="shared" si="36"/>
        <v>Whitley</v>
      </c>
      <c r="D403" s="27">
        <v>6195</v>
      </c>
      <c r="E403" s="2">
        <v>140</v>
      </c>
      <c r="F403" s="27">
        <f>'KY pre'!M119</f>
        <v>118.23697709530123</v>
      </c>
      <c r="G403" s="27">
        <v>7482</v>
      </c>
      <c r="H403" s="28">
        <f>'KY pre'!Q119</f>
        <v>32.34904746528899</v>
      </c>
      <c r="I403" s="2">
        <v>26730</v>
      </c>
      <c r="J403" s="27">
        <v>128</v>
      </c>
      <c r="K403" s="27">
        <f>'KY pre'!T119</f>
        <v>26730</v>
      </c>
      <c r="L403" s="27">
        <v>1905</v>
      </c>
      <c r="M403" s="27" t="s">
        <v>468</v>
      </c>
      <c r="N403" s="27" t="s">
        <v>499</v>
      </c>
      <c r="O403" s="27" t="str">
        <f>'KY pre'!X119</f>
        <v>https://archive.org/download/SOPIK1905/1905.pdf#page=330</v>
      </c>
      <c r="P403" s="27" t="s">
        <v>505</v>
      </c>
      <c r="Q403" s="27" t="str">
        <f t="shared" si="33"/>
        <v>https://archive.org/download/SOPIK1905/1905.pdf#page=382</v>
      </c>
      <c r="R403" s="27" t="s">
        <v>506</v>
      </c>
      <c r="S403" s="27" t="s">
        <v>503</v>
      </c>
      <c r="T403" s="27" t="str">
        <f t="shared" si="34"/>
        <v>https://archive.org/download/SOPIK1905/1905.pdf#page=340</v>
      </c>
      <c r="U403" s="27"/>
      <c r="V403" s="27"/>
      <c r="W403" s="27"/>
      <c r="X403" s="27"/>
      <c r="Y403" s="27"/>
      <c r="Z403" s="27"/>
      <c r="AA403" s="27"/>
    </row>
    <row r="404" spans="1:28" x14ac:dyDescent="0.25">
      <c r="A404" s="27" t="s">
        <v>999</v>
      </c>
      <c r="B404" s="27" t="str">
        <f t="shared" si="35"/>
        <v>Kentucky</v>
      </c>
      <c r="C404" s="27" t="str">
        <f t="shared" si="36"/>
        <v>Wolfe</v>
      </c>
      <c r="D404" s="27">
        <v>2146</v>
      </c>
      <c r="E404" s="2">
        <v>47</v>
      </c>
      <c r="F404" s="27">
        <f>'KY pre'!M120</f>
        <v>124.9968387776607</v>
      </c>
      <c r="G404" s="27">
        <v>2811</v>
      </c>
      <c r="H404" s="28">
        <f>'KY pre'!Q120</f>
        <v>33.313438956197572</v>
      </c>
      <c r="I404" s="2">
        <v>8375</v>
      </c>
      <c r="J404" s="27">
        <v>52</v>
      </c>
      <c r="K404" s="27">
        <f>'KY pre'!T120</f>
        <v>8375</v>
      </c>
      <c r="L404" s="27">
        <v>1905</v>
      </c>
      <c r="M404" s="27" t="s">
        <v>468</v>
      </c>
      <c r="N404" s="27" t="s">
        <v>499</v>
      </c>
      <c r="O404" s="27" t="str">
        <f>'KY pre'!X120</f>
        <v>https://archive.org/download/SOPIK1905/1905.pdf#page=330</v>
      </c>
      <c r="P404" s="27" t="s">
        <v>505</v>
      </c>
      <c r="Q404" s="27" t="str">
        <f t="shared" si="33"/>
        <v>https://archive.org/download/SOPIK1905/1905.pdf#page=382</v>
      </c>
      <c r="R404" s="27" t="s">
        <v>506</v>
      </c>
      <c r="S404" s="27" t="s">
        <v>503</v>
      </c>
      <c r="T404" s="27" t="str">
        <f t="shared" si="34"/>
        <v>https://archive.org/download/SOPIK1905/1905.pdf#page=340</v>
      </c>
      <c r="U404" s="27"/>
      <c r="V404" s="27"/>
      <c r="W404" s="27"/>
      <c r="X404" s="27"/>
      <c r="Y404" s="27"/>
      <c r="Z404" s="27"/>
      <c r="AA404" s="27"/>
    </row>
    <row r="405" spans="1:28" x14ac:dyDescent="0.25">
      <c r="A405" s="27" t="s">
        <v>1000</v>
      </c>
      <c r="B405" s="27" t="str">
        <f t="shared" si="35"/>
        <v>Kentucky</v>
      </c>
      <c r="C405" s="27" t="str">
        <f t="shared" si="36"/>
        <v>Woodford</v>
      </c>
      <c r="D405" s="27">
        <v>1078</v>
      </c>
      <c r="E405" s="2">
        <v>50</v>
      </c>
      <c r="F405" s="27">
        <f>'KY pre'!M121</f>
        <v>105.79421145817574</v>
      </c>
      <c r="G405" s="27">
        <v>2005</v>
      </c>
      <c r="H405" s="28">
        <f>'KY pre'!Q121</f>
        <v>36.129301470588238</v>
      </c>
      <c r="I405" s="2">
        <v>18100</v>
      </c>
      <c r="J405" s="27">
        <v>44</v>
      </c>
      <c r="K405" s="27">
        <f>'KY pre'!T121</f>
        <v>18100</v>
      </c>
      <c r="L405" s="27">
        <v>1905</v>
      </c>
      <c r="M405" s="27" t="s">
        <v>468</v>
      </c>
      <c r="N405" s="27" t="s">
        <v>499</v>
      </c>
      <c r="O405" s="27" t="str">
        <f>'KY pre'!X121</f>
        <v>https://archive.org/download/SOPIK1905/1905.pdf#page=330</v>
      </c>
      <c r="P405" s="27" t="s">
        <v>505</v>
      </c>
      <c r="Q405" s="27" t="str">
        <f t="shared" si="33"/>
        <v>https://archive.org/download/SOPIK1905/1905.pdf#page=382</v>
      </c>
      <c r="R405" s="27" t="s">
        <v>506</v>
      </c>
      <c r="S405" s="27" t="s">
        <v>503</v>
      </c>
      <c r="T405" s="27" t="str">
        <f>T404</f>
        <v>https://archive.org/download/SOPIK1905/1905.pdf#page=340</v>
      </c>
      <c r="U405" s="27"/>
      <c r="V405" s="27"/>
      <c r="W405" s="27"/>
      <c r="X405" s="27"/>
      <c r="Y405" s="27"/>
      <c r="Z405" s="27"/>
      <c r="AA405" s="27"/>
    </row>
    <row r="406" spans="1:28" x14ac:dyDescent="0.25">
      <c r="A406" s="27" t="s">
        <v>1367</v>
      </c>
      <c r="B406" s="27" t="str">
        <f t="shared" si="35"/>
        <v/>
      </c>
      <c r="C406" s="27" t="str">
        <f t="shared" si="36"/>
        <v/>
      </c>
      <c r="D406" s="27"/>
      <c r="E406" s="27"/>
      <c r="F406" s="27"/>
      <c r="G406" s="27"/>
      <c r="H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8" x14ac:dyDescent="0.25">
      <c r="A407" s="27" t="s">
        <v>1001</v>
      </c>
      <c r="B407" s="27" t="str">
        <f t="shared" si="35"/>
        <v>Louisiana</v>
      </c>
      <c r="C407" s="27" t="str">
        <f t="shared" si="36"/>
        <v>Acadia</v>
      </c>
      <c r="D407" s="2">
        <f>'LA pre'!F2</f>
        <v>2165</v>
      </c>
      <c r="E407" s="2">
        <v>74</v>
      </c>
      <c r="F407" s="26">
        <f>'LA pre'!N2</f>
        <v>129.65080831408775</v>
      </c>
      <c r="G407" s="27">
        <v>3213</v>
      </c>
      <c r="H407" s="28">
        <f>'LA pre'!T2</f>
        <v>40.094054054054055</v>
      </c>
      <c r="I407" s="27">
        <v>32933</v>
      </c>
      <c r="J407" s="27">
        <v>58</v>
      </c>
      <c r="K407" s="2">
        <v>19800</v>
      </c>
      <c r="L407" s="27">
        <v>1904</v>
      </c>
      <c r="M407" s="27" t="s">
        <v>507</v>
      </c>
      <c r="N407" s="27" t="s">
        <v>508</v>
      </c>
      <c r="O407" s="27" t="s">
        <v>2559</v>
      </c>
      <c r="P407" s="27" t="s">
        <v>509</v>
      </c>
      <c r="Q407" s="27" t="s">
        <v>2559</v>
      </c>
      <c r="R407" s="27" t="s">
        <v>511</v>
      </c>
      <c r="S407" s="27" t="s">
        <v>512</v>
      </c>
      <c r="T407" s="27" t="s">
        <v>2598</v>
      </c>
      <c r="U407" s="4"/>
      <c r="V407" s="4"/>
      <c r="W407" s="4"/>
      <c r="X407" s="4"/>
      <c r="Y407" s="4"/>
      <c r="Z407" s="4"/>
      <c r="AA407" s="4"/>
      <c r="AB407" s="4"/>
    </row>
    <row r="408" spans="1:28" x14ac:dyDescent="0.25">
      <c r="A408" s="27" t="s">
        <v>1003</v>
      </c>
      <c r="B408" s="27" t="str">
        <f t="shared" si="35"/>
        <v>Louisiana</v>
      </c>
      <c r="C408" s="27" t="str">
        <f t="shared" si="36"/>
        <v>Ascension</v>
      </c>
      <c r="D408" s="2">
        <f>'LA pre'!F3</f>
        <v>2507</v>
      </c>
      <c r="E408" s="2">
        <v>21</v>
      </c>
      <c r="F408" s="26">
        <f>'LA pre'!N3</f>
        <v>123.34264060630235</v>
      </c>
      <c r="G408" s="27">
        <v>3555</v>
      </c>
      <c r="H408" s="28">
        <f>'LA pre'!T3</f>
        <v>28.011904761904763</v>
      </c>
      <c r="I408" s="27">
        <v>13861</v>
      </c>
      <c r="J408" s="27">
        <v>38</v>
      </c>
      <c r="K408" s="2">
        <v>15300</v>
      </c>
      <c r="L408" s="27">
        <v>1904</v>
      </c>
      <c r="M408" s="27" t="s">
        <v>507</v>
      </c>
      <c r="N408" s="27" t="s">
        <v>508</v>
      </c>
      <c r="O408" s="27" t="str">
        <f>O407</f>
        <v>https://babel.hathitrust.org/cgi/pt?id=coo.31924069517021;view=1up;seq=256</v>
      </c>
      <c r="P408" s="27" t="s">
        <v>509</v>
      </c>
      <c r="Q408" s="27" t="str">
        <f>Q407</f>
        <v>https://babel.hathitrust.org/cgi/pt?id=coo.31924069517021;view=1up;seq=256</v>
      </c>
      <c r="R408" s="27" t="s">
        <v>511</v>
      </c>
      <c r="S408" s="27" t="s">
        <v>512</v>
      </c>
      <c r="T408" s="27" t="s">
        <v>2598</v>
      </c>
      <c r="U408" s="4"/>
      <c r="V408" s="4"/>
      <c r="W408" s="4"/>
      <c r="X408" s="4"/>
      <c r="Y408" s="4"/>
      <c r="Z408" s="4"/>
      <c r="AA408" s="4"/>
      <c r="AB408" s="4"/>
    </row>
    <row r="409" spans="1:28" x14ac:dyDescent="0.25">
      <c r="A409" s="27" t="s">
        <v>1004</v>
      </c>
      <c r="B409" s="27" t="str">
        <f t="shared" si="35"/>
        <v>Louisiana</v>
      </c>
      <c r="C409" s="27" t="str">
        <f t="shared" si="36"/>
        <v>Assumption</v>
      </c>
      <c r="D409" s="2">
        <f>'LA pre'!F4</f>
        <v>1962</v>
      </c>
      <c r="E409" s="2">
        <v>60</v>
      </c>
      <c r="F409" s="26">
        <f>'LA pre'!N4</f>
        <v>135.98369011213049</v>
      </c>
      <c r="G409" s="27">
        <v>2348</v>
      </c>
      <c r="H409" s="28">
        <f>'LA pre'!T4</f>
        <v>33.305999999999997</v>
      </c>
      <c r="I409" s="27">
        <v>17043</v>
      </c>
      <c r="J409" s="27">
        <v>39</v>
      </c>
      <c r="K409" s="2">
        <v>28600</v>
      </c>
      <c r="L409" s="27">
        <v>1904</v>
      </c>
      <c r="M409" s="27" t="s">
        <v>507</v>
      </c>
      <c r="N409" s="27" t="s">
        <v>508</v>
      </c>
      <c r="O409" s="27" t="str">
        <f t="shared" ref="O409:O465" si="37">O408</f>
        <v>https://babel.hathitrust.org/cgi/pt?id=coo.31924069517021;view=1up;seq=256</v>
      </c>
      <c r="P409" s="27" t="s">
        <v>509</v>
      </c>
      <c r="Q409" s="27" t="str">
        <f t="shared" ref="Q409:Q465" si="38">Q408</f>
        <v>https://babel.hathitrust.org/cgi/pt?id=coo.31924069517021;view=1up;seq=256</v>
      </c>
      <c r="R409" s="27" t="s">
        <v>511</v>
      </c>
      <c r="S409" s="27" t="s">
        <v>512</v>
      </c>
      <c r="T409" s="27" t="s">
        <v>2598</v>
      </c>
      <c r="U409" s="4"/>
      <c r="V409" s="4"/>
      <c r="W409" s="4"/>
      <c r="X409" s="4"/>
      <c r="Y409" s="4"/>
      <c r="Z409" s="4"/>
      <c r="AA409" s="4"/>
      <c r="AB409" s="4"/>
    </row>
    <row r="410" spans="1:28" x14ac:dyDescent="0.25">
      <c r="A410" s="27" t="s">
        <v>1005</v>
      </c>
      <c r="B410" s="27" t="str">
        <f t="shared" si="35"/>
        <v>Louisiana</v>
      </c>
      <c r="C410" s="27" t="str">
        <f t="shared" si="36"/>
        <v>Avoyelles</v>
      </c>
      <c r="D410" s="2">
        <f>'LA pre'!F5</f>
        <v>3698</v>
      </c>
      <c r="E410" s="2">
        <v>108</v>
      </c>
      <c r="F410" s="26">
        <f>'LA pre'!N5</f>
        <v>110</v>
      </c>
      <c r="G410" s="27">
        <v>4631</v>
      </c>
      <c r="H410" s="28">
        <f>'LA pre'!T5</f>
        <v>30.912129629629632</v>
      </c>
      <c r="I410" s="27">
        <v>26187</v>
      </c>
      <c r="J410" s="27">
        <v>103</v>
      </c>
      <c r="K410" s="2">
        <v>18300</v>
      </c>
      <c r="L410" s="27">
        <v>1904</v>
      </c>
      <c r="M410" s="27" t="s">
        <v>507</v>
      </c>
      <c r="N410" s="27" t="s">
        <v>508</v>
      </c>
      <c r="O410" s="27" t="str">
        <f t="shared" si="37"/>
        <v>https://babel.hathitrust.org/cgi/pt?id=coo.31924069517021;view=1up;seq=256</v>
      </c>
      <c r="P410" s="27" t="s">
        <v>509</v>
      </c>
      <c r="Q410" s="27" t="str">
        <f t="shared" si="38"/>
        <v>https://babel.hathitrust.org/cgi/pt?id=coo.31924069517021;view=1up;seq=256</v>
      </c>
      <c r="R410" s="27" t="s">
        <v>511</v>
      </c>
      <c r="S410" s="27" t="s">
        <v>512</v>
      </c>
      <c r="T410" s="27" t="s">
        <v>2598</v>
      </c>
      <c r="U410" s="4"/>
      <c r="V410" s="4"/>
      <c r="W410" s="4"/>
      <c r="X410" s="4"/>
      <c r="Y410" s="4"/>
      <c r="Z410" s="4"/>
      <c r="AA410" s="4"/>
      <c r="AB410" s="4"/>
    </row>
    <row r="411" spans="1:28" x14ac:dyDescent="0.25">
      <c r="A411" s="27" t="s">
        <v>1007</v>
      </c>
      <c r="B411" s="27" t="str">
        <f t="shared" si="35"/>
        <v>Louisiana</v>
      </c>
      <c r="C411" s="27" t="str">
        <f t="shared" si="36"/>
        <v>Bienville</v>
      </c>
      <c r="D411" s="2">
        <f>'LA pre'!F6</f>
        <v>3085</v>
      </c>
      <c r="E411" s="2">
        <v>93</v>
      </c>
      <c r="F411" s="26">
        <f>'LA pre'!N6</f>
        <v>78.427876823338735</v>
      </c>
      <c r="G411" s="27">
        <v>4263</v>
      </c>
      <c r="H411" s="28">
        <f>'LA pre'!T6</f>
        <v>41.411397849462368</v>
      </c>
      <c r="I411" s="27">
        <v>22556</v>
      </c>
      <c r="J411" s="27">
        <v>92</v>
      </c>
      <c r="K411" s="2">
        <v>15000</v>
      </c>
      <c r="L411" s="27">
        <v>1904</v>
      </c>
      <c r="M411" s="27" t="s">
        <v>507</v>
      </c>
      <c r="N411" s="27" t="s">
        <v>508</v>
      </c>
      <c r="O411" s="27" t="str">
        <f t="shared" si="37"/>
        <v>https://babel.hathitrust.org/cgi/pt?id=coo.31924069517021;view=1up;seq=256</v>
      </c>
      <c r="P411" s="27" t="s">
        <v>509</v>
      </c>
      <c r="Q411" s="27" t="str">
        <f t="shared" si="38"/>
        <v>https://babel.hathitrust.org/cgi/pt?id=coo.31924069517021;view=1up;seq=256</v>
      </c>
      <c r="R411" s="27" t="s">
        <v>511</v>
      </c>
      <c r="S411" s="27" t="s">
        <v>512</v>
      </c>
      <c r="T411" s="27" t="s">
        <v>2598</v>
      </c>
      <c r="U411" s="4"/>
      <c r="V411" s="4"/>
      <c r="W411" s="4"/>
      <c r="X411" s="4"/>
      <c r="Y411" s="4"/>
      <c r="Z411" s="4"/>
      <c r="AA411" s="4"/>
      <c r="AB411" s="4"/>
    </row>
    <row r="412" spans="1:28" x14ac:dyDescent="0.25">
      <c r="A412" s="27" t="s">
        <v>1008</v>
      </c>
      <c r="B412" s="27" t="str">
        <f t="shared" si="35"/>
        <v>Louisiana</v>
      </c>
      <c r="C412" s="27" t="str">
        <f t="shared" si="36"/>
        <v>Bossier</v>
      </c>
      <c r="D412" s="2"/>
      <c r="E412" s="2">
        <v>50</v>
      </c>
      <c r="F412" s="26">
        <f>'LA pre'!N7</f>
        <v>164</v>
      </c>
      <c r="G412" s="27">
        <v>1966</v>
      </c>
      <c r="H412" s="28">
        <f>'LA pre'!T7</f>
        <v>40.1402</v>
      </c>
      <c r="I412" s="27">
        <v>19641</v>
      </c>
      <c r="J412" s="27">
        <v>80</v>
      </c>
      <c r="K412" s="2">
        <v>21137</v>
      </c>
      <c r="L412" s="27">
        <v>1904</v>
      </c>
      <c r="M412" s="27" t="s">
        <v>507</v>
      </c>
      <c r="N412" s="27" t="s">
        <v>508</v>
      </c>
      <c r="O412" s="27" t="str">
        <f t="shared" si="37"/>
        <v>https://babel.hathitrust.org/cgi/pt?id=coo.31924069517021;view=1up;seq=256</v>
      </c>
      <c r="P412" s="27" t="s">
        <v>509</v>
      </c>
      <c r="Q412" s="27" t="str">
        <f t="shared" si="38"/>
        <v>https://babel.hathitrust.org/cgi/pt?id=coo.31924069517021;view=1up;seq=256</v>
      </c>
      <c r="R412" s="27" t="s">
        <v>511</v>
      </c>
      <c r="S412" s="27" t="s">
        <v>512</v>
      </c>
      <c r="T412" s="27" t="s">
        <v>2598</v>
      </c>
      <c r="U412" s="4"/>
      <c r="V412" s="4"/>
      <c r="W412" s="4"/>
      <c r="X412" s="4"/>
      <c r="Y412" s="4"/>
      <c r="Z412" s="4"/>
      <c r="AA412" s="4"/>
      <c r="AB412" s="4"/>
    </row>
    <row r="413" spans="1:28" x14ac:dyDescent="0.25">
      <c r="A413" s="27" t="s">
        <v>1009</v>
      </c>
      <c r="B413" s="27" t="str">
        <f t="shared" si="35"/>
        <v>Louisiana</v>
      </c>
      <c r="C413" s="27" t="str">
        <f t="shared" si="36"/>
        <v>Caddo</v>
      </c>
      <c r="D413" s="2">
        <f>'LA pre'!F8</f>
        <v>5667</v>
      </c>
      <c r="E413" s="2">
        <v>96</v>
      </c>
      <c r="F413" s="26">
        <f>'LA pre'!N8</f>
        <v>141.77871889888831</v>
      </c>
      <c r="G413" s="27">
        <v>8317</v>
      </c>
      <c r="H413" s="28">
        <f>'LA pre'!T8</f>
        <v>49.291666666666664</v>
      </c>
      <c r="I413" s="27">
        <v>65745</v>
      </c>
      <c r="J413" s="27">
        <v>112</v>
      </c>
      <c r="K413" s="2">
        <v>250000</v>
      </c>
      <c r="L413" s="27">
        <v>1904</v>
      </c>
      <c r="M413" s="27" t="s">
        <v>507</v>
      </c>
      <c r="N413" s="27" t="s">
        <v>508</v>
      </c>
      <c r="O413" s="27" t="str">
        <f t="shared" si="37"/>
        <v>https://babel.hathitrust.org/cgi/pt?id=coo.31924069517021;view=1up;seq=256</v>
      </c>
      <c r="P413" s="27" t="s">
        <v>509</v>
      </c>
      <c r="Q413" s="27" t="str">
        <f t="shared" si="38"/>
        <v>https://babel.hathitrust.org/cgi/pt?id=coo.31924069517021;view=1up;seq=256</v>
      </c>
      <c r="R413" s="27" t="s">
        <v>511</v>
      </c>
      <c r="S413" s="27" t="s">
        <v>512</v>
      </c>
      <c r="T413" s="27" t="s">
        <v>2598</v>
      </c>
      <c r="U413" s="4"/>
      <c r="V413" s="4"/>
      <c r="W413" s="4"/>
      <c r="X413" s="4"/>
      <c r="Y413" s="4"/>
      <c r="Z413" s="4"/>
      <c r="AA413" s="4"/>
      <c r="AB413" s="4"/>
    </row>
    <row r="414" spans="1:28" x14ac:dyDescent="0.25">
      <c r="A414" s="27" t="s">
        <v>1010</v>
      </c>
      <c r="B414" s="27" t="str">
        <f t="shared" si="35"/>
        <v>Louisiana</v>
      </c>
      <c r="C414" s="27" t="str">
        <f t="shared" si="36"/>
        <v>Calcasieu</v>
      </c>
      <c r="D414" s="2">
        <f>'LA pre'!F9</f>
        <v>6771</v>
      </c>
      <c r="E414" s="2">
        <v>198</v>
      </c>
      <c r="F414" s="26">
        <f>'LA pre'!N9</f>
        <v>127.52370403190075</v>
      </c>
      <c r="G414" s="27">
        <v>9106</v>
      </c>
      <c r="H414" s="28">
        <f>'LA pre'!T9</f>
        <v>45.748737373737377</v>
      </c>
      <c r="I414" s="27">
        <v>83052</v>
      </c>
      <c r="J414" s="27">
        <v>168</v>
      </c>
      <c r="K414" s="2">
        <v>151000</v>
      </c>
      <c r="L414" s="27">
        <v>1904</v>
      </c>
      <c r="M414" s="27" t="s">
        <v>507</v>
      </c>
      <c r="N414" s="27" t="s">
        <v>508</v>
      </c>
      <c r="O414" s="27" t="str">
        <f t="shared" si="37"/>
        <v>https://babel.hathitrust.org/cgi/pt?id=coo.31924069517021;view=1up;seq=256</v>
      </c>
      <c r="P414" s="27" t="s">
        <v>509</v>
      </c>
      <c r="Q414" s="27" t="str">
        <f t="shared" si="38"/>
        <v>https://babel.hathitrust.org/cgi/pt?id=coo.31924069517021;view=1up;seq=256</v>
      </c>
      <c r="R414" s="27" t="s">
        <v>511</v>
      </c>
      <c r="S414" s="27" t="s">
        <v>512</v>
      </c>
      <c r="T414" s="27" t="s">
        <v>2598</v>
      </c>
      <c r="U414" s="4"/>
      <c r="V414" s="4"/>
      <c r="W414" s="4"/>
      <c r="X414" s="4"/>
      <c r="Y414" s="4"/>
      <c r="Z414" s="4"/>
      <c r="AA414" s="4"/>
      <c r="AB414" s="4"/>
    </row>
    <row r="415" spans="1:28" x14ac:dyDescent="0.25">
      <c r="A415" s="27" t="s">
        <v>1011</v>
      </c>
      <c r="B415" s="27" t="str">
        <f t="shared" si="35"/>
        <v>Louisiana</v>
      </c>
      <c r="C415" s="27" t="str">
        <f t="shared" si="36"/>
        <v>Caldwell</v>
      </c>
      <c r="D415" s="2"/>
      <c r="E415" s="2">
        <v>36</v>
      </c>
      <c r="F415" s="26">
        <f>'LA pre'!N10</f>
        <v>110</v>
      </c>
      <c r="G415" s="27">
        <v>1820</v>
      </c>
      <c r="H415" s="28">
        <f>'LA pre'!T10</f>
        <v>36.527777777777779</v>
      </c>
      <c r="I415" s="27">
        <v>8855</v>
      </c>
      <c r="J415" s="27">
        <v>41</v>
      </c>
      <c r="K415" s="2">
        <v>12000</v>
      </c>
      <c r="L415" s="27">
        <v>1904</v>
      </c>
      <c r="M415" s="27" t="s">
        <v>507</v>
      </c>
      <c r="N415" s="27" t="s">
        <v>508</v>
      </c>
      <c r="O415" s="27" t="str">
        <f t="shared" si="37"/>
        <v>https://babel.hathitrust.org/cgi/pt?id=coo.31924069517021;view=1up;seq=256</v>
      </c>
      <c r="P415" s="27" t="s">
        <v>509</v>
      </c>
      <c r="Q415" s="27" t="str">
        <f t="shared" si="38"/>
        <v>https://babel.hathitrust.org/cgi/pt?id=coo.31924069517021;view=1up;seq=256</v>
      </c>
      <c r="R415" s="27" t="s">
        <v>511</v>
      </c>
      <c r="S415" s="27" t="s">
        <v>512</v>
      </c>
      <c r="T415" s="27" t="s">
        <v>2598</v>
      </c>
      <c r="U415" s="4"/>
      <c r="V415" s="4"/>
      <c r="W415" s="4"/>
      <c r="X415" s="4"/>
      <c r="Y415" s="4"/>
      <c r="Z415" s="4"/>
      <c r="AA415" s="4"/>
      <c r="AB415" s="4"/>
    </row>
    <row r="416" spans="1:28" x14ac:dyDescent="0.25">
      <c r="A416" s="27" t="s">
        <v>1012</v>
      </c>
      <c r="B416" s="27" t="str">
        <f t="shared" si="35"/>
        <v>Louisiana</v>
      </c>
      <c r="C416" s="27" t="str">
        <f t="shared" si="36"/>
        <v>Cameron</v>
      </c>
      <c r="D416" s="2">
        <f>'LA pre'!F11</f>
        <v>561</v>
      </c>
      <c r="E416" s="2">
        <v>18</v>
      </c>
      <c r="F416" s="26">
        <f>'LA pre'!N11</f>
        <v>111.5650623885918</v>
      </c>
      <c r="G416" s="27">
        <v>854</v>
      </c>
      <c r="H416" s="28">
        <f>'LA pre'!T11</f>
        <v>44.106666666666662</v>
      </c>
      <c r="I416" s="27">
        <v>12481</v>
      </c>
      <c r="J416" s="27">
        <v>25</v>
      </c>
      <c r="K416" s="2">
        <v>10000</v>
      </c>
      <c r="L416" s="27">
        <v>1904</v>
      </c>
      <c r="M416" s="27" t="s">
        <v>507</v>
      </c>
      <c r="N416" s="27" t="s">
        <v>508</v>
      </c>
      <c r="O416" s="27" t="str">
        <f t="shared" si="37"/>
        <v>https://babel.hathitrust.org/cgi/pt?id=coo.31924069517021;view=1up;seq=256</v>
      </c>
      <c r="P416" s="27" t="s">
        <v>509</v>
      </c>
      <c r="Q416" s="27" t="str">
        <f t="shared" si="38"/>
        <v>https://babel.hathitrust.org/cgi/pt?id=coo.31924069517021;view=1up;seq=256</v>
      </c>
      <c r="R416" s="27" t="s">
        <v>511</v>
      </c>
      <c r="S416" s="27" t="s">
        <v>512</v>
      </c>
      <c r="T416" s="27" t="s">
        <v>2598</v>
      </c>
      <c r="U416" s="4"/>
      <c r="V416" s="4"/>
      <c r="W416" s="4"/>
      <c r="X416" s="4"/>
      <c r="Y416" s="4"/>
      <c r="Z416" s="4"/>
      <c r="AA416" s="4"/>
      <c r="AB416" s="4"/>
    </row>
    <row r="417" spans="1:28" x14ac:dyDescent="0.25">
      <c r="A417" s="27" t="s">
        <v>1013</v>
      </c>
      <c r="B417" s="27" t="str">
        <f t="shared" si="35"/>
        <v>Louisiana</v>
      </c>
      <c r="C417" s="27" t="str">
        <f t="shared" si="36"/>
        <v>Catahoula</v>
      </c>
      <c r="D417" s="2">
        <f>'LA pre'!F12</f>
        <v>4772</v>
      </c>
      <c r="E417" s="2">
        <v>64</v>
      </c>
      <c r="F417" s="26">
        <f>'LA pre'!N12</f>
        <v>80</v>
      </c>
      <c r="G417" s="27">
        <v>5180</v>
      </c>
      <c r="H417" s="28">
        <f>'LA pre'!T12</f>
        <v>28.28125</v>
      </c>
      <c r="I417" s="27">
        <v>24337</v>
      </c>
      <c r="J417" s="27">
        <v>90</v>
      </c>
      <c r="K417" s="2">
        <v>27000</v>
      </c>
      <c r="L417" s="27">
        <v>1904</v>
      </c>
      <c r="M417" s="27" t="s">
        <v>507</v>
      </c>
      <c r="N417" s="27" t="s">
        <v>508</v>
      </c>
      <c r="O417" s="27" t="str">
        <f t="shared" si="37"/>
        <v>https://babel.hathitrust.org/cgi/pt?id=coo.31924069517021;view=1up;seq=256</v>
      </c>
      <c r="P417" s="27" t="s">
        <v>509</v>
      </c>
      <c r="Q417" s="27" t="str">
        <f t="shared" si="38"/>
        <v>https://babel.hathitrust.org/cgi/pt?id=coo.31924069517021;view=1up;seq=256</v>
      </c>
      <c r="R417" s="27" t="s">
        <v>511</v>
      </c>
      <c r="S417" s="27" t="s">
        <v>512</v>
      </c>
      <c r="T417" s="27" t="s">
        <v>2598</v>
      </c>
      <c r="U417" s="4"/>
      <c r="V417" s="4"/>
      <c r="W417" s="4"/>
      <c r="X417" s="4"/>
      <c r="Y417" s="4"/>
      <c r="Z417" s="4"/>
      <c r="AA417" s="4"/>
      <c r="AB417" s="4"/>
    </row>
    <row r="418" spans="1:28" x14ac:dyDescent="0.25">
      <c r="A418" s="27" t="s">
        <v>1014</v>
      </c>
      <c r="B418" s="27" t="str">
        <f t="shared" si="35"/>
        <v>Louisiana</v>
      </c>
      <c r="C418" s="27" t="str">
        <f t="shared" si="36"/>
        <v>Claiborne</v>
      </c>
      <c r="D418" s="2">
        <f>'LA pre'!F13</f>
        <v>4596</v>
      </c>
      <c r="E418" s="2">
        <v>112</v>
      </c>
      <c r="F418" s="26">
        <f>'LA pre'!N13</f>
        <v>75.515665796344649</v>
      </c>
      <c r="G418" s="27">
        <v>6188</v>
      </c>
      <c r="H418" s="28">
        <f>'LA pre'!T13</f>
        <v>25.942142857142859</v>
      </c>
      <c r="I418" s="27">
        <v>14899</v>
      </c>
      <c r="J418" s="27">
        <v>103</v>
      </c>
      <c r="K418" s="2">
        <v>15000</v>
      </c>
      <c r="L418" s="27">
        <v>1904</v>
      </c>
      <c r="M418" s="27" t="s">
        <v>507</v>
      </c>
      <c r="N418" s="27" t="s">
        <v>508</v>
      </c>
      <c r="O418" s="27" t="str">
        <f t="shared" si="37"/>
        <v>https://babel.hathitrust.org/cgi/pt?id=coo.31924069517021;view=1up;seq=256</v>
      </c>
      <c r="P418" s="27" t="s">
        <v>509</v>
      </c>
      <c r="Q418" s="27" t="str">
        <f t="shared" si="38"/>
        <v>https://babel.hathitrust.org/cgi/pt?id=coo.31924069517021;view=1up;seq=256</v>
      </c>
      <c r="R418" s="27" t="s">
        <v>511</v>
      </c>
      <c r="S418" s="27" t="s">
        <v>512</v>
      </c>
      <c r="T418" s="27" t="s">
        <v>2598</v>
      </c>
      <c r="U418" s="4"/>
      <c r="V418" s="4"/>
      <c r="W418" s="4"/>
      <c r="X418" s="4"/>
      <c r="Y418" s="4"/>
      <c r="Z418" s="4"/>
      <c r="AA418" s="4"/>
      <c r="AB418" s="4"/>
    </row>
    <row r="419" spans="1:28" x14ac:dyDescent="0.25">
      <c r="A419" s="27" t="s">
        <v>1015</v>
      </c>
      <c r="B419" s="27" t="str">
        <f t="shared" si="35"/>
        <v>Louisiana</v>
      </c>
      <c r="C419" s="27" t="str">
        <f t="shared" si="36"/>
        <v>Concordia</v>
      </c>
      <c r="D419" s="2">
        <f>'LA pre'!F14</f>
        <v>1269</v>
      </c>
      <c r="E419" s="2">
        <v>44</v>
      </c>
      <c r="F419" s="26">
        <f>'LA pre'!N14</f>
        <v>94.541371158392437</v>
      </c>
      <c r="G419" s="27">
        <v>1579</v>
      </c>
      <c r="H419" s="28">
        <f>'LA pre'!T14</f>
        <v>26.403636363636362</v>
      </c>
      <c r="I419" s="27">
        <v>10407</v>
      </c>
      <c r="J419" s="27">
        <v>41</v>
      </c>
      <c r="K419" s="2">
        <v>8250</v>
      </c>
      <c r="L419" s="27">
        <v>1904</v>
      </c>
      <c r="M419" s="27" t="s">
        <v>507</v>
      </c>
      <c r="N419" s="27" t="s">
        <v>508</v>
      </c>
      <c r="O419" s="27" t="str">
        <f t="shared" si="37"/>
        <v>https://babel.hathitrust.org/cgi/pt?id=coo.31924069517021;view=1up;seq=256</v>
      </c>
      <c r="P419" s="27" t="s">
        <v>509</v>
      </c>
      <c r="Q419" s="27" t="str">
        <f t="shared" si="38"/>
        <v>https://babel.hathitrust.org/cgi/pt?id=coo.31924069517021;view=1up;seq=256</v>
      </c>
      <c r="R419" s="27" t="s">
        <v>511</v>
      </c>
      <c r="S419" s="27" t="s">
        <v>512</v>
      </c>
      <c r="T419" s="27" t="s">
        <v>2598</v>
      </c>
      <c r="U419" s="4"/>
      <c r="V419" s="4"/>
      <c r="W419" s="4"/>
      <c r="X419" s="4"/>
      <c r="Y419" s="4"/>
      <c r="Z419" s="4"/>
      <c r="AA419" s="4"/>
      <c r="AB419" s="4"/>
    </row>
    <row r="420" spans="1:28" x14ac:dyDescent="0.25">
      <c r="A420" s="27" t="s">
        <v>1962</v>
      </c>
      <c r="B420" s="27" t="str">
        <f t="shared" si="35"/>
        <v>Louisiana</v>
      </c>
      <c r="C420" s="27" t="str">
        <f t="shared" si="36"/>
        <v>Desoto</v>
      </c>
      <c r="D420" s="2">
        <f>'LA pre'!F15</f>
        <v>2276</v>
      </c>
      <c r="E420" s="2">
        <v>69</v>
      </c>
      <c r="F420" s="26">
        <f>'LA pre'!N15</f>
        <v>106.10456942003515</v>
      </c>
      <c r="G420" s="27">
        <v>3706</v>
      </c>
      <c r="H420" s="28">
        <f>'LA pre'!T15</f>
        <v>39.096956521739124</v>
      </c>
      <c r="I420" s="27">
        <v>27114</v>
      </c>
      <c r="J420" s="27">
        <v>66</v>
      </c>
      <c r="K420" s="2">
        <v>27325</v>
      </c>
      <c r="L420" s="27">
        <v>1904</v>
      </c>
      <c r="M420" s="27" t="s">
        <v>507</v>
      </c>
      <c r="N420" s="27" t="s">
        <v>508</v>
      </c>
      <c r="O420" s="27" t="str">
        <f t="shared" si="37"/>
        <v>https://babel.hathitrust.org/cgi/pt?id=coo.31924069517021;view=1up;seq=256</v>
      </c>
      <c r="P420" s="27" t="s">
        <v>509</v>
      </c>
      <c r="Q420" s="27" t="str">
        <f t="shared" si="38"/>
        <v>https://babel.hathitrust.org/cgi/pt?id=coo.31924069517021;view=1up;seq=256</v>
      </c>
      <c r="R420" s="27" t="s">
        <v>511</v>
      </c>
      <c r="S420" s="27" t="s">
        <v>512</v>
      </c>
      <c r="T420" s="27" t="s">
        <v>2598</v>
      </c>
      <c r="U420" s="4"/>
      <c r="V420" s="4"/>
      <c r="W420" s="4"/>
      <c r="X420" s="4"/>
      <c r="Y420" s="4"/>
      <c r="Z420" s="4"/>
      <c r="AA420" s="4"/>
      <c r="AB420" s="4"/>
    </row>
    <row r="421" spans="1:28" x14ac:dyDescent="0.25">
      <c r="A421" s="27" t="s">
        <v>1016</v>
      </c>
      <c r="B421" s="27" t="str">
        <f t="shared" si="35"/>
        <v>Louisiana</v>
      </c>
      <c r="C421" s="27" t="str">
        <f t="shared" si="36"/>
        <v>East Baton Rouge</v>
      </c>
      <c r="D421" s="2">
        <f>'LA pre'!F16</f>
        <v>1651</v>
      </c>
      <c r="E421" s="2">
        <v>64</v>
      </c>
      <c r="F421" s="26">
        <f>'LA pre'!N16</f>
        <v>138.55844942459115</v>
      </c>
      <c r="G421" s="27">
        <v>2141</v>
      </c>
      <c r="H421" s="28">
        <f>'LA pre'!T16</f>
        <v>40.6640625</v>
      </c>
      <c r="I421" s="27">
        <v>23390</v>
      </c>
      <c r="J421" s="27">
        <v>41</v>
      </c>
      <c r="K421" s="2">
        <v>37850</v>
      </c>
      <c r="L421" s="27">
        <v>1904</v>
      </c>
      <c r="M421" s="27" t="s">
        <v>507</v>
      </c>
      <c r="N421" s="27" t="s">
        <v>508</v>
      </c>
      <c r="O421" s="27" t="str">
        <f t="shared" si="37"/>
        <v>https://babel.hathitrust.org/cgi/pt?id=coo.31924069517021;view=1up;seq=256</v>
      </c>
      <c r="P421" s="27" t="s">
        <v>509</v>
      </c>
      <c r="Q421" s="27" t="str">
        <f t="shared" si="38"/>
        <v>https://babel.hathitrust.org/cgi/pt?id=coo.31924069517021;view=1up;seq=256</v>
      </c>
      <c r="R421" s="27" t="s">
        <v>511</v>
      </c>
      <c r="S421" s="27" t="s">
        <v>512</v>
      </c>
      <c r="T421" s="27" t="s">
        <v>2598</v>
      </c>
      <c r="U421" s="4"/>
      <c r="V421" s="4"/>
      <c r="W421" s="4"/>
      <c r="X421" s="4"/>
      <c r="Y421" s="4"/>
      <c r="Z421" s="4"/>
      <c r="AA421" s="4"/>
      <c r="AB421" s="4"/>
    </row>
    <row r="422" spans="1:28" x14ac:dyDescent="0.25">
      <c r="A422" s="27" t="s">
        <v>1780</v>
      </c>
      <c r="B422" s="27" t="str">
        <f t="shared" si="35"/>
        <v>Louisiana</v>
      </c>
      <c r="C422" s="27" t="str">
        <f t="shared" si="36"/>
        <v>East Carroll/Carroll</v>
      </c>
      <c r="D422" s="2">
        <f>'LA pre'!F17</f>
        <v>1230</v>
      </c>
      <c r="E422" s="2">
        <v>8</v>
      </c>
      <c r="F422" s="26">
        <f>'LA pre'!N17</f>
        <v>92.520325203252028</v>
      </c>
      <c r="G422" s="27">
        <v>1812</v>
      </c>
      <c r="H422" s="28">
        <f>'LA pre'!T17</f>
        <v>42.807500000000005</v>
      </c>
      <c r="I422" s="27">
        <v>11243</v>
      </c>
      <c r="J422" s="27">
        <v>23</v>
      </c>
      <c r="K422" s="2">
        <v>6400</v>
      </c>
      <c r="L422" s="27">
        <v>1904</v>
      </c>
      <c r="M422" s="27" t="s">
        <v>507</v>
      </c>
      <c r="N422" s="27" t="s">
        <v>508</v>
      </c>
      <c r="O422" s="27" t="str">
        <f t="shared" si="37"/>
        <v>https://babel.hathitrust.org/cgi/pt?id=coo.31924069517021;view=1up;seq=256</v>
      </c>
      <c r="P422" s="27" t="s">
        <v>509</v>
      </c>
      <c r="Q422" s="27" t="str">
        <f t="shared" si="38"/>
        <v>https://babel.hathitrust.org/cgi/pt?id=coo.31924069517021;view=1up;seq=256</v>
      </c>
      <c r="R422" s="27" t="s">
        <v>511</v>
      </c>
      <c r="S422" s="27" t="s">
        <v>512</v>
      </c>
      <c r="T422" s="27" t="s">
        <v>2598</v>
      </c>
      <c r="U422" s="4"/>
      <c r="V422" s="4"/>
      <c r="W422" s="4"/>
      <c r="X422" s="4"/>
      <c r="Y422" s="4"/>
      <c r="Z422" s="4"/>
      <c r="AA422" s="4"/>
      <c r="AB422" s="4"/>
    </row>
    <row r="423" spans="1:28" x14ac:dyDescent="0.25">
      <c r="A423" s="27" t="s">
        <v>1017</v>
      </c>
      <c r="B423" s="27" t="str">
        <f t="shared" si="35"/>
        <v>Louisiana</v>
      </c>
      <c r="C423" s="27" t="str">
        <f t="shared" si="36"/>
        <v>East Feliciana</v>
      </c>
      <c r="D423" s="2">
        <f>'LA pre'!F18</f>
        <v>2048</v>
      </c>
      <c r="E423" s="2">
        <v>89</v>
      </c>
      <c r="F423" s="26">
        <f>'LA pre'!N18</f>
        <v>117.451171875</v>
      </c>
      <c r="G423" s="27">
        <v>3144</v>
      </c>
      <c r="H423" s="28">
        <f>'LA pre'!T18</f>
        <v>28.30752808988764</v>
      </c>
      <c r="I423" s="27">
        <v>16440</v>
      </c>
      <c r="J423" s="27">
        <v>73</v>
      </c>
      <c r="K423" s="2">
        <v>4800</v>
      </c>
      <c r="L423" s="27">
        <v>1904</v>
      </c>
      <c r="M423" s="27" t="s">
        <v>507</v>
      </c>
      <c r="N423" s="27" t="s">
        <v>508</v>
      </c>
      <c r="O423" s="27" t="str">
        <f t="shared" si="37"/>
        <v>https://babel.hathitrust.org/cgi/pt?id=coo.31924069517021;view=1up;seq=256</v>
      </c>
      <c r="P423" s="27" t="s">
        <v>509</v>
      </c>
      <c r="Q423" s="27" t="str">
        <f t="shared" si="38"/>
        <v>https://babel.hathitrust.org/cgi/pt?id=coo.31924069517021;view=1up;seq=256</v>
      </c>
      <c r="R423" s="27" t="s">
        <v>511</v>
      </c>
      <c r="S423" s="27" t="s">
        <v>512</v>
      </c>
      <c r="T423" s="27" t="s">
        <v>2598</v>
      </c>
      <c r="U423" s="4"/>
      <c r="V423" s="4"/>
      <c r="W423" s="4"/>
      <c r="X423" s="4"/>
      <c r="Y423" s="4"/>
      <c r="Z423" s="4"/>
      <c r="AA423" s="4"/>
      <c r="AB423" s="4"/>
    </row>
    <row r="424" spans="1:28" x14ac:dyDescent="0.25">
      <c r="A424" s="27" t="s">
        <v>1019</v>
      </c>
      <c r="B424" s="27" t="str">
        <f t="shared" si="35"/>
        <v>Louisiana</v>
      </c>
      <c r="C424" s="27" t="str">
        <f t="shared" si="36"/>
        <v>Franklin</v>
      </c>
      <c r="D424" s="2">
        <f>'LA pre'!F19</f>
        <v>1196</v>
      </c>
      <c r="E424" s="2">
        <v>23</v>
      </c>
      <c r="F424" s="26">
        <f>'LA pre'!N19</f>
        <v>110.09698996655518</v>
      </c>
      <c r="G424" s="27">
        <v>2155</v>
      </c>
      <c r="H424" s="28">
        <f>'LA pre'!T19</f>
        <v>39.443478260869568</v>
      </c>
      <c r="I424" s="27">
        <v>11146</v>
      </c>
      <c r="J424" s="27">
        <v>42</v>
      </c>
      <c r="K424" s="2">
        <v>9000</v>
      </c>
      <c r="L424" s="27">
        <v>1904</v>
      </c>
      <c r="M424" s="27" t="s">
        <v>507</v>
      </c>
      <c r="N424" s="27" t="s">
        <v>508</v>
      </c>
      <c r="O424" s="27" t="str">
        <f t="shared" si="37"/>
        <v>https://babel.hathitrust.org/cgi/pt?id=coo.31924069517021;view=1up;seq=256</v>
      </c>
      <c r="P424" s="27" t="s">
        <v>509</v>
      </c>
      <c r="Q424" s="27" t="str">
        <f t="shared" si="38"/>
        <v>https://babel.hathitrust.org/cgi/pt?id=coo.31924069517021;view=1up;seq=256</v>
      </c>
      <c r="R424" s="27" t="s">
        <v>511</v>
      </c>
      <c r="S424" s="27" t="s">
        <v>512</v>
      </c>
      <c r="T424" s="27" t="s">
        <v>2598</v>
      </c>
      <c r="U424" s="4"/>
      <c r="V424" s="4"/>
      <c r="W424" s="4"/>
      <c r="X424" s="4"/>
      <c r="Y424" s="4"/>
      <c r="Z424" s="4"/>
      <c r="AA424" s="4"/>
      <c r="AB424" s="4"/>
    </row>
    <row r="425" spans="1:28" x14ac:dyDescent="0.25">
      <c r="A425" s="27" t="s">
        <v>1020</v>
      </c>
      <c r="B425" s="27" t="str">
        <f t="shared" si="35"/>
        <v>Louisiana</v>
      </c>
      <c r="C425" s="27" t="str">
        <f t="shared" si="36"/>
        <v>Grant</v>
      </c>
      <c r="D425" s="2"/>
      <c r="E425" s="2">
        <v>42</v>
      </c>
      <c r="F425" s="26">
        <f>'LA pre'!N20</f>
        <v>101.14285714285714</v>
      </c>
      <c r="G425" s="27">
        <v>3148</v>
      </c>
      <c r="H425" s="28">
        <f>'LA pre'!T20</f>
        <v>47.130476190476188</v>
      </c>
      <c r="I425" s="27">
        <v>16436</v>
      </c>
      <c r="J425" s="27">
        <v>52</v>
      </c>
      <c r="K425" s="2">
        <v>27000</v>
      </c>
      <c r="L425" s="27">
        <v>1904</v>
      </c>
      <c r="M425" s="27" t="s">
        <v>507</v>
      </c>
      <c r="N425" s="27" t="s">
        <v>508</v>
      </c>
      <c r="O425" s="27" t="str">
        <f t="shared" si="37"/>
        <v>https://babel.hathitrust.org/cgi/pt?id=coo.31924069517021;view=1up;seq=256</v>
      </c>
      <c r="P425" s="27" t="s">
        <v>509</v>
      </c>
      <c r="Q425" s="27" t="str">
        <f t="shared" si="38"/>
        <v>https://babel.hathitrust.org/cgi/pt?id=coo.31924069517021;view=1up;seq=256</v>
      </c>
      <c r="R425" s="27" t="s">
        <v>511</v>
      </c>
      <c r="S425" s="27" t="s">
        <v>512</v>
      </c>
      <c r="T425" s="27" t="s">
        <v>2598</v>
      </c>
      <c r="U425" s="4"/>
      <c r="V425" s="4"/>
      <c r="W425" s="4"/>
      <c r="X425" s="4"/>
      <c r="Y425" s="4"/>
      <c r="Z425" s="4"/>
      <c r="AA425" s="4"/>
      <c r="AB425" s="4"/>
    </row>
    <row r="426" spans="1:28" x14ac:dyDescent="0.25">
      <c r="A426" s="27" t="s">
        <v>1021</v>
      </c>
      <c r="B426" s="27" t="str">
        <f t="shared" si="35"/>
        <v>Louisiana</v>
      </c>
      <c r="C426" s="27" t="str">
        <f t="shared" si="36"/>
        <v>Iberia</v>
      </c>
      <c r="D426" s="2">
        <f>'LA pre'!F21</f>
        <v>2498</v>
      </c>
      <c r="E426" s="2">
        <v>48</v>
      </c>
      <c r="F426" s="26">
        <f>'LA pre'!N21</f>
        <v>180</v>
      </c>
      <c r="G426" s="27">
        <v>2990</v>
      </c>
      <c r="H426" s="28">
        <f>'LA pre'!T21</f>
        <v>114.65541666666668</v>
      </c>
      <c r="I426" s="27">
        <v>30406</v>
      </c>
      <c r="J426" s="27">
        <v>38</v>
      </c>
      <c r="K426" s="2">
        <v>45000</v>
      </c>
      <c r="L426" s="27">
        <v>1904</v>
      </c>
      <c r="M426" s="27" t="s">
        <v>507</v>
      </c>
      <c r="N426" s="27" t="s">
        <v>508</v>
      </c>
      <c r="O426" s="27" t="str">
        <f t="shared" si="37"/>
        <v>https://babel.hathitrust.org/cgi/pt?id=coo.31924069517021;view=1up;seq=256</v>
      </c>
      <c r="P426" s="27" t="s">
        <v>509</v>
      </c>
      <c r="Q426" s="27" t="str">
        <f t="shared" si="38"/>
        <v>https://babel.hathitrust.org/cgi/pt?id=coo.31924069517021;view=1up;seq=256</v>
      </c>
      <c r="R426" s="27" t="s">
        <v>511</v>
      </c>
      <c r="S426" s="27" t="s">
        <v>512</v>
      </c>
      <c r="T426" s="27" t="s">
        <v>2598</v>
      </c>
      <c r="U426" s="4"/>
      <c r="V426" s="4"/>
      <c r="W426" s="4"/>
      <c r="X426" s="4"/>
      <c r="Y426" s="4"/>
      <c r="Z426" s="4"/>
      <c r="AA426" s="4"/>
      <c r="AB426" s="4"/>
    </row>
    <row r="427" spans="1:28" x14ac:dyDescent="0.25">
      <c r="A427" s="27" t="s">
        <v>1022</v>
      </c>
      <c r="B427" s="27" t="str">
        <f t="shared" si="35"/>
        <v>Louisiana</v>
      </c>
      <c r="C427" s="27" t="str">
        <f t="shared" si="36"/>
        <v>Iberville</v>
      </c>
      <c r="D427" s="2">
        <f>'LA pre'!F22</f>
        <v>2014</v>
      </c>
      <c r="E427" s="2">
        <v>62</v>
      </c>
      <c r="F427" s="26">
        <f>'LA pre'!N22</f>
        <v>123.57497517378351</v>
      </c>
      <c r="G427" s="27">
        <v>2591</v>
      </c>
      <c r="H427" s="28">
        <f>'LA pre'!T22</f>
        <v>33.211290322580645</v>
      </c>
      <c r="I427" s="27">
        <v>22815</v>
      </c>
      <c r="J427" s="27">
        <v>47</v>
      </c>
      <c r="K427" s="2">
        <v>25000</v>
      </c>
      <c r="L427" s="27">
        <v>1904</v>
      </c>
      <c r="M427" s="27" t="s">
        <v>507</v>
      </c>
      <c r="N427" s="27" t="s">
        <v>508</v>
      </c>
      <c r="O427" s="27" t="str">
        <f t="shared" si="37"/>
        <v>https://babel.hathitrust.org/cgi/pt?id=coo.31924069517021;view=1up;seq=256</v>
      </c>
      <c r="P427" s="27" t="s">
        <v>509</v>
      </c>
      <c r="Q427" s="27" t="str">
        <f t="shared" si="38"/>
        <v>https://babel.hathitrust.org/cgi/pt?id=coo.31924069517021;view=1up;seq=256</v>
      </c>
      <c r="R427" s="27" t="s">
        <v>511</v>
      </c>
      <c r="S427" s="27" t="s">
        <v>512</v>
      </c>
      <c r="T427" s="27" t="s">
        <v>2598</v>
      </c>
      <c r="U427" s="4"/>
      <c r="V427" s="4"/>
      <c r="W427" s="4"/>
      <c r="X427" s="4"/>
      <c r="Y427" s="4"/>
      <c r="Z427" s="4"/>
      <c r="AA427" s="4"/>
      <c r="AB427" s="4"/>
    </row>
    <row r="428" spans="1:28" x14ac:dyDescent="0.25">
      <c r="A428" s="27" t="s">
        <v>1023</v>
      </c>
      <c r="B428" s="27" t="str">
        <f t="shared" si="35"/>
        <v>Louisiana</v>
      </c>
      <c r="C428" s="27" t="str">
        <f t="shared" si="36"/>
        <v>Jackson</v>
      </c>
      <c r="D428" s="2">
        <f>'LA pre'!F23</f>
        <v>2152</v>
      </c>
      <c r="E428" s="2">
        <v>57</v>
      </c>
      <c r="F428" s="26">
        <f>'LA pre'!N23</f>
        <v>65.178438661710032</v>
      </c>
      <c r="G428" s="27">
        <v>3326</v>
      </c>
      <c r="H428" s="28">
        <f>'LA pre'!T23</f>
        <v>38.321754385964915</v>
      </c>
      <c r="I428" s="27">
        <v>12358</v>
      </c>
      <c r="J428" s="27">
        <v>64</v>
      </c>
      <c r="K428" s="2">
        <v>20000</v>
      </c>
      <c r="L428" s="27">
        <v>1904</v>
      </c>
      <c r="M428" s="27" t="s">
        <v>507</v>
      </c>
      <c r="N428" s="27" t="s">
        <v>508</v>
      </c>
      <c r="O428" s="27" t="str">
        <f t="shared" si="37"/>
        <v>https://babel.hathitrust.org/cgi/pt?id=coo.31924069517021;view=1up;seq=256</v>
      </c>
      <c r="P428" s="27" t="s">
        <v>509</v>
      </c>
      <c r="Q428" s="27" t="str">
        <f t="shared" si="38"/>
        <v>https://babel.hathitrust.org/cgi/pt?id=coo.31924069517021;view=1up;seq=256</v>
      </c>
      <c r="R428" s="27" t="s">
        <v>511</v>
      </c>
      <c r="S428" s="27" t="s">
        <v>512</v>
      </c>
      <c r="T428" s="27" t="s">
        <v>2598</v>
      </c>
      <c r="U428" s="4"/>
      <c r="V428" s="4"/>
      <c r="W428" s="4"/>
      <c r="X428" s="4"/>
      <c r="Y428" s="4"/>
      <c r="Z428" s="4"/>
      <c r="AA428" s="4"/>
      <c r="AB428" s="4"/>
    </row>
    <row r="429" spans="1:28" x14ac:dyDescent="0.25">
      <c r="A429" s="27" t="s">
        <v>1024</v>
      </c>
      <c r="B429" s="27" t="str">
        <f t="shared" si="35"/>
        <v>Louisiana</v>
      </c>
      <c r="C429" s="27" t="str">
        <f t="shared" si="36"/>
        <v>Jefferson</v>
      </c>
      <c r="D429" s="2">
        <f>'LA pre'!F24</f>
        <v>1425</v>
      </c>
      <c r="E429" s="2">
        <v>22</v>
      </c>
      <c r="F429" s="26">
        <f>'LA pre'!N24</f>
        <v>178</v>
      </c>
      <c r="G429" s="27">
        <v>1998</v>
      </c>
      <c r="H429" s="28">
        <f>'LA pre'!T24</f>
        <v>34.438636363636363</v>
      </c>
      <c r="I429" s="27">
        <v>13926</v>
      </c>
      <c r="J429" s="27">
        <v>20</v>
      </c>
      <c r="K429" s="2">
        <v>19925</v>
      </c>
      <c r="L429" s="27">
        <v>1904</v>
      </c>
      <c r="M429" s="27" t="s">
        <v>507</v>
      </c>
      <c r="N429" s="27" t="s">
        <v>508</v>
      </c>
      <c r="O429" s="27" t="str">
        <f t="shared" si="37"/>
        <v>https://babel.hathitrust.org/cgi/pt?id=coo.31924069517021;view=1up;seq=256</v>
      </c>
      <c r="P429" s="27" t="s">
        <v>509</v>
      </c>
      <c r="Q429" s="27" t="str">
        <f t="shared" si="38"/>
        <v>https://babel.hathitrust.org/cgi/pt?id=coo.31924069517021;view=1up;seq=256</v>
      </c>
      <c r="R429" s="27" t="s">
        <v>511</v>
      </c>
      <c r="S429" s="27" t="s">
        <v>512</v>
      </c>
      <c r="T429" s="27" t="s">
        <v>2598</v>
      </c>
      <c r="U429" s="4"/>
      <c r="V429" s="4"/>
      <c r="W429" s="4"/>
      <c r="X429" s="4"/>
      <c r="Y429" s="4"/>
      <c r="Z429" s="4"/>
      <c r="AA429" s="4"/>
      <c r="AB429" s="4"/>
    </row>
    <row r="430" spans="1:28" x14ac:dyDescent="0.25">
      <c r="A430" s="27" t="s">
        <v>1026</v>
      </c>
      <c r="B430" s="27" t="str">
        <f t="shared" si="35"/>
        <v>Louisiana</v>
      </c>
      <c r="C430" s="27" t="str">
        <f t="shared" si="36"/>
        <v>Lafayette</v>
      </c>
      <c r="D430" s="2">
        <f>'LA pre'!F25</f>
        <v>1633</v>
      </c>
      <c r="E430" s="2">
        <v>56</v>
      </c>
      <c r="F430" s="26">
        <f>'LA pre'!N25</f>
        <v>200</v>
      </c>
      <c r="G430" s="27">
        <v>2547</v>
      </c>
      <c r="H430" s="28">
        <f>'LA pre'!T25</f>
        <v>52.24446428571428</v>
      </c>
      <c r="I430" s="27">
        <v>31134</v>
      </c>
      <c r="J430" s="27">
        <v>34</v>
      </c>
      <c r="K430" s="2">
        <v>13500</v>
      </c>
      <c r="L430" s="27">
        <v>1904</v>
      </c>
      <c r="M430" s="27" t="s">
        <v>507</v>
      </c>
      <c r="N430" s="27" t="s">
        <v>508</v>
      </c>
      <c r="O430" s="27" t="str">
        <f t="shared" si="37"/>
        <v>https://babel.hathitrust.org/cgi/pt?id=coo.31924069517021;view=1up;seq=256</v>
      </c>
      <c r="P430" s="27" t="s">
        <v>509</v>
      </c>
      <c r="Q430" s="27" t="str">
        <f t="shared" si="38"/>
        <v>https://babel.hathitrust.org/cgi/pt?id=coo.31924069517021;view=1up;seq=256</v>
      </c>
      <c r="R430" s="27" t="s">
        <v>511</v>
      </c>
      <c r="S430" s="27" t="s">
        <v>512</v>
      </c>
      <c r="T430" s="27" t="s">
        <v>2598</v>
      </c>
      <c r="U430" s="4"/>
      <c r="V430" s="4"/>
      <c r="W430" s="4"/>
      <c r="X430" s="4"/>
      <c r="Y430" s="4"/>
      <c r="Z430" s="4"/>
      <c r="AA430" s="4"/>
      <c r="AB430" s="4"/>
    </row>
    <row r="431" spans="1:28" x14ac:dyDescent="0.25">
      <c r="A431" s="27" t="s">
        <v>1027</v>
      </c>
      <c r="B431" s="27" t="str">
        <f t="shared" si="35"/>
        <v>Louisiana</v>
      </c>
      <c r="C431" s="27" t="str">
        <f t="shared" si="36"/>
        <v>Lafourche</v>
      </c>
      <c r="D431" s="2">
        <f>'LA pre'!F26</f>
        <v>2355</v>
      </c>
      <c r="E431" s="2">
        <v>89</v>
      </c>
      <c r="F431" s="26">
        <f>'LA pre'!N26</f>
        <v>114</v>
      </c>
      <c r="G431" s="27">
        <v>3328</v>
      </c>
      <c r="H431" s="28">
        <f>'LA pre'!T26</f>
        <v>34.786404494382019</v>
      </c>
      <c r="I431" s="27">
        <v>24748</v>
      </c>
      <c r="J431" s="27">
        <v>55</v>
      </c>
      <c r="K431" s="2">
        <v>11445</v>
      </c>
      <c r="L431" s="27">
        <v>1904</v>
      </c>
      <c r="M431" s="27" t="s">
        <v>507</v>
      </c>
      <c r="N431" s="27" t="s">
        <v>508</v>
      </c>
      <c r="O431" s="27" t="str">
        <f t="shared" si="37"/>
        <v>https://babel.hathitrust.org/cgi/pt?id=coo.31924069517021;view=1up;seq=256</v>
      </c>
      <c r="P431" s="27" t="s">
        <v>509</v>
      </c>
      <c r="Q431" s="27" t="str">
        <f t="shared" si="38"/>
        <v>https://babel.hathitrust.org/cgi/pt?id=coo.31924069517021;view=1up;seq=256</v>
      </c>
      <c r="R431" s="27" t="s">
        <v>511</v>
      </c>
      <c r="S431" s="27" t="s">
        <v>512</v>
      </c>
      <c r="T431" s="27" t="s">
        <v>2598</v>
      </c>
      <c r="U431" s="4"/>
      <c r="V431" s="4"/>
      <c r="W431" s="4"/>
      <c r="X431" s="4"/>
      <c r="Y431" s="4"/>
      <c r="Z431" s="4"/>
      <c r="AA431" s="4"/>
      <c r="AB431" s="4"/>
    </row>
    <row r="432" spans="1:28" x14ac:dyDescent="0.25">
      <c r="A432" s="27" t="s">
        <v>1029</v>
      </c>
      <c r="B432" s="27" t="str">
        <f t="shared" si="35"/>
        <v>Louisiana</v>
      </c>
      <c r="C432" s="27" t="str">
        <f t="shared" si="36"/>
        <v>Lincoln</v>
      </c>
      <c r="D432" s="2"/>
      <c r="E432" s="2">
        <v>60</v>
      </c>
      <c r="F432" s="26">
        <f>'LA pre'!N27</f>
        <v>100</v>
      </c>
      <c r="G432" s="27">
        <v>2801</v>
      </c>
      <c r="H432" s="28">
        <f>'LA pre'!T27</f>
        <v>42.287500000000001</v>
      </c>
      <c r="I432" s="27">
        <v>20658</v>
      </c>
      <c r="J432" s="27">
        <v>44</v>
      </c>
      <c r="K432" s="2">
        <v>4000</v>
      </c>
      <c r="L432" s="27">
        <v>1904</v>
      </c>
      <c r="M432" s="27" t="s">
        <v>507</v>
      </c>
      <c r="N432" s="27" t="s">
        <v>508</v>
      </c>
      <c r="O432" s="27" t="str">
        <f t="shared" si="37"/>
        <v>https://babel.hathitrust.org/cgi/pt?id=coo.31924069517021;view=1up;seq=256</v>
      </c>
      <c r="P432" s="27" t="s">
        <v>509</v>
      </c>
      <c r="Q432" s="27" t="str">
        <f t="shared" si="38"/>
        <v>https://babel.hathitrust.org/cgi/pt?id=coo.31924069517021;view=1up;seq=256</v>
      </c>
      <c r="R432" s="27" t="s">
        <v>511</v>
      </c>
      <c r="S432" s="27" t="s">
        <v>512</v>
      </c>
      <c r="T432" s="27" t="s">
        <v>2598</v>
      </c>
      <c r="U432" s="4"/>
      <c r="V432" s="4"/>
      <c r="W432" s="4"/>
      <c r="X432" s="4"/>
      <c r="Y432" s="4"/>
      <c r="Z432" s="4"/>
      <c r="AA432" s="4"/>
      <c r="AB432" s="4"/>
    </row>
    <row r="433" spans="1:28" x14ac:dyDescent="0.25">
      <c r="A433" s="27" t="s">
        <v>1030</v>
      </c>
      <c r="B433" s="27" t="str">
        <f t="shared" si="35"/>
        <v>Louisiana</v>
      </c>
      <c r="C433" s="27" t="str">
        <f t="shared" si="36"/>
        <v>Livingston</v>
      </c>
      <c r="D433" s="2">
        <f>'LA pre'!F28</f>
        <v>1404</v>
      </c>
      <c r="E433" s="2">
        <v>59</v>
      </c>
      <c r="F433" s="26">
        <f>'LA pre'!N28</f>
        <v>60</v>
      </c>
      <c r="G433" s="27">
        <v>1830</v>
      </c>
      <c r="H433" s="28">
        <f>'LA pre'!T28</f>
        <v>22.161016949152543</v>
      </c>
      <c r="I433" s="27">
        <v>6330</v>
      </c>
      <c r="J433" s="27">
        <v>59</v>
      </c>
      <c r="K433" s="2">
        <v>2400</v>
      </c>
      <c r="L433" s="27">
        <v>1904</v>
      </c>
      <c r="M433" s="27" t="s">
        <v>507</v>
      </c>
      <c r="N433" s="27" t="s">
        <v>508</v>
      </c>
      <c r="O433" s="27" t="str">
        <f t="shared" si="37"/>
        <v>https://babel.hathitrust.org/cgi/pt?id=coo.31924069517021;view=1up;seq=256</v>
      </c>
      <c r="P433" s="27" t="s">
        <v>509</v>
      </c>
      <c r="Q433" s="27" t="str">
        <f t="shared" si="38"/>
        <v>https://babel.hathitrust.org/cgi/pt?id=coo.31924069517021;view=1up;seq=256</v>
      </c>
      <c r="R433" s="27" t="s">
        <v>511</v>
      </c>
      <c r="S433" s="27" t="s">
        <v>512</v>
      </c>
      <c r="T433" s="27" t="s">
        <v>2598</v>
      </c>
      <c r="U433" s="4"/>
      <c r="V433" s="4"/>
      <c r="W433" s="4"/>
      <c r="X433" s="4"/>
      <c r="Y433" s="4"/>
      <c r="Z433" s="4"/>
      <c r="AA433" s="4"/>
      <c r="AB433" s="4"/>
    </row>
    <row r="434" spans="1:28" x14ac:dyDescent="0.25">
      <c r="A434" s="27" t="s">
        <v>1031</v>
      </c>
      <c r="B434" s="27" t="str">
        <f t="shared" si="35"/>
        <v>Louisiana</v>
      </c>
      <c r="C434" s="27" t="str">
        <f t="shared" si="36"/>
        <v>Madison</v>
      </c>
      <c r="D434" s="2">
        <f>'LA pre'!F29</f>
        <v>1334</v>
      </c>
      <c r="E434" s="2">
        <v>51</v>
      </c>
      <c r="F434" s="26">
        <f>'LA pre'!N29</f>
        <v>89.220389805097454</v>
      </c>
      <c r="G434" s="27">
        <v>1605</v>
      </c>
      <c r="H434" s="28">
        <f>'LA pre'!T29</f>
        <v>30.217450980392154</v>
      </c>
      <c r="I434" s="27">
        <v>10974</v>
      </c>
      <c r="J434" s="27">
        <v>50</v>
      </c>
      <c r="K434" s="2">
        <v>10425</v>
      </c>
      <c r="L434" s="27">
        <v>1904</v>
      </c>
      <c r="M434" s="27" t="s">
        <v>507</v>
      </c>
      <c r="N434" s="27" t="s">
        <v>508</v>
      </c>
      <c r="O434" s="27" t="str">
        <f t="shared" si="37"/>
        <v>https://babel.hathitrust.org/cgi/pt?id=coo.31924069517021;view=1up;seq=256</v>
      </c>
      <c r="P434" s="27" t="s">
        <v>509</v>
      </c>
      <c r="Q434" s="27" t="str">
        <f t="shared" si="38"/>
        <v>https://babel.hathitrust.org/cgi/pt?id=coo.31924069517021;view=1up;seq=256</v>
      </c>
      <c r="R434" s="27" t="s">
        <v>511</v>
      </c>
      <c r="S434" s="27" t="s">
        <v>512</v>
      </c>
      <c r="T434" s="27" t="s">
        <v>2598</v>
      </c>
      <c r="U434" s="4"/>
      <c r="V434" s="4"/>
      <c r="W434" s="4"/>
      <c r="X434" s="4"/>
      <c r="Y434" s="4"/>
      <c r="Z434" s="4"/>
      <c r="AA434" s="4"/>
      <c r="AB434" s="4"/>
    </row>
    <row r="435" spans="1:28" x14ac:dyDescent="0.25">
      <c r="A435" s="27" t="s">
        <v>1032</v>
      </c>
      <c r="B435" s="27" t="str">
        <f t="shared" si="35"/>
        <v>Louisiana</v>
      </c>
      <c r="C435" s="27" t="str">
        <f t="shared" si="36"/>
        <v>Morehouse</v>
      </c>
      <c r="D435" s="2">
        <f>'LA pre'!F30</f>
        <v>3176</v>
      </c>
      <c r="E435" s="2">
        <v>63</v>
      </c>
      <c r="F435" s="26">
        <f>'LA pre'!N30</f>
        <v>100.34162468513854</v>
      </c>
      <c r="G435" s="27">
        <v>3820</v>
      </c>
      <c r="H435" s="28">
        <f>'LA pre'!T30</f>
        <v>31.89777777777778</v>
      </c>
      <c r="I435" s="27">
        <v>21025</v>
      </c>
      <c r="J435" s="27">
        <v>59</v>
      </c>
      <c r="K435" s="2">
        <v>35000</v>
      </c>
      <c r="L435" s="27">
        <v>1904</v>
      </c>
      <c r="M435" s="27" t="s">
        <v>507</v>
      </c>
      <c r="N435" s="27" t="s">
        <v>508</v>
      </c>
      <c r="O435" s="27" t="str">
        <f t="shared" si="37"/>
        <v>https://babel.hathitrust.org/cgi/pt?id=coo.31924069517021;view=1up;seq=256</v>
      </c>
      <c r="P435" s="27" t="s">
        <v>509</v>
      </c>
      <c r="Q435" s="27" t="str">
        <f t="shared" si="38"/>
        <v>https://babel.hathitrust.org/cgi/pt?id=coo.31924069517021;view=1up;seq=256</v>
      </c>
      <c r="R435" s="27" t="s">
        <v>511</v>
      </c>
      <c r="S435" s="27" t="s">
        <v>512</v>
      </c>
      <c r="T435" s="27" t="s">
        <v>2598</v>
      </c>
      <c r="U435" s="4"/>
      <c r="V435" s="4"/>
      <c r="W435" s="4"/>
      <c r="X435" s="4"/>
      <c r="Y435" s="4"/>
      <c r="Z435" s="4"/>
      <c r="AA435" s="4"/>
      <c r="AB435" s="4"/>
    </row>
    <row r="436" spans="1:28" x14ac:dyDescent="0.25">
      <c r="A436" s="27" t="s">
        <v>1033</v>
      </c>
      <c r="B436" s="27" t="str">
        <f t="shared" si="35"/>
        <v>Louisiana</v>
      </c>
      <c r="C436" s="27" t="str">
        <f t="shared" si="36"/>
        <v>Natchitoches</v>
      </c>
      <c r="D436" s="2">
        <f>'LA pre'!F31</f>
        <v>4460</v>
      </c>
      <c r="E436" s="2">
        <v>99</v>
      </c>
      <c r="F436" s="26">
        <f>'LA pre'!N31</f>
        <v>99.098206278026908</v>
      </c>
      <c r="G436" s="27">
        <v>6463</v>
      </c>
      <c r="H436" s="28">
        <f>'LA pre'!T31</f>
        <v>40.975000000000001</v>
      </c>
      <c r="I436" s="27">
        <v>38726</v>
      </c>
      <c r="J436" s="27">
        <v>124</v>
      </c>
      <c r="K436" s="2">
        <v>20000</v>
      </c>
      <c r="L436" s="27">
        <v>1904</v>
      </c>
      <c r="M436" s="27" t="s">
        <v>507</v>
      </c>
      <c r="N436" s="27" t="s">
        <v>508</v>
      </c>
      <c r="O436" s="27" t="str">
        <f t="shared" si="37"/>
        <v>https://babel.hathitrust.org/cgi/pt?id=coo.31924069517021;view=1up;seq=256</v>
      </c>
      <c r="P436" s="27" t="s">
        <v>509</v>
      </c>
      <c r="Q436" s="27" t="str">
        <f t="shared" si="38"/>
        <v>https://babel.hathitrust.org/cgi/pt?id=coo.31924069517021;view=1up;seq=256</v>
      </c>
      <c r="R436" s="27" t="s">
        <v>511</v>
      </c>
      <c r="S436" s="27" t="s">
        <v>512</v>
      </c>
      <c r="T436" s="27" t="s">
        <v>2598</v>
      </c>
      <c r="U436" s="4"/>
      <c r="V436" s="4"/>
      <c r="W436" s="4"/>
      <c r="X436" s="4"/>
      <c r="Y436" s="4"/>
      <c r="Z436" s="4"/>
      <c r="AA436" s="4"/>
      <c r="AB436" s="4"/>
    </row>
    <row r="437" spans="1:28" x14ac:dyDescent="0.25">
      <c r="A437" s="27" t="s">
        <v>1034</v>
      </c>
      <c r="B437" s="27" t="str">
        <f t="shared" si="35"/>
        <v>Louisiana</v>
      </c>
      <c r="C437" s="27" t="str">
        <f t="shared" si="36"/>
        <v>Orleans</v>
      </c>
      <c r="D437" s="2">
        <f>'LA pre'!F32</f>
        <v>22651</v>
      </c>
      <c r="E437" s="2">
        <v>786</v>
      </c>
      <c r="F437" s="26">
        <f>'LA pre'!N32</f>
        <v>185</v>
      </c>
      <c r="G437" s="27">
        <v>31540</v>
      </c>
      <c r="H437" s="28">
        <f>'LA pre'!T32</f>
        <v>60.476374045801528</v>
      </c>
      <c r="I437" s="27">
        <v>583718</v>
      </c>
      <c r="J437" s="27">
        <v>72</v>
      </c>
      <c r="K437" s="2">
        <v>2000000</v>
      </c>
      <c r="L437" s="27">
        <v>1904</v>
      </c>
      <c r="M437" s="27" t="s">
        <v>507</v>
      </c>
      <c r="N437" s="27" t="s">
        <v>508</v>
      </c>
      <c r="O437" s="27" t="str">
        <f t="shared" si="37"/>
        <v>https://babel.hathitrust.org/cgi/pt?id=coo.31924069517021;view=1up;seq=256</v>
      </c>
      <c r="P437" s="27" t="s">
        <v>509</v>
      </c>
      <c r="Q437" s="27" t="str">
        <f t="shared" si="38"/>
        <v>https://babel.hathitrust.org/cgi/pt?id=coo.31924069517021;view=1up;seq=256</v>
      </c>
      <c r="R437" s="27" t="s">
        <v>511</v>
      </c>
      <c r="S437" s="27" t="s">
        <v>512</v>
      </c>
      <c r="T437" s="27" t="s">
        <v>2598</v>
      </c>
      <c r="U437" s="4"/>
      <c r="V437" s="4"/>
      <c r="W437" s="4"/>
      <c r="X437" s="4"/>
      <c r="Y437" s="4"/>
      <c r="Z437" s="4"/>
      <c r="AA437" s="4"/>
      <c r="AB437" s="4"/>
    </row>
    <row r="438" spans="1:28" x14ac:dyDescent="0.25">
      <c r="A438" s="27" t="s">
        <v>1035</v>
      </c>
      <c r="B438" s="27" t="str">
        <f t="shared" si="35"/>
        <v>Louisiana</v>
      </c>
      <c r="C438" s="27" t="str">
        <f t="shared" si="36"/>
        <v>Ouachita</v>
      </c>
      <c r="D438" s="2">
        <f>'LA pre'!F33</f>
        <v>2060</v>
      </c>
      <c r="E438" s="2">
        <v>82</v>
      </c>
      <c r="F438" s="26">
        <f>'LA pre'!N33</f>
        <v>120.43009708737864</v>
      </c>
      <c r="G438" s="27">
        <v>3449</v>
      </c>
      <c r="H438" s="28">
        <f>'LA pre'!T33</f>
        <v>42.529756097560977</v>
      </c>
      <c r="I438" s="27">
        <v>18508</v>
      </c>
      <c r="J438" s="27">
        <v>64</v>
      </c>
      <c r="K438" s="2">
        <v>30000</v>
      </c>
      <c r="L438" s="27">
        <v>1904</v>
      </c>
      <c r="M438" s="27" t="s">
        <v>507</v>
      </c>
      <c r="N438" s="27" t="s">
        <v>508</v>
      </c>
      <c r="O438" s="27" t="str">
        <f t="shared" si="37"/>
        <v>https://babel.hathitrust.org/cgi/pt?id=coo.31924069517021;view=1up;seq=256</v>
      </c>
      <c r="P438" s="27" t="s">
        <v>509</v>
      </c>
      <c r="Q438" s="27" t="str">
        <f t="shared" si="38"/>
        <v>https://babel.hathitrust.org/cgi/pt?id=coo.31924069517021;view=1up;seq=256</v>
      </c>
      <c r="R438" s="27" t="s">
        <v>511</v>
      </c>
      <c r="S438" s="27" t="s">
        <v>512</v>
      </c>
      <c r="T438" s="27" t="s">
        <v>2598</v>
      </c>
      <c r="U438" s="4"/>
      <c r="V438" s="4"/>
      <c r="W438" s="4"/>
      <c r="X438" s="4"/>
      <c r="Y438" s="4"/>
      <c r="Z438" s="4"/>
      <c r="AA438" s="4"/>
      <c r="AB438" s="4"/>
    </row>
    <row r="439" spans="1:28" x14ac:dyDescent="0.25">
      <c r="A439" s="27" t="s">
        <v>1036</v>
      </c>
      <c r="B439" s="27" t="str">
        <f t="shared" si="35"/>
        <v>Louisiana</v>
      </c>
      <c r="C439" s="27" t="str">
        <f t="shared" si="36"/>
        <v>Plaquemines</v>
      </c>
      <c r="D439" s="2">
        <f>'LA pre'!F34</f>
        <v>1030</v>
      </c>
      <c r="E439" s="2">
        <v>38</v>
      </c>
      <c r="F439" s="26">
        <f>'LA pre'!N34</f>
        <v>165</v>
      </c>
      <c r="G439" s="27">
        <v>1241</v>
      </c>
      <c r="H439" s="28">
        <f>'LA pre'!T34</f>
        <v>30</v>
      </c>
      <c r="I439" s="27">
        <v>11893</v>
      </c>
      <c r="J439" s="27">
        <v>38</v>
      </c>
      <c r="K439" s="2">
        <v>8869</v>
      </c>
      <c r="L439" s="27">
        <v>1904</v>
      </c>
      <c r="M439" s="27" t="s">
        <v>507</v>
      </c>
      <c r="N439" s="27" t="s">
        <v>508</v>
      </c>
      <c r="O439" s="27" t="str">
        <f t="shared" si="37"/>
        <v>https://babel.hathitrust.org/cgi/pt?id=coo.31924069517021;view=1up;seq=256</v>
      </c>
      <c r="P439" s="27" t="s">
        <v>509</v>
      </c>
      <c r="Q439" s="27" t="str">
        <f t="shared" si="38"/>
        <v>https://babel.hathitrust.org/cgi/pt?id=coo.31924069517021;view=1up;seq=256</v>
      </c>
      <c r="R439" s="27" t="s">
        <v>511</v>
      </c>
      <c r="S439" s="27" t="s">
        <v>512</v>
      </c>
      <c r="T439" s="27" t="s">
        <v>2598</v>
      </c>
      <c r="U439" s="4"/>
      <c r="V439" s="4"/>
      <c r="W439" s="4"/>
      <c r="X439" s="4"/>
      <c r="Y439" s="4"/>
      <c r="Z439" s="4"/>
      <c r="AA439" s="4"/>
      <c r="AB439" s="4"/>
    </row>
    <row r="440" spans="1:28" x14ac:dyDescent="0.25">
      <c r="A440" s="27" t="s">
        <v>1750</v>
      </c>
      <c r="B440" s="27" t="str">
        <f t="shared" si="35"/>
        <v>Louisiana</v>
      </c>
      <c r="C440" s="27" t="str">
        <f t="shared" si="36"/>
        <v>Pointe Coupee</v>
      </c>
      <c r="D440" s="2">
        <f>'LA pre'!F35</f>
        <v>2319</v>
      </c>
      <c r="E440" s="2">
        <v>88</v>
      </c>
      <c r="F440" s="26">
        <f>'LA pre'!N35</f>
        <v>145.47218628719276</v>
      </c>
      <c r="G440" s="27">
        <v>3118</v>
      </c>
      <c r="H440" s="28">
        <f>'LA pre'!T35</f>
        <v>29.579545454545453</v>
      </c>
      <c r="I440" s="27">
        <v>18719</v>
      </c>
      <c r="J440" s="27">
        <v>69</v>
      </c>
      <c r="K440" s="2">
        <v>9000</v>
      </c>
      <c r="L440" s="27">
        <v>1904</v>
      </c>
      <c r="M440" s="27" t="s">
        <v>507</v>
      </c>
      <c r="N440" s="27" t="s">
        <v>508</v>
      </c>
      <c r="O440" s="27" t="str">
        <f t="shared" si="37"/>
        <v>https://babel.hathitrust.org/cgi/pt?id=coo.31924069517021;view=1up;seq=256</v>
      </c>
      <c r="P440" s="27" t="s">
        <v>509</v>
      </c>
      <c r="Q440" s="27" t="str">
        <f t="shared" si="38"/>
        <v>https://babel.hathitrust.org/cgi/pt?id=coo.31924069517021;view=1up;seq=256</v>
      </c>
      <c r="R440" s="27" t="s">
        <v>511</v>
      </c>
      <c r="S440" s="27" t="s">
        <v>512</v>
      </c>
      <c r="T440" s="27" t="s">
        <v>2598</v>
      </c>
      <c r="U440" s="4"/>
      <c r="V440" s="4"/>
      <c r="W440" s="4"/>
      <c r="X440" s="4"/>
      <c r="Y440" s="4"/>
      <c r="Z440" s="4"/>
      <c r="AA440" s="4"/>
      <c r="AB440" s="4"/>
    </row>
    <row r="441" spans="1:28" x14ac:dyDescent="0.25">
      <c r="A441" s="27" t="s">
        <v>1037</v>
      </c>
      <c r="B441" s="27" t="str">
        <f t="shared" si="35"/>
        <v>Louisiana</v>
      </c>
      <c r="C441" s="27" t="str">
        <f t="shared" si="36"/>
        <v>Rapides</v>
      </c>
      <c r="D441" s="2">
        <f>'LA pre'!F36</f>
        <v>4079</v>
      </c>
      <c r="E441" s="2">
        <v>133</v>
      </c>
      <c r="F441" s="26">
        <f>'LA pre'!N36</f>
        <v>88.544986516303013</v>
      </c>
      <c r="G441" s="27">
        <v>6623</v>
      </c>
      <c r="H441" s="28">
        <f>'LA pre'!T36</f>
        <v>38.683308270676683</v>
      </c>
      <c r="I441" s="27">
        <v>34077</v>
      </c>
      <c r="J441" s="27">
        <v>99</v>
      </c>
      <c r="K441" s="2">
        <v>100000</v>
      </c>
      <c r="L441" s="27">
        <v>1904</v>
      </c>
      <c r="M441" s="27" t="s">
        <v>507</v>
      </c>
      <c r="N441" s="27" t="s">
        <v>508</v>
      </c>
      <c r="O441" s="27" t="str">
        <f t="shared" si="37"/>
        <v>https://babel.hathitrust.org/cgi/pt?id=coo.31924069517021;view=1up;seq=256</v>
      </c>
      <c r="P441" s="27" t="s">
        <v>509</v>
      </c>
      <c r="Q441" s="27" t="str">
        <f t="shared" si="38"/>
        <v>https://babel.hathitrust.org/cgi/pt?id=coo.31924069517021;view=1up;seq=256</v>
      </c>
      <c r="R441" s="27" t="s">
        <v>511</v>
      </c>
      <c r="S441" s="27" t="s">
        <v>512</v>
      </c>
      <c r="T441" s="27" t="s">
        <v>2598</v>
      </c>
      <c r="U441" s="4"/>
      <c r="V441" s="4"/>
      <c r="W441" s="4"/>
      <c r="X441" s="4"/>
      <c r="Y441" s="4"/>
      <c r="Z441" s="4"/>
      <c r="AA441" s="4"/>
      <c r="AB441" s="4"/>
    </row>
    <row r="442" spans="1:28" x14ac:dyDescent="0.25">
      <c r="A442" s="27" t="s">
        <v>1751</v>
      </c>
      <c r="B442" s="27" t="str">
        <f t="shared" si="35"/>
        <v>Louisiana</v>
      </c>
      <c r="C442" s="27" t="str">
        <f t="shared" si="36"/>
        <v>Red River</v>
      </c>
      <c r="D442" s="2">
        <f>'LA pre'!F37</f>
        <v>1837</v>
      </c>
      <c r="E442" s="2">
        <v>66</v>
      </c>
      <c r="F442" s="26">
        <f>'LA pre'!N37</f>
        <v>66.456178551986937</v>
      </c>
      <c r="G442" s="27">
        <v>2738</v>
      </c>
      <c r="H442" s="28">
        <f>'LA pre'!T37</f>
        <v>28.632424242424246</v>
      </c>
      <c r="I442" s="27">
        <v>12865</v>
      </c>
      <c r="J442" s="27">
        <v>63</v>
      </c>
      <c r="K442" s="2">
        <v>12000</v>
      </c>
      <c r="L442" s="27">
        <v>1904</v>
      </c>
      <c r="M442" s="27" t="s">
        <v>507</v>
      </c>
      <c r="N442" s="27" t="s">
        <v>508</v>
      </c>
      <c r="O442" s="27" t="str">
        <f t="shared" si="37"/>
        <v>https://babel.hathitrust.org/cgi/pt?id=coo.31924069517021;view=1up;seq=256</v>
      </c>
      <c r="P442" s="27" t="s">
        <v>509</v>
      </c>
      <c r="Q442" s="27" t="str">
        <f t="shared" si="38"/>
        <v>https://babel.hathitrust.org/cgi/pt?id=coo.31924069517021;view=1up;seq=256</v>
      </c>
      <c r="R442" s="27" t="s">
        <v>511</v>
      </c>
      <c r="S442" s="27" t="s">
        <v>512</v>
      </c>
      <c r="T442" s="27" t="s">
        <v>2598</v>
      </c>
      <c r="U442" s="4"/>
      <c r="V442" s="4"/>
      <c r="W442" s="4"/>
      <c r="X442" s="4"/>
      <c r="Y442" s="4"/>
      <c r="Z442" s="4"/>
      <c r="AA442" s="4"/>
      <c r="AB442" s="4"/>
    </row>
    <row r="443" spans="1:28" x14ac:dyDescent="0.25">
      <c r="A443" s="27" t="s">
        <v>1038</v>
      </c>
      <c r="B443" s="27" t="str">
        <f t="shared" si="35"/>
        <v>Louisiana</v>
      </c>
      <c r="C443" s="27" t="str">
        <f t="shared" si="36"/>
        <v>Richland</v>
      </c>
      <c r="D443" s="2"/>
      <c r="E443" s="2">
        <v>56</v>
      </c>
      <c r="F443" s="26">
        <f>'LA pre'!N38</f>
        <v>117.46428571428571</v>
      </c>
      <c r="G443" s="27">
        <v>2054</v>
      </c>
      <c r="H443" s="28">
        <f>'LA pre'!T38</f>
        <v>38.313214285714288</v>
      </c>
      <c r="I443" s="27">
        <v>10129</v>
      </c>
      <c r="J443" s="27">
        <v>37</v>
      </c>
      <c r="K443" s="2">
        <v>4000</v>
      </c>
      <c r="L443" s="27">
        <v>1904</v>
      </c>
      <c r="M443" s="27" t="s">
        <v>507</v>
      </c>
      <c r="N443" s="27" t="s">
        <v>508</v>
      </c>
      <c r="O443" s="27" t="str">
        <f t="shared" si="37"/>
        <v>https://babel.hathitrust.org/cgi/pt?id=coo.31924069517021;view=1up;seq=256</v>
      </c>
      <c r="P443" s="27" t="s">
        <v>509</v>
      </c>
      <c r="Q443" s="27" t="str">
        <f t="shared" si="38"/>
        <v>https://babel.hathitrust.org/cgi/pt?id=coo.31924069517021;view=1up;seq=256</v>
      </c>
      <c r="R443" s="27" t="s">
        <v>511</v>
      </c>
      <c r="S443" s="27" t="s">
        <v>512</v>
      </c>
      <c r="T443" s="27" t="s">
        <v>2598</v>
      </c>
      <c r="U443" s="4"/>
      <c r="V443" s="4"/>
      <c r="W443" s="4"/>
      <c r="X443" s="4"/>
      <c r="Y443" s="4"/>
      <c r="Z443" s="4"/>
      <c r="AA443" s="4"/>
      <c r="AB443" s="4"/>
    </row>
    <row r="444" spans="1:28" x14ac:dyDescent="0.25">
      <c r="A444" s="27" t="s">
        <v>1039</v>
      </c>
      <c r="B444" s="27" t="str">
        <f t="shared" si="35"/>
        <v>Louisiana</v>
      </c>
      <c r="C444" s="27" t="str">
        <f t="shared" si="36"/>
        <v>Sabine</v>
      </c>
      <c r="D444" s="2">
        <f>'LA pre'!F39</f>
        <v>3095</v>
      </c>
      <c r="E444" s="2">
        <v>107</v>
      </c>
      <c r="F444" s="26">
        <f>'LA pre'!N39</f>
        <v>78.594507269789986</v>
      </c>
      <c r="G444" s="27">
        <v>5013</v>
      </c>
      <c r="H444" s="28">
        <f>'LA pre'!T39</f>
        <v>40.711495327102803</v>
      </c>
      <c r="I444" s="27">
        <v>25950</v>
      </c>
      <c r="J444" s="27">
        <v>116</v>
      </c>
      <c r="K444" s="2">
        <v>25000</v>
      </c>
      <c r="L444" s="27">
        <v>1904</v>
      </c>
      <c r="M444" s="27" t="s">
        <v>507</v>
      </c>
      <c r="N444" s="27" t="s">
        <v>508</v>
      </c>
      <c r="O444" s="27" t="str">
        <f t="shared" si="37"/>
        <v>https://babel.hathitrust.org/cgi/pt?id=coo.31924069517021;view=1up;seq=256</v>
      </c>
      <c r="P444" s="27" t="s">
        <v>509</v>
      </c>
      <c r="Q444" s="27" t="str">
        <f t="shared" si="38"/>
        <v>https://babel.hathitrust.org/cgi/pt?id=coo.31924069517021;view=1up;seq=256</v>
      </c>
      <c r="R444" s="27" t="s">
        <v>511</v>
      </c>
      <c r="S444" s="27" t="s">
        <v>512</v>
      </c>
      <c r="T444" s="27" t="s">
        <v>2598</v>
      </c>
      <c r="U444" s="4"/>
      <c r="V444" s="4"/>
      <c r="W444" s="4"/>
      <c r="X444" s="4"/>
      <c r="Y444" s="4"/>
      <c r="Z444" s="4"/>
      <c r="AA444" s="4"/>
      <c r="AB444" s="4"/>
    </row>
    <row r="445" spans="1:28" x14ac:dyDescent="0.25">
      <c r="A445" s="27" t="s">
        <v>1781</v>
      </c>
      <c r="B445" s="27" t="str">
        <f t="shared" si="35"/>
        <v>Louisiana</v>
      </c>
      <c r="C445" s="27" t="str">
        <f t="shared" si="36"/>
        <v>St Bernard</v>
      </c>
      <c r="D445" s="2">
        <f>'LA pre'!F40</f>
        <v>341</v>
      </c>
      <c r="E445" s="2">
        <v>6</v>
      </c>
      <c r="F445" s="26">
        <f>'LA pre'!N40</f>
        <v>188</v>
      </c>
      <c r="G445" s="27">
        <v>509</v>
      </c>
      <c r="H445" s="28">
        <f>'LA pre'!T40</f>
        <v>27.774999999999995</v>
      </c>
      <c r="I445" s="27">
        <v>4228</v>
      </c>
      <c r="J445" s="27">
        <v>12</v>
      </c>
      <c r="K445" s="2">
        <v>2000</v>
      </c>
      <c r="L445" s="27">
        <v>1904</v>
      </c>
      <c r="M445" s="27" t="s">
        <v>507</v>
      </c>
      <c r="N445" s="27" t="s">
        <v>508</v>
      </c>
      <c r="O445" s="27" t="str">
        <f t="shared" si="37"/>
        <v>https://babel.hathitrust.org/cgi/pt?id=coo.31924069517021;view=1up;seq=256</v>
      </c>
      <c r="P445" s="27" t="s">
        <v>509</v>
      </c>
      <c r="Q445" s="27" t="str">
        <f t="shared" si="38"/>
        <v>https://babel.hathitrust.org/cgi/pt?id=coo.31924069517021;view=1up;seq=256</v>
      </c>
      <c r="R445" s="27" t="s">
        <v>511</v>
      </c>
      <c r="S445" s="27" t="s">
        <v>512</v>
      </c>
      <c r="T445" s="27" t="s">
        <v>2598</v>
      </c>
      <c r="U445" s="4"/>
      <c r="V445" s="4"/>
      <c r="W445" s="4"/>
      <c r="X445" s="4"/>
      <c r="Y445" s="4"/>
      <c r="Z445" s="4"/>
      <c r="AA445" s="4"/>
      <c r="AB445" s="4"/>
    </row>
    <row r="446" spans="1:28" x14ac:dyDescent="0.25">
      <c r="A446" s="27" t="s">
        <v>1782</v>
      </c>
      <c r="B446" s="27" t="str">
        <f t="shared" si="35"/>
        <v>Louisiana</v>
      </c>
      <c r="C446" s="27" t="str">
        <f t="shared" si="36"/>
        <v>St Charles</v>
      </c>
      <c r="D446" s="2">
        <f>'LA pre'!F41</f>
        <v>633</v>
      </c>
      <c r="E446" s="2">
        <v>11</v>
      </c>
      <c r="F446" s="26">
        <f>'LA pre'!N41</f>
        <v>180</v>
      </c>
      <c r="G446" s="27">
        <v>844</v>
      </c>
      <c r="H446" s="28">
        <f>'LA pre'!T41</f>
        <v>35.454545454545453</v>
      </c>
      <c r="I446" s="27">
        <v>9901</v>
      </c>
      <c r="J446" s="27">
        <v>18</v>
      </c>
      <c r="K446" s="2">
        <v>1500</v>
      </c>
      <c r="L446" s="27">
        <v>1904</v>
      </c>
      <c r="M446" s="27" t="s">
        <v>507</v>
      </c>
      <c r="N446" s="27" t="s">
        <v>508</v>
      </c>
      <c r="O446" s="27" t="str">
        <f t="shared" si="37"/>
        <v>https://babel.hathitrust.org/cgi/pt?id=coo.31924069517021;view=1up;seq=256</v>
      </c>
      <c r="P446" s="27" t="s">
        <v>509</v>
      </c>
      <c r="Q446" s="27" t="str">
        <f t="shared" si="38"/>
        <v>https://babel.hathitrust.org/cgi/pt?id=coo.31924069517021;view=1up;seq=256</v>
      </c>
      <c r="R446" s="27" t="s">
        <v>511</v>
      </c>
      <c r="S446" s="27" t="s">
        <v>512</v>
      </c>
      <c r="T446" s="27" t="s">
        <v>2598</v>
      </c>
      <c r="U446" s="4"/>
      <c r="V446" s="4"/>
      <c r="W446" s="4"/>
      <c r="X446" s="4"/>
      <c r="Y446" s="4"/>
      <c r="Z446" s="4"/>
      <c r="AA446" s="4"/>
      <c r="AB446" s="4"/>
    </row>
    <row r="447" spans="1:28" x14ac:dyDescent="0.25">
      <c r="A447" s="27" t="s">
        <v>1783</v>
      </c>
      <c r="B447" s="27" t="str">
        <f t="shared" si="35"/>
        <v>Louisiana</v>
      </c>
      <c r="C447" s="27" t="str">
        <f t="shared" si="36"/>
        <v>St Helena</v>
      </c>
      <c r="D447" s="2"/>
      <c r="E447" s="2">
        <v>56</v>
      </c>
      <c r="F447" s="26">
        <f>'LA pre'!N42</f>
        <v>44.285714285714285</v>
      </c>
      <c r="G447" s="27">
        <v>2396</v>
      </c>
      <c r="H447" s="28">
        <f>'LA pre'!T42</f>
        <v>24.701071428571428</v>
      </c>
      <c r="I447" s="27">
        <v>5703</v>
      </c>
      <c r="J447" s="27">
        <v>56</v>
      </c>
      <c r="K447" s="2">
        <v>10000</v>
      </c>
      <c r="L447" s="27">
        <v>1904</v>
      </c>
      <c r="M447" s="27" t="s">
        <v>507</v>
      </c>
      <c r="N447" s="27" t="s">
        <v>508</v>
      </c>
      <c r="O447" s="27" t="str">
        <f t="shared" si="37"/>
        <v>https://babel.hathitrust.org/cgi/pt?id=coo.31924069517021;view=1up;seq=256</v>
      </c>
      <c r="P447" s="27" t="s">
        <v>509</v>
      </c>
      <c r="Q447" s="27" t="str">
        <f t="shared" si="38"/>
        <v>https://babel.hathitrust.org/cgi/pt?id=coo.31924069517021;view=1up;seq=256</v>
      </c>
      <c r="R447" s="27" t="s">
        <v>511</v>
      </c>
      <c r="S447" s="27" t="s">
        <v>512</v>
      </c>
      <c r="T447" s="27" t="s">
        <v>2598</v>
      </c>
      <c r="U447" s="4"/>
      <c r="V447" s="4"/>
      <c r="W447" s="4"/>
      <c r="X447" s="4"/>
      <c r="Y447" s="4"/>
      <c r="Z447" s="4"/>
      <c r="AA447" s="4"/>
      <c r="AB447" s="4"/>
    </row>
    <row r="448" spans="1:28" x14ac:dyDescent="0.25">
      <c r="A448" s="27" t="s">
        <v>1784</v>
      </c>
      <c r="B448" s="27" t="str">
        <f t="shared" si="35"/>
        <v>Louisiana</v>
      </c>
      <c r="C448" s="27" t="str">
        <f t="shared" si="36"/>
        <v>St James</v>
      </c>
      <c r="D448" s="2">
        <f>'LA pre'!F43</f>
        <v>1326</v>
      </c>
      <c r="E448" s="2">
        <v>31</v>
      </c>
      <c r="F448" s="26">
        <f>'LA pre'!N43</f>
        <v>173</v>
      </c>
      <c r="G448" s="27">
        <v>1835</v>
      </c>
      <c r="H448" s="28">
        <f>'LA pre'!T43</f>
        <v>35.265161290322581</v>
      </c>
      <c r="I448" s="27">
        <v>11380</v>
      </c>
      <c r="J448" s="27">
        <v>26</v>
      </c>
      <c r="K448" s="2">
        <v>3500</v>
      </c>
      <c r="L448" s="27">
        <v>1904</v>
      </c>
      <c r="M448" s="27" t="s">
        <v>507</v>
      </c>
      <c r="N448" s="27" t="s">
        <v>508</v>
      </c>
      <c r="O448" s="27" t="str">
        <f t="shared" si="37"/>
        <v>https://babel.hathitrust.org/cgi/pt?id=coo.31924069517021;view=1up;seq=256</v>
      </c>
      <c r="P448" s="27" t="s">
        <v>509</v>
      </c>
      <c r="Q448" s="27" t="str">
        <f t="shared" si="38"/>
        <v>https://babel.hathitrust.org/cgi/pt?id=coo.31924069517021;view=1up;seq=256</v>
      </c>
      <c r="R448" s="27" t="s">
        <v>511</v>
      </c>
      <c r="S448" s="27" t="s">
        <v>512</v>
      </c>
      <c r="T448" s="27" t="s">
        <v>2598</v>
      </c>
      <c r="U448" s="4"/>
      <c r="V448" s="4"/>
      <c r="W448" s="4"/>
      <c r="X448" s="4"/>
      <c r="Y448" s="4"/>
      <c r="Z448" s="4"/>
      <c r="AA448" s="4"/>
      <c r="AB448" s="4"/>
    </row>
    <row r="449" spans="1:28" x14ac:dyDescent="0.25">
      <c r="A449" s="27" t="s">
        <v>1785</v>
      </c>
      <c r="B449" s="27" t="str">
        <f t="shared" si="35"/>
        <v>Louisiana</v>
      </c>
      <c r="C449" s="27" t="str">
        <f t="shared" si="36"/>
        <v>St John the Baptist</v>
      </c>
      <c r="D449" s="2">
        <f>'LA pre'!F44</f>
        <v>737</v>
      </c>
      <c r="E449" s="2">
        <v>7</v>
      </c>
      <c r="F449" s="26">
        <f>'LA pre'!N44</f>
        <v>140</v>
      </c>
      <c r="G449" s="27">
        <v>867</v>
      </c>
      <c r="H449" s="28">
        <f>'LA pre'!T44</f>
        <v>36.342857142857142</v>
      </c>
      <c r="I449" s="27">
        <v>6988</v>
      </c>
      <c r="J449" s="27">
        <v>23</v>
      </c>
      <c r="K449" s="2">
        <v>135</v>
      </c>
      <c r="L449" s="27">
        <v>1904</v>
      </c>
      <c r="M449" s="27" t="s">
        <v>507</v>
      </c>
      <c r="N449" s="27" t="s">
        <v>508</v>
      </c>
      <c r="O449" s="27" t="str">
        <f t="shared" si="37"/>
        <v>https://babel.hathitrust.org/cgi/pt?id=coo.31924069517021;view=1up;seq=256</v>
      </c>
      <c r="P449" s="27" t="s">
        <v>509</v>
      </c>
      <c r="Q449" s="27" t="str">
        <f t="shared" si="38"/>
        <v>https://babel.hathitrust.org/cgi/pt?id=coo.31924069517021;view=1up;seq=256</v>
      </c>
      <c r="R449" s="27" t="s">
        <v>511</v>
      </c>
      <c r="S449" s="27" t="s">
        <v>512</v>
      </c>
      <c r="T449" s="27" t="s">
        <v>2598</v>
      </c>
      <c r="U449" s="4"/>
      <c r="V449" s="4"/>
      <c r="W449" s="4"/>
      <c r="X449" s="4"/>
      <c r="Y449" s="4"/>
      <c r="Z449" s="4"/>
      <c r="AA449" s="4"/>
      <c r="AB449" s="4"/>
    </row>
    <row r="450" spans="1:28" x14ac:dyDescent="0.25">
      <c r="A450" s="27" t="s">
        <v>1786</v>
      </c>
      <c r="B450" s="27" t="str">
        <f t="shared" si="35"/>
        <v>Louisiana</v>
      </c>
      <c r="C450" s="27" t="str">
        <f t="shared" si="36"/>
        <v>St Landry</v>
      </c>
      <c r="D450" s="2">
        <f>'LA pre'!F45</f>
        <v>4601</v>
      </c>
      <c r="E450" s="2">
        <v>106</v>
      </c>
      <c r="F450" s="26">
        <f>'LA pre'!N45</f>
        <v>140</v>
      </c>
      <c r="G450" s="27">
        <v>6353</v>
      </c>
      <c r="H450" s="28">
        <f>'LA pre'!T45</f>
        <v>34.899245283018864</v>
      </c>
      <c r="I450" s="27">
        <v>39024</v>
      </c>
      <c r="J450" s="27">
        <v>104</v>
      </c>
      <c r="K450" s="2">
        <v>35000</v>
      </c>
      <c r="L450" s="27">
        <v>1904</v>
      </c>
      <c r="M450" s="27" t="s">
        <v>507</v>
      </c>
      <c r="N450" s="27" t="s">
        <v>508</v>
      </c>
      <c r="O450" s="27" t="str">
        <f t="shared" si="37"/>
        <v>https://babel.hathitrust.org/cgi/pt?id=coo.31924069517021;view=1up;seq=256</v>
      </c>
      <c r="P450" s="27" t="s">
        <v>509</v>
      </c>
      <c r="Q450" s="27" t="str">
        <f t="shared" si="38"/>
        <v>https://babel.hathitrust.org/cgi/pt?id=coo.31924069517021;view=1up;seq=256</v>
      </c>
      <c r="R450" s="27" t="s">
        <v>511</v>
      </c>
      <c r="S450" s="27" t="s">
        <v>512</v>
      </c>
      <c r="T450" s="27" t="s">
        <v>2598</v>
      </c>
      <c r="U450" s="4"/>
      <c r="V450" s="4"/>
      <c r="W450" s="4"/>
      <c r="X450" s="4"/>
      <c r="Y450" s="4"/>
      <c r="Z450" s="4"/>
      <c r="AA450" s="4"/>
      <c r="AB450" s="4"/>
    </row>
    <row r="451" spans="1:28" x14ac:dyDescent="0.25">
      <c r="A451" s="27" t="s">
        <v>1787</v>
      </c>
      <c r="B451" s="27" t="str">
        <f t="shared" si="35"/>
        <v>Louisiana</v>
      </c>
      <c r="C451" s="27" t="str">
        <f t="shared" si="36"/>
        <v>St Martin</v>
      </c>
      <c r="D451" s="2">
        <f>'LA pre'!F46</f>
        <v>1637</v>
      </c>
      <c r="E451" s="2">
        <v>28</v>
      </c>
      <c r="F451" s="26">
        <f>'LA pre'!N46</f>
        <v>192.40073304825901</v>
      </c>
      <c r="G451" s="27">
        <v>2322</v>
      </c>
      <c r="H451" s="28">
        <f>'LA pre'!T46</f>
        <v>36.442857142857143</v>
      </c>
      <c r="I451" s="27">
        <v>23801</v>
      </c>
      <c r="J451" s="27">
        <v>28</v>
      </c>
      <c r="K451" s="2">
        <v>14258</v>
      </c>
      <c r="L451" s="27">
        <v>1904</v>
      </c>
      <c r="M451" s="27" t="s">
        <v>507</v>
      </c>
      <c r="N451" s="27" t="s">
        <v>508</v>
      </c>
      <c r="O451" s="27" t="str">
        <f t="shared" si="37"/>
        <v>https://babel.hathitrust.org/cgi/pt?id=coo.31924069517021;view=1up;seq=256</v>
      </c>
      <c r="P451" s="27" t="s">
        <v>509</v>
      </c>
      <c r="Q451" s="27" t="str">
        <f t="shared" si="38"/>
        <v>https://babel.hathitrust.org/cgi/pt?id=coo.31924069517021;view=1up;seq=256</v>
      </c>
      <c r="R451" s="27" t="s">
        <v>511</v>
      </c>
      <c r="S451" s="27" t="s">
        <v>512</v>
      </c>
      <c r="T451" s="27" t="s">
        <v>2598</v>
      </c>
      <c r="U451" s="4"/>
      <c r="V451" s="4"/>
      <c r="W451" s="4"/>
      <c r="X451" s="4"/>
      <c r="Y451" s="4"/>
      <c r="Z451" s="4"/>
      <c r="AA451" s="4"/>
      <c r="AB451" s="4"/>
    </row>
    <row r="452" spans="1:28" x14ac:dyDescent="0.25">
      <c r="A452" s="27" t="s">
        <v>1788</v>
      </c>
      <c r="B452" s="27" t="str">
        <f t="shared" si="35"/>
        <v>Louisiana</v>
      </c>
      <c r="C452" s="27" t="str">
        <f t="shared" si="36"/>
        <v>St Mary</v>
      </c>
      <c r="D452" s="2">
        <f>'LA pre'!F47</f>
        <v>3229</v>
      </c>
      <c r="E452" s="2">
        <v>58</v>
      </c>
      <c r="F452" s="26">
        <f>'LA pre'!N47</f>
        <v>125.03561474140601</v>
      </c>
      <c r="G452" s="27">
        <v>4013</v>
      </c>
      <c r="H452" s="28">
        <f>'LA pre'!T47</f>
        <v>45.512241379310346</v>
      </c>
      <c r="I452" s="27">
        <v>30306</v>
      </c>
      <c r="J452" s="27">
        <v>39</v>
      </c>
      <c r="K452" s="2">
        <v>35050</v>
      </c>
      <c r="L452" s="27">
        <v>1904</v>
      </c>
      <c r="M452" s="27" t="s">
        <v>507</v>
      </c>
      <c r="N452" s="27" t="s">
        <v>508</v>
      </c>
      <c r="O452" s="27" t="str">
        <f t="shared" si="37"/>
        <v>https://babel.hathitrust.org/cgi/pt?id=coo.31924069517021;view=1up;seq=256</v>
      </c>
      <c r="P452" s="27" t="s">
        <v>509</v>
      </c>
      <c r="Q452" s="27" t="str">
        <f t="shared" si="38"/>
        <v>https://babel.hathitrust.org/cgi/pt?id=coo.31924069517021;view=1up;seq=256</v>
      </c>
      <c r="R452" s="27" t="s">
        <v>511</v>
      </c>
      <c r="S452" s="27" t="s">
        <v>512</v>
      </c>
      <c r="T452" s="27" t="s">
        <v>2598</v>
      </c>
      <c r="U452" s="4"/>
      <c r="V452" s="4"/>
      <c r="W452" s="4"/>
      <c r="X452" s="4"/>
      <c r="Y452" s="4"/>
      <c r="Z452" s="4"/>
      <c r="AA452" s="4"/>
      <c r="AB452" s="4"/>
    </row>
    <row r="453" spans="1:28" x14ac:dyDescent="0.25">
      <c r="A453" s="27" t="s">
        <v>1789</v>
      </c>
      <c r="B453" s="27" t="str">
        <f t="shared" si="35"/>
        <v>Louisiana</v>
      </c>
      <c r="C453" s="27" t="str">
        <f t="shared" si="36"/>
        <v>St Tammany</v>
      </c>
      <c r="D453" s="2">
        <f>'LA pre'!F48</f>
        <v>1577</v>
      </c>
      <c r="E453" s="2">
        <v>53</v>
      </c>
      <c r="F453" s="26">
        <f>'LA pre'!N48</f>
        <v>111.22384273937857</v>
      </c>
      <c r="G453" s="27">
        <v>2159</v>
      </c>
      <c r="H453" s="28">
        <f>'LA pre'!T48</f>
        <v>29.852264150943398</v>
      </c>
      <c r="I453" s="27">
        <v>12345</v>
      </c>
      <c r="J453" s="27">
        <v>52</v>
      </c>
      <c r="K453" s="2">
        <v>12000</v>
      </c>
      <c r="L453" s="27">
        <v>1904</v>
      </c>
      <c r="M453" s="27" t="s">
        <v>507</v>
      </c>
      <c r="N453" s="27" t="s">
        <v>508</v>
      </c>
      <c r="O453" s="27" t="str">
        <f t="shared" si="37"/>
        <v>https://babel.hathitrust.org/cgi/pt?id=coo.31924069517021;view=1up;seq=256</v>
      </c>
      <c r="P453" s="27" t="s">
        <v>509</v>
      </c>
      <c r="Q453" s="27" t="str">
        <f t="shared" si="38"/>
        <v>https://babel.hathitrust.org/cgi/pt?id=coo.31924069517021;view=1up;seq=256</v>
      </c>
      <c r="R453" s="27" t="s">
        <v>511</v>
      </c>
      <c r="S453" s="27" t="s">
        <v>512</v>
      </c>
      <c r="T453" s="27" t="s">
        <v>2598</v>
      </c>
      <c r="U453" s="4"/>
      <c r="V453" s="4"/>
      <c r="W453" s="4"/>
      <c r="X453" s="4"/>
      <c r="Y453" s="4"/>
      <c r="Z453" s="4"/>
      <c r="AA453" s="4"/>
      <c r="AB453" s="4"/>
    </row>
    <row r="454" spans="1:28" x14ac:dyDescent="0.25">
      <c r="A454" s="27" t="s">
        <v>1040</v>
      </c>
      <c r="B454" s="27" t="str">
        <f t="shared" si="35"/>
        <v>Louisiana</v>
      </c>
      <c r="C454" s="27" t="str">
        <f t="shared" si="36"/>
        <v>Tangipahoa</v>
      </c>
      <c r="D454" s="2">
        <f>'LA pre'!F49</f>
        <v>2990</v>
      </c>
      <c r="E454" s="2">
        <v>126</v>
      </c>
      <c r="F454" s="26">
        <f>'LA pre'!N49</f>
        <v>90.521739130434781</v>
      </c>
      <c r="G454" s="27">
        <v>4636</v>
      </c>
      <c r="H454" s="28">
        <f>'LA pre'!T49</f>
        <v>36.548160000000003</v>
      </c>
      <c r="I454" s="27">
        <v>20350</v>
      </c>
      <c r="J454" s="27">
        <v>87</v>
      </c>
      <c r="K454" s="2">
        <v>45000</v>
      </c>
      <c r="L454" s="27">
        <v>1904</v>
      </c>
      <c r="M454" s="27" t="s">
        <v>507</v>
      </c>
      <c r="N454" s="27" t="s">
        <v>508</v>
      </c>
      <c r="O454" s="27" t="str">
        <f t="shared" si="37"/>
        <v>https://babel.hathitrust.org/cgi/pt?id=coo.31924069517021;view=1up;seq=256</v>
      </c>
      <c r="P454" s="27" t="s">
        <v>509</v>
      </c>
      <c r="Q454" s="27" t="str">
        <f t="shared" si="38"/>
        <v>https://babel.hathitrust.org/cgi/pt?id=coo.31924069517021;view=1up;seq=256</v>
      </c>
      <c r="R454" s="27" t="s">
        <v>511</v>
      </c>
      <c r="S454" s="27" t="s">
        <v>512</v>
      </c>
      <c r="T454" s="27" t="s">
        <v>2598</v>
      </c>
      <c r="U454" s="4"/>
      <c r="V454" s="4"/>
      <c r="W454" s="4"/>
      <c r="X454" s="4"/>
      <c r="Y454" s="4"/>
      <c r="Z454" s="4"/>
      <c r="AA454" s="4"/>
      <c r="AB454" s="4"/>
    </row>
    <row r="455" spans="1:28" x14ac:dyDescent="0.25">
      <c r="A455" s="27" t="s">
        <v>1041</v>
      </c>
      <c r="B455" s="27" t="str">
        <f t="shared" ref="B455:B518" si="39">LEFT(A455,FIND(";",A455)-1)</f>
        <v>Louisiana</v>
      </c>
      <c r="C455" s="27" t="str">
        <f t="shared" ref="C455:C518" si="40">MID(A455,FIND(";",A455)+1,100)</f>
        <v>Tensas</v>
      </c>
      <c r="D455" s="2">
        <f>'LA pre'!F50</f>
        <v>1621</v>
      </c>
      <c r="E455" s="2">
        <v>69</v>
      </c>
      <c r="F455" s="26">
        <f>'LA pre'!N50</f>
        <v>200</v>
      </c>
      <c r="G455" s="27">
        <v>2606</v>
      </c>
      <c r="H455" s="28">
        <f>'LA pre'!T50</f>
        <v>26.99231884057971</v>
      </c>
      <c r="I455" s="27">
        <v>15206</v>
      </c>
      <c r="J455" s="27">
        <v>61</v>
      </c>
      <c r="K455" s="2">
        <v>18225</v>
      </c>
      <c r="L455" s="27">
        <v>1904</v>
      </c>
      <c r="M455" s="27" t="s">
        <v>507</v>
      </c>
      <c r="N455" s="27" t="s">
        <v>508</v>
      </c>
      <c r="O455" s="27" t="str">
        <f t="shared" si="37"/>
        <v>https://babel.hathitrust.org/cgi/pt?id=coo.31924069517021;view=1up;seq=256</v>
      </c>
      <c r="P455" s="27" t="s">
        <v>509</v>
      </c>
      <c r="Q455" s="27" t="str">
        <f t="shared" si="38"/>
        <v>https://babel.hathitrust.org/cgi/pt?id=coo.31924069517021;view=1up;seq=256</v>
      </c>
      <c r="R455" s="27" t="s">
        <v>511</v>
      </c>
      <c r="S455" s="27" t="s">
        <v>512</v>
      </c>
      <c r="T455" s="27" t="s">
        <v>2598</v>
      </c>
      <c r="U455" s="4"/>
      <c r="V455" s="4"/>
      <c r="W455" s="4"/>
      <c r="X455" s="4"/>
      <c r="Y455" s="4"/>
      <c r="Z455" s="4"/>
      <c r="AA455" s="4"/>
      <c r="AB455" s="4"/>
    </row>
    <row r="456" spans="1:28" x14ac:dyDescent="0.25">
      <c r="A456" s="27" t="s">
        <v>1042</v>
      </c>
      <c r="B456" s="27" t="str">
        <f t="shared" si="39"/>
        <v>Louisiana</v>
      </c>
      <c r="C456" s="27" t="str">
        <f t="shared" si="40"/>
        <v>Terrebonne</v>
      </c>
      <c r="D456" s="2">
        <f>'LA pre'!F51</f>
        <v>2388</v>
      </c>
      <c r="E456" s="2">
        <v>21</v>
      </c>
      <c r="F456" s="26">
        <f>'LA pre'!N51</f>
        <v>128.32495812395311</v>
      </c>
      <c r="G456" s="27">
        <v>3173</v>
      </c>
      <c r="H456" s="28">
        <f>'LA pre'!T51</f>
        <v>38.428571428571431</v>
      </c>
      <c r="I456" s="27">
        <v>22795</v>
      </c>
      <c r="J456" s="27">
        <v>59</v>
      </c>
      <c r="K456" s="2">
        <v>9000</v>
      </c>
      <c r="L456" s="27">
        <v>1904</v>
      </c>
      <c r="M456" s="27" t="s">
        <v>507</v>
      </c>
      <c r="N456" s="27" t="s">
        <v>508</v>
      </c>
      <c r="O456" s="27" t="str">
        <f t="shared" si="37"/>
        <v>https://babel.hathitrust.org/cgi/pt?id=coo.31924069517021;view=1up;seq=256</v>
      </c>
      <c r="P456" s="27" t="s">
        <v>509</v>
      </c>
      <c r="Q456" s="27" t="str">
        <f t="shared" si="38"/>
        <v>https://babel.hathitrust.org/cgi/pt?id=coo.31924069517021;view=1up;seq=256</v>
      </c>
      <c r="R456" s="27" t="s">
        <v>511</v>
      </c>
      <c r="S456" s="27" t="s">
        <v>512</v>
      </c>
      <c r="T456" s="27" t="s">
        <v>2598</v>
      </c>
      <c r="U456" s="4"/>
      <c r="V456" s="4"/>
      <c r="W456" s="4"/>
      <c r="X456" s="4"/>
      <c r="Y456" s="4"/>
      <c r="Z456" s="4"/>
      <c r="AA456" s="4"/>
      <c r="AB456" s="4"/>
    </row>
    <row r="457" spans="1:28" x14ac:dyDescent="0.25">
      <c r="A457" s="27" t="s">
        <v>1043</v>
      </c>
      <c r="B457" s="27" t="str">
        <f t="shared" si="39"/>
        <v>Louisiana</v>
      </c>
      <c r="C457" s="27" t="str">
        <f t="shared" si="40"/>
        <v>Union</v>
      </c>
      <c r="D457" s="2">
        <f>'LA pre'!F52</f>
        <v>3846</v>
      </c>
      <c r="E457" s="2">
        <v>88</v>
      </c>
      <c r="F457" s="26">
        <f>'LA pre'!N52</f>
        <v>68.915756630265207</v>
      </c>
      <c r="G457" s="27">
        <v>4920</v>
      </c>
      <c r="H457" s="28">
        <f>'LA pre'!T52</f>
        <v>32.19318181818182</v>
      </c>
      <c r="I457" s="27">
        <v>11891</v>
      </c>
      <c r="J457" s="27">
        <v>89</v>
      </c>
      <c r="K457" s="2">
        <v>18000</v>
      </c>
      <c r="L457" s="27">
        <v>1904</v>
      </c>
      <c r="M457" s="27" t="s">
        <v>507</v>
      </c>
      <c r="N457" s="27" t="s">
        <v>508</v>
      </c>
      <c r="O457" s="27" t="str">
        <f t="shared" si="37"/>
        <v>https://babel.hathitrust.org/cgi/pt?id=coo.31924069517021;view=1up;seq=256</v>
      </c>
      <c r="P457" s="27" t="s">
        <v>509</v>
      </c>
      <c r="Q457" s="27" t="str">
        <f t="shared" si="38"/>
        <v>https://babel.hathitrust.org/cgi/pt?id=coo.31924069517021;view=1up;seq=256</v>
      </c>
      <c r="R457" s="27" t="s">
        <v>511</v>
      </c>
      <c r="S457" s="27" t="s">
        <v>512</v>
      </c>
      <c r="T457" s="27" t="s">
        <v>2598</v>
      </c>
      <c r="U457" s="4"/>
      <c r="V457" s="4"/>
      <c r="W457" s="4"/>
      <c r="X457" s="4"/>
      <c r="Y457" s="4"/>
      <c r="Z457" s="4"/>
      <c r="AA457" s="4"/>
      <c r="AB457" s="4"/>
    </row>
    <row r="458" spans="1:28" x14ac:dyDescent="0.25">
      <c r="A458" s="27" t="s">
        <v>1752</v>
      </c>
      <c r="B458" s="27" t="str">
        <f t="shared" si="39"/>
        <v>Louisiana</v>
      </c>
      <c r="C458" s="27" t="str">
        <f t="shared" si="40"/>
        <v>Vermilion</v>
      </c>
      <c r="D458" s="2">
        <f>'LA pre'!F53</f>
        <v>2144</v>
      </c>
      <c r="E458" s="2">
        <v>29</v>
      </c>
      <c r="F458" s="26">
        <f>'LA pre'!N53</f>
        <v>170</v>
      </c>
      <c r="G458" s="27">
        <v>2809</v>
      </c>
      <c r="H458" s="28">
        <f>'LA pre'!T53</f>
        <v>38.954827586206896</v>
      </c>
      <c r="I458" s="27">
        <v>26957</v>
      </c>
      <c r="J458" s="27">
        <v>69</v>
      </c>
      <c r="K458" s="2">
        <v>23000</v>
      </c>
      <c r="L458" s="27">
        <v>1904</v>
      </c>
      <c r="M458" s="27" t="s">
        <v>507</v>
      </c>
      <c r="N458" s="27" t="s">
        <v>508</v>
      </c>
      <c r="O458" s="27" t="str">
        <f t="shared" si="37"/>
        <v>https://babel.hathitrust.org/cgi/pt?id=coo.31924069517021;view=1up;seq=256</v>
      </c>
      <c r="P458" s="27" t="s">
        <v>509</v>
      </c>
      <c r="Q458" s="27" t="str">
        <f t="shared" si="38"/>
        <v>https://babel.hathitrust.org/cgi/pt?id=coo.31924069517021;view=1up;seq=256</v>
      </c>
      <c r="R458" s="27" t="s">
        <v>511</v>
      </c>
      <c r="S458" s="27" t="s">
        <v>512</v>
      </c>
      <c r="T458" s="27" t="s">
        <v>2598</v>
      </c>
      <c r="U458" s="4"/>
      <c r="V458" s="4"/>
      <c r="W458" s="4"/>
      <c r="X458" s="4"/>
      <c r="Y458" s="4"/>
      <c r="Z458" s="4"/>
      <c r="AA458" s="4"/>
      <c r="AB458" s="4"/>
    </row>
    <row r="459" spans="1:28" x14ac:dyDescent="0.25">
      <c r="A459" s="27" t="s">
        <v>1044</v>
      </c>
      <c r="B459" s="27" t="str">
        <f t="shared" si="39"/>
        <v>Louisiana</v>
      </c>
      <c r="C459" s="27" t="str">
        <f t="shared" si="40"/>
        <v>Vernon</v>
      </c>
      <c r="D459" s="2">
        <f>'LA pre'!F54</f>
        <v>2225</v>
      </c>
      <c r="E459" s="2">
        <v>93</v>
      </c>
      <c r="F459" s="26">
        <f>'LA pre'!N54</f>
        <v>123</v>
      </c>
      <c r="G459" s="27">
        <v>3141</v>
      </c>
      <c r="H459" s="28">
        <f>'LA pre'!T54</f>
        <v>43.473010752688175</v>
      </c>
      <c r="I459" s="27">
        <v>24449</v>
      </c>
      <c r="J459" s="27">
        <v>84</v>
      </c>
      <c r="K459" s="2">
        <v>12000</v>
      </c>
      <c r="L459" s="27">
        <v>1904</v>
      </c>
      <c r="M459" s="27" t="s">
        <v>507</v>
      </c>
      <c r="N459" s="27" t="s">
        <v>508</v>
      </c>
      <c r="O459" s="27" t="str">
        <f t="shared" si="37"/>
        <v>https://babel.hathitrust.org/cgi/pt?id=coo.31924069517021;view=1up;seq=256</v>
      </c>
      <c r="P459" s="27" t="s">
        <v>509</v>
      </c>
      <c r="Q459" s="27" t="str">
        <f t="shared" si="38"/>
        <v>https://babel.hathitrust.org/cgi/pt?id=coo.31924069517021;view=1up;seq=256</v>
      </c>
      <c r="R459" s="27" t="s">
        <v>511</v>
      </c>
      <c r="S459" s="27" t="s">
        <v>512</v>
      </c>
      <c r="T459" s="27" t="s">
        <v>2598</v>
      </c>
      <c r="U459" s="4"/>
      <c r="V459" s="4"/>
      <c r="W459" s="4"/>
      <c r="X459" s="4"/>
      <c r="Y459" s="4"/>
      <c r="Z459" s="4"/>
      <c r="AA459" s="4"/>
      <c r="AB459" s="4"/>
    </row>
    <row r="460" spans="1:28" x14ac:dyDescent="0.25">
      <c r="A460" s="27" t="s">
        <v>1045</v>
      </c>
      <c r="B460" s="27" t="str">
        <f t="shared" si="39"/>
        <v>Louisiana</v>
      </c>
      <c r="C460" s="27" t="str">
        <f t="shared" si="40"/>
        <v>Washington</v>
      </c>
      <c r="D460" s="2">
        <f>'LA pre'!F55</f>
        <v>980</v>
      </c>
      <c r="E460" s="2">
        <v>47</v>
      </c>
      <c r="F460" s="26">
        <f>'LA pre'!N55</f>
        <v>100</v>
      </c>
      <c r="G460" s="27">
        <v>1200</v>
      </c>
      <c r="H460" s="28">
        <f>'LA pre'!T55</f>
        <v>25.531914893617021</v>
      </c>
      <c r="I460" s="27">
        <v>7331</v>
      </c>
      <c r="J460" s="27">
        <v>60</v>
      </c>
      <c r="K460" s="2">
        <v>3000</v>
      </c>
      <c r="L460" s="27">
        <v>1904</v>
      </c>
      <c r="M460" s="27" t="s">
        <v>507</v>
      </c>
      <c r="N460" s="27" t="s">
        <v>508</v>
      </c>
      <c r="O460" s="27" t="str">
        <f t="shared" si="37"/>
        <v>https://babel.hathitrust.org/cgi/pt?id=coo.31924069517021;view=1up;seq=256</v>
      </c>
      <c r="P460" s="27" t="s">
        <v>509</v>
      </c>
      <c r="Q460" s="27" t="str">
        <f t="shared" si="38"/>
        <v>https://babel.hathitrust.org/cgi/pt?id=coo.31924069517021;view=1up;seq=256</v>
      </c>
      <c r="R460" s="27" t="s">
        <v>511</v>
      </c>
      <c r="S460" s="27" t="s">
        <v>512</v>
      </c>
      <c r="T460" s="27" t="s">
        <v>2598</v>
      </c>
      <c r="U460" s="4"/>
      <c r="V460" s="4"/>
      <c r="W460" s="4"/>
      <c r="X460" s="4"/>
      <c r="Y460" s="4"/>
      <c r="Z460" s="4"/>
      <c r="AA460" s="4"/>
      <c r="AB460" s="4"/>
    </row>
    <row r="461" spans="1:28" x14ac:dyDescent="0.25">
      <c r="A461" s="27" t="s">
        <v>1046</v>
      </c>
      <c r="B461" s="27" t="str">
        <f t="shared" si="39"/>
        <v>Louisiana</v>
      </c>
      <c r="C461" s="27" t="str">
        <f t="shared" si="40"/>
        <v>Webster</v>
      </c>
      <c r="D461" s="2">
        <f>'LA pre'!F56</f>
        <v>3907</v>
      </c>
      <c r="E461" s="2">
        <v>52</v>
      </c>
      <c r="F461" s="26">
        <f>'LA pre'!N56</f>
        <v>104.81443562835935</v>
      </c>
      <c r="G461" s="27">
        <v>4625</v>
      </c>
      <c r="H461" s="28">
        <f>'LA pre'!T56</f>
        <v>35.01537037037037</v>
      </c>
      <c r="I461" s="27">
        <v>22335</v>
      </c>
      <c r="J461" s="27">
        <v>80</v>
      </c>
      <c r="K461" s="2">
        <v>25000</v>
      </c>
      <c r="L461" s="27">
        <v>1904</v>
      </c>
      <c r="M461" s="27" t="s">
        <v>507</v>
      </c>
      <c r="N461" s="27" t="s">
        <v>508</v>
      </c>
      <c r="O461" s="27" t="str">
        <f t="shared" si="37"/>
        <v>https://babel.hathitrust.org/cgi/pt?id=coo.31924069517021;view=1up;seq=256</v>
      </c>
      <c r="P461" s="27" t="s">
        <v>509</v>
      </c>
      <c r="Q461" s="27" t="str">
        <f t="shared" si="38"/>
        <v>https://babel.hathitrust.org/cgi/pt?id=coo.31924069517021;view=1up;seq=256</v>
      </c>
      <c r="R461" s="27" t="s">
        <v>511</v>
      </c>
      <c r="S461" s="27" t="s">
        <v>512</v>
      </c>
      <c r="T461" s="27" t="s">
        <v>2598</v>
      </c>
      <c r="U461" s="4"/>
      <c r="V461" s="4"/>
      <c r="W461" s="4"/>
      <c r="X461" s="4"/>
      <c r="Y461" s="4"/>
      <c r="Z461" s="4"/>
      <c r="AA461" s="4"/>
      <c r="AB461" s="4"/>
    </row>
    <row r="462" spans="1:28" x14ac:dyDescent="0.25">
      <c r="A462" s="27" t="s">
        <v>1047</v>
      </c>
      <c r="B462" s="27" t="str">
        <f t="shared" si="39"/>
        <v>Louisiana</v>
      </c>
      <c r="C462" s="27" t="str">
        <f t="shared" si="40"/>
        <v>West Baton Rouge</v>
      </c>
      <c r="D462" s="2">
        <f>'LA pre'!F57</f>
        <v>767</v>
      </c>
      <c r="E462" s="2">
        <v>32</v>
      </c>
      <c r="F462" s="26">
        <f>'LA pre'!N57</f>
        <v>123.23337679269882</v>
      </c>
      <c r="G462" s="27">
        <v>1068</v>
      </c>
      <c r="H462" s="28">
        <f>'LA pre'!T57</f>
        <v>35.776785714285715</v>
      </c>
      <c r="I462" s="27">
        <v>8152</v>
      </c>
      <c r="J462" s="27">
        <v>22</v>
      </c>
      <c r="K462" s="2">
        <v>7425</v>
      </c>
      <c r="L462" s="27">
        <v>1904</v>
      </c>
      <c r="M462" s="27" t="s">
        <v>507</v>
      </c>
      <c r="N462" s="27" t="s">
        <v>508</v>
      </c>
      <c r="O462" s="27" t="str">
        <f t="shared" si="37"/>
        <v>https://babel.hathitrust.org/cgi/pt?id=coo.31924069517021;view=1up;seq=256</v>
      </c>
      <c r="P462" s="27" t="s">
        <v>509</v>
      </c>
      <c r="Q462" s="27" t="str">
        <f t="shared" si="38"/>
        <v>https://babel.hathitrust.org/cgi/pt?id=coo.31924069517021;view=1up;seq=256</v>
      </c>
      <c r="R462" s="27" t="s">
        <v>511</v>
      </c>
      <c r="S462" s="27" t="s">
        <v>512</v>
      </c>
      <c r="T462" s="27" t="s">
        <v>2598</v>
      </c>
      <c r="U462" s="4"/>
      <c r="V462" s="4"/>
      <c r="W462" s="4"/>
      <c r="X462" s="4"/>
      <c r="Y462" s="4"/>
      <c r="Z462" s="4"/>
      <c r="AA462" s="4"/>
      <c r="AB462" s="4"/>
    </row>
    <row r="463" spans="1:28" x14ac:dyDescent="0.25">
      <c r="A463" s="27" t="s">
        <v>1048</v>
      </c>
      <c r="B463" s="27" t="str">
        <f t="shared" si="39"/>
        <v>Louisiana</v>
      </c>
      <c r="C463" s="27" t="str">
        <f t="shared" si="40"/>
        <v>West Carroll</v>
      </c>
      <c r="D463" s="2"/>
      <c r="E463" s="2">
        <v>18</v>
      </c>
      <c r="F463" s="26">
        <f>'LA pre'!N58</f>
        <v>75.888888888888886</v>
      </c>
      <c r="G463" s="27">
        <v>753</v>
      </c>
      <c r="H463" s="28">
        <f>'LA pre'!T58</f>
        <v>27.222222222222221</v>
      </c>
      <c r="I463" s="27">
        <v>1875</v>
      </c>
      <c r="J463" s="27">
        <v>48</v>
      </c>
      <c r="K463" s="2">
        <v>1500</v>
      </c>
      <c r="L463" s="27">
        <v>1904</v>
      </c>
      <c r="M463" s="27" t="s">
        <v>507</v>
      </c>
      <c r="N463" s="27" t="s">
        <v>508</v>
      </c>
      <c r="O463" s="27" t="str">
        <f t="shared" si="37"/>
        <v>https://babel.hathitrust.org/cgi/pt?id=coo.31924069517021;view=1up;seq=256</v>
      </c>
      <c r="P463" s="27" t="s">
        <v>509</v>
      </c>
      <c r="Q463" s="27" t="str">
        <f t="shared" si="38"/>
        <v>https://babel.hathitrust.org/cgi/pt?id=coo.31924069517021;view=1up;seq=256</v>
      </c>
      <c r="R463" s="27" t="s">
        <v>511</v>
      </c>
      <c r="S463" s="27" t="s">
        <v>512</v>
      </c>
      <c r="T463" s="27" t="s">
        <v>2598</v>
      </c>
      <c r="U463" s="4"/>
      <c r="V463" s="4"/>
      <c r="W463" s="4"/>
      <c r="X463" s="4"/>
      <c r="Y463" s="4"/>
      <c r="Z463" s="4"/>
      <c r="AA463" s="4"/>
      <c r="AB463" s="4"/>
    </row>
    <row r="464" spans="1:28" x14ac:dyDescent="0.25">
      <c r="A464" s="27" t="s">
        <v>1049</v>
      </c>
      <c r="B464" s="27" t="str">
        <f t="shared" si="39"/>
        <v>Louisiana</v>
      </c>
      <c r="C464" s="27" t="str">
        <f t="shared" si="40"/>
        <v>West Feliciana</v>
      </c>
      <c r="D464" s="2">
        <f>'LA pre'!F59</f>
        <v>1181</v>
      </c>
      <c r="E464" s="2">
        <v>38</v>
      </c>
      <c r="F464" s="26">
        <f>'LA pre'!N59</f>
        <v>164.13209144792549</v>
      </c>
      <c r="G464" s="27">
        <v>1774</v>
      </c>
      <c r="H464" s="28">
        <f>'LA pre'!T59</f>
        <v>29.539473684210527</v>
      </c>
      <c r="I464" s="27">
        <v>9556</v>
      </c>
      <c r="J464" s="27">
        <v>13</v>
      </c>
      <c r="K464" s="2">
        <v>6900</v>
      </c>
      <c r="L464" s="27">
        <v>1904</v>
      </c>
      <c r="M464" s="27" t="s">
        <v>507</v>
      </c>
      <c r="N464" s="27" t="s">
        <v>508</v>
      </c>
      <c r="O464" s="27" t="str">
        <f t="shared" si="37"/>
        <v>https://babel.hathitrust.org/cgi/pt?id=coo.31924069517021;view=1up;seq=256</v>
      </c>
      <c r="P464" s="27" t="s">
        <v>509</v>
      </c>
      <c r="Q464" s="27" t="str">
        <f t="shared" si="38"/>
        <v>https://babel.hathitrust.org/cgi/pt?id=coo.31924069517021;view=1up;seq=256</v>
      </c>
      <c r="R464" s="27" t="s">
        <v>511</v>
      </c>
      <c r="S464" s="27" t="s">
        <v>512</v>
      </c>
      <c r="T464" s="27" t="s">
        <v>2598</v>
      </c>
      <c r="U464" s="4"/>
      <c r="V464" s="4"/>
      <c r="W464" s="4"/>
      <c r="X464" s="4"/>
      <c r="Y464" s="4"/>
      <c r="Z464" s="4"/>
      <c r="AA464" s="4"/>
      <c r="AB464" s="4"/>
    </row>
    <row r="465" spans="1:28" x14ac:dyDescent="0.25">
      <c r="A465" s="27" t="s">
        <v>1050</v>
      </c>
      <c r="B465" s="27" t="str">
        <f t="shared" si="39"/>
        <v>Louisiana</v>
      </c>
      <c r="C465" s="27" t="str">
        <f t="shared" si="40"/>
        <v>Winn</v>
      </c>
      <c r="D465" s="2">
        <f>'LA pre'!F60</f>
        <v>1117</v>
      </c>
      <c r="E465" s="2">
        <v>38</v>
      </c>
      <c r="F465" s="26">
        <f>'LA pre'!N60</f>
        <v>77.903312444046549</v>
      </c>
      <c r="G465" s="27">
        <v>1645</v>
      </c>
      <c r="H465" s="28">
        <f>'LA pre'!T60</f>
        <v>47.196052631578951</v>
      </c>
      <c r="I465" s="27">
        <v>15055</v>
      </c>
      <c r="J465" s="27">
        <v>76</v>
      </c>
      <c r="K465" s="2">
        <v>14500</v>
      </c>
      <c r="L465" s="27">
        <v>1904</v>
      </c>
      <c r="M465" s="27" t="s">
        <v>507</v>
      </c>
      <c r="N465" s="27" t="s">
        <v>508</v>
      </c>
      <c r="O465" s="27" t="str">
        <f t="shared" si="37"/>
        <v>https://babel.hathitrust.org/cgi/pt?id=coo.31924069517021;view=1up;seq=256</v>
      </c>
      <c r="P465" s="27" t="s">
        <v>509</v>
      </c>
      <c r="Q465" s="27" t="str">
        <f t="shared" si="38"/>
        <v>https://babel.hathitrust.org/cgi/pt?id=coo.31924069517021;view=1up;seq=256</v>
      </c>
      <c r="R465" s="27" t="s">
        <v>511</v>
      </c>
      <c r="S465" s="27" t="s">
        <v>512</v>
      </c>
      <c r="T465" s="27" t="s">
        <v>2598</v>
      </c>
      <c r="U465" s="4"/>
      <c r="V465" s="4"/>
      <c r="W465" s="4"/>
      <c r="X465" s="4"/>
      <c r="Y465" s="4"/>
      <c r="Z465" s="4"/>
      <c r="AA465" s="4"/>
      <c r="AB465" s="4"/>
    </row>
    <row r="466" spans="1:28" x14ac:dyDescent="0.25">
      <c r="A466" s="27" t="s">
        <v>1367</v>
      </c>
      <c r="B466" s="27" t="str">
        <f t="shared" si="39"/>
        <v/>
      </c>
      <c r="C466" s="27" t="str">
        <f t="shared" si="40"/>
        <v/>
      </c>
      <c r="D466" s="2">
        <f>SUM(D407:D465)</f>
        <v>142223</v>
      </c>
      <c r="E466" s="2">
        <f>SUM(E407:E465)</f>
        <v>4298</v>
      </c>
      <c r="F466" s="27"/>
      <c r="G466" s="27">
        <f>SUM(G407:G465)</f>
        <v>211849</v>
      </c>
      <c r="H466" s="28">
        <f>'LA pre'!T61</f>
        <v>0</v>
      </c>
      <c r="I466" s="27">
        <f>SUM(I407:I465)</f>
        <v>1736353</v>
      </c>
      <c r="J466" s="27">
        <f>SUM(J407:J465)</f>
        <v>3545</v>
      </c>
      <c r="K466" s="2">
        <f>SUM(K407:K465)</f>
        <v>3396319</v>
      </c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8" x14ac:dyDescent="0.25">
      <c r="A467" s="27" t="s">
        <v>1367</v>
      </c>
      <c r="B467" s="27" t="str">
        <f t="shared" si="39"/>
        <v/>
      </c>
      <c r="C467" s="27" t="str">
        <f t="shared" si="40"/>
        <v/>
      </c>
      <c r="D467" s="27">
        <v>140123</v>
      </c>
      <c r="E467" s="2">
        <v>4294</v>
      </c>
      <c r="F467" s="27"/>
      <c r="G467" s="27">
        <v>211409</v>
      </c>
      <c r="H467" s="28">
        <f>'LA pre'!T62</f>
        <v>0</v>
      </c>
      <c r="I467" s="27">
        <v>1757943</v>
      </c>
      <c r="J467" s="27">
        <v>3540</v>
      </c>
      <c r="K467" s="2">
        <v>3396319</v>
      </c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8" x14ac:dyDescent="0.25">
      <c r="A468" s="27" t="s">
        <v>1367</v>
      </c>
      <c r="B468" s="27" t="str">
        <f t="shared" si="39"/>
        <v/>
      </c>
      <c r="C468" s="27" t="str">
        <f t="shared" si="40"/>
        <v/>
      </c>
      <c r="D468" s="27"/>
      <c r="E468" s="27"/>
      <c r="F468" s="27"/>
      <c r="G468" s="27"/>
      <c r="H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8" x14ac:dyDescent="0.25">
      <c r="A469" s="27" t="s">
        <v>1367</v>
      </c>
      <c r="B469" s="27" t="str">
        <f t="shared" si="39"/>
        <v/>
      </c>
      <c r="C469" s="27" t="str">
        <f t="shared" si="40"/>
        <v/>
      </c>
      <c r="D469" s="27"/>
      <c r="E469" s="27"/>
      <c r="F469" s="27"/>
      <c r="G469" s="27"/>
      <c r="H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8" x14ac:dyDescent="0.25">
      <c r="A470" s="27" t="s">
        <v>1051</v>
      </c>
      <c r="B470" s="27" t="str">
        <f t="shared" si="39"/>
        <v>Mississippi</v>
      </c>
      <c r="C470" s="27" t="str">
        <f t="shared" si="40"/>
        <v>Adams</v>
      </c>
      <c r="D470" s="27">
        <v>1855</v>
      </c>
      <c r="E470" s="27">
        <v>56</v>
      </c>
      <c r="F470" s="27">
        <v>144</v>
      </c>
      <c r="G470" s="27">
        <v>3452</v>
      </c>
      <c r="H470" s="27">
        <v>36.9</v>
      </c>
      <c r="I470" s="2">
        <v>18014.78</v>
      </c>
      <c r="J470" s="27">
        <v>51</v>
      </c>
      <c r="K470" s="107">
        <v>11555</v>
      </c>
      <c r="L470" s="27">
        <v>1906</v>
      </c>
      <c r="M470" s="27" t="s">
        <v>514</v>
      </c>
      <c r="N470" s="27" t="s">
        <v>515</v>
      </c>
      <c r="O470" s="27" t="s">
        <v>516</v>
      </c>
      <c r="P470" s="27" t="s">
        <v>514</v>
      </c>
      <c r="Q470" s="27" t="s">
        <v>517</v>
      </c>
      <c r="R470" s="27" t="s">
        <v>2560</v>
      </c>
      <c r="S470" s="27" t="s">
        <v>517</v>
      </c>
      <c r="T470" s="107" t="s">
        <v>2603</v>
      </c>
      <c r="U470" s="4"/>
      <c r="V470" s="4"/>
      <c r="W470" s="4"/>
      <c r="X470" s="4"/>
      <c r="Y470" s="4"/>
      <c r="Z470" s="4"/>
      <c r="AA470" s="4"/>
      <c r="AB470" s="4"/>
    </row>
    <row r="471" spans="1:28" x14ac:dyDescent="0.25">
      <c r="A471" s="27" t="s">
        <v>1052</v>
      </c>
      <c r="B471" s="27" t="str">
        <f t="shared" si="39"/>
        <v>Mississippi</v>
      </c>
      <c r="C471" s="27" t="str">
        <f t="shared" si="40"/>
        <v>Alcorn</v>
      </c>
      <c r="D471" s="27">
        <v>1691</v>
      </c>
      <c r="E471" s="27">
        <v>73</v>
      </c>
      <c r="F471" s="27">
        <v>120</v>
      </c>
      <c r="G471" s="27">
        <v>3540</v>
      </c>
      <c r="H471" s="27">
        <v>33.869999999999997</v>
      </c>
      <c r="I471" s="2">
        <v>16984.75</v>
      </c>
      <c r="J471" s="27">
        <v>70</v>
      </c>
      <c r="K471" s="107">
        <v>10444</v>
      </c>
      <c r="L471" s="27">
        <v>1906</v>
      </c>
      <c r="M471" s="27" t="s">
        <v>514</v>
      </c>
      <c r="N471" s="27" t="s">
        <v>515</v>
      </c>
      <c r="O471" s="27" t="s">
        <v>516</v>
      </c>
      <c r="P471" s="27" t="s">
        <v>514</v>
      </c>
      <c r="Q471" s="27" t="s">
        <v>517</v>
      </c>
      <c r="R471" s="27" t="str">
        <f>R470</f>
        <v>https://babel.hathitrust.org/cgi/pt?id=njp.32101076518784;view=1up;seq=144</v>
      </c>
      <c r="S471" s="27" t="s">
        <v>517</v>
      </c>
      <c r="T471" s="27" t="str">
        <f>T470</f>
        <v>https://babel.hathitrust.org/cgi/pt?id=uc1.c3198065;view=1up;seq=1135</v>
      </c>
      <c r="U471" s="4"/>
      <c r="V471" s="4"/>
      <c r="W471" s="4"/>
      <c r="X471" s="4"/>
      <c r="Y471" s="4"/>
      <c r="Z471" s="4"/>
      <c r="AA471" s="4"/>
      <c r="AB471" s="4"/>
    </row>
    <row r="472" spans="1:28" x14ac:dyDescent="0.25">
      <c r="A472" s="27" t="s">
        <v>1053</v>
      </c>
      <c r="B472" s="27" t="str">
        <f t="shared" si="39"/>
        <v>Mississippi</v>
      </c>
      <c r="C472" s="27" t="str">
        <f t="shared" si="40"/>
        <v>Amite</v>
      </c>
      <c r="D472" s="27">
        <v>3546</v>
      </c>
      <c r="E472" s="27">
        <v>126</v>
      </c>
      <c r="F472" s="27">
        <v>117</v>
      </c>
      <c r="G472" s="27">
        <v>6110</v>
      </c>
      <c r="H472" s="27">
        <v>31.95</v>
      </c>
      <c r="I472" s="2">
        <v>24977.02</v>
      </c>
      <c r="J472" s="27">
        <v>110</v>
      </c>
      <c r="K472" s="107">
        <v>17286</v>
      </c>
      <c r="L472" s="27">
        <v>1906</v>
      </c>
      <c r="M472" s="27" t="s">
        <v>514</v>
      </c>
      <c r="N472" s="27" t="s">
        <v>515</v>
      </c>
      <c r="O472" s="27" t="s">
        <v>516</v>
      </c>
      <c r="P472" s="27" t="s">
        <v>514</v>
      </c>
      <c r="Q472" s="27" t="s">
        <v>517</v>
      </c>
      <c r="R472" s="27" t="str">
        <f t="shared" ref="R472:R535" si="41">R471</f>
        <v>https://babel.hathitrust.org/cgi/pt?id=njp.32101076518784;view=1up;seq=144</v>
      </c>
      <c r="S472" s="27" t="s">
        <v>517</v>
      </c>
      <c r="T472" s="27" t="str">
        <f t="shared" ref="T472:T479" si="42">T471</f>
        <v>https://babel.hathitrust.org/cgi/pt?id=uc1.c3198065;view=1up;seq=1135</v>
      </c>
      <c r="U472" s="4"/>
      <c r="V472" s="4"/>
      <c r="W472" s="4"/>
      <c r="X472" s="4"/>
      <c r="Y472" s="4"/>
      <c r="Z472" s="4"/>
      <c r="AA472" s="4"/>
      <c r="AB472" s="4"/>
    </row>
    <row r="473" spans="1:28" x14ac:dyDescent="0.25">
      <c r="A473" s="27" t="s">
        <v>1054</v>
      </c>
      <c r="B473" s="27" t="str">
        <f t="shared" si="39"/>
        <v>Mississippi</v>
      </c>
      <c r="C473" s="27" t="str">
        <f t="shared" si="40"/>
        <v>Attala</v>
      </c>
      <c r="D473" s="27">
        <v>4130</v>
      </c>
      <c r="E473" s="27">
        <v>157</v>
      </c>
      <c r="F473" s="27">
        <v>114</v>
      </c>
      <c r="G473" s="27">
        <v>7173</v>
      </c>
      <c r="H473" s="27">
        <v>25.56</v>
      </c>
      <c r="I473" s="2">
        <v>29469.77</v>
      </c>
      <c r="J473" s="27">
        <v>156</v>
      </c>
      <c r="K473" s="107">
        <v>16781</v>
      </c>
      <c r="L473" s="27">
        <v>1906</v>
      </c>
      <c r="M473" s="27" t="s">
        <v>514</v>
      </c>
      <c r="N473" s="27" t="s">
        <v>515</v>
      </c>
      <c r="O473" s="27" t="s">
        <v>516</v>
      </c>
      <c r="P473" s="27" t="s">
        <v>514</v>
      </c>
      <c r="Q473" s="27" t="s">
        <v>517</v>
      </c>
      <c r="R473" s="27" t="str">
        <f t="shared" si="41"/>
        <v>https://babel.hathitrust.org/cgi/pt?id=njp.32101076518784;view=1up;seq=144</v>
      </c>
      <c r="S473" s="27" t="s">
        <v>517</v>
      </c>
      <c r="T473" s="27" t="str">
        <f t="shared" si="42"/>
        <v>https://babel.hathitrust.org/cgi/pt?id=uc1.c3198065;view=1up;seq=1135</v>
      </c>
      <c r="U473" s="4"/>
      <c r="V473" s="4"/>
      <c r="W473" s="4"/>
      <c r="X473" s="4"/>
      <c r="Y473" s="4"/>
      <c r="Z473" s="4"/>
      <c r="AA473" s="4"/>
      <c r="AB473" s="4"/>
    </row>
    <row r="474" spans="1:28" x14ac:dyDescent="0.25">
      <c r="A474" s="27" t="s">
        <v>1055</v>
      </c>
      <c r="B474" s="27" t="str">
        <f t="shared" si="39"/>
        <v>Mississippi</v>
      </c>
      <c r="C474" s="27" t="str">
        <f t="shared" si="40"/>
        <v>Benton</v>
      </c>
      <c r="D474" s="27">
        <v>1337</v>
      </c>
      <c r="E474" s="27">
        <v>75</v>
      </c>
      <c r="F474" s="27">
        <v>120</v>
      </c>
      <c r="G474" s="27">
        <v>2910</v>
      </c>
      <c r="H474" s="27">
        <v>30.35</v>
      </c>
      <c r="I474" s="2">
        <v>14261.58</v>
      </c>
      <c r="J474" s="27">
        <v>73</v>
      </c>
      <c r="K474" s="107">
        <v>11336</v>
      </c>
      <c r="L474" s="27">
        <v>1906</v>
      </c>
      <c r="M474" s="27" t="s">
        <v>514</v>
      </c>
      <c r="N474" s="27" t="s">
        <v>515</v>
      </c>
      <c r="O474" s="27" t="s">
        <v>516</v>
      </c>
      <c r="P474" s="27" t="s">
        <v>514</v>
      </c>
      <c r="Q474" s="27" t="s">
        <v>517</v>
      </c>
      <c r="R474" s="27" t="str">
        <f t="shared" si="41"/>
        <v>https://babel.hathitrust.org/cgi/pt?id=njp.32101076518784;view=1up;seq=144</v>
      </c>
      <c r="S474" s="27" t="s">
        <v>517</v>
      </c>
      <c r="T474" s="27" t="str">
        <f t="shared" si="42"/>
        <v>https://babel.hathitrust.org/cgi/pt?id=uc1.c3198065;view=1up;seq=1135</v>
      </c>
      <c r="U474" s="4"/>
      <c r="V474" s="4"/>
      <c r="W474" s="4"/>
      <c r="X474" s="4"/>
      <c r="Y474" s="4"/>
      <c r="Z474" s="4"/>
      <c r="AA474" s="4"/>
      <c r="AB474" s="4"/>
    </row>
    <row r="475" spans="1:28" x14ac:dyDescent="0.25">
      <c r="A475" s="27" t="s">
        <v>1056</v>
      </c>
      <c r="B475" s="27" t="str">
        <f t="shared" si="39"/>
        <v>Mississippi</v>
      </c>
      <c r="C475" s="27" t="str">
        <f t="shared" si="40"/>
        <v>Bolivar</v>
      </c>
      <c r="D475" s="27">
        <v>8118</v>
      </c>
      <c r="E475" s="27">
        <v>366</v>
      </c>
      <c r="F475" s="27">
        <v>100</v>
      </c>
      <c r="G475" s="27">
        <v>1185</v>
      </c>
      <c r="H475" s="27">
        <v>31.71</v>
      </c>
      <c r="I475" s="2">
        <v>32661.7</v>
      </c>
      <c r="J475" s="27">
        <v>130</v>
      </c>
      <c r="K475" s="107">
        <v>25656</v>
      </c>
      <c r="L475" s="27">
        <v>1906</v>
      </c>
      <c r="M475" s="27" t="s">
        <v>514</v>
      </c>
      <c r="N475" s="27" t="s">
        <v>515</v>
      </c>
      <c r="O475" s="27" t="s">
        <v>516</v>
      </c>
      <c r="P475" s="27" t="s">
        <v>514</v>
      </c>
      <c r="Q475" s="27" t="s">
        <v>517</v>
      </c>
      <c r="R475" s="27" t="str">
        <f t="shared" si="41"/>
        <v>https://babel.hathitrust.org/cgi/pt?id=njp.32101076518784;view=1up;seq=144</v>
      </c>
      <c r="S475" s="27" t="s">
        <v>517</v>
      </c>
      <c r="T475" s="27" t="str">
        <f t="shared" si="42"/>
        <v>https://babel.hathitrust.org/cgi/pt?id=uc1.c3198065;view=1up;seq=1135</v>
      </c>
      <c r="U475" s="4"/>
      <c r="V475" s="4"/>
      <c r="W475" s="4"/>
      <c r="X475" s="4"/>
      <c r="Y475" s="4"/>
      <c r="Z475" s="4"/>
      <c r="AA475" s="4"/>
      <c r="AB475" s="4"/>
    </row>
    <row r="476" spans="1:28" x14ac:dyDescent="0.25">
      <c r="A476" s="27" t="s">
        <v>1057</v>
      </c>
      <c r="B476" s="27" t="str">
        <f t="shared" si="39"/>
        <v>Mississippi</v>
      </c>
      <c r="C476" s="27" t="str">
        <f t="shared" si="40"/>
        <v>Calhoun</v>
      </c>
      <c r="D476" s="27">
        <v>3242</v>
      </c>
      <c r="E476" s="27">
        <v>134</v>
      </c>
      <c r="F476" s="27">
        <v>114</v>
      </c>
      <c r="G476" s="27">
        <v>5343</v>
      </c>
      <c r="H476" s="27">
        <v>27.29</v>
      </c>
      <c r="I476" s="2">
        <v>21514.29</v>
      </c>
      <c r="J476" s="27">
        <v>100</v>
      </c>
      <c r="K476" s="107">
        <v>14899</v>
      </c>
      <c r="L476" s="27">
        <v>1906</v>
      </c>
      <c r="M476" s="27" t="s">
        <v>514</v>
      </c>
      <c r="N476" s="27" t="s">
        <v>515</v>
      </c>
      <c r="O476" s="27" t="s">
        <v>516</v>
      </c>
      <c r="P476" s="27" t="s">
        <v>514</v>
      </c>
      <c r="Q476" s="27" t="s">
        <v>517</v>
      </c>
      <c r="R476" s="27" t="str">
        <f t="shared" si="41"/>
        <v>https://babel.hathitrust.org/cgi/pt?id=njp.32101076518784;view=1up;seq=144</v>
      </c>
      <c r="S476" s="27" t="s">
        <v>517</v>
      </c>
      <c r="T476" s="27" t="str">
        <f t="shared" si="42"/>
        <v>https://babel.hathitrust.org/cgi/pt?id=uc1.c3198065;view=1up;seq=1135</v>
      </c>
      <c r="U476" s="4"/>
      <c r="V476" s="4"/>
      <c r="W476" s="4"/>
      <c r="X476" s="4"/>
      <c r="Y476" s="4"/>
      <c r="Z476" s="4"/>
      <c r="AA476" s="4"/>
      <c r="AB476" s="4"/>
    </row>
    <row r="477" spans="1:28" x14ac:dyDescent="0.25">
      <c r="A477" s="27" t="s">
        <v>1058</v>
      </c>
      <c r="B477" s="27" t="str">
        <f t="shared" si="39"/>
        <v>Mississippi</v>
      </c>
      <c r="C477" s="27" t="str">
        <f t="shared" si="40"/>
        <v>Carroll</v>
      </c>
      <c r="D477" s="27">
        <v>2819</v>
      </c>
      <c r="E477" s="27">
        <v>123</v>
      </c>
      <c r="F477" s="27">
        <v>120</v>
      </c>
      <c r="G477" s="27">
        <v>6261</v>
      </c>
      <c r="H477" s="27">
        <v>31.78</v>
      </c>
      <c r="I477" s="2">
        <v>2270.1</v>
      </c>
      <c r="J477" s="27">
        <v>128</v>
      </c>
      <c r="K477" s="107">
        <v>17451</v>
      </c>
      <c r="L477" s="27">
        <v>1906</v>
      </c>
      <c r="M477" s="27" t="s">
        <v>514</v>
      </c>
      <c r="N477" s="27" t="s">
        <v>515</v>
      </c>
      <c r="O477" s="27" t="s">
        <v>516</v>
      </c>
      <c r="P477" s="27" t="s">
        <v>514</v>
      </c>
      <c r="Q477" s="27" t="s">
        <v>517</v>
      </c>
      <c r="R477" s="27" t="str">
        <f t="shared" si="41"/>
        <v>https://babel.hathitrust.org/cgi/pt?id=njp.32101076518784;view=1up;seq=144</v>
      </c>
      <c r="S477" s="27" t="s">
        <v>517</v>
      </c>
      <c r="T477" s="27" t="str">
        <f t="shared" si="42"/>
        <v>https://babel.hathitrust.org/cgi/pt?id=uc1.c3198065;view=1up;seq=1135</v>
      </c>
      <c r="U477" s="4"/>
      <c r="V477" s="4"/>
      <c r="W477" s="4"/>
      <c r="X477" s="4"/>
      <c r="Y477" s="4"/>
      <c r="Z477" s="4"/>
      <c r="AA477" s="4"/>
      <c r="AB477" s="4"/>
    </row>
    <row r="478" spans="1:28" x14ac:dyDescent="0.25">
      <c r="A478" s="27" t="s">
        <v>1059</v>
      </c>
      <c r="B478" s="27" t="str">
        <f t="shared" si="39"/>
        <v>Mississippi</v>
      </c>
      <c r="C478" s="27" t="str">
        <f t="shared" si="40"/>
        <v>Chickasaw</v>
      </c>
      <c r="D478" s="27">
        <v>2647</v>
      </c>
      <c r="E478" s="27">
        <v>114</v>
      </c>
      <c r="F478" s="27">
        <v>120</v>
      </c>
      <c r="G478" s="27">
        <v>5038</v>
      </c>
      <c r="H478" s="27">
        <v>26.87</v>
      </c>
      <c r="I478" s="2">
        <v>20713.79</v>
      </c>
      <c r="J478" s="27">
        <v>103</v>
      </c>
      <c r="K478" s="107">
        <v>16873</v>
      </c>
      <c r="L478" s="27">
        <v>1906</v>
      </c>
      <c r="M478" s="27" t="s">
        <v>514</v>
      </c>
      <c r="N478" s="27" t="s">
        <v>515</v>
      </c>
      <c r="O478" s="27" t="s">
        <v>516</v>
      </c>
      <c r="P478" s="27" t="s">
        <v>514</v>
      </c>
      <c r="Q478" s="27" t="s">
        <v>517</v>
      </c>
      <c r="R478" s="27" t="str">
        <f t="shared" si="41"/>
        <v>https://babel.hathitrust.org/cgi/pt?id=njp.32101076518784;view=1up;seq=144</v>
      </c>
      <c r="S478" s="27" t="s">
        <v>517</v>
      </c>
      <c r="T478" s="27" t="str">
        <f t="shared" si="42"/>
        <v>https://babel.hathitrust.org/cgi/pt?id=uc1.c3198065;view=1up;seq=1135</v>
      </c>
      <c r="U478" s="4"/>
      <c r="V478" s="4"/>
      <c r="W478" s="4"/>
      <c r="X478" s="4"/>
      <c r="Y478" s="4"/>
      <c r="Z478" s="4"/>
      <c r="AA478" s="4"/>
      <c r="AB478" s="4"/>
    </row>
    <row r="479" spans="1:28" x14ac:dyDescent="0.25">
      <c r="A479" s="27" t="s">
        <v>1060</v>
      </c>
      <c r="B479" s="27" t="str">
        <f t="shared" si="39"/>
        <v>Mississippi</v>
      </c>
      <c r="C479" s="27" t="str">
        <f t="shared" si="40"/>
        <v>Choctaw</v>
      </c>
      <c r="D479" s="27">
        <v>1937</v>
      </c>
      <c r="E479" s="27">
        <v>86</v>
      </c>
      <c r="F479" s="27">
        <v>91</v>
      </c>
      <c r="G479" s="27">
        <v>3619</v>
      </c>
      <c r="H479" s="27">
        <v>53.04</v>
      </c>
      <c r="I479" s="2">
        <v>16225.44</v>
      </c>
      <c r="J479" s="27">
        <v>78</v>
      </c>
      <c r="K479" s="107">
        <v>9941</v>
      </c>
      <c r="L479" s="27">
        <v>1906</v>
      </c>
      <c r="M479" s="27" t="s">
        <v>514</v>
      </c>
      <c r="N479" s="27" t="s">
        <v>515</v>
      </c>
      <c r="O479" s="27" t="s">
        <v>516</v>
      </c>
      <c r="P479" s="27" t="s">
        <v>514</v>
      </c>
      <c r="Q479" s="27" t="s">
        <v>517</v>
      </c>
      <c r="R479" s="27" t="str">
        <f t="shared" si="41"/>
        <v>https://babel.hathitrust.org/cgi/pt?id=njp.32101076518784;view=1up;seq=144</v>
      </c>
      <c r="S479" s="27" t="s">
        <v>517</v>
      </c>
      <c r="T479" s="27" t="str">
        <f t="shared" si="42"/>
        <v>https://babel.hathitrust.org/cgi/pt?id=uc1.c3198065;view=1up;seq=1135</v>
      </c>
      <c r="U479" s="4"/>
      <c r="V479" s="4"/>
      <c r="W479" s="4"/>
      <c r="X479" s="4"/>
      <c r="Y479" s="4"/>
      <c r="Z479" s="4"/>
      <c r="AA479" s="4"/>
      <c r="AB479" s="4"/>
    </row>
    <row r="480" spans="1:28" x14ac:dyDescent="0.25">
      <c r="A480" s="27" t="s">
        <v>1061</v>
      </c>
      <c r="B480" s="27" t="str">
        <f t="shared" si="39"/>
        <v>Mississippi</v>
      </c>
      <c r="C480" s="27" t="str">
        <f t="shared" si="40"/>
        <v>Claiborne</v>
      </c>
      <c r="D480" s="27">
        <v>1845</v>
      </c>
      <c r="E480" s="27">
        <v>81</v>
      </c>
      <c r="F480" s="27">
        <v>160</v>
      </c>
      <c r="G480" s="27">
        <v>4473</v>
      </c>
      <c r="H480" s="27">
        <v>35.18</v>
      </c>
      <c r="I480" s="2">
        <v>21354.04</v>
      </c>
      <c r="J480" s="27">
        <v>71</v>
      </c>
      <c r="K480" s="107">
        <v>18365</v>
      </c>
      <c r="L480" s="27">
        <v>1906</v>
      </c>
      <c r="M480" s="27" t="s">
        <v>514</v>
      </c>
      <c r="N480" s="27" t="s">
        <v>515</v>
      </c>
      <c r="O480" s="27" t="s">
        <v>516</v>
      </c>
      <c r="P480" s="27" t="s">
        <v>514</v>
      </c>
      <c r="Q480" s="27" t="s">
        <v>517</v>
      </c>
      <c r="R480" s="27" t="str">
        <f t="shared" si="41"/>
        <v>https://babel.hathitrust.org/cgi/pt?id=njp.32101076518784;view=1up;seq=144</v>
      </c>
      <c r="S480" s="27" t="s">
        <v>517</v>
      </c>
      <c r="T480" s="107" t="s">
        <v>2604</v>
      </c>
      <c r="U480" s="4"/>
      <c r="V480" s="4"/>
      <c r="W480" s="4"/>
      <c r="X480" s="4"/>
      <c r="Y480" s="4"/>
      <c r="Z480" s="4"/>
      <c r="AA480" s="4"/>
      <c r="AB480" s="4"/>
    </row>
    <row r="481" spans="1:28" x14ac:dyDescent="0.25">
      <c r="A481" s="27" t="s">
        <v>1062</v>
      </c>
      <c r="B481" s="27" t="str">
        <f t="shared" si="39"/>
        <v>Mississippi</v>
      </c>
      <c r="C481" s="27" t="str">
        <f t="shared" si="40"/>
        <v>Clarke</v>
      </c>
      <c r="D481" s="27">
        <v>2560</v>
      </c>
      <c r="E481" s="27">
        <v>118</v>
      </c>
      <c r="F481" s="27">
        <v>140</v>
      </c>
      <c r="G481" s="27">
        <v>5222</v>
      </c>
      <c r="H481" s="27">
        <v>35.14</v>
      </c>
      <c r="I481" s="2">
        <v>28140.67</v>
      </c>
      <c r="J481" s="27">
        <v>94</v>
      </c>
      <c r="K481" s="107">
        <v>17958</v>
      </c>
      <c r="L481" s="27">
        <v>1906</v>
      </c>
      <c r="M481" s="27" t="s">
        <v>514</v>
      </c>
      <c r="N481" s="27" t="s">
        <v>515</v>
      </c>
      <c r="O481" s="27" t="s">
        <v>516</v>
      </c>
      <c r="P481" s="27" t="s">
        <v>514</v>
      </c>
      <c r="Q481" s="27" t="s">
        <v>517</v>
      </c>
      <c r="R481" s="27" t="str">
        <f t="shared" si="41"/>
        <v>https://babel.hathitrust.org/cgi/pt?id=njp.32101076518784;view=1up;seq=144</v>
      </c>
      <c r="S481" s="27" t="s">
        <v>517</v>
      </c>
      <c r="T481" s="27" t="str">
        <f>T480</f>
        <v>https://babel.hathitrust.org/cgi/pt?id=uc1.c3198065;view=1up;seq=1136</v>
      </c>
      <c r="U481" s="4"/>
      <c r="V481" s="4"/>
      <c r="W481" s="4"/>
      <c r="X481" s="4"/>
      <c r="Y481" s="4"/>
      <c r="Z481" s="4"/>
      <c r="AA481" s="4"/>
      <c r="AB481" s="4"/>
    </row>
    <row r="482" spans="1:28" x14ac:dyDescent="0.25">
      <c r="A482" s="27" t="s">
        <v>1063</v>
      </c>
      <c r="B482" s="27" t="str">
        <f t="shared" si="39"/>
        <v>Mississippi</v>
      </c>
      <c r="C482" s="27" t="str">
        <f t="shared" si="40"/>
        <v>Clay</v>
      </c>
      <c r="D482" s="27">
        <v>3122</v>
      </c>
      <c r="E482" s="27">
        <v>110</v>
      </c>
      <c r="F482" s="27">
        <v>110</v>
      </c>
      <c r="G482" s="27">
        <v>4481</v>
      </c>
      <c r="H482" s="27">
        <v>36.15</v>
      </c>
      <c r="I482" s="2">
        <v>21689.4</v>
      </c>
      <c r="J482" s="27">
        <v>86</v>
      </c>
      <c r="K482" s="107">
        <v>16895</v>
      </c>
      <c r="L482" s="27">
        <v>1906</v>
      </c>
      <c r="M482" s="27" t="s">
        <v>514</v>
      </c>
      <c r="N482" s="27" t="s">
        <v>515</v>
      </c>
      <c r="O482" s="27" t="s">
        <v>516</v>
      </c>
      <c r="P482" s="27" t="s">
        <v>514</v>
      </c>
      <c r="Q482" s="27" t="s">
        <v>517</v>
      </c>
      <c r="R482" s="27" t="str">
        <f t="shared" si="41"/>
        <v>https://babel.hathitrust.org/cgi/pt?id=njp.32101076518784;view=1up;seq=144</v>
      </c>
      <c r="S482" s="27" t="s">
        <v>517</v>
      </c>
      <c r="T482" s="27" t="str">
        <f t="shared" ref="T482:T545" si="43">T481</f>
        <v>https://babel.hathitrust.org/cgi/pt?id=uc1.c3198065;view=1up;seq=1136</v>
      </c>
      <c r="U482" s="4"/>
      <c r="V482" s="4"/>
      <c r="W482" s="4"/>
      <c r="X482" s="4"/>
      <c r="Y482" s="4"/>
      <c r="Z482" s="4"/>
      <c r="AA482" s="4"/>
      <c r="AB482" s="4"/>
    </row>
    <row r="483" spans="1:28" x14ac:dyDescent="0.25">
      <c r="A483" s="27" t="s">
        <v>1064</v>
      </c>
      <c r="B483" s="27" t="str">
        <f t="shared" si="39"/>
        <v>Mississippi</v>
      </c>
      <c r="C483" s="27" t="str">
        <f t="shared" si="40"/>
        <v>Coahoma</v>
      </c>
      <c r="D483" s="27">
        <v>3780</v>
      </c>
      <c r="E483" s="27">
        <v>101</v>
      </c>
      <c r="F483" s="27">
        <v>126</v>
      </c>
      <c r="G483" s="27">
        <v>5424</v>
      </c>
      <c r="H483" s="27">
        <v>33.409999999999997</v>
      </c>
      <c r="I483" s="2">
        <v>25669.57</v>
      </c>
      <c r="J483" s="27">
        <v>103</v>
      </c>
      <c r="K483" s="107">
        <v>14607</v>
      </c>
      <c r="L483" s="27">
        <v>1906</v>
      </c>
      <c r="M483" s="27" t="s">
        <v>514</v>
      </c>
      <c r="N483" s="27" t="s">
        <v>515</v>
      </c>
      <c r="O483" s="27" t="s">
        <v>516</v>
      </c>
      <c r="P483" s="27" t="s">
        <v>514</v>
      </c>
      <c r="Q483" s="27" t="s">
        <v>517</v>
      </c>
      <c r="R483" s="27" t="str">
        <f t="shared" si="41"/>
        <v>https://babel.hathitrust.org/cgi/pt?id=njp.32101076518784;view=1up;seq=144</v>
      </c>
      <c r="S483" s="27" t="s">
        <v>517</v>
      </c>
      <c r="T483" s="27" t="str">
        <f t="shared" si="43"/>
        <v>https://babel.hathitrust.org/cgi/pt?id=uc1.c3198065;view=1up;seq=1136</v>
      </c>
      <c r="U483" s="4"/>
      <c r="V483" s="4"/>
      <c r="W483" s="4"/>
      <c r="X483" s="4"/>
      <c r="Y483" s="4"/>
      <c r="Z483" s="4"/>
      <c r="AA483" s="4"/>
      <c r="AB483" s="4"/>
    </row>
    <row r="484" spans="1:28" x14ac:dyDescent="0.25">
      <c r="A484" s="27" t="s">
        <v>1065</v>
      </c>
      <c r="B484" s="27" t="str">
        <f t="shared" si="39"/>
        <v>Mississippi</v>
      </c>
      <c r="C484" s="27" t="str">
        <f t="shared" si="40"/>
        <v>Copiah</v>
      </c>
      <c r="D484" s="27">
        <v>3626</v>
      </c>
      <c r="E484" s="27">
        <v>163</v>
      </c>
      <c r="F484" s="27">
        <v>120</v>
      </c>
      <c r="G484" s="27">
        <v>7390</v>
      </c>
      <c r="H484" s="27">
        <v>28.9</v>
      </c>
      <c r="I484" s="2">
        <v>35106.400000000001</v>
      </c>
      <c r="J484" s="27">
        <v>143</v>
      </c>
      <c r="K484" s="107">
        <v>22654</v>
      </c>
      <c r="L484" s="27">
        <v>1906</v>
      </c>
      <c r="M484" s="27" t="s">
        <v>514</v>
      </c>
      <c r="N484" s="27" t="s">
        <v>515</v>
      </c>
      <c r="O484" s="27" t="s">
        <v>516</v>
      </c>
      <c r="P484" s="27" t="s">
        <v>514</v>
      </c>
      <c r="Q484" s="27" t="s">
        <v>517</v>
      </c>
      <c r="R484" s="27" t="str">
        <f t="shared" si="41"/>
        <v>https://babel.hathitrust.org/cgi/pt?id=njp.32101076518784;view=1up;seq=144</v>
      </c>
      <c r="S484" s="27" t="s">
        <v>517</v>
      </c>
      <c r="T484" s="27" t="str">
        <f t="shared" si="43"/>
        <v>https://babel.hathitrust.org/cgi/pt?id=uc1.c3198065;view=1up;seq=1136</v>
      </c>
      <c r="U484" s="4"/>
      <c r="V484" s="4"/>
      <c r="W484" s="4"/>
      <c r="X484" s="4"/>
      <c r="Y484" s="4"/>
      <c r="Z484" s="4"/>
      <c r="AA484" s="4"/>
      <c r="AB484" s="4"/>
    </row>
    <row r="485" spans="1:28" x14ac:dyDescent="0.25">
      <c r="A485" s="27" t="s">
        <v>1066</v>
      </c>
      <c r="B485" s="27" t="str">
        <f t="shared" si="39"/>
        <v>Mississippi</v>
      </c>
      <c r="C485" s="27" t="str">
        <f t="shared" si="40"/>
        <v>Covington</v>
      </c>
      <c r="D485" s="27">
        <v>2559</v>
      </c>
      <c r="E485" s="27">
        <v>118</v>
      </c>
      <c r="F485" s="27">
        <v>120</v>
      </c>
      <c r="G485" s="27">
        <v>4370</v>
      </c>
      <c r="H485" s="27">
        <v>30.88</v>
      </c>
      <c r="I485" s="2">
        <v>23144.54</v>
      </c>
      <c r="J485" s="27">
        <v>103</v>
      </c>
      <c r="K485" s="107">
        <v>13704</v>
      </c>
      <c r="L485" s="27">
        <v>1906</v>
      </c>
      <c r="M485" s="27" t="s">
        <v>514</v>
      </c>
      <c r="N485" s="27" t="s">
        <v>515</v>
      </c>
      <c r="O485" s="27" t="s">
        <v>516</v>
      </c>
      <c r="P485" s="27" t="s">
        <v>514</v>
      </c>
      <c r="Q485" s="27" t="s">
        <v>517</v>
      </c>
      <c r="R485" s="27" t="str">
        <f t="shared" si="41"/>
        <v>https://babel.hathitrust.org/cgi/pt?id=njp.32101076518784;view=1up;seq=144</v>
      </c>
      <c r="S485" s="27" t="s">
        <v>517</v>
      </c>
      <c r="T485" s="27" t="str">
        <f t="shared" si="43"/>
        <v>https://babel.hathitrust.org/cgi/pt?id=uc1.c3198065;view=1up;seq=1136</v>
      </c>
      <c r="U485" s="4"/>
      <c r="V485" s="4"/>
      <c r="W485" s="4"/>
      <c r="X485" s="4"/>
      <c r="Y485" s="4"/>
      <c r="Z485" s="4"/>
      <c r="AA485" s="4"/>
      <c r="AB485" s="4"/>
    </row>
    <row r="486" spans="1:28" x14ac:dyDescent="0.25">
      <c r="A486" s="27" t="s">
        <v>1964</v>
      </c>
      <c r="B486" s="27" t="str">
        <f t="shared" si="39"/>
        <v>Mississippi</v>
      </c>
      <c r="C486" s="27" t="str">
        <f t="shared" si="40"/>
        <v>Desoto</v>
      </c>
      <c r="D486" s="27">
        <v>3606</v>
      </c>
      <c r="E486" s="27">
        <v>105</v>
      </c>
      <c r="F486" s="27"/>
      <c r="G486" s="27">
        <v>5959</v>
      </c>
      <c r="H486" s="27">
        <v>38</v>
      </c>
      <c r="I486" s="2">
        <v>27044.75</v>
      </c>
      <c r="J486" s="27">
        <v>92</v>
      </c>
      <c r="K486" s="107">
        <v>23567</v>
      </c>
      <c r="L486" s="27">
        <v>1906</v>
      </c>
      <c r="M486" s="27" t="s">
        <v>514</v>
      </c>
      <c r="N486" s="27" t="s">
        <v>515</v>
      </c>
      <c r="O486" s="27" t="s">
        <v>516</v>
      </c>
      <c r="P486" s="27" t="s">
        <v>514</v>
      </c>
      <c r="Q486" s="27" t="s">
        <v>517</v>
      </c>
      <c r="R486" s="27" t="str">
        <f t="shared" si="41"/>
        <v>https://babel.hathitrust.org/cgi/pt?id=njp.32101076518784;view=1up;seq=144</v>
      </c>
      <c r="S486" s="27" t="s">
        <v>517</v>
      </c>
      <c r="T486" s="27" t="str">
        <f t="shared" si="43"/>
        <v>https://babel.hathitrust.org/cgi/pt?id=uc1.c3198065;view=1up;seq=1136</v>
      </c>
      <c r="U486" s="4"/>
      <c r="V486" s="4"/>
      <c r="W486" s="4"/>
      <c r="X486" s="4"/>
      <c r="Y486" s="4"/>
      <c r="Z486" s="4"/>
      <c r="AA486" s="4"/>
      <c r="AB486" s="4"/>
    </row>
    <row r="487" spans="1:28" x14ac:dyDescent="0.25">
      <c r="A487" s="27" t="s">
        <v>1067</v>
      </c>
      <c r="B487" s="27" t="str">
        <f t="shared" si="39"/>
        <v>Mississippi</v>
      </c>
      <c r="C487" s="27" t="str">
        <f t="shared" si="40"/>
        <v>Forrest</v>
      </c>
      <c r="D487" s="27"/>
      <c r="E487" s="27"/>
      <c r="F487" s="27"/>
      <c r="G487" s="27"/>
      <c r="H487" s="27"/>
      <c r="J487" s="27"/>
      <c r="K487" s="107"/>
      <c r="L487" s="27">
        <v>1906</v>
      </c>
      <c r="M487" s="27" t="s">
        <v>514</v>
      </c>
      <c r="N487" s="27" t="s">
        <v>515</v>
      </c>
      <c r="O487" s="27" t="s">
        <v>516</v>
      </c>
      <c r="P487" s="27" t="s">
        <v>514</v>
      </c>
      <c r="Q487" s="27" t="s">
        <v>517</v>
      </c>
      <c r="R487" s="27" t="str">
        <f t="shared" si="41"/>
        <v>https://babel.hathitrust.org/cgi/pt?id=njp.32101076518784;view=1up;seq=144</v>
      </c>
      <c r="S487" s="27" t="s">
        <v>517</v>
      </c>
      <c r="T487" s="27" t="str">
        <f t="shared" si="43"/>
        <v>https://babel.hathitrust.org/cgi/pt?id=uc1.c3198065;view=1up;seq=1136</v>
      </c>
      <c r="U487" s="4"/>
      <c r="V487" s="4"/>
      <c r="W487" s="4"/>
      <c r="X487" s="4"/>
      <c r="Y487" s="4"/>
      <c r="Z487" s="4"/>
      <c r="AA487" s="4"/>
      <c r="AB487" s="4"/>
    </row>
    <row r="488" spans="1:28" x14ac:dyDescent="0.25">
      <c r="A488" s="27" t="s">
        <v>1068</v>
      </c>
      <c r="B488" s="27" t="str">
        <f t="shared" si="39"/>
        <v>Mississippi</v>
      </c>
      <c r="C488" s="27" t="str">
        <f t="shared" si="40"/>
        <v>Franklin</v>
      </c>
      <c r="D488" s="27">
        <v>1977</v>
      </c>
      <c r="E488" s="27">
        <v>87</v>
      </c>
      <c r="F488" s="27">
        <v>120</v>
      </c>
      <c r="G488" s="27">
        <v>3941</v>
      </c>
      <c r="H488" s="27">
        <v>26.13</v>
      </c>
      <c r="I488" s="2">
        <v>18305.13</v>
      </c>
      <c r="J488" s="27">
        <v>76</v>
      </c>
      <c r="K488" s="107">
        <v>13056</v>
      </c>
      <c r="L488" s="27">
        <v>1906</v>
      </c>
      <c r="M488" s="27" t="s">
        <v>514</v>
      </c>
      <c r="N488" s="27" t="s">
        <v>515</v>
      </c>
      <c r="O488" s="27" t="s">
        <v>516</v>
      </c>
      <c r="P488" s="27" t="s">
        <v>514</v>
      </c>
      <c r="Q488" s="27" t="s">
        <v>517</v>
      </c>
      <c r="R488" s="27" t="str">
        <f t="shared" si="41"/>
        <v>https://babel.hathitrust.org/cgi/pt?id=njp.32101076518784;view=1up;seq=144</v>
      </c>
      <c r="S488" s="27" t="s">
        <v>517</v>
      </c>
      <c r="T488" s="27" t="str">
        <f t="shared" si="43"/>
        <v>https://babel.hathitrust.org/cgi/pt?id=uc1.c3198065;view=1up;seq=1136</v>
      </c>
      <c r="U488" s="4"/>
      <c r="V488" s="4"/>
      <c r="W488" s="4"/>
      <c r="X488" s="4"/>
      <c r="Y488" s="4"/>
      <c r="Z488" s="4"/>
      <c r="AA488" s="4"/>
      <c r="AB488" s="4"/>
    </row>
    <row r="489" spans="1:28" x14ac:dyDescent="0.25">
      <c r="A489" s="27" t="s">
        <v>1069</v>
      </c>
      <c r="B489" s="27" t="str">
        <f t="shared" si="39"/>
        <v>Mississippi</v>
      </c>
      <c r="C489" s="27" t="str">
        <f t="shared" si="40"/>
        <v>George</v>
      </c>
      <c r="D489" s="27"/>
      <c r="E489" s="27"/>
      <c r="F489" s="27"/>
      <c r="G489" s="27"/>
      <c r="H489" s="27"/>
      <c r="J489" s="27"/>
      <c r="K489" s="107"/>
      <c r="L489" s="27">
        <v>1906</v>
      </c>
      <c r="M489" s="27" t="s">
        <v>514</v>
      </c>
      <c r="N489" s="27" t="s">
        <v>515</v>
      </c>
      <c r="O489" s="27" t="s">
        <v>516</v>
      </c>
      <c r="P489" s="27" t="s">
        <v>514</v>
      </c>
      <c r="Q489" s="27" t="s">
        <v>517</v>
      </c>
      <c r="R489" s="27" t="str">
        <f t="shared" si="41"/>
        <v>https://babel.hathitrust.org/cgi/pt?id=njp.32101076518784;view=1up;seq=144</v>
      </c>
      <c r="S489" s="27" t="s">
        <v>517</v>
      </c>
      <c r="T489" s="27" t="str">
        <f t="shared" si="43"/>
        <v>https://babel.hathitrust.org/cgi/pt?id=uc1.c3198065;view=1up;seq=1136</v>
      </c>
      <c r="U489" s="4"/>
      <c r="V489" s="4"/>
      <c r="W489" s="4"/>
      <c r="X489" s="4"/>
      <c r="Y489" s="4"/>
      <c r="Z489" s="4"/>
      <c r="AA489" s="4"/>
      <c r="AB489" s="4"/>
    </row>
    <row r="490" spans="1:28" x14ac:dyDescent="0.25">
      <c r="A490" s="27" t="s">
        <v>1070</v>
      </c>
      <c r="B490" s="27" t="str">
        <f t="shared" si="39"/>
        <v>Mississippi</v>
      </c>
      <c r="C490" s="27" t="str">
        <f t="shared" si="40"/>
        <v>Greene</v>
      </c>
      <c r="D490" s="27">
        <v>5935</v>
      </c>
      <c r="E490" s="27">
        <v>66</v>
      </c>
      <c r="F490" s="27">
        <v>104</v>
      </c>
      <c r="G490" s="27">
        <v>2395</v>
      </c>
      <c r="H490" s="1"/>
      <c r="I490" s="2">
        <v>9994.68</v>
      </c>
      <c r="J490" s="27">
        <v>54</v>
      </c>
      <c r="K490" s="107">
        <v>5056</v>
      </c>
      <c r="L490" s="27">
        <v>1906</v>
      </c>
      <c r="M490" s="27" t="s">
        <v>514</v>
      </c>
      <c r="N490" s="27" t="s">
        <v>515</v>
      </c>
      <c r="O490" s="27" t="s">
        <v>516</v>
      </c>
      <c r="P490" s="27" t="s">
        <v>514</v>
      </c>
      <c r="Q490" s="27" t="s">
        <v>517</v>
      </c>
      <c r="R490" s="27" t="str">
        <f t="shared" si="41"/>
        <v>https://babel.hathitrust.org/cgi/pt?id=njp.32101076518784;view=1up;seq=144</v>
      </c>
      <c r="S490" s="27" t="s">
        <v>517</v>
      </c>
      <c r="T490" s="27" t="str">
        <f t="shared" si="43"/>
        <v>https://babel.hathitrust.org/cgi/pt?id=uc1.c3198065;view=1up;seq=1136</v>
      </c>
      <c r="U490" s="4"/>
      <c r="V490" s="4"/>
      <c r="W490" s="4"/>
      <c r="X490" s="4"/>
      <c r="Y490" s="4"/>
      <c r="Z490" s="4"/>
      <c r="AA490" s="4"/>
      <c r="AB490" s="4"/>
    </row>
    <row r="491" spans="1:28" x14ac:dyDescent="0.25">
      <c r="A491" s="27" t="s">
        <v>1071</v>
      </c>
      <c r="B491" s="27" t="str">
        <f t="shared" si="39"/>
        <v>Mississippi</v>
      </c>
      <c r="C491" s="27" t="str">
        <f t="shared" si="40"/>
        <v>Grenada</v>
      </c>
      <c r="D491" s="27">
        <v>1845</v>
      </c>
      <c r="E491" s="27">
        <v>89</v>
      </c>
      <c r="F491" s="27">
        <v>120</v>
      </c>
      <c r="G491" s="27">
        <v>3324</v>
      </c>
      <c r="H491" s="27">
        <v>23.94</v>
      </c>
      <c r="I491" s="2">
        <v>13896.6</v>
      </c>
      <c r="J491" s="27">
        <v>77</v>
      </c>
      <c r="K491" s="107">
        <v>8838</v>
      </c>
      <c r="L491" s="27">
        <v>1906</v>
      </c>
      <c r="M491" s="27" t="s">
        <v>514</v>
      </c>
      <c r="N491" s="27" t="s">
        <v>515</v>
      </c>
      <c r="O491" s="27" t="s">
        <v>516</v>
      </c>
      <c r="P491" s="27" t="s">
        <v>514</v>
      </c>
      <c r="Q491" s="27" t="s">
        <v>517</v>
      </c>
      <c r="R491" s="27" t="str">
        <f t="shared" si="41"/>
        <v>https://babel.hathitrust.org/cgi/pt?id=njp.32101076518784;view=1up;seq=144</v>
      </c>
      <c r="S491" s="27" t="s">
        <v>517</v>
      </c>
      <c r="T491" s="27" t="str">
        <f t="shared" si="43"/>
        <v>https://babel.hathitrust.org/cgi/pt?id=uc1.c3198065;view=1up;seq=1136</v>
      </c>
      <c r="U491" s="4"/>
      <c r="V491" s="4"/>
      <c r="W491" s="4"/>
      <c r="X491" s="4"/>
      <c r="Y491" s="4"/>
      <c r="Z491" s="4"/>
      <c r="AA491" s="4"/>
      <c r="AB491" s="4"/>
    </row>
    <row r="492" spans="1:28" x14ac:dyDescent="0.25">
      <c r="A492" s="27" t="s">
        <v>1072</v>
      </c>
      <c r="B492" s="27" t="str">
        <f t="shared" si="39"/>
        <v>Mississippi</v>
      </c>
      <c r="C492" s="27" t="str">
        <f t="shared" si="40"/>
        <v>Hancock</v>
      </c>
      <c r="D492" s="27">
        <v>1284</v>
      </c>
      <c r="E492" s="27">
        <v>57</v>
      </c>
      <c r="F492" s="27">
        <v>105</v>
      </c>
      <c r="G492" s="27">
        <v>2352</v>
      </c>
      <c r="H492" s="27">
        <v>39</v>
      </c>
      <c r="I492" s="2">
        <v>16841.96</v>
      </c>
      <c r="J492" s="27">
        <v>51</v>
      </c>
      <c r="K492" s="107">
        <v>6478</v>
      </c>
      <c r="L492" s="27">
        <v>1906</v>
      </c>
      <c r="M492" s="27" t="s">
        <v>514</v>
      </c>
      <c r="N492" s="27" t="s">
        <v>515</v>
      </c>
      <c r="O492" s="27" t="s">
        <v>516</v>
      </c>
      <c r="P492" s="27" t="s">
        <v>514</v>
      </c>
      <c r="Q492" s="27" t="s">
        <v>517</v>
      </c>
      <c r="R492" s="27" t="str">
        <f t="shared" si="41"/>
        <v>https://babel.hathitrust.org/cgi/pt?id=njp.32101076518784;view=1up;seq=144</v>
      </c>
      <c r="S492" s="27" t="s">
        <v>517</v>
      </c>
      <c r="T492" s="27" t="str">
        <f t="shared" si="43"/>
        <v>https://babel.hathitrust.org/cgi/pt?id=uc1.c3198065;view=1up;seq=1136</v>
      </c>
      <c r="U492" s="4"/>
      <c r="V492" s="4"/>
      <c r="W492" s="4"/>
      <c r="X492" s="4"/>
      <c r="Y492" s="4"/>
      <c r="Z492" s="4"/>
      <c r="AA492" s="4"/>
      <c r="AB492" s="4"/>
    </row>
    <row r="493" spans="1:28" x14ac:dyDescent="0.25">
      <c r="A493" s="27" t="s">
        <v>1073</v>
      </c>
      <c r="B493" s="27" t="str">
        <f t="shared" si="39"/>
        <v>Mississippi</v>
      </c>
      <c r="C493" s="27" t="str">
        <f t="shared" si="40"/>
        <v>Harrison</v>
      </c>
      <c r="D493" s="27">
        <v>1798</v>
      </c>
      <c r="E493" s="27">
        <v>85</v>
      </c>
      <c r="F493" s="27">
        <v>120</v>
      </c>
      <c r="G493" s="27">
        <v>2706</v>
      </c>
      <c r="H493" s="27">
        <v>29.55</v>
      </c>
      <c r="I493" s="2">
        <v>15390.55</v>
      </c>
      <c r="J493" s="27">
        <v>67</v>
      </c>
      <c r="K493" s="107">
        <v>6366</v>
      </c>
      <c r="L493" s="27">
        <v>1906</v>
      </c>
      <c r="M493" s="27" t="s">
        <v>514</v>
      </c>
      <c r="N493" s="27" t="s">
        <v>515</v>
      </c>
      <c r="O493" s="27" t="s">
        <v>516</v>
      </c>
      <c r="P493" s="27" t="s">
        <v>514</v>
      </c>
      <c r="Q493" s="27" t="s">
        <v>517</v>
      </c>
      <c r="R493" s="27" t="str">
        <f t="shared" si="41"/>
        <v>https://babel.hathitrust.org/cgi/pt?id=njp.32101076518784;view=1up;seq=144</v>
      </c>
      <c r="S493" s="27" t="s">
        <v>517</v>
      </c>
      <c r="T493" s="27" t="str">
        <f t="shared" si="43"/>
        <v>https://babel.hathitrust.org/cgi/pt?id=uc1.c3198065;view=1up;seq=1136</v>
      </c>
      <c r="U493" s="4"/>
      <c r="V493" s="4"/>
      <c r="W493" s="4"/>
      <c r="X493" s="4"/>
      <c r="Y493" s="4"/>
      <c r="Z493" s="4"/>
      <c r="AA493" s="4"/>
      <c r="AB493" s="4"/>
    </row>
    <row r="494" spans="1:28" x14ac:dyDescent="0.25">
      <c r="A494" s="27" t="s">
        <v>1074</v>
      </c>
      <c r="B494" s="27" t="str">
        <f t="shared" si="39"/>
        <v>Mississippi</v>
      </c>
      <c r="C494" s="27" t="str">
        <f t="shared" si="40"/>
        <v>Hinds</v>
      </c>
      <c r="D494" s="27">
        <v>5236</v>
      </c>
      <c r="E494" s="27">
        <v>172</v>
      </c>
      <c r="F494" s="27">
        <v>120</v>
      </c>
      <c r="G494" s="27">
        <v>9373</v>
      </c>
      <c r="H494" s="27">
        <v>33.049999999999997</v>
      </c>
      <c r="I494" s="2">
        <f>1000+36069.05+301.25+24+305+2557.59+4.25</f>
        <v>40261.14</v>
      </c>
      <c r="J494" s="27">
        <v>146</v>
      </c>
      <c r="K494" s="107">
        <v>32446</v>
      </c>
      <c r="L494" s="27">
        <v>1906</v>
      </c>
      <c r="M494" s="27" t="s">
        <v>514</v>
      </c>
      <c r="N494" s="27" t="s">
        <v>515</v>
      </c>
      <c r="O494" s="27" t="s">
        <v>516</v>
      </c>
      <c r="P494" s="27" t="s">
        <v>514</v>
      </c>
      <c r="Q494" s="27" t="s">
        <v>517</v>
      </c>
      <c r="R494" s="27" t="str">
        <f t="shared" si="41"/>
        <v>https://babel.hathitrust.org/cgi/pt?id=njp.32101076518784;view=1up;seq=144</v>
      </c>
      <c r="S494" s="27" t="s">
        <v>517</v>
      </c>
      <c r="T494" s="27" t="str">
        <f t="shared" si="43"/>
        <v>https://babel.hathitrust.org/cgi/pt?id=uc1.c3198065;view=1up;seq=1136</v>
      </c>
      <c r="U494" s="4"/>
      <c r="V494" s="4"/>
      <c r="W494" s="4"/>
      <c r="X494" s="4"/>
      <c r="Y494" s="4"/>
      <c r="Z494" s="4"/>
      <c r="AA494" s="4"/>
      <c r="AB494" s="4"/>
    </row>
    <row r="495" spans="1:28" x14ac:dyDescent="0.25">
      <c r="A495" s="27" t="s">
        <v>1075</v>
      </c>
      <c r="B495" s="27" t="str">
        <f t="shared" si="39"/>
        <v>Mississippi</v>
      </c>
      <c r="C495" s="27" t="str">
        <f t="shared" si="40"/>
        <v>Holmes</v>
      </c>
      <c r="D495" s="27">
        <v>5385</v>
      </c>
      <c r="E495" s="27">
        <v>142</v>
      </c>
      <c r="F495" s="27">
        <v>150</v>
      </c>
      <c r="G495" s="27">
        <v>9610</v>
      </c>
      <c r="H495" s="27">
        <v>30.35</v>
      </c>
      <c r="I495" s="2">
        <f>1000+32842.9+317.49+228+23+90+1833.9+330.2+775</f>
        <v>37440.49</v>
      </c>
      <c r="J495" s="27">
        <v>131</v>
      </c>
      <c r="K495" s="107">
        <v>30423</v>
      </c>
      <c r="L495" s="27">
        <v>1906</v>
      </c>
      <c r="M495" s="27" t="s">
        <v>514</v>
      </c>
      <c r="N495" s="27" t="s">
        <v>515</v>
      </c>
      <c r="O495" s="27" t="s">
        <v>516</v>
      </c>
      <c r="P495" s="27" t="s">
        <v>514</v>
      </c>
      <c r="Q495" s="27" t="s">
        <v>517</v>
      </c>
      <c r="R495" s="27" t="str">
        <f t="shared" si="41"/>
        <v>https://babel.hathitrust.org/cgi/pt?id=njp.32101076518784;view=1up;seq=144</v>
      </c>
      <c r="S495" s="27" t="s">
        <v>517</v>
      </c>
      <c r="T495" s="27" t="str">
        <f t="shared" si="43"/>
        <v>https://babel.hathitrust.org/cgi/pt?id=uc1.c3198065;view=1up;seq=1136</v>
      </c>
      <c r="U495" s="4"/>
      <c r="V495" s="4"/>
      <c r="W495" s="4"/>
      <c r="X495" s="4"/>
      <c r="Y495" s="4"/>
      <c r="Z495" s="4"/>
      <c r="AA495" s="4"/>
      <c r="AB495" s="4"/>
    </row>
    <row r="496" spans="1:28" x14ac:dyDescent="0.25">
      <c r="A496" s="27" t="s">
        <v>1076</v>
      </c>
      <c r="B496" s="27" t="str">
        <f t="shared" si="39"/>
        <v>Mississippi</v>
      </c>
      <c r="C496" s="27" t="str">
        <f t="shared" si="40"/>
        <v>Humphreys</v>
      </c>
      <c r="D496" s="27"/>
      <c r="E496" s="27"/>
      <c r="F496" s="27"/>
      <c r="G496" s="27"/>
      <c r="H496" s="27"/>
      <c r="J496" s="27"/>
      <c r="K496" s="107"/>
      <c r="L496" s="27">
        <v>1906</v>
      </c>
      <c r="M496" s="27" t="s">
        <v>514</v>
      </c>
      <c r="N496" s="27" t="s">
        <v>515</v>
      </c>
      <c r="O496" s="27" t="s">
        <v>516</v>
      </c>
      <c r="P496" s="27" t="s">
        <v>514</v>
      </c>
      <c r="Q496" s="27" t="s">
        <v>517</v>
      </c>
      <c r="R496" s="27" t="str">
        <f t="shared" si="41"/>
        <v>https://babel.hathitrust.org/cgi/pt?id=njp.32101076518784;view=1up;seq=144</v>
      </c>
      <c r="S496" s="27" t="s">
        <v>517</v>
      </c>
      <c r="T496" s="27" t="str">
        <f t="shared" si="43"/>
        <v>https://babel.hathitrust.org/cgi/pt?id=uc1.c3198065;view=1up;seq=1136</v>
      </c>
      <c r="U496" s="4"/>
      <c r="V496" s="4"/>
      <c r="W496" s="4"/>
      <c r="X496" s="4"/>
      <c r="Y496" s="4"/>
      <c r="Z496" s="4"/>
      <c r="AA496" s="4"/>
      <c r="AB496" s="4"/>
    </row>
    <row r="497" spans="1:28" x14ac:dyDescent="0.25">
      <c r="A497" s="27" t="s">
        <v>1077</v>
      </c>
      <c r="B497" s="27" t="str">
        <f t="shared" si="39"/>
        <v>Mississippi</v>
      </c>
      <c r="C497" s="27" t="str">
        <f t="shared" si="40"/>
        <v>Issaquena</v>
      </c>
      <c r="D497" s="27">
        <v>1854</v>
      </c>
      <c r="E497" s="27">
        <v>44</v>
      </c>
      <c r="F497" s="27">
        <v>100</v>
      </c>
      <c r="G497" s="27">
        <v>2843</v>
      </c>
      <c r="H497" s="27">
        <v>30</v>
      </c>
      <c r="I497" s="2">
        <v>10069.719999999999</v>
      </c>
      <c r="J497" s="27">
        <v>44</v>
      </c>
      <c r="K497" s="107">
        <v>7441</v>
      </c>
      <c r="L497" s="27">
        <v>1906</v>
      </c>
      <c r="M497" s="27" t="s">
        <v>514</v>
      </c>
      <c r="N497" s="27" t="s">
        <v>515</v>
      </c>
      <c r="O497" s="27" t="s">
        <v>516</v>
      </c>
      <c r="P497" s="27" t="s">
        <v>514</v>
      </c>
      <c r="Q497" s="27" t="s">
        <v>517</v>
      </c>
      <c r="R497" s="27" t="str">
        <f t="shared" si="41"/>
        <v>https://babel.hathitrust.org/cgi/pt?id=njp.32101076518784;view=1up;seq=144</v>
      </c>
      <c r="S497" s="27" t="s">
        <v>517</v>
      </c>
      <c r="T497" s="27" t="str">
        <f t="shared" si="43"/>
        <v>https://babel.hathitrust.org/cgi/pt?id=uc1.c3198065;view=1up;seq=1136</v>
      </c>
      <c r="U497" s="4"/>
      <c r="V497" s="4"/>
      <c r="W497" s="4"/>
      <c r="X497" s="4"/>
      <c r="Y497" s="4"/>
      <c r="Z497" s="4"/>
      <c r="AA497" s="4"/>
      <c r="AB497" s="4"/>
    </row>
    <row r="498" spans="1:28" x14ac:dyDescent="0.25">
      <c r="A498" s="27" t="s">
        <v>1078</v>
      </c>
      <c r="B498" s="27" t="str">
        <f t="shared" si="39"/>
        <v>Mississippi</v>
      </c>
      <c r="C498" s="27" t="str">
        <f t="shared" si="40"/>
        <v>Itawamba</v>
      </c>
      <c r="D498" s="27"/>
      <c r="E498" s="27">
        <v>99</v>
      </c>
      <c r="F498" s="27">
        <v>100</v>
      </c>
      <c r="G498" s="27">
        <v>4315</v>
      </c>
      <c r="H498" s="27">
        <v>28.82</v>
      </c>
      <c r="I498" s="2">
        <v>21987.93</v>
      </c>
      <c r="J498" s="27">
        <v>80</v>
      </c>
      <c r="K498" s="107">
        <v>12712</v>
      </c>
      <c r="L498" s="27">
        <v>1906</v>
      </c>
      <c r="M498" s="27" t="s">
        <v>514</v>
      </c>
      <c r="N498" s="27" t="s">
        <v>515</v>
      </c>
      <c r="O498" s="27" t="s">
        <v>516</v>
      </c>
      <c r="P498" s="27" t="s">
        <v>514</v>
      </c>
      <c r="Q498" s="27" t="s">
        <v>517</v>
      </c>
      <c r="R498" s="27" t="str">
        <f t="shared" si="41"/>
        <v>https://babel.hathitrust.org/cgi/pt?id=njp.32101076518784;view=1up;seq=144</v>
      </c>
      <c r="S498" s="27" t="s">
        <v>517</v>
      </c>
      <c r="T498" s="27" t="str">
        <f t="shared" si="43"/>
        <v>https://babel.hathitrust.org/cgi/pt?id=uc1.c3198065;view=1up;seq=1136</v>
      </c>
      <c r="U498" s="4"/>
      <c r="V498" s="4"/>
      <c r="W498" s="4"/>
      <c r="X498" s="4"/>
      <c r="Y498" s="4"/>
      <c r="Z498" s="4"/>
      <c r="AA498" s="4"/>
      <c r="AB498" s="4"/>
    </row>
    <row r="499" spans="1:28" x14ac:dyDescent="0.25">
      <c r="A499" s="27" t="s">
        <v>1079</v>
      </c>
      <c r="B499" s="27" t="str">
        <f t="shared" si="39"/>
        <v>Mississippi</v>
      </c>
      <c r="C499" s="27" t="str">
        <f t="shared" si="40"/>
        <v>Jackson</v>
      </c>
      <c r="D499" s="27">
        <v>1292</v>
      </c>
      <c r="E499" s="27">
        <v>69</v>
      </c>
      <c r="F499" s="27"/>
      <c r="G499" s="27">
        <v>2144</v>
      </c>
      <c r="H499" s="27">
        <v>27.03</v>
      </c>
      <c r="I499" s="2">
        <v>10287.540000000001</v>
      </c>
      <c r="J499" s="27">
        <v>68</v>
      </c>
      <c r="K499" s="107">
        <v>9758</v>
      </c>
      <c r="L499" s="27">
        <v>1906</v>
      </c>
      <c r="M499" s="27" t="s">
        <v>514</v>
      </c>
      <c r="N499" s="27" t="s">
        <v>515</v>
      </c>
      <c r="O499" s="27" t="s">
        <v>516</v>
      </c>
      <c r="P499" s="27" t="s">
        <v>514</v>
      </c>
      <c r="Q499" s="27" t="s">
        <v>517</v>
      </c>
      <c r="R499" s="27" t="str">
        <f t="shared" si="41"/>
        <v>https://babel.hathitrust.org/cgi/pt?id=njp.32101076518784;view=1up;seq=144</v>
      </c>
      <c r="S499" s="27" t="s">
        <v>517</v>
      </c>
      <c r="T499" s="27" t="str">
        <f t="shared" si="43"/>
        <v>https://babel.hathitrust.org/cgi/pt?id=uc1.c3198065;view=1up;seq=1136</v>
      </c>
      <c r="U499" s="4"/>
      <c r="V499" s="4"/>
      <c r="W499" s="4"/>
      <c r="X499" s="4"/>
      <c r="Y499" s="4"/>
      <c r="Z499" s="4"/>
      <c r="AA499" s="4"/>
      <c r="AB499" s="4"/>
    </row>
    <row r="500" spans="1:28" x14ac:dyDescent="0.25">
      <c r="A500" s="27" t="s">
        <v>1080</v>
      </c>
      <c r="B500" s="27" t="str">
        <f t="shared" si="39"/>
        <v>Mississippi</v>
      </c>
      <c r="C500" s="27" t="str">
        <f t="shared" si="40"/>
        <v>Jasper</v>
      </c>
      <c r="D500" s="27">
        <v>2937</v>
      </c>
      <c r="E500" s="27">
        <v>108</v>
      </c>
      <c r="F500" s="27">
        <v>117</v>
      </c>
      <c r="G500" s="27">
        <v>4690</v>
      </c>
      <c r="H500" s="27">
        <v>28.75</v>
      </c>
      <c r="I500" s="2">
        <v>21619.63</v>
      </c>
      <c r="J500" s="27">
        <v>96</v>
      </c>
      <c r="K500" s="107">
        <v>11213</v>
      </c>
      <c r="L500" s="27">
        <v>1906</v>
      </c>
      <c r="M500" s="27" t="s">
        <v>514</v>
      </c>
      <c r="N500" s="27" t="s">
        <v>515</v>
      </c>
      <c r="O500" s="27" t="s">
        <v>516</v>
      </c>
      <c r="P500" s="27" t="s">
        <v>514</v>
      </c>
      <c r="Q500" s="27" t="s">
        <v>517</v>
      </c>
      <c r="R500" s="27" t="str">
        <f t="shared" si="41"/>
        <v>https://babel.hathitrust.org/cgi/pt?id=njp.32101076518784;view=1up;seq=144</v>
      </c>
      <c r="S500" s="27" t="s">
        <v>517</v>
      </c>
      <c r="T500" s="27" t="str">
        <f t="shared" si="43"/>
        <v>https://babel.hathitrust.org/cgi/pt?id=uc1.c3198065;view=1up;seq=1136</v>
      </c>
      <c r="U500" s="4"/>
      <c r="V500" s="4"/>
      <c r="W500" s="4"/>
      <c r="X500" s="4"/>
      <c r="Y500" s="4"/>
      <c r="Z500" s="4"/>
      <c r="AA500" s="4"/>
      <c r="AB500" s="4"/>
    </row>
    <row r="501" spans="1:28" x14ac:dyDescent="0.25">
      <c r="A501" s="27" t="s">
        <v>1081</v>
      </c>
      <c r="B501" s="27" t="str">
        <f t="shared" si="39"/>
        <v>Mississippi</v>
      </c>
      <c r="C501" s="27" t="str">
        <f t="shared" si="40"/>
        <v>Jefferson</v>
      </c>
      <c r="D501" s="27">
        <v>2080</v>
      </c>
      <c r="E501" s="27"/>
      <c r="F501" s="27"/>
      <c r="G501" s="27">
        <v>4472</v>
      </c>
      <c r="H501" s="27">
        <v>30.7</v>
      </c>
      <c r="I501" s="2">
        <v>23090.05</v>
      </c>
      <c r="J501" s="27">
        <v>85</v>
      </c>
      <c r="K501" s="107">
        <v>15918</v>
      </c>
      <c r="L501" s="27">
        <v>1906</v>
      </c>
      <c r="M501" s="27" t="s">
        <v>514</v>
      </c>
      <c r="N501" s="27" t="s">
        <v>515</v>
      </c>
      <c r="O501" s="27" t="s">
        <v>516</v>
      </c>
      <c r="P501" s="27" t="s">
        <v>514</v>
      </c>
      <c r="Q501" s="27" t="s">
        <v>517</v>
      </c>
      <c r="R501" s="27" t="str">
        <f t="shared" si="41"/>
        <v>https://babel.hathitrust.org/cgi/pt?id=njp.32101076518784;view=1up;seq=144</v>
      </c>
      <c r="S501" s="27" t="s">
        <v>517</v>
      </c>
      <c r="T501" s="27" t="str">
        <f t="shared" si="43"/>
        <v>https://babel.hathitrust.org/cgi/pt?id=uc1.c3198065;view=1up;seq=1136</v>
      </c>
      <c r="U501" s="4"/>
      <c r="V501" s="4"/>
      <c r="W501" s="4"/>
      <c r="X501" s="4"/>
      <c r="Y501" s="4"/>
      <c r="Z501" s="4"/>
      <c r="AA501" s="4"/>
      <c r="AB501" s="4"/>
    </row>
    <row r="502" spans="1:28" x14ac:dyDescent="0.25">
      <c r="A502" s="27" t="s">
        <v>1082</v>
      </c>
      <c r="B502" s="27" t="str">
        <f t="shared" si="39"/>
        <v>Mississippi</v>
      </c>
      <c r="C502" s="27" t="str">
        <f t="shared" si="40"/>
        <v>Jefferson Davis</v>
      </c>
      <c r="D502" s="27"/>
      <c r="E502" s="27">
        <v>85</v>
      </c>
      <c r="F502" s="27">
        <v>158</v>
      </c>
      <c r="G502" s="27"/>
      <c r="H502" s="27">
        <v>25.98</v>
      </c>
      <c r="I502" s="2">
        <v>1871.91</v>
      </c>
      <c r="J502" s="27">
        <v>60</v>
      </c>
      <c r="K502" s="27"/>
      <c r="L502" s="27">
        <v>1906</v>
      </c>
      <c r="M502" s="27" t="s">
        <v>514</v>
      </c>
      <c r="N502" s="27" t="s">
        <v>515</v>
      </c>
      <c r="O502" s="27" t="s">
        <v>516</v>
      </c>
      <c r="P502" s="27" t="s">
        <v>514</v>
      </c>
      <c r="Q502" s="27" t="s">
        <v>517</v>
      </c>
      <c r="R502" s="27" t="str">
        <f t="shared" si="41"/>
        <v>https://babel.hathitrust.org/cgi/pt?id=njp.32101076518784;view=1up;seq=144</v>
      </c>
      <c r="S502" s="27" t="s">
        <v>517</v>
      </c>
      <c r="T502" s="27" t="str">
        <f t="shared" si="43"/>
        <v>https://babel.hathitrust.org/cgi/pt?id=uc1.c3198065;view=1up;seq=1136</v>
      </c>
      <c r="U502" s="4"/>
      <c r="V502" s="4"/>
      <c r="W502" s="4"/>
      <c r="X502" s="4"/>
      <c r="Y502" s="4"/>
      <c r="Z502" s="4"/>
      <c r="AA502" s="4"/>
      <c r="AB502" s="4"/>
    </row>
    <row r="503" spans="1:28" x14ac:dyDescent="0.25">
      <c r="A503" s="27" t="s">
        <v>1083</v>
      </c>
      <c r="B503" s="27" t="str">
        <f t="shared" si="39"/>
        <v>Mississippi</v>
      </c>
      <c r="C503" s="27" t="str">
        <f t="shared" si="40"/>
        <v>Jones</v>
      </c>
      <c r="D503" s="27">
        <v>2577</v>
      </c>
      <c r="E503" s="27">
        <v>103</v>
      </c>
      <c r="F503" s="27">
        <v>110</v>
      </c>
      <c r="G503" s="27">
        <v>4599</v>
      </c>
      <c r="H503" s="27">
        <v>24.6</v>
      </c>
      <c r="I503" s="2">
        <v>20607.89</v>
      </c>
      <c r="J503" s="27">
        <v>77</v>
      </c>
      <c r="K503" s="107">
        <v>14631</v>
      </c>
      <c r="L503" s="27">
        <v>1906</v>
      </c>
      <c r="M503" s="27" t="s">
        <v>514</v>
      </c>
      <c r="N503" s="27" t="s">
        <v>515</v>
      </c>
      <c r="O503" s="27" t="s">
        <v>516</v>
      </c>
      <c r="P503" s="27" t="s">
        <v>514</v>
      </c>
      <c r="Q503" s="27" t="s">
        <v>517</v>
      </c>
      <c r="R503" s="27" t="str">
        <f t="shared" si="41"/>
        <v>https://babel.hathitrust.org/cgi/pt?id=njp.32101076518784;view=1up;seq=144</v>
      </c>
      <c r="S503" s="27" t="s">
        <v>517</v>
      </c>
      <c r="T503" s="27" t="str">
        <f t="shared" si="43"/>
        <v>https://babel.hathitrust.org/cgi/pt?id=uc1.c3198065;view=1up;seq=1136</v>
      </c>
      <c r="U503" s="4"/>
      <c r="V503" s="4"/>
      <c r="W503" s="4"/>
      <c r="X503" s="4"/>
      <c r="Y503" s="4"/>
      <c r="Z503" s="4"/>
      <c r="AA503" s="4"/>
      <c r="AB503" s="4"/>
    </row>
    <row r="504" spans="1:28" x14ac:dyDescent="0.25">
      <c r="A504" s="27" t="s">
        <v>1084</v>
      </c>
      <c r="B504" s="27" t="str">
        <f t="shared" si="39"/>
        <v>Mississippi</v>
      </c>
      <c r="C504" s="27" t="str">
        <f t="shared" si="40"/>
        <v>Kemper</v>
      </c>
      <c r="D504" s="27">
        <v>2980</v>
      </c>
      <c r="E504" s="27">
        <v>138</v>
      </c>
      <c r="F504" s="27">
        <v>98</v>
      </c>
      <c r="G504" s="27">
        <v>5458</v>
      </c>
      <c r="H504" s="27">
        <v>28</v>
      </c>
      <c r="I504" s="2">
        <v>22594.2</v>
      </c>
      <c r="J504" s="27">
        <v>132</v>
      </c>
      <c r="K504" s="107">
        <v>18038</v>
      </c>
      <c r="L504" s="27">
        <v>1906</v>
      </c>
      <c r="M504" s="27" t="s">
        <v>514</v>
      </c>
      <c r="N504" s="27" t="s">
        <v>515</v>
      </c>
      <c r="O504" s="27" t="s">
        <v>516</v>
      </c>
      <c r="P504" s="27" t="s">
        <v>514</v>
      </c>
      <c r="Q504" s="27" t="s">
        <v>517</v>
      </c>
      <c r="R504" s="27" t="str">
        <f t="shared" si="41"/>
        <v>https://babel.hathitrust.org/cgi/pt?id=njp.32101076518784;view=1up;seq=144</v>
      </c>
      <c r="S504" s="27" t="s">
        <v>517</v>
      </c>
      <c r="T504" s="27" t="str">
        <f t="shared" si="43"/>
        <v>https://babel.hathitrust.org/cgi/pt?id=uc1.c3198065;view=1up;seq=1136</v>
      </c>
      <c r="U504" s="4"/>
      <c r="V504" s="4"/>
      <c r="W504" s="4"/>
      <c r="X504" s="4"/>
      <c r="Y504" s="4"/>
      <c r="Z504" s="4"/>
      <c r="AA504" s="4"/>
      <c r="AB504" s="4"/>
    </row>
    <row r="505" spans="1:28" x14ac:dyDescent="0.25">
      <c r="A505" s="27" t="s">
        <v>1085</v>
      </c>
      <c r="B505" s="27" t="str">
        <f t="shared" si="39"/>
        <v>Mississippi</v>
      </c>
      <c r="C505" s="27" t="str">
        <f t="shared" si="40"/>
        <v>Lafayette</v>
      </c>
      <c r="D505" s="27">
        <v>2932</v>
      </c>
      <c r="E505" s="27">
        <v>155</v>
      </c>
      <c r="F505" s="27">
        <v>100</v>
      </c>
      <c r="G505" s="27">
        <v>5757</v>
      </c>
      <c r="H505" s="27">
        <v>29.63</v>
      </c>
      <c r="I505" s="2">
        <v>23797.66</v>
      </c>
      <c r="J505" s="27">
        <v>141</v>
      </c>
      <c r="K505" s="107">
        <v>19060</v>
      </c>
      <c r="L505" s="27">
        <v>1906</v>
      </c>
      <c r="M505" s="27" t="s">
        <v>514</v>
      </c>
      <c r="N505" s="27" t="s">
        <v>515</v>
      </c>
      <c r="O505" s="27" t="s">
        <v>516</v>
      </c>
      <c r="P505" s="27" t="s">
        <v>514</v>
      </c>
      <c r="Q505" s="27" t="s">
        <v>517</v>
      </c>
      <c r="R505" s="27" t="str">
        <f t="shared" si="41"/>
        <v>https://babel.hathitrust.org/cgi/pt?id=njp.32101076518784;view=1up;seq=144</v>
      </c>
      <c r="S505" s="27" t="s">
        <v>517</v>
      </c>
      <c r="T505" s="27" t="str">
        <f t="shared" si="43"/>
        <v>https://babel.hathitrust.org/cgi/pt?id=uc1.c3198065;view=1up;seq=1136</v>
      </c>
      <c r="U505" s="4"/>
      <c r="V505" s="4"/>
      <c r="W505" s="4"/>
      <c r="X505" s="4"/>
      <c r="Y505" s="4"/>
      <c r="Z505" s="4"/>
      <c r="AA505" s="4"/>
      <c r="AB505" s="4"/>
    </row>
    <row r="506" spans="1:28" x14ac:dyDescent="0.25">
      <c r="A506" s="27" t="s">
        <v>1086</v>
      </c>
      <c r="B506" s="27" t="str">
        <f t="shared" si="39"/>
        <v>Mississippi</v>
      </c>
      <c r="C506" s="27" t="str">
        <f t="shared" si="40"/>
        <v>Lamar</v>
      </c>
      <c r="D506" s="27">
        <v>1068</v>
      </c>
      <c r="E506" s="27">
        <v>47</v>
      </c>
      <c r="F506" s="27">
        <v>100</v>
      </c>
      <c r="G506" s="27">
        <v>1829</v>
      </c>
      <c r="H506" s="27">
        <v>36.700000000000003</v>
      </c>
      <c r="I506" s="2">
        <v>11888.74</v>
      </c>
      <c r="J506" s="27">
        <v>44</v>
      </c>
      <c r="K506" s="27"/>
      <c r="L506" s="27">
        <v>1906</v>
      </c>
      <c r="M506" s="27" t="s">
        <v>514</v>
      </c>
      <c r="N506" s="27" t="s">
        <v>515</v>
      </c>
      <c r="O506" s="27" t="s">
        <v>516</v>
      </c>
      <c r="P506" s="27" t="s">
        <v>514</v>
      </c>
      <c r="Q506" s="27" t="s">
        <v>517</v>
      </c>
      <c r="R506" s="27" t="str">
        <f t="shared" si="41"/>
        <v>https://babel.hathitrust.org/cgi/pt?id=njp.32101076518784;view=1up;seq=144</v>
      </c>
      <c r="S506" s="27" t="s">
        <v>517</v>
      </c>
      <c r="T506" s="27" t="str">
        <f t="shared" si="43"/>
        <v>https://babel.hathitrust.org/cgi/pt?id=uc1.c3198065;view=1up;seq=1136</v>
      </c>
      <c r="U506" s="4"/>
      <c r="V506" s="4"/>
      <c r="W506" s="4"/>
      <c r="X506" s="4"/>
      <c r="Y506" s="4"/>
      <c r="Z506" s="4"/>
      <c r="AA506" s="4"/>
      <c r="AB506" s="4"/>
    </row>
    <row r="507" spans="1:28" x14ac:dyDescent="0.25">
      <c r="A507" s="27" t="s">
        <v>1087</v>
      </c>
      <c r="B507" s="27" t="str">
        <f t="shared" si="39"/>
        <v>Mississippi</v>
      </c>
      <c r="C507" s="27" t="str">
        <f t="shared" si="40"/>
        <v>Lauderdale</v>
      </c>
      <c r="D507" s="27">
        <v>4809</v>
      </c>
      <c r="E507" s="27">
        <v>154</v>
      </c>
      <c r="F507" s="27">
        <v>118</v>
      </c>
      <c r="G507" s="27">
        <v>7908</v>
      </c>
      <c r="H507" s="27">
        <v>35.700000000000003</v>
      </c>
      <c r="I507" s="2">
        <v>40509.51</v>
      </c>
      <c r="J507" s="27">
        <v>122</v>
      </c>
      <c r="K507" s="107">
        <v>19770</v>
      </c>
      <c r="L507" s="27">
        <v>1906</v>
      </c>
      <c r="M507" s="27" t="s">
        <v>514</v>
      </c>
      <c r="N507" s="27" t="s">
        <v>515</v>
      </c>
      <c r="O507" s="27" t="s">
        <v>516</v>
      </c>
      <c r="P507" s="27" t="s">
        <v>514</v>
      </c>
      <c r="Q507" s="27" t="s">
        <v>517</v>
      </c>
      <c r="R507" s="27" t="str">
        <f t="shared" si="41"/>
        <v>https://babel.hathitrust.org/cgi/pt?id=njp.32101076518784;view=1up;seq=144</v>
      </c>
      <c r="S507" s="27" t="s">
        <v>517</v>
      </c>
      <c r="T507" s="27" t="str">
        <f t="shared" si="43"/>
        <v>https://babel.hathitrust.org/cgi/pt?id=uc1.c3198065;view=1up;seq=1136</v>
      </c>
      <c r="U507" s="4"/>
      <c r="V507" s="4"/>
      <c r="W507" s="4"/>
      <c r="X507" s="4"/>
      <c r="Y507" s="4"/>
      <c r="Z507" s="4"/>
      <c r="AA507" s="4"/>
      <c r="AB507" s="4"/>
    </row>
    <row r="508" spans="1:28" x14ac:dyDescent="0.25">
      <c r="A508" s="27" t="s">
        <v>1088</v>
      </c>
      <c r="B508" s="27" t="str">
        <f t="shared" si="39"/>
        <v>Mississippi</v>
      </c>
      <c r="C508" s="27" t="str">
        <f t="shared" si="40"/>
        <v>Lawrence</v>
      </c>
      <c r="D508" s="27">
        <v>2678</v>
      </c>
      <c r="E508" s="27">
        <v>116</v>
      </c>
      <c r="F508" s="27">
        <v>112</v>
      </c>
      <c r="G508" s="27">
        <v>5026</v>
      </c>
      <c r="H508" s="27">
        <v>27.32</v>
      </c>
      <c r="I508" s="2">
        <v>23441.63</v>
      </c>
      <c r="J508" s="27">
        <v>84</v>
      </c>
      <c r="K508" s="107">
        <v>12673</v>
      </c>
      <c r="L508" s="27">
        <v>1906</v>
      </c>
      <c r="M508" s="27" t="s">
        <v>514</v>
      </c>
      <c r="N508" s="27" t="s">
        <v>515</v>
      </c>
      <c r="O508" s="27" t="s">
        <v>516</v>
      </c>
      <c r="P508" s="27" t="s">
        <v>514</v>
      </c>
      <c r="Q508" s="27" t="s">
        <v>517</v>
      </c>
      <c r="R508" s="27" t="str">
        <f t="shared" si="41"/>
        <v>https://babel.hathitrust.org/cgi/pt?id=njp.32101076518784;view=1up;seq=144</v>
      </c>
      <c r="S508" s="27" t="s">
        <v>517</v>
      </c>
      <c r="T508" s="27" t="str">
        <f t="shared" si="43"/>
        <v>https://babel.hathitrust.org/cgi/pt?id=uc1.c3198065;view=1up;seq=1136</v>
      </c>
      <c r="U508" s="4"/>
      <c r="V508" s="4"/>
      <c r="W508" s="4"/>
      <c r="X508" s="4"/>
      <c r="Y508" s="4"/>
      <c r="Z508" s="4"/>
      <c r="AA508" s="4"/>
      <c r="AB508" s="4"/>
    </row>
    <row r="509" spans="1:28" x14ac:dyDescent="0.25">
      <c r="A509" s="27" t="s">
        <v>1089</v>
      </c>
      <c r="B509" s="27" t="str">
        <f t="shared" si="39"/>
        <v>Mississippi</v>
      </c>
      <c r="C509" s="27" t="str">
        <f t="shared" si="40"/>
        <v>Leake</v>
      </c>
      <c r="D509" s="27">
        <v>2356</v>
      </c>
      <c r="E509" s="27">
        <v>111</v>
      </c>
      <c r="F509" s="27">
        <v>117</v>
      </c>
      <c r="G509" s="27">
        <v>5333</v>
      </c>
      <c r="H509" s="27">
        <v>26.12</v>
      </c>
      <c r="I509" s="2">
        <v>24173.02</v>
      </c>
      <c r="J509" s="27">
        <v>92</v>
      </c>
      <c r="K509" s="107">
        <v>11680</v>
      </c>
      <c r="L509" s="27">
        <v>1906</v>
      </c>
      <c r="M509" s="27" t="s">
        <v>514</v>
      </c>
      <c r="N509" s="27" t="s">
        <v>515</v>
      </c>
      <c r="O509" s="27" t="s">
        <v>516</v>
      </c>
      <c r="P509" s="27" t="s">
        <v>514</v>
      </c>
      <c r="Q509" s="27" t="s">
        <v>517</v>
      </c>
      <c r="R509" s="27" t="str">
        <f t="shared" si="41"/>
        <v>https://babel.hathitrust.org/cgi/pt?id=njp.32101076518784;view=1up;seq=144</v>
      </c>
      <c r="S509" s="27" t="s">
        <v>517</v>
      </c>
      <c r="T509" s="27" t="str">
        <f t="shared" si="43"/>
        <v>https://babel.hathitrust.org/cgi/pt?id=uc1.c3198065;view=1up;seq=1136</v>
      </c>
      <c r="U509" s="4"/>
      <c r="V509" s="4"/>
      <c r="W509" s="4"/>
      <c r="X509" s="4"/>
      <c r="Y509" s="4"/>
      <c r="Z509" s="4"/>
      <c r="AA509" s="4"/>
      <c r="AB509" s="4"/>
    </row>
    <row r="510" spans="1:28" x14ac:dyDescent="0.25">
      <c r="A510" s="27" t="s">
        <v>1090</v>
      </c>
      <c r="B510" s="27" t="str">
        <f t="shared" si="39"/>
        <v>Mississippi</v>
      </c>
      <c r="C510" s="27" t="str">
        <f t="shared" si="40"/>
        <v>Lee</v>
      </c>
      <c r="D510" s="27">
        <v>2665</v>
      </c>
      <c r="E510" s="27">
        <v>118</v>
      </c>
      <c r="F510" s="27">
        <v>117</v>
      </c>
      <c r="G510" s="27">
        <v>5441</v>
      </c>
      <c r="H510" s="27">
        <v>34.53</v>
      </c>
      <c r="I510" s="2">
        <v>21435.15</v>
      </c>
      <c r="J510" s="27">
        <v>87</v>
      </c>
      <c r="K510" s="107">
        <v>16737</v>
      </c>
      <c r="L510" s="27">
        <v>1906</v>
      </c>
      <c r="M510" s="27" t="s">
        <v>514</v>
      </c>
      <c r="N510" s="27" t="s">
        <v>515</v>
      </c>
      <c r="O510" s="27" t="s">
        <v>516</v>
      </c>
      <c r="P510" s="27" t="s">
        <v>514</v>
      </c>
      <c r="Q510" s="27" t="s">
        <v>517</v>
      </c>
      <c r="R510" s="27" t="str">
        <f t="shared" si="41"/>
        <v>https://babel.hathitrust.org/cgi/pt?id=njp.32101076518784;view=1up;seq=144</v>
      </c>
      <c r="S510" s="27" t="s">
        <v>517</v>
      </c>
      <c r="T510" s="27" t="str">
        <f t="shared" si="43"/>
        <v>https://babel.hathitrust.org/cgi/pt?id=uc1.c3198065;view=1up;seq=1136</v>
      </c>
      <c r="U510" s="4"/>
      <c r="V510" s="4"/>
      <c r="W510" s="4"/>
      <c r="X510" s="4"/>
      <c r="Y510" s="4"/>
      <c r="Z510" s="4"/>
      <c r="AA510" s="4"/>
      <c r="AB510" s="4"/>
    </row>
    <row r="511" spans="1:28" x14ac:dyDescent="0.25">
      <c r="A511" s="27" t="s">
        <v>1091</v>
      </c>
      <c r="B511" s="27" t="str">
        <f t="shared" si="39"/>
        <v>Mississippi</v>
      </c>
      <c r="C511" s="27" t="str">
        <f t="shared" si="40"/>
        <v>Leflore</v>
      </c>
      <c r="D511" s="27">
        <v>3620</v>
      </c>
      <c r="E511" s="27">
        <v>95</v>
      </c>
      <c r="F511" s="27"/>
      <c r="G511" s="27">
        <v>5874</v>
      </c>
      <c r="H511" s="27">
        <v>22.5</v>
      </c>
      <c r="I511" s="2">
        <v>18517.57</v>
      </c>
      <c r="J511" s="27">
        <v>91</v>
      </c>
      <c r="K511" s="107">
        <v>15126</v>
      </c>
      <c r="L511" s="27">
        <v>1906</v>
      </c>
      <c r="M511" s="27" t="s">
        <v>514</v>
      </c>
      <c r="N511" s="27" t="s">
        <v>515</v>
      </c>
      <c r="O511" s="27" t="s">
        <v>516</v>
      </c>
      <c r="P511" s="27" t="s">
        <v>514</v>
      </c>
      <c r="Q511" s="27" t="s">
        <v>517</v>
      </c>
      <c r="R511" s="27" t="str">
        <f t="shared" si="41"/>
        <v>https://babel.hathitrust.org/cgi/pt?id=njp.32101076518784;view=1up;seq=144</v>
      </c>
      <c r="S511" s="27" t="s">
        <v>517</v>
      </c>
      <c r="T511" s="27" t="str">
        <f t="shared" si="43"/>
        <v>https://babel.hathitrust.org/cgi/pt?id=uc1.c3198065;view=1up;seq=1136</v>
      </c>
      <c r="U511" s="4"/>
      <c r="V511" s="4"/>
      <c r="W511" s="4"/>
      <c r="X511" s="4"/>
      <c r="Y511" s="4"/>
      <c r="Z511" s="4"/>
      <c r="AA511" s="4"/>
      <c r="AB511" s="4"/>
    </row>
    <row r="512" spans="1:28" x14ac:dyDescent="0.25">
      <c r="A512" s="27" t="s">
        <v>1092</v>
      </c>
      <c r="B512" s="27" t="str">
        <f t="shared" si="39"/>
        <v>Mississippi</v>
      </c>
      <c r="C512" s="27" t="str">
        <f t="shared" si="40"/>
        <v>Lincoln</v>
      </c>
      <c r="D512" s="27">
        <v>2932</v>
      </c>
      <c r="E512" s="27">
        <v>135</v>
      </c>
      <c r="F512" s="27">
        <v>137</v>
      </c>
      <c r="G512" s="27">
        <v>9946</v>
      </c>
      <c r="H512" s="27">
        <v>28.42</v>
      </c>
      <c r="I512" s="2">
        <v>28097.7</v>
      </c>
      <c r="J512" s="27">
        <v>89</v>
      </c>
      <c r="K512" s="107">
        <v>15100</v>
      </c>
      <c r="L512" s="27">
        <v>1906</v>
      </c>
      <c r="M512" s="27" t="s">
        <v>514</v>
      </c>
      <c r="N512" s="27" t="s">
        <v>515</v>
      </c>
      <c r="O512" s="27" t="s">
        <v>516</v>
      </c>
      <c r="P512" s="27" t="s">
        <v>514</v>
      </c>
      <c r="Q512" s="27" t="s">
        <v>517</v>
      </c>
      <c r="R512" s="27" t="str">
        <f t="shared" si="41"/>
        <v>https://babel.hathitrust.org/cgi/pt?id=njp.32101076518784;view=1up;seq=144</v>
      </c>
      <c r="S512" s="27" t="s">
        <v>517</v>
      </c>
      <c r="T512" s="27" t="str">
        <f t="shared" si="43"/>
        <v>https://babel.hathitrust.org/cgi/pt?id=uc1.c3198065;view=1up;seq=1136</v>
      </c>
      <c r="U512" s="4"/>
      <c r="V512" s="4"/>
      <c r="W512" s="4"/>
      <c r="X512" s="4"/>
      <c r="Y512" s="4"/>
      <c r="Z512" s="4"/>
      <c r="AA512" s="4"/>
      <c r="AB512" s="4"/>
    </row>
    <row r="513" spans="1:28" x14ac:dyDescent="0.25">
      <c r="A513" s="27" t="s">
        <v>1093</v>
      </c>
      <c r="B513" s="27" t="str">
        <f t="shared" si="39"/>
        <v>Mississippi</v>
      </c>
      <c r="C513" s="27" t="str">
        <f t="shared" si="40"/>
        <v>Lowndes</v>
      </c>
      <c r="D513" s="27">
        <v>2603</v>
      </c>
      <c r="E513" s="27">
        <v>95</v>
      </c>
      <c r="F513" s="27">
        <v>140</v>
      </c>
      <c r="G513" s="27">
        <v>4335</v>
      </c>
      <c r="H513" s="27">
        <v>23.71</v>
      </c>
      <c r="I513" s="2">
        <v>18238.46</v>
      </c>
      <c r="J513" s="27">
        <v>75</v>
      </c>
      <c r="K513" s="107">
        <v>18123</v>
      </c>
      <c r="L513" s="27">
        <v>1906</v>
      </c>
      <c r="M513" s="27" t="s">
        <v>514</v>
      </c>
      <c r="N513" s="27" t="s">
        <v>515</v>
      </c>
      <c r="O513" s="27" t="s">
        <v>516</v>
      </c>
      <c r="P513" s="27" t="s">
        <v>514</v>
      </c>
      <c r="Q513" s="27" t="s">
        <v>517</v>
      </c>
      <c r="R513" s="27" t="str">
        <f t="shared" si="41"/>
        <v>https://babel.hathitrust.org/cgi/pt?id=njp.32101076518784;view=1up;seq=144</v>
      </c>
      <c r="S513" s="27" t="s">
        <v>517</v>
      </c>
      <c r="T513" s="27" t="str">
        <f t="shared" si="43"/>
        <v>https://babel.hathitrust.org/cgi/pt?id=uc1.c3198065;view=1up;seq=1136</v>
      </c>
      <c r="U513" s="4"/>
      <c r="V513" s="4"/>
      <c r="W513" s="4"/>
      <c r="X513" s="4"/>
      <c r="Y513" s="4"/>
      <c r="Z513" s="4"/>
      <c r="AA513" s="4"/>
      <c r="AB513" s="4"/>
    </row>
    <row r="514" spans="1:28" x14ac:dyDescent="0.25">
      <c r="A514" s="27" t="s">
        <v>1094</v>
      </c>
      <c r="B514" s="27" t="str">
        <f t="shared" si="39"/>
        <v>Mississippi</v>
      </c>
      <c r="C514" s="27" t="str">
        <f t="shared" si="40"/>
        <v>Madison</v>
      </c>
      <c r="D514" s="27">
        <v>16923</v>
      </c>
      <c r="E514" s="27">
        <v>105</v>
      </c>
      <c r="F514" s="27">
        <v>120</v>
      </c>
      <c r="G514" s="27">
        <v>24953</v>
      </c>
      <c r="H514" s="27">
        <v>37.5</v>
      </c>
      <c r="I514" s="2">
        <v>22769.37</v>
      </c>
      <c r="J514" s="27">
        <v>102</v>
      </c>
      <c r="K514" s="107">
        <v>24249</v>
      </c>
      <c r="L514" s="27">
        <v>1906</v>
      </c>
      <c r="M514" s="27" t="s">
        <v>514</v>
      </c>
      <c r="N514" s="27" t="s">
        <v>515</v>
      </c>
      <c r="O514" s="27" t="s">
        <v>516</v>
      </c>
      <c r="P514" s="27" t="s">
        <v>514</v>
      </c>
      <c r="Q514" s="27" t="s">
        <v>517</v>
      </c>
      <c r="R514" s="27" t="str">
        <f t="shared" si="41"/>
        <v>https://babel.hathitrust.org/cgi/pt?id=njp.32101076518784;view=1up;seq=144</v>
      </c>
      <c r="S514" s="27" t="s">
        <v>517</v>
      </c>
      <c r="T514" s="27" t="str">
        <f t="shared" si="43"/>
        <v>https://babel.hathitrust.org/cgi/pt?id=uc1.c3198065;view=1up;seq=1136</v>
      </c>
      <c r="U514" s="4"/>
      <c r="V514" s="4"/>
      <c r="W514" s="4"/>
      <c r="X514" s="4"/>
      <c r="Y514" s="4"/>
      <c r="Z514" s="4"/>
      <c r="AA514" s="4"/>
      <c r="AB514" s="4"/>
    </row>
    <row r="515" spans="1:28" x14ac:dyDescent="0.25">
      <c r="A515" s="27" t="s">
        <v>1095</v>
      </c>
      <c r="B515" s="27" t="str">
        <f t="shared" si="39"/>
        <v>Mississippi</v>
      </c>
      <c r="C515" s="27" t="str">
        <f t="shared" si="40"/>
        <v>Marion</v>
      </c>
      <c r="D515" s="27">
        <v>1867</v>
      </c>
      <c r="E515" s="27">
        <v>83</v>
      </c>
      <c r="F515" s="27">
        <v>124</v>
      </c>
      <c r="G515" s="27">
        <v>3688</v>
      </c>
      <c r="H515" s="27">
        <v>35.909999999999997</v>
      </c>
      <c r="I515" s="2">
        <v>17811.89</v>
      </c>
      <c r="J515" s="27">
        <v>61</v>
      </c>
      <c r="K515" s="107">
        <v>11191</v>
      </c>
      <c r="L515" s="27">
        <v>1906</v>
      </c>
      <c r="M515" s="27" t="s">
        <v>514</v>
      </c>
      <c r="N515" s="27" t="s">
        <v>515</v>
      </c>
      <c r="O515" s="27" t="s">
        <v>516</v>
      </c>
      <c r="P515" s="27" t="s">
        <v>514</v>
      </c>
      <c r="Q515" s="27" t="s">
        <v>517</v>
      </c>
      <c r="R515" s="27" t="str">
        <f t="shared" si="41"/>
        <v>https://babel.hathitrust.org/cgi/pt?id=njp.32101076518784;view=1up;seq=144</v>
      </c>
      <c r="S515" s="27" t="s">
        <v>517</v>
      </c>
      <c r="T515" s="27" t="str">
        <f t="shared" si="43"/>
        <v>https://babel.hathitrust.org/cgi/pt?id=uc1.c3198065;view=1up;seq=1136</v>
      </c>
      <c r="U515" s="4"/>
      <c r="V515" s="4"/>
      <c r="W515" s="4"/>
      <c r="X515" s="4"/>
      <c r="Y515" s="4"/>
      <c r="Z515" s="4"/>
      <c r="AA515" s="4"/>
      <c r="AB515" s="4"/>
    </row>
    <row r="516" spans="1:28" x14ac:dyDescent="0.25">
      <c r="A516" s="27" t="s">
        <v>1096</v>
      </c>
      <c r="B516" s="27" t="str">
        <f t="shared" si="39"/>
        <v>Mississippi</v>
      </c>
      <c r="C516" s="27" t="str">
        <f t="shared" si="40"/>
        <v>Marshall</v>
      </c>
      <c r="D516" s="27"/>
      <c r="E516" s="27">
        <v>149</v>
      </c>
      <c r="F516" s="27">
        <v>140</v>
      </c>
      <c r="G516" s="27">
        <v>6716</v>
      </c>
      <c r="H516" s="27">
        <v>29</v>
      </c>
      <c r="I516" s="2">
        <v>32249.57</v>
      </c>
      <c r="J516" s="27">
        <v>137</v>
      </c>
      <c r="K516" s="107">
        <v>21394</v>
      </c>
      <c r="L516" s="27">
        <v>1906</v>
      </c>
      <c r="M516" s="27" t="s">
        <v>514</v>
      </c>
      <c r="N516" s="27" t="s">
        <v>515</v>
      </c>
      <c r="O516" s="27" t="s">
        <v>516</v>
      </c>
      <c r="P516" s="27" t="s">
        <v>514</v>
      </c>
      <c r="Q516" s="27" t="s">
        <v>517</v>
      </c>
      <c r="R516" s="27" t="str">
        <f t="shared" si="41"/>
        <v>https://babel.hathitrust.org/cgi/pt?id=njp.32101076518784;view=1up;seq=144</v>
      </c>
      <c r="S516" s="27" t="s">
        <v>517</v>
      </c>
      <c r="T516" s="27" t="str">
        <f t="shared" si="43"/>
        <v>https://babel.hathitrust.org/cgi/pt?id=uc1.c3198065;view=1up;seq=1136</v>
      </c>
      <c r="U516" s="4"/>
      <c r="V516" s="4"/>
      <c r="W516" s="4"/>
      <c r="X516" s="4"/>
      <c r="Y516" s="4"/>
      <c r="Z516" s="4"/>
      <c r="AA516" s="4"/>
      <c r="AB516" s="4"/>
    </row>
    <row r="517" spans="1:28" x14ac:dyDescent="0.25">
      <c r="A517" s="27" t="s">
        <v>1097</v>
      </c>
      <c r="B517" s="27" t="str">
        <f t="shared" si="39"/>
        <v>Mississippi</v>
      </c>
      <c r="C517" s="27" t="str">
        <f t="shared" si="40"/>
        <v>Monroe</v>
      </c>
      <c r="D517" s="27">
        <v>4856</v>
      </c>
      <c r="E517" s="27">
        <v>186</v>
      </c>
      <c r="F517" s="27">
        <v>140</v>
      </c>
      <c r="G517" s="27">
        <v>9215</v>
      </c>
      <c r="H517" s="27">
        <v>23.13</v>
      </c>
      <c r="I517" s="2">
        <v>37765.370000000003</v>
      </c>
      <c r="J517" s="27">
        <v>141</v>
      </c>
      <c r="K517" s="107">
        <v>26443</v>
      </c>
      <c r="L517" s="27">
        <v>1906</v>
      </c>
      <c r="M517" s="27" t="s">
        <v>514</v>
      </c>
      <c r="N517" s="27" t="s">
        <v>515</v>
      </c>
      <c r="O517" s="27" t="s">
        <v>516</v>
      </c>
      <c r="P517" s="27" t="s">
        <v>514</v>
      </c>
      <c r="Q517" s="27" t="s">
        <v>517</v>
      </c>
      <c r="R517" s="27" t="str">
        <f t="shared" si="41"/>
        <v>https://babel.hathitrust.org/cgi/pt?id=njp.32101076518784;view=1up;seq=144</v>
      </c>
      <c r="S517" s="27" t="s">
        <v>517</v>
      </c>
      <c r="T517" s="27" t="str">
        <f t="shared" si="43"/>
        <v>https://babel.hathitrust.org/cgi/pt?id=uc1.c3198065;view=1up;seq=1136</v>
      </c>
      <c r="U517" s="4"/>
      <c r="V517" s="4"/>
      <c r="W517" s="4"/>
      <c r="X517" s="4"/>
      <c r="Y517" s="4"/>
      <c r="Z517" s="4"/>
      <c r="AA517" s="4"/>
      <c r="AB517" s="4"/>
    </row>
    <row r="518" spans="1:28" x14ac:dyDescent="0.25">
      <c r="A518" s="27" t="s">
        <v>1098</v>
      </c>
      <c r="B518" s="27" t="str">
        <f t="shared" si="39"/>
        <v>Mississippi</v>
      </c>
      <c r="C518" s="27" t="str">
        <f t="shared" si="40"/>
        <v>Montgomery</v>
      </c>
      <c r="D518" s="27">
        <v>2389</v>
      </c>
      <c r="E518" s="27">
        <v>97</v>
      </c>
      <c r="F518" s="27">
        <v>95</v>
      </c>
      <c r="G518" s="27">
        <v>4160</v>
      </c>
      <c r="H518" s="27">
        <v>28.9</v>
      </c>
      <c r="I518" s="2">
        <v>13703.19</v>
      </c>
      <c r="J518" s="27">
        <v>84</v>
      </c>
      <c r="K518" s="107">
        <v>9176</v>
      </c>
      <c r="L518" s="27">
        <v>1906</v>
      </c>
      <c r="M518" s="27" t="s">
        <v>514</v>
      </c>
      <c r="N518" s="27" t="s">
        <v>515</v>
      </c>
      <c r="O518" s="27" t="s">
        <v>516</v>
      </c>
      <c r="P518" s="27" t="s">
        <v>514</v>
      </c>
      <c r="Q518" s="27" t="s">
        <v>517</v>
      </c>
      <c r="R518" s="27" t="str">
        <f t="shared" si="41"/>
        <v>https://babel.hathitrust.org/cgi/pt?id=njp.32101076518784;view=1up;seq=144</v>
      </c>
      <c r="S518" s="27" t="s">
        <v>517</v>
      </c>
      <c r="T518" s="27" t="str">
        <f t="shared" si="43"/>
        <v>https://babel.hathitrust.org/cgi/pt?id=uc1.c3198065;view=1up;seq=1136</v>
      </c>
      <c r="U518" s="4"/>
      <c r="V518" s="4"/>
      <c r="W518" s="4"/>
      <c r="X518" s="4"/>
      <c r="Y518" s="4"/>
      <c r="Z518" s="4"/>
      <c r="AA518" s="4"/>
      <c r="AB518" s="4"/>
    </row>
    <row r="519" spans="1:28" x14ac:dyDescent="0.25">
      <c r="A519" s="27" t="s">
        <v>1099</v>
      </c>
      <c r="B519" s="27" t="str">
        <f t="shared" ref="B519:B582" si="44">LEFT(A519,FIND(";",A519)-1)</f>
        <v>Mississippi</v>
      </c>
      <c r="C519" s="27" t="str">
        <f t="shared" ref="C519:C582" si="45">MID(A519,FIND(";",A519)+1,100)</f>
        <v>Neshoba</v>
      </c>
      <c r="D519" s="27"/>
      <c r="E519" s="27">
        <v>112</v>
      </c>
      <c r="F519" s="27">
        <v>80</v>
      </c>
      <c r="G519" s="27">
        <v>4247</v>
      </c>
      <c r="H519" s="27">
        <v>27.17</v>
      </c>
      <c r="I519" s="2">
        <v>14522.5</v>
      </c>
      <c r="J519" s="27">
        <v>99</v>
      </c>
      <c r="K519" s="107">
        <v>10245</v>
      </c>
      <c r="L519" s="27">
        <v>1906</v>
      </c>
      <c r="M519" s="27" t="s">
        <v>514</v>
      </c>
      <c r="N519" s="27" t="s">
        <v>515</v>
      </c>
      <c r="O519" s="27" t="s">
        <v>516</v>
      </c>
      <c r="P519" s="27" t="s">
        <v>514</v>
      </c>
      <c r="Q519" s="27" t="s">
        <v>517</v>
      </c>
      <c r="R519" s="27" t="str">
        <f t="shared" si="41"/>
        <v>https://babel.hathitrust.org/cgi/pt?id=njp.32101076518784;view=1up;seq=144</v>
      </c>
      <c r="S519" s="27" t="s">
        <v>517</v>
      </c>
      <c r="T519" s="27" t="str">
        <f t="shared" si="43"/>
        <v>https://babel.hathitrust.org/cgi/pt?id=uc1.c3198065;view=1up;seq=1136</v>
      </c>
      <c r="U519" s="4"/>
      <c r="V519" s="4"/>
      <c r="W519" s="4"/>
      <c r="X519" s="4"/>
      <c r="Y519" s="4"/>
      <c r="Z519" s="4"/>
      <c r="AA519" s="4"/>
      <c r="AB519" s="4"/>
    </row>
    <row r="520" spans="1:28" x14ac:dyDescent="0.25">
      <c r="A520" s="27" t="s">
        <v>1100</v>
      </c>
      <c r="B520" s="27" t="str">
        <f t="shared" si="44"/>
        <v>Mississippi</v>
      </c>
      <c r="C520" s="27" t="str">
        <f t="shared" si="45"/>
        <v>Newton</v>
      </c>
      <c r="D520" s="27">
        <v>3311</v>
      </c>
      <c r="E520" s="27">
        <v>134</v>
      </c>
      <c r="F520" s="27">
        <v>115</v>
      </c>
      <c r="G520" s="27">
        <v>5589</v>
      </c>
      <c r="H520" s="27">
        <v>27.33</v>
      </c>
      <c r="I520" s="2">
        <v>24605.360000000001</v>
      </c>
      <c r="J520" s="27">
        <v>118</v>
      </c>
      <c r="K520" s="107">
        <v>14026</v>
      </c>
      <c r="L520" s="27">
        <v>1906</v>
      </c>
      <c r="M520" s="27" t="s">
        <v>514</v>
      </c>
      <c r="N520" s="27" t="s">
        <v>515</v>
      </c>
      <c r="O520" s="27" t="s">
        <v>516</v>
      </c>
      <c r="P520" s="27" t="s">
        <v>514</v>
      </c>
      <c r="Q520" s="27" t="s">
        <v>517</v>
      </c>
      <c r="R520" s="27" t="str">
        <f t="shared" si="41"/>
        <v>https://babel.hathitrust.org/cgi/pt?id=njp.32101076518784;view=1up;seq=144</v>
      </c>
      <c r="S520" s="27" t="s">
        <v>517</v>
      </c>
      <c r="T520" s="27" t="str">
        <f t="shared" si="43"/>
        <v>https://babel.hathitrust.org/cgi/pt?id=uc1.c3198065;view=1up;seq=1136</v>
      </c>
      <c r="U520" s="4"/>
      <c r="V520" s="4"/>
      <c r="W520" s="4"/>
      <c r="X520" s="4"/>
      <c r="Y520" s="4"/>
      <c r="Z520" s="4"/>
      <c r="AA520" s="4"/>
      <c r="AB520" s="4"/>
    </row>
    <row r="521" spans="1:28" x14ac:dyDescent="0.25">
      <c r="A521" s="27" t="s">
        <v>1101</v>
      </c>
      <c r="B521" s="27" t="str">
        <f t="shared" si="44"/>
        <v>Mississippi</v>
      </c>
      <c r="C521" s="27" t="str">
        <f t="shared" si="45"/>
        <v>Noxubee</v>
      </c>
      <c r="D521" s="27">
        <v>3550</v>
      </c>
      <c r="E521" s="27">
        <v>140</v>
      </c>
      <c r="F521" s="27">
        <v>140</v>
      </c>
      <c r="G521" s="27">
        <v>8346</v>
      </c>
      <c r="H521" s="27">
        <v>32.479999999999997</v>
      </c>
      <c r="I521" s="2">
        <v>34190.589999999997</v>
      </c>
      <c r="J521" s="27">
        <v>120</v>
      </c>
      <c r="K521" s="107">
        <v>15918</v>
      </c>
      <c r="L521" s="27">
        <v>1906</v>
      </c>
      <c r="M521" s="27" t="s">
        <v>514</v>
      </c>
      <c r="N521" s="27" t="s">
        <v>515</v>
      </c>
      <c r="O521" s="27" t="s">
        <v>516</v>
      </c>
      <c r="P521" s="27" t="s">
        <v>514</v>
      </c>
      <c r="Q521" s="27" t="s">
        <v>517</v>
      </c>
      <c r="R521" s="27" t="str">
        <f t="shared" si="41"/>
        <v>https://babel.hathitrust.org/cgi/pt?id=njp.32101076518784;view=1up;seq=144</v>
      </c>
      <c r="S521" s="27" t="s">
        <v>517</v>
      </c>
      <c r="T521" s="27" t="str">
        <f t="shared" si="43"/>
        <v>https://babel.hathitrust.org/cgi/pt?id=uc1.c3198065;view=1up;seq=1136</v>
      </c>
      <c r="U521" s="4"/>
      <c r="V521" s="4"/>
      <c r="W521" s="4"/>
      <c r="X521" s="4"/>
      <c r="Y521" s="4"/>
      <c r="Z521" s="4"/>
      <c r="AA521" s="4"/>
      <c r="AB521" s="4"/>
    </row>
    <row r="522" spans="1:28" x14ac:dyDescent="0.25">
      <c r="A522" s="27" t="s">
        <v>1102</v>
      </c>
      <c r="B522" s="27" t="str">
        <f t="shared" si="44"/>
        <v>Mississippi</v>
      </c>
      <c r="C522" s="27" t="str">
        <f t="shared" si="45"/>
        <v>Oktibbeha</v>
      </c>
      <c r="D522" s="27">
        <v>2870</v>
      </c>
      <c r="E522" s="27">
        <v>107</v>
      </c>
      <c r="F522" s="27">
        <v>150</v>
      </c>
      <c r="G522" s="27">
        <v>5025</v>
      </c>
      <c r="H522" s="27">
        <v>21.86</v>
      </c>
      <c r="I522" s="2">
        <v>24910.53</v>
      </c>
      <c r="J522" s="27">
        <v>84</v>
      </c>
      <c r="K522" s="107">
        <v>13908</v>
      </c>
      <c r="L522" s="27">
        <v>1906</v>
      </c>
      <c r="M522" s="27" t="s">
        <v>514</v>
      </c>
      <c r="N522" s="27" t="s">
        <v>515</v>
      </c>
      <c r="O522" s="27" t="s">
        <v>516</v>
      </c>
      <c r="P522" s="27" t="s">
        <v>514</v>
      </c>
      <c r="Q522" s="27" t="s">
        <v>517</v>
      </c>
      <c r="R522" s="27" t="str">
        <f t="shared" si="41"/>
        <v>https://babel.hathitrust.org/cgi/pt?id=njp.32101076518784;view=1up;seq=144</v>
      </c>
      <c r="S522" s="27" t="s">
        <v>517</v>
      </c>
      <c r="T522" s="27" t="str">
        <f t="shared" si="43"/>
        <v>https://babel.hathitrust.org/cgi/pt?id=uc1.c3198065;view=1up;seq=1136</v>
      </c>
      <c r="U522" s="4"/>
      <c r="V522" s="4"/>
      <c r="W522" s="4"/>
      <c r="X522" s="4"/>
      <c r="Y522" s="4"/>
      <c r="Z522" s="4"/>
      <c r="AA522" s="4"/>
      <c r="AB522" s="4"/>
    </row>
    <row r="523" spans="1:28" x14ac:dyDescent="0.25">
      <c r="A523" s="27" t="s">
        <v>1103</v>
      </c>
      <c r="B523" s="27" t="str">
        <f t="shared" si="44"/>
        <v>Mississippi</v>
      </c>
      <c r="C523" s="27" t="str">
        <f t="shared" si="45"/>
        <v>Panola</v>
      </c>
      <c r="D523" s="27">
        <v>3353</v>
      </c>
      <c r="E523" s="27">
        <v>193</v>
      </c>
      <c r="F523" s="27">
        <v>127</v>
      </c>
      <c r="G523" s="27">
        <v>6691</v>
      </c>
      <c r="H523" s="27">
        <v>32.21</v>
      </c>
      <c r="I523" s="2">
        <v>31815.07</v>
      </c>
      <c r="J523" s="27">
        <v>126</v>
      </c>
      <c r="K523" s="107">
        <v>27362</v>
      </c>
      <c r="L523" s="27">
        <v>1906</v>
      </c>
      <c r="M523" s="27" t="s">
        <v>514</v>
      </c>
      <c r="N523" s="27" t="s">
        <v>515</v>
      </c>
      <c r="O523" s="27" t="s">
        <v>516</v>
      </c>
      <c r="P523" s="27" t="s">
        <v>514</v>
      </c>
      <c r="Q523" s="27" t="s">
        <v>517</v>
      </c>
      <c r="R523" s="27" t="str">
        <f t="shared" si="41"/>
        <v>https://babel.hathitrust.org/cgi/pt?id=njp.32101076518784;view=1up;seq=144</v>
      </c>
      <c r="S523" s="27" t="s">
        <v>517</v>
      </c>
      <c r="T523" s="27" t="str">
        <f t="shared" si="43"/>
        <v>https://babel.hathitrust.org/cgi/pt?id=uc1.c3198065;view=1up;seq=1136</v>
      </c>
      <c r="U523" s="4"/>
      <c r="V523" s="4"/>
      <c r="W523" s="4"/>
      <c r="X523" s="4"/>
      <c r="Y523" s="4"/>
      <c r="Z523" s="4"/>
      <c r="AA523" s="4"/>
      <c r="AB523" s="4"/>
    </row>
    <row r="524" spans="1:28" x14ac:dyDescent="0.25">
      <c r="A524" s="27" t="s">
        <v>1104</v>
      </c>
      <c r="B524" s="27" t="str">
        <f t="shared" si="44"/>
        <v>Mississippi</v>
      </c>
      <c r="C524" s="27" t="str">
        <f t="shared" si="45"/>
        <v>Pearl River</v>
      </c>
      <c r="D524" s="27">
        <v>703</v>
      </c>
      <c r="E524" s="27">
        <v>41</v>
      </c>
      <c r="F524" s="27">
        <v>116</v>
      </c>
      <c r="G524" s="27">
        <v>1179</v>
      </c>
      <c r="H524" s="27">
        <v>31.25</v>
      </c>
      <c r="I524" s="2">
        <v>10217.459999999999</v>
      </c>
      <c r="J524" s="27">
        <v>45</v>
      </c>
      <c r="K524" s="107">
        <v>7198</v>
      </c>
      <c r="L524" s="27">
        <v>1906</v>
      </c>
      <c r="M524" s="27" t="s">
        <v>514</v>
      </c>
      <c r="N524" s="27" t="s">
        <v>515</v>
      </c>
      <c r="O524" s="27" t="s">
        <v>516</v>
      </c>
      <c r="P524" s="27" t="s">
        <v>514</v>
      </c>
      <c r="Q524" s="27" t="s">
        <v>517</v>
      </c>
      <c r="R524" s="27" t="str">
        <f t="shared" si="41"/>
        <v>https://babel.hathitrust.org/cgi/pt?id=njp.32101076518784;view=1up;seq=144</v>
      </c>
      <c r="S524" s="27" t="s">
        <v>517</v>
      </c>
      <c r="T524" s="27" t="str">
        <f t="shared" si="43"/>
        <v>https://babel.hathitrust.org/cgi/pt?id=uc1.c3198065;view=1up;seq=1136</v>
      </c>
      <c r="U524" s="4"/>
      <c r="V524" s="4"/>
      <c r="W524" s="4"/>
      <c r="X524" s="4"/>
      <c r="Y524" s="4"/>
      <c r="Z524" s="4"/>
      <c r="AA524" s="4"/>
      <c r="AB524" s="4"/>
    </row>
    <row r="525" spans="1:28" x14ac:dyDescent="0.25">
      <c r="A525" s="27" t="s">
        <v>1105</v>
      </c>
      <c r="B525" s="27" t="str">
        <f t="shared" si="44"/>
        <v>Mississippi</v>
      </c>
      <c r="C525" s="27" t="str">
        <f t="shared" si="45"/>
        <v>Perry</v>
      </c>
      <c r="D525" s="27">
        <v>2448</v>
      </c>
      <c r="E525" s="27">
        <v>104</v>
      </c>
      <c r="F525" s="27">
        <v>123</v>
      </c>
      <c r="G525" s="27">
        <v>2938</v>
      </c>
      <c r="H525" s="27">
        <v>32.549999999999997</v>
      </c>
      <c r="I525" s="2">
        <v>21238.54</v>
      </c>
      <c r="J525" s="27">
        <v>89</v>
      </c>
      <c r="K525" s="107">
        <v>9819</v>
      </c>
      <c r="L525" s="27">
        <v>1906</v>
      </c>
      <c r="M525" s="27" t="s">
        <v>514</v>
      </c>
      <c r="N525" s="27" t="s">
        <v>515</v>
      </c>
      <c r="O525" s="27" t="s">
        <v>516</v>
      </c>
      <c r="P525" s="27" t="s">
        <v>514</v>
      </c>
      <c r="Q525" s="27" t="s">
        <v>517</v>
      </c>
      <c r="R525" s="27" t="str">
        <f t="shared" si="41"/>
        <v>https://babel.hathitrust.org/cgi/pt?id=njp.32101076518784;view=1up;seq=144</v>
      </c>
      <c r="S525" s="27" t="s">
        <v>517</v>
      </c>
      <c r="T525" s="27" t="str">
        <f t="shared" si="43"/>
        <v>https://babel.hathitrust.org/cgi/pt?id=uc1.c3198065;view=1up;seq=1136</v>
      </c>
      <c r="U525" s="4"/>
      <c r="V525" s="4"/>
      <c r="W525" s="4"/>
      <c r="X525" s="4"/>
      <c r="Y525" s="4"/>
      <c r="Z525" s="4"/>
      <c r="AA525" s="4"/>
      <c r="AB525" s="4"/>
    </row>
    <row r="526" spans="1:28" x14ac:dyDescent="0.25">
      <c r="A526" s="27" t="s">
        <v>1106</v>
      </c>
      <c r="B526" s="27" t="str">
        <f t="shared" si="44"/>
        <v>Mississippi</v>
      </c>
      <c r="C526" s="27" t="str">
        <f t="shared" si="45"/>
        <v>Pike</v>
      </c>
      <c r="D526" s="27">
        <v>41669</v>
      </c>
      <c r="E526" s="27">
        <v>155</v>
      </c>
      <c r="F526" s="27">
        <v>118</v>
      </c>
      <c r="G526" s="27">
        <v>7069</v>
      </c>
      <c r="H526" s="27">
        <v>32.979999999999997</v>
      </c>
      <c r="I526" s="2">
        <v>27760.58</v>
      </c>
      <c r="J526" s="27">
        <v>105</v>
      </c>
      <c r="K526" s="107">
        <v>13885</v>
      </c>
      <c r="L526" s="27">
        <v>1906</v>
      </c>
      <c r="M526" s="27" t="s">
        <v>514</v>
      </c>
      <c r="N526" s="27" t="s">
        <v>515</v>
      </c>
      <c r="O526" s="27" t="s">
        <v>516</v>
      </c>
      <c r="P526" s="27" t="s">
        <v>514</v>
      </c>
      <c r="Q526" s="27" t="s">
        <v>517</v>
      </c>
      <c r="R526" s="27" t="str">
        <f t="shared" si="41"/>
        <v>https://babel.hathitrust.org/cgi/pt?id=njp.32101076518784;view=1up;seq=144</v>
      </c>
      <c r="S526" s="27" t="s">
        <v>517</v>
      </c>
      <c r="T526" s="27" t="str">
        <f t="shared" si="43"/>
        <v>https://babel.hathitrust.org/cgi/pt?id=uc1.c3198065;view=1up;seq=1136</v>
      </c>
      <c r="U526" s="4"/>
      <c r="V526" s="4"/>
      <c r="W526" s="4"/>
      <c r="X526" s="4"/>
      <c r="Y526" s="4"/>
      <c r="Z526" s="4"/>
      <c r="AA526" s="4"/>
      <c r="AB526" s="4"/>
    </row>
    <row r="527" spans="1:28" x14ac:dyDescent="0.25">
      <c r="A527" s="27" t="s">
        <v>1107</v>
      </c>
      <c r="B527" s="27" t="str">
        <f t="shared" si="44"/>
        <v>Mississippi</v>
      </c>
      <c r="C527" s="27" t="str">
        <f t="shared" si="45"/>
        <v>Pontotoc</v>
      </c>
      <c r="D527" s="27">
        <v>2925</v>
      </c>
      <c r="E527" s="27">
        <v>136</v>
      </c>
      <c r="F527" s="27">
        <v>105</v>
      </c>
      <c r="G527" s="27">
        <v>5647</v>
      </c>
      <c r="H527" s="27">
        <v>35.5</v>
      </c>
      <c r="I527" s="2">
        <v>25019</v>
      </c>
      <c r="J527" s="27">
        <v>108</v>
      </c>
      <c r="K527" s="107">
        <v>18527</v>
      </c>
      <c r="L527" s="27">
        <v>1906</v>
      </c>
      <c r="M527" s="27" t="s">
        <v>514</v>
      </c>
      <c r="N527" s="27" t="s">
        <v>515</v>
      </c>
      <c r="O527" s="27" t="s">
        <v>516</v>
      </c>
      <c r="P527" s="27" t="s">
        <v>514</v>
      </c>
      <c r="Q527" s="27" t="s">
        <v>517</v>
      </c>
      <c r="R527" s="27" t="str">
        <f t="shared" si="41"/>
        <v>https://babel.hathitrust.org/cgi/pt?id=njp.32101076518784;view=1up;seq=144</v>
      </c>
      <c r="S527" s="27" t="s">
        <v>517</v>
      </c>
      <c r="T527" s="27" t="str">
        <f t="shared" si="43"/>
        <v>https://babel.hathitrust.org/cgi/pt?id=uc1.c3198065;view=1up;seq=1136</v>
      </c>
      <c r="U527" s="4"/>
      <c r="V527" s="4"/>
      <c r="W527" s="4"/>
      <c r="X527" s="4"/>
      <c r="Y527" s="4"/>
      <c r="Z527" s="4"/>
      <c r="AA527" s="4"/>
      <c r="AB527" s="4"/>
    </row>
    <row r="528" spans="1:28" x14ac:dyDescent="0.25">
      <c r="A528" s="27" t="s">
        <v>1108</v>
      </c>
      <c r="B528" s="27" t="str">
        <f t="shared" si="44"/>
        <v>Mississippi</v>
      </c>
      <c r="C528" s="27" t="str">
        <f t="shared" si="45"/>
        <v>Prentiss</v>
      </c>
      <c r="D528" s="27">
        <v>2240</v>
      </c>
      <c r="E528" s="27">
        <v>89</v>
      </c>
      <c r="F528" s="27">
        <v>113</v>
      </c>
      <c r="G528" s="27">
        <v>4588</v>
      </c>
      <c r="H528" s="27">
        <v>38.520000000000003</v>
      </c>
      <c r="I528" s="2">
        <v>20584.25</v>
      </c>
      <c r="J528" s="27">
        <v>76</v>
      </c>
      <c r="K528" s="107">
        <v>13914</v>
      </c>
      <c r="L528" s="27">
        <v>1906</v>
      </c>
      <c r="M528" s="27" t="s">
        <v>514</v>
      </c>
      <c r="N528" s="27" t="s">
        <v>515</v>
      </c>
      <c r="O528" s="27" t="s">
        <v>516</v>
      </c>
      <c r="P528" s="27" t="s">
        <v>514</v>
      </c>
      <c r="Q528" s="27" t="s">
        <v>517</v>
      </c>
      <c r="R528" s="27" t="str">
        <f t="shared" si="41"/>
        <v>https://babel.hathitrust.org/cgi/pt?id=njp.32101076518784;view=1up;seq=144</v>
      </c>
      <c r="S528" s="27" t="s">
        <v>517</v>
      </c>
      <c r="T528" s="27" t="str">
        <f t="shared" si="43"/>
        <v>https://babel.hathitrust.org/cgi/pt?id=uc1.c3198065;view=1up;seq=1136</v>
      </c>
      <c r="U528" s="4"/>
      <c r="V528" s="4"/>
      <c r="W528" s="4"/>
      <c r="X528" s="4"/>
      <c r="Y528" s="4"/>
      <c r="Z528" s="4"/>
      <c r="AA528" s="4"/>
      <c r="AB528" s="4"/>
    </row>
    <row r="529" spans="1:28" x14ac:dyDescent="0.25">
      <c r="A529" s="27" t="s">
        <v>1109</v>
      </c>
      <c r="B529" s="27" t="str">
        <f t="shared" si="44"/>
        <v>Mississippi</v>
      </c>
      <c r="C529" s="27" t="str">
        <f t="shared" si="45"/>
        <v>Quitman</v>
      </c>
      <c r="D529" s="27">
        <v>1031</v>
      </c>
      <c r="E529" s="27">
        <v>40</v>
      </c>
      <c r="F529" s="27">
        <v>90</v>
      </c>
      <c r="G529" s="27">
        <v>1474</v>
      </c>
      <c r="H529" s="27">
        <v>31.53</v>
      </c>
      <c r="I529" s="2">
        <v>7405.37</v>
      </c>
      <c r="J529" s="27">
        <v>57</v>
      </c>
      <c r="K529" s="107">
        <v>4128</v>
      </c>
      <c r="L529" s="27">
        <v>1906</v>
      </c>
      <c r="M529" s="27" t="s">
        <v>514</v>
      </c>
      <c r="N529" s="27" t="s">
        <v>515</v>
      </c>
      <c r="O529" s="27" t="s">
        <v>516</v>
      </c>
      <c r="P529" s="27" t="s">
        <v>514</v>
      </c>
      <c r="Q529" s="27" t="s">
        <v>517</v>
      </c>
      <c r="R529" s="27" t="str">
        <f t="shared" si="41"/>
        <v>https://babel.hathitrust.org/cgi/pt?id=njp.32101076518784;view=1up;seq=144</v>
      </c>
      <c r="S529" s="27" t="s">
        <v>517</v>
      </c>
      <c r="T529" s="27" t="str">
        <f t="shared" si="43"/>
        <v>https://babel.hathitrust.org/cgi/pt?id=uc1.c3198065;view=1up;seq=1136</v>
      </c>
      <c r="U529" s="4"/>
      <c r="V529" s="4"/>
      <c r="W529" s="4"/>
      <c r="X529" s="4"/>
      <c r="Y529" s="4"/>
      <c r="Z529" s="4"/>
      <c r="AA529" s="4"/>
      <c r="AB529" s="4"/>
    </row>
    <row r="530" spans="1:28" x14ac:dyDescent="0.25">
      <c r="A530" s="27" t="s">
        <v>1110</v>
      </c>
      <c r="B530" s="27" t="str">
        <f t="shared" si="44"/>
        <v>Mississippi</v>
      </c>
      <c r="C530" s="27" t="str">
        <f t="shared" si="45"/>
        <v>Rankin</v>
      </c>
      <c r="D530" s="27">
        <v>3417</v>
      </c>
      <c r="E530" s="27">
        <v>153</v>
      </c>
      <c r="F530" s="27">
        <v>118</v>
      </c>
      <c r="G530" s="27">
        <v>6062</v>
      </c>
      <c r="H530" s="27">
        <v>29.35</v>
      </c>
      <c r="I530" s="2">
        <v>28746.11</v>
      </c>
      <c r="J530" s="27">
        <v>120</v>
      </c>
      <c r="K530" s="107">
        <v>17503</v>
      </c>
      <c r="L530" s="27">
        <v>1906</v>
      </c>
      <c r="M530" s="27" t="s">
        <v>514</v>
      </c>
      <c r="N530" s="27" t="s">
        <v>515</v>
      </c>
      <c r="O530" s="27" t="s">
        <v>516</v>
      </c>
      <c r="P530" s="27" t="s">
        <v>514</v>
      </c>
      <c r="Q530" s="27" t="s">
        <v>517</v>
      </c>
      <c r="R530" s="27" t="str">
        <f t="shared" si="41"/>
        <v>https://babel.hathitrust.org/cgi/pt?id=njp.32101076518784;view=1up;seq=144</v>
      </c>
      <c r="S530" s="27" t="s">
        <v>517</v>
      </c>
      <c r="T530" s="27" t="str">
        <f t="shared" si="43"/>
        <v>https://babel.hathitrust.org/cgi/pt?id=uc1.c3198065;view=1up;seq=1136</v>
      </c>
      <c r="U530" s="4"/>
      <c r="V530" s="4"/>
      <c r="W530" s="4"/>
      <c r="X530" s="4"/>
      <c r="Y530" s="4"/>
      <c r="Z530" s="4"/>
      <c r="AA530" s="4"/>
      <c r="AB530" s="4"/>
    </row>
    <row r="531" spans="1:28" x14ac:dyDescent="0.25">
      <c r="A531" s="27" t="s">
        <v>1111</v>
      </c>
      <c r="B531" s="27" t="str">
        <f t="shared" si="44"/>
        <v>Mississippi</v>
      </c>
      <c r="C531" s="27" t="str">
        <f t="shared" si="45"/>
        <v>Scott</v>
      </c>
      <c r="D531" s="27">
        <v>2563</v>
      </c>
      <c r="E531" s="27">
        <v>111</v>
      </c>
      <c r="F531" s="27">
        <v>115</v>
      </c>
      <c r="G531" s="27">
        <v>4196</v>
      </c>
      <c r="H531" s="27">
        <v>23.57</v>
      </c>
      <c r="I531" s="2">
        <v>20410.03</v>
      </c>
      <c r="J531" s="27">
        <v>100</v>
      </c>
      <c r="K531" s="107">
        <v>11579</v>
      </c>
      <c r="L531" s="27">
        <v>1906</v>
      </c>
      <c r="M531" s="27" t="s">
        <v>514</v>
      </c>
      <c r="N531" s="27" t="s">
        <v>515</v>
      </c>
      <c r="O531" s="27" t="s">
        <v>516</v>
      </c>
      <c r="P531" s="27" t="s">
        <v>514</v>
      </c>
      <c r="Q531" s="27" t="s">
        <v>517</v>
      </c>
      <c r="R531" s="27" t="str">
        <f t="shared" si="41"/>
        <v>https://babel.hathitrust.org/cgi/pt?id=njp.32101076518784;view=1up;seq=144</v>
      </c>
      <c r="S531" s="27" t="s">
        <v>517</v>
      </c>
      <c r="T531" s="27" t="str">
        <f t="shared" si="43"/>
        <v>https://babel.hathitrust.org/cgi/pt?id=uc1.c3198065;view=1up;seq=1136</v>
      </c>
      <c r="U531" s="4"/>
      <c r="V531" s="4"/>
      <c r="W531" s="4"/>
      <c r="X531" s="4"/>
      <c r="Y531" s="4"/>
      <c r="Z531" s="4"/>
      <c r="AA531" s="4"/>
      <c r="AB531" s="4"/>
    </row>
    <row r="532" spans="1:28" x14ac:dyDescent="0.25">
      <c r="A532" s="27" t="s">
        <v>1112</v>
      </c>
      <c r="B532" s="27" t="str">
        <f t="shared" si="44"/>
        <v>Mississippi</v>
      </c>
      <c r="C532" s="27" t="str">
        <f t="shared" si="45"/>
        <v>Sharkey</v>
      </c>
      <c r="D532" s="27">
        <v>3008</v>
      </c>
      <c r="E532" s="27">
        <v>67</v>
      </c>
      <c r="F532" s="27">
        <v>113</v>
      </c>
      <c r="G532" s="27">
        <v>3743</v>
      </c>
      <c r="H532" s="27">
        <v>37</v>
      </c>
      <c r="I532" s="2">
        <v>22562.92</v>
      </c>
      <c r="J532" s="27">
        <v>58</v>
      </c>
      <c r="K532" s="107">
        <v>12303</v>
      </c>
      <c r="L532" s="27">
        <v>1906</v>
      </c>
      <c r="M532" s="27" t="s">
        <v>514</v>
      </c>
      <c r="N532" s="27" t="s">
        <v>515</v>
      </c>
      <c r="O532" s="27" t="s">
        <v>516</v>
      </c>
      <c r="P532" s="27" t="s">
        <v>514</v>
      </c>
      <c r="Q532" s="27" t="s">
        <v>517</v>
      </c>
      <c r="R532" s="27" t="str">
        <f t="shared" si="41"/>
        <v>https://babel.hathitrust.org/cgi/pt?id=njp.32101076518784;view=1up;seq=144</v>
      </c>
      <c r="S532" s="27" t="s">
        <v>517</v>
      </c>
      <c r="T532" s="27" t="str">
        <f t="shared" si="43"/>
        <v>https://babel.hathitrust.org/cgi/pt?id=uc1.c3198065;view=1up;seq=1136</v>
      </c>
      <c r="U532" s="4"/>
      <c r="V532" s="4"/>
      <c r="W532" s="4"/>
      <c r="X532" s="4"/>
      <c r="Y532" s="4"/>
      <c r="Z532" s="4"/>
      <c r="AA532" s="4"/>
      <c r="AB532" s="4"/>
    </row>
    <row r="533" spans="1:28" x14ac:dyDescent="0.25">
      <c r="A533" s="27" t="s">
        <v>1113</v>
      </c>
      <c r="B533" s="27" t="str">
        <f t="shared" si="44"/>
        <v>Mississippi</v>
      </c>
      <c r="C533" s="27" t="str">
        <f t="shared" si="45"/>
        <v>Simpson</v>
      </c>
      <c r="D533" s="27">
        <v>2806</v>
      </c>
      <c r="E533" s="27">
        <v>140</v>
      </c>
      <c r="F533" s="27">
        <v>84</v>
      </c>
      <c r="G533" s="27">
        <v>5823</v>
      </c>
      <c r="H533" s="27">
        <v>32.5</v>
      </c>
      <c r="I533" s="2">
        <v>21560.86</v>
      </c>
      <c r="J533" s="27">
        <v>101</v>
      </c>
      <c r="K533" s="107">
        <v>11065</v>
      </c>
      <c r="L533" s="27">
        <v>1906</v>
      </c>
      <c r="M533" s="27" t="s">
        <v>514</v>
      </c>
      <c r="N533" s="27" t="s">
        <v>515</v>
      </c>
      <c r="O533" s="27" t="s">
        <v>516</v>
      </c>
      <c r="P533" s="27" t="s">
        <v>514</v>
      </c>
      <c r="Q533" s="27" t="s">
        <v>517</v>
      </c>
      <c r="R533" s="27" t="str">
        <f t="shared" si="41"/>
        <v>https://babel.hathitrust.org/cgi/pt?id=njp.32101076518784;view=1up;seq=144</v>
      </c>
      <c r="S533" s="27" t="s">
        <v>517</v>
      </c>
      <c r="T533" s="27" t="str">
        <f t="shared" si="43"/>
        <v>https://babel.hathitrust.org/cgi/pt?id=uc1.c3198065;view=1up;seq=1136</v>
      </c>
      <c r="U533" s="4"/>
      <c r="V533" s="4"/>
      <c r="W533" s="4"/>
      <c r="X533" s="4"/>
      <c r="Y533" s="4"/>
      <c r="Z533" s="4"/>
      <c r="AA533" s="4"/>
      <c r="AB533" s="4"/>
    </row>
    <row r="534" spans="1:28" x14ac:dyDescent="0.25">
      <c r="A534" s="27" t="s">
        <v>1114</v>
      </c>
      <c r="B534" s="27" t="str">
        <f t="shared" si="44"/>
        <v>Mississippi</v>
      </c>
      <c r="C534" s="27" t="str">
        <f t="shared" si="45"/>
        <v>Smith</v>
      </c>
      <c r="D534" s="27">
        <v>2849</v>
      </c>
      <c r="E534" s="27">
        <v>131</v>
      </c>
      <c r="F534" s="27">
        <v>115</v>
      </c>
      <c r="G534" s="27">
        <v>4251</v>
      </c>
      <c r="H534" s="27">
        <v>34.26</v>
      </c>
      <c r="I534" s="2">
        <v>27781.86</v>
      </c>
      <c r="J534" s="27">
        <v>64</v>
      </c>
      <c r="K534" s="107">
        <v>10978</v>
      </c>
      <c r="L534" s="27">
        <v>1906</v>
      </c>
      <c r="M534" s="27" t="s">
        <v>514</v>
      </c>
      <c r="N534" s="27" t="s">
        <v>515</v>
      </c>
      <c r="O534" s="27" t="s">
        <v>516</v>
      </c>
      <c r="P534" s="27" t="s">
        <v>514</v>
      </c>
      <c r="Q534" s="27" t="s">
        <v>517</v>
      </c>
      <c r="R534" s="27" t="str">
        <f t="shared" si="41"/>
        <v>https://babel.hathitrust.org/cgi/pt?id=njp.32101076518784;view=1up;seq=144</v>
      </c>
      <c r="S534" s="27" t="s">
        <v>517</v>
      </c>
      <c r="T534" s="27" t="str">
        <f t="shared" si="43"/>
        <v>https://babel.hathitrust.org/cgi/pt?id=uc1.c3198065;view=1up;seq=1136</v>
      </c>
      <c r="U534" s="4"/>
      <c r="V534" s="4"/>
      <c r="W534" s="4"/>
      <c r="X534" s="4"/>
      <c r="Y534" s="4"/>
      <c r="Z534" s="4"/>
      <c r="AA534" s="4"/>
      <c r="AB534" s="4"/>
    </row>
    <row r="535" spans="1:28" x14ac:dyDescent="0.25">
      <c r="A535" s="27" t="s">
        <v>1115</v>
      </c>
      <c r="B535" s="27" t="str">
        <f t="shared" si="44"/>
        <v>Mississippi</v>
      </c>
      <c r="C535" s="27" t="str">
        <f t="shared" si="45"/>
        <v>Stone</v>
      </c>
      <c r="D535" s="27"/>
      <c r="E535" s="27"/>
      <c r="F535" s="27"/>
      <c r="G535" s="27"/>
      <c r="H535" s="27"/>
      <c r="J535" s="27"/>
      <c r="K535" s="107"/>
      <c r="L535" s="27">
        <v>1906</v>
      </c>
      <c r="M535" s="27" t="s">
        <v>514</v>
      </c>
      <c r="N535" s="27" t="s">
        <v>515</v>
      </c>
      <c r="O535" s="27" t="s">
        <v>516</v>
      </c>
      <c r="P535" s="27" t="s">
        <v>514</v>
      </c>
      <c r="Q535" s="27" t="s">
        <v>517</v>
      </c>
      <c r="R535" s="27" t="str">
        <f t="shared" si="41"/>
        <v>https://babel.hathitrust.org/cgi/pt?id=njp.32101076518784;view=1up;seq=144</v>
      </c>
      <c r="S535" s="27" t="s">
        <v>517</v>
      </c>
      <c r="T535" s="27" t="str">
        <f t="shared" si="43"/>
        <v>https://babel.hathitrust.org/cgi/pt?id=uc1.c3198065;view=1up;seq=1136</v>
      </c>
      <c r="U535" s="4"/>
      <c r="V535" s="4"/>
      <c r="W535" s="4"/>
      <c r="X535" s="4"/>
      <c r="Y535" s="4"/>
      <c r="Z535" s="4"/>
      <c r="AA535" s="4"/>
      <c r="AB535" s="4"/>
    </row>
    <row r="536" spans="1:28" x14ac:dyDescent="0.25">
      <c r="A536" s="27" t="s">
        <v>1116</v>
      </c>
      <c r="B536" s="27" t="str">
        <f t="shared" si="44"/>
        <v>Mississippi</v>
      </c>
      <c r="C536" s="27" t="str">
        <f t="shared" si="45"/>
        <v>Sunflower</v>
      </c>
      <c r="D536" s="27">
        <v>2670</v>
      </c>
      <c r="E536" s="27">
        <v>96</v>
      </c>
      <c r="F536" s="27">
        <v>113</v>
      </c>
      <c r="G536" s="27">
        <v>5438</v>
      </c>
      <c r="H536" s="27">
        <v>35.58</v>
      </c>
      <c r="I536" s="2">
        <v>23373.57</v>
      </c>
      <c r="J536" s="27">
        <v>103</v>
      </c>
      <c r="K536" s="107">
        <v>13952</v>
      </c>
      <c r="L536" s="27">
        <v>1906</v>
      </c>
      <c r="M536" s="27" t="s">
        <v>514</v>
      </c>
      <c r="N536" s="27" t="s">
        <v>515</v>
      </c>
      <c r="O536" s="27" t="s">
        <v>516</v>
      </c>
      <c r="P536" s="27" t="s">
        <v>514</v>
      </c>
      <c r="Q536" s="27" t="s">
        <v>517</v>
      </c>
      <c r="R536" s="27" t="str">
        <f t="shared" ref="R536:R551" si="46">R535</f>
        <v>https://babel.hathitrust.org/cgi/pt?id=njp.32101076518784;view=1up;seq=144</v>
      </c>
      <c r="S536" s="27" t="s">
        <v>517</v>
      </c>
      <c r="T536" s="27" t="str">
        <f t="shared" si="43"/>
        <v>https://babel.hathitrust.org/cgi/pt?id=uc1.c3198065;view=1up;seq=1136</v>
      </c>
      <c r="U536" s="4"/>
      <c r="V536" s="4"/>
      <c r="W536" s="4"/>
      <c r="X536" s="4"/>
      <c r="Y536" s="4"/>
      <c r="Z536" s="4"/>
      <c r="AA536" s="4"/>
      <c r="AB536" s="4"/>
    </row>
    <row r="537" spans="1:28" x14ac:dyDescent="0.25">
      <c r="A537" s="27" t="s">
        <v>1117</v>
      </c>
      <c r="B537" s="27" t="str">
        <f t="shared" si="44"/>
        <v>Mississippi</v>
      </c>
      <c r="C537" s="27" t="str">
        <f t="shared" si="45"/>
        <v>Tallahatchie</v>
      </c>
      <c r="D537" s="27">
        <v>3250</v>
      </c>
      <c r="E537" s="27">
        <v>155</v>
      </c>
      <c r="F537" s="27">
        <v>140</v>
      </c>
      <c r="G537" s="27">
        <v>6060</v>
      </c>
      <c r="H537" s="27">
        <v>3.4</v>
      </c>
      <c r="I537" s="2">
        <v>34501.51</v>
      </c>
      <c r="J537" s="27">
        <v>129</v>
      </c>
      <c r="K537" s="107">
        <v>15125</v>
      </c>
      <c r="L537" s="27">
        <v>1906</v>
      </c>
      <c r="M537" s="27" t="s">
        <v>514</v>
      </c>
      <c r="N537" s="27" t="s">
        <v>515</v>
      </c>
      <c r="O537" s="27" t="s">
        <v>516</v>
      </c>
      <c r="P537" s="27" t="s">
        <v>514</v>
      </c>
      <c r="Q537" s="27" t="s">
        <v>517</v>
      </c>
      <c r="R537" s="27" t="str">
        <f t="shared" si="46"/>
        <v>https://babel.hathitrust.org/cgi/pt?id=njp.32101076518784;view=1up;seq=144</v>
      </c>
      <c r="S537" s="27" t="s">
        <v>517</v>
      </c>
      <c r="T537" s="27" t="str">
        <f t="shared" si="43"/>
        <v>https://babel.hathitrust.org/cgi/pt?id=uc1.c3198065;view=1up;seq=1136</v>
      </c>
      <c r="U537" s="4"/>
      <c r="V537" s="4"/>
      <c r="W537" s="4"/>
      <c r="X537" s="4"/>
      <c r="Y537" s="4"/>
      <c r="Z537" s="4"/>
      <c r="AA537" s="4"/>
      <c r="AB537" s="4"/>
    </row>
    <row r="538" spans="1:28" x14ac:dyDescent="0.25">
      <c r="A538" s="27" t="s">
        <v>1118</v>
      </c>
      <c r="B538" s="27" t="str">
        <f t="shared" si="44"/>
        <v>Mississippi</v>
      </c>
      <c r="C538" s="27" t="str">
        <f t="shared" si="45"/>
        <v>Tate</v>
      </c>
      <c r="D538" s="27">
        <v>2870</v>
      </c>
      <c r="E538" s="27">
        <v>129</v>
      </c>
      <c r="F538" s="27">
        <v>120</v>
      </c>
      <c r="G538" s="27">
        <v>5480</v>
      </c>
      <c r="H538" s="27">
        <v>29.75</v>
      </c>
      <c r="I538" s="2">
        <v>24425.63</v>
      </c>
      <c r="J538" s="27">
        <v>94</v>
      </c>
      <c r="K538" s="107">
        <v>20579</v>
      </c>
      <c r="L538" s="27">
        <v>1906</v>
      </c>
      <c r="M538" s="27" t="s">
        <v>514</v>
      </c>
      <c r="N538" s="27" t="s">
        <v>515</v>
      </c>
      <c r="O538" s="27" t="s">
        <v>516</v>
      </c>
      <c r="P538" s="27" t="s">
        <v>514</v>
      </c>
      <c r="Q538" s="27" t="s">
        <v>517</v>
      </c>
      <c r="R538" s="27" t="str">
        <f t="shared" si="46"/>
        <v>https://babel.hathitrust.org/cgi/pt?id=njp.32101076518784;view=1up;seq=144</v>
      </c>
      <c r="S538" s="27" t="s">
        <v>517</v>
      </c>
      <c r="T538" s="27" t="str">
        <f t="shared" si="43"/>
        <v>https://babel.hathitrust.org/cgi/pt?id=uc1.c3198065;view=1up;seq=1136</v>
      </c>
      <c r="U538" s="4"/>
      <c r="V538" s="4"/>
      <c r="W538" s="4"/>
      <c r="X538" s="4"/>
      <c r="Y538" s="4"/>
      <c r="Z538" s="4"/>
      <c r="AA538" s="4"/>
      <c r="AB538" s="4"/>
    </row>
    <row r="539" spans="1:28" x14ac:dyDescent="0.25">
      <c r="A539" s="27" t="s">
        <v>1119</v>
      </c>
      <c r="B539" s="27" t="str">
        <f t="shared" si="44"/>
        <v>Mississippi</v>
      </c>
      <c r="C539" s="27" t="str">
        <f t="shared" si="45"/>
        <v>Tippah</v>
      </c>
      <c r="D539" s="27">
        <v>1712</v>
      </c>
      <c r="E539" s="27">
        <v>85</v>
      </c>
      <c r="F539" s="27"/>
      <c r="G539" s="27">
        <v>3310</v>
      </c>
      <c r="H539" s="27">
        <v>28.51</v>
      </c>
      <c r="I539" s="2">
        <v>19716.84</v>
      </c>
      <c r="J539" s="27">
        <v>79</v>
      </c>
      <c r="K539" s="107">
        <v>12442</v>
      </c>
      <c r="L539" s="27">
        <v>1906</v>
      </c>
      <c r="M539" s="27" t="s">
        <v>514</v>
      </c>
      <c r="N539" s="27" t="s">
        <v>515</v>
      </c>
      <c r="O539" s="27" t="s">
        <v>516</v>
      </c>
      <c r="P539" s="27" t="s">
        <v>514</v>
      </c>
      <c r="Q539" s="27" t="s">
        <v>517</v>
      </c>
      <c r="R539" s="27" t="str">
        <f t="shared" si="46"/>
        <v>https://babel.hathitrust.org/cgi/pt?id=njp.32101076518784;view=1up;seq=144</v>
      </c>
      <c r="S539" s="27" t="s">
        <v>517</v>
      </c>
      <c r="T539" s="27" t="str">
        <f t="shared" si="43"/>
        <v>https://babel.hathitrust.org/cgi/pt?id=uc1.c3198065;view=1up;seq=1136</v>
      </c>
      <c r="U539" s="4"/>
      <c r="V539" s="4"/>
      <c r="W539" s="4"/>
      <c r="X539" s="4"/>
      <c r="Y539" s="4"/>
      <c r="Z539" s="4"/>
      <c r="AA539" s="4"/>
      <c r="AB539" s="4"/>
    </row>
    <row r="540" spans="1:28" x14ac:dyDescent="0.25">
      <c r="A540" s="27" t="s">
        <v>1120</v>
      </c>
      <c r="B540" s="27" t="str">
        <f t="shared" si="44"/>
        <v>Mississippi</v>
      </c>
      <c r="C540" s="27" t="str">
        <f t="shared" si="45"/>
        <v>Tishomingo</v>
      </c>
      <c r="D540" s="27">
        <v>1640</v>
      </c>
      <c r="E540" s="27">
        <v>77</v>
      </c>
      <c r="F540" s="27">
        <v>100</v>
      </c>
      <c r="G540" s="27">
        <v>2926</v>
      </c>
      <c r="H540" s="27">
        <v>28.9</v>
      </c>
      <c r="I540" s="2">
        <v>13142.44</v>
      </c>
      <c r="J540" s="27">
        <v>64</v>
      </c>
      <c r="K540" s="107">
        <v>8036</v>
      </c>
      <c r="L540" s="27">
        <v>1906</v>
      </c>
      <c r="M540" s="27" t="s">
        <v>514</v>
      </c>
      <c r="N540" s="27" t="s">
        <v>515</v>
      </c>
      <c r="O540" s="27" t="s">
        <v>516</v>
      </c>
      <c r="P540" s="27" t="s">
        <v>514</v>
      </c>
      <c r="Q540" s="27" t="s">
        <v>517</v>
      </c>
      <c r="R540" s="27" t="str">
        <f t="shared" si="46"/>
        <v>https://babel.hathitrust.org/cgi/pt?id=njp.32101076518784;view=1up;seq=144</v>
      </c>
      <c r="S540" s="27" t="s">
        <v>517</v>
      </c>
      <c r="T540" s="27" t="str">
        <f t="shared" si="43"/>
        <v>https://babel.hathitrust.org/cgi/pt?id=uc1.c3198065;view=1up;seq=1136</v>
      </c>
      <c r="U540" s="4"/>
      <c r="V540" s="4"/>
      <c r="W540" s="4"/>
      <c r="X540" s="4"/>
      <c r="Y540" s="4"/>
      <c r="Z540" s="4"/>
      <c r="AA540" s="4"/>
      <c r="AB540" s="4"/>
    </row>
    <row r="541" spans="1:28" x14ac:dyDescent="0.25">
      <c r="A541" s="27" t="s">
        <v>1121</v>
      </c>
      <c r="B541" s="27" t="str">
        <f t="shared" si="44"/>
        <v>Mississippi</v>
      </c>
      <c r="C541" s="27" t="str">
        <f t="shared" si="45"/>
        <v>Tunica</v>
      </c>
      <c r="D541" s="27">
        <v>1745</v>
      </c>
      <c r="E541" s="27">
        <v>92</v>
      </c>
      <c r="F541" s="27">
        <v>110</v>
      </c>
      <c r="G541" s="27">
        <v>3534</v>
      </c>
      <c r="H541" s="27">
        <v>45.47</v>
      </c>
      <c r="I541" s="2">
        <v>16704.18</v>
      </c>
      <c r="J541" s="27">
        <v>62</v>
      </c>
      <c r="K541" s="107">
        <v>16276</v>
      </c>
      <c r="L541" s="27">
        <v>1906</v>
      </c>
      <c r="M541" s="27" t="s">
        <v>514</v>
      </c>
      <c r="N541" s="27" t="s">
        <v>515</v>
      </c>
      <c r="O541" s="27" t="s">
        <v>516</v>
      </c>
      <c r="P541" s="27" t="s">
        <v>514</v>
      </c>
      <c r="Q541" s="27" t="s">
        <v>517</v>
      </c>
      <c r="R541" s="27" t="str">
        <f t="shared" si="46"/>
        <v>https://babel.hathitrust.org/cgi/pt?id=njp.32101076518784;view=1up;seq=144</v>
      </c>
      <c r="S541" s="27" t="s">
        <v>517</v>
      </c>
      <c r="T541" s="27" t="str">
        <f t="shared" si="43"/>
        <v>https://babel.hathitrust.org/cgi/pt?id=uc1.c3198065;view=1up;seq=1136</v>
      </c>
      <c r="U541" s="4"/>
      <c r="V541" s="4"/>
      <c r="W541" s="4"/>
      <c r="X541" s="4"/>
      <c r="Y541" s="4"/>
      <c r="Z541" s="4"/>
      <c r="AA541" s="4"/>
      <c r="AB541" s="4"/>
    </row>
    <row r="542" spans="1:28" x14ac:dyDescent="0.25">
      <c r="A542" s="27" t="s">
        <v>1122</v>
      </c>
      <c r="B542" s="27" t="str">
        <f t="shared" si="44"/>
        <v>Mississippi</v>
      </c>
      <c r="C542" s="27" t="str">
        <f t="shared" si="45"/>
        <v>Union</v>
      </c>
      <c r="D542" s="27">
        <v>4400</v>
      </c>
      <c r="E542" s="27">
        <v>42</v>
      </c>
      <c r="F542" s="27">
        <v>158</v>
      </c>
      <c r="G542" s="27">
        <v>5780</v>
      </c>
      <c r="H542" s="27">
        <v>35.6</v>
      </c>
      <c r="I542" s="2">
        <v>20751.34</v>
      </c>
      <c r="J542" s="27">
        <v>82</v>
      </c>
      <c r="K542" s="107">
        <v>15463</v>
      </c>
      <c r="L542" s="27">
        <v>1906</v>
      </c>
      <c r="M542" s="27" t="s">
        <v>514</v>
      </c>
      <c r="N542" s="27" t="s">
        <v>515</v>
      </c>
      <c r="O542" s="27" t="s">
        <v>516</v>
      </c>
      <c r="P542" s="27" t="s">
        <v>514</v>
      </c>
      <c r="Q542" s="27" t="s">
        <v>517</v>
      </c>
      <c r="R542" s="27" t="str">
        <f t="shared" si="46"/>
        <v>https://babel.hathitrust.org/cgi/pt?id=njp.32101076518784;view=1up;seq=144</v>
      </c>
      <c r="S542" s="27" t="s">
        <v>517</v>
      </c>
      <c r="T542" s="27" t="str">
        <f t="shared" si="43"/>
        <v>https://babel.hathitrust.org/cgi/pt?id=uc1.c3198065;view=1up;seq=1136</v>
      </c>
      <c r="U542" s="4"/>
      <c r="V542" s="4"/>
      <c r="W542" s="4"/>
      <c r="X542" s="4"/>
      <c r="Y542" s="4"/>
      <c r="Z542" s="4"/>
      <c r="AA542" s="4"/>
      <c r="AB542" s="4"/>
    </row>
    <row r="543" spans="1:28" x14ac:dyDescent="0.25">
      <c r="A543" s="27" t="s">
        <v>1123</v>
      </c>
      <c r="B543" s="27" t="str">
        <f t="shared" si="44"/>
        <v>Mississippi</v>
      </c>
      <c r="C543" s="27" t="str">
        <f t="shared" si="45"/>
        <v>Walthall</v>
      </c>
      <c r="D543" s="27"/>
      <c r="E543" s="27"/>
      <c r="F543" s="27"/>
      <c r="G543" s="27"/>
      <c r="H543" s="27"/>
      <c r="J543" s="27"/>
      <c r="K543" s="107"/>
      <c r="L543" s="27">
        <v>1906</v>
      </c>
      <c r="M543" s="27" t="s">
        <v>514</v>
      </c>
      <c r="N543" s="27" t="s">
        <v>515</v>
      </c>
      <c r="O543" s="27" t="s">
        <v>516</v>
      </c>
      <c r="P543" s="27" t="s">
        <v>514</v>
      </c>
      <c r="Q543" s="27" t="s">
        <v>517</v>
      </c>
      <c r="R543" s="27" t="str">
        <f t="shared" si="46"/>
        <v>https://babel.hathitrust.org/cgi/pt?id=njp.32101076518784;view=1up;seq=144</v>
      </c>
      <c r="S543" s="27" t="s">
        <v>517</v>
      </c>
      <c r="T543" s="27" t="str">
        <f t="shared" si="43"/>
        <v>https://babel.hathitrust.org/cgi/pt?id=uc1.c3198065;view=1up;seq=1136</v>
      </c>
      <c r="U543" s="4"/>
      <c r="V543" s="4"/>
      <c r="W543" s="4"/>
      <c r="X543" s="4"/>
      <c r="Y543" s="4"/>
      <c r="Z543" s="4"/>
      <c r="AA543" s="4"/>
      <c r="AB543" s="4"/>
    </row>
    <row r="544" spans="1:28" x14ac:dyDescent="0.25">
      <c r="A544" s="27" t="s">
        <v>1124</v>
      </c>
      <c r="B544" s="27" t="str">
        <f t="shared" si="44"/>
        <v>Mississippi</v>
      </c>
      <c r="C544" s="27" t="str">
        <f t="shared" si="45"/>
        <v>Warren</v>
      </c>
      <c r="D544" s="27">
        <v>3034</v>
      </c>
      <c r="E544" s="27">
        <v>93</v>
      </c>
      <c r="F544" s="27">
        <v>139</v>
      </c>
      <c r="G544" s="27">
        <v>4805</v>
      </c>
      <c r="H544" s="27">
        <v>31.5</v>
      </c>
      <c r="I544" s="2">
        <v>23009.52</v>
      </c>
      <c r="J544" s="27">
        <v>89</v>
      </c>
      <c r="K544" s="107">
        <v>27518</v>
      </c>
      <c r="L544" s="27">
        <v>1906</v>
      </c>
      <c r="M544" s="27" t="s">
        <v>514</v>
      </c>
      <c r="N544" s="27" t="s">
        <v>515</v>
      </c>
      <c r="O544" s="27" t="s">
        <v>516</v>
      </c>
      <c r="P544" s="27" t="s">
        <v>514</v>
      </c>
      <c r="Q544" s="27" t="s">
        <v>517</v>
      </c>
      <c r="R544" s="27" t="str">
        <f t="shared" si="46"/>
        <v>https://babel.hathitrust.org/cgi/pt?id=njp.32101076518784;view=1up;seq=144</v>
      </c>
      <c r="S544" s="27" t="s">
        <v>517</v>
      </c>
      <c r="T544" s="27" t="str">
        <f t="shared" si="43"/>
        <v>https://babel.hathitrust.org/cgi/pt?id=uc1.c3198065;view=1up;seq=1136</v>
      </c>
      <c r="U544" s="4"/>
      <c r="V544" s="4"/>
      <c r="W544" s="4"/>
      <c r="X544" s="4"/>
      <c r="Y544" s="4"/>
      <c r="Z544" s="4"/>
      <c r="AA544" s="4"/>
      <c r="AB544" s="4"/>
    </row>
    <row r="545" spans="1:28" x14ac:dyDescent="0.25">
      <c r="A545" s="27" t="s">
        <v>1125</v>
      </c>
      <c r="B545" s="27" t="str">
        <f t="shared" si="44"/>
        <v>Mississippi</v>
      </c>
      <c r="C545" s="27" t="str">
        <f t="shared" si="45"/>
        <v>Washington</v>
      </c>
      <c r="D545" s="27">
        <v>3857</v>
      </c>
      <c r="E545" s="27">
        <v>128</v>
      </c>
      <c r="F545" s="27">
        <v>151</v>
      </c>
      <c r="G545" s="27">
        <v>6098</v>
      </c>
      <c r="H545" s="27">
        <v>28</v>
      </c>
      <c r="I545" s="2">
        <v>38144.720000000001</v>
      </c>
      <c r="J545" s="27">
        <v>105</v>
      </c>
      <c r="K545" s="107">
        <v>28134</v>
      </c>
      <c r="L545" s="27">
        <v>1906</v>
      </c>
      <c r="M545" s="27" t="s">
        <v>514</v>
      </c>
      <c r="N545" s="27" t="s">
        <v>515</v>
      </c>
      <c r="O545" s="27" t="s">
        <v>516</v>
      </c>
      <c r="P545" s="27" t="s">
        <v>514</v>
      </c>
      <c r="Q545" s="27" t="s">
        <v>517</v>
      </c>
      <c r="R545" s="27" t="str">
        <f t="shared" si="46"/>
        <v>https://babel.hathitrust.org/cgi/pt?id=njp.32101076518784;view=1up;seq=144</v>
      </c>
      <c r="S545" s="27" t="s">
        <v>517</v>
      </c>
      <c r="T545" s="27" t="str">
        <f t="shared" si="43"/>
        <v>https://babel.hathitrust.org/cgi/pt?id=uc1.c3198065;view=1up;seq=1136</v>
      </c>
      <c r="U545" s="4"/>
      <c r="V545" s="4"/>
      <c r="W545" s="4"/>
      <c r="X545" s="4"/>
      <c r="Y545" s="4"/>
      <c r="Z545" s="4"/>
      <c r="AA545" s="4"/>
      <c r="AB545" s="4"/>
    </row>
    <row r="546" spans="1:28" x14ac:dyDescent="0.25">
      <c r="A546" s="27" t="s">
        <v>1126</v>
      </c>
      <c r="B546" s="27" t="str">
        <f t="shared" si="44"/>
        <v>Mississippi</v>
      </c>
      <c r="C546" s="27" t="str">
        <f t="shared" si="45"/>
        <v>Wayne</v>
      </c>
      <c r="D546" s="27">
        <v>1850</v>
      </c>
      <c r="E546" s="27">
        <v>90</v>
      </c>
      <c r="F546" s="27">
        <v>108</v>
      </c>
      <c r="G546" s="27">
        <v>3428</v>
      </c>
      <c r="H546" s="27">
        <v>31.6</v>
      </c>
      <c r="I546" s="2">
        <v>19159.14</v>
      </c>
      <c r="J546" s="27">
        <v>85</v>
      </c>
      <c r="K546" s="107">
        <v>9148</v>
      </c>
      <c r="L546" s="27">
        <v>1906</v>
      </c>
      <c r="M546" s="27" t="s">
        <v>514</v>
      </c>
      <c r="N546" s="27" t="s">
        <v>515</v>
      </c>
      <c r="O546" s="27" t="s">
        <v>516</v>
      </c>
      <c r="P546" s="27" t="s">
        <v>514</v>
      </c>
      <c r="Q546" s="27" t="s">
        <v>517</v>
      </c>
      <c r="R546" s="27" t="str">
        <f t="shared" si="46"/>
        <v>https://babel.hathitrust.org/cgi/pt?id=njp.32101076518784;view=1up;seq=144</v>
      </c>
      <c r="S546" s="27" t="s">
        <v>517</v>
      </c>
      <c r="T546" s="27" t="str">
        <f t="shared" ref="T546:T551" si="47">T545</f>
        <v>https://babel.hathitrust.org/cgi/pt?id=uc1.c3198065;view=1up;seq=1136</v>
      </c>
      <c r="U546" s="4"/>
      <c r="V546" s="4"/>
      <c r="W546" s="4"/>
      <c r="X546" s="4"/>
      <c r="Y546" s="4"/>
      <c r="Z546" s="4"/>
      <c r="AA546" s="4"/>
      <c r="AB546" s="4"/>
    </row>
    <row r="547" spans="1:28" x14ac:dyDescent="0.25">
      <c r="A547" s="27" t="s">
        <v>1127</v>
      </c>
      <c r="B547" s="27" t="str">
        <f t="shared" si="44"/>
        <v>Mississippi</v>
      </c>
      <c r="C547" s="27" t="str">
        <f t="shared" si="45"/>
        <v>Webster</v>
      </c>
      <c r="D547" s="27">
        <v>2093</v>
      </c>
      <c r="E547" s="27">
        <v>91</v>
      </c>
      <c r="F547" s="27">
        <v>116</v>
      </c>
      <c r="G547" s="27">
        <v>3905</v>
      </c>
      <c r="H547" s="27">
        <v>36.67</v>
      </c>
      <c r="I547" s="2">
        <v>17238.72</v>
      </c>
      <c r="J547" s="27">
        <v>73</v>
      </c>
      <c r="K547" s="107">
        <v>9643</v>
      </c>
      <c r="L547" s="27">
        <v>1906</v>
      </c>
      <c r="M547" s="27" t="s">
        <v>514</v>
      </c>
      <c r="N547" s="27" t="s">
        <v>515</v>
      </c>
      <c r="O547" s="27" t="s">
        <v>516</v>
      </c>
      <c r="P547" s="27" t="s">
        <v>514</v>
      </c>
      <c r="Q547" s="27" t="s">
        <v>517</v>
      </c>
      <c r="R547" s="27" t="str">
        <f t="shared" si="46"/>
        <v>https://babel.hathitrust.org/cgi/pt?id=njp.32101076518784;view=1up;seq=144</v>
      </c>
      <c r="S547" s="27" t="s">
        <v>517</v>
      </c>
      <c r="T547" s="27" t="str">
        <f t="shared" si="47"/>
        <v>https://babel.hathitrust.org/cgi/pt?id=uc1.c3198065;view=1up;seq=1136</v>
      </c>
      <c r="U547" s="4"/>
      <c r="V547" s="4"/>
      <c r="W547" s="4"/>
      <c r="X547" s="4"/>
      <c r="Y547" s="4"/>
      <c r="Z547" s="4"/>
      <c r="AA547" s="4"/>
      <c r="AB547" s="4"/>
    </row>
    <row r="548" spans="1:28" x14ac:dyDescent="0.25">
      <c r="A548" s="27" t="s">
        <v>1128</v>
      </c>
      <c r="B548" s="27" t="str">
        <f t="shared" si="44"/>
        <v>Mississippi</v>
      </c>
      <c r="C548" s="27" t="str">
        <f t="shared" si="45"/>
        <v>Wilkinson</v>
      </c>
      <c r="D548" s="27">
        <v>2574</v>
      </c>
      <c r="E548" s="27">
        <v>79</v>
      </c>
      <c r="F548" s="27">
        <v>138</v>
      </c>
      <c r="G548" s="27">
        <v>4372</v>
      </c>
      <c r="H548" s="27">
        <v>26.68</v>
      </c>
      <c r="I548" s="2">
        <v>19140.39</v>
      </c>
      <c r="J548" s="27">
        <v>107</v>
      </c>
      <c r="K548" s="107">
        <v>15096</v>
      </c>
      <c r="L548" s="27">
        <v>1906</v>
      </c>
      <c r="M548" s="27" t="s">
        <v>514</v>
      </c>
      <c r="N548" s="27" t="s">
        <v>515</v>
      </c>
      <c r="O548" s="27" t="s">
        <v>516</v>
      </c>
      <c r="P548" s="27" t="s">
        <v>514</v>
      </c>
      <c r="Q548" s="27" t="s">
        <v>517</v>
      </c>
      <c r="R548" s="27" t="str">
        <f t="shared" si="46"/>
        <v>https://babel.hathitrust.org/cgi/pt?id=njp.32101076518784;view=1up;seq=144</v>
      </c>
      <c r="S548" s="27" t="s">
        <v>517</v>
      </c>
      <c r="T548" s="27" t="str">
        <f t="shared" si="47"/>
        <v>https://babel.hathitrust.org/cgi/pt?id=uc1.c3198065;view=1up;seq=1136</v>
      </c>
      <c r="U548" s="4"/>
      <c r="V548" s="4"/>
      <c r="W548" s="4"/>
      <c r="X548" s="4"/>
      <c r="Y548" s="4"/>
      <c r="Z548" s="4"/>
      <c r="AA548" s="4"/>
      <c r="AB548" s="4"/>
    </row>
    <row r="549" spans="1:28" x14ac:dyDescent="0.25">
      <c r="A549" s="27" t="s">
        <v>1129</v>
      </c>
      <c r="B549" s="27" t="str">
        <f t="shared" si="44"/>
        <v>Mississippi</v>
      </c>
      <c r="C549" s="27" t="str">
        <f t="shared" si="45"/>
        <v>Winston</v>
      </c>
      <c r="D549" s="27">
        <v>3117</v>
      </c>
      <c r="E549" s="27">
        <v>115</v>
      </c>
      <c r="F549" s="27">
        <v>119</v>
      </c>
      <c r="G549" s="27">
        <v>4793</v>
      </c>
      <c r="H549" s="27">
        <v>25.82</v>
      </c>
      <c r="I549" s="2">
        <v>19917.57</v>
      </c>
      <c r="J549" s="27">
        <v>90</v>
      </c>
      <c r="K549" s="107">
        <v>12408</v>
      </c>
      <c r="L549" s="27">
        <v>1906</v>
      </c>
      <c r="M549" s="27" t="s">
        <v>514</v>
      </c>
      <c r="N549" s="27" t="s">
        <v>515</v>
      </c>
      <c r="O549" s="27" t="s">
        <v>516</v>
      </c>
      <c r="P549" s="27" t="s">
        <v>514</v>
      </c>
      <c r="Q549" s="27" t="s">
        <v>517</v>
      </c>
      <c r="R549" s="27" t="str">
        <f t="shared" si="46"/>
        <v>https://babel.hathitrust.org/cgi/pt?id=njp.32101076518784;view=1up;seq=144</v>
      </c>
      <c r="S549" s="27" t="s">
        <v>517</v>
      </c>
      <c r="T549" s="27" t="str">
        <f t="shared" si="47"/>
        <v>https://babel.hathitrust.org/cgi/pt?id=uc1.c3198065;view=1up;seq=1136</v>
      </c>
      <c r="U549" s="4"/>
      <c r="V549" s="4"/>
      <c r="W549" s="4"/>
      <c r="X549" s="4"/>
      <c r="Y549" s="4"/>
      <c r="Z549" s="4"/>
      <c r="AA549" s="4"/>
      <c r="AB549" s="4"/>
    </row>
    <row r="550" spans="1:28" x14ac:dyDescent="0.25">
      <c r="A550" s="27" t="s">
        <v>1130</v>
      </c>
      <c r="B550" s="27" t="str">
        <f t="shared" si="44"/>
        <v>Mississippi</v>
      </c>
      <c r="C550" s="27" t="str">
        <f t="shared" si="45"/>
        <v>Yalobusha</v>
      </c>
      <c r="D550" s="27">
        <v>2490</v>
      </c>
      <c r="E550" s="27">
        <v>97</v>
      </c>
      <c r="F550" s="27">
        <v>126</v>
      </c>
      <c r="G550" s="27">
        <v>4979</v>
      </c>
      <c r="H550" s="27">
        <v>30.37</v>
      </c>
      <c r="I550" s="2">
        <v>20247.599999999999</v>
      </c>
      <c r="J550" s="27">
        <v>90</v>
      </c>
      <c r="K550" s="107">
        <v>12766</v>
      </c>
      <c r="L550" s="27">
        <v>1906</v>
      </c>
      <c r="M550" s="27" t="s">
        <v>514</v>
      </c>
      <c r="N550" s="27" t="s">
        <v>515</v>
      </c>
      <c r="O550" s="27" t="s">
        <v>516</v>
      </c>
      <c r="P550" s="27" t="s">
        <v>514</v>
      </c>
      <c r="Q550" s="27" t="s">
        <v>517</v>
      </c>
      <c r="R550" s="27" t="str">
        <f t="shared" si="46"/>
        <v>https://babel.hathitrust.org/cgi/pt?id=njp.32101076518784;view=1up;seq=144</v>
      </c>
      <c r="S550" s="27" t="s">
        <v>517</v>
      </c>
      <c r="T550" s="27" t="str">
        <f t="shared" si="47"/>
        <v>https://babel.hathitrust.org/cgi/pt?id=uc1.c3198065;view=1up;seq=1136</v>
      </c>
      <c r="U550" s="4"/>
      <c r="V550" s="4"/>
      <c r="W550" s="4"/>
      <c r="X550" s="4"/>
      <c r="Y550" s="4"/>
      <c r="Z550" s="4"/>
      <c r="AA550" s="4"/>
      <c r="AB550" s="4"/>
    </row>
    <row r="551" spans="1:28" x14ac:dyDescent="0.25">
      <c r="A551" s="27" t="s">
        <v>1131</v>
      </c>
      <c r="B551" s="27" t="str">
        <f t="shared" si="44"/>
        <v>Mississippi</v>
      </c>
      <c r="C551" s="27" t="str">
        <f t="shared" si="45"/>
        <v>Yazoo</v>
      </c>
      <c r="D551" s="27">
        <v>4169</v>
      </c>
      <c r="E551" s="27">
        <v>156</v>
      </c>
      <c r="F551" s="27">
        <v>140</v>
      </c>
      <c r="G551" s="27">
        <v>9278</v>
      </c>
      <c r="H551" s="27">
        <v>34.25</v>
      </c>
      <c r="I551" s="2">
        <v>48708.19</v>
      </c>
      <c r="J551" s="27">
        <v>154</v>
      </c>
      <c r="K551" s="107">
        <v>31254</v>
      </c>
      <c r="L551" s="27">
        <v>1906</v>
      </c>
      <c r="M551" s="27" t="s">
        <v>514</v>
      </c>
      <c r="N551" s="27" t="s">
        <v>515</v>
      </c>
      <c r="O551" s="27" t="s">
        <v>516</v>
      </c>
      <c r="P551" s="27" t="s">
        <v>514</v>
      </c>
      <c r="Q551" s="27" t="s">
        <v>517</v>
      </c>
      <c r="R551" s="27" t="str">
        <f t="shared" si="46"/>
        <v>https://babel.hathitrust.org/cgi/pt?id=njp.32101076518784;view=1up;seq=144</v>
      </c>
      <c r="S551" s="27" t="s">
        <v>517</v>
      </c>
      <c r="T551" s="27" t="str">
        <f t="shared" si="47"/>
        <v>https://babel.hathitrust.org/cgi/pt?id=uc1.c3198065;view=1up;seq=1136</v>
      </c>
      <c r="U551" s="4"/>
      <c r="V551" s="4"/>
      <c r="W551" s="4"/>
      <c r="X551" s="4"/>
      <c r="Y551" s="4"/>
      <c r="Z551" s="4"/>
      <c r="AA551" s="4"/>
      <c r="AB551" s="4"/>
    </row>
    <row r="552" spans="1:28" x14ac:dyDescent="0.25">
      <c r="A552" s="27" t="s">
        <v>1774</v>
      </c>
      <c r="B552" s="27" t="str">
        <f t="shared" si="44"/>
        <v>Mississippi</v>
      </c>
      <c r="C552" s="27" t="str">
        <f t="shared" si="45"/>
        <v/>
      </c>
      <c r="D552" s="27">
        <f>SUM(D470:D551)</f>
        <v>261512</v>
      </c>
      <c r="E552" s="27">
        <f>SUM(E470:E551)</f>
        <v>8474</v>
      </c>
      <c r="F552" s="27"/>
      <c r="G552" s="27">
        <f>SUM(G470:G551)</f>
        <v>395407</v>
      </c>
      <c r="H552" s="27"/>
      <c r="J552" s="27">
        <f>SUM(J470:J551)</f>
        <v>7161</v>
      </c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8" x14ac:dyDescent="0.25">
      <c r="A553" s="27" t="s">
        <v>1774</v>
      </c>
      <c r="B553" s="27" t="str">
        <f t="shared" si="44"/>
        <v>Mississippi</v>
      </c>
      <c r="C553" s="27" t="str">
        <f t="shared" si="45"/>
        <v/>
      </c>
      <c r="D553" s="27">
        <v>230765</v>
      </c>
      <c r="E553" s="27">
        <v>8369</v>
      </c>
      <c r="F553" s="27"/>
      <c r="G553" s="27">
        <v>399160</v>
      </c>
      <c r="H553" s="27"/>
      <c r="J553" s="27">
        <v>7152</v>
      </c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8" x14ac:dyDescent="0.25">
      <c r="A554" s="27" t="s">
        <v>1367</v>
      </c>
      <c r="B554" s="27" t="str">
        <f t="shared" si="44"/>
        <v/>
      </c>
      <c r="C554" s="27" t="str">
        <f t="shared" si="45"/>
        <v/>
      </c>
      <c r="D554" s="27"/>
      <c r="E554" s="27"/>
      <c r="F554" s="27"/>
      <c r="G554" s="27"/>
      <c r="H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8" x14ac:dyDescent="0.25">
      <c r="A555" s="27" t="s">
        <v>1132</v>
      </c>
      <c r="B555" s="27" t="str">
        <f t="shared" si="44"/>
        <v>North Carolina</v>
      </c>
      <c r="C555" s="27" t="str">
        <f t="shared" si="45"/>
        <v>Alamance</v>
      </c>
      <c r="D555" s="2">
        <v>3487</v>
      </c>
      <c r="E555" s="27">
        <v>135</v>
      </c>
      <c r="F555" s="26">
        <f>'NC pre'!J2</f>
        <v>99.141732283464563</v>
      </c>
      <c r="G555" s="2">
        <v>6142</v>
      </c>
      <c r="H555" s="12">
        <f>'NC pre'!N2</f>
        <v>30.978984989278054</v>
      </c>
      <c r="I555" s="12">
        <v>38766.120000000003</v>
      </c>
      <c r="J555" s="27">
        <v>57</v>
      </c>
      <c r="K555" s="12">
        <f>'NC pre'!Q2</f>
        <v>6247.55</v>
      </c>
      <c r="L555" s="27">
        <v>1905</v>
      </c>
      <c r="M555" s="27" t="s">
        <v>518</v>
      </c>
      <c r="N555" s="27" t="s">
        <v>519</v>
      </c>
      <c r="O555" s="27" t="s">
        <v>2561</v>
      </c>
      <c r="P555" s="27" t="s">
        <v>518</v>
      </c>
      <c r="Q555" s="27" t="s">
        <v>2561</v>
      </c>
      <c r="R555" s="27" t="s">
        <v>521</v>
      </c>
      <c r="S555" s="27" t="s">
        <v>522</v>
      </c>
      <c r="T555" s="27" t="s">
        <v>2599</v>
      </c>
      <c r="U555" s="4"/>
      <c r="V555" s="4"/>
      <c r="W555" s="4"/>
      <c r="X555" s="4"/>
      <c r="Y555" s="4"/>
      <c r="Z555" s="4"/>
      <c r="AA555" s="4"/>
      <c r="AB555" s="4"/>
    </row>
    <row r="556" spans="1:28" x14ac:dyDescent="0.25">
      <c r="A556" s="27" t="s">
        <v>1133</v>
      </c>
      <c r="B556" s="27" t="str">
        <f t="shared" si="44"/>
        <v>North Carolina</v>
      </c>
      <c r="C556" s="27" t="str">
        <f t="shared" si="45"/>
        <v>Alexander</v>
      </c>
      <c r="D556" s="2">
        <v>2150</v>
      </c>
      <c r="E556" s="27">
        <v>68</v>
      </c>
      <c r="F556" s="26">
        <f>'NC pre'!J3</f>
        <v>74.400000000000006</v>
      </c>
      <c r="G556" s="2">
        <v>2697</v>
      </c>
      <c r="H556" s="12">
        <f>'NC pre'!N3</f>
        <v>21.967127496159751</v>
      </c>
      <c r="I556" s="12">
        <v>7206.76</v>
      </c>
      <c r="J556" s="27">
        <v>44</v>
      </c>
      <c r="K556" s="12">
        <f>'NC pre'!Q3</f>
        <v>997.35</v>
      </c>
      <c r="L556" s="27">
        <v>1905</v>
      </c>
      <c r="M556" s="27" t="s">
        <v>523</v>
      </c>
      <c r="N556" s="27" t="s">
        <v>519</v>
      </c>
      <c r="O556" s="27" t="str">
        <f>O555</f>
        <v>https://babel.hathitrust.org/cgi/pt?id=nc01.ark:/13960/t9183d98b;view=1up;seq=252</v>
      </c>
      <c r="P556" s="27" t="s">
        <v>523</v>
      </c>
      <c r="Q556" s="27" t="str">
        <f>Q555</f>
        <v>https://babel.hathitrust.org/cgi/pt?id=nc01.ark:/13960/t9183d98b;view=1up;seq=252</v>
      </c>
      <c r="R556" s="27" t="s">
        <v>521</v>
      </c>
      <c r="S556" s="27" t="s">
        <v>522</v>
      </c>
      <c r="T556" s="27" t="str">
        <f>T555</f>
        <v>https://babel.hathitrust.org/cgi/pt?id=nc01.ark:/13960/t9183d98b;view=1up;seq=112</v>
      </c>
      <c r="U556" s="4"/>
      <c r="V556" s="4"/>
      <c r="W556" s="4"/>
      <c r="X556" s="4"/>
      <c r="Y556" s="4"/>
      <c r="Z556" s="4"/>
      <c r="AA556" s="4"/>
      <c r="AB556" s="4"/>
    </row>
    <row r="557" spans="1:28" x14ac:dyDescent="0.25">
      <c r="A557" s="27" t="s">
        <v>1134</v>
      </c>
      <c r="B557" s="27" t="str">
        <f t="shared" si="44"/>
        <v>North Carolina</v>
      </c>
      <c r="C557" s="27" t="str">
        <f t="shared" si="45"/>
        <v>Alleghany</v>
      </c>
      <c r="D557" s="2">
        <v>1667</v>
      </c>
      <c r="E557" s="27">
        <v>58</v>
      </c>
      <c r="F557" s="26">
        <f>'NC pre'!J4</f>
        <v>74</v>
      </c>
      <c r="G557" s="2">
        <v>2800</v>
      </c>
      <c r="H557" s="12">
        <f>'NC pre'!N4</f>
        <v>24.53185328185328</v>
      </c>
      <c r="I557" s="12">
        <v>6368.2</v>
      </c>
      <c r="J557" s="27">
        <v>36</v>
      </c>
      <c r="K557" s="12">
        <f>'NC pre'!Q4</f>
        <v>1313.1</v>
      </c>
      <c r="L557" s="27">
        <v>1905</v>
      </c>
      <c r="M557" s="27" t="s">
        <v>518</v>
      </c>
      <c r="N557" s="27" t="s">
        <v>519</v>
      </c>
      <c r="O557" s="27" t="str">
        <f t="shared" ref="O557:O620" si="48">O556</f>
        <v>https://babel.hathitrust.org/cgi/pt?id=nc01.ark:/13960/t9183d98b;view=1up;seq=252</v>
      </c>
      <c r="P557" s="27" t="s">
        <v>518</v>
      </c>
      <c r="Q557" s="27" t="str">
        <f t="shared" ref="Q557:Q620" si="49">Q556</f>
        <v>https://babel.hathitrust.org/cgi/pt?id=nc01.ark:/13960/t9183d98b;view=1up;seq=252</v>
      </c>
      <c r="R557" s="27" t="s">
        <v>521</v>
      </c>
      <c r="S557" s="27" t="s">
        <v>522</v>
      </c>
      <c r="T557" s="27" t="str">
        <f t="shared" ref="T557:T620" si="50">T556</f>
        <v>https://babel.hathitrust.org/cgi/pt?id=nc01.ark:/13960/t9183d98b;view=1up;seq=112</v>
      </c>
      <c r="U557" s="4"/>
      <c r="V557" s="4"/>
      <c r="W557" s="4"/>
      <c r="X557" s="4"/>
      <c r="Y557" s="4"/>
      <c r="Z557" s="4"/>
      <c r="AA557" s="4"/>
      <c r="AB557" s="4"/>
    </row>
    <row r="558" spans="1:28" x14ac:dyDescent="0.25">
      <c r="A558" s="27" t="s">
        <v>1135</v>
      </c>
      <c r="B558" s="27" t="str">
        <f t="shared" si="44"/>
        <v>North Carolina</v>
      </c>
      <c r="C558" s="27" t="str">
        <f t="shared" si="45"/>
        <v>Anson</v>
      </c>
      <c r="D558" s="2">
        <v>3020</v>
      </c>
      <c r="E558" s="2">
        <v>93</v>
      </c>
      <c r="F558" s="26">
        <f>'NC pre'!J5</f>
        <v>81.705882352941174</v>
      </c>
      <c r="G558" s="2">
        <v>4867</v>
      </c>
      <c r="H558" s="12">
        <f>'NC pre'!N5</f>
        <v>23.196136309095273</v>
      </c>
      <c r="I558" s="12">
        <v>16591.73</v>
      </c>
      <c r="J558" s="27">
        <v>34</v>
      </c>
      <c r="K558" s="12">
        <f>'NC pre'!Q5</f>
        <v>1257.31</v>
      </c>
      <c r="L558" s="27">
        <v>1905</v>
      </c>
      <c r="M558" s="27" t="s">
        <v>523</v>
      </c>
      <c r="N558" s="27" t="s">
        <v>519</v>
      </c>
      <c r="O558" s="27" t="str">
        <f t="shared" si="48"/>
        <v>https://babel.hathitrust.org/cgi/pt?id=nc01.ark:/13960/t9183d98b;view=1up;seq=252</v>
      </c>
      <c r="P558" s="27" t="s">
        <v>523</v>
      </c>
      <c r="Q558" s="27" t="str">
        <f t="shared" si="49"/>
        <v>https://babel.hathitrust.org/cgi/pt?id=nc01.ark:/13960/t9183d98b;view=1up;seq=252</v>
      </c>
      <c r="R558" s="27" t="s">
        <v>521</v>
      </c>
      <c r="S558" s="27" t="s">
        <v>522</v>
      </c>
      <c r="T558" s="27" t="str">
        <f t="shared" si="50"/>
        <v>https://babel.hathitrust.org/cgi/pt?id=nc01.ark:/13960/t9183d98b;view=1up;seq=112</v>
      </c>
      <c r="U558" s="4"/>
      <c r="V558" s="4"/>
      <c r="W558" s="4"/>
      <c r="X558" s="4"/>
      <c r="Y558" s="4"/>
      <c r="Z558" s="4"/>
      <c r="AA558" s="4"/>
      <c r="AB558" s="4"/>
    </row>
    <row r="559" spans="1:28" x14ac:dyDescent="0.25">
      <c r="A559" s="27" t="s">
        <v>1136</v>
      </c>
      <c r="B559" s="27" t="str">
        <f t="shared" si="44"/>
        <v>North Carolina</v>
      </c>
      <c r="C559" s="27" t="str">
        <f t="shared" si="45"/>
        <v>Ashe</v>
      </c>
      <c r="D559" s="2">
        <v>2983</v>
      </c>
      <c r="E559" s="27">
        <v>115</v>
      </c>
      <c r="F559" s="26">
        <f>'NC pre'!J6</f>
        <v>70</v>
      </c>
      <c r="G559" s="2">
        <v>5407</v>
      </c>
      <c r="H559" s="12">
        <f>'NC pre'!N6</f>
        <v>23.716214285714283</v>
      </c>
      <c r="I559" s="12">
        <v>12563.39</v>
      </c>
      <c r="J559" s="27">
        <v>94</v>
      </c>
      <c r="K559" s="12">
        <f>'NC pre'!Q6</f>
        <v>2072.56</v>
      </c>
      <c r="L559" s="27">
        <v>1905</v>
      </c>
      <c r="M559" s="27" t="s">
        <v>518</v>
      </c>
      <c r="N559" s="27" t="s">
        <v>519</v>
      </c>
      <c r="O559" s="27" t="str">
        <f t="shared" si="48"/>
        <v>https://babel.hathitrust.org/cgi/pt?id=nc01.ark:/13960/t9183d98b;view=1up;seq=252</v>
      </c>
      <c r="P559" s="27" t="s">
        <v>518</v>
      </c>
      <c r="Q559" s="27" t="str">
        <f t="shared" si="49"/>
        <v>https://babel.hathitrust.org/cgi/pt?id=nc01.ark:/13960/t9183d98b;view=1up;seq=252</v>
      </c>
      <c r="R559" s="27" t="s">
        <v>521</v>
      </c>
      <c r="S559" s="27" t="s">
        <v>522</v>
      </c>
      <c r="T559" s="27" t="str">
        <f t="shared" si="50"/>
        <v>https://babel.hathitrust.org/cgi/pt?id=nc01.ark:/13960/t9183d98b;view=1up;seq=112</v>
      </c>
      <c r="U559" s="4"/>
      <c r="V559" s="4"/>
      <c r="W559" s="4"/>
      <c r="X559" s="4"/>
      <c r="Y559" s="4"/>
      <c r="Z559" s="4"/>
      <c r="AA559" s="4"/>
      <c r="AB559" s="4"/>
    </row>
    <row r="560" spans="1:28" x14ac:dyDescent="0.25">
      <c r="A560" s="27" t="s">
        <v>1137</v>
      </c>
      <c r="B560" s="27" t="str">
        <f t="shared" si="44"/>
        <v>North Carolina</v>
      </c>
      <c r="C560" s="27" t="str">
        <f t="shared" si="45"/>
        <v>Avery</v>
      </c>
      <c r="D560" s="27" t="s">
        <v>383</v>
      </c>
      <c r="E560" s="27"/>
      <c r="F560" s="26"/>
      <c r="G560" s="27"/>
      <c r="H560" s="12"/>
      <c r="J560" s="27"/>
      <c r="K560" s="12"/>
      <c r="L560" s="27">
        <v>1905</v>
      </c>
      <c r="M560" s="27" t="s">
        <v>523</v>
      </c>
      <c r="N560" s="27" t="s">
        <v>519</v>
      </c>
      <c r="O560" s="27" t="str">
        <f t="shared" si="48"/>
        <v>https://babel.hathitrust.org/cgi/pt?id=nc01.ark:/13960/t9183d98b;view=1up;seq=252</v>
      </c>
      <c r="P560" s="27" t="s">
        <v>523</v>
      </c>
      <c r="Q560" s="27" t="str">
        <f t="shared" si="49"/>
        <v>https://babel.hathitrust.org/cgi/pt?id=nc01.ark:/13960/t9183d98b;view=1up;seq=252</v>
      </c>
      <c r="R560" s="27" t="s">
        <v>521</v>
      </c>
      <c r="S560" s="27" t="s">
        <v>522</v>
      </c>
      <c r="T560" s="27" t="str">
        <f t="shared" si="50"/>
        <v>https://babel.hathitrust.org/cgi/pt?id=nc01.ark:/13960/t9183d98b;view=1up;seq=112</v>
      </c>
      <c r="U560" s="4"/>
      <c r="V560" s="4"/>
      <c r="W560" s="4"/>
      <c r="X560" s="4"/>
      <c r="Y560" s="4"/>
      <c r="Z560" s="4"/>
      <c r="AA560" s="4"/>
      <c r="AB560" s="4"/>
    </row>
    <row r="561" spans="1:28" x14ac:dyDescent="0.25">
      <c r="A561" s="27" t="s">
        <v>1138</v>
      </c>
      <c r="B561" s="27" t="str">
        <f t="shared" si="44"/>
        <v>North Carolina</v>
      </c>
      <c r="C561" s="27" t="str">
        <f t="shared" si="45"/>
        <v>Beaufort</v>
      </c>
      <c r="D561" s="2">
        <v>3656</v>
      </c>
      <c r="E561" s="27">
        <v>141</v>
      </c>
      <c r="F561" s="26">
        <f>'NC pre'!J8</f>
        <v>92.279069767441854</v>
      </c>
      <c r="G561" s="2">
        <v>6455</v>
      </c>
      <c r="H561" s="12">
        <f>'NC pre'!N8</f>
        <v>36.052788978494632</v>
      </c>
      <c r="I561" s="12">
        <v>64578.080000000002</v>
      </c>
      <c r="J561" s="27">
        <v>72</v>
      </c>
      <c r="K561" s="12">
        <f>'NC pre'!Q8</f>
        <v>9121.15</v>
      </c>
      <c r="L561" s="27">
        <v>1905</v>
      </c>
      <c r="M561" s="27" t="s">
        <v>518</v>
      </c>
      <c r="N561" s="27" t="s">
        <v>519</v>
      </c>
      <c r="O561" s="27" t="str">
        <f t="shared" si="48"/>
        <v>https://babel.hathitrust.org/cgi/pt?id=nc01.ark:/13960/t9183d98b;view=1up;seq=252</v>
      </c>
      <c r="P561" s="27" t="s">
        <v>518</v>
      </c>
      <c r="Q561" s="27" t="str">
        <f t="shared" si="49"/>
        <v>https://babel.hathitrust.org/cgi/pt?id=nc01.ark:/13960/t9183d98b;view=1up;seq=252</v>
      </c>
      <c r="R561" s="27" t="s">
        <v>521</v>
      </c>
      <c r="S561" s="27" t="s">
        <v>522</v>
      </c>
      <c r="T561" s="27" t="str">
        <f t="shared" si="50"/>
        <v>https://babel.hathitrust.org/cgi/pt?id=nc01.ark:/13960/t9183d98b;view=1up;seq=112</v>
      </c>
      <c r="U561" s="4"/>
      <c r="V561" s="4"/>
      <c r="W561" s="4"/>
      <c r="X561" s="4"/>
      <c r="Y561" s="4"/>
      <c r="Z561" s="4"/>
      <c r="AA561" s="4"/>
      <c r="AB561" s="4"/>
    </row>
    <row r="562" spans="1:28" x14ac:dyDescent="0.25">
      <c r="A562" s="27" t="s">
        <v>1139</v>
      </c>
      <c r="B562" s="27" t="str">
        <f t="shared" si="44"/>
        <v>North Carolina</v>
      </c>
      <c r="C562" s="27" t="str">
        <f t="shared" si="45"/>
        <v>Bertie</v>
      </c>
      <c r="D562" s="2">
        <v>3120</v>
      </c>
      <c r="E562" s="2">
        <v>139</v>
      </c>
      <c r="F562" s="26">
        <f>'NC pre'!J9</f>
        <v>72</v>
      </c>
      <c r="G562" s="2">
        <v>5388</v>
      </c>
      <c r="H562" s="12">
        <f>'NC pre'!N9</f>
        <v>25.256140350877189</v>
      </c>
      <c r="I562" s="12">
        <v>20927.05</v>
      </c>
      <c r="J562" s="27">
        <v>68</v>
      </c>
      <c r="K562" s="12">
        <f>'NC pre'!Q9</f>
        <v>3582.63</v>
      </c>
      <c r="L562" s="27">
        <v>1905</v>
      </c>
      <c r="M562" s="27" t="s">
        <v>523</v>
      </c>
      <c r="N562" s="27" t="s">
        <v>519</v>
      </c>
      <c r="O562" s="27" t="str">
        <f t="shared" si="48"/>
        <v>https://babel.hathitrust.org/cgi/pt?id=nc01.ark:/13960/t9183d98b;view=1up;seq=252</v>
      </c>
      <c r="P562" s="27" t="s">
        <v>523</v>
      </c>
      <c r="Q562" s="27" t="str">
        <f t="shared" si="49"/>
        <v>https://babel.hathitrust.org/cgi/pt?id=nc01.ark:/13960/t9183d98b;view=1up;seq=252</v>
      </c>
      <c r="R562" s="27" t="s">
        <v>521</v>
      </c>
      <c r="S562" s="27" t="s">
        <v>522</v>
      </c>
      <c r="T562" s="27" t="str">
        <f t="shared" si="50"/>
        <v>https://babel.hathitrust.org/cgi/pt?id=nc01.ark:/13960/t9183d98b;view=1up;seq=112</v>
      </c>
      <c r="U562" s="4"/>
      <c r="V562" s="4"/>
      <c r="W562" s="4"/>
      <c r="X562" s="4"/>
      <c r="Y562" s="4"/>
      <c r="Z562" s="4"/>
      <c r="AA562" s="4"/>
      <c r="AB562" s="4"/>
    </row>
    <row r="563" spans="1:28" x14ac:dyDescent="0.25">
      <c r="A563" s="27" t="s">
        <v>1140</v>
      </c>
      <c r="B563" s="27" t="str">
        <f t="shared" si="44"/>
        <v>North Carolina</v>
      </c>
      <c r="C563" s="27" t="str">
        <f t="shared" si="45"/>
        <v>Bladen</v>
      </c>
      <c r="D563" s="2">
        <v>3146</v>
      </c>
      <c r="E563" s="2">
        <v>109</v>
      </c>
      <c r="F563" s="26">
        <f>'NC pre'!J10</f>
        <v>70</v>
      </c>
      <c r="G563" s="2">
        <v>4957</v>
      </c>
      <c r="H563" s="12">
        <f>'NC pre'!N10</f>
        <v>27.844975369458126</v>
      </c>
      <c r="I563" s="12">
        <v>15339.01</v>
      </c>
      <c r="J563" s="27">
        <v>70</v>
      </c>
      <c r="K563" s="12">
        <f>'NC pre'!Q10</f>
        <v>450.18</v>
      </c>
      <c r="L563" s="27">
        <v>1905</v>
      </c>
      <c r="M563" s="27" t="s">
        <v>518</v>
      </c>
      <c r="N563" s="27" t="s">
        <v>519</v>
      </c>
      <c r="O563" s="27" t="str">
        <f t="shared" si="48"/>
        <v>https://babel.hathitrust.org/cgi/pt?id=nc01.ark:/13960/t9183d98b;view=1up;seq=252</v>
      </c>
      <c r="P563" s="27" t="s">
        <v>518</v>
      </c>
      <c r="Q563" s="27" t="str">
        <f t="shared" si="49"/>
        <v>https://babel.hathitrust.org/cgi/pt?id=nc01.ark:/13960/t9183d98b;view=1up;seq=252</v>
      </c>
      <c r="R563" s="27" t="s">
        <v>521</v>
      </c>
      <c r="S563" s="27" t="s">
        <v>522</v>
      </c>
      <c r="T563" s="27" t="str">
        <f t="shared" si="50"/>
        <v>https://babel.hathitrust.org/cgi/pt?id=nc01.ark:/13960/t9183d98b;view=1up;seq=112</v>
      </c>
      <c r="U563" s="4"/>
      <c r="V563" s="4"/>
      <c r="W563" s="4"/>
      <c r="X563" s="4"/>
      <c r="Y563" s="4"/>
      <c r="Z563" s="4"/>
      <c r="AA563" s="4"/>
      <c r="AB563" s="4"/>
    </row>
    <row r="564" spans="1:28" x14ac:dyDescent="0.25">
      <c r="A564" s="27" t="s">
        <v>1141</v>
      </c>
      <c r="B564" s="27" t="str">
        <f t="shared" si="44"/>
        <v>North Carolina</v>
      </c>
      <c r="C564" s="27" t="str">
        <f t="shared" si="45"/>
        <v>Brunswick</v>
      </c>
      <c r="D564" s="27">
        <v>1287</v>
      </c>
      <c r="E564" s="27">
        <v>66</v>
      </c>
      <c r="F564" s="26">
        <f>'NC pre'!J11</f>
        <v>70.292307692307688</v>
      </c>
      <c r="G564" s="2">
        <v>3458</v>
      </c>
      <c r="H564" s="12">
        <f>'NC pre'!N11</f>
        <v>127.10864521777194</v>
      </c>
      <c r="I564" s="12">
        <v>8831.35</v>
      </c>
      <c r="J564" s="27">
        <v>48</v>
      </c>
      <c r="K564" s="12">
        <f>'NC pre'!Q11</f>
        <v>3344.91</v>
      </c>
      <c r="L564" s="27">
        <v>1905</v>
      </c>
      <c r="M564" s="27" t="s">
        <v>523</v>
      </c>
      <c r="N564" s="27" t="s">
        <v>519</v>
      </c>
      <c r="O564" s="27" t="str">
        <f t="shared" si="48"/>
        <v>https://babel.hathitrust.org/cgi/pt?id=nc01.ark:/13960/t9183d98b;view=1up;seq=252</v>
      </c>
      <c r="P564" s="27" t="s">
        <v>523</v>
      </c>
      <c r="Q564" s="27" t="str">
        <f t="shared" si="49"/>
        <v>https://babel.hathitrust.org/cgi/pt?id=nc01.ark:/13960/t9183d98b;view=1up;seq=252</v>
      </c>
      <c r="R564" s="27" t="s">
        <v>521</v>
      </c>
      <c r="S564" s="27" t="s">
        <v>522</v>
      </c>
      <c r="T564" s="27" t="str">
        <f t="shared" si="50"/>
        <v>https://babel.hathitrust.org/cgi/pt?id=nc01.ark:/13960/t9183d98b;view=1up;seq=112</v>
      </c>
      <c r="U564" s="4"/>
      <c r="V564" s="4"/>
      <c r="W564" s="4"/>
      <c r="X564" s="4"/>
      <c r="Y564" s="4"/>
      <c r="Z564" s="4"/>
      <c r="AA564" s="4"/>
      <c r="AB564" s="4"/>
    </row>
    <row r="565" spans="1:28" x14ac:dyDescent="0.25">
      <c r="A565" s="27" t="s">
        <v>1142</v>
      </c>
      <c r="B565" s="27" t="str">
        <f t="shared" si="44"/>
        <v>North Carolina</v>
      </c>
      <c r="C565" s="27" t="str">
        <f t="shared" si="45"/>
        <v>Buncombe</v>
      </c>
      <c r="D565" s="2">
        <v>6530</v>
      </c>
      <c r="E565" s="27">
        <v>192</v>
      </c>
      <c r="F565" s="26">
        <f>'NC pre'!J12</f>
        <v>121.65979381443299</v>
      </c>
      <c r="G565" s="2">
        <v>9406</v>
      </c>
      <c r="H565" s="12">
        <f>'NC pre'!N12</f>
        <v>41.081535463096344</v>
      </c>
      <c r="I565" s="12">
        <v>70592.56</v>
      </c>
      <c r="J565" s="27">
        <v>92</v>
      </c>
      <c r="K565" s="12">
        <f>'NC pre'!Q12</f>
        <v>11868.35</v>
      </c>
      <c r="L565" s="27">
        <v>1905</v>
      </c>
      <c r="M565" s="27" t="s">
        <v>518</v>
      </c>
      <c r="N565" s="27" t="s">
        <v>519</v>
      </c>
      <c r="O565" s="27" t="str">
        <f t="shared" si="48"/>
        <v>https://babel.hathitrust.org/cgi/pt?id=nc01.ark:/13960/t9183d98b;view=1up;seq=252</v>
      </c>
      <c r="P565" s="27" t="s">
        <v>518</v>
      </c>
      <c r="Q565" s="27" t="str">
        <f t="shared" si="49"/>
        <v>https://babel.hathitrust.org/cgi/pt?id=nc01.ark:/13960/t9183d98b;view=1up;seq=252</v>
      </c>
      <c r="R565" s="27" t="s">
        <v>521</v>
      </c>
      <c r="S565" s="27" t="s">
        <v>522</v>
      </c>
      <c r="T565" s="27" t="str">
        <f t="shared" si="50"/>
        <v>https://babel.hathitrust.org/cgi/pt?id=nc01.ark:/13960/t9183d98b;view=1up;seq=112</v>
      </c>
      <c r="U565" s="4"/>
      <c r="V565" s="4"/>
      <c r="W565" s="4"/>
      <c r="X565" s="4"/>
      <c r="Y565" s="4"/>
      <c r="Z565" s="4"/>
      <c r="AA565" s="4"/>
      <c r="AB565" s="4"/>
    </row>
    <row r="566" spans="1:28" x14ac:dyDescent="0.25">
      <c r="A566" s="27" t="s">
        <v>1143</v>
      </c>
      <c r="B566" s="27" t="str">
        <f t="shared" si="44"/>
        <v>North Carolina</v>
      </c>
      <c r="C566" s="27" t="str">
        <f t="shared" si="45"/>
        <v>Burke</v>
      </c>
      <c r="D566" s="2">
        <v>2257</v>
      </c>
      <c r="E566" s="27">
        <v>73</v>
      </c>
      <c r="F566" s="26">
        <f>'NC pre'!J13</f>
        <v>91.272727272727266</v>
      </c>
      <c r="G566" s="2">
        <v>3887</v>
      </c>
      <c r="H566" s="12">
        <f>'NC pre'!N13</f>
        <v>37.252456839309431</v>
      </c>
      <c r="I566" s="12">
        <v>37551.31</v>
      </c>
      <c r="J566" s="27">
        <v>46</v>
      </c>
      <c r="K566" s="12">
        <f>'NC pre'!Q13</f>
        <v>2577.4699999999998</v>
      </c>
      <c r="L566" s="27">
        <v>1905</v>
      </c>
      <c r="M566" s="27" t="s">
        <v>523</v>
      </c>
      <c r="N566" s="27" t="s">
        <v>519</v>
      </c>
      <c r="O566" s="27" t="str">
        <f t="shared" si="48"/>
        <v>https://babel.hathitrust.org/cgi/pt?id=nc01.ark:/13960/t9183d98b;view=1up;seq=252</v>
      </c>
      <c r="P566" s="27" t="s">
        <v>523</v>
      </c>
      <c r="Q566" s="27" t="str">
        <f t="shared" si="49"/>
        <v>https://babel.hathitrust.org/cgi/pt?id=nc01.ark:/13960/t9183d98b;view=1up;seq=252</v>
      </c>
      <c r="R566" s="27" t="s">
        <v>521</v>
      </c>
      <c r="S566" s="27" t="s">
        <v>522</v>
      </c>
      <c r="T566" s="27" t="str">
        <f t="shared" si="50"/>
        <v>https://babel.hathitrust.org/cgi/pt?id=nc01.ark:/13960/t9183d98b;view=1up;seq=112</v>
      </c>
      <c r="U566" s="4"/>
      <c r="V566" s="4"/>
      <c r="W566" s="4"/>
      <c r="X566" s="4"/>
      <c r="Y566" s="4"/>
      <c r="Z566" s="4"/>
      <c r="AA566" s="4"/>
      <c r="AB566" s="4"/>
    </row>
    <row r="567" spans="1:28" x14ac:dyDescent="0.25">
      <c r="A567" s="27" t="s">
        <v>1144</v>
      </c>
      <c r="B567" s="27" t="str">
        <f t="shared" si="44"/>
        <v>North Carolina</v>
      </c>
      <c r="C567" s="27" t="str">
        <f t="shared" si="45"/>
        <v>Cabarrus</v>
      </c>
      <c r="D567" s="2">
        <v>3553</v>
      </c>
      <c r="E567" s="27">
        <v>105</v>
      </c>
      <c r="F567" s="26">
        <f>'NC pre'!J14</f>
        <v>105.94545454545455</v>
      </c>
      <c r="G567" s="2">
        <v>5525</v>
      </c>
      <c r="H567" s="12">
        <f>'NC pre'!N14</f>
        <v>32.475459069847261</v>
      </c>
      <c r="I567" s="12">
        <v>28930.77</v>
      </c>
      <c r="J567" s="27">
        <v>45</v>
      </c>
      <c r="K567" s="12">
        <f>'NC pre'!Q14</f>
        <v>4255.22</v>
      </c>
      <c r="L567" s="27">
        <v>1905</v>
      </c>
      <c r="M567" s="27" t="s">
        <v>518</v>
      </c>
      <c r="N567" s="27" t="s">
        <v>519</v>
      </c>
      <c r="O567" s="27" t="str">
        <f t="shared" si="48"/>
        <v>https://babel.hathitrust.org/cgi/pt?id=nc01.ark:/13960/t9183d98b;view=1up;seq=252</v>
      </c>
      <c r="P567" s="27" t="s">
        <v>518</v>
      </c>
      <c r="Q567" s="27" t="str">
        <f t="shared" si="49"/>
        <v>https://babel.hathitrust.org/cgi/pt?id=nc01.ark:/13960/t9183d98b;view=1up;seq=252</v>
      </c>
      <c r="R567" s="27" t="s">
        <v>521</v>
      </c>
      <c r="S567" s="27" t="s">
        <v>522</v>
      </c>
      <c r="T567" s="27" t="str">
        <f t="shared" si="50"/>
        <v>https://babel.hathitrust.org/cgi/pt?id=nc01.ark:/13960/t9183d98b;view=1up;seq=112</v>
      </c>
      <c r="U567" s="4"/>
      <c r="V567" s="4"/>
      <c r="W567" s="4"/>
      <c r="X567" s="4"/>
      <c r="Y567" s="4"/>
      <c r="Z567" s="4"/>
      <c r="AA567" s="4"/>
      <c r="AB567" s="4"/>
    </row>
    <row r="568" spans="1:28" x14ac:dyDescent="0.25">
      <c r="A568" s="27" t="s">
        <v>1145</v>
      </c>
      <c r="B568" s="27" t="str">
        <f t="shared" si="44"/>
        <v>North Carolina</v>
      </c>
      <c r="C568" s="27" t="str">
        <f t="shared" si="45"/>
        <v>Caldwell</v>
      </c>
      <c r="D568" s="2">
        <v>2403</v>
      </c>
      <c r="E568" s="27">
        <v>102</v>
      </c>
      <c r="F568" s="26">
        <f>'NC pre'!J15</f>
        <v>95.857142857142861</v>
      </c>
      <c r="G568" s="2">
        <v>4147</v>
      </c>
      <c r="H568" s="12">
        <f>'NC pre'!N15</f>
        <v>25.636406216734088</v>
      </c>
      <c r="I568" s="12">
        <v>23351.45</v>
      </c>
      <c r="J568" s="27">
        <v>64</v>
      </c>
      <c r="K568" s="12">
        <f>'NC pre'!Q15</f>
        <v>3770.26</v>
      </c>
      <c r="L568" s="27">
        <v>1905</v>
      </c>
      <c r="M568" s="27" t="s">
        <v>523</v>
      </c>
      <c r="N568" s="27" t="s">
        <v>519</v>
      </c>
      <c r="O568" s="27" t="str">
        <f t="shared" si="48"/>
        <v>https://babel.hathitrust.org/cgi/pt?id=nc01.ark:/13960/t9183d98b;view=1up;seq=252</v>
      </c>
      <c r="P568" s="27" t="s">
        <v>523</v>
      </c>
      <c r="Q568" s="27" t="str">
        <f t="shared" si="49"/>
        <v>https://babel.hathitrust.org/cgi/pt?id=nc01.ark:/13960/t9183d98b;view=1up;seq=252</v>
      </c>
      <c r="R568" s="27" t="s">
        <v>521</v>
      </c>
      <c r="S568" s="27" t="s">
        <v>522</v>
      </c>
      <c r="T568" s="27" t="str">
        <f t="shared" si="50"/>
        <v>https://babel.hathitrust.org/cgi/pt?id=nc01.ark:/13960/t9183d98b;view=1up;seq=112</v>
      </c>
      <c r="U568" s="4"/>
      <c r="V568" s="4"/>
      <c r="W568" s="4"/>
      <c r="X568" s="4"/>
      <c r="Y568" s="4"/>
      <c r="Z568" s="4"/>
      <c r="AA568" s="4"/>
      <c r="AB568" s="4"/>
    </row>
    <row r="569" spans="1:28" x14ac:dyDescent="0.25">
      <c r="A569" s="27" t="s">
        <v>1146</v>
      </c>
      <c r="B569" s="27" t="str">
        <f t="shared" si="44"/>
        <v>North Carolina</v>
      </c>
      <c r="C569" s="27" t="str">
        <f t="shared" si="45"/>
        <v>Camden</v>
      </c>
      <c r="D569" s="27">
        <v>640</v>
      </c>
      <c r="E569" s="27">
        <v>28</v>
      </c>
      <c r="F569" s="26">
        <f>'NC pre'!J16</f>
        <v>88.882352941176464</v>
      </c>
      <c r="G569" s="27">
        <v>1128</v>
      </c>
      <c r="H569" s="12">
        <f>'NC pre'!N16</f>
        <v>34.018663136995364</v>
      </c>
      <c r="I569" s="12">
        <v>7687.46</v>
      </c>
      <c r="J569" s="27">
        <v>20</v>
      </c>
      <c r="K569" s="12">
        <f>'NC pre'!Q16</f>
        <v>871.97</v>
      </c>
      <c r="L569" s="27">
        <v>1905</v>
      </c>
      <c r="M569" s="27" t="s">
        <v>518</v>
      </c>
      <c r="N569" s="27" t="s">
        <v>519</v>
      </c>
      <c r="O569" s="27" t="str">
        <f t="shared" si="48"/>
        <v>https://babel.hathitrust.org/cgi/pt?id=nc01.ark:/13960/t9183d98b;view=1up;seq=252</v>
      </c>
      <c r="P569" s="27" t="s">
        <v>518</v>
      </c>
      <c r="Q569" s="27" t="str">
        <f t="shared" si="49"/>
        <v>https://babel.hathitrust.org/cgi/pt?id=nc01.ark:/13960/t9183d98b;view=1up;seq=252</v>
      </c>
      <c r="R569" s="27" t="s">
        <v>521</v>
      </c>
      <c r="S569" s="27" t="s">
        <v>522</v>
      </c>
      <c r="T569" s="27" t="str">
        <f t="shared" si="50"/>
        <v>https://babel.hathitrust.org/cgi/pt?id=nc01.ark:/13960/t9183d98b;view=1up;seq=112</v>
      </c>
      <c r="U569" s="4"/>
      <c r="V569" s="4"/>
      <c r="W569" s="4"/>
      <c r="X569" s="4"/>
      <c r="Y569" s="4"/>
      <c r="Z569" s="4"/>
      <c r="AA569" s="4"/>
      <c r="AB569" s="4"/>
    </row>
    <row r="570" spans="1:28" x14ac:dyDescent="0.25">
      <c r="A570" s="27" t="s">
        <v>1147</v>
      </c>
      <c r="B570" s="27" t="str">
        <f t="shared" si="44"/>
        <v>North Carolina</v>
      </c>
      <c r="C570" s="27" t="str">
        <f t="shared" si="45"/>
        <v>Carteret</v>
      </c>
      <c r="D570" s="27">
        <v>1178</v>
      </c>
      <c r="E570" s="27">
        <v>38</v>
      </c>
      <c r="F570" s="26">
        <f>'NC pre'!J17</f>
        <v>79</v>
      </c>
      <c r="G570" s="2">
        <v>1936</v>
      </c>
      <c r="H570" s="12">
        <f>'NC pre'!N17</f>
        <v>34.493151574164237</v>
      </c>
      <c r="I570" s="12">
        <v>8605.09</v>
      </c>
      <c r="J570" s="27">
        <v>31</v>
      </c>
      <c r="K570" s="12">
        <f>'NC pre'!Q17</f>
        <v>2704.8</v>
      </c>
      <c r="L570" s="27">
        <v>1905</v>
      </c>
      <c r="M570" s="27" t="s">
        <v>523</v>
      </c>
      <c r="N570" s="27" t="s">
        <v>519</v>
      </c>
      <c r="O570" s="27" t="str">
        <f t="shared" si="48"/>
        <v>https://babel.hathitrust.org/cgi/pt?id=nc01.ark:/13960/t9183d98b;view=1up;seq=252</v>
      </c>
      <c r="P570" s="27" t="s">
        <v>523</v>
      </c>
      <c r="Q570" s="27" t="str">
        <f t="shared" si="49"/>
        <v>https://babel.hathitrust.org/cgi/pt?id=nc01.ark:/13960/t9183d98b;view=1up;seq=252</v>
      </c>
      <c r="R570" s="27" t="s">
        <v>521</v>
      </c>
      <c r="S570" s="27" t="s">
        <v>522</v>
      </c>
      <c r="T570" s="27" t="str">
        <f t="shared" si="50"/>
        <v>https://babel.hathitrust.org/cgi/pt?id=nc01.ark:/13960/t9183d98b;view=1up;seq=112</v>
      </c>
      <c r="U570" s="4"/>
      <c r="V570" s="4"/>
      <c r="W570" s="4"/>
      <c r="X570" s="4"/>
      <c r="Y570" s="4"/>
      <c r="Z570" s="4"/>
      <c r="AA570" s="4"/>
      <c r="AB570" s="4"/>
    </row>
    <row r="571" spans="1:28" x14ac:dyDescent="0.25">
      <c r="A571" s="27" t="s">
        <v>1148</v>
      </c>
      <c r="B571" s="27" t="str">
        <f t="shared" si="44"/>
        <v>North Carolina</v>
      </c>
      <c r="C571" s="27" t="str">
        <f t="shared" si="45"/>
        <v>Caswell</v>
      </c>
      <c r="D571" s="2">
        <v>2581</v>
      </c>
      <c r="E571" s="2">
        <v>77</v>
      </c>
      <c r="F571" s="26">
        <f>'NC pre'!J18</f>
        <v>69.219512195121951</v>
      </c>
      <c r="G571" s="2">
        <v>3932</v>
      </c>
      <c r="H571" s="12">
        <f>'NC pre'!N18</f>
        <v>29.916948555320651</v>
      </c>
      <c r="I571" s="12">
        <v>11759.26</v>
      </c>
      <c r="J571" s="27">
        <v>43</v>
      </c>
      <c r="K571" s="12">
        <f>'NC pre'!Q18</f>
        <v>1327.05</v>
      </c>
      <c r="L571" s="27">
        <v>1905</v>
      </c>
      <c r="M571" s="27" t="s">
        <v>518</v>
      </c>
      <c r="N571" s="27" t="s">
        <v>519</v>
      </c>
      <c r="O571" s="27" t="str">
        <f t="shared" si="48"/>
        <v>https://babel.hathitrust.org/cgi/pt?id=nc01.ark:/13960/t9183d98b;view=1up;seq=252</v>
      </c>
      <c r="P571" s="27" t="s">
        <v>518</v>
      </c>
      <c r="Q571" s="27" t="str">
        <f t="shared" si="49"/>
        <v>https://babel.hathitrust.org/cgi/pt?id=nc01.ark:/13960/t9183d98b;view=1up;seq=252</v>
      </c>
      <c r="R571" s="27" t="s">
        <v>521</v>
      </c>
      <c r="S571" s="27" t="s">
        <v>522</v>
      </c>
      <c r="T571" s="27" t="str">
        <f t="shared" si="50"/>
        <v>https://babel.hathitrust.org/cgi/pt?id=nc01.ark:/13960/t9183d98b;view=1up;seq=112</v>
      </c>
      <c r="U571" s="4"/>
      <c r="V571" s="4"/>
      <c r="W571" s="4"/>
      <c r="X571" s="4"/>
      <c r="Y571" s="4"/>
      <c r="Z571" s="4"/>
      <c r="AA571" s="4"/>
      <c r="AB571" s="4"/>
    </row>
    <row r="572" spans="1:28" x14ac:dyDescent="0.25">
      <c r="A572" s="27" t="s">
        <v>1149</v>
      </c>
      <c r="B572" s="27" t="str">
        <f t="shared" si="44"/>
        <v>North Carolina</v>
      </c>
      <c r="C572" s="27" t="str">
        <f t="shared" si="45"/>
        <v>Catawba</v>
      </c>
      <c r="D572" s="2">
        <v>3643</v>
      </c>
      <c r="E572" s="27">
        <v>114</v>
      </c>
      <c r="F572" s="26">
        <f>'NC pre'!J19</f>
        <v>90.840909090909093</v>
      </c>
      <c r="G572" s="2">
        <v>5621</v>
      </c>
      <c r="H572" s="12">
        <f>'NC pre'!N19</f>
        <v>27.05042114919523</v>
      </c>
      <c r="I572" s="12">
        <v>26636.799999999999</v>
      </c>
      <c r="J572" s="27">
        <v>79</v>
      </c>
      <c r="K572" s="12">
        <f>'NC pre'!Q19</f>
        <v>6170.65</v>
      </c>
      <c r="L572" s="27">
        <v>1905</v>
      </c>
      <c r="M572" s="27" t="s">
        <v>523</v>
      </c>
      <c r="N572" s="27" t="s">
        <v>519</v>
      </c>
      <c r="O572" s="27" t="str">
        <f t="shared" si="48"/>
        <v>https://babel.hathitrust.org/cgi/pt?id=nc01.ark:/13960/t9183d98b;view=1up;seq=252</v>
      </c>
      <c r="P572" s="27" t="s">
        <v>523</v>
      </c>
      <c r="Q572" s="27" t="str">
        <f t="shared" si="49"/>
        <v>https://babel.hathitrust.org/cgi/pt?id=nc01.ark:/13960/t9183d98b;view=1up;seq=252</v>
      </c>
      <c r="R572" s="27" t="s">
        <v>521</v>
      </c>
      <c r="S572" s="27" t="s">
        <v>522</v>
      </c>
      <c r="T572" s="27" t="str">
        <f t="shared" si="50"/>
        <v>https://babel.hathitrust.org/cgi/pt?id=nc01.ark:/13960/t9183d98b;view=1up;seq=112</v>
      </c>
      <c r="U572" s="4"/>
      <c r="V572" s="4"/>
      <c r="W572" s="4"/>
      <c r="X572" s="4"/>
      <c r="Y572" s="4"/>
      <c r="Z572" s="4"/>
      <c r="AA572" s="4"/>
      <c r="AB572" s="4"/>
    </row>
    <row r="573" spans="1:28" x14ac:dyDescent="0.25">
      <c r="A573" s="27" t="s">
        <v>1150</v>
      </c>
      <c r="B573" s="27" t="str">
        <f t="shared" si="44"/>
        <v>North Carolina</v>
      </c>
      <c r="C573" s="27" t="str">
        <f t="shared" si="45"/>
        <v>Chatham</v>
      </c>
      <c r="D573" s="2">
        <v>3658</v>
      </c>
      <c r="E573" s="2">
        <v>130</v>
      </c>
      <c r="F573" s="26">
        <f>'NC pre'!J20</f>
        <v>77.425531914893611</v>
      </c>
      <c r="G573" s="2">
        <v>5674</v>
      </c>
      <c r="H573" s="12">
        <f>'NC pre'!N20</f>
        <v>65.907062379774672</v>
      </c>
      <c r="I573" s="12">
        <v>21637.68</v>
      </c>
      <c r="J573" s="27">
        <v>79</v>
      </c>
      <c r="K573" s="12">
        <f>'NC pre'!Q20</f>
        <v>1446.2</v>
      </c>
      <c r="L573" s="27">
        <v>1905</v>
      </c>
      <c r="M573" s="27" t="s">
        <v>518</v>
      </c>
      <c r="N573" s="27" t="s">
        <v>519</v>
      </c>
      <c r="O573" s="27" t="str">
        <f t="shared" si="48"/>
        <v>https://babel.hathitrust.org/cgi/pt?id=nc01.ark:/13960/t9183d98b;view=1up;seq=252</v>
      </c>
      <c r="P573" s="27" t="s">
        <v>518</v>
      </c>
      <c r="Q573" s="27" t="str">
        <f t="shared" si="49"/>
        <v>https://babel.hathitrust.org/cgi/pt?id=nc01.ark:/13960/t9183d98b;view=1up;seq=252</v>
      </c>
      <c r="R573" s="27" t="s">
        <v>521</v>
      </c>
      <c r="S573" s="27" t="s">
        <v>522</v>
      </c>
      <c r="T573" s="27" t="str">
        <f t="shared" si="50"/>
        <v>https://babel.hathitrust.org/cgi/pt?id=nc01.ark:/13960/t9183d98b;view=1up;seq=112</v>
      </c>
      <c r="U573" s="4"/>
      <c r="V573" s="4"/>
      <c r="W573" s="4"/>
      <c r="X573" s="4"/>
      <c r="Y573" s="4"/>
      <c r="Z573" s="4"/>
      <c r="AA573" s="4"/>
      <c r="AB573" s="4"/>
    </row>
    <row r="574" spans="1:28" x14ac:dyDescent="0.25">
      <c r="A574" s="27" t="s">
        <v>1151</v>
      </c>
      <c r="B574" s="27" t="str">
        <f t="shared" si="44"/>
        <v>North Carolina</v>
      </c>
      <c r="C574" s="27" t="str">
        <f t="shared" si="45"/>
        <v>Cherokee</v>
      </c>
      <c r="D574" s="2">
        <v>1812</v>
      </c>
      <c r="E574" s="27">
        <v>54</v>
      </c>
      <c r="F574" s="26">
        <f>'NC pre'!J21</f>
        <v>83.757575757575751</v>
      </c>
      <c r="G574" s="2">
        <v>3272</v>
      </c>
      <c r="H574" s="12">
        <f>'NC pre'!N21</f>
        <v>29.795332850940667</v>
      </c>
      <c r="I574" s="12">
        <v>11883.72</v>
      </c>
      <c r="J574" s="27">
        <v>42</v>
      </c>
      <c r="K574" s="12">
        <f>'NC pre'!Q21</f>
        <v>1643.2</v>
      </c>
      <c r="L574" s="27">
        <v>1905</v>
      </c>
      <c r="M574" s="27" t="s">
        <v>523</v>
      </c>
      <c r="N574" s="27" t="s">
        <v>519</v>
      </c>
      <c r="O574" s="27" t="str">
        <f t="shared" si="48"/>
        <v>https://babel.hathitrust.org/cgi/pt?id=nc01.ark:/13960/t9183d98b;view=1up;seq=252</v>
      </c>
      <c r="P574" s="27" t="s">
        <v>523</v>
      </c>
      <c r="Q574" s="27" t="str">
        <f t="shared" si="49"/>
        <v>https://babel.hathitrust.org/cgi/pt?id=nc01.ark:/13960/t9183d98b;view=1up;seq=252</v>
      </c>
      <c r="R574" s="27" t="s">
        <v>521</v>
      </c>
      <c r="S574" s="27" t="s">
        <v>522</v>
      </c>
      <c r="T574" s="27" t="str">
        <f t="shared" si="50"/>
        <v>https://babel.hathitrust.org/cgi/pt?id=nc01.ark:/13960/t9183d98b;view=1up;seq=112</v>
      </c>
      <c r="U574" s="4"/>
      <c r="V574" s="4"/>
      <c r="W574" s="4"/>
      <c r="X574" s="4"/>
      <c r="Y574" s="4"/>
      <c r="Z574" s="4"/>
      <c r="AA574" s="4"/>
      <c r="AB574" s="4"/>
    </row>
    <row r="575" spans="1:28" x14ac:dyDescent="0.25">
      <c r="A575" s="27" t="s">
        <v>1152</v>
      </c>
      <c r="B575" s="27" t="str">
        <f t="shared" si="44"/>
        <v>North Carolina</v>
      </c>
      <c r="C575" s="27" t="str">
        <f t="shared" si="45"/>
        <v>Chowan</v>
      </c>
      <c r="D575" s="27">
        <v>1338</v>
      </c>
      <c r="E575" s="2">
        <v>48</v>
      </c>
      <c r="F575" s="26">
        <f>'NC pre'!J22</f>
        <v>126.75</v>
      </c>
      <c r="G575" s="2">
        <v>2490</v>
      </c>
      <c r="H575" s="12">
        <f>'NC pre'!N22</f>
        <v>24.248454963839581</v>
      </c>
      <c r="I575" s="12">
        <v>13511.33</v>
      </c>
      <c r="J575" s="27">
        <v>20</v>
      </c>
      <c r="K575" s="12">
        <f>'NC pre'!Q22</f>
        <v>3159.99</v>
      </c>
      <c r="L575" s="27">
        <v>1905</v>
      </c>
      <c r="M575" s="27" t="s">
        <v>518</v>
      </c>
      <c r="N575" s="27" t="s">
        <v>519</v>
      </c>
      <c r="O575" s="27" t="str">
        <f t="shared" si="48"/>
        <v>https://babel.hathitrust.org/cgi/pt?id=nc01.ark:/13960/t9183d98b;view=1up;seq=252</v>
      </c>
      <c r="P575" s="27" t="s">
        <v>518</v>
      </c>
      <c r="Q575" s="27" t="str">
        <f t="shared" si="49"/>
        <v>https://babel.hathitrust.org/cgi/pt?id=nc01.ark:/13960/t9183d98b;view=1up;seq=252</v>
      </c>
      <c r="R575" s="27" t="s">
        <v>521</v>
      </c>
      <c r="S575" s="27" t="s">
        <v>522</v>
      </c>
      <c r="T575" s="27" t="str">
        <f t="shared" si="50"/>
        <v>https://babel.hathitrust.org/cgi/pt?id=nc01.ark:/13960/t9183d98b;view=1up;seq=112</v>
      </c>
      <c r="U575" s="4"/>
      <c r="V575" s="4"/>
      <c r="W575" s="4"/>
      <c r="X575" s="4"/>
      <c r="Y575" s="4"/>
      <c r="Z575" s="4"/>
      <c r="AA575" s="4"/>
      <c r="AB575" s="4"/>
    </row>
    <row r="576" spans="1:28" x14ac:dyDescent="0.25">
      <c r="A576" s="27" t="s">
        <v>1153</v>
      </c>
      <c r="B576" s="27" t="str">
        <f t="shared" si="44"/>
        <v>North Carolina</v>
      </c>
      <c r="C576" s="27" t="str">
        <f t="shared" si="45"/>
        <v>Clay</v>
      </c>
      <c r="D576" s="27">
        <v>601</v>
      </c>
      <c r="E576" s="27">
        <v>23</v>
      </c>
      <c r="F576" s="26">
        <f>'NC pre'!J23</f>
        <v>67.095238095238102</v>
      </c>
      <c r="G576" s="2">
        <v>1150</v>
      </c>
      <c r="H576" s="12">
        <f>'NC pre'!N23</f>
        <v>24.850390347764368</v>
      </c>
      <c r="I576" s="12">
        <v>2181.08</v>
      </c>
      <c r="J576" s="27">
        <v>1</v>
      </c>
      <c r="K576" s="12">
        <f>'NC pre'!Q23</f>
        <v>52.5</v>
      </c>
      <c r="L576" s="27">
        <v>1905</v>
      </c>
      <c r="M576" s="27" t="s">
        <v>523</v>
      </c>
      <c r="N576" s="27" t="s">
        <v>519</v>
      </c>
      <c r="O576" s="27" t="str">
        <f t="shared" si="48"/>
        <v>https://babel.hathitrust.org/cgi/pt?id=nc01.ark:/13960/t9183d98b;view=1up;seq=252</v>
      </c>
      <c r="P576" s="27" t="s">
        <v>523</v>
      </c>
      <c r="Q576" s="27" t="str">
        <f t="shared" si="49"/>
        <v>https://babel.hathitrust.org/cgi/pt?id=nc01.ark:/13960/t9183d98b;view=1up;seq=252</v>
      </c>
      <c r="R576" s="27" t="s">
        <v>521</v>
      </c>
      <c r="S576" s="27" t="s">
        <v>522</v>
      </c>
      <c r="T576" s="27" t="str">
        <f t="shared" si="50"/>
        <v>https://babel.hathitrust.org/cgi/pt?id=nc01.ark:/13960/t9183d98b;view=1up;seq=112</v>
      </c>
      <c r="U576" s="4"/>
      <c r="V576" s="4"/>
      <c r="W576" s="4"/>
      <c r="X576" s="4"/>
      <c r="Y576" s="4"/>
      <c r="Z576" s="4"/>
      <c r="AA576" s="4"/>
      <c r="AB576" s="4"/>
    </row>
    <row r="577" spans="1:28" x14ac:dyDescent="0.25">
      <c r="A577" s="27" t="s">
        <v>1154</v>
      </c>
      <c r="B577" s="27" t="str">
        <f t="shared" si="44"/>
        <v>North Carolina</v>
      </c>
      <c r="C577" s="27" t="str">
        <f t="shared" si="45"/>
        <v>Cleveland</v>
      </c>
      <c r="D577" s="2">
        <v>4413</v>
      </c>
      <c r="E577" s="2">
        <v>191</v>
      </c>
      <c r="F577" s="26">
        <f>'NC pre'!J24</f>
        <v>77</v>
      </c>
      <c r="G577" s="2">
        <v>6100</v>
      </c>
      <c r="H577" s="12">
        <f>'NC pre'!N24</f>
        <v>25.594921744921745</v>
      </c>
      <c r="I577" s="12">
        <v>24224.16</v>
      </c>
      <c r="J577" s="27">
        <v>18</v>
      </c>
      <c r="K577" s="12">
        <f>'NC pre'!Q24</f>
        <v>8602.36</v>
      </c>
      <c r="L577" s="27">
        <v>1905</v>
      </c>
      <c r="M577" s="27" t="s">
        <v>518</v>
      </c>
      <c r="N577" s="27" t="s">
        <v>519</v>
      </c>
      <c r="O577" s="27" t="str">
        <f t="shared" si="48"/>
        <v>https://babel.hathitrust.org/cgi/pt?id=nc01.ark:/13960/t9183d98b;view=1up;seq=252</v>
      </c>
      <c r="P577" s="27" t="s">
        <v>518</v>
      </c>
      <c r="Q577" s="27" t="str">
        <f t="shared" si="49"/>
        <v>https://babel.hathitrust.org/cgi/pt?id=nc01.ark:/13960/t9183d98b;view=1up;seq=252</v>
      </c>
      <c r="R577" s="27" t="s">
        <v>521</v>
      </c>
      <c r="S577" s="27" t="s">
        <v>522</v>
      </c>
      <c r="T577" s="27" t="str">
        <f t="shared" si="50"/>
        <v>https://babel.hathitrust.org/cgi/pt?id=nc01.ark:/13960/t9183d98b;view=1up;seq=112</v>
      </c>
      <c r="U577" s="4"/>
      <c r="V577" s="4"/>
      <c r="W577" s="4"/>
      <c r="X577" s="4"/>
      <c r="Y577" s="4"/>
      <c r="Z577" s="4"/>
      <c r="AA577" s="4"/>
      <c r="AB577" s="4"/>
    </row>
    <row r="578" spans="1:28" x14ac:dyDescent="0.25">
      <c r="A578" s="27" t="s">
        <v>1155</v>
      </c>
      <c r="B578" s="27" t="str">
        <f t="shared" si="44"/>
        <v>North Carolina</v>
      </c>
      <c r="C578" s="27" t="str">
        <f t="shared" si="45"/>
        <v>Columbus</v>
      </c>
      <c r="D578" s="2">
        <v>3555</v>
      </c>
      <c r="E578" s="2">
        <v>126</v>
      </c>
      <c r="F578" s="26">
        <f>'NC pre'!J25</f>
        <v>77.293233082706763</v>
      </c>
      <c r="G578" s="2">
        <v>6104</v>
      </c>
      <c r="H578" s="12">
        <f>'NC pre'!N25</f>
        <v>27.843112840466929</v>
      </c>
      <c r="I578" s="12">
        <v>19228.32</v>
      </c>
      <c r="J578" s="27">
        <v>1</v>
      </c>
      <c r="K578" s="12">
        <f>'NC pre'!Q25</f>
        <v>1983.65</v>
      </c>
      <c r="L578" s="27">
        <v>1905</v>
      </c>
      <c r="M578" s="27" t="s">
        <v>523</v>
      </c>
      <c r="N578" s="27" t="s">
        <v>519</v>
      </c>
      <c r="O578" s="27" t="str">
        <f t="shared" si="48"/>
        <v>https://babel.hathitrust.org/cgi/pt?id=nc01.ark:/13960/t9183d98b;view=1up;seq=252</v>
      </c>
      <c r="P578" s="27" t="s">
        <v>523</v>
      </c>
      <c r="Q578" s="27" t="str">
        <f t="shared" si="49"/>
        <v>https://babel.hathitrust.org/cgi/pt?id=nc01.ark:/13960/t9183d98b;view=1up;seq=252</v>
      </c>
      <c r="R578" s="27" t="s">
        <v>521</v>
      </c>
      <c r="S578" s="27" t="s">
        <v>522</v>
      </c>
      <c r="T578" s="27" t="str">
        <f t="shared" si="50"/>
        <v>https://babel.hathitrust.org/cgi/pt?id=nc01.ark:/13960/t9183d98b;view=1up;seq=112</v>
      </c>
      <c r="U578" s="4"/>
      <c r="V578" s="4"/>
      <c r="W578" s="4"/>
      <c r="X578" s="4"/>
      <c r="Y578" s="4"/>
      <c r="Z578" s="4"/>
      <c r="AA578" s="4"/>
      <c r="AB578" s="4"/>
    </row>
    <row r="579" spans="1:28" x14ac:dyDescent="0.25">
      <c r="A579" s="27" t="s">
        <v>1156</v>
      </c>
      <c r="B579" s="27" t="str">
        <f t="shared" si="44"/>
        <v>North Carolina</v>
      </c>
      <c r="C579" s="27" t="str">
        <f t="shared" si="45"/>
        <v>Craven</v>
      </c>
      <c r="D579" s="2">
        <v>2608</v>
      </c>
      <c r="E579" s="2">
        <v>107</v>
      </c>
      <c r="F579" s="26">
        <f>'NC pre'!J26</f>
        <v>100.13207547169812</v>
      </c>
      <c r="G579" s="2">
        <v>4559</v>
      </c>
      <c r="H579" s="12">
        <f>'NC pre'!N26</f>
        <v>31.252289429055963</v>
      </c>
      <c r="I579" s="12">
        <v>22247.23</v>
      </c>
      <c r="J579" s="27">
        <v>90</v>
      </c>
      <c r="K579" s="12">
        <f>'NC pre'!Q26</f>
        <v>12092.94</v>
      </c>
      <c r="L579" s="27">
        <v>1905</v>
      </c>
      <c r="M579" s="27" t="s">
        <v>518</v>
      </c>
      <c r="N579" s="27" t="s">
        <v>519</v>
      </c>
      <c r="O579" s="27" t="str">
        <f t="shared" si="48"/>
        <v>https://babel.hathitrust.org/cgi/pt?id=nc01.ark:/13960/t9183d98b;view=1up;seq=252</v>
      </c>
      <c r="P579" s="27" t="s">
        <v>518</v>
      </c>
      <c r="Q579" s="27" t="str">
        <f t="shared" si="49"/>
        <v>https://babel.hathitrust.org/cgi/pt?id=nc01.ark:/13960/t9183d98b;view=1up;seq=252</v>
      </c>
      <c r="R579" s="27" t="s">
        <v>521</v>
      </c>
      <c r="S579" s="27" t="s">
        <v>522</v>
      </c>
      <c r="T579" s="27" t="str">
        <f t="shared" si="50"/>
        <v>https://babel.hathitrust.org/cgi/pt?id=nc01.ark:/13960/t9183d98b;view=1up;seq=112</v>
      </c>
      <c r="U579" s="4"/>
      <c r="V579" s="4"/>
      <c r="W579" s="4"/>
      <c r="X579" s="4"/>
      <c r="Y579" s="4"/>
      <c r="Z579" s="4"/>
      <c r="AA579" s="4"/>
      <c r="AB579" s="4"/>
    </row>
    <row r="580" spans="1:28" x14ac:dyDescent="0.25">
      <c r="A580" s="27" t="s">
        <v>1157</v>
      </c>
      <c r="B580" s="27" t="str">
        <f t="shared" si="44"/>
        <v>North Carolina</v>
      </c>
      <c r="C580" s="27" t="str">
        <f t="shared" si="45"/>
        <v>Cumberland</v>
      </c>
      <c r="D580" s="2">
        <v>5330</v>
      </c>
      <c r="E580" s="2">
        <v>169</v>
      </c>
      <c r="F580" s="26">
        <f>'NC pre'!J27</f>
        <v>89.68</v>
      </c>
      <c r="G580" s="2">
        <v>8190</v>
      </c>
      <c r="H580" s="12">
        <f>'NC pre'!N27</f>
        <v>27.643863897030712</v>
      </c>
      <c r="I580" s="12">
        <v>34944.36</v>
      </c>
      <c r="J580" s="27">
        <v>75</v>
      </c>
      <c r="K580" s="12">
        <f>'NC pre'!Q27</f>
        <v>7432.81</v>
      </c>
      <c r="L580" s="27">
        <v>1905</v>
      </c>
      <c r="M580" s="27" t="s">
        <v>523</v>
      </c>
      <c r="N580" s="27" t="s">
        <v>519</v>
      </c>
      <c r="O580" s="27" t="str">
        <f t="shared" si="48"/>
        <v>https://babel.hathitrust.org/cgi/pt?id=nc01.ark:/13960/t9183d98b;view=1up;seq=252</v>
      </c>
      <c r="P580" s="27" t="s">
        <v>523</v>
      </c>
      <c r="Q580" s="27" t="str">
        <f t="shared" si="49"/>
        <v>https://babel.hathitrust.org/cgi/pt?id=nc01.ark:/13960/t9183d98b;view=1up;seq=252</v>
      </c>
      <c r="R580" s="27" t="s">
        <v>521</v>
      </c>
      <c r="S580" s="27" t="s">
        <v>522</v>
      </c>
      <c r="T580" s="27" t="str">
        <f t="shared" si="50"/>
        <v>https://babel.hathitrust.org/cgi/pt?id=nc01.ark:/13960/t9183d98b;view=1up;seq=112</v>
      </c>
      <c r="U580" s="4"/>
      <c r="V580" s="4"/>
      <c r="W580" s="4"/>
      <c r="X580" s="4"/>
      <c r="Y580" s="4"/>
      <c r="Z580" s="4"/>
      <c r="AA580" s="4"/>
      <c r="AB580" s="4"/>
    </row>
    <row r="581" spans="1:28" x14ac:dyDescent="0.25">
      <c r="A581" s="27" t="s">
        <v>1158</v>
      </c>
      <c r="B581" s="27" t="str">
        <f t="shared" si="44"/>
        <v>North Carolina</v>
      </c>
      <c r="C581" s="27" t="str">
        <f t="shared" si="45"/>
        <v>Currituck</v>
      </c>
      <c r="D581" s="2">
        <v>1647</v>
      </c>
      <c r="E581" s="2">
        <v>46</v>
      </c>
      <c r="F581" s="26">
        <f>'NC pre'!J28</f>
        <v>85.352941176470594</v>
      </c>
      <c r="G581" s="2">
        <v>1841</v>
      </c>
      <c r="H581" s="12">
        <f>'NC pre'!N28</f>
        <v>21.700390535263036</v>
      </c>
      <c r="I581" s="12">
        <v>6811.69</v>
      </c>
      <c r="J581" s="27">
        <v>36</v>
      </c>
      <c r="K581" s="12">
        <f>'NC pre'!Q28</f>
        <v>1471.72</v>
      </c>
      <c r="L581" s="27">
        <v>1905</v>
      </c>
      <c r="M581" s="27" t="s">
        <v>518</v>
      </c>
      <c r="N581" s="27" t="s">
        <v>519</v>
      </c>
      <c r="O581" s="27" t="str">
        <f t="shared" si="48"/>
        <v>https://babel.hathitrust.org/cgi/pt?id=nc01.ark:/13960/t9183d98b;view=1up;seq=252</v>
      </c>
      <c r="P581" s="27" t="s">
        <v>518</v>
      </c>
      <c r="Q581" s="27" t="str">
        <f t="shared" si="49"/>
        <v>https://babel.hathitrust.org/cgi/pt?id=nc01.ark:/13960/t9183d98b;view=1up;seq=252</v>
      </c>
      <c r="R581" s="27" t="s">
        <v>521</v>
      </c>
      <c r="S581" s="27" t="s">
        <v>522</v>
      </c>
      <c r="T581" s="27" t="str">
        <f t="shared" si="50"/>
        <v>https://babel.hathitrust.org/cgi/pt?id=nc01.ark:/13960/t9183d98b;view=1up;seq=112</v>
      </c>
      <c r="U581" s="4"/>
      <c r="V581" s="4"/>
      <c r="W581" s="4"/>
      <c r="X581" s="4"/>
      <c r="Y581" s="4"/>
      <c r="Z581" s="4"/>
      <c r="AA581" s="4"/>
      <c r="AB581" s="4"/>
    </row>
    <row r="582" spans="1:28" x14ac:dyDescent="0.25">
      <c r="A582" s="27" t="s">
        <v>1159</v>
      </c>
      <c r="B582" s="27" t="str">
        <f t="shared" si="44"/>
        <v>North Carolina</v>
      </c>
      <c r="C582" s="27" t="str">
        <f t="shared" si="45"/>
        <v>Dare</v>
      </c>
      <c r="D582" s="27">
        <v>904</v>
      </c>
      <c r="E582" s="2">
        <v>28</v>
      </c>
      <c r="F582" s="26">
        <f>'NC pre'!J29</f>
        <v>95.416666666666671</v>
      </c>
      <c r="G582" s="2">
        <v>1271</v>
      </c>
      <c r="H582" s="12">
        <f>'NC pre'!N29</f>
        <v>27.435749636098976</v>
      </c>
      <c r="I582" s="12">
        <v>5759.59</v>
      </c>
      <c r="J582" s="27">
        <v>18</v>
      </c>
      <c r="K582" s="12">
        <f>'NC pre'!Q29</f>
        <v>911.42</v>
      </c>
      <c r="L582" s="27">
        <v>1905</v>
      </c>
      <c r="M582" s="27" t="s">
        <v>523</v>
      </c>
      <c r="N582" s="27" t="s">
        <v>519</v>
      </c>
      <c r="O582" s="27" t="str">
        <f t="shared" si="48"/>
        <v>https://babel.hathitrust.org/cgi/pt?id=nc01.ark:/13960/t9183d98b;view=1up;seq=252</v>
      </c>
      <c r="P582" s="27" t="s">
        <v>523</v>
      </c>
      <c r="Q582" s="27" t="str">
        <f t="shared" si="49"/>
        <v>https://babel.hathitrust.org/cgi/pt?id=nc01.ark:/13960/t9183d98b;view=1up;seq=252</v>
      </c>
      <c r="R582" s="27" t="s">
        <v>521</v>
      </c>
      <c r="S582" s="27" t="s">
        <v>522</v>
      </c>
      <c r="T582" s="27" t="str">
        <f t="shared" si="50"/>
        <v>https://babel.hathitrust.org/cgi/pt?id=nc01.ark:/13960/t9183d98b;view=1up;seq=112</v>
      </c>
      <c r="U582" s="4"/>
      <c r="V582" s="4"/>
      <c r="W582" s="4"/>
      <c r="X582" s="4"/>
      <c r="Y582" s="4"/>
      <c r="Z582" s="4"/>
      <c r="AA582" s="4"/>
      <c r="AB582" s="4"/>
    </row>
    <row r="583" spans="1:28" x14ac:dyDescent="0.25">
      <c r="A583" s="27" t="s">
        <v>1160</v>
      </c>
      <c r="B583" s="27" t="str">
        <f t="shared" ref="B583:B646" si="51">LEFT(A583,FIND(";",A583)-1)</f>
        <v>North Carolina</v>
      </c>
      <c r="C583" s="27" t="str">
        <f t="shared" ref="C583:C646" si="52">MID(A583,FIND(";",A583)+1,100)</f>
        <v>Davidson</v>
      </c>
      <c r="D583" s="2">
        <v>4058</v>
      </c>
      <c r="E583" s="2">
        <v>133</v>
      </c>
      <c r="F583" s="26">
        <f>'NC pre'!J30</f>
        <v>84.12408759124088</v>
      </c>
      <c r="G583" s="2">
        <v>6603</v>
      </c>
      <c r="H583" s="12">
        <f>'NC pre'!N30</f>
        <v>28.038004338394796</v>
      </c>
      <c r="I583" s="12">
        <v>37270</v>
      </c>
      <c r="J583" s="27">
        <v>85</v>
      </c>
      <c r="K583" s="12">
        <f>'NC pre'!Q30</f>
        <v>3668.84</v>
      </c>
      <c r="L583" s="27">
        <v>1905</v>
      </c>
      <c r="M583" s="27" t="s">
        <v>518</v>
      </c>
      <c r="N583" s="27" t="s">
        <v>519</v>
      </c>
      <c r="O583" s="27" t="str">
        <f t="shared" si="48"/>
        <v>https://babel.hathitrust.org/cgi/pt?id=nc01.ark:/13960/t9183d98b;view=1up;seq=252</v>
      </c>
      <c r="P583" s="27" t="s">
        <v>518</v>
      </c>
      <c r="Q583" s="27" t="str">
        <f t="shared" si="49"/>
        <v>https://babel.hathitrust.org/cgi/pt?id=nc01.ark:/13960/t9183d98b;view=1up;seq=252</v>
      </c>
      <c r="R583" s="27" t="s">
        <v>521</v>
      </c>
      <c r="S583" s="27" t="s">
        <v>522</v>
      </c>
      <c r="T583" s="27" t="str">
        <f t="shared" si="50"/>
        <v>https://babel.hathitrust.org/cgi/pt?id=nc01.ark:/13960/t9183d98b;view=1up;seq=112</v>
      </c>
      <c r="U583" s="4"/>
      <c r="V583" s="4"/>
      <c r="W583" s="4"/>
      <c r="X583" s="4"/>
      <c r="Y583" s="4"/>
      <c r="Z583" s="4"/>
      <c r="AA583" s="4"/>
      <c r="AB583" s="4"/>
    </row>
    <row r="584" spans="1:28" x14ac:dyDescent="0.25">
      <c r="A584" s="27" t="s">
        <v>1161</v>
      </c>
      <c r="B584" s="27" t="str">
        <f t="shared" si="51"/>
        <v>North Carolina</v>
      </c>
      <c r="C584" s="27" t="str">
        <f t="shared" si="52"/>
        <v>Davie</v>
      </c>
      <c r="D584" s="2">
        <v>1594</v>
      </c>
      <c r="E584" s="2">
        <v>68</v>
      </c>
      <c r="F584" s="26">
        <f>'NC pre'!J31</f>
        <v>81.615384615384613</v>
      </c>
      <c r="G584" s="2">
        <v>3161</v>
      </c>
      <c r="H584" s="12">
        <f>'NC pre'!N31</f>
        <v>27.336588124410934</v>
      </c>
      <c r="I584" s="12">
        <v>8798.08</v>
      </c>
      <c r="J584" s="27">
        <v>39</v>
      </c>
      <c r="K584" s="12">
        <f>'NC pre'!Q31</f>
        <v>652.54</v>
      </c>
      <c r="L584" s="27">
        <v>1905</v>
      </c>
      <c r="M584" s="27" t="s">
        <v>523</v>
      </c>
      <c r="N584" s="27" t="s">
        <v>519</v>
      </c>
      <c r="O584" s="27" t="str">
        <f t="shared" si="48"/>
        <v>https://babel.hathitrust.org/cgi/pt?id=nc01.ark:/13960/t9183d98b;view=1up;seq=252</v>
      </c>
      <c r="P584" s="27" t="s">
        <v>523</v>
      </c>
      <c r="Q584" s="27" t="str">
        <f t="shared" si="49"/>
        <v>https://babel.hathitrust.org/cgi/pt?id=nc01.ark:/13960/t9183d98b;view=1up;seq=252</v>
      </c>
      <c r="R584" s="27" t="s">
        <v>521</v>
      </c>
      <c r="S584" s="27" t="s">
        <v>522</v>
      </c>
      <c r="T584" s="27" t="str">
        <f t="shared" si="50"/>
        <v>https://babel.hathitrust.org/cgi/pt?id=nc01.ark:/13960/t9183d98b;view=1up;seq=112</v>
      </c>
      <c r="U584" s="4"/>
      <c r="V584" s="4"/>
      <c r="W584" s="4"/>
      <c r="X584" s="4"/>
      <c r="Y584" s="4"/>
      <c r="Z584" s="4"/>
      <c r="AA584" s="4"/>
      <c r="AB584" s="4"/>
    </row>
    <row r="585" spans="1:28" x14ac:dyDescent="0.25">
      <c r="A585" s="27" t="s">
        <v>1162</v>
      </c>
      <c r="B585" s="27" t="str">
        <f t="shared" si="51"/>
        <v>North Carolina</v>
      </c>
      <c r="C585" s="27" t="str">
        <f t="shared" si="52"/>
        <v>Duplin</v>
      </c>
      <c r="D585" s="2">
        <v>2830</v>
      </c>
      <c r="E585" s="2">
        <v>120</v>
      </c>
      <c r="F585" s="26">
        <f>'NC pre'!J32</f>
        <v>80</v>
      </c>
      <c r="G585" s="2">
        <v>4642</v>
      </c>
      <c r="H585" s="12">
        <f>'NC pre'!N32</f>
        <v>26.416290983606562</v>
      </c>
      <c r="I585" s="12">
        <v>17919.5</v>
      </c>
      <c r="J585" s="27">
        <v>73</v>
      </c>
      <c r="K585" s="12">
        <f>'NC pre'!Q32</f>
        <v>3281.05</v>
      </c>
      <c r="L585" s="27">
        <v>1905</v>
      </c>
      <c r="M585" s="27" t="s">
        <v>518</v>
      </c>
      <c r="N585" s="27" t="s">
        <v>519</v>
      </c>
      <c r="O585" s="27" t="str">
        <f t="shared" si="48"/>
        <v>https://babel.hathitrust.org/cgi/pt?id=nc01.ark:/13960/t9183d98b;view=1up;seq=252</v>
      </c>
      <c r="P585" s="27" t="s">
        <v>518</v>
      </c>
      <c r="Q585" s="27" t="str">
        <f t="shared" si="49"/>
        <v>https://babel.hathitrust.org/cgi/pt?id=nc01.ark:/13960/t9183d98b;view=1up;seq=252</v>
      </c>
      <c r="R585" s="27" t="s">
        <v>521</v>
      </c>
      <c r="S585" s="27" t="s">
        <v>522</v>
      </c>
      <c r="T585" s="27" t="str">
        <f t="shared" si="50"/>
        <v>https://babel.hathitrust.org/cgi/pt?id=nc01.ark:/13960/t9183d98b;view=1up;seq=112</v>
      </c>
      <c r="U585" s="4"/>
      <c r="V585" s="4"/>
      <c r="W585" s="4"/>
      <c r="X585" s="4"/>
      <c r="Y585" s="4"/>
      <c r="Z585" s="4"/>
      <c r="AA585" s="4"/>
      <c r="AB585" s="4"/>
    </row>
    <row r="586" spans="1:28" x14ac:dyDescent="0.25">
      <c r="A586" s="27" t="s">
        <v>1163</v>
      </c>
      <c r="B586" s="27" t="str">
        <f t="shared" si="51"/>
        <v>North Carolina</v>
      </c>
      <c r="C586" s="27" t="str">
        <f t="shared" si="52"/>
        <v>Durham</v>
      </c>
      <c r="D586" s="2">
        <v>3448</v>
      </c>
      <c r="E586" s="2">
        <v>124</v>
      </c>
      <c r="F586" s="26">
        <f>'NC pre'!J33</f>
        <v>166.35714285714286</v>
      </c>
      <c r="G586" s="2">
        <v>5815</v>
      </c>
      <c r="H586" s="12">
        <f>'NC pre'!N33</f>
        <v>41.657669004341393</v>
      </c>
      <c r="I586" s="12">
        <v>110239.64</v>
      </c>
      <c r="J586" s="27">
        <v>31</v>
      </c>
      <c r="K586" s="12">
        <f>'NC pre'!Q33</f>
        <v>5914.7</v>
      </c>
      <c r="L586" s="27">
        <v>1905</v>
      </c>
      <c r="M586" s="27" t="s">
        <v>523</v>
      </c>
      <c r="N586" s="27" t="s">
        <v>519</v>
      </c>
      <c r="O586" s="27" t="str">
        <f t="shared" si="48"/>
        <v>https://babel.hathitrust.org/cgi/pt?id=nc01.ark:/13960/t9183d98b;view=1up;seq=252</v>
      </c>
      <c r="P586" s="27" t="s">
        <v>523</v>
      </c>
      <c r="Q586" s="27" t="str">
        <f t="shared" si="49"/>
        <v>https://babel.hathitrust.org/cgi/pt?id=nc01.ark:/13960/t9183d98b;view=1up;seq=252</v>
      </c>
      <c r="R586" s="27" t="s">
        <v>521</v>
      </c>
      <c r="S586" s="27" t="s">
        <v>522</v>
      </c>
      <c r="T586" s="27" t="str">
        <f t="shared" si="50"/>
        <v>https://babel.hathitrust.org/cgi/pt?id=nc01.ark:/13960/t9183d98b;view=1up;seq=112</v>
      </c>
      <c r="U586" s="4"/>
      <c r="V586" s="4"/>
      <c r="W586" s="4"/>
      <c r="X586" s="4"/>
      <c r="Y586" s="4"/>
      <c r="Z586" s="4"/>
      <c r="AA586" s="4"/>
      <c r="AB586" s="4"/>
    </row>
    <row r="587" spans="1:28" x14ac:dyDescent="0.25">
      <c r="A587" s="27" t="s">
        <v>1164</v>
      </c>
      <c r="B587" s="27" t="str">
        <f t="shared" si="51"/>
        <v>North Carolina</v>
      </c>
      <c r="C587" s="27" t="str">
        <f t="shared" si="52"/>
        <v>Edgecombe</v>
      </c>
      <c r="D587" s="27">
        <v>2438</v>
      </c>
      <c r="E587" s="2">
        <v>93</v>
      </c>
      <c r="F587" s="26">
        <f>'NC pre'!J34</f>
        <v>119.89887640449439</v>
      </c>
      <c r="G587" s="2">
        <v>5289</v>
      </c>
      <c r="H587" s="12">
        <f>'NC pre'!N34</f>
        <v>32.722593946209351</v>
      </c>
      <c r="I587" s="12">
        <v>24903.75</v>
      </c>
      <c r="J587" s="27">
        <v>39</v>
      </c>
      <c r="K587" s="12">
        <f>'NC pre'!Q34</f>
        <v>3778.16</v>
      </c>
      <c r="L587" s="27">
        <v>1905</v>
      </c>
      <c r="M587" s="27" t="s">
        <v>518</v>
      </c>
      <c r="N587" s="27" t="s">
        <v>519</v>
      </c>
      <c r="O587" s="27" t="str">
        <f t="shared" si="48"/>
        <v>https://babel.hathitrust.org/cgi/pt?id=nc01.ark:/13960/t9183d98b;view=1up;seq=252</v>
      </c>
      <c r="P587" s="27" t="s">
        <v>518</v>
      </c>
      <c r="Q587" s="27" t="str">
        <f t="shared" si="49"/>
        <v>https://babel.hathitrust.org/cgi/pt?id=nc01.ark:/13960/t9183d98b;view=1up;seq=252</v>
      </c>
      <c r="R587" s="27" t="s">
        <v>521</v>
      </c>
      <c r="S587" s="27" t="s">
        <v>522</v>
      </c>
      <c r="T587" s="27" t="str">
        <f t="shared" si="50"/>
        <v>https://babel.hathitrust.org/cgi/pt?id=nc01.ark:/13960/t9183d98b;view=1up;seq=112</v>
      </c>
      <c r="U587" s="4"/>
      <c r="V587" s="4"/>
      <c r="W587" s="4"/>
      <c r="X587" s="4"/>
      <c r="Y587" s="4"/>
      <c r="Z587" s="4"/>
      <c r="AA587" s="4"/>
      <c r="AB587" s="4"/>
    </row>
    <row r="588" spans="1:28" x14ac:dyDescent="0.25">
      <c r="A588" s="27" t="s">
        <v>1165</v>
      </c>
      <c r="B588" s="27" t="str">
        <f t="shared" si="51"/>
        <v>North Carolina</v>
      </c>
      <c r="C588" s="27" t="str">
        <f t="shared" si="52"/>
        <v>Forsyth</v>
      </c>
      <c r="D588" s="2">
        <v>4517</v>
      </c>
      <c r="E588" s="2">
        <v>164</v>
      </c>
      <c r="F588" s="26">
        <f>'NC pre'!J35</f>
        <v>118.33532934131736</v>
      </c>
      <c r="G588" s="2">
        <v>7745</v>
      </c>
      <c r="H588" s="12">
        <f>'NC pre'!N35</f>
        <v>34.805454913470307</v>
      </c>
      <c r="I588" s="12">
        <v>45127.56</v>
      </c>
      <c r="J588" s="27">
        <v>82</v>
      </c>
      <c r="K588" s="12">
        <f>'NC pre'!Q35</f>
        <v>6690.19</v>
      </c>
      <c r="L588" s="27">
        <v>1905</v>
      </c>
      <c r="M588" s="27" t="s">
        <v>523</v>
      </c>
      <c r="N588" s="27" t="s">
        <v>519</v>
      </c>
      <c r="O588" s="27" t="str">
        <f t="shared" si="48"/>
        <v>https://babel.hathitrust.org/cgi/pt?id=nc01.ark:/13960/t9183d98b;view=1up;seq=252</v>
      </c>
      <c r="P588" s="27" t="s">
        <v>523</v>
      </c>
      <c r="Q588" s="27" t="str">
        <f t="shared" si="49"/>
        <v>https://babel.hathitrust.org/cgi/pt?id=nc01.ark:/13960/t9183d98b;view=1up;seq=252</v>
      </c>
      <c r="R588" s="27" t="s">
        <v>521</v>
      </c>
      <c r="S588" s="27" t="s">
        <v>522</v>
      </c>
      <c r="T588" s="27" t="str">
        <f t="shared" si="50"/>
        <v>https://babel.hathitrust.org/cgi/pt?id=nc01.ark:/13960/t9183d98b;view=1up;seq=112</v>
      </c>
      <c r="U588" s="4"/>
      <c r="V588" s="4"/>
      <c r="W588" s="4"/>
      <c r="X588" s="4"/>
      <c r="Y588" s="4"/>
      <c r="Z588" s="4"/>
      <c r="AA588" s="4"/>
      <c r="AB588" s="4"/>
    </row>
    <row r="589" spans="1:28" x14ac:dyDescent="0.25">
      <c r="A589" s="27" t="s">
        <v>1166</v>
      </c>
      <c r="B589" s="27" t="str">
        <f t="shared" si="51"/>
        <v>North Carolina</v>
      </c>
      <c r="C589" s="27" t="str">
        <f t="shared" si="52"/>
        <v>Franklin</v>
      </c>
      <c r="D589" s="2">
        <v>2812</v>
      </c>
      <c r="E589" s="2">
        <v>114</v>
      </c>
      <c r="F589" s="26">
        <f>'NC pre'!J36</f>
        <v>94.310344827586206</v>
      </c>
      <c r="G589" s="2">
        <v>4582</v>
      </c>
      <c r="H589" s="12">
        <f>'NC pre'!N36</f>
        <v>28.21071297989031</v>
      </c>
      <c r="I589" s="12">
        <v>40345</v>
      </c>
      <c r="J589" s="27">
        <v>43</v>
      </c>
      <c r="K589" s="12">
        <f>'NC pre'!Q36</f>
        <v>2073.79</v>
      </c>
      <c r="L589" s="27">
        <v>1905</v>
      </c>
      <c r="M589" s="27" t="s">
        <v>518</v>
      </c>
      <c r="N589" s="27" t="s">
        <v>519</v>
      </c>
      <c r="O589" s="27" t="str">
        <f t="shared" si="48"/>
        <v>https://babel.hathitrust.org/cgi/pt?id=nc01.ark:/13960/t9183d98b;view=1up;seq=252</v>
      </c>
      <c r="P589" s="27" t="s">
        <v>518</v>
      </c>
      <c r="Q589" s="27" t="str">
        <f t="shared" si="49"/>
        <v>https://babel.hathitrust.org/cgi/pt?id=nc01.ark:/13960/t9183d98b;view=1up;seq=252</v>
      </c>
      <c r="R589" s="27" t="s">
        <v>521</v>
      </c>
      <c r="S589" s="27" t="s">
        <v>522</v>
      </c>
      <c r="T589" s="27" t="str">
        <f t="shared" si="50"/>
        <v>https://babel.hathitrust.org/cgi/pt?id=nc01.ark:/13960/t9183d98b;view=1up;seq=112</v>
      </c>
      <c r="U589" s="4"/>
      <c r="V589" s="4"/>
      <c r="W589" s="4"/>
      <c r="X589" s="4"/>
      <c r="Y589" s="4"/>
      <c r="Z589" s="4"/>
      <c r="AA589" s="4"/>
      <c r="AB589" s="4"/>
    </row>
    <row r="590" spans="1:28" x14ac:dyDescent="0.25">
      <c r="A590" s="27" t="s">
        <v>1167</v>
      </c>
      <c r="B590" s="27" t="str">
        <f t="shared" si="51"/>
        <v>North Carolina</v>
      </c>
      <c r="C590" s="27" t="str">
        <f t="shared" si="52"/>
        <v>Gaston</v>
      </c>
      <c r="D590" s="2">
        <v>4500</v>
      </c>
      <c r="E590" s="2">
        <v>140</v>
      </c>
      <c r="F590" s="26">
        <f>'NC pre'!J37</f>
        <v>106.75510204081633</v>
      </c>
      <c r="G590" s="2">
        <v>7740</v>
      </c>
      <c r="H590" s="12">
        <f>'NC pre'!N37</f>
        <v>31.744574013891548</v>
      </c>
      <c r="I590" s="12">
        <v>37844.85</v>
      </c>
      <c r="J590" s="27">
        <v>68</v>
      </c>
      <c r="K590" s="12">
        <f>'NC pre'!Q37</f>
        <v>5787.26</v>
      </c>
      <c r="L590" s="27">
        <v>1905</v>
      </c>
      <c r="M590" s="27" t="s">
        <v>523</v>
      </c>
      <c r="N590" s="27" t="s">
        <v>519</v>
      </c>
      <c r="O590" s="27" t="str">
        <f t="shared" si="48"/>
        <v>https://babel.hathitrust.org/cgi/pt?id=nc01.ark:/13960/t9183d98b;view=1up;seq=252</v>
      </c>
      <c r="P590" s="27" t="s">
        <v>523</v>
      </c>
      <c r="Q590" s="27" t="str">
        <f t="shared" si="49"/>
        <v>https://babel.hathitrust.org/cgi/pt?id=nc01.ark:/13960/t9183d98b;view=1up;seq=252</v>
      </c>
      <c r="R590" s="27" t="s">
        <v>521</v>
      </c>
      <c r="S590" s="27" t="s">
        <v>522</v>
      </c>
      <c r="T590" s="27" t="str">
        <f t="shared" si="50"/>
        <v>https://babel.hathitrust.org/cgi/pt?id=nc01.ark:/13960/t9183d98b;view=1up;seq=112</v>
      </c>
      <c r="U590" s="4"/>
      <c r="V590" s="4"/>
      <c r="W590" s="4"/>
      <c r="X590" s="4"/>
      <c r="Y590" s="4"/>
      <c r="Z590" s="4"/>
      <c r="AA590" s="4"/>
      <c r="AB590" s="4"/>
    </row>
    <row r="591" spans="1:28" x14ac:dyDescent="0.25">
      <c r="A591" s="27" t="s">
        <v>1168</v>
      </c>
      <c r="B591" s="27" t="str">
        <f t="shared" si="51"/>
        <v>North Carolina</v>
      </c>
      <c r="C591" s="27" t="str">
        <f t="shared" si="52"/>
        <v>Gates</v>
      </c>
      <c r="D591" s="27">
        <v>1832</v>
      </c>
      <c r="E591" s="2">
        <v>58</v>
      </c>
      <c r="F591" s="26">
        <f>'NC pre'!J38</f>
        <v>75.819672131147541</v>
      </c>
      <c r="G591" s="2">
        <v>2731</v>
      </c>
      <c r="H591" s="12">
        <f>'NC pre'!N38</f>
        <v>23.727956756756761</v>
      </c>
      <c r="I591" s="12">
        <v>7799</v>
      </c>
      <c r="J591" s="27">
        <v>30</v>
      </c>
      <c r="K591" s="12">
        <f>'NC pre'!Q38</f>
        <v>2336.8000000000002</v>
      </c>
      <c r="L591" s="27">
        <v>1905</v>
      </c>
      <c r="M591" s="27" t="s">
        <v>518</v>
      </c>
      <c r="N591" s="27" t="s">
        <v>519</v>
      </c>
      <c r="O591" s="27" t="str">
        <f t="shared" si="48"/>
        <v>https://babel.hathitrust.org/cgi/pt?id=nc01.ark:/13960/t9183d98b;view=1up;seq=252</v>
      </c>
      <c r="P591" s="27" t="s">
        <v>518</v>
      </c>
      <c r="Q591" s="27" t="str">
        <f t="shared" si="49"/>
        <v>https://babel.hathitrust.org/cgi/pt?id=nc01.ark:/13960/t9183d98b;view=1up;seq=252</v>
      </c>
      <c r="R591" s="27" t="s">
        <v>521</v>
      </c>
      <c r="S591" s="27" t="s">
        <v>522</v>
      </c>
      <c r="T591" s="27" t="str">
        <f t="shared" si="50"/>
        <v>https://babel.hathitrust.org/cgi/pt?id=nc01.ark:/13960/t9183d98b;view=1up;seq=112</v>
      </c>
      <c r="U591" s="4"/>
      <c r="V591" s="4"/>
      <c r="W591" s="4"/>
      <c r="X591" s="4"/>
      <c r="Y591" s="4"/>
      <c r="Z591" s="4"/>
      <c r="AA591" s="4"/>
      <c r="AB591" s="4"/>
    </row>
    <row r="592" spans="1:28" x14ac:dyDescent="0.25">
      <c r="A592" s="27" t="s">
        <v>1169</v>
      </c>
      <c r="B592" s="27" t="str">
        <f t="shared" si="51"/>
        <v>North Carolina</v>
      </c>
      <c r="C592" s="27" t="str">
        <f t="shared" si="52"/>
        <v>Graham</v>
      </c>
      <c r="D592" s="27">
        <v>593</v>
      </c>
      <c r="E592" s="2">
        <v>22</v>
      </c>
      <c r="F592" s="26">
        <f>'NC pre'!J39</f>
        <v>80</v>
      </c>
      <c r="G592" s="2">
        <v>1227</v>
      </c>
      <c r="H592" s="12">
        <f>'NC pre'!N39</f>
        <v>28.586956521739129</v>
      </c>
      <c r="I592" s="12">
        <v>3423</v>
      </c>
      <c r="J592" s="27">
        <v>19</v>
      </c>
      <c r="K592" s="12">
        <f>'NC pre'!Q39</f>
        <v>117</v>
      </c>
      <c r="L592" s="27">
        <v>1905</v>
      </c>
      <c r="M592" s="27" t="s">
        <v>523</v>
      </c>
      <c r="N592" s="27" t="s">
        <v>519</v>
      </c>
      <c r="O592" s="27" t="str">
        <f t="shared" si="48"/>
        <v>https://babel.hathitrust.org/cgi/pt?id=nc01.ark:/13960/t9183d98b;view=1up;seq=252</v>
      </c>
      <c r="P592" s="27" t="s">
        <v>523</v>
      </c>
      <c r="Q592" s="27" t="str">
        <f t="shared" si="49"/>
        <v>https://babel.hathitrust.org/cgi/pt?id=nc01.ark:/13960/t9183d98b;view=1up;seq=252</v>
      </c>
      <c r="R592" s="27" t="s">
        <v>521</v>
      </c>
      <c r="S592" s="27" t="s">
        <v>522</v>
      </c>
      <c r="T592" s="27" t="str">
        <f t="shared" si="50"/>
        <v>https://babel.hathitrust.org/cgi/pt?id=nc01.ark:/13960/t9183d98b;view=1up;seq=112</v>
      </c>
      <c r="U592" s="4"/>
      <c r="V592" s="4"/>
      <c r="W592" s="4"/>
      <c r="X592" s="4"/>
      <c r="Y592" s="4"/>
      <c r="Z592" s="4"/>
      <c r="AA592" s="4"/>
      <c r="AB592" s="4"/>
    </row>
    <row r="593" spans="1:28" x14ac:dyDescent="0.25">
      <c r="A593" s="27" t="s">
        <v>1170</v>
      </c>
      <c r="B593" s="27" t="str">
        <f t="shared" si="51"/>
        <v>North Carolina</v>
      </c>
      <c r="C593" s="27" t="str">
        <f t="shared" si="52"/>
        <v>Granville</v>
      </c>
      <c r="D593" s="2">
        <v>2606</v>
      </c>
      <c r="E593" s="2">
        <v>110</v>
      </c>
      <c r="F593" s="26">
        <f>'NC pre'!J40</f>
        <v>104.25</v>
      </c>
      <c r="G593" s="2">
        <v>4443</v>
      </c>
      <c r="H593" s="12">
        <f>'NC pre'!N40</f>
        <v>27.138934566632408</v>
      </c>
      <c r="I593" s="12">
        <v>22521</v>
      </c>
      <c r="J593" s="27">
        <v>45</v>
      </c>
      <c r="K593" s="12">
        <f>'NC pre'!Q40</f>
        <v>4366.75</v>
      </c>
      <c r="L593" s="27">
        <v>1905</v>
      </c>
      <c r="M593" s="27" t="s">
        <v>518</v>
      </c>
      <c r="N593" s="27" t="s">
        <v>519</v>
      </c>
      <c r="O593" s="27" t="str">
        <f t="shared" si="48"/>
        <v>https://babel.hathitrust.org/cgi/pt?id=nc01.ark:/13960/t9183d98b;view=1up;seq=252</v>
      </c>
      <c r="P593" s="27" t="s">
        <v>518</v>
      </c>
      <c r="Q593" s="27" t="str">
        <f t="shared" si="49"/>
        <v>https://babel.hathitrust.org/cgi/pt?id=nc01.ark:/13960/t9183d98b;view=1up;seq=252</v>
      </c>
      <c r="R593" s="27" t="s">
        <v>521</v>
      </c>
      <c r="S593" s="27" t="s">
        <v>522</v>
      </c>
      <c r="T593" s="27" t="str">
        <f t="shared" si="50"/>
        <v>https://babel.hathitrust.org/cgi/pt?id=nc01.ark:/13960/t9183d98b;view=1up;seq=112</v>
      </c>
      <c r="U593" s="4"/>
      <c r="V593" s="4"/>
      <c r="W593" s="4"/>
      <c r="X593" s="4"/>
      <c r="Y593" s="4"/>
      <c r="Z593" s="4"/>
      <c r="AA593" s="4"/>
      <c r="AB593" s="4"/>
    </row>
    <row r="594" spans="1:28" x14ac:dyDescent="0.25">
      <c r="A594" s="27" t="s">
        <v>1171</v>
      </c>
      <c r="B594" s="27" t="str">
        <f t="shared" si="51"/>
        <v>North Carolina</v>
      </c>
      <c r="C594" s="27" t="str">
        <f t="shared" si="52"/>
        <v>Greene</v>
      </c>
      <c r="D594" s="27">
        <v>1635</v>
      </c>
      <c r="E594" s="2">
        <v>59</v>
      </c>
      <c r="F594" s="26">
        <f>'NC pre'!J41</f>
        <v>76.645161290322577</v>
      </c>
      <c r="G594" s="2">
        <v>2854</v>
      </c>
      <c r="H594" s="12">
        <f>'NC pre'!N41</f>
        <v>26.851094276094276</v>
      </c>
      <c r="I594" s="12">
        <v>10223</v>
      </c>
      <c r="J594" s="27">
        <v>26</v>
      </c>
      <c r="K594" s="12">
        <f>'NC pre'!Q41</f>
        <v>2017.5</v>
      </c>
      <c r="L594" s="27">
        <v>1905</v>
      </c>
      <c r="M594" s="27" t="s">
        <v>523</v>
      </c>
      <c r="N594" s="27" t="s">
        <v>519</v>
      </c>
      <c r="O594" s="27" t="str">
        <f t="shared" si="48"/>
        <v>https://babel.hathitrust.org/cgi/pt?id=nc01.ark:/13960/t9183d98b;view=1up;seq=252</v>
      </c>
      <c r="P594" s="27" t="s">
        <v>523</v>
      </c>
      <c r="Q594" s="27" t="str">
        <f t="shared" si="49"/>
        <v>https://babel.hathitrust.org/cgi/pt?id=nc01.ark:/13960/t9183d98b;view=1up;seq=252</v>
      </c>
      <c r="R594" s="27" t="s">
        <v>521</v>
      </c>
      <c r="S594" s="27" t="s">
        <v>522</v>
      </c>
      <c r="T594" s="27" t="str">
        <f t="shared" si="50"/>
        <v>https://babel.hathitrust.org/cgi/pt?id=nc01.ark:/13960/t9183d98b;view=1up;seq=112</v>
      </c>
      <c r="U594" s="4"/>
      <c r="V594" s="4"/>
      <c r="W594" s="4"/>
      <c r="X594" s="4"/>
      <c r="Y594" s="4"/>
      <c r="Z594" s="4"/>
      <c r="AA594" s="4"/>
      <c r="AB594" s="4"/>
    </row>
    <row r="595" spans="1:28" x14ac:dyDescent="0.25">
      <c r="A595" s="27" t="s">
        <v>1172</v>
      </c>
      <c r="B595" s="27" t="str">
        <f t="shared" si="51"/>
        <v>North Carolina</v>
      </c>
      <c r="C595" s="27" t="str">
        <f t="shared" si="52"/>
        <v>Guilford</v>
      </c>
      <c r="D595" s="2">
        <v>6748</v>
      </c>
      <c r="E595" s="2">
        <v>229</v>
      </c>
      <c r="F595" s="26">
        <f>'NC pre'!J42</f>
        <v>116</v>
      </c>
      <c r="G595" s="2">
        <v>10444</v>
      </c>
      <c r="H595" s="12">
        <f>'NC pre'!N42</f>
        <v>42.12154459960103</v>
      </c>
      <c r="I595" s="12">
        <v>88427</v>
      </c>
      <c r="J595" s="27">
        <v>95</v>
      </c>
      <c r="K595" s="12">
        <f>'NC pre'!Q42</f>
        <v>31713.13</v>
      </c>
      <c r="L595" s="27">
        <v>1905</v>
      </c>
      <c r="M595" s="27" t="s">
        <v>518</v>
      </c>
      <c r="N595" s="27" t="s">
        <v>519</v>
      </c>
      <c r="O595" s="27" t="str">
        <f t="shared" si="48"/>
        <v>https://babel.hathitrust.org/cgi/pt?id=nc01.ark:/13960/t9183d98b;view=1up;seq=252</v>
      </c>
      <c r="P595" s="27" t="s">
        <v>518</v>
      </c>
      <c r="Q595" s="27" t="str">
        <f t="shared" si="49"/>
        <v>https://babel.hathitrust.org/cgi/pt?id=nc01.ark:/13960/t9183d98b;view=1up;seq=252</v>
      </c>
      <c r="R595" s="27" t="s">
        <v>521</v>
      </c>
      <c r="S595" s="27" t="s">
        <v>522</v>
      </c>
      <c r="T595" s="27" t="str">
        <f t="shared" si="50"/>
        <v>https://babel.hathitrust.org/cgi/pt?id=nc01.ark:/13960/t9183d98b;view=1up;seq=112</v>
      </c>
      <c r="U595" s="4"/>
      <c r="V595" s="4"/>
      <c r="W595" s="4"/>
      <c r="X595" s="4"/>
      <c r="Y595" s="4"/>
      <c r="Z595" s="4"/>
      <c r="AA595" s="4"/>
      <c r="AB595" s="4"/>
    </row>
    <row r="596" spans="1:28" x14ac:dyDescent="0.25">
      <c r="A596" s="27" t="s">
        <v>1173</v>
      </c>
      <c r="B596" s="27" t="str">
        <f t="shared" si="51"/>
        <v>North Carolina</v>
      </c>
      <c r="C596" s="27" t="str">
        <f t="shared" si="52"/>
        <v>Halifax</v>
      </c>
      <c r="D596" s="2">
        <v>3133</v>
      </c>
      <c r="E596" s="2">
        <v>138</v>
      </c>
      <c r="F596" s="26">
        <f>'NC pre'!J43</f>
        <v>119.33757961783439</v>
      </c>
      <c r="G596" s="2">
        <v>6507</v>
      </c>
      <c r="H596" s="12">
        <f>'NC pre'!N43</f>
        <v>26.467100768573868</v>
      </c>
      <c r="I596" s="12">
        <v>44518</v>
      </c>
      <c r="J596" s="27">
        <v>47</v>
      </c>
      <c r="K596" s="12">
        <f>'NC pre'!Q43</f>
        <v>2591.0300000000002</v>
      </c>
      <c r="L596" s="27">
        <v>1905</v>
      </c>
      <c r="M596" s="27" t="s">
        <v>523</v>
      </c>
      <c r="N596" s="27" t="s">
        <v>519</v>
      </c>
      <c r="O596" s="27" t="str">
        <f t="shared" si="48"/>
        <v>https://babel.hathitrust.org/cgi/pt?id=nc01.ark:/13960/t9183d98b;view=1up;seq=252</v>
      </c>
      <c r="P596" s="27" t="s">
        <v>523</v>
      </c>
      <c r="Q596" s="27" t="str">
        <f t="shared" si="49"/>
        <v>https://babel.hathitrust.org/cgi/pt?id=nc01.ark:/13960/t9183d98b;view=1up;seq=252</v>
      </c>
      <c r="R596" s="27" t="s">
        <v>521</v>
      </c>
      <c r="S596" s="27" t="s">
        <v>522</v>
      </c>
      <c r="T596" s="27" t="str">
        <f t="shared" si="50"/>
        <v>https://babel.hathitrust.org/cgi/pt?id=nc01.ark:/13960/t9183d98b;view=1up;seq=112</v>
      </c>
      <c r="U596" s="4"/>
      <c r="V596" s="4"/>
      <c r="W596" s="4"/>
      <c r="X596" s="4"/>
      <c r="Y596" s="4"/>
      <c r="Z596" s="4"/>
      <c r="AA596" s="4"/>
      <c r="AB596" s="4"/>
    </row>
    <row r="597" spans="1:28" x14ac:dyDescent="0.25">
      <c r="A597" s="27" t="s">
        <v>1174</v>
      </c>
      <c r="B597" s="27" t="str">
        <f t="shared" si="51"/>
        <v>North Carolina</v>
      </c>
      <c r="C597" s="27" t="str">
        <f t="shared" si="52"/>
        <v>Harnett</v>
      </c>
      <c r="D597" s="2">
        <v>3014</v>
      </c>
      <c r="E597" s="2">
        <v>103</v>
      </c>
      <c r="F597" s="26">
        <f>'NC pre'!J44</f>
        <v>78.051546391752581</v>
      </c>
      <c r="G597" s="2">
        <v>4288</v>
      </c>
      <c r="H597" s="12">
        <f>'NC pre'!N44</f>
        <v>25.259886408664638</v>
      </c>
      <c r="I597" s="12">
        <v>14349</v>
      </c>
      <c r="J597" s="27">
        <v>50</v>
      </c>
      <c r="K597" s="12">
        <f>'NC pre'!Q44</f>
        <v>2252.84</v>
      </c>
      <c r="L597" s="27">
        <v>1905</v>
      </c>
      <c r="M597" s="27" t="s">
        <v>518</v>
      </c>
      <c r="N597" s="27" t="s">
        <v>519</v>
      </c>
      <c r="O597" s="27" t="str">
        <f t="shared" si="48"/>
        <v>https://babel.hathitrust.org/cgi/pt?id=nc01.ark:/13960/t9183d98b;view=1up;seq=252</v>
      </c>
      <c r="P597" s="27" t="s">
        <v>518</v>
      </c>
      <c r="Q597" s="27" t="str">
        <f t="shared" si="49"/>
        <v>https://babel.hathitrust.org/cgi/pt?id=nc01.ark:/13960/t9183d98b;view=1up;seq=252</v>
      </c>
      <c r="R597" s="27" t="s">
        <v>521</v>
      </c>
      <c r="S597" s="27" t="s">
        <v>522</v>
      </c>
      <c r="T597" s="27" t="str">
        <f t="shared" si="50"/>
        <v>https://babel.hathitrust.org/cgi/pt?id=nc01.ark:/13960/t9183d98b;view=1up;seq=112</v>
      </c>
      <c r="U597" s="4"/>
      <c r="V597" s="4"/>
      <c r="W597" s="4"/>
      <c r="X597" s="4"/>
      <c r="Y597" s="4"/>
      <c r="Z597" s="4"/>
      <c r="AA597" s="4"/>
      <c r="AB597" s="4"/>
    </row>
    <row r="598" spans="1:28" x14ac:dyDescent="0.25">
      <c r="A598" s="27" t="s">
        <v>1175</v>
      </c>
      <c r="B598" s="27" t="str">
        <f t="shared" si="51"/>
        <v>North Carolina</v>
      </c>
      <c r="C598" s="27" t="str">
        <f t="shared" si="52"/>
        <v>Haywood</v>
      </c>
      <c r="D598" s="2">
        <v>2740</v>
      </c>
      <c r="E598" s="2">
        <v>79</v>
      </c>
      <c r="F598" s="26">
        <f>'NC pre'!J45</f>
        <v>115.1375</v>
      </c>
      <c r="G598" s="2">
        <v>5144</v>
      </c>
      <c r="H598" s="12">
        <f>'NC pre'!N45</f>
        <v>33.514710672022581</v>
      </c>
      <c r="I598" s="12">
        <v>20286</v>
      </c>
      <c r="J598" s="27">
        <v>50</v>
      </c>
      <c r="K598" s="12">
        <f>'NC pre'!Q45</f>
        <v>881.63</v>
      </c>
      <c r="L598" s="27">
        <v>1905</v>
      </c>
      <c r="M598" s="27" t="s">
        <v>523</v>
      </c>
      <c r="N598" s="27" t="s">
        <v>519</v>
      </c>
      <c r="O598" s="27" t="str">
        <f t="shared" si="48"/>
        <v>https://babel.hathitrust.org/cgi/pt?id=nc01.ark:/13960/t9183d98b;view=1up;seq=252</v>
      </c>
      <c r="P598" s="27" t="s">
        <v>523</v>
      </c>
      <c r="Q598" s="27" t="str">
        <f t="shared" si="49"/>
        <v>https://babel.hathitrust.org/cgi/pt?id=nc01.ark:/13960/t9183d98b;view=1up;seq=252</v>
      </c>
      <c r="R598" s="27" t="s">
        <v>521</v>
      </c>
      <c r="S598" s="27" t="s">
        <v>522</v>
      </c>
      <c r="T598" s="27" t="str">
        <f t="shared" si="50"/>
        <v>https://babel.hathitrust.org/cgi/pt?id=nc01.ark:/13960/t9183d98b;view=1up;seq=112</v>
      </c>
      <c r="U598" s="4"/>
      <c r="V598" s="4"/>
      <c r="W598" s="4"/>
      <c r="X598" s="4"/>
      <c r="Y598" s="4"/>
      <c r="Z598" s="4"/>
      <c r="AA598" s="4"/>
      <c r="AB598" s="4"/>
    </row>
    <row r="599" spans="1:28" x14ac:dyDescent="0.25">
      <c r="A599" s="27" t="s">
        <v>1176</v>
      </c>
      <c r="B599" s="27" t="str">
        <f t="shared" si="51"/>
        <v>North Carolina</v>
      </c>
      <c r="C599" s="27" t="str">
        <f t="shared" si="52"/>
        <v>Henderson</v>
      </c>
      <c r="D599" s="2">
        <v>1987</v>
      </c>
      <c r="E599" s="2">
        <v>73</v>
      </c>
      <c r="F599" s="26">
        <f>'NC pre'!J46</f>
        <v>90.68</v>
      </c>
      <c r="G599" s="2">
        <v>3413</v>
      </c>
      <c r="H599" s="12">
        <f>'NC pre'!N46</f>
        <v>29.936479929422145</v>
      </c>
      <c r="I599" s="12">
        <v>15428</v>
      </c>
      <c r="J599" s="27">
        <v>47</v>
      </c>
      <c r="K599" s="12">
        <f>'NC pre'!Q46</f>
        <v>905.34</v>
      </c>
      <c r="L599" s="27">
        <v>1905</v>
      </c>
      <c r="M599" s="27" t="s">
        <v>518</v>
      </c>
      <c r="N599" s="27" t="s">
        <v>519</v>
      </c>
      <c r="O599" s="27" t="str">
        <f t="shared" si="48"/>
        <v>https://babel.hathitrust.org/cgi/pt?id=nc01.ark:/13960/t9183d98b;view=1up;seq=252</v>
      </c>
      <c r="P599" s="27" t="s">
        <v>518</v>
      </c>
      <c r="Q599" s="27" t="str">
        <f t="shared" si="49"/>
        <v>https://babel.hathitrust.org/cgi/pt?id=nc01.ark:/13960/t9183d98b;view=1up;seq=252</v>
      </c>
      <c r="R599" s="27" t="s">
        <v>521</v>
      </c>
      <c r="S599" s="27" t="s">
        <v>522</v>
      </c>
      <c r="T599" s="27" t="str">
        <f t="shared" si="50"/>
        <v>https://babel.hathitrust.org/cgi/pt?id=nc01.ark:/13960/t9183d98b;view=1up;seq=112</v>
      </c>
      <c r="U599" s="4"/>
      <c r="V599" s="4"/>
      <c r="W599" s="4"/>
      <c r="X599" s="4"/>
      <c r="Y599" s="4"/>
      <c r="Z599" s="4"/>
      <c r="AA599" s="4"/>
      <c r="AB599" s="4"/>
    </row>
    <row r="600" spans="1:28" x14ac:dyDescent="0.25">
      <c r="A600" s="27" t="s">
        <v>1177</v>
      </c>
      <c r="B600" s="27" t="str">
        <f t="shared" si="51"/>
        <v>North Carolina</v>
      </c>
      <c r="C600" s="27" t="str">
        <f t="shared" si="52"/>
        <v>Hertford</v>
      </c>
      <c r="D600" s="27">
        <v>1968</v>
      </c>
      <c r="E600" s="2">
        <v>77</v>
      </c>
      <c r="F600" s="26">
        <f>'NC pre'!J47</f>
        <v>71.65625</v>
      </c>
      <c r="G600" s="2">
        <v>3374</v>
      </c>
      <c r="H600" s="12">
        <f>'NC pre'!N47</f>
        <v>24.654819014391627</v>
      </c>
      <c r="I600" s="12">
        <v>7252</v>
      </c>
      <c r="J600" s="27">
        <v>32</v>
      </c>
      <c r="K600" s="12">
        <f>'NC pre'!Q47</f>
        <v>731.65</v>
      </c>
      <c r="L600" s="27">
        <v>1905</v>
      </c>
      <c r="M600" s="27" t="s">
        <v>523</v>
      </c>
      <c r="N600" s="27" t="s">
        <v>519</v>
      </c>
      <c r="O600" s="27" t="str">
        <f t="shared" si="48"/>
        <v>https://babel.hathitrust.org/cgi/pt?id=nc01.ark:/13960/t9183d98b;view=1up;seq=252</v>
      </c>
      <c r="P600" s="27" t="s">
        <v>523</v>
      </c>
      <c r="Q600" s="27" t="str">
        <f t="shared" si="49"/>
        <v>https://babel.hathitrust.org/cgi/pt?id=nc01.ark:/13960/t9183d98b;view=1up;seq=252</v>
      </c>
      <c r="R600" s="27" t="s">
        <v>521</v>
      </c>
      <c r="S600" s="27" t="s">
        <v>522</v>
      </c>
      <c r="T600" s="27" t="str">
        <f t="shared" si="50"/>
        <v>https://babel.hathitrust.org/cgi/pt?id=nc01.ark:/13960/t9183d98b;view=1up;seq=112</v>
      </c>
      <c r="U600" s="4"/>
      <c r="V600" s="4"/>
      <c r="W600" s="4"/>
      <c r="X600" s="4"/>
      <c r="Y600" s="4"/>
      <c r="Z600" s="4"/>
      <c r="AA600" s="4"/>
      <c r="AB600" s="4"/>
    </row>
    <row r="601" spans="1:28" x14ac:dyDescent="0.25">
      <c r="A601" s="27" t="s">
        <v>1178</v>
      </c>
      <c r="B601" s="27" t="str">
        <f t="shared" si="51"/>
        <v>North Carolina</v>
      </c>
      <c r="C601" s="27" t="str">
        <f t="shared" si="52"/>
        <v>Hoke</v>
      </c>
      <c r="D601" s="27" t="s">
        <v>383</v>
      </c>
      <c r="E601" s="27"/>
      <c r="F601" s="26"/>
      <c r="G601" s="27"/>
      <c r="H601" s="12"/>
      <c r="J601" s="27"/>
      <c r="K601" s="12"/>
      <c r="L601" s="27">
        <v>1905</v>
      </c>
      <c r="M601" s="27" t="s">
        <v>518</v>
      </c>
      <c r="N601" s="27" t="s">
        <v>519</v>
      </c>
      <c r="O601" s="27" t="str">
        <f t="shared" si="48"/>
        <v>https://babel.hathitrust.org/cgi/pt?id=nc01.ark:/13960/t9183d98b;view=1up;seq=252</v>
      </c>
      <c r="P601" s="27" t="s">
        <v>518</v>
      </c>
      <c r="Q601" s="27" t="str">
        <f t="shared" si="49"/>
        <v>https://babel.hathitrust.org/cgi/pt?id=nc01.ark:/13960/t9183d98b;view=1up;seq=252</v>
      </c>
      <c r="R601" s="27" t="s">
        <v>521</v>
      </c>
      <c r="S601" s="27" t="s">
        <v>522</v>
      </c>
      <c r="T601" s="27" t="str">
        <f t="shared" si="50"/>
        <v>https://babel.hathitrust.org/cgi/pt?id=nc01.ark:/13960/t9183d98b;view=1up;seq=112</v>
      </c>
      <c r="U601" s="4"/>
      <c r="V601" s="4"/>
      <c r="W601" s="4"/>
      <c r="X601" s="4"/>
      <c r="Y601" s="4"/>
      <c r="Z601" s="4"/>
      <c r="AA601" s="4"/>
      <c r="AB601" s="4"/>
    </row>
    <row r="602" spans="1:28" x14ac:dyDescent="0.25">
      <c r="A602" s="27" t="s">
        <v>1179</v>
      </c>
      <c r="B602" s="27" t="str">
        <f t="shared" si="51"/>
        <v>North Carolina</v>
      </c>
      <c r="C602" s="27" t="str">
        <f t="shared" si="52"/>
        <v>Hyde</v>
      </c>
      <c r="D602" s="27">
        <v>1389</v>
      </c>
      <c r="E602" s="2">
        <v>51</v>
      </c>
      <c r="F602" s="26">
        <f>'NC pre'!J49</f>
        <v>68.357142857142861</v>
      </c>
      <c r="G602" s="2">
        <v>2220</v>
      </c>
      <c r="H602" s="12">
        <f>'NC pre'!N49</f>
        <v>29.668495297805642</v>
      </c>
      <c r="I602" s="12">
        <v>9252</v>
      </c>
      <c r="J602" s="27">
        <v>30</v>
      </c>
      <c r="K602" s="12">
        <f>'NC pre'!Q49</f>
        <v>841.6</v>
      </c>
      <c r="L602" s="27">
        <v>1905</v>
      </c>
      <c r="M602" s="27" t="s">
        <v>523</v>
      </c>
      <c r="N602" s="27" t="s">
        <v>519</v>
      </c>
      <c r="O602" s="27" t="str">
        <f t="shared" si="48"/>
        <v>https://babel.hathitrust.org/cgi/pt?id=nc01.ark:/13960/t9183d98b;view=1up;seq=252</v>
      </c>
      <c r="P602" s="27" t="s">
        <v>523</v>
      </c>
      <c r="Q602" s="27" t="str">
        <f t="shared" si="49"/>
        <v>https://babel.hathitrust.org/cgi/pt?id=nc01.ark:/13960/t9183d98b;view=1up;seq=252</v>
      </c>
      <c r="R602" s="27" t="s">
        <v>521</v>
      </c>
      <c r="S602" s="27" t="s">
        <v>522</v>
      </c>
      <c r="T602" s="27" t="str">
        <f t="shared" si="50"/>
        <v>https://babel.hathitrust.org/cgi/pt?id=nc01.ark:/13960/t9183d98b;view=1up;seq=112</v>
      </c>
      <c r="U602" s="4"/>
      <c r="V602" s="4"/>
      <c r="W602" s="4"/>
      <c r="X602" s="4"/>
      <c r="Y602" s="4"/>
      <c r="Z602" s="4"/>
      <c r="AA602" s="4"/>
      <c r="AB602" s="4"/>
    </row>
    <row r="603" spans="1:28" x14ac:dyDescent="0.25">
      <c r="A603" s="27" t="s">
        <v>1180</v>
      </c>
      <c r="B603" s="27" t="str">
        <f t="shared" si="51"/>
        <v>North Carolina</v>
      </c>
      <c r="C603" s="27" t="str">
        <f t="shared" si="52"/>
        <v>Iredell</v>
      </c>
      <c r="D603" s="2">
        <v>4505</v>
      </c>
      <c r="E603" s="2">
        <v>167</v>
      </c>
      <c r="F603" s="26">
        <f>'NC pre'!J50</f>
        <v>81.830409356725141</v>
      </c>
      <c r="G603" s="2">
        <v>7138</v>
      </c>
      <c r="H603" s="12">
        <f>'NC pre'!N50</f>
        <v>24.994139927106414</v>
      </c>
      <c r="I603" s="12">
        <v>25107</v>
      </c>
      <c r="J603" s="27">
        <v>96</v>
      </c>
      <c r="K603" s="12">
        <f>'NC pre'!Q50</f>
        <v>2538.9299999999998</v>
      </c>
      <c r="L603" s="27">
        <v>1905</v>
      </c>
      <c r="M603" s="27" t="s">
        <v>518</v>
      </c>
      <c r="N603" s="27" t="s">
        <v>519</v>
      </c>
      <c r="O603" s="27" t="str">
        <f t="shared" si="48"/>
        <v>https://babel.hathitrust.org/cgi/pt?id=nc01.ark:/13960/t9183d98b;view=1up;seq=252</v>
      </c>
      <c r="P603" s="27" t="s">
        <v>518</v>
      </c>
      <c r="Q603" s="27" t="str">
        <f t="shared" si="49"/>
        <v>https://babel.hathitrust.org/cgi/pt?id=nc01.ark:/13960/t9183d98b;view=1up;seq=252</v>
      </c>
      <c r="R603" s="27" t="s">
        <v>521</v>
      </c>
      <c r="S603" s="27" t="s">
        <v>522</v>
      </c>
      <c r="T603" s="27" t="str">
        <f t="shared" si="50"/>
        <v>https://babel.hathitrust.org/cgi/pt?id=nc01.ark:/13960/t9183d98b;view=1up;seq=112</v>
      </c>
      <c r="U603" s="4"/>
      <c r="V603" s="4"/>
      <c r="W603" s="4"/>
      <c r="X603" s="4"/>
      <c r="Y603" s="4"/>
      <c r="Z603" s="4"/>
      <c r="AA603" s="4"/>
      <c r="AB603" s="4"/>
    </row>
    <row r="604" spans="1:28" x14ac:dyDescent="0.25">
      <c r="A604" s="27" t="s">
        <v>1181</v>
      </c>
      <c r="B604" s="27" t="str">
        <f t="shared" si="51"/>
        <v>North Carolina</v>
      </c>
      <c r="C604" s="27" t="str">
        <f t="shared" si="52"/>
        <v>Jackson</v>
      </c>
      <c r="D604" s="2">
        <v>1555</v>
      </c>
      <c r="E604" s="2">
        <v>54</v>
      </c>
      <c r="F604" s="26">
        <f>'NC pre'!J51</f>
        <v>83.724137931034477</v>
      </c>
      <c r="G604" s="2">
        <v>2892</v>
      </c>
      <c r="H604" s="12">
        <f>'NC pre'!N51</f>
        <v>29.118492586490941</v>
      </c>
      <c r="I604" s="12">
        <v>12959</v>
      </c>
      <c r="J604" s="27">
        <v>42</v>
      </c>
      <c r="K604" s="12">
        <f>'NC pre'!Q51</f>
        <v>1701.79</v>
      </c>
      <c r="L604" s="27">
        <v>1905</v>
      </c>
      <c r="M604" s="27" t="s">
        <v>523</v>
      </c>
      <c r="N604" s="27" t="s">
        <v>519</v>
      </c>
      <c r="O604" s="27" t="str">
        <f t="shared" si="48"/>
        <v>https://babel.hathitrust.org/cgi/pt?id=nc01.ark:/13960/t9183d98b;view=1up;seq=252</v>
      </c>
      <c r="P604" s="27" t="s">
        <v>523</v>
      </c>
      <c r="Q604" s="27" t="str">
        <f t="shared" si="49"/>
        <v>https://babel.hathitrust.org/cgi/pt?id=nc01.ark:/13960/t9183d98b;view=1up;seq=252</v>
      </c>
      <c r="R604" s="27" t="s">
        <v>521</v>
      </c>
      <c r="S604" s="27" t="s">
        <v>522</v>
      </c>
      <c r="T604" s="27" t="str">
        <f t="shared" si="50"/>
        <v>https://babel.hathitrust.org/cgi/pt?id=nc01.ark:/13960/t9183d98b;view=1up;seq=112</v>
      </c>
      <c r="U604" s="4"/>
      <c r="V604" s="4"/>
      <c r="W604" s="4"/>
      <c r="X604" s="4"/>
      <c r="Y604" s="4"/>
      <c r="Z604" s="4"/>
      <c r="AA604" s="4"/>
      <c r="AB604" s="4"/>
    </row>
    <row r="605" spans="1:28" x14ac:dyDescent="0.25">
      <c r="A605" s="27" t="s">
        <v>1182</v>
      </c>
      <c r="B605" s="27" t="str">
        <f t="shared" si="51"/>
        <v>North Carolina</v>
      </c>
      <c r="C605" s="27" t="str">
        <f t="shared" si="52"/>
        <v>Johnston</v>
      </c>
      <c r="D605" s="2">
        <v>4969</v>
      </c>
      <c r="E605" s="2">
        <v>164</v>
      </c>
      <c r="F605" s="26">
        <f>'NC pre'!J52</f>
        <v>90.508571428571429</v>
      </c>
      <c r="G605" s="2">
        <v>9437</v>
      </c>
      <c r="H605" s="12">
        <f>'NC pre'!N52</f>
        <v>29.800732369467767</v>
      </c>
      <c r="I605" s="12">
        <v>37345</v>
      </c>
      <c r="J605" s="27">
        <v>108</v>
      </c>
      <c r="K605" s="12">
        <f>'NC pre'!Q52</f>
        <v>8270.89</v>
      </c>
      <c r="L605" s="27">
        <v>1905</v>
      </c>
      <c r="M605" s="27" t="s">
        <v>518</v>
      </c>
      <c r="N605" s="27" t="s">
        <v>519</v>
      </c>
      <c r="O605" s="27" t="str">
        <f t="shared" si="48"/>
        <v>https://babel.hathitrust.org/cgi/pt?id=nc01.ark:/13960/t9183d98b;view=1up;seq=252</v>
      </c>
      <c r="P605" s="27" t="s">
        <v>518</v>
      </c>
      <c r="Q605" s="27" t="str">
        <f t="shared" si="49"/>
        <v>https://babel.hathitrust.org/cgi/pt?id=nc01.ark:/13960/t9183d98b;view=1up;seq=252</v>
      </c>
      <c r="R605" s="27" t="s">
        <v>521</v>
      </c>
      <c r="S605" s="27" t="s">
        <v>522</v>
      </c>
      <c r="T605" s="27" t="str">
        <f t="shared" si="50"/>
        <v>https://babel.hathitrust.org/cgi/pt?id=nc01.ark:/13960/t9183d98b;view=1up;seq=112</v>
      </c>
      <c r="U605" s="4"/>
      <c r="V605" s="4"/>
      <c r="W605" s="4"/>
      <c r="X605" s="4"/>
      <c r="Y605" s="4"/>
      <c r="Z605" s="4"/>
      <c r="AA605" s="4"/>
      <c r="AB605" s="4"/>
    </row>
    <row r="606" spans="1:28" x14ac:dyDescent="0.25">
      <c r="A606" s="27" t="s">
        <v>1183</v>
      </c>
      <c r="B606" s="27" t="str">
        <f t="shared" si="51"/>
        <v>North Carolina</v>
      </c>
      <c r="C606" s="27" t="str">
        <f t="shared" si="52"/>
        <v>Jones</v>
      </c>
      <c r="D606" s="27">
        <v>1168</v>
      </c>
      <c r="E606" s="2">
        <v>55</v>
      </c>
      <c r="F606" s="26">
        <f>'NC pre'!J53</f>
        <v>78.040000000000006</v>
      </c>
      <c r="G606" s="2">
        <v>2133</v>
      </c>
      <c r="H606" s="12">
        <f>'NC pre'!N53</f>
        <v>25.101230138390566</v>
      </c>
      <c r="I606" s="12">
        <v>5998</v>
      </c>
      <c r="J606" s="27">
        <v>31</v>
      </c>
      <c r="K606" s="12">
        <f>'NC pre'!Q53</f>
        <v>1757.94</v>
      </c>
      <c r="L606" s="27">
        <v>1905</v>
      </c>
      <c r="M606" s="27" t="s">
        <v>523</v>
      </c>
      <c r="N606" s="27" t="s">
        <v>519</v>
      </c>
      <c r="O606" s="27" t="str">
        <f t="shared" si="48"/>
        <v>https://babel.hathitrust.org/cgi/pt?id=nc01.ark:/13960/t9183d98b;view=1up;seq=252</v>
      </c>
      <c r="P606" s="27" t="s">
        <v>523</v>
      </c>
      <c r="Q606" s="27" t="str">
        <f t="shared" si="49"/>
        <v>https://babel.hathitrust.org/cgi/pt?id=nc01.ark:/13960/t9183d98b;view=1up;seq=252</v>
      </c>
      <c r="R606" s="27" t="s">
        <v>521</v>
      </c>
      <c r="S606" s="27" t="s">
        <v>522</v>
      </c>
      <c r="T606" s="27" t="str">
        <f t="shared" si="50"/>
        <v>https://babel.hathitrust.org/cgi/pt?id=nc01.ark:/13960/t9183d98b;view=1up;seq=112</v>
      </c>
      <c r="U606" s="4"/>
      <c r="V606" s="4"/>
      <c r="W606" s="4"/>
      <c r="X606" s="4"/>
      <c r="Y606" s="4"/>
      <c r="Z606" s="4"/>
      <c r="AA606" s="4"/>
      <c r="AB606" s="4"/>
    </row>
    <row r="607" spans="1:28" x14ac:dyDescent="0.25">
      <c r="A607" s="27" t="s">
        <v>1184</v>
      </c>
      <c r="B607" s="27" t="str">
        <f t="shared" si="51"/>
        <v>North Carolina</v>
      </c>
      <c r="C607" s="27" t="str">
        <f t="shared" si="52"/>
        <v>Lee</v>
      </c>
      <c r="D607" s="27" t="s">
        <v>383</v>
      </c>
      <c r="E607" s="27"/>
      <c r="F607" s="26"/>
      <c r="G607" s="27"/>
      <c r="H607" s="12"/>
      <c r="J607" s="27"/>
      <c r="K607" s="12"/>
      <c r="L607" s="27">
        <v>1905</v>
      </c>
      <c r="M607" s="27" t="s">
        <v>518</v>
      </c>
      <c r="N607" s="27" t="s">
        <v>519</v>
      </c>
      <c r="O607" s="27" t="str">
        <f t="shared" si="48"/>
        <v>https://babel.hathitrust.org/cgi/pt?id=nc01.ark:/13960/t9183d98b;view=1up;seq=252</v>
      </c>
      <c r="P607" s="27" t="s">
        <v>518</v>
      </c>
      <c r="Q607" s="27" t="str">
        <f t="shared" si="49"/>
        <v>https://babel.hathitrust.org/cgi/pt?id=nc01.ark:/13960/t9183d98b;view=1up;seq=252</v>
      </c>
      <c r="R607" s="27" t="s">
        <v>521</v>
      </c>
      <c r="S607" s="27" t="s">
        <v>522</v>
      </c>
      <c r="T607" s="27" t="str">
        <f t="shared" si="50"/>
        <v>https://babel.hathitrust.org/cgi/pt?id=nc01.ark:/13960/t9183d98b;view=1up;seq=112</v>
      </c>
      <c r="U607" s="4"/>
      <c r="V607" s="4"/>
      <c r="W607" s="4"/>
      <c r="X607" s="4"/>
      <c r="Y607" s="4"/>
      <c r="Z607" s="4"/>
      <c r="AA607" s="4"/>
      <c r="AB607" s="4"/>
    </row>
    <row r="608" spans="1:28" x14ac:dyDescent="0.25">
      <c r="A608" s="27" t="s">
        <v>1185</v>
      </c>
      <c r="B608" s="27" t="str">
        <f t="shared" si="51"/>
        <v>North Carolina</v>
      </c>
      <c r="C608" s="27" t="str">
        <f t="shared" si="52"/>
        <v>Lenoir</v>
      </c>
      <c r="D608" s="2">
        <v>2657</v>
      </c>
      <c r="E608" s="2">
        <v>94</v>
      </c>
      <c r="F608" s="26">
        <f>'NC pre'!J55</f>
        <v>115.2</v>
      </c>
      <c r="G608" s="2">
        <v>5269</v>
      </c>
      <c r="H608" s="12">
        <f>'NC pre'!N55</f>
        <v>32.017881944444447</v>
      </c>
      <c r="I608" s="12">
        <v>30366</v>
      </c>
      <c r="J608" s="27">
        <v>41</v>
      </c>
      <c r="K608" s="12">
        <f>'NC pre'!Q55</f>
        <v>3059.73</v>
      </c>
      <c r="L608" s="27">
        <v>1905</v>
      </c>
      <c r="M608" s="27" t="s">
        <v>523</v>
      </c>
      <c r="N608" s="27" t="s">
        <v>519</v>
      </c>
      <c r="O608" s="27" t="str">
        <f t="shared" si="48"/>
        <v>https://babel.hathitrust.org/cgi/pt?id=nc01.ark:/13960/t9183d98b;view=1up;seq=252</v>
      </c>
      <c r="P608" s="27" t="s">
        <v>523</v>
      </c>
      <c r="Q608" s="27" t="str">
        <f t="shared" si="49"/>
        <v>https://babel.hathitrust.org/cgi/pt?id=nc01.ark:/13960/t9183d98b;view=1up;seq=252</v>
      </c>
      <c r="R608" s="27" t="s">
        <v>521</v>
      </c>
      <c r="S608" s="27" t="s">
        <v>522</v>
      </c>
      <c r="T608" s="27" t="str">
        <f t="shared" si="50"/>
        <v>https://babel.hathitrust.org/cgi/pt?id=nc01.ark:/13960/t9183d98b;view=1up;seq=112</v>
      </c>
      <c r="U608" s="4"/>
      <c r="V608" s="4"/>
      <c r="W608" s="4"/>
      <c r="X608" s="4"/>
      <c r="Y608" s="4"/>
      <c r="Z608" s="4"/>
      <c r="AA608" s="4"/>
      <c r="AB608" s="4"/>
    </row>
    <row r="609" spans="1:28" x14ac:dyDescent="0.25">
      <c r="A609" s="27" t="s">
        <v>1186</v>
      </c>
      <c r="B609" s="27" t="str">
        <f t="shared" si="51"/>
        <v>North Carolina</v>
      </c>
      <c r="C609" s="27" t="str">
        <f t="shared" si="52"/>
        <v>Lincoln</v>
      </c>
      <c r="D609" s="2">
        <v>2478</v>
      </c>
      <c r="E609" s="2">
        <v>88</v>
      </c>
      <c r="F609" s="26">
        <f>'NC pre'!J56</f>
        <v>81.011627906976742</v>
      </c>
      <c r="G609" s="2">
        <v>3990</v>
      </c>
      <c r="H609" s="12">
        <f>'NC pre'!N56</f>
        <v>27.460858332137217</v>
      </c>
      <c r="I609" s="12">
        <v>12087</v>
      </c>
      <c r="J609" s="27">
        <v>57</v>
      </c>
      <c r="K609" s="12">
        <f>'NC pre'!Q56</f>
        <v>1405.36</v>
      </c>
      <c r="L609" s="27">
        <v>1905</v>
      </c>
      <c r="M609" s="27" t="s">
        <v>518</v>
      </c>
      <c r="N609" s="27" t="s">
        <v>519</v>
      </c>
      <c r="O609" s="27" t="str">
        <f t="shared" si="48"/>
        <v>https://babel.hathitrust.org/cgi/pt?id=nc01.ark:/13960/t9183d98b;view=1up;seq=252</v>
      </c>
      <c r="P609" s="27" t="s">
        <v>518</v>
      </c>
      <c r="Q609" s="27" t="str">
        <f t="shared" si="49"/>
        <v>https://babel.hathitrust.org/cgi/pt?id=nc01.ark:/13960/t9183d98b;view=1up;seq=252</v>
      </c>
      <c r="R609" s="27" t="s">
        <v>521</v>
      </c>
      <c r="S609" s="27" t="s">
        <v>522</v>
      </c>
      <c r="T609" s="27" t="str">
        <f t="shared" si="50"/>
        <v>https://babel.hathitrust.org/cgi/pt?id=nc01.ark:/13960/t9183d98b;view=1up;seq=112</v>
      </c>
      <c r="U609" s="4"/>
      <c r="V609" s="4"/>
      <c r="W609" s="4"/>
      <c r="X609" s="4"/>
      <c r="Y609" s="4"/>
      <c r="Z609" s="4"/>
      <c r="AA609" s="4"/>
      <c r="AB609" s="4"/>
    </row>
    <row r="610" spans="1:28" x14ac:dyDescent="0.25">
      <c r="A610" s="27" t="s">
        <v>1188</v>
      </c>
      <c r="B610" s="27" t="str">
        <f t="shared" si="51"/>
        <v>North Carolina</v>
      </c>
      <c r="C610" s="27" t="str">
        <f t="shared" si="52"/>
        <v>Macon</v>
      </c>
      <c r="D610" s="2">
        <v>1776</v>
      </c>
      <c r="E610" s="2">
        <v>59</v>
      </c>
      <c r="F610" s="26">
        <f>'NC pre'!J57</f>
        <v>77.119402985074629</v>
      </c>
      <c r="G610" s="2">
        <v>3044</v>
      </c>
      <c r="H610" s="12">
        <f>'NC pre'!N57</f>
        <v>23.110663828140122</v>
      </c>
      <c r="I610" s="12">
        <v>8239</v>
      </c>
      <c r="J610" s="27">
        <v>52</v>
      </c>
      <c r="K610" s="12">
        <f>'NC pre'!Q57</f>
        <v>1714.97</v>
      </c>
      <c r="L610" s="27">
        <v>1905</v>
      </c>
      <c r="M610" s="27" t="s">
        <v>523</v>
      </c>
      <c r="N610" s="27" t="s">
        <v>519</v>
      </c>
      <c r="O610" s="27" t="str">
        <f t="shared" si="48"/>
        <v>https://babel.hathitrust.org/cgi/pt?id=nc01.ark:/13960/t9183d98b;view=1up;seq=252</v>
      </c>
      <c r="P610" s="27" t="s">
        <v>523</v>
      </c>
      <c r="Q610" s="27" t="str">
        <f t="shared" si="49"/>
        <v>https://babel.hathitrust.org/cgi/pt?id=nc01.ark:/13960/t9183d98b;view=1up;seq=252</v>
      </c>
      <c r="R610" s="27" t="s">
        <v>521</v>
      </c>
      <c r="S610" s="27" t="s">
        <v>522</v>
      </c>
      <c r="T610" s="27" t="str">
        <f t="shared" si="50"/>
        <v>https://babel.hathitrust.org/cgi/pt?id=nc01.ark:/13960/t9183d98b;view=1up;seq=112</v>
      </c>
      <c r="U610" s="4"/>
      <c r="V610" s="4"/>
      <c r="W610" s="4"/>
      <c r="X610" s="4"/>
      <c r="Y610" s="4"/>
      <c r="Z610" s="4"/>
      <c r="AA610" s="4"/>
      <c r="AB610" s="4"/>
    </row>
    <row r="611" spans="1:28" x14ac:dyDescent="0.25">
      <c r="A611" s="27" t="s">
        <v>1189</v>
      </c>
      <c r="B611" s="27" t="str">
        <f t="shared" si="51"/>
        <v>North Carolina</v>
      </c>
      <c r="C611" s="27" t="str">
        <f t="shared" si="52"/>
        <v>Madison</v>
      </c>
      <c r="D611" s="2">
        <v>2800</v>
      </c>
      <c r="E611" s="2">
        <v>77</v>
      </c>
      <c r="F611" s="26">
        <f>'NC pre'!J58</f>
        <v>81.75</v>
      </c>
      <c r="G611" s="2">
        <v>5198</v>
      </c>
      <c r="H611" s="12">
        <f>'NC pre'!N58</f>
        <v>28.014862385321099</v>
      </c>
      <c r="I611" s="12">
        <v>12450</v>
      </c>
      <c r="J611" s="27">
        <v>64</v>
      </c>
      <c r="K611" s="12">
        <f>'NC pre'!Q58</f>
        <v>1453.99</v>
      </c>
      <c r="L611" s="27">
        <v>1905</v>
      </c>
      <c r="M611" s="27" t="s">
        <v>518</v>
      </c>
      <c r="N611" s="27" t="s">
        <v>519</v>
      </c>
      <c r="O611" s="27" t="str">
        <f t="shared" si="48"/>
        <v>https://babel.hathitrust.org/cgi/pt?id=nc01.ark:/13960/t9183d98b;view=1up;seq=252</v>
      </c>
      <c r="P611" s="27" t="s">
        <v>518</v>
      </c>
      <c r="Q611" s="27" t="str">
        <f t="shared" si="49"/>
        <v>https://babel.hathitrust.org/cgi/pt?id=nc01.ark:/13960/t9183d98b;view=1up;seq=252</v>
      </c>
      <c r="R611" s="27" t="s">
        <v>521</v>
      </c>
      <c r="S611" s="27" t="s">
        <v>522</v>
      </c>
      <c r="T611" s="27" t="str">
        <f t="shared" si="50"/>
        <v>https://babel.hathitrust.org/cgi/pt?id=nc01.ark:/13960/t9183d98b;view=1up;seq=112</v>
      </c>
      <c r="U611" s="4"/>
      <c r="V611" s="4"/>
      <c r="W611" s="4"/>
      <c r="X611" s="4"/>
      <c r="Y611" s="4"/>
      <c r="Z611" s="4"/>
      <c r="AA611" s="4"/>
      <c r="AB611" s="4"/>
    </row>
    <row r="612" spans="1:28" x14ac:dyDescent="0.25">
      <c r="A612" s="27" t="s">
        <v>1190</v>
      </c>
      <c r="B612" s="27" t="str">
        <f t="shared" si="51"/>
        <v>North Carolina</v>
      </c>
      <c r="C612" s="27" t="str">
        <f t="shared" si="52"/>
        <v>Martin</v>
      </c>
      <c r="D612" s="2">
        <v>3152</v>
      </c>
      <c r="E612" s="2">
        <v>94</v>
      </c>
      <c r="F612" s="26">
        <f>'NC pre'!J59</f>
        <v>88.967032967032964</v>
      </c>
      <c r="G612" s="2">
        <v>4797</v>
      </c>
      <c r="H612" s="12">
        <f>'NC pre'!N59</f>
        <v>28.627149209486166</v>
      </c>
      <c r="I612" s="12">
        <v>16503</v>
      </c>
      <c r="J612" s="27">
        <v>48</v>
      </c>
      <c r="K612" s="12">
        <f>'NC pre'!Q59</f>
        <v>3655.34</v>
      </c>
      <c r="L612" s="27">
        <v>1905</v>
      </c>
      <c r="M612" s="27" t="s">
        <v>523</v>
      </c>
      <c r="N612" s="27" t="s">
        <v>519</v>
      </c>
      <c r="O612" s="27" t="str">
        <f t="shared" si="48"/>
        <v>https://babel.hathitrust.org/cgi/pt?id=nc01.ark:/13960/t9183d98b;view=1up;seq=252</v>
      </c>
      <c r="P612" s="27" t="s">
        <v>523</v>
      </c>
      <c r="Q612" s="27" t="str">
        <f t="shared" si="49"/>
        <v>https://babel.hathitrust.org/cgi/pt?id=nc01.ark:/13960/t9183d98b;view=1up;seq=252</v>
      </c>
      <c r="R612" s="27" t="s">
        <v>521</v>
      </c>
      <c r="S612" s="27" t="s">
        <v>522</v>
      </c>
      <c r="T612" s="27" t="str">
        <f t="shared" si="50"/>
        <v>https://babel.hathitrust.org/cgi/pt?id=nc01.ark:/13960/t9183d98b;view=1up;seq=112</v>
      </c>
      <c r="U612" s="4"/>
      <c r="V612" s="4"/>
      <c r="W612" s="4"/>
      <c r="X612" s="4"/>
      <c r="Y612" s="4"/>
      <c r="Z612" s="4"/>
      <c r="AA612" s="4"/>
      <c r="AB612" s="4"/>
    </row>
    <row r="613" spans="1:28" x14ac:dyDescent="0.25">
      <c r="A613" s="27" t="s">
        <v>1187</v>
      </c>
      <c r="B613" s="27" t="str">
        <f t="shared" si="51"/>
        <v>North Carolina</v>
      </c>
      <c r="C613" s="27" t="str">
        <f t="shared" si="52"/>
        <v>McDowell</v>
      </c>
      <c r="D613" s="2">
        <v>2016</v>
      </c>
      <c r="E613" s="2">
        <v>65</v>
      </c>
      <c r="F613" s="26">
        <f>'NC pre'!J60</f>
        <v>85.229508196721312</v>
      </c>
      <c r="G613" s="2">
        <v>3431</v>
      </c>
      <c r="H613" s="12">
        <f>'NC pre'!N60</f>
        <v>39.174302750528945</v>
      </c>
      <c r="I613" s="12">
        <v>17675</v>
      </c>
      <c r="J613" s="27">
        <v>50</v>
      </c>
      <c r="K613" s="12">
        <f>'NC pre'!Q60</f>
        <v>4615.5200000000004</v>
      </c>
      <c r="L613" s="27">
        <v>1905</v>
      </c>
      <c r="M613" s="27" t="s">
        <v>518</v>
      </c>
      <c r="N613" s="27" t="s">
        <v>519</v>
      </c>
      <c r="O613" s="27" t="str">
        <f t="shared" si="48"/>
        <v>https://babel.hathitrust.org/cgi/pt?id=nc01.ark:/13960/t9183d98b;view=1up;seq=252</v>
      </c>
      <c r="P613" s="27" t="s">
        <v>518</v>
      </c>
      <c r="Q613" s="27" t="str">
        <f t="shared" si="49"/>
        <v>https://babel.hathitrust.org/cgi/pt?id=nc01.ark:/13960/t9183d98b;view=1up;seq=252</v>
      </c>
      <c r="R613" s="27" t="s">
        <v>521</v>
      </c>
      <c r="S613" s="27" t="s">
        <v>522</v>
      </c>
      <c r="T613" s="27" t="str">
        <f t="shared" si="50"/>
        <v>https://babel.hathitrust.org/cgi/pt?id=nc01.ark:/13960/t9183d98b;view=1up;seq=112</v>
      </c>
      <c r="U613" s="4"/>
      <c r="V613" s="4"/>
      <c r="W613" s="4"/>
      <c r="X613" s="4"/>
      <c r="Y613" s="4"/>
      <c r="Z613" s="4"/>
      <c r="AA613" s="4"/>
      <c r="AB613" s="4"/>
    </row>
    <row r="614" spans="1:28" x14ac:dyDescent="0.25">
      <c r="A614" s="27" t="s">
        <v>1191</v>
      </c>
      <c r="B614" s="27" t="str">
        <f t="shared" si="51"/>
        <v>North Carolina</v>
      </c>
      <c r="C614" s="27" t="str">
        <f t="shared" si="52"/>
        <v>Mecklenburg</v>
      </c>
      <c r="D614" s="2">
        <v>8184</v>
      </c>
      <c r="E614" s="2">
        <v>245</v>
      </c>
      <c r="F614" s="26">
        <f>'NC pre'!J61</f>
        <v>126.84297520661157</v>
      </c>
      <c r="G614" s="2">
        <v>13920</v>
      </c>
      <c r="H614" s="12">
        <f>'NC pre'!N61</f>
        <v>34.853335939536095</v>
      </c>
      <c r="I614" s="12">
        <v>93284</v>
      </c>
      <c r="J614" s="27">
        <v>70</v>
      </c>
      <c r="K614" s="12">
        <f>'NC pre'!Q61</f>
        <v>12548.23</v>
      </c>
      <c r="L614" s="27">
        <v>1905</v>
      </c>
      <c r="M614" s="27" t="s">
        <v>523</v>
      </c>
      <c r="N614" s="27" t="s">
        <v>519</v>
      </c>
      <c r="O614" s="27" t="str">
        <f t="shared" si="48"/>
        <v>https://babel.hathitrust.org/cgi/pt?id=nc01.ark:/13960/t9183d98b;view=1up;seq=252</v>
      </c>
      <c r="P614" s="27" t="s">
        <v>523</v>
      </c>
      <c r="Q614" s="27" t="str">
        <f t="shared" si="49"/>
        <v>https://babel.hathitrust.org/cgi/pt?id=nc01.ark:/13960/t9183d98b;view=1up;seq=252</v>
      </c>
      <c r="R614" s="27" t="s">
        <v>521</v>
      </c>
      <c r="S614" s="27" t="s">
        <v>522</v>
      </c>
      <c r="T614" s="27" t="str">
        <f t="shared" si="50"/>
        <v>https://babel.hathitrust.org/cgi/pt?id=nc01.ark:/13960/t9183d98b;view=1up;seq=112</v>
      </c>
      <c r="U614" s="4"/>
      <c r="V614" s="4"/>
      <c r="W614" s="4"/>
      <c r="X614" s="4"/>
      <c r="Y614" s="4"/>
      <c r="Z614" s="4"/>
      <c r="AA614" s="4"/>
      <c r="AB614" s="4"/>
    </row>
    <row r="615" spans="1:28" x14ac:dyDescent="0.25">
      <c r="A615" s="27" t="s">
        <v>1192</v>
      </c>
      <c r="B615" s="27" t="str">
        <f t="shared" si="51"/>
        <v>North Carolina</v>
      </c>
      <c r="C615" s="27" t="str">
        <f t="shared" si="52"/>
        <v>Mitchell</v>
      </c>
      <c r="D615" s="2">
        <v>2443</v>
      </c>
      <c r="E615" s="2">
        <v>72</v>
      </c>
      <c r="F615" s="26">
        <f>'NC pre'!J62</f>
        <v>76</v>
      </c>
      <c r="G615" s="2">
        <v>5331</v>
      </c>
      <c r="H615" s="12">
        <f>'NC pre'!N62</f>
        <v>27.251482579688659</v>
      </c>
      <c r="I615" s="12">
        <v>9374</v>
      </c>
      <c r="J615" s="27">
        <v>48</v>
      </c>
      <c r="K615" s="12">
        <f>'NC pre'!Q62</f>
        <v>1657.48</v>
      </c>
      <c r="L615" s="27">
        <v>1905</v>
      </c>
      <c r="M615" s="27" t="s">
        <v>518</v>
      </c>
      <c r="N615" s="27" t="s">
        <v>519</v>
      </c>
      <c r="O615" s="27" t="str">
        <f t="shared" si="48"/>
        <v>https://babel.hathitrust.org/cgi/pt?id=nc01.ark:/13960/t9183d98b;view=1up;seq=252</v>
      </c>
      <c r="P615" s="27" t="s">
        <v>518</v>
      </c>
      <c r="Q615" s="27" t="str">
        <f t="shared" si="49"/>
        <v>https://babel.hathitrust.org/cgi/pt?id=nc01.ark:/13960/t9183d98b;view=1up;seq=252</v>
      </c>
      <c r="R615" s="27" t="s">
        <v>521</v>
      </c>
      <c r="S615" s="27" t="s">
        <v>522</v>
      </c>
      <c r="T615" s="27" t="str">
        <f t="shared" si="50"/>
        <v>https://babel.hathitrust.org/cgi/pt?id=nc01.ark:/13960/t9183d98b;view=1up;seq=112</v>
      </c>
      <c r="U615" s="4"/>
      <c r="V615" s="4"/>
      <c r="W615" s="4"/>
      <c r="X615" s="4"/>
      <c r="Y615" s="4"/>
      <c r="Z615" s="4"/>
      <c r="AA615" s="4"/>
      <c r="AB615" s="4"/>
    </row>
    <row r="616" spans="1:28" x14ac:dyDescent="0.25">
      <c r="A616" s="27" t="s">
        <v>1193</v>
      </c>
      <c r="B616" s="27" t="str">
        <f t="shared" si="51"/>
        <v>North Carolina</v>
      </c>
      <c r="C616" s="27" t="str">
        <f t="shared" si="52"/>
        <v>Montgomery</v>
      </c>
      <c r="D616" s="2">
        <v>2107</v>
      </c>
      <c r="E616" s="2">
        <v>86</v>
      </c>
      <c r="F616" s="26">
        <f>'NC pre'!J63</f>
        <v>77.048780487804876</v>
      </c>
      <c r="G616" s="2">
        <v>3564</v>
      </c>
      <c r="H616" s="12">
        <f>'NC pre'!N63</f>
        <v>27.433681544792659</v>
      </c>
      <c r="I616" s="12">
        <v>11756</v>
      </c>
      <c r="J616" s="27">
        <v>57</v>
      </c>
      <c r="K616" s="12">
        <f>'NC pre'!Q63</f>
        <v>1092.55</v>
      </c>
      <c r="L616" s="27">
        <v>1905</v>
      </c>
      <c r="M616" s="27" t="s">
        <v>523</v>
      </c>
      <c r="N616" s="27" t="s">
        <v>519</v>
      </c>
      <c r="O616" s="27" t="str">
        <f t="shared" si="48"/>
        <v>https://babel.hathitrust.org/cgi/pt?id=nc01.ark:/13960/t9183d98b;view=1up;seq=252</v>
      </c>
      <c r="P616" s="27" t="s">
        <v>523</v>
      </c>
      <c r="Q616" s="27" t="str">
        <f t="shared" si="49"/>
        <v>https://babel.hathitrust.org/cgi/pt?id=nc01.ark:/13960/t9183d98b;view=1up;seq=252</v>
      </c>
      <c r="R616" s="27" t="s">
        <v>521</v>
      </c>
      <c r="S616" s="27" t="s">
        <v>522</v>
      </c>
      <c r="T616" s="27" t="str">
        <f t="shared" si="50"/>
        <v>https://babel.hathitrust.org/cgi/pt?id=nc01.ark:/13960/t9183d98b;view=1up;seq=112</v>
      </c>
      <c r="U616" s="4"/>
      <c r="V616" s="4"/>
      <c r="W616" s="4"/>
      <c r="X616" s="4"/>
      <c r="Y616" s="4"/>
      <c r="Z616" s="4"/>
      <c r="AA616" s="4"/>
      <c r="AB616" s="4"/>
    </row>
    <row r="617" spans="1:28" x14ac:dyDescent="0.25">
      <c r="A617" s="27" t="s">
        <v>1194</v>
      </c>
      <c r="B617" s="27" t="str">
        <f t="shared" si="51"/>
        <v>North Carolina</v>
      </c>
      <c r="C617" s="27" t="str">
        <f t="shared" si="52"/>
        <v>Moore</v>
      </c>
      <c r="D617" s="2">
        <v>4577</v>
      </c>
      <c r="E617" s="2">
        <v>121</v>
      </c>
      <c r="F617" s="26">
        <f>'NC pre'!J64</f>
        <v>81.478787878787884</v>
      </c>
      <c r="G617" s="2">
        <v>6349</v>
      </c>
      <c r="H617" s="12">
        <f>'NC pre'!N64</f>
        <v>25.660383814340967</v>
      </c>
      <c r="I617" s="12">
        <v>23784</v>
      </c>
      <c r="J617" s="27">
        <v>88</v>
      </c>
      <c r="K617" s="12">
        <f>'NC pre'!Q64</f>
        <v>1954.62</v>
      </c>
      <c r="L617" s="27">
        <v>1905</v>
      </c>
      <c r="M617" s="27" t="s">
        <v>518</v>
      </c>
      <c r="N617" s="27" t="s">
        <v>519</v>
      </c>
      <c r="O617" s="27" t="str">
        <f t="shared" si="48"/>
        <v>https://babel.hathitrust.org/cgi/pt?id=nc01.ark:/13960/t9183d98b;view=1up;seq=252</v>
      </c>
      <c r="P617" s="27" t="s">
        <v>518</v>
      </c>
      <c r="Q617" s="27" t="str">
        <f t="shared" si="49"/>
        <v>https://babel.hathitrust.org/cgi/pt?id=nc01.ark:/13960/t9183d98b;view=1up;seq=252</v>
      </c>
      <c r="R617" s="27" t="s">
        <v>521</v>
      </c>
      <c r="S617" s="27" t="s">
        <v>522</v>
      </c>
      <c r="T617" s="27" t="str">
        <f t="shared" si="50"/>
        <v>https://babel.hathitrust.org/cgi/pt?id=nc01.ark:/13960/t9183d98b;view=1up;seq=112</v>
      </c>
      <c r="U617" s="4"/>
      <c r="V617" s="4"/>
      <c r="W617" s="4"/>
      <c r="X617" s="4"/>
      <c r="Y617" s="4"/>
      <c r="Z617" s="4"/>
      <c r="AA617" s="4"/>
      <c r="AB617" s="4"/>
    </row>
    <row r="618" spans="1:28" x14ac:dyDescent="0.25">
      <c r="A618" s="27" t="s">
        <v>1195</v>
      </c>
      <c r="B618" s="27" t="str">
        <f t="shared" si="51"/>
        <v>North Carolina</v>
      </c>
      <c r="C618" s="27" t="str">
        <f t="shared" si="52"/>
        <v>Nash</v>
      </c>
      <c r="D618" s="2">
        <v>4395</v>
      </c>
      <c r="E618" s="2">
        <v>132</v>
      </c>
      <c r="F618" s="26">
        <f>'NC pre'!J65</f>
        <v>99.25352112676056</v>
      </c>
      <c r="G618" s="2">
        <v>6635</v>
      </c>
      <c r="H618" s="12">
        <f>'NC pre'!N65</f>
        <v>29.313622818220516</v>
      </c>
      <c r="I618" s="12">
        <v>31770</v>
      </c>
      <c r="J618" s="27">
        <v>58</v>
      </c>
      <c r="K618" s="12">
        <f>'NC pre'!Q65</f>
        <v>6019.47</v>
      </c>
      <c r="L618" s="27">
        <v>1905</v>
      </c>
      <c r="M618" s="27" t="s">
        <v>523</v>
      </c>
      <c r="N618" s="27" t="s">
        <v>519</v>
      </c>
      <c r="O618" s="27" t="str">
        <f t="shared" si="48"/>
        <v>https://babel.hathitrust.org/cgi/pt?id=nc01.ark:/13960/t9183d98b;view=1up;seq=252</v>
      </c>
      <c r="P618" s="27" t="s">
        <v>523</v>
      </c>
      <c r="Q618" s="27" t="str">
        <f t="shared" si="49"/>
        <v>https://babel.hathitrust.org/cgi/pt?id=nc01.ark:/13960/t9183d98b;view=1up;seq=252</v>
      </c>
      <c r="R618" s="27" t="s">
        <v>521</v>
      </c>
      <c r="S618" s="27" t="s">
        <v>522</v>
      </c>
      <c r="T618" s="27" t="str">
        <f t="shared" si="50"/>
        <v>https://babel.hathitrust.org/cgi/pt?id=nc01.ark:/13960/t9183d98b;view=1up;seq=112</v>
      </c>
      <c r="U618" s="4"/>
      <c r="V618" s="4"/>
      <c r="W618" s="4"/>
      <c r="X618" s="4"/>
      <c r="Y618" s="4"/>
      <c r="Z618" s="4"/>
      <c r="AA618" s="4"/>
      <c r="AB618" s="4"/>
    </row>
    <row r="619" spans="1:28" x14ac:dyDescent="0.25">
      <c r="A619" s="27" t="s">
        <v>1196</v>
      </c>
      <c r="B619" s="27" t="str">
        <f t="shared" si="51"/>
        <v>North Carolina</v>
      </c>
      <c r="C619" s="27" t="str">
        <f t="shared" si="52"/>
        <v>New Hanover</v>
      </c>
      <c r="D619" s="2">
        <v>2682</v>
      </c>
      <c r="E619" s="2">
        <v>77</v>
      </c>
      <c r="F619" s="26">
        <f>'NC pre'!J66</f>
        <v>153.32631578947368</v>
      </c>
      <c r="G619" s="2">
        <v>4059</v>
      </c>
      <c r="H619" s="12">
        <f>'NC pre'!N66</f>
        <v>37.257998077715229</v>
      </c>
      <c r="I619" s="12">
        <v>36449.410000000003</v>
      </c>
      <c r="J619" s="27">
        <v>16</v>
      </c>
      <c r="K619" s="12">
        <f>'NC pre'!Q66</f>
        <v>1425.03</v>
      </c>
      <c r="L619" s="27">
        <v>1905</v>
      </c>
      <c r="M619" s="27" t="s">
        <v>518</v>
      </c>
      <c r="N619" s="27" t="s">
        <v>519</v>
      </c>
      <c r="O619" s="27" t="str">
        <f t="shared" si="48"/>
        <v>https://babel.hathitrust.org/cgi/pt?id=nc01.ark:/13960/t9183d98b;view=1up;seq=252</v>
      </c>
      <c r="P619" s="27" t="s">
        <v>518</v>
      </c>
      <c r="Q619" s="27" t="str">
        <f t="shared" si="49"/>
        <v>https://babel.hathitrust.org/cgi/pt?id=nc01.ark:/13960/t9183d98b;view=1up;seq=252</v>
      </c>
      <c r="R619" s="27" t="s">
        <v>521</v>
      </c>
      <c r="S619" s="27" t="s">
        <v>522</v>
      </c>
      <c r="T619" s="27" t="str">
        <f t="shared" si="50"/>
        <v>https://babel.hathitrust.org/cgi/pt?id=nc01.ark:/13960/t9183d98b;view=1up;seq=112</v>
      </c>
      <c r="U619" s="4"/>
      <c r="V619" s="4"/>
      <c r="W619" s="4"/>
      <c r="X619" s="4"/>
      <c r="Y619" s="4"/>
      <c r="Z619" s="4"/>
      <c r="AA619" s="4"/>
      <c r="AB619" s="4"/>
    </row>
    <row r="620" spans="1:28" x14ac:dyDescent="0.25">
      <c r="A620" s="27" t="s">
        <v>1197</v>
      </c>
      <c r="B620" s="27" t="str">
        <f t="shared" si="51"/>
        <v>North Carolina</v>
      </c>
      <c r="C620" s="27" t="str">
        <f t="shared" si="52"/>
        <v>Northampton</v>
      </c>
      <c r="D620" s="2">
        <v>2542</v>
      </c>
      <c r="E620" s="2">
        <v>96</v>
      </c>
      <c r="F620" s="26">
        <f>'NC pre'!J67</f>
        <v>83.468085106382972</v>
      </c>
      <c r="G620" s="2">
        <v>4948</v>
      </c>
      <c r="H620" s="12">
        <f>'NC pre'!N67</f>
        <v>36.248304868722926</v>
      </c>
      <c r="I620" s="12">
        <v>18795.95</v>
      </c>
      <c r="J620" s="27">
        <v>35</v>
      </c>
      <c r="K620" s="12">
        <f>'NC pre'!Q67</f>
        <v>2440.9</v>
      </c>
      <c r="L620" s="27">
        <v>1905</v>
      </c>
      <c r="M620" s="27" t="s">
        <v>523</v>
      </c>
      <c r="N620" s="27" t="s">
        <v>519</v>
      </c>
      <c r="O620" s="27" t="str">
        <f t="shared" si="48"/>
        <v>https://babel.hathitrust.org/cgi/pt?id=nc01.ark:/13960/t9183d98b;view=1up;seq=252</v>
      </c>
      <c r="P620" s="27" t="s">
        <v>523</v>
      </c>
      <c r="Q620" s="27" t="str">
        <f t="shared" si="49"/>
        <v>https://babel.hathitrust.org/cgi/pt?id=nc01.ark:/13960/t9183d98b;view=1up;seq=252</v>
      </c>
      <c r="R620" s="27" t="s">
        <v>521</v>
      </c>
      <c r="S620" s="27" t="s">
        <v>522</v>
      </c>
      <c r="T620" s="27" t="str">
        <f t="shared" si="50"/>
        <v>https://babel.hathitrust.org/cgi/pt?id=nc01.ark:/13960/t9183d98b;view=1up;seq=112</v>
      </c>
      <c r="U620" s="4"/>
      <c r="V620" s="4"/>
      <c r="W620" s="4"/>
      <c r="X620" s="4"/>
      <c r="Y620" s="4"/>
      <c r="Z620" s="4"/>
      <c r="AA620" s="4"/>
      <c r="AB620" s="4"/>
    </row>
    <row r="621" spans="1:28" x14ac:dyDescent="0.25">
      <c r="A621" s="27" t="s">
        <v>1754</v>
      </c>
      <c r="B621" s="27" t="str">
        <f t="shared" si="51"/>
        <v>North Carolina</v>
      </c>
      <c r="C621" s="27" t="str">
        <f t="shared" si="52"/>
        <v>Onslow</v>
      </c>
      <c r="D621" s="2">
        <v>1872</v>
      </c>
      <c r="E621" s="2">
        <v>66</v>
      </c>
      <c r="F621" s="26">
        <f>'NC pre'!J68</f>
        <v>86.45</v>
      </c>
      <c r="G621" s="2">
        <v>3287</v>
      </c>
      <c r="H621" s="12">
        <f>'NC pre'!N68</f>
        <v>35.730672835935991</v>
      </c>
      <c r="I621" s="12">
        <v>13271.91</v>
      </c>
      <c r="J621" s="27">
        <v>52</v>
      </c>
      <c r="K621" s="12">
        <f>'NC pre'!Q68</f>
        <v>1923.82</v>
      </c>
      <c r="L621" s="27">
        <v>1905</v>
      </c>
      <c r="M621" s="27" t="s">
        <v>518</v>
      </c>
      <c r="N621" s="27" t="s">
        <v>519</v>
      </c>
      <c r="O621" s="27" t="str">
        <f t="shared" ref="O621:O654" si="53">O620</f>
        <v>https://babel.hathitrust.org/cgi/pt?id=nc01.ark:/13960/t9183d98b;view=1up;seq=252</v>
      </c>
      <c r="P621" s="27" t="s">
        <v>518</v>
      </c>
      <c r="Q621" s="27" t="str">
        <f t="shared" ref="Q621:Q654" si="54">Q620</f>
        <v>https://babel.hathitrust.org/cgi/pt?id=nc01.ark:/13960/t9183d98b;view=1up;seq=252</v>
      </c>
      <c r="R621" s="27" t="s">
        <v>521</v>
      </c>
      <c r="S621" s="27" t="s">
        <v>522</v>
      </c>
      <c r="T621" s="27" t="str">
        <f t="shared" ref="T621:T654" si="55">T620</f>
        <v>https://babel.hathitrust.org/cgi/pt?id=nc01.ark:/13960/t9183d98b;view=1up;seq=112</v>
      </c>
      <c r="U621" s="4"/>
      <c r="V621" s="4"/>
      <c r="W621" s="4"/>
      <c r="X621" s="4"/>
      <c r="Y621" s="4"/>
      <c r="Z621" s="4"/>
      <c r="AA621" s="4"/>
      <c r="AB621" s="4"/>
    </row>
    <row r="622" spans="1:28" x14ac:dyDescent="0.25">
      <c r="A622" s="27" t="s">
        <v>1198</v>
      </c>
      <c r="B622" s="27" t="str">
        <f t="shared" si="51"/>
        <v>North Carolina</v>
      </c>
      <c r="C622" s="27" t="str">
        <f t="shared" si="52"/>
        <v>Orange</v>
      </c>
      <c r="D622" s="2">
        <v>1687</v>
      </c>
      <c r="E622" s="2">
        <v>76</v>
      </c>
      <c r="F622" s="26">
        <f>'NC pre'!J69</f>
        <v>71.413333333333327</v>
      </c>
      <c r="G622" s="2">
        <v>2964</v>
      </c>
      <c r="H622" s="12">
        <f>'NC pre'!N69</f>
        <v>31.824159820761764</v>
      </c>
      <c r="I622" s="12">
        <v>14025.06</v>
      </c>
      <c r="J622" s="27">
        <v>48</v>
      </c>
      <c r="K622" s="12">
        <f>'NC pre'!Q69</f>
        <v>1947.5</v>
      </c>
      <c r="L622" s="27">
        <v>1905</v>
      </c>
      <c r="M622" s="27" t="s">
        <v>523</v>
      </c>
      <c r="N622" s="27" t="s">
        <v>519</v>
      </c>
      <c r="O622" s="27" t="str">
        <f t="shared" si="53"/>
        <v>https://babel.hathitrust.org/cgi/pt?id=nc01.ark:/13960/t9183d98b;view=1up;seq=252</v>
      </c>
      <c r="P622" s="27" t="s">
        <v>523</v>
      </c>
      <c r="Q622" s="27" t="str">
        <f t="shared" si="54"/>
        <v>https://babel.hathitrust.org/cgi/pt?id=nc01.ark:/13960/t9183d98b;view=1up;seq=252</v>
      </c>
      <c r="R622" s="27" t="s">
        <v>521</v>
      </c>
      <c r="S622" s="27" t="s">
        <v>522</v>
      </c>
      <c r="T622" s="27" t="str">
        <f t="shared" si="55"/>
        <v>https://babel.hathitrust.org/cgi/pt?id=nc01.ark:/13960/t9183d98b;view=1up;seq=112</v>
      </c>
      <c r="U622" s="4"/>
      <c r="V622" s="4"/>
      <c r="W622" s="4"/>
      <c r="X622" s="4"/>
      <c r="Y622" s="4"/>
      <c r="Z622" s="4"/>
      <c r="AA622" s="4"/>
      <c r="AB622" s="4"/>
    </row>
    <row r="623" spans="1:28" x14ac:dyDescent="0.25">
      <c r="A623" s="27" t="s">
        <v>1199</v>
      </c>
      <c r="B623" s="27" t="str">
        <f t="shared" si="51"/>
        <v>North Carolina</v>
      </c>
      <c r="C623" s="27" t="str">
        <f t="shared" si="52"/>
        <v>Pamlico</v>
      </c>
      <c r="D623" s="27">
        <v>1311</v>
      </c>
      <c r="E623" s="2">
        <v>55</v>
      </c>
      <c r="F623" s="26">
        <f>'NC pre'!J70</f>
        <v>75.666666666666671</v>
      </c>
      <c r="G623" s="2">
        <v>2321</v>
      </c>
      <c r="H623" s="12">
        <f>'NC pre'!N70</f>
        <v>21.590921279448381</v>
      </c>
      <c r="I623" s="12">
        <v>10521.49</v>
      </c>
      <c r="J623" s="27">
        <v>19</v>
      </c>
      <c r="K623" s="12">
        <f>'NC pre'!Q70</f>
        <v>2821.03</v>
      </c>
      <c r="L623" s="27">
        <v>1905</v>
      </c>
      <c r="M623" s="27" t="s">
        <v>518</v>
      </c>
      <c r="N623" s="27" t="s">
        <v>519</v>
      </c>
      <c r="O623" s="27" t="str">
        <f t="shared" si="53"/>
        <v>https://babel.hathitrust.org/cgi/pt?id=nc01.ark:/13960/t9183d98b;view=1up;seq=252</v>
      </c>
      <c r="P623" s="27" t="s">
        <v>518</v>
      </c>
      <c r="Q623" s="27" t="str">
        <f t="shared" si="54"/>
        <v>https://babel.hathitrust.org/cgi/pt?id=nc01.ark:/13960/t9183d98b;view=1up;seq=252</v>
      </c>
      <c r="R623" s="27" t="s">
        <v>521</v>
      </c>
      <c r="S623" s="27" t="s">
        <v>522</v>
      </c>
      <c r="T623" s="27" t="str">
        <f t="shared" si="55"/>
        <v>https://babel.hathitrust.org/cgi/pt?id=nc01.ark:/13960/t9183d98b;view=1up;seq=112</v>
      </c>
      <c r="U623" s="4"/>
      <c r="V623" s="4"/>
      <c r="W623" s="4"/>
      <c r="X623" s="4"/>
      <c r="Y623" s="4"/>
      <c r="Z623" s="4"/>
      <c r="AA623" s="4"/>
      <c r="AB623" s="4"/>
    </row>
    <row r="624" spans="1:28" x14ac:dyDescent="0.25">
      <c r="A624" s="27" t="s">
        <v>1200</v>
      </c>
      <c r="B624" s="27" t="str">
        <f t="shared" si="51"/>
        <v>North Carolina</v>
      </c>
      <c r="C624" s="27" t="str">
        <f t="shared" si="52"/>
        <v>Pasquotank</v>
      </c>
      <c r="D624" s="27">
        <v>1759</v>
      </c>
      <c r="E624" s="2">
        <v>56</v>
      </c>
      <c r="F624" s="26">
        <f>'NC pre'!J71</f>
        <v>101.82608695652173</v>
      </c>
      <c r="G624" s="2">
        <v>2878</v>
      </c>
      <c r="H624" s="12">
        <f>'NC pre'!N71</f>
        <v>41.515286080273277</v>
      </c>
      <c r="I624" s="12">
        <v>12598.97</v>
      </c>
      <c r="J624" s="27">
        <v>22</v>
      </c>
      <c r="K624" s="12">
        <f>'NC pre'!Q71</f>
        <v>1653.48</v>
      </c>
      <c r="L624" s="27">
        <v>1905</v>
      </c>
      <c r="M624" s="27" t="s">
        <v>523</v>
      </c>
      <c r="N624" s="27" t="s">
        <v>519</v>
      </c>
      <c r="O624" s="27" t="str">
        <f t="shared" si="53"/>
        <v>https://babel.hathitrust.org/cgi/pt?id=nc01.ark:/13960/t9183d98b;view=1up;seq=252</v>
      </c>
      <c r="P624" s="27" t="s">
        <v>523</v>
      </c>
      <c r="Q624" s="27" t="str">
        <f t="shared" si="54"/>
        <v>https://babel.hathitrust.org/cgi/pt?id=nc01.ark:/13960/t9183d98b;view=1up;seq=252</v>
      </c>
      <c r="R624" s="27" t="s">
        <v>521</v>
      </c>
      <c r="S624" s="27" t="s">
        <v>522</v>
      </c>
      <c r="T624" s="27" t="str">
        <f t="shared" si="55"/>
        <v>https://babel.hathitrust.org/cgi/pt?id=nc01.ark:/13960/t9183d98b;view=1up;seq=112</v>
      </c>
      <c r="U624" s="4"/>
      <c r="V624" s="4"/>
      <c r="W624" s="4"/>
      <c r="X624" s="4"/>
      <c r="Y624" s="4"/>
      <c r="Z624" s="4"/>
      <c r="AA624" s="4"/>
      <c r="AB624" s="4"/>
    </row>
    <row r="625" spans="1:28" x14ac:dyDescent="0.25">
      <c r="A625" s="27" t="s">
        <v>1201</v>
      </c>
      <c r="B625" s="27" t="str">
        <f t="shared" si="51"/>
        <v>North Carolina</v>
      </c>
      <c r="C625" s="27" t="str">
        <f t="shared" si="52"/>
        <v>Pender</v>
      </c>
      <c r="D625" s="2">
        <v>2452</v>
      </c>
      <c r="E625" s="2">
        <v>95</v>
      </c>
      <c r="F625" s="26">
        <f>'NC pre'!J72</f>
        <v>76.173913043478265</v>
      </c>
      <c r="G625" s="2">
        <v>3798</v>
      </c>
      <c r="H625" s="12">
        <f>'NC pre'!N72</f>
        <v>27.721061643835611</v>
      </c>
      <c r="I625" s="12">
        <v>12499.62</v>
      </c>
      <c r="J625" s="27">
        <v>44</v>
      </c>
      <c r="K625" s="12">
        <f>'NC pre'!Q72</f>
        <v>1979.73</v>
      </c>
      <c r="L625" s="27">
        <v>1905</v>
      </c>
      <c r="M625" s="27" t="s">
        <v>518</v>
      </c>
      <c r="N625" s="27" t="s">
        <v>519</v>
      </c>
      <c r="O625" s="27" t="str">
        <f t="shared" si="53"/>
        <v>https://babel.hathitrust.org/cgi/pt?id=nc01.ark:/13960/t9183d98b;view=1up;seq=252</v>
      </c>
      <c r="P625" s="27" t="s">
        <v>518</v>
      </c>
      <c r="Q625" s="27" t="str">
        <f t="shared" si="54"/>
        <v>https://babel.hathitrust.org/cgi/pt?id=nc01.ark:/13960/t9183d98b;view=1up;seq=252</v>
      </c>
      <c r="R625" s="27" t="s">
        <v>521</v>
      </c>
      <c r="S625" s="27" t="s">
        <v>522</v>
      </c>
      <c r="T625" s="27" t="str">
        <f t="shared" si="55"/>
        <v>https://babel.hathitrust.org/cgi/pt?id=nc01.ark:/13960/t9183d98b;view=1up;seq=112</v>
      </c>
      <c r="U625" s="4"/>
      <c r="V625" s="4"/>
      <c r="W625" s="4"/>
      <c r="X625" s="4"/>
      <c r="Y625" s="4"/>
      <c r="Z625" s="4"/>
      <c r="AA625" s="4"/>
      <c r="AB625" s="4"/>
    </row>
    <row r="626" spans="1:28" x14ac:dyDescent="0.25">
      <c r="A626" s="27" t="s">
        <v>1202</v>
      </c>
      <c r="B626" s="27" t="str">
        <f t="shared" si="51"/>
        <v>North Carolina</v>
      </c>
      <c r="C626" s="27" t="str">
        <f t="shared" si="52"/>
        <v>Perquimans</v>
      </c>
      <c r="D626" s="27">
        <v>1749</v>
      </c>
      <c r="E626" s="2">
        <v>55</v>
      </c>
      <c r="F626" s="26">
        <f>'NC pre'!J73</f>
        <v>73.234042553191486</v>
      </c>
      <c r="G626" s="2">
        <v>2765</v>
      </c>
      <c r="H626" s="12">
        <f>'NC pre'!N73</f>
        <v>28.545322486926203</v>
      </c>
      <c r="I626" s="12">
        <v>6051.69</v>
      </c>
      <c r="J626" s="27">
        <v>25</v>
      </c>
      <c r="K626" s="12">
        <f>'NC pre'!Q73</f>
        <v>2228.21</v>
      </c>
      <c r="L626" s="27">
        <v>1905</v>
      </c>
      <c r="M626" s="27" t="s">
        <v>523</v>
      </c>
      <c r="N626" s="27" t="s">
        <v>519</v>
      </c>
      <c r="O626" s="27" t="str">
        <f t="shared" si="53"/>
        <v>https://babel.hathitrust.org/cgi/pt?id=nc01.ark:/13960/t9183d98b;view=1up;seq=252</v>
      </c>
      <c r="P626" s="27" t="s">
        <v>523</v>
      </c>
      <c r="Q626" s="27" t="str">
        <f t="shared" si="54"/>
        <v>https://babel.hathitrust.org/cgi/pt?id=nc01.ark:/13960/t9183d98b;view=1up;seq=252</v>
      </c>
      <c r="R626" s="27" t="s">
        <v>521</v>
      </c>
      <c r="S626" s="27" t="s">
        <v>522</v>
      </c>
      <c r="T626" s="27" t="str">
        <f t="shared" si="55"/>
        <v>https://babel.hathitrust.org/cgi/pt?id=nc01.ark:/13960/t9183d98b;view=1up;seq=112</v>
      </c>
      <c r="U626" s="4"/>
      <c r="V626" s="4"/>
      <c r="W626" s="4"/>
      <c r="X626" s="4"/>
      <c r="Y626" s="4"/>
      <c r="Z626" s="4"/>
      <c r="AA626" s="4"/>
      <c r="AB626" s="4"/>
    </row>
    <row r="627" spans="1:28" x14ac:dyDescent="0.25">
      <c r="A627" s="27" t="s">
        <v>1203</v>
      </c>
      <c r="B627" s="27" t="str">
        <f t="shared" si="51"/>
        <v>North Carolina</v>
      </c>
      <c r="C627" s="27" t="str">
        <f t="shared" si="52"/>
        <v>Person</v>
      </c>
      <c r="D627" s="2">
        <v>1968</v>
      </c>
      <c r="E627" s="2">
        <v>86</v>
      </c>
      <c r="F627" s="26">
        <f>'NC pre'!J74</f>
        <v>106.82142857142857</v>
      </c>
      <c r="G627" s="2">
        <v>3953</v>
      </c>
      <c r="H627" s="12">
        <f>'NC pre'!N74</f>
        <v>26.777510308703889</v>
      </c>
      <c r="I627" s="12">
        <v>15880.23</v>
      </c>
      <c r="J627" s="27">
        <v>40</v>
      </c>
      <c r="K627" s="12">
        <f>'NC pre'!Q74</f>
        <v>2018.08</v>
      </c>
      <c r="L627" s="27">
        <v>1905</v>
      </c>
      <c r="M627" s="27" t="s">
        <v>518</v>
      </c>
      <c r="N627" s="27" t="s">
        <v>519</v>
      </c>
      <c r="O627" s="27" t="str">
        <f t="shared" si="53"/>
        <v>https://babel.hathitrust.org/cgi/pt?id=nc01.ark:/13960/t9183d98b;view=1up;seq=252</v>
      </c>
      <c r="P627" s="27" t="s">
        <v>518</v>
      </c>
      <c r="Q627" s="27" t="str">
        <f t="shared" si="54"/>
        <v>https://babel.hathitrust.org/cgi/pt?id=nc01.ark:/13960/t9183d98b;view=1up;seq=252</v>
      </c>
      <c r="R627" s="27" t="s">
        <v>521</v>
      </c>
      <c r="S627" s="27" t="s">
        <v>522</v>
      </c>
      <c r="T627" s="27" t="str">
        <f t="shared" si="55"/>
        <v>https://babel.hathitrust.org/cgi/pt?id=nc01.ark:/13960/t9183d98b;view=1up;seq=112</v>
      </c>
      <c r="U627" s="4"/>
      <c r="V627" s="4"/>
      <c r="W627" s="4"/>
      <c r="X627" s="4"/>
      <c r="Y627" s="4"/>
      <c r="Z627" s="4"/>
      <c r="AA627" s="4"/>
      <c r="AB627" s="4"/>
    </row>
    <row r="628" spans="1:28" x14ac:dyDescent="0.25">
      <c r="A628" s="27" t="s">
        <v>1204</v>
      </c>
      <c r="B628" s="27" t="str">
        <f t="shared" si="51"/>
        <v>North Carolina</v>
      </c>
      <c r="C628" s="27" t="str">
        <f t="shared" si="52"/>
        <v>Pitt</v>
      </c>
      <c r="D628" s="2">
        <v>5191</v>
      </c>
      <c r="E628" s="2">
        <v>174</v>
      </c>
      <c r="F628" s="26">
        <f>'NC pre'!J75</f>
        <v>100.29411764705883</v>
      </c>
      <c r="G628" s="2">
        <v>8712</v>
      </c>
      <c r="H628" s="12">
        <f>'NC pre'!N75</f>
        <v>33.849853372434019</v>
      </c>
      <c r="I628" s="12">
        <v>40215.82</v>
      </c>
      <c r="J628" s="27">
        <v>81</v>
      </c>
      <c r="K628" s="12">
        <f>'NC pre'!Q75</f>
        <v>10508.79</v>
      </c>
      <c r="L628" s="27">
        <v>1905</v>
      </c>
      <c r="M628" s="27" t="s">
        <v>523</v>
      </c>
      <c r="N628" s="27" t="s">
        <v>519</v>
      </c>
      <c r="O628" s="27" t="str">
        <f t="shared" si="53"/>
        <v>https://babel.hathitrust.org/cgi/pt?id=nc01.ark:/13960/t9183d98b;view=1up;seq=252</v>
      </c>
      <c r="P628" s="27" t="s">
        <v>523</v>
      </c>
      <c r="Q628" s="27" t="str">
        <f t="shared" si="54"/>
        <v>https://babel.hathitrust.org/cgi/pt?id=nc01.ark:/13960/t9183d98b;view=1up;seq=252</v>
      </c>
      <c r="R628" s="27" t="s">
        <v>521</v>
      </c>
      <c r="S628" s="27" t="s">
        <v>522</v>
      </c>
      <c r="T628" s="27" t="str">
        <f t="shared" si="55"/>
        <v>https://babel.hathitrust.org/cgi/pt?id=nc01.ark:/13960/t9183d98b;view=1up;seq=112</v>
      </c>
      <c r="U628" s="4"/>
      <c r="V628" s="4"/>
      <c r="W628" s="4"/>
      <c r="X628" s="4"/>
      <c r="Y628" s="4"/>
      <c r="Z628" s="4"/>
      <c r="AA628" s="4"/>
      <c r="AB628" s="4"/>
    </row>
    <row r="629" spans="1:28" x14ac:dyDescent="0.25">
      <c r="A629" s="27" t="s">
        <v>1205</v>
      </c>
      <c r="B629" s="27" t="str">
        <f t="shared" si="51"/>
        <v>North Carolina</v>
      </c>
      <c r="C629" s="27" t="str">
        <f t="shared" si="52"/>
        <v>Polk</v>
      </c>
      <c r="D629" s="27">
        <v>852</v>
      </c>
      <c r="E629" s="2">
        <v>43</v>
      </c>
      <c r="F629" s="26">
        <f>'NC pre'!J76</f>
        <v>76.764705882352942</v>
      </c>
      <c r="G629" s="2">
        <v>1613</v>
      </c>
      <c r="H629" s="12">
        <f>'NC pre'!N76</f>
        <v>29.092643678160922</v>
      </c>
      <c r="I629" s="12">
        <v>4583.03</v>
      </c>
      <c r="J629" s="27">
        <v>27</v>
      </c>
      <c r="K629" s="12">
        <f>'NC pre'!Q76</f>
        <v>497.52</v>
      </c>
      <c r="L629" s="27">
        <v>1905</v>
      </c>
      <c r="M629" s="27" t="s">
        <v>518</v>
      </c>
      <c r="N629" s="27" t="s">
        <v>519</v>
      </c>
      <c r="O629" s="27" t="str">
        <f t="shared" si="53"/>
        <v>https://babel.hathitrust.org/cgi/pt?id=nc01.ark:/13960/t9183d98b;view=1up;seq=252</v>
      </c>
      <c r="P629" s="27" t="s">
        <v>518</v>
      </c>
      <c r="Q629" s="27" t="str">
        <f t="shared" si="54"/>
        <v>https://babel.hathitrust.org/cgi/pt?id=nc01.ark:/13960/t9183d98b;view=1up;seq=252</v>
      </c>
      <c r="R629" s="27" t="s">
        <v>521</v>
      </c>
      <c r="S629" s="27" t="s">
        <v>522</v>
      </c>
      <c r="T629" s="27" t="str">
        <f t="shared" si="55"/>
        <v>https://babel.hathitrust.org/cgi/pt?id=nc01.ark:/13960/t9183d98b;view=1up;seq=112</v>
      </c>
      <c r="U629" s="4"/>
      <c r="V629" s="4"/>
      <c r="W629" s="4"/>
      <c r="X629" s="4"/>
      <c r="Y629" s="4"/>
      <c r="Z629" s="4"/>
      <c r="AA629" s="4"/>
      <c r="AB629" s="4"/>
    </row>
    <row r="630" spans="1:28" x14ac:dyDescent="0.25">
      <c r="A630" s="27" t="s">
        <v>1206</v>
      </c>
      <c r="B630" s="27" t="str">
        <f t="shared" si="51"/>
        <v>North Carolina</v>
      </c>
      <c r="C630" s="27" t="str">
        <f t="shared" si="52"/>
        <v>Randolph</v>
      </c>
      <c r="D630" s="2">
        <v>4185</v>
      </c>
      <c r="E630" s="2">
        <v>155</v>
      </c>
      <c r="F630" s="26">
        <f>'NC pre'!J77</f>
        <v>89.258064516129039</v>
      </c>
      <c r="G630" s="2">
        <v>7061</v>
      </c>
      <c r="H630" s="12">
        <f>'NC pre'!N77</f>
        <v>24.689063968196603</v>
      </c>
      <c r="I630" s="12">
        <v>26654.75</v>
      </c>
      <c r="J630" s="27">
        <v>100</v>
      </c>
      <c r="K630" s="12">
        <f>'NC pre'!Q77</f>
        <v>7922.32</v>
      </c>
      <c r="L630" s="27">
        <v>1905</v>
      </c>
      <c r="M630" s="27" t="s">
        <v>523</v>
      </c>
      <c r="N630" s="27" t="s">
        <v>519</v>
      </c>
      <c r="O630" s="27" t="str">
        <f t="shared" si="53"/>
        <v>https://babel.hathitrust.org/cgi/pt?id=nc01.ark:/13960/t9183d98b;view=1up;seq=252</v>
      </c>
      <c r="P630" s="27" t="s">
        <v>523</v>
      </c>
      <c r="Q630" s="27" t="str">
        <f t="shared" si="54"/>
        <v>https://babel.hathitrust.org/cgi/pt?id=nc01.ark:/13960/t9183d98b;view=1up;seq=252</v>
      </c>
      <c r="R630" s="27" t="s">
        <v>521</v>
      </c>
      <c r="S630" s="27" t="s">
        <v>522</v>
      </c>
      <c r="T630" s="27" t="str">
        <f t="shared" si="55"/>
        <v>https://babel.hathitrust.org/cgi/pt?id=nc01.ark:/13960/t9183d98b;view=1up;seq=112</v>
      </c>
      <c r="U630" s="4"/>
      <c r="V630" s="4"/>
      <c r="W630" s="4"/>
      <c r="X630" s="4"/>
      <c r="Y630" s="4"/>
      <c r="Z630" s="4"/>
      <c r="AA630" s="4"/>
      <c r="AB630" s="4"/>
    </row>
    <row r="631" spans="1:28" x14ac:dyDescent="0.25">
      <c r="A631" s="27" t="s">
        <v>1207</v>
      </c>
      <c r="B631" s="27" t="str">
        <f t="shared" si="51"/>
        <v>North Carolina</v>
      </c>
      <c r="C631" s="27" t="str">
        <f t="shared" si="52"/>
        <v>Richmond</v>
      </c>
      <c r="D631" s="2">
        <v>2031</v>
      </c>
      <c r="E631" s="2">
        <v>87</v>
      </c>
      <c r="F631" s="26">
        <f>'NC pre'!J78</f>
        <v>114.57894736842105</v>
      </c>
      <c r="G631" s="2">
        <v>3804</v>
      </c>
      <c r="H631" s="12">
        <f>'NC pre'!N78</f>
        <v>27.142742305925587</v>
      </c>
      <c r="I631" s="12">
        <v>18301.150000000001</v>
      </c>
      <c r="J631" s="27">
        <v>29</v>
      </c>
      <c r="K631" s="12">
        <f>'NC pre'!Q78</f>
        <v>519.42999999999995</v>
      </c>
      <c r="L631" s="27">
        <v>1905</v>
      </c>
      <c r="M631" s="27" t="s">
        <v>518</v>
      </c>
      <c r="N631" s="27" t="s">
        <v>519</v>
      </c>
      <c r="O631" s="27" t="str">
        <f t="shared" si="53"/>
        <v>https://babel.hathitrust.org/cgi/pt?id=nc01.ark:/13960/t9183d98b;view=1up;seq=252</v>
      </c>
      <c r="P631" s="27" t="s">
        <v>518</v>
      </c>
      <c r="Q631" s="27" t="str">
        <f t="shared" si="54"/>
        <v>https://babel.hathitrust.org/cgi/pt?id=nc01.ark:/13960/t9183d98b;view=1up;seq=252</v>
      </c>
      <c r="R631" s="27" t="s">
        <v>521</v>
      </c>
      <c r="S631" s="27" t="s">
        <v>522</v>
      </c>
      <c r="T631" s="27" t="str">
        <f t="shared" si="55"/>
        <v>https://babel.hathitrust.org/cgi/pt?id=nc01.ark:/13960/t9183d98b;view=1up;seq=112</v>
      </c>
      <c r="U631" s="4"/>
      <c r="V631" s="4"/>
      <c r="W631" s="4"/>
      <c r="X631" s="4"/>
      <c r="Y631" s="4"/>
      <c r="Z631" s="4"/>
      <c r="AA631" s="4"/>
      <c r="AB631" s="4"/>
    </row>
    <row r="632" spans="1:28" x14ac:dyDescent="0.25">
      <c r="A632" s="27" t="s">
        <v>1208</v>
      </c>
      <c r="B632" s="27" t="str">
        <f t="shared" si="51"/>
        <v>North Carolina</v>
      </c>
      <c r="C632" s="27" t="str">
        <f t="shared" si="52"/>
        <v>Robeson</v>
      </c>
      <c r="D632" s="2">
        <v>6294</v>
      </c>
      <c r="E632" s="2">
        <v>150</v>
      </c>
      <c r="F632" s="26">
        <f>'NC pre'!J79</f>
        <v>70.538011695906434</v>
      </c>
      <c r="G632" s="2">
        <v>10047</v>
      </c>
      <c r="H632" s="12">
        <f>'NC pre'!N79</f>
        <v>41.635201459127842</v>
      </c>
      <c r="I632" s="12">
        <v>38187.910000000003</v>
      </c>
      <c r="J632" s="27">
        <v>71</v>
      </c>
      <c r="K632" s="12">
        <f>'NC pre'!Q79</f>
        <v>9595.44</v>
      </c>
      <c r="L632" s="27">
        <v>1905</v>
      </c>
      <c r="M632" s="27" t="s">
        <v>523</v>
      </c>
      <c r="N632" s="27" t="s">
        <v>519</v>
      </c>
      <c r="O632" s="27" t="str">
        <f t="shared" si="53"/>
        <v>https://babel.hathitrust.org/cgi/pt?id=nc01.ark:/13960/t9183d98b;view=1up;seq=252</v>
      </c>
      <c r="P632" s="27" t="s">
        <v>523</v>
      </c>
      <c r="Q632" s="27" t="str">
        <f t="shared" si="54"/>
        <v>https://babel.hathitrust.org/cgi/pt?id=nc01.ark:/13960/t9183d98b;view=1up;seq=252</v>
      </c>
      <c r="R632" s="27" t="s">
        <v>521</v>
      </c>
      <c r="S632" s="27" t="s">
        <v>522</v>
      </c>
      <c r="T632" s="27" t="str">
        <f t="shared" si="55"/>
        <v>https://babel.hathitrust.org/cgi/pt?id=nc01.ark:/13960/t9183d98b;view=1up;seq=112</v>
      </c>
      <c r="U632" s="4"/>
      <c r="V632" s="4"/>
      <c r="W632" s="4"/>
      <c r="X632" s="4"/>
      <c r="Y632" s="4"/>
      <c r="Z632" s="4"/>
      <c r="AA632" s="4"/>
      <c r="AB632" s="4"/>
    </row>
    <row r="633" spans="1:28" x14ac:dyDescent="0.25">
      <c r="A633" s="27" t="s">
        <v>1209</v>
      </c>
      <c r="B633" s="27" t="str">
        <f t="shared" si="51"/>
        <v>North Carolina</v>
      </c>
      <c r="C633" s="27" t="str">
        <f t="shared" si="52"/>
        <v>Rockingham</v>
      </c>
      <c r="D633" s="27">
        <v>3922</v>
      </c>
      <c r="E633" s="2">
        <v>154</v>
      </c>
      <c r="F633" s="26">
        <f>'NC pre'!J80</f>
        <v>89.603773584905667</v>
      </c>
      <c r="G633" s="2">
        <v>7409</v>
      </c>
      <c r="H633" s="12">
        <f>'NC pre'!N80</f>
        <v>29.174942093072225</v>
      </c>
      <c r="I633" s="12">
        <v>31620.41</v>
      </c>
      <c r="J633" s="27">
        <v>68</v>
      </c>
      <c r="K633" s="12">
        <f>'NC pre'!Q80</f>
        <v>9109.85</v>
      </c>
      <c r="L633" s="27">
        <v>1905</v>
      </c>
      <c r="M633" s="27" t="s">
        <v>518</v>
      </c>
      <c r="N633" s="27" t="s">
        <v>519</v>
      </c>
      <c r="O633" s="27" t="str">
        <f t="shared" si="53"/>
        <v>https://babel.hathitrust.org/cgi/pt?id=nc01.ark:/13960/t9183d98b;view=1up;seq=252</v>
      </c>
      <c r="P633" s="27" t="s">
        <v>518</v>
      </c>
      <c r="Q633" s="27" t="str">
        <f t="shared" si="54"/>
        <v>https://babel.hathitrust.org/cgi/pt?id=nc01.ark:/13960/t9183d98b;view=1up;seq=252</v>
      </c>
      <c r="R633" s="27" t="s">
        <v>521</v>
      </c>
      <c r="S633" s="27" t="s">
        <v>522</v>
      </c>
      <c r="T633" s="27" t="str">
        <f t="shared" si="55"/>
        <v>https://babel.hathitrust.org/cgi/pt?id=nc01.ark:/13960/t9183d98b;view=1up;seq=112</v>
      </c>
      <c r="U633" s="4"/>
      <c r="V633" s="4"/>
      <c r="W633" s="4"/>
      <c r="X633" s="4"/>
      <c r="Y633" s="4"/>
      <c r="Z633" s="4"/>
      <c r="AA633" s="4"/>
      <c r="AB633" s="4"/>
    </row>
    <row r="634" spans="1:28" x14ac:dyDescent="0.25">
      <c r="A634" s="27" t="s">
        <v>1210</v>
      </c>
      <c r="B634" s="27" t="str">
        <f t="shared" si="51"/>
        <v>North Carolina</v>
      </c>
      <c r="C634" s="27" t="str">
        <f t="shared" si="52"/>
        <v>Rowan</v>
      </c>
      <c r="D634" s="2">
        <v>5286</v>
      </c>
      <c r="E634" s="2">
        <v>160</v>
      </c>
      <c r="F634" s="26">
        <f>'NC pre'!J81</f>
        <v>100.1304347826087</v>
      </c>
      <c r="G634" s="2">
        <v>7668</v>
      </c>
      <c r="H634" s="12">
        <f>'NC pre'!N81</f>
        <v>34.745766391663047</v>
      </c>
      <c r="I634" s="12">
        <v>49314.65</v>
      </c>
      <c r="J634" s="27">
        <v>77</v>
      </c>
      <c r="K634" s="12">
        <f>'NC pre'!Q81</f>
        <v>14644.91</v>
      </c>
      <c r="L634" s="27">
        <v>1905</v>
      </c>
      <c r="M634" s="27" t="s">
        <v>523</v>
      </c>
      <c r="N634" s="27" t="s">
        <v>519</v>
      </c>
      <c r="O634" s="27" t="str">
        <f t="shared" si="53"/>
        <v>https://babel.hathitrust.org/cgi/pt?id=nc01.ark:/13960/t9183d98b;view=1up;seq=252</v>
      </c>
      <c r="P634" s="27" t="s">
        <v>523</v>
      </c>
      <c r="Q634" s="27" t="str">
        <f t="shared" si="54"/>
        <v>https://babel.hathitrust.org/cgi/pt?id=nc01.ark:/13960/t9183d98b;view=1up;seq=252</v>
      </c>
      <c r="R634" s="27" t="s">
        <v>521</v>
      </c>
      <c r="S634" s="27" t="s">
        <v>522</v>
      </c>
      <c r="T634" s="27" t="str">
        <f t="shared" si="55"/>
        <v>https://babel.hathitrust.org/cgi/pt?id=nc01.ark:/13960/t9183d98b;view=1up;seq=112</v>
      </c>
      <c r="U634" s="4"/>
      <c r="V634" s="4"/>
      <c r="W634" s="4"/>
      <c r="X634" s="4"/>
      <c r="Y634" s="4"/>
      <c r="Z634" s="4"/>
      <c r="AA634" s="4"/>
      <c r="AB634" s="4"/>
    </row>
    <row r="635" spans="1:28" x14ac:dyDescent="0.25">
      <c r="A635" s="27" t="s">
        <v>1755</v>
      </c>
      <c r="B635" s="27" t="str">
        <f t="shared" si="51"/>
        <v>North Carolina</v>
      </c>
      <c r="C635" s="27" t="str">
        <f t="shared" si="52"/>
        <v>Rutherford</v>
      </c>
      <c r="D635" s="2">
        <v>3193</v>
      </c>
      <c r="E635" s="2">
        <v>115</v>
      </c>
      <c r="F635" s="26">
        <f>'NC pre'!J82</f>
        <v>82.469026548672559</v>
      </c>
      <c r="G635" s="2">
        <v>6220</v>
      </c>
      <c r="H635" s="12">
        <f>'NC pre'!N82</f>
        <v>24.910076188432239</v>
      </c>
      <c r="I635" s="12">
        <v>16649.73</v>
      </c>
      <c r="J635" s="27">
        <v>57</v>
      </c>
      <c r="K635" s="12">
        <f>'NC pre'!Q82</f>
        <v>4856.95</v>
      </c>
      <c r="L635" s="27">
        <v>1905</v>
      </c>
      <c r="M635" s="27" t="s">
        <v>518</v>
      </c>
      <c r="N635" s="27" t="s">
        <v>519</v>
      </c>
      <c r="O635" s="27" t="str">
        <f t="shared" si="53"/>
        <v>https://babel.hathitrust.org/cgi/pt?id=nc01.ark:/13960/t9183d98b;view=1up;seq=252</v>
      </c>
      <c r="P635" s="27" t="s">
        <v>518</v>
      </c>
      <c r="Q635" s="27" t="str">
        <f t="shared" si="54"/>
        <v>https://babel.hathitrust.org/cgi/pt?id=nc01.ark:/13960/t9183d98b;view=1up;seq=252</v>
      </c>
      <c r="R635" s="27" t="s">
        <v>521</v>
      </c>
      <c r="S635" s="27" t="s">
        <v>522</v>
      </c>
      <c r="T635" s="27" t="str">
        <f t="shared" si="55"/>
        <v>https://babel.hathitrust.org/cgi/pt?id=nc01.ark:/13960/t9183d98b;view=1up;seq=112</v>
      </c>
      <c r="U635" s="4"/>
      <c r="V635" s="4"/>
      <c r="W635" s="4"/>
      <c r="X635" s="4"/>
      <c r="Y635" s="4"/>
      <c r="Z635" s="4"/>
      <c r="AA635" s="4"/>
      <c r="AB635" s="4"/>
    </row>
    <row r="636" spans="1:28" x14ac:dyDescent="0.25">
      <c r="A636" s="27" t="s">
        <v>1211</v>
      </c>
      <c r="B636" s="27" t="str">
        <f t="shared" si="51"/>
        <v>North Carolina</v>
      </c>
      <c r="C636" s="27" t="str">
        <f t="shared" si="52"/>
        <v>Sampson</v>
      </c>
      <c r="D636" s="2">
        <v>3953</v>
      </c>
      <c r="E636" s="2">
        <v>134</v>
      </c>
      <c r="F636" s="26">
        <f>'NC pre'!J83</f>
        <v>94.246753246753244</v>
      </c>
      <c r="G636" s="2">
        <v>6486</v>
      </c>
      <c r="H636" s="12">
        <f>'NC pre'!N83</f>
        <v>21.146052087639521</v>
      </c>
      <c r="I636" s="12">
        <v>21737</v>
      </c>
      <c r="J636" s="27">
        <v>81</v>
      </c>
      <c r="K636" s="12">
        <f>'NC pre'!Q83</f>
        <v>801.5</v>
      </c>
      <c r="L636" s="27">
        <v>1905</v>
      </c>
      <c r="M636" s="27" t="s">
        <v>523</v>
      </c>
      <c r="N636" s="27" t="s">
        <v>519</v>
      </c>
      <c r="O636" s="27" t="str">
        <f t="shared" si="53"/>
        <v>https://babel.hathitrust.org/cgi/pt?id=nc01.ark:/13960/t9183d98b;view=1up;seq=252</v>
      </c>
      <c r="P636" s="27" t="s">
        <v>523</v>
      </c>
      <c r="Q636" s="27" t="str">
        <f t="shared" si="54"/>
        <v>https://babel.hathitrust.org/cgi/pt?id=nc01.ark:/13960/t9183d98b;view=1up;seq=252</v>
      </c>
      <c r="R636" s="27" t="s">
        <v>521</v>
      </c>
      <c r="S636" s="27" t="s">
        <v>522</v>
      </c>
      <c r="T636" s="27" t="str">
        <f t="shared" si="55"/>
        <v>https://babel.hathitrust.org/cgi/pt?id=nc01.ark:/13960/t9183d98b;view=1up;seq=112</v>
      </c>
      <c r="U636" s="4"/>
      <c r="V636" s="4"/>
      <c r="W636" s="4"/>
      <c r="X636" s="4"/>
      <c r="Y636" s="4"/>
      <c r="Z636" s="4"/>
      <c r="AA636" s="4"/>
      <c r="AB636" s="4"/>
    </row>
    <row r="637" spans="1:28" x14ac:dyDescent="0.25">
      <c r="A637" s="27" t="s">
        <v>1212</v>
      </c>
      <c r="B637" s="27" t="str">
        <f t="shared" si="51"/>
        <v>North Carolina</v>
      </c>
      <c r="C637" s="27" t="str">
        <f t="shared" si="52"/>
        <v>Scotland</v>
      </c>
      <c r="D637" s="27">
        <v>1239</v>
      </c>
      <c r="E637" s="2">
        <v>48</v>
      </c>
      <c r="F637" s="26">
        <f>'NC pre'!J84</f>
        <v>97.978723404255319</v>
      </c>
      <c r="G637" s="27">
        <v>2526</v>
      </c>
      <c r="H637" s="12">
        <f>'NC pre'!N84</f>
        <v>28.078306188925083</v>
      </c>
      <c r="I637" s="12">
        <v>7837</v>
      </c>
      <c r="J637" s="27">
        <v>24</v>
      </c>
      <c r="K637" s="12">
        <f>'NC pre'!Q84</f>
        <v>295.61</v>
      </c>
      <c r="L637" s="27">
        <v>1905</v>
      </c>
      <c r="M637" s="27" t="s">
        <v>518</v>
      </c>
      <c r="N637" s="27" t="s">
        <v>519</v>
      </c>
      <c r="O637" s="27" t="str">
        <f t="shared" si="53"/>
        <v>https://babel.hathitrust.org/cgi/pt?id=nc01.ark:/13960/t9183d98b;view=1up;seq=252</v>
      </c>
      <c r="P637" s="27" t="s">
        <v>518</v>
      </c>
      <c r="Q637" s="27" t="str">
        <f t="shared" si="54"/>
        <v>https://babel.hathitrust.org/cgi/pt?id=nc01.ark:/13960/t9183d98b;view=1up;seq=252</v>
      </c>
      <c r="R637" s="27" t="s">
        <v>521</v>
      </c>
      <c r="S637" s="27" t="s">
        <v>522</v>
      </c>
      <c r="T637" s="27" t="str">
        <f t="shared" si="55"/>
        <v>https://babel.hathitrust.org/cgi/pt?id=nc01.ark:/13960/t9183d98b;view=1up;seq=112</v>
      </c>
      <c r="U637" s="4"/>
      <c r="V637" s="4"/>
      <c r="W637" s="4"/>
      <c r="X637" s="4"/>
      <c r="Y637" s="4"/>
      <c r="Z637" s="4"/>
      <c r="AA637" s="4"/>
      <c r="AB637" s="4"/>
    </row>
    <row r="638" spans="1:28" x14ac:dyDescent="0.25">
      <c r="A638" s="27" t="s">
        <v>1213</v>
      </c>
      <c r="B638" s="27" t="str">
        <f t="shared" si="51"/>
        <v>North Carolina</v>
      </c>
      <c r="C638" s="27" t="str">
        <f t="shared" si="52"/>
        <v>Stanly</v>
      </c>
      <c r="D638" s="2">
        <v>3049</v>
      </c>
      <c r="E638" s="2">
        <v>98</v>
      </c>
      <c r="F638" s="26">
        <f>'NC pre'!J85</f>
        <v>76.368421052631575</v>
      </c>
      <c r="G638" s="2">
        <v>4650</v>
      </c>
      <c r="H638" s="12">
        <f>'NC pre'!N85</f>
        <v>28.756912474155754</v>
      </c>
      <c r="I638" s="12">
        <v>13903</v>
      </c>
      <c r="J638" s="27">
        <v>51</v>
      </c>
      <c r="K638" s="12">
        <f>'NC pre'!Q85</f>
        <v>1707.38</v>
      </c>
      <c r="L638" s="27">
        <v>1905</v>
      </c>
      <c r="M638" s="27" t="s">
        <v>523</v>
      </c>
      <c r="N638" s="27" t="s">
        <v>519</v>
      </c>
      <c r="O638" s="27" t="str">
        <f t="shared" si="53"/>
        <v>https://babel.hathitrust.org/cgi/pt?id=nc01.ark:/13960/t9183d98b;view=1up;seq=252</v>
      </c>
      <c r="P638" s="27" t="s">
        <v>523</v>
      </c>
      <c r="Q638" s="27" t="str">
        <f t="shared" si="54"/>
        <v>https://babel.hathitrust.org/cgi/pt?id=nc01.ark:/13960/t9183d98b;view=1up;seq=252</v>
      </c>
      <c r="R638" s="27" t="s">
        <v>521</v>
      </c>
      <c r="S638" s="27" t="s">
        <v>522</v>
      </c>
      <c r="T638" s="27" t="str">
        <f t="shared" si="55"/>
        <v>https://babel.hathitrust.org/cgi/pt?id=nc01.ark:/13960/t9183d98b;view=1up;seq=112</v>
      </c>
      <c r="U638" s="4"/>
      <c r="V638" s="4"/>
      <c r="W638" s="4"/>
      <c r="X638" s="4"/>
      <c r="Y638" s="4"/>
      <c r="Z638" s="4"/>
      <c r="AA638" s="4"/>
      <c r="AB638" s="4"/>
    </row>
    <row r="639" spans="1:28" x14ac:dyDescent="0.25">
      <c r="A639" s="27" t="s">
        <v>1214</v>
      </c>
      <c r="B639" s="27" t="str">
        <f t="shared" si="51"/>
        <v>North Carolina</v>
      </c>
      <c r="C639" s="27" t="str">
        <f t="shared" si="52"/>
        <v>Stokes</v>
      </c>
      <c r="D639" s="2">
        <v>2909</v>
      </c>
      <c r="E639" s="2">
        <v>89</v>
      </c>
      <c r="F639" s="26">
        <f>'NC pre'!J86</f>
        <v>75.268292682926827</v>
      </c>
      <c r="G639" s="2">
        <v>5091</v>
      </c>
      <c r="H639" s="12">
        <f>'NC pre'!N86</f>
        <v>24.822618276085549</v>
      </c>
      <c r="I639" s="12">
        <v>12128</v>
      </c>
      <c r="J639" s="27">
        <v>64</v>
      </c>
      <c r="K639" s="12">
        <f>'NC pre'!Q86</f>
        <v>2678.83</v>
      </c>
      <c r="L639" s="27">
        <v>1905</v>
      </c>
      <c r="M639" s="27" t="s">
        <v>518</v>
      </c>
      <c r="N639" s="27" t="s">
        <v>519</v>
      </c>
      <c r="O639" s="27" t="str">
        <f t="shared" si="53"/>
        <v>https://babel.hathitrust.org/cgi/pt?id=nc01.ark:/13960/t9183d98b;view=1up;seq=252</v>
      </c>
      <c r="P639" s="27" t="s">
        <v>518</v>
      </c>
      <c r="Q639" s="27" t="str">
        <f t="shared" si="54"/>
        <v>https://babel.hathitrust.org/cgi/pt?id=nc01.ark:/13960/t9183d98b;view=1up;seq=252</v>
      </c>
      <c r="R639" s="27" t="s">
        <v>521</v>
      </c>
      <c r="S639" s="27" t="s">
        <v>522</v>
      </c>
      <c r="T639" s="27" t="str">
        <f t="shared" si="55"/>
        <v>https://babel.hathitrust.org/cgi/pt?id=nc01.ark:/13960/t9183d98b;view=1up;seq=112</v>
      </c>
      <c r="U639" s="4"/>
      <c r="V639" s="4"/>
      <c r="W639" s="4"/>
      <c r="X639" s="4"/>
      <c r="Y639" s="4"/>
      <c r="Z639" s="4"/>
      <c r="AA639" s="4"/>
      <c r="AB639" s="4"/>
    </row>
    <row r="640" spans="1:28" x14ac:dyDescent="0.25">
      <c r="A640" s="27" t="s">
        <v>1215</v>
      </c>
      <c r="B640" s="27" t="str">
        <f t="shared" si="51"/>
        <v>North Carolina</v>
      </c>
      <c r="C640" s="27" t="str">
        <f t="shared" si="52"/>
        <v>Surry</v>
      </c>
      <c r="D640" s="2">
        <v>4501</v>
      </c>
      <c r="E640" s="2">
        <v>125</v>
      </c>
      <c r="F640" s="26">
        <f>'NC pre'!J87</f>
        <v>91.4</v>
      </c>
      <c r="G640" s="2">
        <v>7711</v>
      </c>
      <c r="H640" s="12">
        <f>'NC pre'!N87</f>
        <v>27.711797957695111</v>
      </c>
      <c r="I640" s="12">
        <v>22487</v>
      </c>
      <c r="J640" s="27">
        <v>71</v>
      </c>
      <c r="K640" s="12">
        <f>'NC pre'!Q87</f>
        <v>4440.6499999999996</v>
      </c>
      <c r="L640" s="27">
        <v>1905</v>
      </c>
      <c r="M640" s="27" t="s">
        <v>523</v>
      </c>
      <c r="N640" s="27" t="s">
        <v>519</v>
      </c>
      <c r="O640" s="27" t="str">
        <f t="shared" si="53"/>
        <v>https://babel.hathitrust.org/cgi/pt?id=nc01.ark:/13960/t9183d98b;view=1up;seq=252</v>
      </c>
      <c r="P640" s="27" t="s">
        <v>523</v>
      </c>
      <c r="Q640" s="27" t="str">
        <f t="shared" si="54"/>
        <v>https://babel.hathitrust.org/cgi/pt?id=nc01.ark:/13960/t9183d98b;view=1up;seq=252</v>
      </c>
      <c r="R640" s="27" t="s">
        <v>521</v>
      </c>
      <c r="S640" s="27" t="s">
        <v>522</v>
      </c>
      <c r="T640" s="27" t="str">
        <f t="shared" si="55"/>
        <v>https://babel.hathitrust.org/cgi/pt?id=nc01.ark:/13960/t9183d98b;view=1up;seq=112</v>
      </c>
      <c r="U640" s="4"/>
      <c r="V640" s="4"/>
      <c r="W640" s="4"/>
      <c r="X640" s="4"/>
      <c r="Y640" s="4"/>
      <c r="Z640" s="4"/>
      <c r="AA640" s="4"/>
      <c r="AB640" s="4"/>
    </row>
    <row r="641" spans="1:28" x14ac:dyDescent="0.25">
      <c r="A641" s="27" t="s">
        <v>1216</v>
      </c>
      <c r="B641" s="27" t="str">
        <f t="shared" si="51"/>
        <v>North Carolina</v>
      </c>
      <c r="C641" s="27" t="str">
        <f t="shared" si="52"/>
        <v>Swain</v>
      </c>
      <c r="D641" s="27">
        <v>919</v>
      </c>
      <c r="E641" s="2">
        <v>42</v>
      </c>
      <c r="F641" s="26">
        <f>'NC pre'!J88</f>
        <v>92</v>
      </c>
      <c r="G641" s="2">
        <v>1953</v>
      </c>
      <c r="H641" s="12">
        <f>'NC pre'!N88</f>
        <v>27.411820652173915</v>
      </c>
      <c r="I641" s="12">
        <v>9486</v>
      </c>
      <c r="J641" s="27">
        <v>38</v>
      </c>
      <c r="K641" s="12">
        <f>'NC pre'!Q88</f>
        <v>4543.37</v>
      </c>
      <c r="L641" s="27">
        <v>1905</v>
      </c>
      <c r="M641" s="27" t="s">
        <v>518</v>
      </c>
      <c r="N641" s="27" t="s">
        <v>519</v>
      </c>
      <c r="O641" s="27" t="str">
        <f t="shared" si="53"/>
        <v>https://babel.hathitrust.org/cgi/pt?id=nc01.ark:/13960/t9183d98b;view=1up;seq=252</v>
      </c>
      <c r="P641" s="27" t="s">
        <v>518</v>
      </c>
      <c r="Q641" s="27" t="str">
        <f t="shared" si="54"/>
        <v>https://babel.hathitrust.org/cgi/pt?id=nc01.ark:/13960/t9183d98b;view=1up;seq=252</v>
      </c>
      <c r="R641" s="27" t="s">
        <v>521</v>
      </c>
      <c r="S641" s="27" t="s">
        <v>522</v>
      </c>
      <c r="T641" s="27" t="str">
        <f t="shared" si="55"/>
        <v>https://babel.hathitrust.org/cgi/pt?id=nc01.ark:/13960/t9183d98b;view=1up;seq=112</v>
      </c>
      <c r="U641" s="4"/>
      <c r="V641" s="4"/>
      <c r="W641" s="4"/>
      <c r="X641" s="4"/>
      <c r="Y641" s="4"/>
      <c r="Z641" s="4"/>
      <c r="AA641" s="4"/>
      <c r="AB641" s="4"/>
    </row>
    <row r="642" spans="1:28" x14ac:dyDescent="0.25">
      <c r="A642" s="27" t="s">
        <v>1217</v>
      </c>
      <c r="B642" s="27" t="str">
        <f t="shared" si="51"/>
        <v>North Carolina</v>
      </c>
      <c r="C642" s="27" t="str">
        <f t="shared" si="52"/>
        <v>Transylvania</v>
      </c>
      <c r="D642" s="2">
        <v>1095</v>
      </c>
      <c r="E642" s="2">
        <v>40</v>
      </c>
      <c r="F642" s="26">
        <f>'NC pre'!J89</f>
        <v>80.972972972972968</v>
      </c>
      <c r="G642" s="2">
        <v>1955</v>
      </c>
      <c r="H642" s="12">
        <f>'NC pre'!N89</f>
        <v>28.485981308411212</v>
      </c>
      <c r="I642" s="12">
        <v>6053</v>
      </c>
      <c r="J642" s="27">
        <v>28</v>
      </c>
      <c r="K642" s="12">
        <f>'NC pre'!Q89</f>
        <v>693.72</v>
      </c>
      <c r="L642" s="27">
        <v>1905</v>
      </c>
      <c r="M642" s="27" t="s">
        <v>523</v>
      </c>
      <c r="N642" s="27" t="s">
        <v>519</v>
      </c>
      <c r="O642" s="27" t="str">
        <f t="shared" si="53"/>
        <v>https://babel.hathitrust.org/cgi/pt?id=nc01.ark:/13960/t9183d98b;view=1up;seq=252</v>
      </c>
      <c r="P642" s="27" t="s">
        <v>523</v>
      </c>
      <c r="Q642" s="27" t="str">
        <f t="shared" si="54"/>
        <v>https://babel.hathitrust.org/cgi/pt?id=nc01.ark:/13960/t9183d98b;view=1up;seq=252</v>
      </c>
      <c r="R642" s="27" t="s">
        <v>521</v>
      </c>
      <c r="S642" s="27" t="s">
        <v>522</v>
      </c>
      <c r="T642" s="27" t="str">
        <f t="shared" si="55"/>
        <v>https://babel.hathitrust.org/cgi/pt?id=nc01.ark:/13960/t9183d98b;view=1up;seq=112</v>
      </c>
      <c r="U642" s="4"/>
      <c r="V642" s="4"/>
      <c r="W642" s="4"/>
      <c r="X642" s="4"/>
      <c r="Y642" s="4"/>
      <c r="Z642" s="4"/>
      <c r="AA642" s="4"/>
      <c r="AB642" s="4"/>
    </row>
    <row r="643" spans="1:28" x14ac:dyDescent="0.25">
      <c r="A643" s="27" t="s">
        <v>1218</v>
      </c>
      <c r="B643" s="27" t="str">
        <f t="shared" si="51"/>
        <v>North Carolina</v>
      </c>
      <c r="C643" s="27" t="str">
        <f t="shared" si="52"/>
        <v>Tyrrell</v>
      </c>
      <c r="D643" s="27">
        <v>1050</v>
      </c>
      <c r="E643" s="2">
        <v>27</v>
      </c>
      <c r="F643" s="26">
        <f>'NC pre'!J90</f>
        <v>74.709677419354833</v>
      </c>
      <c r="G643" s="27">
        <v>1428</v>
      </c>
      <c r="H643" s="12">
        <f>'NC pre'!N90</f>
        <v>24.381347150259067</v>
      </c>
      <c r="I643" s="12">
        <v>4300</v>
      </c>
      <c r="J643" s="27">
        <v>27</v>
      </c>
      <c r="K643" s="12">
        <f>'NC pre'!Q90</f>
        <v>310.75</v>
      </c>
      <c r="L643" s="27">
        <v>1905</v>
      </c>
      <c r="M643" s="27" t="s">
        <v>518</v>
      </c>
      <c r="N643" s="27" t="s">
        <v>519</v>
      </c>
      <c r="O643" s="27" t="str">
        <f t="shared" si="53"/>
        <v>https://babel.hathitrust.org/cgi/pt?id=nc01.ark:/13960/t9183d98b;view=1up;seq=252</v>
      </c>
      <c r="P643" s="27" t="s">
        <v>518</v>
      </c>
      <c r="Q643" s="27" t="str">
        <f t="shared" si="54"/>
        <v>https://babel.hathitrust.org/cgi/pt?id=nc01.ark:/13960/t9183d98b;view=1up;seq=252</v>
      </c>
      <c r="R643" s="27" t="s">
        <v>521</v>
      </c>
      <c r="S643" s="27" t="s">
        <v>522</v>
      </c>
      <c r="T643" s="27" t="str">
        <f t="shared" si="55"/>
        <v>https://babel.hathitrust.org/cgi/pt?id=nc01.ark:/13960/t9183d98b;view=1up;seq=112</v>
      </c>
      <c r="U643" s="4"/>
      <c r="V643" s="4"/>
      <c r="W643" s="4"/>
      <c r="X643" s="4"/>
      <c r="Y643" s="4"/>
      <c r="Z643" s="4"/>
      <c r="AA643" s="4"/>
      <c r="AB643" s="4"/>
    </row>
    <row r="644" spans="1:28" x14ac:dyDescent="0.25">
      <c r="A644" s="27" t="s">
        <v>1219</v>
      </c>
      <c r="B644" s="27" t="str">
        <f t="shared" si="51"/>
        <v>North Carolina</v>
      </c>
      <c r="C644" s="27" t="str">
        <f t="shared" si="52"/>
        <v>Union</v>
      </c>
      <c r="D644" s="2">
        <v>4798</v>
      </c>
      <c r="E644" s="2">
        <v>156</v>
      </c>
      <c r="F644" s="26">
        <f>'NC pre'!J91</f>
        <v>88.113924050632917</v>
      </c>
      <c r="G644" s="2">
        <v>8221</v>
      </c>
      <c r="H644" s="12">
        <f>'NC pre'!N91</f>
        <v>29.936776325240626</v>
      </c>
      <c r="I644" s="2">
        <v>26735</v>
      </c>
      <c r="J644" s="27">
        <v>76</v>
      </c>
      <c r="K644" s="12">
        <f>'NC pre'!Q91</f>
        <v>2790.88</v>
      </c>
      <c r="L644" s="27">
        <v>1905</v>
      </c>
      <c r="M644" s="27" t="s">
        <v>523</v>
      </c>
      <c r="N644" s="27" t="s">
        <v>519</v>
      </c>
      <c r="O644" s="27" t="str">
        <f t="shared" si="53"/>
        <v>https://babel.hathitrust.org/cgi/pt?id=nc01.ark:/13960/t9183d98b;view=1up;seq=252</v>
      </c>
      <c r="P644" s="27" t="s">
        <v>523</v>
      </c>
      <c r="Q644" s="27" t="str">
        <f t="shared" si="54"/>
        <v>https://babel.hathitrust.org/cgi/pt?id=nc01.ark:/13960/t9183d98b;view=1up;seq=252</v>
      </c>
      <c r="R644" s="27" t="s">
        <v>521</v>
      </c>
      <c r="S644" s="27" t="s">
        <v>522</v>
      </c>
      <c r="T644" s="27" t="str">
        <f t="shared" si="55"/>
        <v>https://babel.hathitrust.org/cgi/pt?id=nc01.ark:/13960/t9183d98b;view=1up;seq=112</v>
      </c>
      <c r="U644" s="4"/>
      <c r="V644" s="4"/>
      <c r="W644" s="4"/>
      <c r="X644" s="4"/>
      <c r="Y644" s="4"/>
      <c r="Z644" s="4"/>
      <c r="AA644" s="4"/>
      <c r="AB644" s="4"/>
    </row>
    <row r="645" spans="1:28" x14ac:dyDescent="0.25">
      <c r="A645" s="27" t="s">
        <v>1220</v>
      </c>
      <c r="B645" s="27" t="str">
        <f t="shared" si="51"/>
        <v>North Carolina</v>
      </c>
      <c r="C645" s="27" t="str">
        <f t="shared" si="52"/>
        <v>Vance</v>
      </c>
      <c r="D645" s="2">
        <v>1863</v>
      </c>
      <c r="E645" s="2">
        <v>71</v>
      </c>
      <c r="F645" s="26">
        <f>'NC pre'!J92</f>
        <v>131.30000000000001</v>
      </c>
      <c r="G645" s="2">
        <v>3486</v>
      </c>
      <c r="H645" s="12">
        <f>'NC pre'!N92</f>
        <v>29.191450875856809</v>
      </c>
      <c r="I645" s="12">
        <v>52010</v>
      </c>
      <c r="J645" s="27">
        <v>23</v>
      </c>
      <c r="K645" s="12">
        <f>'NC pre'!Q92</f>
        <v>5643.43</v>
      </c>
      <c r="L645" s="27">
        <v>1905</v>
      </c>
      <c r="M645" s="27" t="s">
        <v>518</v>
      </c>
      <c r="N645" s="27" t="s">
        <v>519</v>
      </c>
      <c r="O645" s="27" t="str">
        <f t="shared" si="53"/>
        <v>https://babel.hathitrust.org/cgi/pt?id=nc01.ark:/13960/t9183d98b;view=1up;seq=252</v>
      </c>
      <c r="P645" s="27" t="s">
        <v>518</v>
      </c>
      <c r="Q645" s="27" t="str">
        <f t="shared" si="54"/>
        <v>https://babel.hathitrust.org/cgi/pt?id=nc01.ark:/13960/t9183d98b;view=1up;seq=252</v>
      </c>
      <c r="R645" s="27" t="s">
        <v>521</v>
      </c>
      <c r="S645" s="27" t="s">
        <v>522</v>
      </c>
      <c r="T645" s="27" t="str">
        <f t="shared" si="55"/>
        <v>https://babel.hathitrust.org/cgi/pt?id=nc01.ark:/13960/t9183d98b;view=1up;seq=112</v>
      </c>
      <c r="U645" s="4"/>
      <c r="V645" s="4"/>
      <c r="W645" s="4"/>
      <c r="X645" s="4"/>
      <c r="Y645" s="4"/>
      <c r="Z645" s="4"/>
      <c r="AA645" s="4"/>
      <c r="AB645" s="4"/>
    </row>
    <row r="646" spans="1:28" x14ac:dyDescent="0.25">
      <c r="A646" s="27" t="s">
        <v>1221</v>
      </c>
      <c r="B646" s="27" t="str">
        <f t="shared" si="51"/>
        <v>North Carolina</v>
      </c>
      <c r="C646" s="27" t="str">
        <f t="shared" si="52"/>
        <v>Wake</v>
      </c>
      <c r="D646" s="2">
        <v>7159</v>
      </c>
      <c r="E646" s="2">
        <v>259</v>
      </c>
      <c r="F646" s="26">
        <f>'NC pre'!J93</f>
        <v>128.22727272727272</v>
      </c>
      <c r="G646" s="2">
        <v>11493</v>
      </c>
      <c r="H646" s="12">
        <f>'NC pre'!N93</f>
        <v>33.316247193666555</v>
      </c>
      <c r="I646" s="12">
        <v>92965</v>
      </c>
      <c r="J646" s="27">
        <v>96</v>
      </c>
      <c r="K646" s="12">
        <f>'NC pre'!Q93</f>
        <v>16910.97</v>
      </c>
      <c r="L646" s="27">
        <v>1905</v>
      </c>
      <c r="M646" s="27" t="s">
        <v>523</v>
      </c>
      <c r="N646" s="27" t="s">
        <v>519</v>
      </c>
      <c r="O646" s="27" t="str">
        <f t="shared" si="53"/>
        <v>https://babel.hathitrust.org/cgi/pt?id=nc01.ark:/13960/t9183d98b;view=1up;seq=252</v>
      </c>
      <c r="P646" s="27" t="s">
        <v>523</v>
      </c>
      <c r="Q646" s="27" t="str">
        <f t="shared" si="54"/>
        <v>https://babel.hathitrust.org/cgi/pt?id=nc01.ark:/13960/t9183d98b;view=1up;seq=252</v>
      </c>
      <c r="R646" s="27" t="s">
        <v>521</v>
      </c>
      <c r="S646" s="27" t="s">
        <v>522</v>
      </c>
      <c r="T646" s="27" t="str">
        <f t="shared" si="55"/>
        <v>https://babel.hathitrust.org/cgi/pt?id=nc01.ark:/13960/t9183d98b;view=1up;seq=112</v>
      </c>
      <c r="U646" s="4"/>
      <c r="V646" s="4"/>
      <c r="W646" s="4"/>
      <c r="X646" s="4"/>
      <c r="Y646" s="4"/>
      <c r="Z646" s="4"/>
      <c r="AA646" s="4"/>
      <c r="AB646" s="4"/>
    </row>
    <row r="647" spans="1:28" x14ac:dyDescent="0.25">
      <c r="A647" s="27" t="s">
        <v>1222</v>
      </c>
      <c r="B647" s="27" t="str">
        <f t="shared" ref="B647:B710" si="56">LEFT(A647,FIND(";",A647)-1)</f>
        <v>North Carolina</v>
      </c>
      <c r="C647" s="27" t="str">
        <f t="shared" ref="C647:C710" si="57">MID(A647,FIND(";",A647)+1,100)</f>
        <v>Warren</v>
      </c>
      <c r="D647" s="27">
        <v>2196</v>
      </c>
      <c r="E647" s="2">
        <v>84</v>
      </c>
      <c r="F647" s="26">
        <f>'NC pre'!J94</f>
        <v>88.422222222222217</v>
      </c>
      <c r="G647" s="2">
        <v>4122</v>
      </c>
      <c r="H647" s="12">
        <f>'NC pre'!N94</f>
        <v>30.420608193013322</v>
      </c>
      <c r="I647" s="12">
        <v>16315</v>
      </c>
      <c r="J647" s="27">
        <v>34</v>
      </c>
      <c r="K647" s="12">
        <f>'NC pre'!Q94</f>
        <v>805.87</v>
      </c>
      <c r="L647" s="27">
        <v>1905</v>
      </c>
      <c r="M647" s="27" t="s">
        <v>518</v>
      </c>
      <c r="N647" s="27" t="s">
        <v>519</v>
      </c>
      <c r="O647" s="27" t="str">
        <f t="shared" si="53"/>
        <v>https://babel.hathitrust.org/cgi/pt?id=nc01.ark:/13960/t9183d98b;view=1up;seq=252</v>
      </c>
      <c r="P647" s="27" t="s">
        <v>518</v>
      </c>
      <c r="Q647" s="27" t="str">
        <f t="shared" si="54"/>
        <v>https://babel.hathitrust.org/cgi/pt?id=nc01.ark:/13960/t9183d98b;view=1up;seq=252</v>
      </c>
      <c r="R647" s="27" t="s">
        <v>521</v>
      </c>
      <c r="S647" s="27" t="s">
        <v>522</v>
      </c>
      <c r="T647" s="27" t="str">
        <f t="shared" si="55"/>
        <v>https://babel.hathitrust.org/cgi/pt?id=nc01.ark:/13960/t9183d98b;view=1up;seq=112</v>
      </c>
      <c r="U647" s="4"/>
      <c r="V647" s="4"/>
      <c r="W647" s="4"/>
      <c r="X647" s="4"/>
      <c r="Y647" s="4"/>
      <c r="Z647" s="4"/>
      <c r="AA647" s="4"/>
      <c r="AB647" s="4"/>
    </row>
    <row r="648" spans="1:28" x14ac:dyDescent="0.25">
      <c r="A648" s="27" t="s">
        <v>1223</v>
      </c>
      <c r="B648" s="27" t="str">
        <f t="shared" si="56"/>
        <v>North Carolina</v>
      </c>
      <c r="C648" s="27" t="str">
        <f t="shared" si="57"/>
        <v>Washington</v>
      </c>
      <c r="D648" s="27">
        <v>1590</v>
      </c>
      <c r="E648" s="2">
        <v>61</v>
      </c>
      <c r="F648" s="26">
        <f>'NC pre'!J95</f>
        <v>136.46428571428572</v>
      </c>
      <c r="G648" s="2">
        <v>2421</v>
      </c>
      <c r="H648" s="12">
        <f>'NC pre'!N95</f>
        <v>17.397199685946088</v>
      </c>
      <c r="I648" s="12">
        <v>9995</v>
      </c>
      <c r="J648" s="27">
        <v>28</v>
      </c>
      <c r="K648" s="12">
        <f>'NC pre'!Q95</f>
        <v>3026.34</v>
      </c>
      <c r="L648" s="27">
        <v>1905</v>
      </c>
      <c r="M648" s="27" t="s">
        <v>523</v>
      </c>
      <c r="N648" s="27" t="s">
        <v>519</v>
      </c>
      <c r="O648" s="27" t="str">
        <f t="shared" si="53"/>
        <v>https://babel.hathitrust.org/cgi/pt?id=nc01.ark:/13960/t9183d98b;view=1up;seq=252</v>
      </c>
      <c r="P648" s="27" t="s">
        <v>523</v>
      </c>
      <c r="Q648" s="27" t="str">
        <f t="shared" si="54"/>
        <v>https://babel.hathitrust.org/cgi/pt?id=nc01.ark:/13960/t9183d98b;view=1up;seq=252</v>
      </c>
      <c r="R648" s="27" t="s">
        <v>521</v>
      </c>
      <c r="S648" s="27" t="s">
        <v>522</v>
      </c>
      <c r="T648" s="27" t="str">
        <f t="shared" si="55"/>
        <v>https://babel.hathitrust.org/cgi/pt?id=nc01.ark:/13960/t9183d98b;view=1up;seq=112</v>
      </c>
      <c r="U648" s="4"/>
      <c r="V648" s="4"/>
      <c r="W648" s="4"/>
      <c r="X648" s="4"/>
      <c r="Y648" s="4"/>
      <c r="Z648" s="4"/>
      <c r="AA648" s="4"/>
      <c r="AB648" s="4"/>
    </row>
    <row r="649" spans="1:28" x14ac:dyDescent="0.25">
      <c r="A649" s="27" t="s">
        <v>1756</v>
      </c>
      <c r="B649" s="27" t="str">
        <f t="shared" si="56"/>
        <v>North Carolina</v>
      </c>
      <c r="C649" s="27" t="str">
        <f t="shared" si="57"/>
        <v>Watauga</v>
      </c>
      <c r="D649" s="2">
        <v>2224</v>
      </c>
      <c r="E649" s="2">
        <v>80</v>
      </c>
      <c r="F649" s="26">
        <f>'NC pre'!J96</f>
        <v>80</v>
      </c>
      <c r="G649" s="2">
        <v>3786</v>
      </c>
      <c r="H649" s="12">
        <f>'NC pre'!N96</f>
        <v>23.446458333333332</v>
      </c>
      <c r="I649" s="2">
        <v>8823</v>
      </c>
      <c r="J649" s="27">
        <v>52</v>
      </c>
      <c r="K649" s="12">
        <f>'NC pre'!Q96</f>
        <v>161.66</v>
      </c>
      <c r="L649" s="27">
        <v>1905</v>
      </c>
      <c r="M649" s="27" t="s">
        <v>518</v>
      </c>
      <c r="N649" s="27" t="s">
        <v>519</v>
      </c>
      <c r="O649" s="27" t="str">
        <f t="shared" si="53"/>
        <v>https://babel.hathitrust.org/cgi/pt?id=nc01.ark:/13960/t9183d98b;view=1up;seq=252</v>
      </c>
      <c r="P649" s="27" t="s">
        <v>518</v>
      </c>
      <c r="Q649" s="27" t="str">
        <f t="shared" si="54"/>
        <v>https://babel.hathitrust.org/cgi/pt?id=nc01.ark:/13960/t9183d98b;view=1up;seq=252</v>
      </c>
      <c r="R649" s="27" t="s">
        <v>521</v>
      </c>
      <c r="S649" s="27" t="s">
        <v>522</v>
      </c>
      <c r="T649" s="27" t="str">
        <f t="shared" si="55"/>
        <v>https://babel.hathitrust.org/cgi/pt?id=nc01.ark:/13960/t9183d98b;view=1up;seq=112</v>
      </c>
      <c r="U649" s="4"/>
      <c r="V649" s="4"/>
      <c r="W649" s="4"/>
      <c r="X649" s="4"/>
      <c r="Y649" s="4"/>
      <c r="Z649" s="4"/>
      <c r="AA649" s="4"/>
      <c r="AB649" s="4"/>
    </row>
    <row r="650" spans="1:28" x14ac:dyDescent="0.25">
      <c r="A650" s="27" t="s">
        <v>1224</v>
      </c>
      <c r="B650" s="27" t="str">
        <f t="shared" si="56"/>
        <v>North Carolina</v>
      </c>
      <c r="C650" s="27" t="str">
        <f t="shared" si="57"/>
        <v>Wayne</v>
      </c>
      <c r="D650" s="2">
        <v>4757</v>
      </c>
      <c r="E650" s="2">
        <v>156</v>
      </c>
      <c r="F650" s="26">
        <f>'NC pre'!J97</f>
        <v>103.65189873417721</v>
      </c>
      <c r="G650" s="2">
        <v>8644</v>
      </c>
      <c r="H650" s="12">
        <f>'NC pre'!N97</f>
        <v>35.580631373267387</v>
      </c>
      <c r="I650" s="12">
        <v>57576</v>
      </c>
      <c r="J650" s="27">
        <v>70</v>
      </c>
      <c r="K650" s="12">
        <f>'NC pre'!Q97</f>
        <v>7577.14</v>
      </c>
      <c r="L650" s="27">
        <v>1905</v>
      </c>
      <c r="M650" s="27" t="s">
        <v>523</v>
      </c>
      <c r="N650" s="27" t="s">
        <v>519</v>
      </c>
      <c r="O650" s="27" t="str">
        <f t="shared" si="53"/>
        <v>https://babel.hathitrust.org/cgi/pt?id=nc01.ark:/13960/t9183d98b;view=1up;seq=252</v>
      </c>
      <c r="P650" s="27" t="s">
        <v>523</v>
      </c>
      <c r="Q650" s="27" t="str">
        <f t="shared" si="54"/>
        <v>https://babel.hathitrust.org/cgi/pt?id=nc01.ark:/13960/t9183d98b;view=1up;seq=252</v>
      </c>
      <c r="R650" s="27" t="s">
        <v>521</v>
      </c>
      <c r="S650" s="27" t="s">
        <v>522</v>
      </c>
      <c r="T650" s="27" t="str">
        <f t="shared" si="55"/>
        <v>https://babel.hathitrust.org/cgi/pt?id=nc01.ark:/13960/t9183d98b;view=1up;seq=112</v>
      </c>
      <c r="U650" s="4"/>
      <c r="V650" s="4"/>
      <c r="W650" s="4"/>
      <c r="X650" s="4"/>
      <c r="Y650" s="4"/>
      <c r="Z650" s="4"/>
      <c r="AA650" s="4"/>
      <c r="AB650" s="4"/>
    </row>
    <row r="651" spans="1:28" x14ac:dyDescent="0.25">
      <c r="A651" s="27" t="s">
        <v>1225</v>
      </c>
      <c r="B651" s="27" t="str">
        <f t="shared" si="56"/>
        <v>North Carolina</v>
      </c>
      <c r="C651" s="27" t="str">
        <f t="shared" si="57"/>
        <v>Wilkes</v>
      </c>
      <c r="D651" s="2">
        <v>3974</v>
      </c>
      <c r="E651" s="2">
        <v>159</v>
      </c>
      <c r="F651" s="26">
        <f>'NC pre'!J98</f>
        <v>82.786163522012572</v>
      </c>
      <c r="G651" s="2">
        <v>7435</v>
      </c>
      <c r="H651" s="12">
        <f>'NC pre'!N98</f>
        <v>25.451675150041783</v>
      </c>
      <c r="I651" s="12">
        <v>23635.57</v>
      </c>
      <c r="J651" s="27">
        <v>105</v>
      </c>
      <c r="K651" s="12">
        <f>'NC pre'!Q98</f>
        <v>3446.3</v>
      </c>
      <c r="L651" s="27">
        <v>1905</v>
      </c>
      <c r="M651" s="27" t="s">
        <v>518</v>
      </c>
      <c r="N651" s="27" t="s">
        <v>519</v>
      </c>
      <c r="O651" s="27" t="str">
        <f t="shared" si="53"/>
        <v>https://babel.hathitrust.org/cgi/pt?id=nc01.ark:/13960/t9183d98b;view=1up;seq=252</v>
      </c>
      <c r="P651" s="27" t="s">
        <v>518</v>
      </c>
      <c r="Q651" s="27" t="str">
        <f t="shared" si="54"/>
        <v>https://babel.hathitrust.org/cgi/pt?id=nc01.ark:/13960/t9183d98b;view=1up;seq=252</v>
      </c>
      <c r="R651" s="27" t="s">
        <v>521</v>
      </c>
      <c r="S651" s="27" t="s">
        <v>522</v>
      </c>
      <c r="T651" s="27" t="str">
        <f t="shared" si="55"/>
        <v>https://babel.hathitrust.org/cgi/pt?id=nc01.ark:/13960/t9183d98b;view=1up;seq=112</v>
      </c>
      <c r="U651" s="4"/>
      <c r="V651" s="4"/>
      <c r="W651" s="4"/>
      <c r="X651" s="4"/>
      <c r="Y651" s="4"/>
      <c r="Z651" s="4"/>
      <c r="AA651" s="4"/>
      <c r="AB651" s="4"/>
    </row>
    <row r="652" spans="1:28" x14ac:dyDescent="0.25">
      <c r="A652" s="27" t="s">
        <v>1226</v>
      </c>
      <c r="B652" s="27" t="str">
        <f t="shared" si="56"/>
        <v>North Carolina</v>
      </c>
      <c r="C652" s="27" t="str">
        <f t="shared" si="57"/>
        <v>Wilson</v>
      </c>
      <c r="D652" s="2">
        <v>3730</v>
      </c>
      <c r="E652" s="2">
        <v>113</v>
      </c>
      <c r="F652" s="26">
        <f>'NC pre'!J99</f>
        <v>126.84297520661157</v>
      </c>
      <c r="G652" s="2">
        <v>4333</v>
      </c>
      <c r="H652" s="12">
        <f>'NC pre'!N99</f>
        <v>32.388232994526973</v>
      </c>
      <c r="I652" s="12">
        <v>40280.449999999997</v>
      </c>
      <c r="J652" s="27">
        <v>46</v>
      </c>
      <c r="K652" s="12">
        <f>'NC pre'!Q99</f>
        <v>8325.75</v>
      </c>
      <c r="L652" s="27">
        <v>1905</v>
      </c>
      <c r="M652" s="27" t="s">
        <v>523</v>
      </c>
      <c r="N652" s="27" t="s">
        <v>519</v>
      </c>
      <c r="O652" s="27" t="str">
        <f t="shared" si="53"/>
        <v>https://babel.hathitrust.org/cgi/pt?id=nc01.ark:/13960/t9183d98b;view=1up;seq=252</v>
      </c>
      <c r="P652" s="27" t="s">
        <v>523</v>
      </c>
      <c r="Q652" s="27" t="str">
        <f t="shared" si="54"/>
        <v>https://babel.hathitrust.org/cgi/pt?id=nc01.ark:/13960/t9183d98b;view=1up;seq=252</v>
      </c>
      <c r="R652" s="27" t="s">
        <v>521</v>
      </c>
      <c r="S652" s="27" t="s">
        <v>522</v>
      </c>
      <c r="T652" s="27" t="str">
        <f t="shared" si="55"/>
        <v>https://babel.hathitrust.org/cgi/pt?id=nc01.ark:/13960/t9183d98b;view=1up;seq=112</v>
      </c>
      <c r="U652" s="4"/>
      <c r="V652" s="4"/>
      <c r="W652" s="4"/>
      <c r="X652" s="4"/>
      <c r="Y652" s="4"/>
      <c r="Z652" s="4"/>
      <c r="AA652" s="4"/>
      <c r="AB652" s="4"/>
    </row>
    <row r="653" spans="1:28" x14ac:dyDescent="0.25">
      <c r="A653" s="27" t="s">
        <v>1227</v>
      </c>
      <c r="B653" s="27" t="str">
        <f t="shared" si="56"/>
        <v>North Carolina</v>
      </c>
      <c r="C653" s="27" t="str">
        <f t="shared" si="57"/>
        <v>Yadkin</v>
      </c>
      <c r="D653" s="2">
        <v>2317</v>
      </c>
      <c r="E653" s="2">
        <v>76</v>
      </c>
      <c r="F653" s="26">
        <f>'NC pre'!J100</f>
        <v>104.125</v>
      </c>
      <c r="G653" s="2">
        <v>3898</v>
      </c>
      <c r="H653" s="12">
        <f>'NC pre'!N100</f>
        <v>20.230865679605177</v>
      </c>
      <c r="I653" s="12">
        <v>9775.25</v>
      </c>
      <c r="J653" s="27">
        <v>48</v>
      </c>
      <c r="K653" s="12">
        <f>'NC pre'!Q100</f>
        <v>2589.3200000000002</v>
      </c>
      <c r="L653" s="27">
        <v>1905</v>
      </c>
      <c r="M653" s="27" t="s">
        <v>518</v>
      </c>
      <c r="N653" s="27" t="s">
        <v>519</v>
      </c>
      <c r="O653" s="27" t="str">
        <f t="shared" si="53"/>
        <v>https://babel.hathitrust.org/cgi/pt?id=nc01.ark:/13960/t9183d98b;view=1up;seq=252</v>
      </c>
      <c r="P653" s="27" t="s">
        <v>518</v>
      </c>
      <c r="Q653" s="27" t="str">
        <f t="shared" si="54"/>
        <v>https://babel.hathitrust.org/cgi/pt?id=nc01.ark:/13960/t9183d98b;view=1up;seq=252</v>
      </c>
      <c r="R653" s="27" t="s">
        <v>521</v>
      </c>
      <c r="S653" s="27" t="s">
        <v>522</v>
      </c>
      <c r="T653" s="27" t="str">
        <f t="shared" si="55"/>
        <v>https://babel.hathitrust.org/cgi/pt?id=nc01.ark:/13960/t9183d98b;view=1up;seq=112</v>
      </c>
      <c r="U653" s="4"/>
      <c r="V653" s="4"/>
      <c r="W653" s="4"/>
      <c r="X653" s="4"/>
      <c r="Y653" s="4"/>
      <c r="Z653" s="4"/>
      <c r="AA653" s="4"/>
      <c r="AB653" s="4"/>
    </row>
    <row r="654" spans="1:28" x14ac:dyDescent="0.25">
      <c r="A654" s="27" t="s">
        <v>1228</v>
      </c>
      <c r="B654" s="27" t="str">
        <f t="shared" si="56"/>
        <v>North Carolina</v>
      </c>
      <c r="C654" s="27" t="str">
        <f t="shared" si="57"/>
        <v>Yancey</v>
      </c>
      <c r="D654" s="2">
        <v>1563</v>
      </c>
      <c r="E654" s="2">
        <v>57</v>
      </c>
      <c r="F654" s="26">
        <f>'NC pre'!J101</f>
        <v>80</v>
      </c>
      <c r="G654" s="2">
        <v>3014</v>
      </c>
      <c r="H654" s="12">
        <f>'NC pre'!N101</f>
        <v>21.638818181818181</v>
      </c>
      <c r="I654" s="12">
        <v>6274.88</v>
      </c>
      <c r="J654" s="27">
        <v>39</v>
      </c>
      <c r="K654" s="12">
        <f>'NC pre'!Q101</f>
        <v>1488.18</v>
      </c>
      <c r="L654" s="27">
        <v>1905</v>
      </c>
      <c r="M654" s="27" t="s">
        <v>523</v>
      </c>
      <c r="N654" s="27" t="s">
        <v>519</v>
      </c>
      <c r="O654" s="27" t="str">
        <f t="shared" si="53"/>
        <v>https://babel.hathitrust.org/cgi/pt?id=nc01.ark:/13960/t9183d98b;view=1up;seq=252</v>
      </c>
      <c r="P654" s="27" t="s">
        <v>523</v>
      </c>
      <c r="Q654" s="27" t="str">
        <f t="shared" si="54"/>
        <v>https://babel.hathitrust.org/cgi/pt?id=nc01.ark:/13960/t9183d98b;view=1up;seq=252</v>
      </c>
      <c r="R654" s="27" t="s">
        <v>521</v>
      </c>
      <c r="S654" s="27" t="s">
        <v>522</v>
      </c>
      <c r="T654" s="27" t="str">
        <f t="shared" si="55"/>
        <v>https://babel.hathitrust.org/cgi/pt?id=nc01.ark:/13960/t9183d98b;view=1up;seq=112</v>
      </c>
      <c r="U654" s="4"/>
      <c r="V654" s="4"/>
      <c r="W654" s="4"/>
      <c r="X654" s="4"/>
      <c r="Y654" s="4"/>
      <c r="Z654" s="4"/>
      <c r="AA654" s="4"/>
      <c r="AB654" s="4"/>
    </row>
    <row r="655" spans="1:28" x14ac:dyDescent="0.25">
      <c r="A655" s="27" t="s">
        <v>1367</v>
      </c>
      <c r="B655" s="27" t="str">
        <f t="shared" si="56"/>
        <v/>
      </c>
      <c r="C655" s="27" t="str">
        <f t="shared" si="57"/>
        <v/>
      </c>
      <c r="D655" s="2">
        <f>SUM(D555:D654)</f>
        <v>279653</v>
      </c>
      <c r="E655" s="27">
        <f>SUM(E555:E654)</f>
        <v>9678</v>
      </c>
      <c r="F655" s="27"/>
      <c r="G655" s="2">
        <v>469914</v>
      </c>
      <c r="H655" s="2"/>
      <c r="I655" s="2">
        <f>SUM(I555:I654)</f>
        <v>2291276.8599999989</v>
      </c>
      <c r="J655" s="27">
        <f>SUM(J555:J654)</f>
        <v>4976</v>
      </c>
      <c r="K655" s="12">
        <f>SUM(K555:K654)</f>
        <v>379108.54999999987</v>
      </c>
      <c r="L655" s="27"/>
      <c r="M655" s="27" t="s">
        <v>383</v>
      </c>
      <c r="N655" s="27" t="s">
        <v>383</v>
      </c>
      <c r="O655" s="27" t="s">
        <v>383</v>
      </c>
      <c r="P655" s="27" t="s">
        <v>383</v>
      </c>
      <c r="Q655" s="27" t="s">
        <v>383</v>
      </c>
      <c r="R655" s="27" t="s">
        <v>383</v>
      </c>
      <c r="S655" s="27" t="s">
        <v>383</v>
      </c>
      <c r="T655" s="27" t="s">
        <v>383</v>
      </c>
      <c r="U655" s="4"/>
      <c r="V655" s="4"/>
      <c r="W655" s="4"/>
      <c r="X655" s="4"/>
      <c r="Y655" s="4"/>
      <c r="Z655" s="4"/>
      <c r="AA655" s="4"/>
      <c r="AB655" s="4"/>
    </row>
    <row r="656" spans="1:28" x14ac:dyDescent="0.25">
      <c r="A656" s="27" t="s">
        <v>1367</v>
      </c>
      <c r="B656" s="27" t="str">
        <f t="shared" si="56"/>
        <v/>
      </c>
      <c r="C656" s="27" t="str">
        <f t="shared" si="57"/>
        <v/>
      </c>
      <c r="D656" s="2">
        <v>280288</v>
      </c>
      <c r="E656" s="2">
        <v>9687</v>
      </c>
      <c r="F656" s="27"/>
      <c r="G656" s="2">
        <v>474111</v>
      </c>
      <c r="H656" s="2"/>
      <c r="I656" s="12">
        <v>2291053.15</v>
      </c>
      <c r="J656" s="27">
        <v>5115</v>
      </c>
      <c r="K656" s="12">
        <v>379108.55</v>
      </c>
      <c r="L656" s="27"/>
      <c r="M656" s="27" t="s">
        <v>383</v>
      </c>
      <c r="N656" s="27" t="s">
        <v>383</v>
      </c>
      <c r="O656" s="27" t="s">
        <v>383</v>
      </c>
      <c r="P656" s="27" t="s">
        <v>383</v>
      </c>
      <c r="Q656" s="27" t="s">
        <v>383</v>
      </c>
      <c r="R656" s="27" t="s">
        <v>383</v>
      </c>
      <c r="S656" s="27" t="s">
        <v>383</v>
      </c>
      <c r="T656" s="27" t="s">
        <v>383</v>
      </c>
      <c r="U656" s="4"/>
      <c r="V656" s="4"/>
      <c r="W656" s="4"/>
      <c r="X656" s="4"/>
      <c r="Y656" s="4"/>
      <c r="Z656" s="4"/>
      <c r="AA656" s="4"/>
      <c r="AB656" s="4"/>
    </row>
    <row r="657" spans="1:28" x14ac:dyDescent="0.25">
      <c r="A657" s="27" t="s">
        <v>1367</v>
      </c>
      <c r="B657" s="27" t="str">
        <f t="shared" si="56"/>
        <v/>
      </c>
      <c r="C657" s="27" t="str">
        <f t="shared" si="57"/>
        <v/>
      </c>
      <c r="D657" s="27"/>
      <c r="E657" s="27"/>
      <c r="F657" s="27"/>
      <c r="G657" s="27"/>
      <c r="H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8" x14ac:dyDescent="0.25">
      <c r="A658" s="27" t="s">
        <v>1229</v>
      </c>
      <c r="B658" s="27" t="str">
        <f t="shared" si="56"/>
        <v>South Carolina</v>
      </c>
      <c r="C658" s="27" t="str">
        <f t="shared" si="57"/>
        <v>Abbeville</v>
      </c>
      <c r="D658" s="27">
        <f>'SC pre'!G2</f>
        <v>6730</v>
      </c>
      <c r="E658" s="2">
        <v>171</v>
      </c>
      <c r="F658" s="2">
        <v>135</v>
      </c>
      <c r="G658" s="2">
        <f>'SC pre'!L2</f>
        <v>9995</v>
      </c>
      <c r="H658" s="28">
        <f>'SC pre'!O2</f>
        <v>21.286616772212625</v>
      </c>
      <c r="I658" s="2">
        <v>31349</v>
      </c>
      <c r="J658" s="27">
        <v>150</v>
      </c>
      <c r="K658" s="27">
        <f>'SC pre'!S2</f>
        <v>40667.620000000003</v>
      </c>
      <c r="L658" s="27">
        <v>1905</v>
      </c>
      <c r="M658" s="27" t="s">
        <v>2563</v>
      </c>
      <c r="N658" s="27" t="s">
        <v>524</v>
      </c>
      <c r="O658" s="27" t="s">
        <v>524</v>
      </c>
      <c r="P658" s="27" t="s">
        <v>524</v>
      </c>
      <c r="Q658" s="27" t="s">
        <v>2562</v>
      </c>
      <c r="R658" s="7" t="str">
        <f>Q658</f>
        <v>https://babel.hathitrust.org/cgi/pt?id=uc1.b2980735;view=1up;seq=243</v>
      </c>
      <c r="S658" s="27" t="s">
        <v>524</v>
      </c>
      <c r="T658" s="27" t="s">
        <v>2564</v>
      </c>
      <c r="U658" s="4"/>
      <c r="V658" s="4"/>
      <c r="W658" s="4"/>
      <c r="X658" s="4"/>
      <c r="Y658" s="4"/>
      <c r="Z658" s="4"/>
      <c r="AA658" s="4"/>
      <c r="AB658" s="4"/>
    </row>
    <row r="659" spans="1:28" x14ac:dyDescent="0.25">
      <c r="A659" s="27" t="s">
        <v>1230</v>
      </c>
      <c r="B659" s="27" t="str">
        <f t="shared" si="56"/>
        <v>South Carolina</v>
      </c>
      <c r="C659" s="27" t="str">
        <f t="shared" si="57"/>
        <v>Aiken</v>
      </c>
      <c r="D659" s="27">
        <f>'SC pre'!G3</f>
        <v>6241</v>
      </c>
      <c r="E659" s="27">
        <v>201</v>
      </c>
      <c r="F659" s="2">
        <v>90</v>
      </c>
      <c r="G659" s="2">
        <f>'SC pre'!L3</f>
        <v>9325</v>
      </c>
      <c r="H659" s="28">
        <f>'SC pre'!O3</f>
        <v>33.643084112149531</v>
      </c>
      <c r="I659" s="2">
        <v>35585</v>
      </c>
      <c r="J659" s="27">
        <v>165</v>
      </c>
      <c r="K659" s="27">
        <f>'SC pre'!S3</f>
        <v>39458.06</v>
      </c>
      <c r="L659" s="27">
        <v>1905</v>
      </c>
      <c r="M659" s="27" t="str">
        <f>M658</f>
        <v>https://babel.hathitrust.org/cgi/pt?id=uc1.b2980735;view=1up;seq=246</v>
      </c>
      <c r="N659" s="27" t="s">
        <v>524</v>
      </c>
      <c r="O659" s="27" t="s">
        <v>524</v>
      </c>
      <c r="P659" s="27" t="s">
        <v>524</v>
      </c>
      <c r="Q659" s="27" t="str">
        <f>Q658</f>
        <v>https://babel.hathitrust.org/cgi/pt?id=uc1.b2980735;view=1up;seq=243</v>
      </c>
      <c r="R659" s="7" t="str">
        <f t="shared" ref="R659:R703" si="58">Q659</f>
        <v>https://babel.hathitrust.org/cgi/pt?id=uc1.b2980735;view=1up;seq=243</v>
      </c>
      <c r="S659" s="27" t="s">
        <v>524</v>
      </c>
      <c r="T659" s="27" t="str">
        <f>T658</f>
        <v>https://babel.hathitrust.org/cgi/pt?id=uiug.30112109609377;view=1up;seq=183</v>
      </c>
      <c r="U659" s="4"/>
      <c r="V659" s="4"/>
      <c r="W659" s="4"/>
      <c r="X659" s="4"/>
      <c r="Y659" s="4"/>
      <c r="Z659" s="4"/>
      <c r="AA659" s="4"/>
      <c r="AB659" s="4"/>
    </row>
    <row r="660" spans="1:28" x14ac:dyDescent="0.25">
      <c r="A660" s="27" t="s">
        <v>1231</v>
      </c>
      <c r="B660" s="27" t="str">
        <f t="shared" si="56"/>
        <v>South Carolina</v>
      </c>
      <c r="C660" s="27" t="str">
        <f t="shared" si="57"/>
        <v>Allendale</v>
      </c>
      <c r="D660" s="27"/>
      <c r="E660" s="27" t="s">
        <v>383</v>
      </c>
      <c r="F660" s="2"/>
      <c r="G660" s="2"/>
      <c r="H660" s="28"/>
      <c r="J660" s="27"/>
      <c r="K660" s="27"/>
      <c r="L660" s="27">
        <v>1905</v>
      </c>
      <c r="M660" s="27" t="str">
        <f t="shared" ref="M660:M703" si="59">M659</f>
        <v>https://babel.hathitrust.org/cgi/pt?id=uc1.b2980735;view=1up;seq=246</v>
      </c>
      <c r="N660" s="27" t="s">
        <v>524</v>
      </c>
      <c r="O660" s="27" t="s">
        <v>524</v>
      </c>
      <c r="P660" s="27" t="s">
        <v>524</v>
      </c>
      <c r="Q660" s="27" t="str">
        <f t="shared" ref="Q660:Q703" si="60">Q659</f>
        <v>https://babel.hathitrust.org/cgi/pt?id=uc1.b2980735;view=1up;seq=243</v>
      </c>
      <c r="R660" s="7" t="str">
        <f t="shared" si="58"/>
        <v>https://babel.hathitrust.org/cgi/pt?id=uc1.b2980735;view=1up;seq=243</v>
      </c>
      <c r="S660" s="27" t="s">
        <v>524</v>
      </c>
      <c r="T660" s="27" t="str">
        <f t="shared" ref="T660:T703" si="61">T659</f>
        <v>https://babel.hathitrust.org/cgi/pt?id=uiug.30112109609377;view=1up;seq=183</v>
      </c>
      <c r="U660" s="4"/>
      <c r="V660" s="4"/>
      <c r="W660" s="4"/>
      <c r="X660" s="4"/>
      <c r="Y660" s="4"/>
      <c r="Z660" s="4"/>
      <c r="AA660" s="4"/>
      <c r="AB660" s="4"/>
    </row>
    <row r="661" spans="1:28" x14ac:dyDescent="0.25">
      <c r="A661" s="27" t="s">
        <v>1232</v>
      </c>
      <c r="B661" s="27" t="str">
        <f t="shared" si="56"/>
        <v>South Carolina</v>
      </c>
      <c r="C661" s="27" t="str">
        <f t="shared" si="57"/>
        <v>Anderson</v>
      </c>
      <c r="D661" s="27">
        <f>'SC pre'!G5</f>
        <v>9236</v>
      </c>
      <c r="E661" s="2">
        <v>165</v>
      </c>
      <c r="F661" s="2">
        <v>110</v>
      </c>
      <c r="G661" s="2">
        <f>'SC pre'!L5</f>
        <v>16492</v>
      </c>
      <c r="H661" s="28">
        <f>'SC pre'!O5</f>
        <v>42.824320266889075</v>
      </c>
      <c r="I661" s="2">
        <v>68504</v>
      </c>
      <c r="J661" s="27">
        <v>165</v>
      </c>
      <c r="K661" s="27"/>
      <c r="L661" s="27">
        <v>1905</v>
      </c>
      <c r="M661" s="27" t="str">
        <f t="shared" si="59"/>
        <v>https://babel.hathitrust.org/cgi/pt?id=uc1.b2980735;view=1up;seq=246</v>
      </c>
      <c r="N661" s="27" t="s">
        <v>524</v>
      </c>
      <c r="O661" s="27" t="s">
        <v>524</v>
      </c>
      <c r="P661" s="27" t="s">
        <v>524</v>
      </c>
      <c r="Q661" s="27" t="str">
        <f t="shared" si="60"/>
        <v>https://babel.hathitrust.org/cgi/pt?id=uc1.b2980735;view=1up;seq=243</v>
      </c>
      <c r="R661" s="7" t="str">
        <f t="shared" si="58"/>
        <v>https://babel.hathitrust.org/cgi/pt?id=uc1.b2980735;view=1up;seq=243</v>
      </c>
      <c r="S661" s="27" t="s">
        <v>524</v>
      </c>
      <c r="T661" s="27" t="str">
        <f t="shared" si="61"/>
        <v>https://babel.hathitrust.org/cgi/pt?id=uiug.30112109609377;view=1up;seq=183</v>
      </c>
      <c r="U661" s="4"/>
      <c r="V661" s="4"/>
      <c r="W661" s="4"/>
      <c r="X661" s="4"/>
      <c r="Y661" s="4"/>
      <c r="Z661" s="4"/>
      <c r="AA661" s="4"/>
      <c r="AB661" s="4"/>
    </row>
    <row r="662" spans="1:28" x14ac:dyDescent="0.25">
      <c r="A662" s="27" t="s">
        <v>1233</v>
      </c>
      <c r="B662" s="27" t="str">
        <f t="shared" si="56"/>
        <v>South Carolina</v>
      </c>
      <c r="C662" s="27" t="str">
        <f t="shared" si="57"/>
        <v>Bamberg</v>
      </c>
      <c r="D662" s="27">
        <f>'SC pre'!G6</f>
        <v>2825</v>
      </c>
      <c r="E662" s="27">
        <v>84</v>
      </c>
      <c r="F662" s="2">
        <v>97.5</v>
      </c>
      <c r="G662" s="2">
        <f>'SC pre'!L6</f>
        <v>4220</v>
      </c>
      <c r="H662" s="28">
        <f>'SC pre'!O6</f>
        <v>33.329396529396533</v>
      </c>
      <c r="I662" s="2">
        <v>30649</v>
      </c>
      <c r="J662" s="27">
        <v>62</v>
      </c>
      <c r="K662" s="27"/>
      <c r="L662" s="27">
        <v>1905</v>
      </c>
      <c r="M662" s="27" t="str">
        <f t="shared" si="59"/>
        <v>https://babel.hathitrust.org/cgi/pt?id=uc1.b2980735;view=1up;seq=246</v>
      </c>
      <c r="N662" s="27" t="s">
        <v>524</v>
      </c>
      <c r="O662" s="27" t="s">
        <v>524</v>
      </c>
      <c r="P662" s="27" t="s">
        <v>524</v>
      </c>
      <c r="Q662" s="27" t="str">
        <f t="shared" si="60"/>
        <v>https://babel.hathitrust.org/cgi/pt?id=uc1.b2980735;view=1up;seq=243</v>
      </c>
      <c r="R662" s="7" t="str">
        <f t="shared" si="58"/>
        <v>https://babel.hathitrust.org/cgi/pt?id=uc1.b2980735;view=1up;seq=243</v>
      </c>
      <c r="S662" s="27" t="s">
        <v>524</v>
      </c>
      <c r="T662" s="27" t="str">
        <f t="shared" si="61"/>
        <v>https://babel.hathitrust.org/cgi/pt?id=uiug.30112109609377;view=1up;seq=183</v>
      </c>
      <c r="U662" s="4"/>
      <c r="V662" s="4"/>
      <c r="W662" s="4"/>
      <c r="X662" s="4"/>
      <c r="Y662" s="4"/>
      <c r="Z662" s="4"/>
      <c r="AA662" s="4"/>
      <c r="AB662" s="4"/>
    </row>
    <row r="663" spans="1:28" x14ac:dyDescent="0.25">
      <c r="A663" s="27" t="s">
        <v>1234</v>
      </c>
      <c r="B663" s="27" t="str">
        <f t="shared" si="56"/>
        <v>South Carolina</v>
      </c>
      <c r="C663" s="27" t="str">
        <f t="shared" si="57"/>
        <v>Barnwell</v>
      </c>
      <c r="D663" s="27">
        <f>'SC pre'!G7</f>
        <v>4560</v>
      </c>
      <c r="E663" s="27">
        <v>143</v>
      </c>
      <c r="F663" s="2">
        <v>97.5</v>
      </c>
      <c r="G663" s="2">
        <f>'SC pre'!L7</f>
        <v>7876</v>
      </c>
      <c r="H663" s="28">
        <f>'SC pre'!O7</f>
        <v>35.876243511090138</v>
      </c>
      <c r="I663" s="2">
        <v>38793</v>
      </c>
      <c r="J663" s="27">
        <v>124</v>
      </c>
      <c r="K663" s="27"/>
      <c r="L663" s="27">
        <v>1905</v>
      </c>
      <c r="M663" s="27" t="str">
        <f t="shared" si="59"/>
        <v>https://babel.hathitrust.org/cgi/pt?id=uc1.b2980735;view=1up;seq=246</v>
      </c>
      <c r="N663" s="27" t="s">
        <v>524</v>
      </c>
      <c r="O663" s="27" t="s">
        <v>524</v>
      </c>
      <c r="P663" s="27" t="s">
        <v>524</v>
      </c>
      <c r="Q663" s="27" t="str">
        <f t="shared" si="60"/>
        <v>https://babel.hathitrust.org/cgi/pt?id=uc1.b2980735;view=1up;seq=243</v>
      </c>
      <c r="R663" s="7" t="str">
        <f t="shared" si="58"/>
        <v>https://babel.hathitrust.org/cgi/pt?id=uc1.b2980735;view=1up;seq=243</v>
      </c>
      <c r="S663" s="27" t="s">
        <v>524</v>
      </c>
      <c r="T663" s="27" t="str">
        <f t="shared" si="61"/>
        <v>https://babel.hathitrust.org/cgi/pt?id=uiug.30112109609377;view=1up;seq=183</v>
      </c>
      <c r="U663" s="4"/>
      <c r="V663" s="4"/>
      <c r="W663" s="4"/>
      <c r="X663" s="4"/>
      <c r="Y663" s="4"/>
      <c r="Z663" s="4"/>
      <c r="AA663" s="4"/>
      <c r="AB663" s="4"/>
    </row>
    <row r="664" spans="1:28" x14ac:dyDescent="0.25">
      <c r="A664" s="27" t="s">
        <v>1235</v>
      </c>
      <c r="B664" s="27" t="str">
        <f t="shared" si="56"/>
        <v>South Carolina</v>
      </c>
      <c r="C664" s="27" t="str">
        <f t="shared" si="57"/>
        <v>Beaufort</v>
      </c>
      <c r="D664" s="27">
        <f>'SC pre'!G8</f>
        <v>5878</v>
      </c>
      <c r="E664" s="2">
        <v>86</v>
      </c>
      <c r="F664" s="2">
        <v>112.5</v>
      </c>
      <c r="G664" s="2">
        <f>'SC pre'!L8</f>
        <v>3692</v>
      </c>
      <c r="H664" s="28">
        <f>'SC pre'!O8</f>
        <v>28.907467643467644</v>
      </c>
      <c r="I664" s="2">
        <v>17308</v>
      </c>
      <c r="J664" s="27">
        <v>86</v>
      </c>
      <c r="K664" s="27">
        <f>'SC pre'!S8</f>
        <v>5645.19</v>
      </c>
      <c r="L664" s="27">
        <v>1905</v>
      </c>
      <c r="M664" s="27" t="str">
        <f t="shared" si="59"/>
        <v>https://babel.hathitrust.org/cgi/pt?id=uc1.b2980735;view=1up;seq=246</v>
      </c>
      <c r="N664" s="27" t="s">
        <v>524</v>
      </c>
      <c r="O664" s="27" t="s">
        <v>524</v>
      </c>
      <c r="P664" s="27" t="s">
        <v>524</v>
      </c>
      <c r="Q664" s="27" t="str">
        <f t="shared" si="60"/>
        <v>https://babel.hathitrust.org/cgi/pt?id=uc1.b2980735;view=1up;seq=243</v>
      </c>
      <c r="R664" s="7" t="str">
        <f t="shared" si="58"/>
        <v>https://babel.hathitrust.org/cgi/pt?id=uc1.b2980735;view=1up;seq=243</v>
      </c>
      <c r="S664" s="27" t="s">
        <v>524</v>
      </c>
      <c r="T664" s="27" t="str">
        <f t="shared" si="61"/>
        <v>https://babel.hathitrust.org/cgi/pt?id=uiug.30112109609377;view=1up;seq=183</v>
      </c>
      <c r="U664" s="4"/>
      <c r="V664" s="4"/>
      <c r="W664" s="4"/>
      <c r="X664" s="4"/>
      <c r="Y664" s="4"/>
      <c r="Z664" s="4"/>
      <c r="AA664" s="4"/>
      <c r="AB664" s="4"/>
    </row>
    <row r="665" spans="1:28" x14ac:dyDescent="0.25">
      <c r="A665" s="27" t="s">
        <v>1236</v>
      </c>
      <c r="B665" s="27" t="str">
        <f t="shared" si="56"/>
        <v>South Carolina</v>
      </c>
      <c r="C665" s="27" t="str">
        <f t="shared" si="57"/>
        <v>Berkeley</v>
      </c>
      <c r="D665" s="27">
        <f>'SC pre'!G9</f>
        <v>4982</v>
      </c>
      <c r="E665" s="27">
        <v>125</v>
      </c>
      <c r="F665" s="2">
        <v>100</v>
      </c>
      <c r="G665" s="2">
        <f>'SC pre'!L9</f>
        <v>5692</v>
      </c>
      <c r="H665" s="28">
        <f>'SC pre'!O9</f>
        <v>24.304688000000002</v>
      </c>
      <c r="I665" s="2">
        <v>15881</v>
      </c>
      <c r="J665" s="27">
        <v>118</v>
      </c>
      <c r="K665" s="27"/>
      <c r="L665" s="27">
        <v>1905</v>
      </c>
      <c r="M665" s="27" t="str">
        <f t="shared" si="59"/>
        <v>https://babel.hathitrust.org/cgi/pt?id=uc1.b2980735;view=1up;seq=246</v>
      </c>
      <c r="N665" s="27" t="s">
        <v>524</v>
      </c>
      <c r="O665" s="27" t="s">
        <v>524</v>
      </c>
      <c r="P665" s="27" t="s">
        <v>524</v>
      </c>
      <c r="Q665" s="27" t="str">
        <f t="shared" si="60"/>
        <v>https://babel.hathitrust.org/cgi/pt?id=uc1.b2980735;view=1up;seq=243</v>
      </c>
      <c r="R665" s="7" t="str">
        <f t="shared" si="58"/>
        <v>https://babel.hathitrust.org/cgi/pt?id=uc1.b2980735;view=1up;seq=243</v>
      </c>
      <c r="S665" s="27" t="s">
        <v>524</v>
      </c>
      <c r="T665" s="27" t="str">
        <f t="shared" si="61"/>
        <v>https://babel.hathitrust.org/cgi/pt?id=uiug.30112109609377;view=1up;seq=183</v>
      </c>
      <c r="U665" s="4"/>
      <c r="V665" s="4"/>
      <c r="W665" s="4"/>
      <c r="X665" s="4"/>
      <c r="Y665" s="4"/>
      <c r="Z665" s="4"/>
      <c r="AA665" s="4"/>
      <c r="AB665" s="4"/>
    </row>
    <row r="666" spans="1:28" x14ac:dyDescent="0.25">
      <c r="A666" s="27" t="s">
        <v>1237</v>
      </c>
      <c r="B666" s="27" t="str">
        <f t="shared" si="56"/>
        <v>South Carolina</v>
      </c>
      <c r="C666" s="27" t="str">
        <f t="shared" si="57"/>
        <v>Calhoun</v>
      </c>
      <c r="D666" s="27"/>
      <c r="E666" s="27" t="s">
        <v>383</v>
      </c>
      <c r="F666" s="2"/>
      <c r="G666" s="2"/>
      <c r="H666" s="28"/>
      <c r="J666" s="27"/>
      <c r="K666" s="27">
        <f>'SC pre'!S10</f>
        <v>19534.64</v>
      </c>
      <c r="L666" s="27">
        <v>1905</v>
      </c>
      <c r="M666" s="27" t="str">
        <f t="shared" si="59"/>
        <v>https://babel.hathitrust.org/cgi/pt?id=uc1.b2980735;view=1up;seq=246</v>
      </c>
      <c r="N666" s="27" t="s">
        <v>524</v>
      </c>
      <c r="O666" s="27" t="s">
        <v>524</v>
      </c>
      <c r="P666" s="27" t="s">
        <v>524</v>
      </c>
      <c r="Q666" s="27" t="str">
        <f t="shared" si="60"/>
        <v>https://babel.hathitrust.org/cgi/pt?id=uc1.b2980735;view=1up;seq=243</v>
      </c>
      <c r="R666" s="7" t="str">
        <f t="shared" si="58"/>
        <v>https://babel.hathitrust.org/cgi/pt?id=uc1.b2980735;view=1up;seq=243</v>
      </c>
      <c r="S666" s="27" t="s">
        <v>524</v>
      </c>
      <c r="T666" s="27" t="str">
        <f t="shared" si="61"/>
        <v>https://babel.hathitrust.org/cgi/pt?id=uiug.30112109609377;view=1up;seq=183</v>
      </c>
      <c r="U666" s="4"/>
      <c r="V666" s="4"/>
      <c r="W666" s="4"/>
      <c r="X666" s="4"/>
      <c r="Y666" s="4"/>
      <c r="Z666" s="4"/>
      <c r="AA666" s="4"/>
      <c r="AB666" s="4"/>
    </row>
    <row r="667" spans="1:28" x14ac:dyDescent="0.25">
      <c r="A667" s="27" t="s">
        <v>1238</v>
      </c>
      <c r="B667" s="27" t="str">
        <f t="shared" si="56"/>
        <v>South Carolina</v>
      </c>
      <c r="C667" s="27" t="str">
        <f t="shared" si="57"/>
        <v>Charleston</v>
      </c>
      <c r="D667" s="27">
        <f>'SC pre'!G11</f>
        <v>13854</v>
      </c>
      <c r="E667" s="2">
        <v>220</v>
      </c>
      <c r="F667" s="2">
        <v>142.5</v>
      </c>
      <c r="G667" s="2">
        <f>'SC pre'!L11</f>
        <v>22680</v>
      </c>
      <c r="H667" s="28">
        <f>'SC pre'!O11</f>
        <v>46.373454127121079</v>
      </c>
      <c r="I667" s="2">
        <v>101888</v>
      </c>
      <c r="J667" s="27">
        <v>82</v>
      </c>
      <c r="K667" s="27"/>
      <c r="L667" s="27">
        <v>1905</v>
      </c>
      <c r="M667" s="27" t="str">
        <f t="shared" si="59"/>
        <v>https://babel.hathitrust.org/cgi/pt?id=uc1.b2980735;view=1up;seq=246</v>
      </c>
      <c r="N667" s="27" t="s">
        <v>524</v>
      </c>
      <c r="O667" s="27" t="s">
        <v>524</v>
      </c>
      <c r="P667" s="27" t="s">
        <v>524</v>
      </c>
      <c r="Q667" s="27" t="str">
        <f t="shared" si="60"/>
        <v>https://babel.hathitrust.org/cgi/pt?id=uc1.b2980735;view=1up;seq=243</v>
      </c>
      <c r="R667" s="7" t="str">
        <f t="shared" si="58"/>
        <v>https://babel.hathitrust.org/cgi/pt?id=uc1.b2980735;view=1up;seq=243</v>
      </c>
      <c r="S667" s="27" t="s">
        <v>524</v>
      </c>
      <c r="T667" s="27" t="str">
        <f t="shared" si="61"/>
        <v>https://babel.hathitrust.org/cgi/pt?id=uiug.30112109609377;view=1up;seq=183</v>
      </c>
      <c r="U667" s="4"/>
      <c r="V667" s="4"/>
      <c r="W667" s="4"/>
      <c r="X667" s="4"/>
      <c r="Y667" s="4"/>
      <c r="Z667" s="4"/>
      <c r="AA667" s="4"/>
      <c r="AB667" s="4"/>
    </row>
    <row r="668" spans="1:28" x14ac:dyDescent="0.25">
      <c r="A668" s="27" t="s">
        <v>1239</v>
      </c>
      <c r="B668" s="27" t="str">
        <f t="shared" si="56"/>
        <v>South Carolina</v>
      </c>
      <c r="C668" s="27" t="str">
        <f t="shared" si="57"/>
        <v>Cherokee</v>
      </c>
      <c r="D668" s="27">
        <f>'SC pre'!G12</f>
        <v>4439</v>
      </c>
      <c r="E668" s="27">
        <v>104</v>
      </c>
      <c r="F668" s="2">
        <v>135</v>
      </c>
      <c r="G668" s="2">
        <f>'SC pre'!L12</f>
        <v>5746</v>
      </c>
      <c r="H668" s="28">
        <f>'SC pre'!O12</f>
        <v>26.183888888888891</v>
      </c>
      <c r="I668" s="2">
        <v>21778</v>
      </c>
      <c r="J668" s="27">
        <v>89</v>
      </c>
      <c r="K668" s="27">
        <f>'SC pre'!S12</f>
        <v>43550</v>
      </c>
      <c r="L668" s="27">
        <v>1905</v>
      </c>
      <c r="M668" s="27" t="str">
        <f t="shared" si="59"/>
        <v>https://babel.hathitrust.org/cgi/pt?id=uc1.b2980735;view=1up;seq=246</v>
      </c>
      <c r="N668" s="27" t="s">
        <v>524</v>
      </c>
      <c r="O668" s="27" t="s">
        <v>524</v>
      </c>
      <c r="P668" s="27" t="s">
        <v>524</v>
      </c>
      <c r="Q668" s="27" t="str">
        <f t="shared" si="60"/>
        <v>https://babel.hathitrust.org/cgi/pt?id=uc1.b2980735;view=1up;seq=243</v>
      </c>
      <c r="R668" s="7" t="str">
        <f t="shared" si="58"/>
        <v>https://babel.hathitrust.org/cgi/pt?id=uc1.b2980735;view=1up;seq=243</v>
      </c>
      <c r="S668" s="27" t="s">
        <v>524</v>
      </c>
      <c r="T668" s="27" t="str">
        <f t="shared" si="61"/>
        <v>https://babel.hathitrust.org/cgi/pt?id=uiug.30112109609377;view=1up;seq=183</v>
      </c>
      <c r="U668" s="4"/>
      <c r="V668" s="4"/>
      <c r="W668" s="4"/>
      <c r="X668" s="4"/>
      <c r="Y668" s="4"/>
      <c r="Z668" s="4"/>
      <c r="AA668" s="4"/>
      <c r="AB668" s="4"/>
    </row>
    <row r="669" spans="1:28" x14ac:dyDescent="0.25">
      <c r="A669" s="27" t="s">
        <v>1240</v>
      </c>
      <c r="B669" s="27" t="str">
        <f t="shared" si="56"/>
        <v>South Carolina</v>
      </c>
      <c r="C669" s="27" t="str">
        <f t="shared" si="57"/>
        <v>Chester</v>
      </c>
      <c r="D669" s="27">
        <f>'SC pre'!G13</f>
        <v>4973</v>
      </c>
      <c r="E669" s="2">
        <v>121</v>
      </c>
      <c r="F669" s="2">
        <v>122.5</v>
      </c>
      <c r="G669" s="2">
        <f>'SC pre'!L13</f>
        <v>7523</v>
      </c>
      <c r="H669" s="28">
        <f>'SC pre'!O13</f>
        <v>26.727392929002587</v>
      </c>
      <c r="I669" s="2">
        <v>28118</v>
      </c>
      <c r="J669" s="27">
        <v>103</v>
      </c>
      <c r="K669" s="27">
        <f>'SC pre'!S13</f>
        <v>60248.72</v>
      </c>
      <c r="L669" s="27">
        <v>1905</v>
      </c>
      <c r="M669" s="27" t="str">
        <f t="shared" si="59"/>
        <v>https://babel.hathitrust.org/cgi/pt?id=uc1.b2980735;view=1up;seq=246</v>
      </c>
      <c r="N669" s="27" t="s">
        <v>524</v>
      </c>
      <c r="O669" s="27" t="s">
        <v>524</v>
      </c>
      <c r="P669" s="27" t="s">
        <v>524</v>
      </c>
      <c r="Q669" s="27" t="str">
        <f t="shared" si="60"/>
        <v>https://babel.hathitrust.org/cgi/pt?id=uc1.b2980735;view=1up;seq=243</v>
      </c>
      <c r="R669" s="7" t="str">
        <f t="shared" si="58"/>
        <v>https://babel.hathitrust.org/cgi/pt?id=uc1.b2980735;view=1up;seq=243</v>
      </c>
      <c r="S669" s="27" t="s">
        <v>524</v>
      </c>
      <c r="T669" s="27" t="str">
        <f t="shared" si="61"/>
        <v>https://babel.hathitrust.org/cgi/pt?id=uiug.30112109609377;view=1up;seq=183</v>
      </c>
      <c r="U669" s="4"/>
      <c r="V669" s="4"/>
      <c r="W669" s="4"/>
      <c r="X669" s="4"/>
      <c r="Y669" s="4"/>
      <c r="Z669" s="4"/>
      <c r="AA669" s="4"/>
      <c r="AB669" s="4"/>
    </row>
    <row r="670" spans="1:28" x14ac:dyDescent="0.25">
      <c r="A670" s="27" t="s">
        <v>1757</v>
      </c>
      <c r="B670" s="27" t="str">
        <f t="shared" si="56"/>
        <v>South Carolina</v>
      </c>
      <c r="C670" s="27" t="str">
        <f t="shared" si="57"/>
        <v>Chesterfield</v>
      </c>
      <c r="D670" s="27">
        <f>'SC pre'!G14</f>
        <v>3467</v>
      </c>
      <c r="E670" s="27">
        <v>84</v>
      </c>
      <c r="F670" s="2">
        <v>60</v>
      </c>
      <c r="G670" s="2">
        <f>'SC pre'!L14</f>
        <v>4170</v>
      </c>
      <c r="H670" s="28">
        <f>'SC pre'!O14</f>
        <v>45.02273809523809</v>
      </c>
      <c r="I670" s="2">
        <v>13235</v>
      </c>
      <c r="J670" s="27">
        <v>87</v>
      </c>
      <c r="K670" s="27"/>
      <c r="L670" s="27">
        <v>1905</v>
      </c>
      <c r="M670" s="27" t="str">
        <f t="shared" si="59"/>
        <v>https://babel.hathitrust.org/cgi/pt?id=uc1.b2980735;view=1up;seq=246</v>
      </c>
      <c r="N670" s="27" t="s">
        <v>524</v>
      </c>
      <c r="O670" s="27" t="s">
        <v>524</v>
      </c>
      <c r="P670" s="27" t="s">
        <v>524</v>
      </c>
      <c r="Q670" s="27" t="str">
        <f t="shared" si="60"/>
        <v>https://babel.hathitrust.org/cgi/pt?id=uc1.b2980735;view=1up;seq=243</v>
      </c>
      <c r="R670" s="7" t="str">
        <f t="shared" si="58"/>
        <v>https://babel.hathitrust.org/cgi/pt?id=uc1.b2980735;view=1up;seq=243</v>
      </c>
      <c r="S670" s="27" t="s">
        <v>524</v>
      </c>
      <c r="T670" s="27" t="str">
        <f t="shared" si="61"/>
        <v>https://babel.hathitrust.org/cgi/pt?id=uiug.30112109609377;view=1up;seq=183</v>
      </c>
      <c r="U670" s="4"/>
      <c r="V670" s="4"/>
      <c r="W670" s="4"/>
      <c r="X670" s="4"/>
      <c r="Y670" s="4"/>
      <c r="Z670" s="4"/>
      <c r="AA670" s="4"/>
      <c r="AB670" s="4"/>
    </row>
    <row r="671" spans="1:28" x14ac:dyDescent="0.25">
      <c r="A671" s="27" t="s">
        <v>1241</v>
      </c>
      <c r="B671" s="27" t="str">
        <f t="shared" si="56"/>
        <v>South Carolina</v>
      </c>
      <c r="C671" s="27" t="str">
        <f t="shared" si="57"/>
        <v>Clarendon</v>
      </c>
      <c r="D671" s="27">
        <f>'SC pre'!G15</f>
        <v>4190</v>
      </c>
      <c r="E671" s="2">
        <v>136</v>
      </c>
      <c r="F671" s="2">
        <v>57.5</v>
      </c>
      <c r="G671" s="2">
        <f>'SC pre'!L15</f>
        <v>6524</v>
      </c>
      <c r="H671" s="28">
        <f>'SC pre'!O15</f>
        <v>50.410411280846063</v>
      </c>
      <c r="I671" s="2">
        <v>23714</v>
      </c>
      <c r="J671" s="27">
        <v>116</v>
      </c>
      <c r="K671" s="27">
        <f>'SC pre'!S15</f>
        <v>99735</v>
      </c>
      <c r="L671" s="27">
        <v>1905</v>
      </c>
      <c r="M671" s="27" t="str">
        <f t="shared" si="59"/>
        <v>https://babel.hathitrust.org/cgi/pt?id=uc1.b2980735;view=1up;seq=246</v>
      </c>
      <c r="N671" s="27" t="s">
        <v>524</v>
      </c>
      <c r="O671" s="27" t="s">
        <v>524</v>
      </c>
      <c r="P671" s="27" t="s">
        <v>524</v>
      </c>
      <c r="Q671" s="27" t="str">
        <f t="shared" si="60"/>
        <v>https://babel.hathitrust.org/cgi/pt?id=uc1.b2980735;view=1up;seq=243</v>
      </c>
      <c r="R671" s="7" t="str">
        <f t="shared" si="58"/>
        <v>https://babel.hathitrust.org/cgi/pt?id=uc1.b2980735;view=1up;seq=243</v>
      </c>
      <c r="S671" s="27" t="s">
        <v>524</v>
      </c>
      <c r="T671" s="27" t="str">
        <f t="shared" si="61"/>
        <v>https://babel.hathitrust.org/cgi/pt?id=uiug.30112109609377;view=1up;seq=183</v>
      </c>
      <c r="U671" s="4"/>
      <c r="V671" s="4"/>
      <c r="W671" s="4"/>
      <c r="X671" s="4"/>
      <c r="Y671" s="4"/>
      <c r="Z671" s="4"/>
      <c r="AA671" s="4"/>
      <c r="AB671" s="4"/>
    </row>
    <row r="672" spans="1:28" x14ac:dyDescent="0.25">
      <c r="A672" s="27" t="s">
        <v>1242</v>
      </c>
      <c r="B672" s="27" t="str">
        <f t="shared" si="56"/>
        <v>South Carolina</v>
      </c>
      <c r="C672" s="27" t="str">
        <f t="shared" si="57"/>
        <v>Colleton</v>
      </c>
      <c r="D672" s="27">
        <f>'SC pre'!G16</f>
        <v>5550</v>
      </c>
      <c r="E672" s="27">
        <v>165</v>
      </c>
      <c r="F672" s="2">
        <v>92.5</v>
      </c>
      <c r="G672" s="2">
        <f>'SC pre'!L16</f>
        <v>2703</v>
      </c>
      <c r="H672" s="28">
        <f>'SC pre'!O16</f>
        <v>30.369860769860772</v>
      </c>
      <c r="I672" s="2">
        <v>24828</v>
      </c>
      <c r="J672" s="27">
        <v>155</v>
      </c>
      <c r="K672" s="27">
        <f>'SC pre'!S16</f>
        <v>9000</v>
      </c>
      <c r="L672" s="27">
        <v>1905</v>
      </c>
      <c r="M672" s="27" t="str">
        <f t="shared" si="59"/>
        <v>https://babel.hathitrust.org/cgi/pt?id=uc1.b2980735;view=1up;seq=246</v>
      </c>
      <c r="N672" s="27" t="s">
        <v>524</v>
      </c>
      <c r="O672" s="27" t="s">
        <v>524</v>
      </c>
      <c r="P672" s="27" t="s">
        <v>524</v>
      </c>
      <c r="Q672" s="27" t="str">
        <f t="shared" si="60"/>
        <v>https://babel.hathitrust.org/cgi/pt?id=uc1.b2980735;view=1up;seq=243</v>
      </c>
      <c r="R672" s="7" t="str">
        <f t="shared" si="58"/>
        <v>https://babel.hathitrust.org/cgi/pt?id=uc1.b2980735;view=1up;seq=243</v>
      </c>
      <c r="S672" s="27" t="s">
        <v>524</v>
      </c>
      <c r="T672" s="27" t="str">
        <f t="shared" si="61"/>
        <v>https://babel.hathitrust.org/cgi/pt?id=uiug.30112109609377;view=1up;seq=183</v>
      </c>
      <c r="U672" s="4"/>
      <c r="V672" s="4"/>
      <c r="W672" s="4"/>
      <c r="X672" s="4"/>
      <c r="Y672" s="4"/>
      <c r="Z672" s="4"/>
      <c r="AA672" s="4"/>
      <c r="AB672" s="4"/>
    </row>
    <row r="673" spans="1:28" x14ac:dyDescent="0.25">
      <c r="A673" s="27" t="s">
        <v>1243</v>
      </c>
      <c r="B673" s="27" t="str">
        <f t="shared" si="56"/>
        <v>South Carolina</v>
      </c>
      <c r="C673" s="27" t="str">
        <f t="shared" si="57"/>
        <v>Darlington</v>
      </c>
      <c r="D673" s="27">
        <f>'SC pre'!G17</f>
        <v>4799</v>
      </c>
      <c r="E673" s="2">
        <v>129</v>
      </c>
      <c r="F673" s="2">
        <v>120</v>
      </c>
      <c r="G673" s="2">
        <f>'SC pre'!L17</f>
        <v>7694</v>
      </c>
      <c r="H673" s="28">
        <f>'SC pre'!O17</f>
        <v>26.302860360360359</v>
      </c>
      <c r="I673" s="2">
        <v>28121</v>
      </c>
      <c r="J673" s="27">
        <v>80</v>
      </c>
      <c r="K673" s="27">
        <f>'SC pre'!S17</f>
        <v>72275</v>
      </c>
      <c r="L673" s="27">
        <v>1905</v>
      </c>
      <c r="M673" s="27" t="str">
        <f t="shared" si="59"/>
        <v>https://babel.hathitrust.org/cgi/pt?id=uc1.b2980735;view=1up;seq=246</v>
      </c>
      <c r="N673" s="27" t="s">
        <v>524</v>
      </c>
      <c r="O673" s="27" t="s">
        <v>524</v>
      </c>
      <c r="P673" s="27" t="s">
        <v>524</v>
      </c>
      <c r="Q673" s="27" t="str">
        <f t="shared" si="60"/>
        <v>https://babel.hathitrust.org/cgi/pt?id=uc1.b2980735;view=1up;seq=243</v>
      </c>
      <c r="R673" s="7" t="str">
        <f t="shared" si="58"/>
        <v>https://babel.hathitrust.org/cgi/pt?id=uc1.b2980735;view=1up;seq=243</v>
      </c>
      <c r="S673" s="27" t="s">
        <v>524</v>
      </c>
      <c r="T673" s="27" t="str">
        <f t="shared" si="61"/>
        <v>https://babel.hathitrust.org/cgi/pt?id=uiug.30112109609377;view=1up;seq=183</v>
      </c>
      <c r="U673" s="4"/>
      <c r="V673" s="4"/>
      <c r="W673" s="4"/>
      <c r="X673" s="4"/>
      <c r="Y673" s="4"/>
      <c r="Z673" s="4"/>
      <c r="AA673" s="4"/>
      <c r="AB673" s="4"/>
    </row>
    <row r="674" spans="1:28" x14ac:dyDescent="0.25">
      <c r="A674" s="27" t="s">
        <v>1244</v>
      </c>
      <c r="B674" s="27" t="str">
        <f t="shared" si="56"/>
        <v>South Carolina</v>
      </c>
      <c r="C674" s="27" t="str">
        <f t="shared" si="57"/>
        <v>Dillon</v>
      </c>
      <c r="D674" s="27"/>
      <c r="E674" s="2" t="s">
        <v>383</v>
      </c>
      <c r="F674" s="2"/>
      <c r="G674" s="2">
        <f>'SC pre'!L18</f>
        <v>693</v>
      </c>
      <c r="H674" s="28"/>
      <c r="J674" s="27"/>
      <c r="K674" s="27"/>
      <c r="L674" s="27">
        <v>1905</v>
      </c>
      <c r="M674" s="27" t="str">
        <f t="shared" si="59"/>
        <v>https://babel.hathitrust.org/cgi/pt?id=uc1.b2980735;view=1up;seq=246</v>
      </c>
      <c r="N674" s="27" t="s">
        <v>524</v>
      </c>
      <c r="O674" s="27" t="s">
        <v>524</v>
      </c>
      <c r="P674" s="27" t="s">
        <v>524</v>
      </c>
      <c r="Q674" s="27" t="str">
        <f t="shared" si="60"/>
        <v>https://babel.hathitrust.org/cgi/pt?id=uc1.b2980735;view=1up;seq=243</v>
      </c>
      <c r="R674" s="7" t="str">
        <f t="shared" si="58"/>
        <v>https://babel.hathitrust.org/cgi/pt?id=uc1.b2980735;view=1up;seq=243</v>
      </c>
      <c r="S674" s="27" t="s">
        <v>524</v>
      </c>
      <c r="T674" s="27" t="str">
        <f t="shared" si="61"/>
        <v>https://babel.hathitrust.org/cgi/pt?id=uiug.30112109609377;view=1up;seq=183</v>
      </c>
      <c r="U674" s="4"/>
      <c r="V674" s="4"/>
      <c r="W674" s="4"/>
      <c r="X674" s="4"/>
      <c r="Y674" s="4"/>
      <c r="Z674" s="4"/>
      <c r="AA674" s="4"/>
      <c r="AB674" s="4"/>
    </row>
    <row r="675" spans="1:28" x14ac:dyDescent="0.25">
      <c r="A675" s="27" t="s">
        <v>1245</v>
      </c>
      <c r="B675" s="27" t="str">
        <f t="shared" si="56"/>
        <v>South Carolina</v>
      </c>
      <c r="C675" s="27" t="str">
        <f t="shared" si="57"/>
        <v>Dorchester</v>
      </c>
      <c r="D675" s="27">
        <f>'SC pre'!G19</f>
        <v>2012</v>
      </c>
      <c r="E675" s="27">
        <v>82</v>
      </c>
      <c r="F675" s="2">
        <v>87.5</v>
      </c>
      <c r="G675" s="2">
        <f>'SC pre'!L19</f>
        <v>3264</v>
      </c>
      <c r="H675" s="28">
        <f>'SC pre'!O19</f>
        <v>31.56933797909408</v>
      </c>
      <c r="I675" s="2">
        <v>13165</v>
      </c>
      <c r="J675" s="27">
        <v>76</v>
      </c>
      <c r="K675" s="27">
        <f>'SC pre'!S19</f>
        <v>36710</v>
      </c>
      <c r="L675" s="27">
        <v>1905</v>
      </c>
      <c r="M675" s="27" t="str">
        <f t="shared" si="59"/>
        <v>https://babel.hathitrust.org/cgi/pt?id=uc1.b2980735;view=1up;seq=246</v>
      </c>
      <c r="N675" s="27" t="s">
        <v>524</v>
      </c>
      <c r="O675" s="27" t="s">
        <v>524</v>
      </c>
      <c r="P675" s="27" t="s">
        <v>524</v>
      </c>
      <c r="Q675" s="27" t="str">
        <f t="shared" si="60"/>
        <v>https://babel.hathitrust.org/cgi/pt?id=uc1.b2980735;view=1up;seq=243</v>
      </c>
      <c r="R675" s="7" t="str">
        <f t="shared" si="58"/>
        <v>https://babel.hathitrust.org/cgi/pt?id=uc1.b2980735;view=1up;seq=243</v>
      </c>
      <c r="S675" s="27" t="s">
        <v>524</v>
      </c>
      <c r="T675" s="27" t="str">
        <f t="shared" si="61"/>
        <v>https://babel.hathitrust.org/cgi/pt?id=uiug.30112109609377;view=1up;seq=183</v>
      </c>
      <c r="U675" s="4"/>
      <c r="V675" s="4"/>
      <c r="W675" s="4"/>
      <c r="X675" s="4"/>
      <c r="Y675" s="4"/>
      <c r="Z675" s="4"/>
      <c r="AA675" s="4"/>
      <c r="AB675" s="4"/>
    </row>
    <row r="676" spans="1:28" x14ac:dyDescent="0.25">
      <c r="A676" s="27" t="s">
        <v>1246</v>
      </c>
      <c r="B676" s="27" t="str">
        <f t="shared" si="56"/>
        <v>South Carolina</v>
      </c>
      <c r="C676" s="27" t="str">
        <f t="shared" si="57"/>
        <v>Edgefield</v>
      </c>
      <c r="D676" s="27">
        <f>'SC pre'!G20</f>
        <v>4745</v>
      </c>
      <c r="E676" s="2">
        <v>139</v>
      </c>
      <c r="F676" s="2">
        <v>97.5</v>
      </c>
      <c r="G676" s="2">
        <f>'SC pre'!L20</f>
        <v>6186</v>
      </c>
      <c r="H676" s="28">
        <f>'SC pre'!O20</f>
        <v>26.708179302711677</v>
      </c>
      <c r="I676" s="2">
        <v>19269</v>
      </c>
      <c r="J676" s="27">
        <v>120</v>
      </c>
      <c r="K676" s="27"/>
      <c r="L676" s="27">
        <v>1905</v>
      </c>
      <c r="M676" s="27" t="str">
        <f t="shared" si="59"/>
        <v>https://babel.hathitrust.org/cgi/pt?id=uc1.b2980735;view=1up;seq=246</v>
      </c>
      <c r="N676" s="27" t="s">
        <v>524</v>
      </c>
      <c r="O676" s="27" t="s">
        <v>524</v>
      </c>
      <c r="P676" s="27" t="s">
        <v>524</v>
      </c>
      <c r="Q676" s="27" t="str">
        <f t="shared" si="60"/>
        <v>https://babel.hathitrust.org/cgi/pt?id=uc1.b2980735;view=1up;seq=243</v>
      </c>
      <c r="R676" s="7" t="str">
        <f t="shared" si="58"/>
        <v>https://babel.hathitrust.org/cgi/pt?id=uc1.b2980735;view=1up;seq=243</v>
      </c>
      <c r="S676" s="27" t="s">
        <v>524</v>
      </c>
      <c r="T676" s="27" t="str">
        <f t="shared" si="61"/>
        <v>https://babel.hathitrust.org/cgi/pt?id=uiug.30112109609377;view=1up;seq=183</v>
      </c>
      <c r="U676" s="4"/>
      <c r="V676" s="4"/>
      <c r="W676" s="4"/>
      <c r="X676" s="4"/>
      <c r="Y676" s="4"/>
      <c r="Z676" s="4"/>
      <c r="AA676" s="4"/>
      <c r="AB676" s="4"/>
    </row>
    <row r="677" spans="1:28" x14ac:dyDescent="0.25">
      <c r="A677" s="27" t="s">
        <v>1247</v>
      </c>
      <c r="B677" s="27" t="str">
        <f t="shared" si="56"/>
        <v>South Carolina</v>
      </c>
      <c r="C677" s="27" t="str">
        <f t="shared" si="57"/>
        <v>Fairfield</v>
      </c>
      <c r="D677" s="27">
        <f>'SC pre'!G21</f>
        <v>5525</v>
      </c>
      <c r="E677" s="27">
        <v>127</v>
      </c>
      <c r="F677" s="2">
        <v>117.5</v>
      </c>
      <c r="G677" s="2">
        <f>'SC pre'!L21</f>
        <v>7877</v>
      </c>
      <c r="H677" s="28">
        <f>'SC pre'!O21</f>
        <v>28.209951415647513</v>
      </c>
      <c r="I677" s="2">
        <v>24730</v>
      </c>
      <c r="J677" s="27">
        <v>105</v>
      </c>
      <c r="K677" s="27"/>
      <c r="L677" s="27">
        <v>1905</v>
      </c>
      <c r="M677" s="27" t="str">
        <f t="shared" si="59"/>
        <v>https://babel.hathitrust.org/cgi/pt?id=uc1.b2980735;view=1up;seq=246</v>
      </c>
      <c r="N677" s="27" t="s">
        <v>524</v>
      </c>
      <c r="O677" s="27" t="s">
        <v>524</v>
      </c>
      <c r="P677" s="27" t="s">
        <v>524</v>
      </c>
      <c r="Q677" s="27" t="str">
        <f t="shared" si="60"/>
        <v>https://babel.hathitrust.org/cgi/pt?id=uc1.b2980735;view=1up;seq=243</v>
      </c>
      <c r="R677" s="7" t="str">
        <f t="shared" si="58"/>
        <v>https://babel.hathitrust.org/cgi/pt?id=uc1.b2980735;view=1up;seq=243</v>
      </c>
      <c r="S677" s="27" t="s">
        <v>524</v>
      </c>
      <c r="T677" s="27" t="str">
        <f t="shared" si="61"/>
        <v>https://babel.hathitrust.org/cgi/pt?id=uiug.30112109609377;view=1up;seq=183</v>
      </c>
      <c r="U677" s="4"/>
      <c r="V677" s="4"/>
      <c r="W677" s="4"/>
      <c r="X677" s="4"/>
      <c r="Y677" s="4"/>
      <c r="Z677" s="4"/>
      <c r="AA677" s="4"/>
      <c r="AB677" s="4"/>
    </row>
    <row r="678" spans="1:28" x14ac:dyDescent="0.25">
      <c r="A678" s="27" t="s">
        <v>1248</v>
      </c>
      <c r="B678" s="27" t="str">
        <f t="shared" si="56"/>
        <v>South Carolina</v>
      </c>
      <c r="C678" s="27" t="str">
        <f t="shared" si="57"/>
        <v>Florence</v>
      </c>
      <c r="D678" s="27">
        <f>'SC pre'!G22</f>
        <v>6521</v>
      </c>
      <c r="E678" s="2">
        <v>140</v>
      </c>
      <c r="F678" s="2">
        <v>95</v>
      </c>
      <c r="G678" s="2">
        <f>'SC pre'!L22</f>
        <v>7768</v>
      </c>
      <c r="H678" s="28">
        <f>'SC pre'!O22</f>
        <v>32.224842105263157</v>
      </c>
      <c r="I678" s="2">
        <v>29789</v>
      </c>
      <c r="J678" s="27">
        <v>104</v>
      </c>
      <c r="K678" s="27">
        <f>'SC pre'!S22</f>
        <v>117450</v>
      </c>
      <c r="L678" s="27">
        <v>1905</v>
      </c>
      <c r="M678" s="27" t="str">
        <f t="shared" si="59"/>
        <v>https://babel.hathitrust.org/cgi/pt?id=uc1.b2980735;view=1up;seq=246</v>
      </c>
      <c r="N678" s="27" t="s">
        <v>524</v>
      </c>
      <c r="O678" s="27" t="s">
        <v>524</v>
      </c>
      <c r="P678" s="27" t="s">
        <v>524</v>
      </c>
      <c r="Q678" s="27" t="str">
        <f t="shared" si="60"/>
        <v>https://babel.hathitrust.org/cgi/pt?id=uc1.b2980735;view=1up;seq=243</v>
      </c>
      <c r="R678" s="7" t="str">
        <f t="shared" si="58"/>
        <v>https://babel.hathitrust.org/cgi/pt?id=uc1.b2980735;view=1up;seq=243</v>
      </c>
      <c r="S678" s="27" t="s">
        <v>524</v>
      </c>
      <c r="T678" s="27" t="str">
        <f t="shared" si="61"/>
        <v>https://babel.hathitrust.org/cgi/pt?id=uiug.30112109609377;view=1up;seq=183</v>
      </c>
      <c r="U678" s="4"/>
      <c r="V678" s="4"/>
      <c r="W678" s="4"/>
      <c r="X678" s="4"/>
      <c r="Y678" s="4"/>
      <c r="Z678" s="4"/>
      <c r="AA678" s="4"/>
      <c r="AB678" s="4"/>
    </row>
    <row r="679" spans="1:28" x14ac:dyDescent="0.25">
      <c r="A679" s="27" t="s">
        <v>1249</v>
      </c>
      <c r="B679" s="27" t="str">
        <f t="shared" si="56"/>
        <v>South Carolina</v>
      </c>
      <c r="C679" s="27" t="str">
        <f t="shared" si="57"/>
        <v>Georgetown</v>
      </c>
      <c r="D679" s="27">
        <f>'SC pre'!G23</f>
        <v>3666</v>
      </c>
      <c r="E679" s="27">
        <v>95</v>
      </c>
      <c r="F679" s="2">
        <v>175</v>
      </c>
      <c r="G679" s="2">
        <f>'SC pre'!L23</f>
        <v>4033</v>
      </c>
      <c r="H679" s="28">
        <f>'SC pre'!O23</f>
        <v>20.733766081871345</v>
      </c>
      <c r="I679" s="2">
        <v>10622</v>
      </c>
      <c r="J679" s="27">
        <v>84</v>
      </c>
      <c r="K679" s="27">
        <f>'SC pre'!S23</f>
        <v>35000</v>
      </c>
      <c r="L679" s="27">
        <v>1905</v>
      </c>
      <c r="M679" s="27" t="str">
        <f t="shared" si="59"/>
        <v>https://babel.hathitrust.org/cgi/pt?id=uc1.b2980735;view=1up;seq=246</v>
      </c>
      <c r="N679" s="27" t="s">
        <v>524</v>
      </c>
      <c r="O679" s="27" t="s">
        <v>524</v>
      </c>
      <c r="P679" s="27" t="s">
        <v>524</v>
      </c>
      <c r="Q679" s="27" t="str">
        <f t="shared" si="60"/>
        <v>https://babel.hathitrust.org/cgi/pt?id=uc1.b2980735;view=1up;seq=243</v>
      </c>
      <c r="R679" s="7" t="str">
        <f t="shared" si="58"/>
        <v>https://babel.hathitrust.org/cgi/pt?id=uc1.b2980735;view=1up;seq=243</v>
      </c>
      <c r="S679" s="27" t="s">
        <v>524</v>
      </c>
      <c r="T679" s="27" t="str">
        <f t="shared" si="61"/>
        <v>https://babel.hathitrust.org/cgi/pt?id=uiug.30112109609377;view=1up;seq=183</v>
      </c>
      <c r="U679" s="4"/>
      <c r="V679" s="4"/>
      <c r="W679" s="4"/>
      <c r="X679" s="4"/>
      <c r="Y679" s="4"/>
      <c r="Z679" s="4"/>
      <c r="AA679" s="4"/>
      <c r="AB679" s="4"/>
    </row>
    <row r="680" spans="1:28" x14ac:dyDescent="0.25">
      <c r="A680" s="27" t="s">
        <v>1250</v>
      </c>
      <c r="B680" s="27" t="str">
        <f t="shared" si="56"/>
        <v>South Carolina</v>
      </c>
      <c r="C680" s="27" t="str">
        <f t="shared" si="57"/>
        <v>Greenville</v>
      </c>
      <c r="D680" s="27">
        <f>'SC pre'!G24</f>
        <v>10773</v>
      </c>
      <c r="E680" s="2">
        <v>259</v>
      </c>
      <c r="F680" s="2">
        <v>90</v>
      </c>
      <c r="G680" s="2">
        <f>'SC pre'!L24</f>
        <v>16745</v>
      </c>
      <c r="H680" s="28">
        <f>'SC pre'!O24</f>
        <v>35.756480874316935</v>
      </c>
      <c r="I680" s="2">
        <v>58338</v>
      </c>
      <c r="J680" s="27">
        <v>195</v>
      </c>
      <c r="K680" s="27">
        <f>'SC pre'!S24</f>
        <v>146110</v>
      </c>
      <c r="L680" s="27">
        <v>1905</v>
      </c>
      <c r="M680" s="27" t="str">
        <f t="shared" si="59"/>
        <v>https://babel.hathitrust.org/cgi/pt?id=uc1.b2980735;view=1up;seq=246</v>
      </c>
      <c r="N680" s="27" t="s">
        <v>524</v>
      </c>
      <c r="O680" s="27" t="s">
        <v>524</v>
      </c>
      <c r="P680" s="27" t="s">
        <v>524</v>
      </c>
      <c r="Q680" s="27" t="str">
        <f t="shared" si="60"/>
        <v>https://babel.hathitrust.org/cgi/pt?id=uc1.b2980735;view=1up;seq=243</v>
      </c>
      <c r="R680" s="7" t="str">
        <f t="shared" si="58"/>
        <v>https://babel.hathitrust.org/cgi/pt?id=uc1.b2980735;view=1up;seq=243</v>
      </c>
      <c r="S680" s="27" t="s">
        <v>524</v>
      </c>
      <c r="T680" s="27" t="str">
        <f t="shared" si="61"/>
        <v>https://babel.hathitrust.org/cgi/pt?id=uiug.30112109609377;view=1up;seq=183</v>
      </c>
      <c r="U680" s="4"/>
      <c r="V680" s="4"/>
      <c r="W680" s="4"/>
      <c r="X680" s="4"/>
      <c r="Y680" s="4"/>
      <c r="Z680" s="4"/>
      <c r="AA680" s="4"/>
      <c r="AB680" s="4"/>
    </row>
    <row r="681" spans="1:28" x14ac:dyDescent="0.25">
      <c r="A681" s="27" t="s">
        <v>1758</v>
      </c>
      <c r="B681" s="27" t="str">
        <f t="shared" si="56"/>
        <v>South Carolina</v>
      </c>
      <c r="C681" s="27" t="str">
        <f t="shared" si="57"/>
        <v>Greenwood</v>
      </c>
      <c r="D681" s="27">
        <f>'SC pre'!G25</f>
        <v>5421</v>
      </c>
      <c r="E681" s="27">
        <v>138</v>
      </c>
      <c r="F681" s="2">
        <v>102.5</v>
      </c>
      <c r="G681" s="2">
        <f>'SC pre'!L25</f>
        <v>8397</v>
      </c>
      <c r="H681" s="28">
        <f>'SC pre'!O25</f>
        <v>34.151987804878054</v>
      </c>
      <c r="I681" s="2">
        <v>30366</v>
      </c>
      <c r="J681" s="27">
        <v>115</v>
      </c>
      <c r="K681" s="27"/>
      <c r="L681" s="27">
        <v>1905</v>
      </c>
      <c r="M681" s="27" t="str">
        <f t="shared" si="59"/>
        <v>https://babel.hathitrust.org/cgi/pt?id=uc1.b2980735;view=1up;seq=246</v>
      </c>
      <c r="N681" s="27" t="s">
        <v>524</v>
      </c>
      <c r="O681" s="27" t="s">
        <v>524</v>
      </c>
      <c r="P681" s="27" t="s">
        <v>524</v>
      </c>
      <c r="Q681" s="27" t="str">
        <f t="shared" si="60"/>
        <v>https://babel.hathitrust.org/cgi/pt?id=uc1.b2980735;view=1up;seq=243</v>
      </c>
      <c r="R681" s="7" t="str">
        <f t="shared" si="58"/>
        <v>https://babel.hathitrust.org/cgi/pt?id=uc1.b2980735;view=1up;seq=243</v>
      </c>
      <c r="S681" s="27" t="s">
        <v>524</v>
      </c>
      <c r="T681" s="27" t="str">
        <f t="shared" si="61"/>
        <v>https://babel.hathitrust.org/cgi/pt?id=uiug.30112109609377;view=1up;seq=183</v>
      </c>
      <c r="U681" s="4"/>
      <c r="V681" s="4"/>
      <c r="W681" s="4"/>
      <c r="X681" s="4"/>
      <c r="Y681" s="4"/>
      <c r="Z681" s="4"/>
      <c r="AA681" s="4"/>
      <c r="AB681" s="4"/>
    </row>
    <row r="682" spans="1:28" x14ac:dyDescent="0.25">
      <c r="A682" s="27" t="s">
        <v>1251</v>
      </c>
      <c r="B682" s="27" t="str">
        <f t="shared" si="56"/>
        <v>South Carolina</v>
      </c>
      <c r="C682" s="27" t="str">
        <f t="shared" si="57"/>
        <v>Hampton</v>
      </c>
      <c r="D682" s="27">
        <f>'SC pre'!G26</f>
        <v>4007</v>
      </c>
      <c r="E682" s="2">
        <v>146</v>
      </c>
      <c r="F682" s="2">
        <v>82.5</v>
      </c>
      <c r="G682" s="2">
        <f>'SC pre'!L26</f>
        <v>4842</v>
      </c>
      <c r="H682" s="28">
        <f>'SC pre'!O26</f>
        <v>27.064714256660569</v>
      </c>
      <c r="I682" s="2">
        <v>17415</v>
      </c>
      <c r="J682" s="27">
        <v>137</v>
      </c>
      <c r="K682" s="27">
        <f>'SC pre'!S26</f>
        <v>7858.51</v>
      </c>
      <c r="L682" s="27">
        <v>1905</v>
      </c>
      <c r="M682" s="27" t="str">
        <f t="shared" si="59"/>
        <v>https://babel.hathitrust.org/cgi/pt?id=uc1.b2980735;view=1up;seq=246</v>
      </c>
      <c r="N682" s="27" t="s">
        <v>524</v>
      </c>
      <c r="O682" s="27" t="s">
        <v>524</v>
      </c>
      <c r="P682" s="27" t="s">
        <v>524</v>
      </c>
      <c r="Q682" s="27" t="str">
        <f t="shared" si="60"/>
        <v>https://babel.hathitrust.org/cgi/pt?id=uc1.b2980735;view=1up;seq=243</v>
      </c>
      <c r="R682" s="7" t="str">
        <f t="shared" si="58"/>
        <v>https://babel.hathitrust.org/cgi/pt?id=uc1.b2980735;view=1up;seq=243</v>
      </c>
      <c r="S682" s="27" t="s">
        <v>524</v>
      </c>
      <c r="T682" s="27" t="str">
        <f t="shared" si="61"/>
        <v>https://babel.hathitrust.org/cgi/pt?id=uiug.30112109609377;view=1up;seq=183</v>
      </c>
      <c r="U682" s="4"/>
      <c r="V682" s="4"/>
      <c r="W682" s="4"/>
      <c r="X682" s="4"/>
      <c r="Y682" s="4"/>
      <c r="Z682" s="4"/>
      <c r="AA682" s="4"/>
      <c r="AB682" s="4"/>
    </row>
    <row r="683" spans="1:28" x14ac:dyDescent="0.25">
      <c r="A683" s="27" t="s">
        <v>1252</v>
      </c>
      <c r="B683" s="27" t="str">
        <f t="shared" si="56"/>
        <v>South Carolina</v>
      </c>
      <c r="C683" s="27" t="str">
        <f t="shared" si="57"/>
        <v>Horry</v>
      </c>
      <c r="D683" s="27">
        <f>'SC pre'!G27</f>
        <v>6881</v>
      </c>
      <c r="E683" s="27">
        <v>142</v>
      </c>
      <c r="F683" s="2">
        <v>57.5</v>
      </c>
      <c r="G683" s="2">
        <f>'SC pre'!L27</f>
        <v>6098</v>
      </c>
      <c r="H683" s="28">
        <f>'SC pre'!O27</f>
        <v>33.004587102421944</v>
      </c>
      <c r="I683" s="2">
        <v>15544</v>
      </c>
      <c r="J683" s="27">
        <v>129</v>
      </c>
      <c r="K683" s="27">
        <f>'SC pre'!S27</f>
        <v>32520</v>
      </c>
      <c r="L683" s="27">
        <v>1905</v>
      </c>
      <c r="M683" s="27" t="str">
        <f t="shared" si="59"/>
        <v>https://babel.hathitrust.org/cgi/pt?id=uc1.b2980735;view=1up;seq=246</v>
      </c>
      <c r="N683" s="27" t="s">
        <v>524</v>
      </c>
      <c r="O683" s="27" t="s">
        <v>524</v>
      </c>
      <c r="P683" s="27" t="s">
        <v>524</v>
      </c>
      <c r="Q683" s="27" t="str">
        <f t="shared" si="60"/>
        <v>https://babel.hathitrust.org/cgi/pt?id=uc1.b2980735;view=1up;seq=243</v>
      </c>
      <c r="R683" s="7" t="str">
        <f t="shared" si="58"/>
        <v>https://babel.hathitrust.org/cgi/pt?id=uc1.b2980735;view=1up;seq=243</v>
      </c>
      <c r="S683" s="27" t="s">
        <v>524</v>
      </c>
      <c r="T683" s="27" t="str">
        <f t="shared" si="61"/>
        <v>https://babel.hathitrust.org/cgi/pt?id=uiug.30112109609377;view=1up;seq=183</v>
      </c>
      <c r="U683" s="4"/>
      <c r="V683" s="4"/>
      <c r="W683" s="4"/>
      <c r="X683" s="4"/>
      <c r="Y683" s="4"/>
      <c r="Z683" s="4"/>
      <c r="AA683" s="4"/>
      <c r="AB683" s="4"/>
    </row>
    <row r="684" spans="1:28" x14ac:dyDescent="0.25">
      <c r="A684" s="27" t="s">
        <v>1253</v>
      </c>
      <c r="B684" s="27" t="str">
        <f t="shared" si="56"/>
        <v>South Carolina</v>
      </c>
      <c r="C684" s="27" t="str">
        <f t="shared" si="57"/>
        <v>Jasper</v>
      </c>
      <c r="D684" s="27"/>
      <c r="E684" s="27" t="s">
        <v>383</v>
      </c>
      <c r="F684" s="2"/>
      <c r="G684" s="2"/>
      <c r="H684" s="28"/>
      <c r="J684" s="27"/>
      <c r="K684" s="27"/>
      <c r="L684" s="27">
        <v>1905</v>
      </c>
      <c r="M684" s="27" t="str">
        <f t="shared" si="59"/>
        <v>https://babel.hathitrust.org/cgi/pt?id=uc1.b2980735;view=1up;seq=246</v>
      </c>
      <c r="N684" s="27" t="s">
        <v>524</v>
      </c>
      <c r="O684" s="27" t="s">
        <v>524</v>
      </c>
      <c r="P684" s="27" t="s">
        <v>524</v>
      </c>
      <c r="Q684" s="27" t="str">
        <f t="shared" si="60"/>
        <v>https://babel.hathitrust.org/cgi/pt?id=uc1.b2980735;view=1up;seq=243</v>
      </c>
      <c r="R684" s="7" t="str">
        <f t="shared" si="58"/>
        <v>https://babel.hathitrust.org/cgi/pt?id=uc1.b2980735;view=1up;seq=243</v>
      </c>
      <c r="S684" s="27" t="s">
        <v>524</v>
      </c>
      <c r="T684" s="27" t="str">
        <f t="shared" si="61"/>
        <v>https://babel.hathitrust.org/cgi/pt?id=uiug.30112109609377;view=1up;seq=183</v>
      </c>
      <c r="U684" s="4"/>
      <c r="V684" s="4"/>
      <c r="W684" s="4"/>
      <c r="X684" s="4"/>
      <c r="Y684" s="4"/>
      <c r="Z684" s="4"/>
      <c r="AA684" s="4"/>
      <c r="AB684" s="4"/>
    </row>
    <row r="685" spans="1:28" x14ac:dyDescent="0.25">
      <c r="A685" s="27" t="s">
        <v>1254</v>
      </c>
      <c r="B685" s="27" t="str">
        <f t="shared" si="56"/>
        <v>South Carolina</v>
      </c>
      <c r="C685" s="27" t="str">
        <f t="shared" si="57"/>
        <v>Kershaw</v>
      </c>
      <c r="D685" s="27">
        <f>'SC pre'!G29</f>
        <v>3700</v>
      </c>
      <c r="E685" s="2">
        <v>113</v>
      </c>
      <c r="F685" s="2">
        <v>95</v>
      </c>
      <c r="G685" s="2">
        <f>'SC pre'!L29</f>
        <v>6649</v>
      </c>
      <c r="H685" s="28">
        <f>'SC pre'!O29</f>
        <v>21.627751196172248</v>
      </c>
      <c r="I685" s="2">
        <v>24219</v>
      </c>
      <c r="J685" s="27">
        <v>100</v>
      </c>
      <c r="K685" s="27">
        <f>'SC pre'!S29</f>
        <v>43700</v>
      </c>
      <c r="L685" s="27">
        <v>1905</v>
      </c>
      <c r="M685" s="27" t="str">
        <f t="shared" si="59"/>
        <v>https://babel.hathitrust.org/cgi/pt?id=uc1.b2980735;view=1up;seq=246</v>
      </c>
      <c r="N685" s="27" t="s">
        <v>524</v>
      </c>
      <c r="O685" s="27" t="s">
        <v>524</v>
      </c>
      <c r="P685" s="27" t="s">
        <v>524</v>
      </c>
      <c r="Q685" s="27" t="str">
        <f t="shared" si="60"/>
        <v>https://babel.hathitrust.org/cgi/pt?id=uc1.b2980735;view=1up;seq=243</v>
      </c>
      <c r="R685" s="7" t="str">
        <f t="shared" si="58"/>
        <v>https://babel.hathitrust.org/cgi/pt?id=uc1.b2980735;view=1up;seq=243</v>
      </c>
      <c r="S685" s="27" t="s">
        <v>524</v>
      </c>
      <c r="T685" s="27" t="str">
        <f t="shared" si="61"/>
        <v>https://babel.hathitrust.org/cgi/pt?id=uiug.30112109609377;view=1up;seq=183</v>
      </c>
      <c r="U685" s="4"/>
      <c r="V685" s="4"/>
      <c r="W685" s="4"/>
      <c r="X685" s="4"/>
      <c r="Y685" s="4"/>
      <c r="Z685" s="4"/>
      <c r="AA685" s="4"/>
      <c r="AB685" s="4"/>
    </row>
    <row r="686" spans="1:28" x14ac:dyDescent="0.25">
      <c r="A686" s="27" t="s">
        <v>1255</v>
      </c>
      <c r="B686" s="27" t="str">
        <f t="shared" si="56"/>
        <v>South Carolina</v>
      </c>
      <c r="C686" s="27" t="str">
        <f t="shared" si="57"/>
        <v>Lancaster</v>
      </c>
      <c r="D686" s="27">
        <f>'SC pre'!G30</f>
        <v>6538</v>
      </c>
      <c r="E686" s="27">
        <v>142</v>
      </c>
      <c r="F686" s="2">
        <v>80</v>
      </c>
      <c r="G686" s="2">
        <f>'SC pre'!L30</f>
        <v>7555</v>
      </c>
      <c r="H686" s="28">
        <f>'SC pre'!O30</f>
        <v>35.012922535211267</v>
      </c>
      <c r="I686" s="2">
        <v>20816</v>
      </c>
      <c r="J686" s="27">
        <v>103</v>
      </c>
      <c r="K686" s="27"/>
      <c r="L686" s="27">
        <v>1905</v>
      </c>
      <c r="M686" s="27" t="str">
        <f t="shared" si="59"/>
        <v>https://babel.hathitrust.org/cgi/pt?id=uc1.b2980735;view=1up;seq=246</v>
      </c>
      <c r="N686" s="27" t="s">
        <v>524</v>
      </c>
      <c r="O686" s="27" t="s">
        <v>524</v>
      </c>
      <c r="P686" s="27" t="s">
        <v>524</v>
      </c>
      <c r="Q686" s="27" t="str">
        <f t="shared" si="60"/>
        <v>https://babel.hathitrust.org/cgi/pt?id=uc1.b2980735;view=1up;seq=243</v>
      </c>
      <c r="R686" s="7" t="str">
        <f t="shared" si="58"/>
        <v>https://babel.hathitrust.org/cgi/pt?id=uc1.b2980735;view=1up;seq=243</v>
      </c>
      <c r="S686" s="27" t="s">
        <v>524</v>
      </c>
      <c r="T686" s="27" t="str">
        <f t="shared" si="61"/>
        <v>https://babel.hathitrust.org/cgi/pt?id=uiug.30112109609377;view=1up;seq=183</v>
      </c>
      <c r="U686" s="4"/>
      <c r="V686" s="4"/>
      <c r="W686" s="4"/>
      <c r="X686" s="4"/>
      <c r="Y686" s="4"/>
      <c r="Z686" s="4"/>
      <c r="AA686" s="4"/>
      <c r="AB686" s="4"/>
    </row>
    <row r="687" spans="1:28" x14ac:dyDescent="0.25">
      <c r="A687" s="27" t="s">
        <v>1256</v>
      </c>
      <c r="B687" s="27" t="str">
        <f t="shared" si="56"/>
        <v>South Carolina</v>
      </c>
      <c r="C687" s="27" t="str">
        <f t="shared" si="57"/>
        <v>Laurens</v>
      </c>
      <c r="D687" s="27">
        <f>'SC pre'!G31</f>
        <v>6184</v>
      </c>
      <c r="E687" s="2">
        <v>188</v>
      </c>
      <c r="F687" s="2">
        <v>92.5</v>
      </c>
      <c r="G687" s="2">
        <f>'SC pre'!L31</f>
        <v>8844</v>
      </c>
      <c r="H687" s="28">
        <f>'SC pre'!O31</f>
        <v>33.677411796032487</v>
      </c>
      <c r="I687" s="2">
        <v>33950</v>
      </c>
      <c r="J687" s="27">
        <v>150</v>
      </c>
      <c r="K687" s="27">
        <f>'SC pre'!S31</f>
        <v>53100</v>
      </c>
      <c r="L687" s="27">
        <v>1905</v>
      </c>
      <c r="M687" s="27" t="str">
        <f t="shared" si="59"/>
        <v>https://babel.hathitrust.org/cgi/pt?id=uc1.b2980735;view=1up;seq=246</v>
      </c>
      <c r="N687" s="27" t="s">
        <v>524</v>
      </c>
      <c r="O687" s="27" t="s">
        <v>524</v>
      </c>
      <c r="P687" s="27" t="s">
        <v>524</v>
      </c>
      <c r="Q687" s="27" t="str">
        <f t="shared" si="60"/>
        <v>https://babel.hathitrust.org/cgi/pt?id=uc1.b2980735;view=1up;seq=243</v>
      </c>
      <c r="R687" s="7" t="str">
        <f t="shared" si="58"/>
        <v>https://babel.hathitrust.org/cgi/pt?id=uc1.b2980735;view=1up;seq=243</v>
      </c>
      <c r="S687" s="27" t="s">
        <v>524</v>
      </c>
      <c r="T687" s="27" t="str">
        <f t="shared" si="61"/>
        <v>https://babel.hathitrust.org/cgi/pt?id=uiug.30112109609377;view=1up;seq=183</v>
      </c>
      <c r="U687" s="4"/>
      <c r="V687" s="4"/>
      <c r="W687" s="4"/>
      <c r="X687" s="4"/>
      <c r="Y687" s="4"/>
      <c r="Z687" s="4"/>
      <c r="AA687" s="4"/>
      <c r="AB687" s="4"/>
    </row>
    <row r="688" spans="1:28" x14ac:dyDescent="0.25">
      <c r="A688" s="27" t="s">
        <v>1257</v>
      </c>
      <c r="B688" s="27" t="str">
        <f t="shared" si="56"/>
        <v>South Carolina</v>
      </c>
      <c r="C688" s="27" t="str">
        <f t="shared" si="57"/>
        <v>Lee</v>
      </c>
      <c r="D688" s="27">
        <f>'SC pre'!G32</f>
        <v>3679</v>
      </c>
      <c r="E688" s="27">
        <v>93</v>
      </c>
      <c r="F688" s="2">
        <v>102.5</v>
      </c>
      <c r="G688" s="2">
        <f>'SC pre'!L32</f>
        <v>5393</v>
      </c>
      <c r="H688" s="28">
        <f>'SC pre'!O32</f>
        <v>28.957024873219027</v>
      </c>
      <c r="I688" s="2">
        <v>17999</v>
      </c>
      <c r="J688" s="27">
        <v>85</v>
      </c>
      <c r="K688" s="27">
        <f>'SC pre'!S32</f>
        <v>20903.34</v>
      </c>
      <c r="L688" s="27">
        <v>1905</v>
      </c>
      <c r="M688" s="27" t="str">
        <f t="shared" si="59"/>
        <v>https://babel.hathitrust.org/cgi/pt?id=uc1.b2980735;view=1up;seq=246</v>
      </c>
      <c r="N688" s="27" t="s">
        <v>524</v>
      </c>
      <c r="O688" s="27" t="s">
        <v>524</v>
      </c>
      <c r="P688" s="27" t="s">
        <v>524</v>
      </c>
      <c r="Q688" s="27" t="str">
        <f t="shared" si="60"/>
        <v>https://babel.hathitrust.org/cgi/pt?id=uc1.b2980735;view=1up;seq=243</v>
      </c>
      <c r="R688" s="7" t="str">
        <f t="shared" si="58"/>
        <v>https://babel.hathitrust.org/cgi/pt?id=uc1.b2980735;view=1up;seq=243</v>
      </c>
      <c r="S688" s="27" t="s">
        <v>524</v>
      </c>
      <c r="T688" s="27" t="str">
        <f t="shared" si="61"/>
        <v>https://babel.hathitrust.org/cgi/pt?id=uiug.30112109609377;view=1up;seq=183</v>
      </c>
      <c r="U688" s="4"/>
      <c r="V688" s="4"/>
      <c r="W688" s="4"/>
      <c r="X688" s="4"/>
      <c r="Y688" s="4"/>
      <c r="Z688" s="4"/>
      <c r="AA688" s="4"/>
      <c r="AB688" s="4"/>
    </row>
    <row r="689" spans="1:28" x14ac:dyDescent="0.25">
      <c r="A689" s="27" t="s">
        <v>1258</v>
      </c>
      <c r="B689" s="27" t="str">
        <f t="shared" si="56"/>
        <v>South Carolina</v>
      </c>
      <c r="C689" s="27" t="str">
        <f t="shared" si="57"/>
        <v>Lexington</v>
      </c>
      <c r="D689" s="27">
        <f>'SC pre'!G33</f>
        <v>4236</v>
      </c>
      <c r="E689" s="2">
        <v>149</v>
      </c>
      <c r="F689" s="2">
        <v>77.5</v>
      </c>
      <c r="G689" s="2">
        <f>'SC pre'!L33</f>
        <v>7190</v>
      </c>
      <c r="H689" s="28">
        <f>'SC pre'!O33</f>
        <v>33.232671629445825</v>
      </c>
      <c r="I689" s="2">
        <v>22592</v>
      </c>
      <c r="J689" s="27">
        <v>127</v>
      </c>
      <c r="K689" s="27">
        <f>'SC pre'!S33</f>
        <v>22753</v>
      </c>
      <c r="L689" s="27">
        <v>1905</v>
      </c>
      <c r="M689" s="27" t="str">
        <f t="shared" si="59"/>
        <v>https://babel.hathitrust.org/cgi/pt?id=uc1.b2980735;view=1up;seq=246</v>
      </c>
      <c r="N689" s="27" t="s">
        <v>524</v>
      </c>
      <c r="O689" s="27" t="s">
        <v>524</v>
      </c>
      <c r="P689" s="27" t="s">
        <v>524</v>
      </c>
      <c r="Q689" s="27" t="str">
        <f t="shared" si="60"/>
        <v>https://babel.hathitrust.org/cgi/pt?id=uc1.b2980735;view=1up;seq=243</v>
      </c>
      <c r="R689" s="7" t="str">
        <f t="shared" si="58"/>
        <v>https://babel.hathitrust.org/cgi/pt?id=uc1.b2980735;view=1up;seq=243</v>
      </c>
      <c r="S689" s="27" t="s">
        <v>524</v>
      </c>
      <c r="T689" s="27" t="str">
        <f t="shared" si="61"/>
        <v>https://babel.hathitrust.org/cgi/pt?id=uiug.30112109609377;view=1up;seq=183</v>
      </c>
      <c r="U689" s="4"/>
      <c r="V689" s="4"/>
      <c r="W689" s="4"/>
      <c r="X689" s="4"/>
      <c r="Y689" s="4"/>
      <c r="Z689" s="4"/>
      <c r="AA689" s="4"/>
      <c r="AB689" s="4"/>
    </row>
    <row r="690" spans="1:28" x14ac:dyDescent="0.25">
      <c r="A690" s="27" t="s">
        <v>1260</v>
      </c>
      <c r="B690" s="27" t="str">
        <f t="shared" si="56"/>
        <v>South Carolina</v>
      </c>
      <c r="C690" s="27" t="str">
        <f t="shared" si="57"/>
        <v>Marion</v>
      </c>
      <c r="D690" s="27">
        <f>'SC pre'!G34</f>
        <v>4852</v>
      </c>
      <c r="E690" s="27">
        <v>167</v>
      </c>
      <c r="F690" s="2">
        <v>92.5</v>
      </c>
      <c r="G690" s="2">
        <f>'SC pre'!L34</f>
        <v>9110</v>
      </c>
      <c r="H690" s="28">
        <f>'SC pre'!O34</f>
        <v>36.264291106749212</v>
      </c>
      <c r="I690" s="2">
        <v>33379</v>
      </c>
      <c r="J690" s="27">
        <v>128</v>
      </c>
      <c r="K690" s="27">
        <f>'SC pre'!S34</f>
        <v>96916</v>
      </c>
      <c r="L690" s="27">
        <v>1905</v>
      </c>
      <c r="M690" s="27" t="str">
        <f t="shared" si="59"/>
        <v>https://babel.hathitrust.org/cgi/pt?id=uc1.b2980735;view=1up;seq=246</v>
      </c>
      <c r="N690" s="27" t="s">
        <v>524</v>
      </c>
      <c r="O690" s="27" t="s">
        <v>524</v>
      </c>
      <c r="P690" s="27" t="s">
        <v>524</v>
      </c>
      <c r="Q690" s="27" t="str">
        <f t="shared" si="60"/>
        <v>https://babel.hathitrust.org/cgi/pt?id=uc1.b2980735;view=1up;seq=243</v>
      </c>
      <c r="R690" s="7" t="str">
        <f t="shared" si="58"/>
        <v>https://babel.hathitrust.org/cgi/pt?id=uc1.b2980735;view=1up;seq=243</v>
      </c>
      <c r="S690" s="27" t="s">
        <v>524</v>
      </c>
      <c r="T690" s="27" t="str">
        <f t="shared" si="61"/>
        <v>https://babel.hathitrust.org/cgi/pt?id=uiug.30112109609377;view=1up;seq=183</v>
      </c>
      <c r="U690" s="4"/>
      <c r="V690" s="4"/>
      <c r="W690" s="4"/>
      <c r="X690" s="4"/>
      <c r="Y690" s="4"/>
      <c r="Z690" s="4"/>
      <c r="AA690" s="4"/>
      <c r="AB690" s="4"/>
    </row>
    <row r="691" spans="1:28" x14ac:dyDescent="0.25">
      <c r="A691" s="27" t="s">
        <v>1261</v>
      </c>
      <c r="B691" s="27" t="str">
        <f t="shared" si="56"/>
        <v>South Carolina</v>
      </c>
      <c r="C691" s="27" t="str">
        <f t="shared" si="57"/>
        <v>Marlboro</v>
      </c>
      <c r="D691" s="27">
        <f>'SC pre'!G35</f>
        <v>4094</v>
      </c>
      <c r="E691" s="2">
        <v>115</v>
      </c>
      <c r="F691" s="2">
        <v>95</v>
      </c>
      <c r="G691" s="2">
        <f>'SC pre'!L35</f>
        <v>5714</v>
      </c>
      <c r="H691" s="28">
        <f>'SC pre'!O35</f>
        <v>35.534753684210521</v>
      </c>
      <c r="I691" s="2">
        <v>25117</v>
      </c>
      <c r="J691" s="27">
        <v>88</v>
      </c>
      <c r="K691" s="27">
        <f>'SC pre'!S35</f>
        <v>118449.59</v>
      </c>
      <c r="L691" s="27">
        <v>1905</v>
      </c>
      <c r="M691" s="27" t="str">
        <f t="shared" si="59"/>
        <v>https://babel.hathitrust.org/cgi/pt?id=uc1.b2980735;view=1up;seq=246</v>
      </c>
      <c r="N691" s="27" t="s">
        <v>524</v>
      </c>
      <c r="O691" s="27" t="s">
        <v>524</v>
      </c>
      <c r="P691" s="27" t="s">
        <v>524</v>
      </c>
      <c r="Q691" s="27" t="str">
        <f t="shared" si="60"/>
        <v>https://babel.hathitrust.org/cgi/pt?id=uc1.b2980735;view=1up;seq=243</v>
      </c>
      <c r="R691" s="7" t="str">
        <f t="shared" si="58"/>
        <v>https://babel.hathitrust.org/cgi/pt?id=uc1.b2980735;view=1up;seq=243</v>
      </c>
      <c r="S691" s="27" t="s">
        <v>524</v>
      </c>
      <c r="T691" s="27" t="str">
        <f t="shared" si="61"/>
        <v>https://babel.hathitrust.org/cgi/pt?id=uiug.30112109609377;view=1up;seq=183</v>
      </c>
      <c r="U691" s="4"/>
      <c r="V691" s="4"/>
      <c r="W691" s="4"/>
      <c r="X691" s="4"/>
      <c r="Y691" s="4"/>
      <c r="Z691" s="4"/>
      <c r="AA691" s="4"/>
      <c r="AB691" s="4"/>
    </row>
    <row r="692" spans="1:28" x14ac:dyDescent="0.25">
      <c r="A692" s="27" t="s">
        <v>1259</v>
      </c>
      <c r="B692" s="27" t="str">
        <f t="shared" si="56"/>
        <v>South Carolina</v>
      </c>
      <c r="C692" s="27" t="str">
        <f t="shared" si="57"/>
        <v>McCormick</v>
      </c>
      <c r="D692" s="27"/>
      <c r="E692" s="2" t="s">
        <v>383</v>
      </c>
      <c r="F692" s="2"/>
      <c r="G692" s="2"/>
      <c r="H692" s="28"/>
      <c r="J692" s="27"/>
      <c r="K692" s="27"/>
      <c r="L692" s="27">
        <v>1905</v>
      </c>
      <c r="M692" s="27" t="str">
        <f t="shared" si="59"/>
        <v>https://babel.hathitrust.org/cgi/pt?id=uc1.b2980735;view=1up;seq=246</v>
      </c>
      <c r="N692" s="27" t="s">
        <v>524</v>
      </c>
      <c r="O692" s="27" t="s">
        <v>524</v>
      </c>
      <c r="P692" s="27" t="s">
        <v>524</v>
      </c>
      <c r="Q692" s="27" t="str">
        <f t="shared" si="60"/>
        <v>https://babel.hathitrust.org/cgi/pt?id=uc1.b2980735;view=1up;seq=243</v>
      </c>
      <c r="R692" s="7" t="str">
        <f t="shared" si="58"/>
        <v>https://babel.hathitrust.org/cgi/pt?id=uc1.b2980735;view=1up;seq=243</v>
      </c>
      <c r="S692" s="27" t="s">
        <v>524</v>
      </c>
      <c r="T692" s="27" t="str">
        <f t="shared" si="61"/>
        <v>https://babel.hathitrust.org/cgi/pt?id=uiug.30112109609377;view=1up;seq=183</v>
      </c>
      <c r="U692" s="4"/>
      <c r="V692" s="4"/>
      <c r="W692" s="4"/>
      <c r="X692" s="4"/>
      <c r="Y692" s="4"/>
      <c r="Z692" s="4"/>
      <c r="AA692" s="4"/>
      <c r="AB692" s="4"/>
    </row>
    <row r="693" spans="1:28" x14ac:dyDescent="0.25">
      <c r="A693" s="27" t="s">
        <v>1262</v>
      </c>
      <c r="B693" s="27" t="str">
        <f t="shared" si="56"/>
        <v>South Carolina</v>
      </c>
      <c r="C693" s="27" t="str">
        <f t="shared" si="57"/>
        <v>Newberry</v>
      </c>
      <c r="D693" s="27">
        <f>'SC pre'!G37</f>
        <v>3403</v>
      </c>
      <c r="E693" s="27">
        <v>142</v>
      </c>
      <c r="F693" s="2">
        <v>115</v>
      </c>
      <c r="G693" s="2">
        <f>'SC pre'!L37</f>
        <v>8588</v>
      </c>
      <c r="H693" s="28">
        <f>'SC pre'!O37</f>
        <v>29.626799891979477</v>
      </c>
      <c r="I693" s="2">
        <v>31152</v>
      </c>
      <c r="J693" s="27">
        <v>117</v>
      </c>
      <c r="K693" s="27">
        <f>'SC pre'!S37</f>
        <v>51774</v>
      </c>
      <c r="L693" s="27">
        <v>1905</v>
      </c>
      <c r="M693" s="27" t="str">
        <f t="shared" si="59"/>
        <v>https://babel.hathitrust.org/cgi/pt?id=uc1.b2980735;view=1up;seq=246</v>
      </c>
      <c r="N693" s="27" t="s">
        <v>524</v>
      </c>
      <c r="O693" s="27" t="s">
        <v>524</v>
      </c>
      <c r="P693" s="27" t="s">
        <v>524</v>
      </c>
      <c r="Q693" s="27" t="str">
        <f t="shared" si="60"/>
        <v>https://babel.hathitrust.org/cgi/pt?id=uc1.b2980735;view=1up;seq=243</v>
      </c>
      <c r="R693" s="7" t="str">
        <f t="shared" si="58"/>
        <v>https://babel.hathitrust.org/cgi/pt?id=uc1.b2980735;view=1up;seq=243</v>
      </c>
      <c r="S693" s="27" t="s">
        <v>524</v>
      </c>
      <c r="T693" s="27" t="str">
        <f t="shared" si="61"/>
        <v>https://babel.hathitrust.org/cgi/pt?id=uiug.30112109609377;view=1up;seq=183</v>
      </c>
      <c r="U693" s="4"/>
      <c r="V693" s="4"/>
      <c r="W693" s="4"/>
      <c r="X693" s="4"/>
      <c r="Y693" s="4"/>
      <c r="Z693" s="4"/>
      <c r="AA693" s="4"/>
      <c r="AB693" s="4"/>
    </row>
    <row r="694" spans="1:28" x14ac:dyDescent="0.25">
      <c r="A694" s="27" t="s">
        <v>1263</v>
      </c>
      <c r="B694" s="27" t="str">
        <f t="shared" si="56"/>
        <v>South Carolina</v>
      </c>
      <c r="C694" s="27" t="str">
        <f t="shared" si="57"/>
        <v>Oconee</v>
      </c>
      <c r="D694" s="27">
        <f>'SC pre'!G38</f>
        <v>3014</v>
      </c>
      <c r="E694" s="2">
        <v>122</v>
      </c>
      <c r="F694" s="2">
        <v>87.5</v>
      </c>
      <c r="G694" s="2">
        <f>'SC pre'!L38</f>
        <v>6039</v>
      </c>
      <c r="H694" s="28">
        <f>'SC pre'!O38</f>
        <v>38.365182724252492</v>
      </c>
      <c r="I694" s="2">
        <v>26884</v>
      </c>
      <c r="J694" s="27">
        <v>97</v>
      </c>
      <c r="K694" s="27">
        <f>'SC pre'!S38</f>
        <v>72133.820000000007</v>
      </c>
      <c r="L694" s="27">
        <v>1905</v>
      </c>
      <c r="M694" s="27" t="str">
        <f t="shared" si="59"/>
        <v>https://babel.hathitrust.org/cgi/pt?id=uc1.b2980735;view=1up;seq=246</v>
      </c>
      <c r="N694" s="27" t="s">
        <v>524</v>
      </c>
      <c r="O694" s="27" t="s">
        <v>524</v>
      </c>
      <c r="P694" s="27" t="s">
        <v>524</v>
      </c>
      <c r="Q694" s="27" t="str">
        <f t="shared" si="60"/>
        <v>https://babel.hathitrust.org/cgi/pt?id=uc1.b2980735;view=1up;seq=243</v>
      </c>
      <c r="R694" s="7" t="str">
        <f t="shared" si="58"/>
        <v>https://babel.hathitrust.org/cgi/pt?id=uc1.b2980735;view=1up;seq=243</v>
      </c>
      <c r="S694" s="27" t="s">
        <v>524</v>
      </c>
      <c r="T694" s="27" t="str">
        <f t="shared" si="61"/>
        <v>https://babel.hathitrust.org/cgi/pt?id=uiug.30112109609377;view=1up;seq=183</v>
      </c>
      <c r="U694" s="4"/>
      <c r="V694" s="4"/>
      <c r="W694" s="4"/>
      <c r="X694" s="4"/>
      <c r="Y694" s="4"/>
      <c r="Z694" s="4"/>
      <c r="AA694" s="4"/>
      <c r="AB694" s="4"/>
    </row>
    <row r="695" spans="1:28" x14ac:dyDescent="0.25">
      <c r="A695" s="27" t="s">
        <v>1264</v>
      </c>
      <c r="B695" s="27" t="str">
        <f t="shared" si="56"/>
        <v>South Carolina</v>
      </c>
      <c r="C695" s="27" t="str">
        <f t="shared" si="57"/>
        <v>Orangeburg</v>
      </c>
      <c r="D695" s="27">
        <f>'SC pre'!G39</f>
        <v>14699</v>
      </c>
      <c r="E695" s="27">
        <v>283</v>
      </c>
      <c r="F695" s="2">
        <v>102.5</v>
      </c>
      <c r="G695" s="2">
        <f>'SC pre'!L39</f>
        <v>16800</v>
      </c>
      <c r="H695" s="28">
        <f>'SC pre'!O39</f>
        <v>34.98366640440598</v>
      </c>
      <c r="I695" s="2">
        <v>61780</v>
      </c>
      <c r="J695" s="27">
        <v>223</v>
      </c>
      <c r="K695" s="27">
        <f>'SC pre'!S39</f>
        <v>86671.66</v>
      </c>
      <c r="L695" s="27">
        <v>1905</v>
      </c>
      <c r="M695" s="27" t="str">
        <f t="shared" si="59"/>
        <v>https://babel.hathitrust.org/cgi/pt?id=uc1.b2980735;view=1up;seq=246</v>
      </c>
      <c r="N695" s="27" t="s">
        <v>524</v>
      </c>
      <c r="O695" s="27" t="s">
        <v>524</v>
      </c>
      <c r="P695" s="27" t="s">
        <v>524</v>
      </c>
      <c r="Q695" s="27" t="str">
        <f t="shared" si="60"/>
        <v>https://babel.hathitrust.org/cgi/pt?id=uc1.b2980735;view=1up;seq=243</v>
      </c>
      <c r="R695" s="7" t="str">
        <f t="shared" si="58"/>
        <v>https://babel.hathitrust.org/cgi/pt?id=uc1.b2980735;view=1up;seq=243</v>
      </c>
      <c r="S695" s="27" t="s">
        <v>524</v>
      </c>
      <c r="T695" s="27" t="str">
        <f t="shared" si="61"/>
        <v>https://babel.hathitrust.org/cgi/pt?id=uiug.30112109609377;view=1up;seq=183</v>
      </c>
      <c r="U695" s="4"/>
      <c r="V695" s="4"/>
      <c r="W695" s="4"/>
      <c r="X695" s="4"/>
      <c r="Y695" s="4"/>
      <c r="Z695" s="4"/>
      <c r="AA695" s="4"/>
      <c r="AB695" s="4"/>
    </row>
    <row r="696" spans="1:28" x14ac:dyDescent="0.25">
      <c r="A696" s="27" t="s">
        <v>1265</v>
      </c>
      <c r="B696" s="27" t="str">
        <f t="shared" si="56"/>
        <v>South Carolina</v>
      </c>
      <c r="C696" s="27" t="str">
        <f t="shared" si="57"/>
        <v>Pickens</v>
      </c>
      <c r="D696" s="27">
        <f>'SC pre'!G40</f>
        <v>4811</v>
      </c>
      <c r="E696" s="2">
        <v>97</v>
      </c>
      <c r="F696" s="2">
        <v>102.5</v>
      </c>
      <c r="G696" s="2">
        <f>'SC pre'!L40</f>
        <v>5666</v>
      </c>
      <c r="H696" s="28">
        <f>'SC pre'!O40</f>
        <v>33.145329038196046</v>
      </c>
      <c r="I696" s="2">
        <v>20971</v>
      </c>
      <c r="J696" s="27">
        <v>86</v>
      </c>
      <c r="K696" s="27">
        <f>'SC pre'!S40</f>
        <v>66530.19</v>
      </c>
      <c r="L696" s="27">
        <v>1905</v>
      </c>
      <c r="M696" s="27" t="str">
        <f t="shared" si="59"/>
        <v>https://babel.hathitrust.org/cgi/pt?id=uc1.b2980735;view=1up;seq=246</v>
      </c>
      <c r="N696" s="27" t="s">
        <v>524</v>
      </c>
      <c r="O696" s="27" t="s">
        <v>524</v>
      </c>
      <c r="P696" s="27" t="s">
        <v>524</v>
      </c>
      <c r="Q696" s="27" t="str">
        <f t="shared" si="60"/>
        <v>https://babel.hathitrust.org/cgi/pt?id=uc1.b2980735;view=1up;seq=243</v>
      </c>
      <c r="R696" s="7" t="str">
        <f t="shared" si="58"/>
        <v>https://babel.hathitrust.org/cgi/pt?id=uc1.b2980735;view=1up;seq=243</v>
      </c>
      <c r="S696" s="27" t="s">
        <v>524</v>
      </c>
      <c r="T696" s="27" t="str">
        <f t="shared" si="61"/>
        <v>https://babel.hathitrust.org/cgi/pt?id=uiug.30112109609377;view=1up;seq=183</v>
      </c>
      <c r="U696" s="4"/>
      <c r="V696" s="4"/>
      <c r="W696" s="4"/>
      <c r="X696" s="4"/>
      <c r="Y696" s="4"/>
      <c r="Z696" s="4"/>
      <c r="AA696" s="4"/>
      <c r="AB696" s="4"/>
    </row>
    <row r="697" spans="1:28" x14ac:dyDescent="0.25">
      <c r="A697" s="27" t="s">
        <v>1266</v>
      </c>
      <c r="B697" s="27" t="str">
        <f t="shared" si="56"/>
        <v>South Carolina</v>
      </c>
      <c r="C697" s="27" t="str">
        <f t="shared" si="57"/>
        <v>Richland</v>
      </c>
      <c r="D697" s="27">
        <f>'SC pre'!G41</f>
        <v>8522</v>
      </c>
      <c r="E697" s="27">
        <v>157</v>
      </c>
      <c r="F697" s="2">
        <v>107.5</v>
      </c>
      <c r="G697" s="2">
        <f>'SC pre'!L41</f>
        <v>12364</v>
      </c>
      <c r="H697" s="28">
        <f>'SC pre'!O41</f>
        <v>41.369544994944384</v>
      </c>
      <c r="I697" s="2">
        <v>71256</v>
      </c>
      <c r="J697" s="27">
        <v>98</v>
      </c>
      <c r="K697" s="27">
        <f>'SC pre'!S41</f>
        <v>263860</v>
      </c>
      <c r="L697" s="27">
        <v>1905</v>
      </c>
      <c r="M697" s="27" t="str">
        <f t="shared" si="59"/>
        <v>https://babel.hathitrust.org/cgi/pt?id=uc1.b2980735;view=1up;seq=246</v>
      </c>
      <c r="N697" s="27" t="s">
        <v>524</v>
      </c>
      <c r="O697" s="27" t="s">
        <v>524</v>
      </c>
      <c r="P697" s="27" t="s">
        <v>524</v>
      </c>
      <c r="Q697" s="27" t="str">
        <f t="shared" si="60"/>
        <v>https://babel.hathitrust.org/cgi/pt?id=uc1.b2980735;view=1up;seq=243</v>
      </c>
      <c r="R697" s="7" t="str">
        <f t="shared" si="58"/>
        <v>https://babel.hathitrust.org/cgi/pt?id=uc1.b2980735;view=1up;seq=243</v>
      </c>
      <c r="S697" s="27" t="s">
        <v>524</v>
      </c>
      <c r="T697" s="27" t="str">
        <f t="shared" si="61"/>
        <v>https://babel.hathitrust.org/cgi/pt?id=uiug.30112109609377;view=1up;seq=183</v>
      </c>
      <c r="U697" s="4"/>
      <c r="V697" s="4"/>
      <c r="W697" s="4"/>
      <c r="X697" s="4"/>
      <c r="Y697" s="4"/>
      <c r="Z697" s="4"/>
      <c r="AA697" s="4"/>
      <c r="AB697" s="4"/>
    </row>
    <row r="698" spans="1:28" x14ac:dyDescent="0.25">
      <c r="A698" s="27" t="s">
        <v>1267</v>
      </c>
      <c r="B698" s="27" t="str">
        <f t="shared" si="56"/>
        <v>South Carolina</v>
      </c>
      <c r="C698" s="27" t="str">
        <f t="shared" si="57"/>
        <v>Saluda</v>
      </c>
      <c r="D698" s="27">
        <f>'SC pre'!G42</f>
        <v>3572</v>
      </c>
      <c r="E698" s="2">
        <v>114</v>
      </c>
      <c r="F698" s="2">
        <v>62.5</v>
      </c>
      <c r="G698" s="2">
        <f>'SC pre'!L42</f>
        <v>5496</v>
      </c>
      <c r="H698" s="28">
        <f>'SC pre'!O42</f>
        <v>33.310764912280703</v>
      </c>
      <c r="I698" s="2">
        <v>12888</v>
      </c>
      <c r="J698" s="27">
        <v>102</v>
      </c>
      <c r="K698" s="27"/>
      <c r="L698" s="27">
        <v>1905</v>
      </c>
      <c r="M698" s="27" t="str">
        <f t="shared" si="59"/>
        <v>https://babel.hathitrust.org/cgi/pt?id=uc1.b2980735;view=1up;seq=246</v>
      </c>
      <c r="N698" s="27" t="s">
        <v>524</v>
      </c>
      <c r="O698" s="27" t="s">
        <v>524</v>
      </c>
      <c r="P698" s="27" t="s">
        <v>524</v>
      </c>
      <c r="Q698" s="27" t="str">
        <f t="shared" si="60"/>
        <v>https://babel.hathitrust.org/cgi/pt?id=uc1.b2980735;view=1up;seq=243</v>
      </c>
      <c r="R698" s="7" t="str">
        <f t="shared" si="58"/>
        <v>https://babel.hathitrust.org/cgi/pt?id=uc1.b2980735;view=1up;seq=243</v>
      </c>
      <c r="S698" s="27" t="s">
        <v>524</v>
      </c>
      <c r="T698" s="27" t="str">
        <f t="shared" si="61"/>
        <v>https://babel.hathitrust.org/cgi/pt?id=uiug.30112109609377;view=1up;seq=183</v>
      </c>
      <c r="U698" s="4"/>
      <c r="V698" s="4"/>
      <c r="W698" s="4"/>
      <c r="X698" s="4"/>
      <c r="Y698" s="4"/>
      <c r="Z698" s="4"/>
      <c r="AA698" s="4"/>
      <c r="AB698" s="4"/>
    </row>
    <row r="699" spans="1:28" x14ac:dyDescent="0.25">
      <c r="A699" s="27" t="s">
        <v>1268</v>
      </c>
      <c r="B699" s="27" t="str">
        <f t="shared" si="56"/>
        <v>South Carolina</v>
      </c>
      <c r="C699" s="27" t="str">
        <f t="shared" si="57"/>
        <v>Spartanburg</v>
      </c>
      <c r="D699" s="27">
        <f>'SC pre'!G43</f>
        <v>2257</v>
      </c>
      <c r="E699" s="27">
        <v>301</v>
      </c>
      <c r="F699" s="2">
        <v>107.5</v>
      </c>
      <c r="G699" s="2">
        <f>'SC pre'!L43</f>
        <v>18716</v>
      </c>
      <c r="H699" s="28">
        <f>'SC pre'!O43</f>
        <v>34.529071801478068</v>
      </c>
      <c r="I699" s="2">
        <v>75732</v>
      </c>
      <c r="J699" s="27">
        <v>224</v>
      </c>
      <c r="K699" s="27"/>
      <c r="L699" s="27">
        <v>1905</v>
      </c>
      <c r="M699" s="27" t="str">
        <f t="shared" si="59"/>
        <v>https://babel.hathitrust.org/cgi/pt?id=uc1.b2980735;view=1up;seq=246</v>
      </c>
      <c r="N699" s="27" t="s">
        <v>524</v>
      </c>
      <c r="O699" s="27" t="s">
        <v>524</v>
      </c>
      <c r="P699" s="27" t="s">
        <v>524</v>
      </c>
      <c r="Q699" s="27" t="str">
        <f t="shared" si="60"/>
        <v>https://babel.hathitrust.org/cgi/pt?id=uc1.b2980735;view=1up;seq=243</v>
      </c>
      <c r="R699" s="7" t="str">
        <f t="shared" si="58"/>
        <v>https://babel.hathitrust.org/cgi/pt?id=uc1.b2980735;view=1up;seq=243</v>
      </c>
      <c r="S699" s="27" t="s">
        <v>524</v>
      </c>
      <c r="T699" s="27" t="str">
        <f t="shared" si="61"/>
        <v>https://babel.hathitrust.org/cgi/pt?id=uiug.30112109609377;view=1up;seq=183</v>
      </c>
      <c r="U699" s="4"/>
      <c r="V699" s="4"/>
      <c r="W699" s="4"/>
      <c r="X699" s="4"/>
      <c r="Y699" s="4"/>
      <c r="Z699" s="4"/>
      <c r="AA699" s="4"/>
      <c r="AB699" s="4"/>
    </row>
    <row r="700" spans="1:28" x14ac:dyDescent="0.25">
      <c r="A700" s="27" t="s">
        <v>1269</v>
      </c>
      <c r="B700" s="27" t="str">
        <f t="shared" si="56"/>
        <v>South Carolina</v>
      </c>
      <c r="C700" s="27" t="str">
        <f t="shared" si="57"/>
        <v>Sumter</v>
      </c>
      <c r="D700" s="27">
        <f>'SC pre'!G44</f>
        <v>3404</v>
      </c>
      <c r="E700" s="2">
        <v>147</v>
      </c>
      <c r="F700" s="2">
        <v>127.5</v>
      </c>
      <c r="G700" s="2">
        <f>'SC pre'!L44</f>
        <v>9125</v>
      </c>
      <c r="H700" s="28">
        <f>'SC pre'!O44</f>
        <v>16.155972222222221</v>
      </c>
      <c r="I700" s="2">
        <v>30458</v>
      </c>
      <c r="J700" s="27">
        <v>113</v>
      </c>
      <c r="K700" s="27">
        <f>'SC pre'!S44</f>
        <v>70000</v>
      </c>
      <c r="L700" s="27">
        <v>1905</v>
      </c>
      <c r="M700" s="27" t="str">
        <f t="shared" si="59"/>
        <v>https://babel.hathitrust.org/cgi/pt?id=uc1.b2980735;view=1up;seq=246</v>
      </c>
      <c r="N700" s="27" t="s">
        <v>524</v>
      </c>
      <c r="O700" s="27" t="s">
        <v>524</v>
      </c>
      <c r="P700" s="27" t="s">
        <v>524</v>
      </c>
      <c r="Q700" s="27" t="str">
        <f t="shared" si="60"/>
        <v>https://babel.hathitrust.org/cgi/pt?id=uc1.b2980735;view=1up;seq=243</v>
      </c>
      <c r="R700" s="7" t="str">
        <f t="shared" si="58"/>
        <v>https://babel.hathitrust.org/cgi/pt?id=uc1.b2980735;view=1up;seq=243</v>
      </c>
      <c r="S700" s="27" t="s">
        <v>524</v>
      </c>
      <c r="T700" s="27" t="str">
        <f t="shared" si="61"/>
        <v>https://babel.hathitrust.org/cgi/pt?id=uiug.30112109609377;view=1up;seq=183</v>
      </c>
      <c r="U700" s="4"/>
      <c r="V700" s="4"/>
      <c r="W700" s="4"/>
      <c r="X700" s="4"/>
      <c r="Y700" s="4"/>
      <c r="Z700" s="4"/>
      <c r="AA700" s="4"/>
      <c r="AB700" s="4"/>
    </row>
    <row r="701" spans="1:28" x14ac:dyDescent="0.25">
      <c r="A701" s="27" t="s">
        <v>1270</v>
      </c>
      <c r="B701" s="27" t="str">
        <f t="shared" si="56"/>
        <v>South Carolina</v>
      </c>
      <c r="C701" s="27" t="str">
        <f t="shared" si="57"/>
        <v>Union</v>
      </c>
      <c r="D701" s="27">
        <f>'SC pre'!G45</f>
        <v>5767</v>
      </c>
      <c r="E701" s="27">
        <v>125</v>
      </c>
      <c r="F701" s="2">
        <v>100</v>
      </c>
      <c r="G701" s="2">
        <f>'SC pre'!L45</f>
        <v>8625</v>
      </c>
      <c r="H701" s="28">
        <f>'SC pre'!O45</f>
        <v>30.801282051282051</v>
      </c>
      <c r="I701" s="2">
        <v>25870</v>
      </c>
      <c r="J701" s="27">
        <v>100</v>
      </c>
      <c r="K701" s="27">
        <f>'SC pre'!S45</f>
        <v>48800</v>
      </c>
      <c r="L701" s="27">
        <v>1905</v>
      </c>
      <c r="M701" s="27" t="str">
        <f t="shared" si="59"/>
        <v>https://babel.hathitrust.org/cgi/pt?id=uc1.b2980735;view=1up;seq=246</v>
      </c>
      <c r="N701" s="27" t="s">
        <v>524</v>
      </c>
      <c r="O701" s="27" t="s">
        <v>524</v>
      </c>
      <c r="P701" s="27" t="s">
        <v>524</v>
      </c>
      <c r="Q701" s="27" t="str">
        <f t="shared" si="60"/>
        <v>https://babel.hathitrust.org/cgi/pt?id=uc1.b2980735;view=1up;seq=243</v>
      </c>
      <c r="R701" s="7" t="str">
        <f t="shared" si="58"/>
        <v>https://babel.hathitrust.org/cgi/pt?id=uc1.b2980735;view=1up;seq=243</v>
      </c>
      <c r="S701" s="27" t="s">
        <v>524</v>
      </c>
      <c r="T701" s="27" t="str">
        <f t="shared" si="61"/>
        <v>https://babel.hathitrust.org/cgi/pt?id=uiug.30112109609377;view=1up;seq=183</v>
      </c>
      <c r="U701" s="4"/>
      <c r="V701" s="4"/>
      <c r="W701" s="4"/>
      <c r="X701" s="4"/>
      <c r="Y701" s="4"/>
      <c r="Z701" s="4"/>
      <c r="AA701" s="4"/>
      <c r="AB701" s="4"/>
    </row>
    <row r="702" spans="1:28" x14ac:dyDescent="0.25">
      <c r="A702" s="27" t="s">
        <v>1271</v>
      </c>
      <c r="B702" s="27" t="str">
        <f t="shared" si="56"/>
        <v>South Carolina</v>
      </c>
      <c r="C702" s="27" t="str">
        <f t="shared" si="57"/>
        <v>Williamsburg</v>
      </c>
      <c r="D702" s="27">
        <f>'SC pre'!G46</f>
        <v>4082</v>
      </c>
      <c r="E702" s="2">
        <v>194</v>
      </c>
      <c r="F702" s="2">
        <v>75</v>
      </c>
      <c r="G702" s="2">
        <f>'SC pre'!L46</f>
        <v>6637</v>
      </c>
      <c r="H702" s="28">
        <f>'SC pre'!O46</f>
        <v>24.88567656765677</v>
      </c>
      <c r="I702" s="2">
        <v>21923</v>
      </c>
      <c r="J702" s="27">
        <v>156</v>
      </c>
      <c r="K702" s="27">
        <f>'SC pre'!S46</f>
        <v>63950</v>
      </c>
      <c r="L702" s="27">
        <v>1905</v>
      </c>
      <c r="M702" s="27" t="str">
        <f t="shared" si="59"/>
        <v>https://babel.hathitrust.org/cgi/pt?id=uc1.b2980735;view=1up;seq=246</v>
      </c>
      <c r="N702" s="27" t="s">
        <v>524</v>
      </c>
      <c r="O702" s="27" t="s">
        <v>524</v>
      </c>
      <c r="P702" s="27" t="s">
        <v>524</v>
      </c>
      <c r="Q702" s="27" t="str">
        <f t="shared" si="60"/>
        <v>https://babel.hathitrust.org/cgi/pt?id=uc1.b2980735;view=1up;seq=243</v>
      </c>
      <c r="R702" s="7" t="str">
        <f t="shared" si="58"/>
        <v>https://babel.hathitrust.org/cgi/pt?id=uc1.b2980735;view=1up;seq=243</v>
      </c>
      <c r="S702" s="27" t="s">
        <v>524</v>
      </c>
      <c r="T702" s="27" t="str">
        <f t="shared" si="61"/>
        <v>https://babel.hathitrust.org/cgi/pt?id=uiug.30112109609377;view=1up;seq=183</v>
      </c>
      <c r="U702" s="4"/>
      <c r="V702" s="4"/>
      <c r="W702" s="4"/>
      <c r="X702" s="4"/>
      <c r="Y702" s="4"/>
      <c r="Z702" s="4"/>
      <c r="AA702" s="4"/>
      <c r="AB702" s="4"/>
    </row>
    <row r="703" spans="1:28" x14ac:dyDescent="0.25">
      <c r="A703" s="27" t="s">
        <v>1272</v>
      </c>
      <c r="B703" s="27" t="str">
        <f t="shared" si="56"/>
        <v>South Carolina</v>
      </c>
      <c r="C703" s="27" t="str">
        <f t="shared" si="57"/>
        <v>York</v>
      </c>
      <c r="D703" s="27">
        <f>'SC pre'!G47</f>
        <v>8789</v>
      </c>
      <c r="E703" s="27">
        <v>208</v>
      </c>
      <c r="F703" s="2">
        <v>107.5</v>
      </c>
      <c r="G703" s="2">
        <f>'SC pre'!L47</f>
        <v>12691</v>
      </c>
      <c r="H703" s="28">
        <f>'SC pre'!O47</f>
        <v>27.074337547042358</v>
      </c>
      <c r="I703" s="2">
        <v>39625</v>
      </c>
      <c r="J703" s="27">
        <v>167</v>
      </c>
      <c r="K703" s="27">
        <f>'SC pre'!S47</f>
        <v>63900</v>
      </c>
      <c r="L703" s="27">
        <v>1905</v>
      </c>
      <c r="M703" s="27" t="str">
        <f t="shared" si="59"/>
        <v>https://babel.hathitrust.org/cgi/pt?id=uc1.b2980735;view=1up;seq=246</v>
      </c>
      <c r="N703" s="27" t="s">
        <v>524</v>
      </c>
      <c r="O703" s="27" t="s">
        <v>524</v>
      </c>
      <c r="P703" s="27" t="s">
        <v>524</v>
      </c>
      <c r="Q703" s="27" t="str">
        <f t="shared" si="60"/>
        <v>https://babel.hathitrust.org/cgi/pt?id=uc1.b2980735;view=1up;seq=243</v>
      </c>
      <c r="R703" s="7" t="str">
        <f t="shared" si="58"/>
        <v>https://babel.hathitrust.org/cgi/pt?id=uc1.b2980735;view=1up;seq=243</v>
      </c>
      <c r="S703" s="27" t="s">
        <v>524</v>
      </c>
      <c r="T703" s="27" t="str">
        <f t="shared" si="61"/>
        <v>https://babel.hathitrust.org/cgi/pt?id=uiug.30112109609377;view=1up;seq=183</v>
      </c>
      <c r="U703" s="4"/>
      <c r="V703" s="4"/>
      <c r="W703" s="4"/>
      <c r="X703" s="4"/>
      <c r="Y703" s="4"/>
      <c r="Z703" s="4"/>
      <c r="AA703" s="4"/>
      <c r="AB703" s="4"/>
    </row>
    <row r="704" spans="1:28" x14ac:dyDescent="0.25">
      <c r="A704" s="27" t="s">
        <v>1367</v>
      </c>
      <c r="B704" s="27" t="str">
        <f t="shared" si="56"/>
        <v/>
      </c>
      <c r="C704" s="27" t="str">
        <f t="shared" si="57"/>
        <v/>
      </c>
      <c r="D704" s="27"/>
      <c r="E704" s="2">
        <v>6059</v>
      </c>
      <c r="F704" s="2"/>
      <c r="G704" s="2">
        <f>SUM(G658:G703)</f>
        <v>341437</v>
      </c>
      <c r="H704" s="27"/>
      <c r="I704" s="2">
        <f>SUM(I658:I703)</f>
        <v>1295600</v>
      </c>
      <c r="J704" s="27">
        <f>SUM(J658:J703)</f>
        <v>4911</v>
      </c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8" x14ac:dyDescent="0.25">
      <c r="A705" s="27" t="s">
        <v>1367</v>
      </c>
      <c r="B705" s="27" t="str">
        <f t="shared" si="56"/>
        <v/>
      </c>
      <c r="C705" s="27" t="str">
        <f t="shared" si="57"/>
        <v/>
      </c>
      <c r="D705" s="27"/>
      <c r="E705" s="1">
        <v>5059</v>
      </c>
      <c r="F705" s="2"/>
      <c r="G705" s="2">
        <v>302663</v>
      </c>
      <c r="H705" s="27"/>
      <c r="I705" s="2">
        <v>1304629</v>
      </c>
      <c r="J705" s="27">
        <v>4852</v>
      </c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8" x14ac:dyDescent="0.25">
      <c r="A706" s="27" t="s">
        <v>1367</v>
      </c>
      <c r="B706" s="27" t="str">
        <f t="shared" si="56"/>
        <v/>
      </c>
      <c r="C706" s="27" t="str">
        <f t="shared" si="57"/>
        <v/>
      </c>
      <c r="D706" s="27"/>
      <c r="E706" s="27"/>
      <c r="F706" s="2"/>
      <c r="G706" s="27"/>
      <c r="H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8" x14ac:dyDescent="0.25">
      <c r="A707" s="27" t="s">
        <v>1275</v>
      </c>
      <c r="B707" s="27" t="str">
        <f t="shared" si="56"/>
        <v>Tennessee</v>
      </c>
      <c r="C707" s="27" t="str">
        <f t="shared" si="57"/>
        <v>Anderson</v>
      </c>
      <c r="D707" s="27">
        <v>3577</v>
      </c>
      <c r="E707" s="27">
        <v>78</v>
      </c>
      <c r="F707" s="27">
        <v>114</v>
      </c>
      <c r="G707" s="2">
        <v>4537</v>
      </c>
      <c r="H707" s="28">
        <v>36.130000000000003</v>
      </c>
      <c r="I707" s="12">
        <v>20656.95</v>
      </c>
      <c r="J707" s="27">
        <v>53</v>
      </c>
      <c r="K707" s="2">
        <v>33184</v>
      </c>
      <c r="L707" s="27">
        <v>1905</v>
      </c>
      <c r="M707" s="27" t="s">
        <v>525</v>
      </c>
      <c r="N707" s="27" t="s">
        <v>526</v>
      </c>
      <c r="O707" s="27" t="s">
        <v>527</v>
      </c>
      <c r="P707" s="27" t="s">
        <v>528</v>
      </c>
      <c r="Q707" s="27" t="s">
        <v>527</v>
      </c>
      <c r="R707" s="27" t="s">
        <v>529</v>
      </c>
      <c r="S707" s="27" t="s">
        <v>530</v>
      </c>
      <c r="T707" s="27" t="s">
        <v>531</v>
      </c>
      <c r="U707" s="4"/>
      <c r="V707" s="4"/>
      <c r="W707" s="4"/>
      <c r="X707" s="4"/>
      <c r="Y707" s="4"/>
      <c r="Z707" s="4"/>
      <c r="AA707" s="4"/>
      <c r="AB707" s="4"/>
    </row>
    <row r="708" spans="1:28" x14ac:dyDescent="0.25">
      <c r="A708" s="27" t="s">
        <v>1276</v>
      </c>
      <c r="B708" s="27" t="str">
        <f t="shared" si="56"/>
        <v>Tennessee</v>
      </c>
      <c r="C708" s="27" t="str">
        <f t="shared" si="57"/>
        <v>Bedford</v>
      </c>
      <c r="D708" s="27">
        <v>7138</v>
      </c>
      <c r="E708" s="27">
        <v>137</v>
      </c>
      <c r="F708" s="27">
        <v>149</v>
      </c>
      <c r="G708" s="2">
        <v>7718</v>
      </c>
      <c r="H708" s="28">
        <v>32.200000000000003</v>
      </c>
      <c r="I708" s="12">
        <v>31995.75</v>
      </c>
      <c r="J708" s="27">
        <v>88</v>
      </c>
      <c r="K708" s="2">
        <v>107000</v>
      </c>
      <c r="L708" s="27">
        <v>1905</v>
      </c>
      <c r="M708" s="27" t="s">
        <v>525</v>
      </c>
      <c r="N708" s="27" t="s">
        <v>526</v>
      </c>
      <c r="O708" s="27" t="s">
        <v>527</v>
      </c>
      <c r="P708" s="27" t="s">
        <v>528</v>
      </c>
      <c r="Q708" s="27" t="s">
        <v>527</v>
      </c>
      <c r="R708" s="27" t="s">
        <v>529</v>
      </c>
      <c r="S708" s="27" t="s">
        <v>530</v>
      </c>
      <c r="T708" s="27" t="s">
        <v>531</v>
      </c>
      <c r="U708" s="4"/>
      <c r="V708" s="4"/>
      <c r="W708" s="4"/>
      <c r="X708" s="4"/>
      <c r="Y708" s="4"/>
      <c r="Z708" s="4"/>
      <c r="AA708" s="4"/>
      <c r="AB708" s="4"/>
    </row>
    <row r="709" spans="1:28" x14ac:dyDescent="0.25">
      <c r="A709" s="27" t="s">
        <v>1277</v>
      </c>
      <c r="B709" s="27" t="str">
        <f t="shared" si="56"/>
        <v>Tennessee</v>
      </c>
      <c r="C709" s="27" t="str">
        <f t="shared" si="57"/>
        <v>Benton</v>
      </c>
      <c r="D709" s="27">
        <v>3254</v>
      </c>
      <c r="E709" s="27">
        <v>77</v>
      </c>
      <c r="F709" s="27">
        <v>95</v>
      </c>
      <c r="G709" s="2">
        <v>3545</v>
      </c>
      <c r="H709" s="28">
        <v>33</v>
      </c>
      <c r="I709" s="12">
        <v>13209.28</v>
      </c>
      <c r="J709" s="27">
        <v>69</v>
      </c>
      <c r="K709" s="2">
        <v>12485</v>
      </c>
      <c r="L709" s="27">
        <v>1905</v>
      </c>
      <c r="M709" s="27" t="s">
        <v>525</v>
      </c>
      <c r="N709" s="27" t="s">
        <v>526</v>
      </c>
      <c r="O709" s="27" t="s">
        <v>527</v>
      </c>
      <c r="P709" s="27" t="s">
        <v>528</v>
      </c>
      <c r="Q709" s="27" t="s">
        <v>527</v>
      </c>
      <c r="R709" s="27" t="s">
        <v>529</v>
      </c>
      <c r="S709" s="27" t="s">
        <v>530</v>
      </c>
      <c r="T709" s="27" t="s">
        <v>531</v>
      </c>
      <c r="U709" s="4"/>
      <c r="V709" s="4"/>
      <c r="W709" s="4"/>
      <c r="X709" s="4"/>
      <c r="Y709" s="4"/>
      <c r="Z709" s="4"/>
      <c r="AA709" s="4"/>
      <c r="AB709" s="4"/>
    </row>
    <row r="710" spans="1:28" x14ac:dyDescent="0.25">
      <c r="A710" s="27" t="s">
        <v>1759</v>
      </c>
      <c r="B710" s="27" t="str">
        <f t="shared" si="56"/>
        <v>Tennessee</v>
      </c>
      <c r="C710" s="27" t="str">
        <f t="shared" si="57"/>
        <v>Bledsoe</v>
      </c>
      <c r="D710" s="27">
        <v>1403</v>
      </c>
      <c r="E710" s="27">
        <v>33</v>
      </c>
      <c r="F710" s="27">
        <v>96</v>
      </c>
      <c r="G710" s="2">
        <v>1918</v>
      </c>
      <c r="H710" s="28">
        <v>30</v>
      </c>
      <c r="I710" s="12">
        <v>3251.95</v>
      </c>
      <c r="J710" s="27">
        <v>36</v>
      </c>
      <c r="K710" s="2">
        <v>9269</v>
      </c>
      <c r="L710" s="27">
        <v>1905</v>
      </c>
      <c r="M710" s="27" t="s">
        <v>525</v>
      </c>
      <c r="N710" s="27" t="s">
        <v>526</v>
      </c>
      <c r="O710" s="27" t="s">
        <v>527</v>
      </c>
      <c r="P710" s="27" t="s">
        <v>528</v>
      </c>
      <c r="Q710" s="27" t="s">
        <v>527</v>
      </c>
      <c r="R710" s="27" t="s">
        <v>529</v>
      </c>
      <c r="S710" s="27" t="s">
        <v>530</v>
      </c>
      <c r="T710" s="27" t="s">
        <v>531</v>
      </c>
      <c r="U710" s="4"/>
      <c r="V710" s="4"/>
      <c r="W710" s="4"/>
      <c r="X710" s="4"/>
      <c r="Y710" s="4"/>
      <c r="Z710" s="4"/>
      <c r="AA710" s="4"/>
      <c r="AB710" s="4"/>
    </row>
    <row r="711" spans="1:28" x14ac:dyDescent="0.25">
      <c r="A711" s="27" t="s">
        <v>1278</v>
      </c>
      <c r="B711" s="27" t="str">
        <f t="shared" ref="B711:B774" si="62">LEFT(A711,FIND(";",A711)-1)</f>
        <v>Tennessee</v>
      </c>
      <c r="C711" s="27" t="str">
        <f t="shared" ref="C711:C774" si="63">MID(A711,FIND(";",A711)+1,100)</f>
        <v>Blount</v>
      </c>
      <c r="D711" s="27">
        <v>2222</v>
      </c>
      <c r="E711" s="27">
        <v>98</v>
      </c>
      <c r="F711" s="27">
        <v>100</v>
      </c>
      <c r="G711" s="2">
        <v>4630</v>
      </c>
      <c r="H711" s="28">
        <v>27</v>
      </c>
      <c r="I711" s="12">
        <v>18617.580000000002</v>
      </c>
      <c r="J711" s="27">
        <v>80</v>
      </c>
      <c r="K711" s="2">
        <v>17180</v>
      </c>
      <c r="L711" s="27">
        <v>1905</v>
      </c>
      <c r="M711" s="27" t="s">
        <v>525</v>
      </c>
      <c r="N711" s="27" t="s">
        <v>526</v>
      </c>
      <c r="O711" s="27" t="s">
        <v>527</v>
      </c>
      <c r="P711" s="27" t="s">
        <v>528</v>
      </c>
      <c r="Q711" s="27" t="s">
        <v>527</v>
      </c>
      <c r="R711" s="27" t="s">
        <v>529</v>
      </c>
      <c r="S711" s="27" t="s">
        <v>530</v>
      </c>
      <c r="T711" s="27" t="s">
        <v>531</v>
      </c>
      <c r="U711" s="4"/>
      <c r="V711" s="4"/>
      <c r="W711" s="4"/>
      <c r="X711" s="4"/>
      <c r="Y711" s="4"/>
      <c r="Z711" s="4"/>
      <c r="AA711" s="4"/>
      <c r="AB711" s="4"/>
    </row>
    <row r="712" spans="1:28" x14ac:dyDescent="0.25">
      <c r="A712" s="27" t="s">
        <v>1279</v>
      </c>
      <c r="B712" s="27" t="str">
        <f t="shared" si="62"/>
        <v>Tennessee</v>
      </c>
      <c r="C712" s="27" t="str">
        <f t="shared" si="63"/>
        <v>Bradley</v>
      </c>
      <c r="D712" s="27">
        <v>2740</v>
      </c>
      <c r="E712" s="27">
        <v>56</v>
      </c>
      <c r="F712" s="27">
        <v>98</v>
      </c>
      <c r="G712" s="2">
        <v>4353</v>
      </c>
      <c r="H712" s="28">
        <v>31</v>
      </c>
      <c r="I712" s="12">
        <v>20489.96</v>
      </c>
      <c r="J712" s="27">
        <v>54</v>
      </c>
      <c r="K712" s="2">
        <v>40000</v>
      </c>
      <c r="L712" s="27">
        <v>1905</v>
      </c>
      <c r="M712" s="27" t="s">
        <v>525</v>
      </c>
      <c r="N712" s="27" t="s">
        <v>526</v>
      </c>
      <c r="O712" s="27" t="s">
        <v>527</v>
      </c>
      <c r="P712" s="27" t="s">
        <v>528</v>
      </c>
      <c r="Q712" s="27" t="s">
        <v>527</v>
      </c>
      <c r="R712" s="27" t="s">
        <v>529</v>
      </c>
      <c r="S712" s="27" t="s">
        <v>530</v>
      </c>
      <c r="T712" s="27" t="s">
        <v>531</v>
      </c>
      <c r="U712" s="4"/>
      <c r="V712" s="4"/>
      <c r="W712" s="4"/>
      <c r="X712" s="4"/>
      <c r="Y712" s="4"/>
      <c r="Z712" s="4"/>
      <c r="AA712" s="4"/>
      <c r="AB712" s="4"/>
    </row>
    <row r="713" spans="1:28" x14ac:dyDescent="0.25">
      <c r="A713" s="27" t="s">
        <v>1280</v>
      </c>
      <c r="B713" s="27" t="str">
        <f t="shared" si="62"/>
        <v>Tennessee</v>
      </c>
      <c r="C713" s="27" t="str">
        <f t="shared" si="63"/>
        <v>Campbell</v>
      </c>
      <c r="D713" s="27">
        <v>3831</v>
      </c>
      <c r="E713" s="27">
        <v>108</v>
      </c>
      <c r="F713" s="27">
        <v>108</v>
      </c>
      <c r="G713" s="2">
        <v>6672</v>
      </c>
      <c r="H713" s="28">
        <v>45</v>
      </c>
      <c r="I713" s="12">
        <v>22287.81</v>
      </c>
      <c r="J713" s="27">
        <v>78</v>
      </c>
      <c r="K713" s="2">
        <v>43300</v>
      </c>
      <c r="L713" s="27">
        <v>1905</v>
      </c>
      <c r="M713" s="27" t="s">
        <v>525</v>
      </c>
      <c r="N713" s="27" t="s">
        <v>526</v>
      </c>
      <c r="O713" s="27" t="s">
        <v>527</v>
      </c>
      <c r="P713" s="27" t="s">
        <v>528</v>
      </c>
      <c r="Q713" s="27" t="s">
        <v>527</v>
      </c>
      <c r="R713" s="27" t="s">
        <v>529</v>
      </c>
      <c r="S713" s="27" t="s">
        <v>530</v>
      </c>
      <c r="T713" s="27" t="s">
        <v>531</v>
      </c>
      <c r="U713" s="4"/>
      <c r="V713" s="4"/>
      <c r="W713" s="4"/>
      <c r="X713" s="4"/>
      <c r="Y713" s="4"/>
      <c r="Z713" s="4"/>
      <c r="AA713" s="4"/>
      <c r="AB713" s="4"/>
    </row>
    <row r="714" spans="1:28" x14ac:dyDescent="0.25">
      <c r="A714" s="27" t="s">
        <v>1281</v>
      </c>
      <c r="B714" s="27" t="str">
        <f t="shared" si="62"/>
        <v>Tennessee</v>
      </c>
      <c r="C714" s="27" t="str">
        <f t="shared" si="63"/>
        <v>Cannon</v>
      </c>
      <c r="D714" s="27">
        <v>3315</v>
      </c>
      <c r="E714" s="27">
        <v>70</v>
      </c>
      <c r="F714" s="27">
        <v>90</v>
      </c>
      <c r="G714" s="2">
        <v>3748</v>
      </c>
      <c r="H714" s="28">
        <v>27.5</v>
      </c>
      <c r="I714" s="12">
        <v>10016.02</v>
      </c>
      <c r="J714" s="27">
        <v>72</v>
      </c>
      <c r="K714" s="2">
        <v>7500</v>
      </c>
      <c r="L714" s="27">
        <v>1905</v>
      </c>
      <c r="M714" s="27" t="s">
        <v>525</v>
      </c>
      <c r="N714" s="27" t="s">
        <v>526</v>
      </c>
      <c r="O714" s="27" t="s">
        <v>527</v>
      </c>
      <c r="P714" s="27" t="s">
        <v>528</v>
      </c>
      <c r="Q714" s="27" t="s">
        <v>527</v>
      </c>
      <c r="R714" s="27" t="s">
        <v>529</v>
      </c>
      <c r="S714" s="27" t="s">
        <v>530</v>
      </c>
      <c r="T714" s="27" t="s">
        <v>531</v>
      </c>
      <c r="U714" s="4"/>
      <c r="V714" s="4"/>
      <c r="W714" s="4"/>
      <c r="X714" s="4"/>
      <c r="Y714" s="4"/>
      <c r="Z714" s="4"/>
      <c r="AA714" s="4"/>
      <c r="AB714" s="4"/>
    </row>
    <row r="715" spans="1:28" x14ac:dyDescent="0.25">
      <c r="A715" s="27" t="s">
        <v>1282</v>
      </c>
      <c r="B715" s="27" t="str">
        <f t="shared" si="62"/>
        <v>Tennessee</v>
      </c>
      <c r="C715" s="27" t="str">
        <f t="shared" si="63"/>
        <v>Carroll</v>
      </c>
      <c r="D715" s="27">
        <v>3707</v>
      </c>
      <c r="E715" s="27">
        <v>149</v>
      </c>
      <c r="F715" s="27">
        <v>114</v>
      </c>
      <c r="G715" s="2">
        <v>5278</v>
      </c>
      <c r="H715" s="28">
        <v>28.6</v>
      </c>
      <c r="I715" s="12">
        <v>23425.89</v>
      </c>
      <c r="J715" s="27">
        <v>119</v>
      </c>
      <c r="K715" s="2">
        <v>52350</v>
      </c>
      <c r="L715" s="27">
        <v>1905</v>
      </c>
      <c r="M715" s="27" t="s">
        <v>525</v>
      </c>
      <c r="N715" s="27" t="s">
        <v>526</v>
      </c>
      <c r="O715" s="27" t="s">
        <v>527</v>
      </c>
      <c r="P715" s="27" t="s">
        <v>528</v>
      </c>
      <c r="Q715" s="27" t="s">
        <v>527</v>
      </c>
      <c r="R715" s="27" t="s">
        <v>529</v>
      </c>
      <c r="S715" s="27" t="s">
        <v>530</v>
      </c>
      <c r="T715" s="27" t="s">
        <v>531</v>
      </c>
      <c r="U715" s="4"/>
      <c r="V715" s="4"/>
      <c r="W715" s="4"/>
      <c r="X715" s="4"/>
      <c r="Y715" s="4"/>
      <c r="Z715" s="4"/>
      <c r="AA715" s="4"/>
      <c r="AB715" s="4"/>
    </row>
    <row r="716" spans="1:28" x14ac:dyDescent="0.25">
      <c r="A716" s="27" t="s">
        <v>1283</v>
      </c>
      <c r="B716" s="27" t="str">
        <f t="shared" si="62"/>
        <v>Tennessee</v>
      </c>
      <c r="C716" s="27" t="str">
        <f t="shared" si="63"/>
        <v>Carter</v>
      </c>
      <c r="D716" s="27">
        <v>1653</v>
      </c>
      <c r="E716" s="27">
        <v>80</v>
      </c>
      <c r="F716" s="27">
        <v>120</v>
      </c>
      <c r="G716" s="2">
        <v>3193</v>
      </c>
      <c r="H716" s="28">
        <v>32.5</v>
      </c>
      <c r="I716" s="12">
        <v>17162.48</v>
      </c>
      <c r="J716" s="27">
        <v>57</v>
      </c>
      <c r="K716" s="2">
        <v>18524</v>
      </c>
      <c r="L716" s="27">
        <v>1905</v>
      </c>
      <c r="M716" s="27" t="s">
        <v>525</v>
      </c>
      <c r="N716" s="27" t="s">
        <v>526</v>
      </c>
      <c r="O716" s="27" t="s">
        <v>527</v>
      </c>
      <c r="P716" s="27" t="s">
        <v>528</v>
      </c>
      <c r="Q716" s="27" t="s">
        <v>527</v>
      </c>
      <c r="R716" s="27" t="s">
        <v>529</v>
      </c>
      <c r="S716" s="27" t="s">
        <v>530</v>
      </c>
      <c r="T716" s="27" t="s">
        <v>531</v>
      </c>
      <c r="U716" s="4"/>
      <c r="V716" s="4"/>
      <c r="W716" s="4"/>
      <c r="X716" s="4"/>
      <c r="Y716" s="4"/>
      <c r="Z716" s="4"/>
      <c r="AA716" s="4"/>
      <c r="AB716" s="4"/>
    </row>
    <row r="717" spans="1:28" x14ac:dyDescent="0.25">
      <c r="A717" s="27" t="s">
        <v>1284</v>
      </c>
      <c r="B717" s="27" t="str">
        <f t="shared" si="62"/>
        <v>Tennessee</v>
      </c>
      <c r="C717" s="27" t="str">
        <f t="shared" si="63"/>
        <v>Cheatham</v>
      </c>
      <c r="D717" s="27">
        <v>1623</v>
      </c>
      <c r="E717" s="27">
        <v>62</v>
      </c>
      <c r="F717" s="27">
        <v>110</v>
      </c>
      <c r="G717" s="2">
        <v>2688</v>
      </c>
      <c r="H717" s="28">
        <v>32.159999999999997</v>
      </c>
      <c r="I717" s="12">
        <v>11045.76</v>
      </c>
      <c r="J717" s="27">
        <v>52</v>
      </c>
      <c r="K717" s="2">
        <v>18945</v>
      </c>
      <c r="L717" s="27">
        <v>1905</v>
      </c>
      <c r="M717" s="27" t="s">
        <v>525</v>
      </c>
      <c r="N717" s="27" t="s">
        <v>526</v>
      </c>
      <c r="O717" s="27" t="s">
        <v>527</v>
      </c>
      <c r="P717" s="27" t="s">
        <v>528</v>
      </c>
      <c r="Q717" s="27" t="s">
        <v>527</v>
      </c>
      <c r="R717" s="27" t="s">
        <v>529</v>
      </c>
      <c r="S717" s="27" t="s">
        <v>530</v>
      </c>
      <c r="T717" s="27" t="s">
        <v>531</v>
      </c>
      <c r="U717" s="4"/>
      <c r="V717" s="4"/>
      <c r="W717" s="4"/>
      <c r="X717" s="4"/>
      <c r="Y717" s="4"/>
      <c r="Z717" s="4"/>
      <c r="AA717" s="4"/>
      <c r="AB717" s="4"/>
    </row>
    <row r="718" spans="1:28" x14ac:dyDescent="0.25">
      <c r="A718" s="27" t="s">
        <v>1285</v>
      </c>
      <c r="B718" s="27" t="str">
        <f t="shared" si="62"/>
        <v>Tennessee</v>
      </c>
      <c r="C718" s="27" t="str">
        <f t="shared" si="63"/>
        <v>Chester</v>
      </c>
      <c r="D718" s="27">
        <v>1877</v>
      </c>
      <c r="E718" s="27">
        <v>49</v>
      </c>
      <c r="F718" s="27">
        <v>80</v>
      </c>
      <c r="G718" s="2">
        <v>2317</v>
      </c>
      <c r="H718" s="28">
        <v>30</v>
      </c>
      <c r="I718" s="12">
        <v>7627.89</v>
      </c>
      <c r="J718" s="27">
        <v>49</v>
      </c>
      <c r="K718" s="2">
        <v>13000</v>
      </c>
      <c r="L718" s="27">
        <v>1905</v>
      </c>
      <c r="M718" s="27" t="s">
        <v>525</v>
      </c>
      <c r="N718" s="27" t="s">
        <v>526</v>
      </c>
      <c r="O718" s="27" t="s">
        <v>527</v>
      </c>
      <c r="P718" s="27" t="s">
        <v>528</v>
      </c>
      <c r="Q718" s="27" t="s">
        <v>527</v>
      </c>
      <c r="R718" s="27" t="s">
        <v>529</v>
      </c>
      <c r="S718" s="27" t="s">
        <v>530</v>
      </c>
      <c r="T718" s="27" t="s">
        <v>531</v>
      </c>
      <c r="U718" s="4"/>
      <c r="V718" s="4"/>
      <c r="W718" s="4"/>
      <c r="X718" s="4"/>
      <c r="Y718" s="4"/>
      <c r="Z718" s="4"/>
      <c r="AA718" s="4"/>
      <c r="AB718" s="4"/>
    </row>
    <row r="719" spans="1:28" x14ac:dyDescent="0.25">
      <c r="A719" s="27" t="s">
        <v>1286</v>
      </c>
      <c r="B719" s="27" t="str">
        <f t="shared" si="62"/>
        <v>Tennessee</v>
      </c>
      <c r="C719" s="27" t="str">
        <f t="shared" si="63"/>
        <v>Claiborne</v>
      </c>
      <c r="D719" s="27">
        <v>3610</v>
      </c>
      <c r="E719" s="27">
        <v>101</v>
      </c>
      <c r="F719" s="27">
        <v>80</v>
      </c>
      <c r="G719" s="2">
        <v>5485</v>
      </c>
      <c r="H719" s="28">
        <v>28</v>
      </c>
      <c r="I719" s="12">
        <v>14334.01</v>
      </c>
      <c r="J719" s="27">
        <v>89</v>
      </c>
      <c r="K719" s="2">
        <v>18700</v>
      </c>
      <c r="L719" s="27">
        <v>1905</v>
      </c>
      <c r="M719" s="27" t="s">
        <v>525</v>
      </c>
      <c r="N719" s="27" t="s">
        <v>526</v>
      </c>
      <c r="O719" s="27" t="s">
        <v>527</v>
      </c>
      <c r="P719" s="27" t="s">
        <v>528</v>
      </c>
      <c r="Q719" s="27" t="s">
        <v>527</v>
      </c>
      <c r="R719" s="27" t="s">
        <v>529</v>
      </c>
      <c r="S719" s="27" t="s">
        <v>530</v>
      </c>
      <c r="T719" s="27" t="s">
        <v>531</v>
      </c>
      <c r="U719" s="4"/>
      <c r="V719" s="4"/>
      <c r="W719" s="4"/>
      <c r="X719" s="4"/>
      <c r="Y719" s="4"/>
      <c r="Z719" s="4"/>
      <c r="AA719" s="4"/>
      <c r="AB719" s="4"/>
    </row>
    <row r="720" spans="1:28" x14ac:dyDescent="0.25">
      <c r="A720" s="27" t="s">
        <v>1287</v>
      </c>
      <c r="B720" s="27" t="str">
        <f t="shared" si="62"/>
        <v>Tennessee</v>
      </c>
      <c r="C720" s="27" t="str">
        <f t="shared" si="63"/>
        <v>Clay</v>
      </c>
      <c r="D720" s="27">
        <v>2622</v>
      </c>
      <c r="E720" s="27">
        <v>45</v>
      </c>
      <c r="F720" s="27">
        <v>100</v>
      </c>
      <c r="G720" s="2">
        <v>2867</v>
      </c>
      <c r="H720" s="28">
        <v>26</v>
      </c>
      <c r="I720" s="12">
        <v>6531.43</v>
      </c>
      <c r="J720" s="27">
        <v>53</v>
      </c>
      <c r="K720" s="2">
        <v>8650</v>
      </c>
      <c r="L720" s="27">
        <v>1905</v>
      </c>
      <c r="M720" s="27" t="s">
        <v>525</v>
      </c>
      <c r="N720" s="27" t="s">
        <v>526</v>
      </c>
      <c r="O720" s="27" t="s">
        <v>527</v>
      </c>
      <c r="P720" s="27" t="s">
        <v>528</v>
      </c>
      <c r="Q720" s="27" t="s">
        <v>527</v>
      </c>
      <c r="R720" s="27" t="s">
        <v>529</v>
      </c>
      <c r="S720" s="27" t="s">
        <v>530</v>
      </c>
      <c r="T720" s="27" t="s">
        <v>531</v>
      </c>
      <c r="U720" s="4"/>
      <c r="V720" s="4"/>
      <c r="W720" s="4"/>
      <c r="X720" s="4"/>
      <c r="Y720" s="4"/>
      <c r="Z720" s="4"/>
      <c r="AA720" s="4"/>
      <c r="AB720" s="4"/>
    </row>
    <row r="721" spans="1:28" x14ac:dyDescent="0.25">
      <c r="A721" s="27" t="s">
        <v>1288</v>
      </c>
      <c r="B721" s="27" t="str">
        <f t="shared" si="62"/>
        <v>Tennessee</v>
      </c>
      <c r="C721" s="27" t="str">
        <f t="shared" si="63"/>
        <v>Cocke</v>
      </c>
      <c r="D721" s="27">
        <v>5617</v>
      </c>
      <c r="E721" s="27">
        <v>116</v>
      </c>
      <c r="F721" s="27">
        <v>114</v>
      </c>
      <c r="G721" s="2">
        <v>6796</v>
      </c>
      <c r="H721" s="28">
        <v>25</v>
      </c>
      <c r="I721" s="12">
        <v>13378.41</v>
      </c>
      <c r="J721" s="27">
        <v>104</v>
      </c>
      <c r="K721" s="2">
        <v>31000</v>
      </c>
      <c r="L721" s="27">
        <v>1905</v>
      </c>
      <c r="M721" s="27" t="s">
        <v>525</v>
      </c>
      <c r="N721" s="27" t="s">
        <v>526</v>
      </c>
      <c r="O721" s="27" t="s">
        <v>527</v>
      </c>
      <c r="P721" s="27" t="s">
        <v>528</v>
      </c>
      <c r="Q721" s="27" t="s">
        <v>527</v>
      </c>
      <c r="R721" s="27" t="s">
        <v>529</v>
      </c>
      <c r="S721" s="27" t="s">
        <v>530</v>
      </c>
      <c r="T721" s="27" t="s">
        <v>531</v>
      </c>
      <c r="U721" s="4"/>
      <c r="V721" s="4"/>
      <c r="W721" s="4"/>
      <c r="X721" s="4"/>
      <c r="Y721" s="4"/>
      <c r="Z721" s="4"/>
      <c r="AA721" s="4"/>
      <c r="AB721" s="4"/>
    </row>
    <row r="722" spans="1:28" x14ac:dyDescent="0.25">
      <c r="A722" s="27" t="s">
        <v>1289</v>
      </c>
      <c r="B722" s="27" t="str">
        <f t="shared" si="62"/>
        <v>Tennessee</v>
      </c>
      <c r="C722" s="27" t="str">
        <f t="shared" si="63"/>
        <v>Coffee</v>
      </c>
      <c r="D722" s="27">
        <v>2980</v>
      </c>
      <c r="E722" s="27">
        <v>72</v>
      </c>
      <c r="F722" s="27">
        <v>113</v>
      </c>
      <c r="G722" s="2">
        <v>3704</v>
      </c>
      <c r="H722" s="28">
        <v>30</v>
      </c>
      <c r="I722" s="12">
        <v>12123.01</v>
      </c>
      <c r="J722" s="27">
        <v>61</v>
      </c>
      <c r="K722" s="2">
        <v>31000</v>
      </c>
      <c r="L722" s="27">
        <v>1905</v>
      </c>
      <c r="M722" s="27" t="s">
        <v>525</v>
      </c>
      <c r="N722" s="27" t="s">
        <v>526</v>
      </c>
      <c r="O722" s="27" t="s">
        <v>527</v>
      </c>
      <c r="P722" s="27" t="s">
        <v>528</v>
      </c>
      <c r="Q722" s="27" t="s">
        <v>527</v>
      </c>
      <c r="R722" s="27" t="s">
        <v>529</v>
      </c>
      <c r="S722" s="27" t="s">
        <v>530</v>
      </c>
      <c r="T722" s="27" t="s">
        <v>531</v>
      </c>
      <c r="U722" s="4"/>
      <c r="V722" s="4"/>
      <c r="W722" s="4"/>
      <c r="X722" s="4"/>
      <c r="Y722" s="4"/>
      <c r="Z722" s="4"/>
      <c r="AA722" s="4"/>
      <c r="AB722" s="4"/>
    </row>
    <row r="723" spans="1:28" x14ac:dyDescent="0.25">
      <c r="A723" s="27" t="s">
        <v>1290</v>
      </c>
      <c r="B723" s="27" t="str">
        <f t="shared" si="62"/>
        <v>Tennessee</v>
      </c>
      <c r="C723" s="27" t="str">
        <f t="shared" si="63"/>
        <v>Crockett</v>
      </c>
      <c r="D723" s="27">
        <v>2734</v>
      </c>
      <c r="E723" s="27">
        <v>79</v>
      </c>
      <c r="F723" s="27">
        <v>96</v>
      </c>
      <c r="G723" s="2">
        <v>3760</v>
      </c>
      <c r="H723" s="28">
        <v>32.25</v>
      </c>
      <c r="I723" s="12">
        <v>17007.36</v>
      </c>
      <c r="J723" s="27">
        <v>54</v>
      </c>
      <c r="K723" s="2">
        <v>24830</v>
      </c>
      <c r="L723" s="27">
        <v>1905</v>
      </c>
      <c r="M723" s="27" t="s">
        <v>525</v>
      </c>
      <c r="N723" s="27" t="s">
        <v>526</v>
      </c>
      <c r="O723" s="27" t="s">
        <v>527</v>
      </c>
      <c r="P723" s="27" t="s">
        <v>528</v>
      </c>
      <c r="Q723" s="27" t="s">
        <v>527</v>
      </c>
      <c r="R723" s="27" t="s">
        <v>529</v>
      </c>
      <c r="S723" s="27" t="s">
        <v>530</v>
      </c>
      <c r="T723" s="27" t="s">
        <v>531</v>
      </c>
      <c r="U723" s="4"/>
      <c r="V723" s="4"/>
      <c r="W723" s="4"/>
      <c r="X723" s="4"/>
      <c r="Y723" s="4"/>
      <c r="Z723" s="4"/>
      <c r="AA723" s="4"/>
      <c r="AB723" s="4"/>
    </row>
    <row r="724" spans="1:28" x14ac:dyDescent="0.25">
      <c r="A724" s="27" t="s">
        <v>1291</v>
      </c>
      <c r="B724" s="27" t="str">
        <f t="shared" si="62"/>
        <v>Tennessee</v>
      </c>
      <c r="C724" s="27" t="str">
        <f t="shared" si="63"/>
        <v>Cumberland</v>
      </c>
      <c r="D724" s="27">
        <v>1575</v>
      </c>
      <c r="E724" s="27">
        <v>61</v>
      </c>
      <c r="F724" s="27">
        <v>79</v>
      </c>
      <c r="G724" s="2">
        <v>2517</v>
      </c>
      <c r="H724" s="28">
        <v>29.5</v>
      </c>
      <c r="I724" s="12">
        <v>9177.0499999999993</v>
      </c>
      <c r="J724" s="27">
        <v>63</v>
      </c>
      <c r="K724" s="2">
        <v>12700</v>
      </c>
      <c r="L724" s="27">
        <v>1905</v>
      </c>
      <c r="M724" s="27" t="s">
        <v>525</v>
      </c>
      <c r="N724" s="27" t="s">
        <v>526</v>
      </c>
      <c r="O724" s="27" t="s">
        <v>527</v>
      </c>
      <c r="P724" s="27" t="s">
        <v>528</v>
      </c>
      <c r="Q724" s="27" t="s">
        <v>527</v>
      </c>
      <c r="R724" s="27" t="s">
        <v>529</v>
      </c>
      <c r="S724" s="27" t="s">
        <v>530</v>
      </c>
      <c r="T724" s="27" t="s">
        <v>531</v>
      </c>
      <c r="U724" s="4"/>
      <c r="V724" s="4"/>
      <c r="W724" s="4"/>
      <c r="X724" s="4"/>
      <c r="Y724" s="4"/>
      <c r="Z724" s="4"/>
      <c r="AA724" s="4"/>
      <c r="AB724" s="4"/>
    </row>
    <row r="725" spans="1:28" x14ac:dyDescent="0.25">
      <c r="A725" s="27" t="s">
        <v>1292</v>
      </c>
      <c r="B725" s="27" t="str">
        <f t="shared" si="62"/>
        <v>Tennessee</v>
      </c>
      <c r="C725" s="27" t="str">
        <f t="shared" si="63"/>
        <v>Davidson</v>
      </c>
      <c r="D725" s="27">
        <v>15529</v>
      </c>
      <c r="E725" s="27">
        <v>424</v>
      </c>
      <c r="F725" s="27">
        <v>175</v>
      </c>
      <c r="G725" s="2">
        <v>21044</v>
      </c>
      <c r="H725" s="28">
        <v>50.15</v>
      </c>
      <c r="I725" s="12">
        <v>438733.99</v>
      </c>
      <c r="J725" s="27">
        <v>141</v>
      </c>
      <c r="K725" s="2">
        <v>645800</v>
      </c>
      <c r="L725" s="27">
        <v>1905</v>
      </c>
      <c r="M725" s="27" t="s">
        <v>525</v>
      </c>
      <c r="N725" s="27" t="s">
        <v>526</v>
      </c>
      <c r="O725" s="27" t="s">
        <v>527</v>
      </c>
      <c r="P725" s="27" t="s">
        <v>528</v>
      </c>
      <c r="Q725" s="27" t="s">
        <v>527</v>
      </c>
      <c r="R725" s="27" t="s">
        <v>529</v>
      </c>
      <c r="S725" s="27" t="s">
        <v>530</v>
      </c>
      <c r="T725" s="27" t="s">
        <v>531</v>
      </c>
      <c r="U725" s="4"/>
      <c r="V725" s="4"/>
      <c r="W725" s="4"/>
      <c r="X725" s="4"/>
      <c r="Y725" s="4"/>
      <c r="Z725" s="4"/>
      <c r="AA725" s="4"/>
      <c r="AB725" s="4"/>
    </row>
    <row r="726" spans="1:28" x14ac:dyDescent="0.25">
      <c r="A726" s="27" t="s">
        <v>1293</v>
      </c>
      <c r="B726" s="27" t="str">
        <f t="shared" si="62"/>
        <v>Tennessee</v>
      </c>
      <c r="C726" s="27" t="str">
        <f t="shared" si="63"/>
        <v>Decatur</v>
      </c>
      <c r="D726" s="27">
        <v>2141</v>
      </c>
      <c r="E726" s="27">
        <v>60</v>
      </c>
      <c r="F726" s="27">
        <v>84</v>
      </c>
      <c r="G726" s="2">
        <v>2794</v>
      </c>
      <c r="H726" s="28">
        <v>28.4</v>
      </c>
      <c r="I726" s="12">
        <v>8767.52</v>
      </c>
      <c r="J726" s="27">
        <v>57</v>
      </c>
      <c r="K726" s="2">
        <v>12697</v>
      </c>
      <c r="L726" s="27">
        <v>1905</v>
      </c>
      <c r="M726" s="27" t="s">
        <v>525</v>
      </c>
      <c r="N726" s="27" t="s">
        <v>526</v>
      </c>
      <c r="O726" s="27" t="s">
        <v>527</v>
      </c>
      <c r="P726" s="27" t="s">
        <v>528</v>
      </c>
      <c r="Q726" s="27" t="s">
        <v>527</v>
      </c>
      <c r="R726" s="27" t="s">
        <v>529</v>
      </c>
      <c r="S726" s="27" t="s">
        <v>530</v>
      </c>
      <c r="T726" s="27" t="s">
        <v>531</v>
      </c>
      <c r="U726" s="4"/>
      <c r="V726" s="4"/>
      <c r="W726" s="4"/>
      <c r="X726" s="4"/>
      <c r="Y726" s="4"/>
      <c r="Z726" s="4"/>
      <c r="AA726" s="4"/>
      <c r="AB726" s="4"/>
    </row>
    <row r="727" spans="1:28" x14ac:dyDescent="0.25">
      <c r="A727" s="27" t="s">
        <v>1760</v>
      </c>
      <c r="B727" s="27" t="str">
        <f t="shared" si="62"/>
        <v>Tennessee</v>
      </c>
      <c r="C727" s="27" t="str">
        <f t="shared" si="63"/>
        <v>DeKalb</v>
      </c>
      <c r="D727" s="27">
        <v>4695</v>
      </c>
      <c r="E727" s="27">
        <v>85</v>
      </c>
      <c r="F727" s="27">
        <v>80</v>
      </c>
      <c r="G727" s="2">
        <v>5705</v>
      </c>
      <c r="H727" s="28">
        <v>30.36</v>
      </c>
      <c r="I727" s="12">
        <v>12040.68</v>
      </c>
      <c r="J727" s="27">
        <v>77</v>
      </c>
      <c r="K727" s="2">
        <v>30800</v>
      </c>
      <c r="L727" s="27">
        <v>1905</v>
      </c>
      <c r="M727" s="27" t="s">
        <v>525</v>
      </c>
      <c r="N727" s="27" t="s">
        <v>526</v>
      </c>
      <c r="O727" s="27" t="s">
        <v>527</v>
      </c>
      <c r="P727" s="27" t="s">
        <v>528</v>
      </c>
      <c r="Q727" s="27" t="s">
        <v>527</v>
      </c>
      <c r="R727" s="27" t="s">
        <v>529</v>
      </c>
      <c r="S727" s="27" t="s">
        <v>530</v>
      </c>
      <c r="T727" s="27" t="s">
        <v>531</v>
      </c>
      <c r="U727" s="4"/>
      <c r="V727" s="4"/>
      <c r="W727" s="4"/>
      <c r="X727" s="4"/>
      <c r="Y727" s="4"/>
      <c r="Z727" s="4"/>
      <c r="AA727" s="4"/>
      <c r="AB727" s="4"/>
    </row>
    <row r="728" spans="1:28" x14ac:dyDescent="0.25">
      <c r="A728" s="27" t="s">
        <v>1294</v>
      </c>
      <c r="B728" s="27" t="str">
        <f t="shared" si="62"/>
        <v>Tennessee</v>
      </c>
      <c r="C728" s="27" t="str">
        <f t="shared" si="63"/>
        <v>Dickson</v>
      </c>
      <c r="D728" s="27">
        <v>2790</v>
      </c>
      <c r="E728" s="27">
        <v>101</v>
      </c>
      <c r="F728" s="27">
        <v>99</v>
      </c>
      <c r="G728" s="2">
        <v>4947</v>
      </c>
      <c r="H728" s="28">
        <v>30.34</v>
      </c>
      <c r="I728" s="12">
        <v>21529.65</v>
      </c>
      <c r="J728" s="27">
        <v>79</v>
      </c>
      <c r="K728" s="2">
        <v>15010</v>
      </c>
      <c r="L728" s="27">
        <v>1905</v>
      </c>
      <c r="M728" s="27" t="s">
        <v>525</v>
      </c>
      <c r="N728" s="27" t="s">
        <v>526</v>
      </c>
      <c r="O728" s="27" t="s">
        <v>527</v>
      </c>
      <c r="P728" s="27" t="s">
        <v>528</v>
      </c>
      <c r="Q728" s="27" t="s">
        <v>527</v>
      </c>
      <c r="R728" s="27" t="s">
        <v>529</v>
      </c>
      <c r="S728" s="27" t="s">
        <v>530</v>
      </c>
      <c r="T728" s="27" t="s">
        <v>531</v>
      </c>
      <c r="U728" s="4"/>
      <c r="V728" s="4"/>
      <c r="W728" s="4"/>
      <c r="X728" s="4"/>
      <c r="Y728" s="4"/>
      <c r="Z728" s="4"/>
      <c r="AA728" s="4"/>
      <c r="AB728" s="4"/>
    </row>
    <row r="729" spans="1:28" x14ac:dyDescent="0.25">
      <c r="A729" s="27" t="s">
        <v>1295</v>
      </c>
      <c r="B729" s="27" t="str">
        <f t="shared" si="62"/>
        <v>Tennessee</v>
      </c>
      <c r="C729" s="27" t="str">
        <f t="shared" si="63"/>
        <v>Dyer</v>
      </c>
      <c r="D729" s="27">
        <v>7100</v>
      </c>
      <c r="E729" s="27">
        <v>118</v>
      </c>
      <c r="F729" s="27">
        <v>137</v>
      </c>
      <c r="G729" s="2">
        <v>8100</v>
      </c>
      <c r="H729" s="28">
        <v>34.549999999999997</v>
      </c>
      <c r="I729" s="12">
        <v>30062.2</v>
      </c>
      <c r="J729" s="27">
        <v>79</v>
      </c>
      <c r="K729" s="2">
        <v>45000</v>
      </c>
      <c r="L729" s="27">
        <v>1905</v>
      </c>
      <c r="M729" s="27" t="s">
        <v>525</v>
      </c>
      <c r="N729" s="27" t="s">
        <v>526</v>
      </c>
      <c r="O729" s="27" t="s">
        <v>527</v>
      </c>
      <c r="P729" s="27" t="s">
        <v>528</v>
      </c>
      <c r="Q729" s="27" t="s">
        <v>527</v>
      </c>
      <c r="R729" s="27" t="s">
        <v>529</v>
      </c>
      <c r="S729" s="27" t="s">
        <v>530</v>
      </c>
      <c r="T729" s="27" t="s">
        <v>531</v>
      </c>
      <c r="U729" s="4"/>
      <c r="V729" s="4"/>
      <c r="W729" s="4"/>
      <c r="X729" s="4"/>
      <c r="Y729" s="4"/>
      <c r="Z729" s="4"/>
      <c r="AA729" s="4"/>
      <c r="AB729" s="4"/>
    </row>
    <row r="730" spans="1:28" x14ac:dyDescent="0.25">
      <c r="A730" s="27" t="s">
        <v>1296</v>
      </c>
      <c r="B730" s="27" t="str">
        <f t="shared" si="62"/>
        <v>Tennessee</v>
      </c>
      <c r="C730" s="27" t="str">
        <f t="shared" si="63"/>
        <v>Fayette</v>
      </c>
      <c r="D730" s="27">
        <v>4865</v>
      </c>
      <c r="E730" s="27">
        <v>129</v>
      </c>
      <c r="F730" s="27">
        <v>130</v>
      </c>
      <c r="G730" s="2">
        <v>7234</v>
      </c>
      <c r="H730" s="28">
        <v>27.9</v>
      </c>
      <c r="I730" s="12">
        <v>23707.53</v>
      </c>
      <c r="J730" s="27">
        <v>75</v>
      </c>
      <c r="K730" s="2">
        <v>19105</v>
      </c>
      <c r="L730" s="27">
        <v>1905</v>
      </c>
      <c r="M730" s="27" t="s">
        <v>525</v>
      </c>
      <c r="N730" s="27" t="s">
        <v>526</v>
      </c>
      <c r="O730" s="27" t="s">
        <v>527</v>
      </c>
      <c r="P730" s="27" t="s">
        <v>528</v>
      </c>
      <c r="Q730" s="27" t="s">
        <v>527</v>
      </c>
      <c r="R730" s="27" t="s">
        <v>529</v>
      </c>
      <c r="S730" s="27" t="s">
        <v>530</v>
      </c>
      <c r="T730" s="27" t="s">
        <v>531</v>
      </c>
      <c r="U730" s="4"/>
      <c r="V730" s="4"/>
      <c r="W730" s="4"/>
      <c r="X730" s="4"/>
      <c r="Y730" s="4"/>
      <c r="Z730" s="4"/>
      <c r="AA730" s="4"/>
      <c r="AB730" s="4"/>
    </row>
    <row r="731" spans="1:28" x14ac:dyDescent="0.25">
      <c r="A731" s="27" t="s">
        <v>1297</v>
      </c>
      <c r="B731" s="27" t="str">
        <f t="shared" si="62"/>
        <v>Tennessee</v>
      </c>
      <c r="C731" s="27" t="str">
        <f t="shared" si="63"/>
        <v>Fentress</v>
      </c>
      <c r="D731" s="27">
        <v>910</v>
      </c>
      <c r="E731" s="27">
        <v>43</v>
      </c>
      <c r="F731" s="27">
        <v>76</v>
      </c>
      <c r="G731" s="2">
        <v>1752</v>
      </c>
      <c r="H731" s="28">
        <v>26.26</v>
      </c>
      <c r="I731" s="12">
        <v>4761.55</v>
      </c>
      <c r="J731" s="27">
        <v>42</v>
      </c>
      <c r="K731" s="2">
        <v>3914</v>
      </c>
      <c r="L731" s="27">
        <v>1905</v>
      </c>
      <c r="M731" s="27" t="s">
        <v>525</v>
      </c>
      <c r="N731" s="27" t="s">
        <v>526</v>
      </c>
      <c r="O731" s="27" t="s">
        <v>527</v>
      </c>
      <c r="P731" s="27" t="s">
        <v>528</v>
      </c>
      <c r="Q731" s="27" t="s">
        <v>527</v>
      </c>
      <c r="R731" s="27" t="s">
        <v>529</v>
      </c>
      <c r="S731" s="27" t="s">
        <v>530</v>
      </c>
      <c r="T731" s="27" t="s">
        <v>531</v>
      </c>
      <c r="U731" s="4"/>
      <c r="V731" s="4"/>
      <c r="W731" s="4"/>
      <c r="X731" s="4"/>
      <c r="Y731" s="4"/>
      <c r="Z731" s="4"/>
      <c r="AA731" s="4"/>
      <c r="AB731" s="4"/>
    </row>
    <row r="732" spans="1:28" x14ac:dyDescent="0.25">
      <c r="A732" s="27" t="s">
        <v>1298</v>
      </c>
      <c r="B732" s="27" t="str">
        <f t="shared" si="62"/>
        <v>Tennessee</v>
      </c>
      <c r="C732" s="27" t="str">
        <f t="shared" si="63"/>
        <v>Franklin</v>
      </c>
      <c r="D732" s="27">
        <v>2847</v>
      </c>
      <c r="E732" s="27">
        <v>104</v>
      </c>
      <c r="F732" s="27">
        <v>105</v>
      </c>
      <c r="G732" s="2">
        <v>4710</v>
      </c>
      <c r="H732" s="28">
        <v>33</v>
      </c>
      <c r="I732" s="12">
        <v>24178.16</v>
      </c>
      <c r="J732" s="27">
        <v>81</v>
      </c>
      <c r="K732" s="2">
        <v>31627</v>
      </c>
      <c r="L732" s="27">
        <v>1905</v>
      </c>
      <c r="M732" s="27" t="s">
        <v>525</v>
      </c>
      <c r="N732" s="27" t="s">
        <v>526</v>
      </c>
      <c r="O732" s="27" t="s">
        <v>527</v>
      </c>
      <c r="P732" s="27" t="s">
        <v>528</v>
      </c>
      <c r="Q732" s="27" t="s">
        <v>527</v>
      </c>
      <c r="R732" s="27" t="s">
        <v>529</v>
      </c>
      <c r="S732" s="27" t="s">
        <v>530</v>
      </c>
      <c r="T732" s="27" t="s">
        <v>531</v>
      </c>
      <c r="U732" s="4"/>
      <c r="V732" s="4"/>
      <c r="W732" s="4"/>
      <c r="X732" s="4"/>
      <c r="Y732" s="4"/>
      <c r="Z732" s="4"/>
      <c r="AA732" s="4"/>
      <c r="AB732" s="4"/>
    </row>
    <row r="733" spans="1:28" x14ac:dyDescent="0.25">
      <c r="A733" s="27" t="s">
        <v>1299</v>
      </c>
      <c r="B733" s="27" t="str">
        <f t="shared" si="62"/>
        <v>Tennessee</v>
      </c>
      <c r="C733" s="27" t="str">
        <f t="shared" si="63"/>
        <v>Gibson</v>
      </c>
      <c r="D733" s="27">
        <v>6795</v>
      </c>
      <c r="E733" s="27">
        <v>216</v>
      </c>
      <c r="F733" s="27">
        <v>126</v>
      </c>
      <c r="G733" s="2">
        <v>11414</v>
      </c>
      <c r="H733" s="28">
        <v>37.32</v>
      </c>
      <c r="I733" s="12">
        <v>60391.01</v>
      </c>
      <c r="J733" s="27">
        <v>136</v>
      </c>
      <c r="K733" s="2">
        <v>114886</v>
      </c>
      <c r="L733" s="27">
        <v>1905</v>
      </c>
      <c r="M733" s="27" t="s">
        <v>525</v>
      </c>
      <c r="N733" s="27" t="s">
        <v>526</v>
      </c>
      <c r="O733" s="27" t="s">
        <v>527</v>
      </c>
      <c r="P733" s="27" t="s">
        <v>528</v>
      </c>
      <c r="Q733" s="27" t="s">
        <v>527</v>
      </c>
      <c r="R733" s="27" t="s">
        <v>529</v>
      </c>
      <c r="S733" s="27" t="s">
        <v>530</v>
      </c>
      <c r="T733" s="27" t="s">
        <v>531</v>
      </c>
      <c r="U733" s="4"/>
      <c r="V733" s="4"/>
      <c r="W733" s="4"/>
      <c r="X733" s="4"/>
      <c r="Y733" s="4"/>
      <c r="Z733" s="4"/>
      <c r="AA733" s="4"/>
      <c r="AB733" s="4"/>
    </row>
    <row r="734" spans="1:28" x14ac:dyDescent="0.25">
      <c r="A734" s="27" t="s">
        <v>1300</v>
      </c>
      <c r="B734" s="27" t="str">
        <f t="shared" si="62"/>
        <v>Tennessee</v>
      </c>
      <c r="C734" s="27" t="str">
        <f t="shared" si="63"/>
        <v>Giles</v>
      </c>
      <c r="D734" s="27">
        <v>4554</v>
      </c>
      <c r="E734" s="27">
        <v>161</v>
      </c>
      <c r="F734" s="27">
        <v>117</v>
      </c>
      <c r="G734" s="2">
        <v>7980</v>
      </c>
      <c r="H734" s="28">
        <v>34.01</v>
      </c>
      <c r="I734" s="12">
        <v>36700.629999999997</v>
      </c>
      <c r="J734" s="27">
        <v>84</v>
      </c>
      <c r="K734" s="2">
        <v>38040</v>
      </c>
      <c r="L734" s="27">
        <v>1905</v>
      </c>
      <c r="M734" s="27" t="s">
        <v>525</v>
      </c>
      <c r="N734" s="27" t="s">
        <v>526</v>
      </c>
      <c r="O734" s="27" t="s">
        <v>527</v>
      </c>
      <c r="P734" s="27" t="s">
        <v>528</v>
      </c>
      <c r="Q734" s="27" t="s">
        <v>527</v>
      </c>
      <c r="R734" s="27" t="s">
        <v>529</v>
      </c>
      <c r="S734" s="27" t="s">
        <v>530</v>
      </c>
      <c r="T734" s="27" t="s">
        <v>531</v>
      </c>
      <c r="U734" s="4"/>
      <c r="V734" s="4"/>
      <c r="W734" s="4"/>
      <c r="X734" s="4"/>
      <c r="Y734" s="4"/>
      <c r="Z734" s="4"/>
      <c r="AA734" s="4"/>
      <c r="AB734" s="4"/>
    </row>
    <row r="735" spans="1:28" x14ac:dyDescent="0.25">
      <c r="A735" s="27" t="s">
        <v>1761</v>
      </c>
      <c r="B735" s="27" t="str">
        <f t="shared" si="62"/>
        <v>Tennessee</v>
      </c>
      <c r="C735" s="27" t="str">
        <f t="shared" si="63"/>
        <v>Grainger</v>
      </c>
      <c r="D735" s="27">
        <v>3373</v>
      </c>
      <c r="E735" s="27">
        <v>59</v>
      </c>
      <c r="F735" s="27">
        <v>100</v>
      </c>
      <c r="G735" s="2">
        <v>4614</v>
      </c>
      <c r="H735" s="28">
        <v>31.1</v>
      </c>
      <c r="I735" s="12">
        <v>10119.85</v>
      </c>
      <c r="J735" s="27">
        <v>53</v>
      </c>
      <c r="K735" s="2">
        <v>15650</v>
      </c>
      <c r="L735" s="27">
        <v>1905</v>
      </c>
      <c r="M735" s="27" t="s">
        <v>525</v>
      </c>
      <c r="N735" s="27" t="s">
        <v>526</v>
      </c>
      <c r="O735" s="27" t="s">
        <v>527</v>
      </c>
      <c r="P735" s="27" t="s">
        <v>528</v>
      </c>
      <c r="Q735" s="27" t="s">
        <v>527</v>
      </c>
      <c r="R735" s="27" t="s">
        <v>529</v>
      </c>
      <c r="S735" s="27" t="s">
        <v>530</v>
      </c>
      <c r="T735" s="27" t="s">
        <v>531</v>
      </c>
      <c r="U735" s="4"/>
      <c r="V735" s="4"/>
      <c r="W735" s="4"/>
      <c r="X735" s="4"/>
      <c r="Y735" s="4"/>
      <c r="Z735" s="4"/>
      <c r="AA735" s="4"/>
      <c r="AB735" s="4"/>
    </row>
    <row r="736" spans="1:28" x14ac:dyDescent="0.25">
      <c r="A736" s="27" t="s">
        <v>1301</v>
      </c>
      <c r="B736" s="27" t="str">
        <f t="shared" si="62"/>
        <v>Tennessee</v>
      </c>
      <c r="C736" s="27" t="str">
        <f t="shared" si="63"/>
        <v>Greene</v>
      </c>
      <c r="D736" s="27">
        <v>5739</v>
      </c>
      <c r="E736" s="27">
        <v>171</v>
      </c>
      <c r="F736" s="27">
        <v>109</v>
      </c>
      <c r="G736" s="2">
        <v>9233</v>
      </c>
      <c r="H736" s="28">
        <v>30.75</v>
      </c>
      <c r="I736" s="12">
        <v>28172.13</v>
      </c>
      <c r="J736" s="27">
        <v>123</v>
      </c>
      <c r="K736" s="2">
        <v>48593</v>
      </c>
      <c r="L736" s="27">
        <v>1905</v>
      </c>
      <c r="M736" s="27" t="s">
        <v>525</v>
      </c>
      <c r="N736" s="27" t="s">
        <v>526</v>
      </c>
      <c r="O736" s="27" t="s">
        <v>527</v>
      </c>
      <c r="P736" s="27" t="s">
        <v>528</v>
      </c>
      <c r="Q736" s="27" t="s">
        <v>527</v>
      </c>
      <c r="R736" s="27" t="s">
        <v>529</v>
      </c>
      <c r="S736" s="27" t="s">
        <v>530</v>
      </c>
      <c r="T736" s="27" t="s">
        <v>531</v>
      </c>
      <c r="U736" s="4"/>
      <c r="V736" s="4"/>
      <c r="W736" s="4"/>
      <c r="X736" s="4"/>
      <c r="Y736" s="4"/>
      <c r="Z736" s="4"/>
      <c r="AA736" s="4"/>
      <c r="AB736" s="4"/>
    </row>
    <row r="737" spans="1:28" x14ac:dyDescent="0.25">
      <c r="A737" s="27" t="s">
        <v>1302</v>
      </c>
      <c r="B737" s="27" t="str">
        <f t="shared" si="62"/>
        <v>Tennessee</v>
      </c>
      <c r="C737" s="27" t="str">
        <f t="shared" si="63"/>
        <v>Grundy</v>
      </c>
      <c r="D737" s="27">
        <v>1042</v>
      </c>
      <c r="E737" s="27">
        <v>33</v>
      </c>
      <c r="F737" s="27">
        <v>56</v>
      </c>
      <c r="G737" s="2">
        <v>1443</v>
      </c>
      <c r="H737" s="28">
        <v>32.17</v>
      </c>
      <c r="I737" s="12">
        <v>2002.52</v>
      </c>
      <c r="J737" s="27">
        <v>32</v>
      </c>
      <c r="K737" s="2">
        <v>51225</v>
      </c>
      <c r="L737" s="27">
        <v>1905</v>
      </c>
      <c r="M737" s="27" t="s">
        <v>525</v>
      </c>
      <c r="N737" s="27" t="s">
        <v>526</v>
      </c>
      <c r="O737" s="27" t="s">
        <v>527</v>
      </c>
      <c r="P737" s="27" t="s">
        <v>528</v>
      </c>
      <c r="Q737" s="27" t="s">
        <v>527</v>
      </c>
      <c r="R737" s="27" t="s">
        <v>529</v>
      </c>
      <c r="S737" s="27" t="s">
        <v>530</v>
      </c>
      <c r="T737" s="27" t="s">
        <v>531</v>
      </c>
      <c r="U737" s="4"/>
      <c r="V737" s="4"/>
      <c r="W737" s="4"/>
      <c r="X737" s="4"/>
      <c r="Y737" s="4"/>
      <c r="Z737" s="4"/>
      <c r="AA737" s="4"/>
      <c r="AB737" s="4"/>
    </row>
    <row r="738" spans="1:28" x14ac:dyDescent="0.25">
      <c r="A738" s="27" t="s">
        <v>1303</v>
      </c>
      <c r="B738" s="27" t="str">
        <f t="shared" si="62"/>
        <v>Tennessee</v>
      </c>
      <c r="C738" s="27" t="str">
        <f t="shared" si="63"/>
        <v>Hamblen</v>
      </c>
      <c r="D738" s="27">
        <v>1987</v>
      </c>
      <c r="E738" s="27">
        <v>74</v>
      </c>
      <c r="F738" s="27">
        <v>128</v>
      </c>
      <c r="G738" s="2">
        <v>3228</v>
      </c>
      <c r="H738" s="28">
        <v>30</v>
      </c>
      <c r="I738" s="12">
        <v>22692.720000000001</v>
      </c>
      <c r="J738" s="27">
        <v>51</v>
      </c>
      <c r="K738" s="2">
        <v>41530</v>
      </c>
      <c r="L738" s="27">
        <v>1905</v>
      </c>
      <c r="M738" s="27" t="s">
        <v>525</v>
      </c>
      <c r="N738" s="27" t="s">
        <v>526</v>
      </c>
      <c r="O738" s="27" t="s">
        <v>527</v>
      </c>
      <c r="P738" s="27" t="s">
        <v>528</v>
      </c>
      <c r="Q738" s="27" t="s">
        <v>527</v>
      </c>
      <c r="R738" s="27" t="s">
        <v>529</v>
      </c>
      <c r="S738" s="27" t="s">
        <v>530</v>
      </c>
      <c r="T738" s="27" t="s">
        <v>531</v>
      </c>
      <c r="U738" s="4"/>
      <c r="V738" s="4"/>
      <c r="W738" s="4"/>
      <c r="X738" s="4"/>
      <c r="Y738" s="4"/>
      <c r="Z738" s="4"/>
      <c r="AA738" s="4"/>
      <c r="AB738" s="4"/>
    </row>
    <row r="739" spans="1:28" x14ac:dyDescent="0.25">
      <c r="A739" s="27" t="s">
        <v>1304</v>
      </c>
      <c r="B739" s="27" t="str">
        <f t="shared" si="62"/>
        <v>Tennessee</v>
      </c>
      <c r="C739" s="27" t="str">
        <f t="shared" si="63"/>
        <v>Hamilton</v>
      </c>
      <c r="D739" s="27">
        <v>8577</v>
      </c>
      <c r="E739" s="27">
        <v>253</v>
      </c>
      <c r="F739" s="27">
        <v>165</v>
      </c>
      <c r="G739" s="2">
        <v>13523</v>
      </c>
      <c r="H739" s="28">
        <v>46.8</v>
      </c>
      <c r="I739" s="12">
        <v>127625.03</v>
      </c>
      <c r="J739" s="27">
        <v>83</v>
      </c>
      <c r="K739" s="2">
        <v>575609</v>
      </c>
      <c r="L739" s="27">
        <v>1905</v>
      </c>
      <c r="M739" s="27" t="s">
        <v>525</v>
      </c>
      <c r="N739" s="27" t="s">
        <v>526</v>
      </c>
      <c r="O739" s="27" t="s">
        <v>527</v>
      </c>
      <c r="P739" s="27" t="s">
        <v>528</v>
      </c>
      <c r="Q739" s="27" t="s">
        <v>527</v>
      </c>
      <c r="R739" s="27" t="s">
        <v>529</v>
      </c>
      <c r="S739" s="27" t="s">
        <v>530</v>
      </c>
      <c r="T739" s="27" t="s">
        <v>531</v>
      </c>
      <c r="U739" s="4"/>
      <c r="V739" s="4"/>
      <c r="W739" s="4"/>
      <c r="X739" s="4"/>
      <c r="Y739" s="4"/>
      <c r="Z739" s="4"/>
      <c r="AA739" s="4"/>
      <c r="AB739" s="4"/>
    </row>
    <row r="740" spans="1:28" x14ac:dyDescent="0.25">
      <c r="A740" s="27" t="s">
        <v>1305</v>
      </c>
      <c r="B740" s="27" t="str">
        <f t="shared" si="62"/>
        <v>Tennessee</v>
      </c>
      <c r="C740" s="27" t="str">
        <f t="shared" si="63"/>
        <v>Hancock</v>
      </c>
      <c r="D740" s="27">
        <v>2104</v>
      </c>
      <c r="E740" s="27">
        <v>53</v>
      </c>
      <c r="F740" s="27">
        <v>108</v>
      </c>
      <c r="G740" s="2">
        <v>3467</v>
      </c>
      <c r="H740" s="28">
        <v>24</v>
      </c>
      <c r="I740" s="12">
        <v>7551.4</v>
      </c>
      <c r="J740" s="27">
        <v>21</v>
      </c>
      <c r="K740" s="2">
        <v>3300</v>
      </c>
      <c r="L740" s="27">
        <v>1905</v>
      </c>
      <c r="M740" s="27" t="s">
        <v>525</v>
      </c>
      <c r="N740" s="27" t="s">
        <v>526</v>
      </c>
      <c r="O740" s="27" t="s">
        <v>527</v>
      </c>
      <c r="P740" s="27" t="s">
        <v>528</v>
      </c>
      <c r="Q740" s="27" t="s">
        <v>527</v>
      </c>
      <c r="R740" s="27" t="s">
        <v>529</v>
      </c>
      <c r="S740" s="27" t="s">
        <v>530</v>
      </c>
      <c r="T740" s="27" t="s">
        <v>531</v>
      </c>
      <c r="U740" s="4"/>
      <c r="V740" s="4"/>
      <c r="W740" s="4"/>
      <c r="X740" s="4"/>
      <c r="Y740" s="4"/>
      <c r="Z740" s="4"/>
      <c r="AA740" s="4"/>
      <c r="AB740" s="4"/>
    </row>
    <row r="741" spans="1:28" x14ac:dyDescent="0.25">
      <c r="A741" s="27" t="s">
        <v>1306</v>
      </c>
      <c r="B741" s="27" t="str">
        <f t="shared" si="62"/>
        <v>Tennessee</v>
      </c>
      <c r="C741" s="27" t="str">
        <f t="shared" si="63"/>
        <v>Hardeman</v>
      </c>
      <c r="D741" s="27">
        <v>4420</v>
      </c>
      <c r="E741" s="27">
        <v>144</v>
      </c>
      <c r="F741" s="12">
        <v>106</v>
      </c>
      <c r="G741" s="2">
        <v>5916</v>
      </c>
      <c r="H741" s="28">
        <v>33</v>
      </c>
      <c r="I741" s="12">
        <v>22503.279999999999</v>
      </c>
      <c r="J741" s="27">
        <v>94</v>
      </c>
      <c r="K741" s="27">
        <v>36102</v>
      </c>
      <c r="L741" s="27">
        <v>1905</v>
      </c>
      <c r="M741" s="27" t="s">
        <v>525</v>
      </c>
      <c r="N741" s="27" t="s">
        <v>526</v>
      </c>
      <c r="O741" s="27" t="s">
        <v>527</v>
      </c>
      <c r="P741" s="27" t="s">
        <v>528</v>
      </c>
      <c r="Q741" s="27" t="s">
        <v>527</v>
      </c>
      <c r="R741" s="27" t="s">
        <v>529</v>
      </c>
      <c r="S741" s="27" t="s">
        <v>530</v>
      </c>
      <c r="T741" s="27" t="s">
        <v>531</v>
      </c>
      <c r="U741" s="4"/>
      <c r="V741" s="4"/>
      <c r="W741" s="4"/>
      <c r="X741" s="4"/>
      <c r="Y741" s="4"/>
      <c r="Z741" s="4"/>
      <c r="AA741" s="4"/>
      <c r="AB741" s="4"/>
    </row>
    <row r="742" spans="1:28" x14ac:dyDescent="0.25">
      <c r="A742" s="27" t="s">
        <v>1307</v>
      </c>
      <c r="B742" s="27" t="str">
        <f t="shared" si="62"/>
        <v>Tennessee</v>
      </c>
      <c r="C742" s="27" t="str">
        <f t="shared" si="63"/>
        <v>Hardin</v>
      </c>
      <c r="D742" s="27">
        <v>2520</v>
      </c>
      <c r="E742" s="27">
        <v>99</v>
      </c>
      <c r="F742" s="27">
        <v>89</v>
      </c>
      <c r="G742" s="2">
        <v>4250</v>
      </c>
      <c r="H742" s="28">
        <v>31.68</v>
      </c>
      <c r="I742" s="12">
        <v>18683.990000000002</v>
      </c>
      <c r="J742" s="27">
        <v>77</v>
      </c>
      <c r="K742" s="2">
        <v>18635</v>
      </c>
      <c r="L742" s="27">
        <v>1905</v>
      </c>
      <c r="M742" s="27" t="s">
        <v>525</v>
      </c>
      <c r="N742" s="27" t="s">
        <v>526</v>
      </c>
      <c r="O742" s="27" t="s">
        <v>527</v>
      </c>
      <c r="P742" s="27" t="s">
        <v>528</v>
      </c>
      <c r="Q742" s="27" t="s">
        <v>527</v>
      </c>
      <c r="R742" s="27" t="s">
        <v>529</v>
      </c>
      <c r="S742" s="27" t="s">
        <v>530</v>
      </c>
      <c r="T742" s="27" t="s">
        <v>531</v>
      </c>
      <c r="U742" s="4"/>
      <c r="V742" s="4"/>
      <c r="W742" s="4"/>
      <c r="X742" s="4"/>
      <c r="Y742" s="4"/>
      <c r="Z742" s="4"/>
      <c r="AA742" s="4"/>
      <c r="AB742" s="4"/>
    </row>
    <row r="743" spans="1:28" x14ac:dyDescent="0.25">
      <c r="A743" s="27" t="s">
        <v>1308</v>
      </c>
      <c r="B743" s="27" t="str">
        <f t="shared" si="62"/>
        <v>Tennessee</v>
      </c>
      <c r="C743" s="27" t="str">
        <f t="shared" si="63"/>
        <v>Hawkins</v>
      </c>
      <c r="D743" s="27">
        <v>4811</v>
      </c>
      <c r="E743" s="27">
        <v>112</v>
      </c>
      <c r="F743" s="27">
        <v>128</v>
      </c>
      <c r="G743" s="2">
        <v>6484</v>
      </c>
      <c r="H743" s="28">
        <v>31.25</v>
      </c>
      <c r="I743" s="12">
        <v>19507.900000000001</v>
      </c>
      <c r="J743" s="27">
        <v>77</v>
      </c>
      <c r="K743" s="2">
        <v>30800</v>
      </c>
      <c r="L743" s="27">
        <v>1905</v>
      </c>
      <c r="M743" s="27" t="s">
        <v>525</v>
      </c>
      <c r="N743" s="27" t="s">
        <v>526</v>
      </c>
      <c r="O743" s="27" t="s">
        <v>527</v>
      </c>
      <c r="P743" s="27" t="s">
        <v>528</v>
      </c>
      <c r="Q743" s="27" t="s">
        <v>527</v>
      </c>
      <c r="R743" s="27" t="s">
        <v>529</v>
      </c>
      <c r="S743" s="27" t="s">
        <v>530</v>
      </c>
      <c r="T743" s="27" t="s">
        <v>531</v>
      </c>
      <c r="U743" s="4"/>
      <c r="V743" s="4"/>
      <c r="W743" s="4"/>
      <c r="X743" s="4"/>
      <c r="Y743" s="4"/>
      <c r="Z743" s="4"/>
      <c r="AA743" s="4"/>
      <c r="AB743" s="4"/>
    </row>
    <row r="744" spans="1:28" x14ac:dyDescent="0.25">
      <c r="A744" s="27" t="s">
        <v>1309</v>
      </c>
      <c r="B744" s="27" t="str">
        <f t="shared" si="62"/>
        <v>Tennessee</v>
      </c>
      <c r="C744" s="27" t="str">
        <f t="shared" si="63"/>
        <v>Haywood</v>
      </c>
      <c r="D744" s="27">
        <v>3392</v>
      </c>
      <c r="E744" s="27">
        <v>111</v>
      </c>
      <c r="F744" s="27">
        <v>102</v>
      </c>
      <c r="G744" s="2">
        <v>5084</v>
      </c>
      <c r="H744" s="28">
        <v>32</v>
      </c>
      <c r="I744" s="12">
        <v>20153.41</v>
      </c>
      <c r="J744" s="27">
        <v>54</v>
      </c>
      <c r="K744" s="2">
        <v>41956</v>
      </c>
      <c r="L744" s="27">
        <v>1905</v>
      </c>
      <c r="M744" s="27" t="s">
        <v>525</v>
      </c>
      <c r="N744" s="27" t="s">
        <v>526</v>
      </c>
      <c r="O744" s="27" t="s">
        <v>527</v>
      </c>
      <c r="P744" s="27" t="s">
        <v>528</v>
      </c>
      <c r="Q744" s="27" t="s">
        <v>527</v>
      </c>
      <c r="R744" s="27" t="s">
        <v>529</v>
      </c>
      <c r="S744" s="27" t="s">
        <v>530</v>
      </c>
      <c r="T744" s="27" t="s">
        <v>531</v>
      </c>
      <c r="U744" s="4"/>
      <c r="V744" s="4"/>
      <c r="W744" s="4"/>
      <c r="X744" s="4"/>
      <c r="Y744" s="4"/>
      <c r="Z744" s="4"/>
      <c r="AA744" s="4"/>
      <c r="AB744" s="4"/>
    </row>
    <row r="745" spans="1:28" x14ac:dyDescent="0.25">
      <c r="A745" s="27" t="s">
        <v>1310</v>
      </c>
      <c r="B745" s="27" t="str">
        <f t="shared" si="62"/>
        <v>Tennessee</v>
      </c>
      <c r="C745" s="27" t="str">
        <f t="shared" si="63"/>
        <v>Henderson</v>
      </c>
      <c r="D745" s="27">
        <v>4246</v>
      </c>
      <c r="E745" s="2">
        <v>123</v>
      </c>
      <c r="F745" s="27">
        <v>96</v>
      </c>
      <c r="G745" s="2">
        <v>5092</v>
      </c>
      <c r="H745" s="28">
        <v>32</v>
      </c>
      <c r="I745" s="12">
        <v>14142.13</v>
      </c>
      <c r="J745" s="27">
        <v>82</v>
      </c>
      <c r="K745" s="2">
        <v>37000</v>
      </c>
      <c r="L745" s="27">
        <v>1905</v>
      </c>
      <c r="M745" s="27" t="s">
        <v>525</v>
      </c>
      <c r="N745" s="27" t="s">
        <v>526</v>
      </c>
      <c r="O745" s="27" t="s">
        <v>527</v>
      </c>
      <c r="P745" s="27" t="s">
        <v>528</v>
      </c>
      <c r="Q745" s="27" t="s">
        <v>527</v>
      </c>
      <c r="R745" s="27" t="s">
        <v>529</v>
      </c>
      <c r="S745" s="27" t="s">
        <v>530</v>
      </c>
      <c r="T745" s="27" t="s">
        <v>531</v>
      </c>
      <c r="U745" s="4"/>
      <c r="V745" s="4"/>
      <c r="W745" s="4"/>
      <c r="X745" s="4"/>
      <c r="Y745" s="4"/>
      <c r="Z745" s="4"/>
      <c r="AA745" s="4"/>
      <c r="AB745" s="4"/>
    </row>
    <row r="746" spans="1:28" x14ac:dyDescent="0.25">
      <c r="A746" s="27" t="s">
        <v>1311</v>
      </c>
      <c r="B746" s="27" t="str">
        <f t="shared" si="62"/>
        <v>Tennessee</v>
      </c>
      <c r="C746" s="27" t="str">
        <f t="shared" si="63"/>
        <v>Henry</v>
      </c>
      <c r="D746" s="27">
        <v>4086</v>
      </c>
      <c r="E746" s="27">
        <v>135</v>
      </c>
      <c r="F746" s="27">
        <v>119</v>
      </c>
      <c r="G746" s="2">
        <v>6902</v>
      </c>
      <c r="H746" s="28">
        <v>35.5</v>
      </c>
      <c r="I746" s="12">
        <v>31554.91</v>
      </c>
      <c r="J746" s="27">
        <v>102</v>
      </c>
      <c r="K746" s="2">
        <v>38920</v>
      </c>
      <c r="L746" s="27">
        <v>1905</v>
      </c>
      <c r="M746" s="27" t="s">
        <v>525</v>
      </c>
      <c r="N746" s="27" t="s">
        <v>526</v>
      </c>
      <c r="O746" s="27" t="s">
        <v>527</v>
      </c>
      <c r="P746" s="27" t="s">
        <v>528</v>
      </c>
      <c r="Q746" s="27" t="s">
        <v>527</v>
      </c>
      <c r="R746" s="27" t="s">
        <v>529</v>
      </c>
      <c r="S746" s="27" t="s">
        <v>530</v>
      </c>
      <c r="T746" s="27" t="s">
        <v>531</v>
      </c>
      <c r="U746" s="4"/>
      <c r="V746" s="4"/>
      <c r="W746" s="4"/>
      <c r="X746" s="4"/>
      <c r="Y746" s="4"/>
      <c r="Z746" s="4"/>
      <c r="AA746" s="4"/>
      <c r="AB746" s="4"/>
    </row>
    <row r="747" spans="1:28" x14ac:dyDescent="0.25">
      <c r="A747" s="27" t="s">
        <v>1312</v>
      </c>
      <c r="B747" s="27" t="str">
        <f t="shared" si="62"/>
        <v>Tennessee</v>
      </c>
      <c r="C747" s="27" t="str">
        <f t="shared" si="63"/>
        <v>Hickman</v>
      </c>
      <c r="D747" s="27">
        <v>3042</v>
      </c>
      <c r="E747" s="27">
        <v>99</v>
      </c>
      <c r="F747" s="27">
        <v>90</v>
      </c>
      <c r="G747" s="2">
        <v>4455</v>
      </c>
      <c r="H747" s="28">
        <v>30</v>
      </c>
      <c r="I747" s="12">
        <v>12185.52</v>
      </c>
      <c r="J747" s="27">
        <v>83</v>
      </c>
      <c r="K747" s="2">
        <v>21405</v>
      </c>
      <c r="L747" s="27">
        <v>1905</v>
      </c>
      <c r="M747" s="27" t="s">
        <v>525</v>
      </c>
      <c r="N747" s="27" t="s">
        <v>526</v>
      </c>
      <c r="O747" s="27" t="s">
        <v>527</v>
      </c>
      <c r="P747" s="27" t="s">
        <v>528</v>
      </c>
      <c r="Q747" s="27" t="s">
        <v>527</v>
      </c>
      <c r="R747" s="27" t="s">
        <v>529</v>
      </c>
      <c r="S747" s="27" t="s">
        <v>530</v>
      </c>
      <c r="T747" s="27" t="s">
        <v>531</v>
      </c>
      <c r="U747" s="4"/>
      <c r="V747" s="4"/>
      <c r="W747" s="4"/>
      <c r="X747" s="4"/>
      <c r="Y747" s="4"/>
      <c r="Z747" s="4"/>
      <c r="AA747" s="4"/>
      <c r="AB747" s="4"/>
    </row>
    <row r="748" spans="1:28" x14ac:dyDescent="0.25">
      <c r="A748" s="27" t="s">
        <v>1313</v>
      </c>
      <c r="B748" s="27" t="str">
        <f t="shared" si="62"/>
        <v>Tennessee</v>
      </c>
      <c r="C748" s="27" t="str">
        <f t="shared" si="63"/>
        <v>Houston</v>
      </c>
      <c r="D748" s="27">
        <v>892</v>
      </c>
      <c r="E748" s="2">
        <v>35</v>
      </c>
      <c r="F748" s="27">
        <v>100</v>
      </c>
      <c r="G748" s="2">
        <v>1623</v>
      </c>
      <c r="H748" s="28">
        <v>35</v>
      </c>
      <c r="I748" s="12">
        <v>8326.16</v>
      </c>
      <c r="J748" s="27">
        <v>30</v>
      </c>
      <c r="K748" s="2">
        <v>9450</v>
      </c>
      <c r="L748" s="27">
        <v>1905</v>
      </c>
      <c r="M748" s="27" t="s">
        <v>525</v>
      </c>
      <c r="N748" s="27" t="s">
        <v>526</v>
      </c>
      <c r="O748" s="27" t="s">
        <v>527</v>
      </c>
      <c r="P748" s="27" t="s">
        <v>528</v>
      </c>
      <c r="Q748" s="27" t="s">
        <v>527</v>
      </c>
      <c r="R748" s="27" t="s">
        <v>529</v>
      </c>
      <c r="S748" s="27" t="s">
        <v>530</v>
      </c>
      <c r="T748" s="27" t="s">
        <v>531</v>
      </c>
      <c r="U748" s="4"/>
      <c r="V748" s="4"/>
      <c r="W748" s="4"/>
      <c r="X748" s="4"/>
      <c r="Y748" s="4"/>
      <c r="Z748" s="4"/>
      <c r="AA748" s="4"/>
      <c r="AB748" s="4"/>
    </row>
    <row r="749" spans="1:28" x14ac:dyDescent="0.25">
      <c r="A749" s="27" t="s">
        <v>1314</v>
      </c>
      <c r="B749" s="27" t="str">
        <f t="shared" si="62"/>
        <v>Tennessee</v>
      </c>
      <c r="C749" s="27" t="str">
        <f t="shared" si="63"/>
        <v>Humphreys</v>
      </c>
      <c r="D749" s="27">
        <v>3061</v>
      </c>
      <c r="E749" s="27">
        <v>84</v>
      </c>
      <c r="F749" s="27">
        <v>87</v>
      </c>
      <c r="G749" s="2">
        <v>3918</v>
      </c>
      <c r="H749" s="28">
        <v>31.5</v>
      </c>
      <c r="I749" s="12">
        <v>14808.52</v>
      </c>
      <c r="J749" s="27">
        <v>78</v>
      </c>
      <c r="K749" s="2">
        <v>14880</v>
      </c>
      <c r="L749" s="27">
        <v>1905</v>
      </c>
      <c r="M749" s="27" t="s">
        <v>525</v>
      </c>
      <c r="N749" s="27" t="s">
        <v>526</v>
      </c>
      <c r="O749" s="27" t="s">
        <v>527</v>
      </c>
      <c r="P749" s="27" t="s">
        <v>528</v>
      </c>
      <c r="Q749" s="27" t="s">
        <v>527</v>
      </c>
      <c r="R749" s="27" t="s">
        <v>529</v>
      </c>
      <c r="S749" s="27" t="s">
        <v>530</v>
      </c>
      <c r="T749" s="27" t="s">
        <v>531</v>
      </c>
      <c r="U749" s="4"/>
      <c r="V749" s="4"/>
      <c r="W749" s="4"/>
      <c r="X749" s="4"/>
      <c r="Y749" s="4"/>
      <c r="Z749" s="4"/>
      <c r="AA749" s="4"/>
      <c r="AB749" s="4"/>
    </row>
    <row r="750" spans="1:28" x14ac:dyDescent="0.25">
      <c r="A750" s="27" t="s">
        <v>1315</v>
      </c>
      <c r="B750" s="27" t="str">
        <f t="shared" si="62"/>
        <v>Tennessee</v>
      </c>
      <c r="C750" s="27" t="str">
        <f t="shared" si="63"/>
        <v>Jackson</v>
      </c>
      <c r="D750" s="27">
        <v>2346</v>
      </c>
      <c r="E750" s="27">
        <v>77</v>
      </c>
      <c r="F750" s="27">
        <v>101</v>
      </c>
      <c r="G750" s="2">
        <v>4559</v>
      </c>
      <c r="H750" s="28">
        <v>26.42</v>
      </c>
      <c r="I750" s="12">
        <v>14300.18</v>
      </c>
      <c r="J750" s="27">
        <v>76</v>
      </c>
      <c r="K750" s="2">
        <v>15760</v>
      </c>
      <c r="L750" s="27">
        <v>1905</v>
      </c>
      <c r="M750" s="27" t="s">
        <v>525</v>
      </c>
      <c r="N750" s="27" t="s">
        <v>526</v>
      </c>
      <c r="O750" s="27" t="s">
        <v>527</v>
      </c>
      <c r="P750" s="27" t="s">
        <v>528</v>
      </c>
      <c r="Q750" s="27" t="s">
        <v>527</v>
      </c>
      <c r="R750" s="27" t="s">
        <v>529</v>
      </c>
      <c r="S750" s="27" t="s">
        <v>530</v>
      </c>
      <c r="T750" s="27" t="s">
        <v>531</v>
      </c>
      <c r="U750" s="4"/>
      <c r="V750" s="4"/>
      <c r="W750" s="4"/>
      <c r="X750" s="4"/>
      <c r="Y750" s="4"/>
      <c r="Z750" s="4"/>
      <c r="AA750" s="4"/>
      <c r="AB750" s="4"/>
    </row>
    <row r="751" spans="1:28" x14ac:dyDescent="0.25">
      <c r="A751" s="27" t="s">
        <v>1316</v>
      </c>
      <c r="B751" s="27" t="str">
        <f t="shared" si="62"/>
        <v>Tennessee</v>
      </c>
      <c r="C751" s="27" t="str">
        <f t="shared" si="63"/>
        <v>James</v>
      </c>
      <c r="D751" s="27">
        <v>932</v>
      </c>
      <c r="E751" s="27">
        <v>24</v>
      </c>
      <c r="F751" s="27">
        <v>90</v>
      </c>
      <c r="G751" s="2">
        <v>1172</v>
      </c>
      <c r="H751" s="28">
        <v>39</v>
      </c>
      <c r="I751" s="12">
        <v>5064.3900000000003</v>
      </c>
      <c r="J751" s="27">
        <v>22</v>
      </c>
      <c r="K751" s="2">
        <v>7263</v>
      </c>
      <c r="L751" s="27">
        <v>1905</v>
      </c>
      <c r="M751" s="27" t="s">
        <v>525</v>
      </c>
      <c r="N751" s="27" t="s">
        <v>526</v>
      </c>
      <c r="O751" s="27" t="s">
        <v>527</v>
      </c>
      <c r="P751" s="27" t="s">
        <v>528</v>
      </c>
      <c r="Q751" s="27" t="s">
        <v>527</v>
      </c>
      <c r="R751" s="27" t="s">
        <v>529</v>
      </c>
      <c r="S751" s="27" t="s">
        <v>530</v>
      </c>
      <c r="T751" s="27" t="s">
        <v>531</v>
      </c>
      <c r="U751" s="4"/>
      <c r="V751" s="4"/>
      <c r="W751" s="4"/>
      <c r="X751" s="4"/>
      <c r="Y751" s="4"/>
      <c r="Z751" s="4"/>
      <c r="AA751" s="4"/>
      <c r="AB751" s="4"/>
    </row>
    <row r="752" spans="1:28" x14ac:dyDescent="0.25">
      <c r="A752" s="27" t="s">
        <v>1317</v>
      </c>
      <c r="B752" s="27" t="str">
        <f t="shared" si="62"/>
        <v>Tennessee</v>
      </c>
      <c r="C752" s="27" t="str">
        <f t="shared" si="63"/>
        <v>Jefferson</v>
      </c>
      <c r="D752" s="27">
        <v>3067</v>
      </c>
      <c r="E752" s="27">
        <v>102</v>
      </c>
      <c r="F752" s="27">
        <v>103</v>
      </c>
      <c r="G752" s="2">
        <v>4973</v>
      </c>
      <c r="H752" s="28">
        <v>29</v>
      </c>
      <c r="I752" s="12">
        <v>16581.3</v>
      </c>
      <c r="J752" s="27">
        <v>77</v>
      </c>
      <c r="K752" s="2">
        <v>27550</v>
      </c>
      <c r="L752" s="27">
        <v>1905</v>
      </c>
      <c r="M752" s="27" t="s">
        <v>525</v>
      </c>
      <c r="N752" s="27" t="s">
        <v>526</v>
      </c>
      <c r="O752" s="27" t="s">
        <v>527</v>
      </c>
      <c r="P752" s="27" t="s">
        <v>528</v>
      </c>
      <c r="Q752" s="27" t="s">
        <v>527</v>
      </c>
      <c r="R752" s="27" t="s">
        <v>529</v>
      </c>
      <c r="S752" s="27" t="s">
        <v>530</v>
      </c>
      <c r="T752" s="27" t="s">
        <v>531</v>
      </c>
      <c r="U752" s="4"/>
      <c r="V752" s="4"/>
      <c r="W752" s="4"/>
      <c r="X752" s="4"/>
      <c r="Y752" s="4"/>
      <c r="Z752" s="4"/>
      <c r="AA752" s="4"/>
      <c r="AB752" s="4"/>
    </row>
    <row r="753" spans="1:28" x14ac:dyDescent="0.25">
      <c r="A753" s="27" t="s">
        <v>1318</v>
      </c>
      <c r="B753" s="27" t="str">
        <f t="shared" si="62"/>
        <v>Tennessee</v>
      </c>
      <c r="C753" s="27" t="str">
        <f t="shared" si="63"/>
        <v>Johnson</v>
      </c>
      <c r="D753" s="27">
        <v>1282</v>
      </c>
      <c r="E753" s="27">
        <v>47</v>
      </c>
      <c r="F753" s="27">
        <v>119</v>
      </c>
      <c r="G753" s="2">
        <v>2984</v>
      </c>
      <c r="H753" s="28">
        <v>32.42</v>
      </c>
      <c r="I753" s="12">
        <v>10550.15</v>
      </c>
      <c r="J753" s="27">
        <v>40</v>
      </c>
      <c r="K753" s="2">
        <v>12265</v>
      </c>
      <c r="L753" s="27">
        <v>1905</v>
      </c>
      <c r="M753" s="27" t="s">
        <v>525</v>
      </c>
      <c r="N753" s="27" t="s">
        <v>526</v>
      </c>
      <c r="O753" s="27" t="s">
        <v>527</v>
      </c>
      <c r="P753" s="27" t="s">
        <v>528</v>
      </c>
      <c r="Q753" s="27" t="s">
        <v>527</v>
      </c>
      <c r="R753" s="27" t="s">
        <v>529</v>
      </c>
      <c r="S753" s="27" t="s">
        <v>530</v>
      </c>
      <c r="T753" s="27" t="s">
        <v>531</v>
      </c>
      <c r="U753" s="4"/>
      <c r="V753" s="4"/>
      <c r="W753" s="4"/>
      <c r="X753" s="4"/>
      <c r="Y753" s="4"/>
      <c r="Z753" s="4"/>
      <c r="AA753" s="4"/>
      <c r="AB753" s="4"/>
    </row>
    <row r="754" spans="1:28" x14ac:dyDescent="0.25">
      <c r="A754" s="27" t="s">
        <v>1319</v>
      </c>
      <c r="B754" s="27" t="str">
        <f t="shared" si="62"/>
        <v>Tennessee</v>
      </c>
      <c r="C754" s="27" t="str">
        <f t="shared" si="63"/>
        <v>Knox</v>
      </c>
      <c r="D754" s="27">
        <v>11660</v>
      </c>
      <c r="E754" s="27">
        <v>317</v>
      </c>
      <c r="F754" s="27">
        <v>154</v>
      </c>
      <c r="G754" s="2">
        <v>17144</v>
      </c>
      <c r="H754" s="28">
        <v>42.8</v>
      </c>
      <c r="I754" s="12">
        <v>153583.01</v>
      </c>
      <c r="J754" s="27">
        <v>161</v>
      </c>
      <c r="K754" s="2">
        <v>318955</v>
      </c>
      <c r="L754" s="27">
        <v>1905</v>
      </c>
      <c r="M754" s="27" t="s">
        <v>525</v>
      </c>
      <c r="N754" s="27" t="s">
        <v>526</v>
      </c>
      <c r="O754" s="27" t="s">
        <v>527</v>
      </c>
      <c r="P754" s="27" t="s">
        <v>528</v>
      </c>
      <c r="Q754" s="27" t="s">
        <v>527</v>
      </c>
      <c r="R754" s="27" t="s">
        <v>529</v>
      </c>
      <c r="S754" s="27" t="s">
        <v>530</v>
      </c>
      <c r="T754" s="27" t="s">
        <v>531</v>
      </c>
      <c r="U754" s="4"/>
      <c r="V754" s="4"/>
      <c r="W754" s="4"/>
      <c r="X754" s="4"/>
      <c r="Y754" s="4"/>
      <c r="Z754" s="4"/>
      <c r="AA754" s="4"/>
      <c r="AB754" s="4"/>
    </row>
    <row r="755" spans="1:28" x14ac:dyDescent="0.25">
      <c r="A755" s="27" t="s">
        <v>1320</v>
      </c>
      <c r="B755" s="27" t="str">
        <f t="shared" si="62"/>
        <v>Tennessee</v>
      </c>
      <c r="C755" s="27" t="str">
        <f t="shared" si="63"/>
        <v>Lake</v>
      </c>
      <c r="D755" s="27">
        <v>657</v>
      </c>
      <c r="E755" s="27">
        <v>25</v>
      </c>
      <c r="F755" s="27">
        <v>113</v>
      </c>
      <c r="G755" s="2">
        <v>1235</v>
      </c>
      <c r="H755" s="28">
        <v>45.4</v>
      </c>
      <c r="I755" s="12">
        <v>8303.64</v>
      </c>
      <c r="J755" s="27">
        <v>17</v>
      </c>
      <c r="K755" s="2">
        <v>13960</v>
      </c>
      <c r="L755" s="27">
        <v>1905</v>
      </c>
      <c r="M755" s="27" t="s">
        <v>525</v>
      </c>
      <c r="N755" s="27" t="s">
        <v>526</v>
      </c>
      <c r="O755" s="27" t="s">
        <v>527</v>
      </c>
      <c r="P755" s="27" t="s">
        <v>528</v>
      </c>
      <c r="Q755" s="27" t="s">
        <v>527</v>
      </c>
      <c r="R755" s="27" t="s">
        <v>529</v>
      </c>
      <c r="S755" s="27" t="s">
        <v>530</v>
      </c>
      <c r="T755" s="27" t="s">
        <v>531</v>
      </c>
      <c r="U755" s="4"/>
      <c r="V755" s="4"/>
      <c r="W755" s="4"/>
      <c r="X755" s="4"/>
      <c r="Y755" s="4"/>
      <c r="Z755" s="4"/>
      <c r="AA755" s="4"/>
      <c r="AB755" s="4"/>
    </row>
    <row r="756" spans="1:28" x14ac:dyDescent="0.25">
      <c r="A756" s="27" t="s">
        <v>1321</v>
      </c>
      <c r="B756" s="27" t="str">
        <f t="shared" si="62"/>
        <v>Tennessee</v>
      </c>
      <c r="C756" s="27" t="str">
        <f t="shared" si="63"/>
        <v>Lauderdale</v>
      </c>
      <c r="D756" s="27">
        <v>3769</v>
      </c>
      <c r="E756" s="27">
        <v>116</v>
      </c>
      <c r="F756" s="27">
        <v>105</v>
      </c>
      <c r="G756" s="2">
        <v>5688</v>
      </c>
      <c r="H756" s="28">
        <v>37.479999999999997</v>
      </c>
      <c r="I756" s="12">
        <v>28429.57</v>
      </c>
      <c r="J756" s="27">
        <v>53</v>
      </c>
      <c r="K756" s="2">
        <v>38500</v>
      </c>
      <c r="L756" s="27">
        <v>1905</v>
      </c>
      <c r="M756" s="27" t="s">
        <v>525</v>
      </c>
      <c r="N756" s="27" t="s">
        <v>526</v>
      </c>
      <c r="O756" s="27" t="s">
        <v>527</v>
      </c>
      <c r="P756" s="27" t="s">
        <v>528</v>
      </c>
      <c r="Q756" s="27" t="s">
        <v>527</v>
      </c>
      <c r="R756" s="27" t="s">
        <v>529</v>
      </c>
      <c r="S756" s="27" t="s">
        <v>530</v>
      </c>
      <c r="T756" s="27" t="s">
        <v>531</v>
      </c>
      <c r="U756" s="4"/>
      <c r="V756" s="4"/>
      <c r="W756" s="4"/>
      <c r="X756" s="4"/>
      <c r="Y756" s="4"/>
      <c r="Z756" s="4"/>
      <c r="AA756" s="4"/>
      <c r="AB756" s="4"/>
    </row>
    <row r="757" spans="1:28" x14ac:dyDescent="0.25">
      <c r="A757" s="27" t="s">
        <v>1322</v>
      </c>
      <c r="B757" s="27" t="str">
        <f t="shared" si="62"/>
        <v>Tennessee</v>
      </c>
      <c r="C757" s="27" t="str">
        <f t="shared" si="63"/>
        <v>Lawrence</v>
      </c>
      <c r="D757" s="27">
        <v>2100</v>
      </c>
      <c r="E757" s="2">
        <v>86</v>
      </c>
      <c r="F757" s="27">
        <v>99</v>
      </c>
      <c r="G757" s="2">
        <v>5866</v>
      </c>
      <c r="H757" s="28">
        <v>31.15</v>
      </c>
      <c r="I757" s="12">
        <v>17121.490000000002</v>
      </c>
      <c r="J757" s="27">
        <v>45</v>
      </c>
      <c r="K757" s="2">
        <v>15115</v>
      </c>
      <c r="L757" s="27">
        <v>1905</v>
      </c>
      <c r="M757" s="27" t="s">
        <v>525</v>
      </c>
      <c r="N757" s="27" t="s">
        <v>526</v>
      </c>
      <c r="O757" s="27" t="s">
        <v>527</v>
      </c>
      <c r="P757" s="27" t="s">
        <v>528</v>
      </c>
      <c r="Q757" s="27" t="s">
        <v>527</v>
      </c>
      <c r="R757" s="27" t="s">
        <v>529</v>
      </c>
      <c r="S757" s="27" t="s">
        <v>530</v>
      </c>
      <c r="T757" s="27" t="s">
        <v>531</v>
      </c>
      <c r="U757" s="4"/>
      <c r="V757" s="4"/>
      <c r="W757" s="4"/>
      <c r="X757" s="4"/>
      <c r="Y757" s="4"/>
      <c r="Z757" s="4"/>
      <c r="AA757" s="4"/>
      <c r="AB757" s="4"/>
    </row>
    <row r="758" spans="1:28" x14ac:dyDescent="0.25">
      <c r="A758" s="27" t="s">
        <v>1323</v>
      </c>
      <c r="B758" s="27" t="str">
        <f t="shared" si="62"/>
        <v>Tennessee</v>
      </c>
      <c r="C758" s="27" t="str">
        <f t="shared" si="63"/>
        <v>Lewis</v>
      </c>
      <c r="D758" s="27">
        <v>817</v>
      </c>
      <c r="E758" s="27">
        <v>35</v>
      </c>
      <c r="F758" s="27">
        <v>92</v>
      </c>
      <c r="G758" s="27">
        <v>1236</v>
      </c>
      <c r="H758" s="28">
        <v>26</v>
      </c>
      <c r="I758" s="12">
        <v>5508.84</v>
      </c>
      <c r="J758" s="27">
        <v>28</v>
      </c>
      <c r="K758" s="2">
        <v>4575</v>
      </c>
      <c r="L758" s="27">
        <v>1905</v>
      </c>
      <c r="M758" s="27" t="s">
        <v>525</v>
      </c>
      <c r="N758" s="27" t="s">
        <v>526</v>
      </c>
      <c r="O758" s="27" t="s">
        <v>527</v>
      </c>
      <c r="P758" s="27" t="s">
        <v>528</v>
      </c>
      <c r="Q758" s="27" t="s">
        <v>527</v>
      </c>
      <c r="R758" s="27" t="s">
        <v>529</v>
      </c>
      <c r="S758" s="27" t="s">
        <v>530</v>
      </c>
      <c r="T758" s="27" t="s">
        <v>531</v>
      </c>
      <c r="U758" s="4"/>
      <c r="V758" s="4"/>
      <c r="W758" s="4"/>
      <c r="X758" s="4"/>
      <c r="Y758" s="4"/>
      <c r="Z758" s="4"/>
      <c r="AA758" s="4"/>
      <c r="AB758" s="4"/>
    </row>
    <row r="759" spans="1:28" x14ac:dyDescent="0.25">
      <c r="A759" s="27" t="s">
        <v>1324</v>
      </c>
      <c r="B759" s="27" t="str">
        <f t="shared" si="62"/>
        <v>Tennessee</v>
      </c>
      <c r="C759" s="27" t="str">
        <f t="shared" si="63"/>
        <v>Lincoln</v>
      </c>
      <c r="D759" s="27">
        <v>4050</v>
      </c>
      <c r="E759" s="27">
        <v>129</v>
      </c>
      <c r="F759" s="27">
        <v>102</v>
      </c>
      <c r="G759" s="27">
        <v>5923</v>
      </c>
      <c r="H759" s="28">
        <v>34.840000000000003</v>
      </c>
      <c r="I759" s="12">
        <v>26838.58</v>
      </c>
      <c r="J759" s="27">
        <v>99</v>
      </c>
      <c r="K759" s="2">
        <v>31555</v>
      </c>
      <c r="L759" s="27">
        <v>1905</v>
      </c>
      <c r="M759" s="27" t="s">
        <v>525</v>
      </c>
      <c r="N759" s="27" t="s">
        <v>526</v>
      </c>
      <c r="O759" s="27" t="s">
        <v>527</v>
      </c>
      <c r="P759" s="27" t="s">
        <v>528</v>
      </c>
      <c r="Q759" s="27" t="s">
        <v>527</v>
      </c>
      <c r="R759" s="27" t="s">
        <v>529</v>
      </c>
      <c r="S759" s="27" t="s">
        <v>530</v>
      </c>
      <c r="T759" s="27" t="s">
        <v>531</v>
      </c>
      <c r="U759" s="4"/>
      <c r="V759" s="4"/>
      <c r="W759" s="4"/>
      <c r="X759" s="4"/>
      <c r="Y759" s="4"/>
      <c r="Z759" s="4"/>
      <c r="AA759" s="4"/>
      <c r="AB759" s="4"/>
    </row>
    <row r="760" spans="1:28" x14ac:dyDescent="0.25">
      <c r="A760" s="27" t="s">
        <v>1325</v>
      </c>
      <c r="B760" s="27" t="str">
        <f t="shared" si="62"/>
        <v>Tennessee</v>
      </c>
      <c r="C760" s="27" t="str">
        <f t="shared" si="63"/>
        <v>Loudon</v>
      </c>
      <c r="D760" s="27">
        <v>2276</v>
      </c>
      <c r="E760" s="27">
        <v>58</v>
      </c>
      <c r="F760" s="27">
        <v>110</v>
      </c>
      <c r="G760" s="27">
        <v>2887</v>
      </c>
      <c r="H760" s="28">
        <v>32.5</v>
      </c>
      <c r="I760" s="12">
        <v>13538.54</v>
      </c>
      <c r="J760" s="27">
        <v>56</v>
      </c>
      <c r="K760" s="2">
        <v>20500</v>
      </c>
      <c r="L760" s="27">
        <v>1905</v>
      </c>
      <c r="M760" s="27" t="s">
        <v>525</v>
      </c>
      <c r="N760" s="27" t="s">
        <v>526</v>
      </c>
      <c r="O760" s="27" t="s">
        <v>527</v>
      </c>
      <c r="P760" s="27" t="s">
        <v>528</v>
      </c>
      <c r="Q760" s="27" t="s">
        <v>527</v>
      </c>
      <c r="R760" s="27" t="s">
        <v>529</v>
      </c>
      <c r="S760" s="27" t="s">
        <v>530</v>
      </c>
      <c r="T760" s="27" t="s">
        <v>531</v>
      </c>
      <c r="U760" s="4"/>
      <c r="V760" s="4"/>
      <c r="W760" s="4"/>
      <c r="X760" s="4"/>
      <c r="Y760" s="4"/>
      <c r="Z760" s="4"/>
      <c r="AA760" s="4"/>
      <c r="AB760" s="4"/>
    </row>
    <row r="761" spans="1:28" x14ac:dyDescent="0.25">
      <c r="A761" s="27" t="s">
        <v>1328</v>
      </c>
      <c r="B761" s="27" t="str">
        <f t="shared" si="62"/>
        <v>Tennessee</v>
      </c>
      <c r="C761" s="27" t="str">
        <f t="shared" si="63"/>
        <v>Macon</v>
      </c>
      <c r="D761" s="27">
        <v>2797</v>
      </c>
      <c r="E761" s="27">
        <v>67</v>
      </c>
      <c r="F761" s="27">
        <v>91</v>
      </c>
      <c r="G761" s="27">
        <v>3249</v>
      </c>
      <c r="H761" s="28">
        <v>29</v>
      </c>
      <c r="I761" s="12">
        <v>10676.32</v>
      </c>
      <c r="J761" s="27">
        <v>64</v>
      </c>
      <c r="K761" s="2">
        <v>21000</v>
      </c>
      <c r="L761" s="27">
        <v>1905</v>
      </c>
      <c r="M761" s="27" t="s">
        <v>525</v>
      </c>
      <c r="N761" s="27" t="s">
        <v>526</v>
      </c>
      <c r="O761" s="27" t="s">
        <v>527</v>
      </c>
      <c r="P761" s="27" t="s">
        <v>528</v>
      </c>
      <c r="Q761" s="27" t="s">
        <v>527</v>
      </c>
      <c r="R761" s="27" t="s">
        <v>529</v>
      </c>
      <c r="S761" s="27" t="s">
        <v>530</v>
      </c>
      <c r="T761" s="27" t="s">
        <v>531</v>
      </c>
      <c r="U761" s="4"/>
      <c r="V761" s="4"/>
      <c r="W761" s="4"/>
      <c r="X761" s="4"/>
      <c r="Y761" s="4"/>
      <c r="Z761" s="4"/>
      <c r="AA761" s="4"/>
      <c r="AB761" s="4"/>
    </row>
    <row r="762" spans="1:28" x14ac:dyDescent="0.25">
      <c r="A762" s="27" t="s">
        <v>1329</v>
      </c>
      <c r="B762" s="27" t="str">
        <f t="shared" si="62"/>
        <v>Tennessee</v>
      </c>
      <c r="C762" s="27" t="str">
        <f t="shared" si="63"/>
        <v>Madison</v>
      </c>
      <c r="D762" s="27">
        <v>2870</v>
      </c>
      <c r="E762" s="2">
        <v>94</v>
      </c>
      <c r="F762" s="27">
        <v>88</v>
      </c>
      <c r="G762" s="27">
        <v>4655</v>
      </c>
      <c r="H762" s="28">
        <v>28.35</v>
      </c>
      <c r="I762" s="12">
        <v>15823.48</v>
      </c>
      <c r="J762" s="27">
        <v>67</v>
      </c>
      <c r="K762" s="2">
        <v>24500</v>
      </c>
      <c r="L762" s="27">
        <v>1905</v>
      </c>
      <c r="M762" s="27" t="s">
        <v>525</v>
      </c>
      <c r="N762" s="27" t="s">
        <v>526</v>
      </c>
      <c r="O762" s="27" t="s">
        <v>527</v>
      </c>
      <c r="P762" s="27" t="s">
        <v>528</v>
      </c>
      <c r="Q762" s="27" t="s">
        <v>527</v>
      </c>
      <c r="R762" s="27" t="s">
        <v>529</v>
      </c>
      <c r="S762" s="27" t="s">
        <v>530</v>
      </c>
      <c r="T762" s="27" t="s">
        <v>531</v>
      </c>
      <c r="U762" s="4"/>
      <c r="V762" s="4"/>
      <c r="W762" s="4"/>
      <c r="X762" s="4"/>
      <c r="Y762" s="4"/>
      <c r="Z762" s="4"/>
      <c r="AA762" s="4"/>
      <c r="AB762" s="4"/>
    </row>
    <row r="763" spans="1:28" x14ac:dyDescent="0.25">
      <c r="A763" s="27" t="s">
        <v>1330</v>
      </c>
      <c r="B763" s="27" t="str">
        <f t="shared" si="62"/>
        <v>Tennessee</v>
      </c>
      <c r="C763" s="27" t="str">
        <f t="shared" si="63"/>
        <v>Marion</v>
      </c>
      <c r="D763" s="27">
        <v>4700</v>
      </c>
      <c r="E763" s="2">
        <v>110</v>
      </c>
      <c r="F763" s="27">
        <v>75</v>
      </c>
      <c r="G763" s="27">
        <v>5.718</v>
      </c>
      <c r="H763" s="28">
        <v>30</v>
      </c>
      <c r="I763" s="12">
        <v>11888.46</v>
      </c>
      <c r="J763" s="27">
        <v>105</v>
      </c>
      <c r="K763" s="2">
        <v>17400</v>
      </c>
      <c r="L763" s="27">
        <v>1905</v>
      </c>
      <c r="M763" s="27" t="s">
        <v>525</v>
      </c>
      <c r="N763" s="27" t="s">
        <v>526</v>
      </c>
      <c r="O763" s="27" t="s">
        <v>527</v>
      </c>
      <c r="P763" s="27" t="s">
        <v>528</v>
      </c>
      <c r="Q763" s="27" t="s">
        <v>527</v>
      </c>
      <c r="R763" s="27" t="s">
        <v>529</v>
      </c>
      <c r="S763" s="27" t="s">
        <v>530</v>
      </c>
      <c r="T763" s="27" t="s">
        <v>531</v>
      </c>
      <c r="U763" s="4"/>
      <c r="V763" s="4"/>
      <c r="W763" s="4"/>
      <c r="X763" s="4"/>
      <c r="Y763" s="4"/>
      <c r="Z763" s="4"/>
      <c r="AA763" s="4"/>
      <c r="AB763" s="4"/>
    </row>
    <row r="764" spans="1:28" x14ac:dyDescent="0.25">
      <c r="A764" s="27" t="s">
        <v>1331</v>
      </c>
      <c r="B764" s="27" t="str">
        <f t="shared" si="62"/>
        <v>Tennessee</v>
      </c>
      <c r="C764" s="27" t="str">
        <f t="shared" si="63"/>
        <v>Marshall</v>
      </c>
      <c r="D764" s="27">
        <v>7107</v>
      </c>
      <c r="E764" s="2">
        <v>163</v>
      </c>
      <c r="F764" s="27">
        <v>139</v>
      </c>
      <c r="G764" s="27">
        <v>10408</v>
      </c>
      <c r="H764" s="28">
        <v>42.13</v>
      </c>
      <c r="I764" s="12">
        <v>62863.06</v>
      </c>
      <c r="J764" s="27">
        <v>98</v>
      </c>
      <c r="K764" s="2">
        <v>111980</v>
      </c>
      <c r="L764" s="27">
        <v>1905</v>
      </c>
      <c r="M764" s="27" t="s">
        <v>525</v>
      </c>
      <c r="N764" s="27" t="s">
        <v>526</v>
      </c>
      <c r="O764" s="27" t="s">
        <v>527</v>
      </c>
      <c r="P764" s="27" t="s">
        <v>528</v>
      </c>
      <c r="Q764" s="27" t="s">
        <v>527</v>
      </c>
      <c r="R764" s="27" t="s">
        <v>529</v>
      </c>
      <c r="S764" s="27" t="s">
        <v>530</v>
      </c>
      <c r="T764" s="27" t="s">
        <v>531</v>
      </c>
      <c r="U764" s="4"/>
      <c r="V764" s="4"/>
      <c r="W764" s="4"/>
      <c r="X764" s="4"/>
      <c r="Y764" s="4"/>
      <c r="Z764" s="4"/>
      <c r="AA764" s="4"/>
      <c r="AB764" s="4"/>
    </row>
    <row r="765" spans="1:28" x14ac:dyDescent="0.25">
      <c r="A765" s="27" t="s">
        <v>1332</v>
      </c>
      <c r="B765" s="27" t="str">
        <f t="shared" si="62"/>
        <v>Tennessee</v>
      </c>
      <c r="C765" s="27" t="str">
        <f t="shared" si="63"/>
        <v>Maury</v>
      </c>
      <c r="D765" s="27">
        <v>5230</v>
      </c>
      <c r="E765" s="27">
        <v>85</v>
      </c>
      <c r="F765" s="27">
        <v>94</v>
      </c>
      <c r="G765" s="27">
        <v>5804</v>
      </c>
      <c r="H765" s="28">
        <v>38</v>
      </c>
      <c r="I765" s="12">
        <v>17288.09</v>
      </c>
      <c r="J765" s="27">
        <v>61</v>
      </c>
      <c r="K765" s="2">
        <v>42234</v>
      </c>
      <c r="L765" s="27">
        <v>1905</v>
      </c>
      <c r="M765" s="27" t="s">
        <v>525</v>
      </c>
      <c r="N765" s="27" t="s">
        <v>526</v>
      </c>
      <c r="O765" s="27" t="s">
        <v>527</v>
      </c>
      <c r="P765" s="27" t="s">
        <v>528</v>
      </c>
      <c r="Q765" s="27" t="s">
        <v>527</v>
      </c>
      <c r="R765" s="27" t="s">
        <v>529</v>
      </c>
      <c r="S765" s="27" t="s">
        <v>530</v>
      </c>
      <c r="T765" s="27" t="s">
        <v>531</v>
      </c>
      <c r="U765" s="4"/>
      <c r="V765" s="4"/>
      <c r="W765" s="4"/>
      <c r="X765" s="4"/>
      <c r="Y765" s="4"/>
      <c r="Z765" s="4"/>
      <c r="AA765" s="4"/>
      <c r="AB765" s="4"/>
    </row>
    <row r="766" spans="1:28" x14ac:dyDescent="0.25">
      <c r="A766" s="27" t="s">
        <v>1326</v>
      </c>
      <c r="B766" s="27" t="str">
        <f t="shared" si="62"/>
        <v>Tennessee</v>
      </c>
      <c r="C766" s="27" t="str">
        <f t="shared" si="63"/>
        <v>McMinn</v>
      </c>
      <c r="D766" s="27">
        <v>2837</v>
      </c>
      <c r="E766" s="27">
        <v>100</v>
      </c>
      <c r="F766" s="27">
        <v>120</v>
      </c>
      <c r="G766" s="27">
        <v>3758</v>
      </c>
      <c r="H766" s="28">
        <v>28.14</v>
      </c>
      <c r="I766" s="12">
        <v>20911.93</v>
      </c>
      <c r="J766" s="27">
        <v>57</v>
      </c>
      <c r="K766" s="2">
        <v>36570</v>
      </c>
      <c r="L766" s="27">
        <v>1905</v>
      </c>
      <c r="M766" s="27" t="s">
        <v>525</v>
      </c>
      <c r="N766" s="27" t="s">
        <v>526</v>
      </c>
      <c r="O766" s="27" t="s">
        <v>527</v>
      </c>
      <c r="P766" s="27" t="s">
        <v>528</v>
      </c>
      <c r="Q766" s="27" t="s">
        <v>527</v>
      </c>
      <c r="R766" s="27" t="s">
        <v>529</v>
      </c>
      <c r="S766" s="27" t="s">
        <v>530</v>
      </c>
      <c r="T766" s="27" t="s">
        <v>531</v>
      </c>
      <c r="U766" s="4"/>
      <c r="V766" s="4"/>
      <c r="W766" s="4"/>
      <c r="X766" s="4"/>
      <c r="Y766" s="4"/>
      <c r="Z766" s="4"/>
      <c r="AA766" s="4"/>
      <c r="AB766" s="4"/>
    </row>
    <row r="767" spans="1:28" x14ac:dyDescent="0.25">
      <c r="A767" s="27" t="s">
        <v>1327</v>
      </c>
      <c r="B767" s="27" t="str">
        <f t="shared" si="62"/>
        <v>Tennessee</v>
      </c>
      <c r="C767" s="27" t="str">
        <f t="shared" si="63"/>
        <v>McNairy</v>
      </c>
      <c r="D767" s="27">
        <v>7782</v>
      </c>
      <c r="E767" s="27">
        <v>172</v>
      </c>
      <c r="F767" s="27">
        <v>170</v>
      </c>
      <c r="G767" s="27">
        <v>8625</v>
      </c>
      <c r="H767" s="28">
        <v>40.4</v>
      </c>
      <c r="I767" s="12">
        <v>58360.59</v>
      </c>
      <c r="J767" s="27">
        <v>91</v>
      </c>
      <c r="K767" s="2">
        <v>81315</v>
      </c>
      <c r="L767" s="27">
        <v>1905</v>
      </c>
      <c r="M767" s="27" t="s">
        <v>525</v>
      </c>
      <c r="N767" s="27" t="s">
        <v>526</v>
      </c>
      <c r="O767" s="27" t="s">
        <v>527</v>
      </c>
      <c r="P767" s="27" t="s">
        <v>528</v>
      </c>
      <c r="Q767" s="27" t="s">
        <v>527</v>
      </c>
      <c r="R767" s="27" t="s">
        <v>529</v>
      </c>
      <c r="S767" s="27" t="s">
        <v>530</v>
      </c>
      <c r="T767" s="27" t="s">
        <v>531</v>
      </c>
      <c r="U767" s="4"/>
      <c r="V767" s="4"/>
      <c r="W767" s="4"/>
      <c r="X767" s="4"/>
      <c r="Y767" s="4"/>
      <c r="Z767" s="4"/>
      <c r="AA767" s="4"/>
      <c r="AB767" s="4"/>
    </row>
    <row r="768" spans="1:28" x14ac:dyDescent="0.25">
      <c r="A768" s="27" t="s">
        <v>1333</v>
      </c>
      <c r="B768" s="27" t="str">
        <f t="shared" si="62"/>
        <v>Tennessee</v>
      </c>
      <c r="C768" s="27" t="str">
        <f t="shared" si="63"/>
        <v>Meigs</v>
      </c>
      <c r="D768" s="27">
        <v>911</v>
      </c>
      <c r="E768" s="27">
        <v>42</v>
      </c>
      <c r="F768" s="27">
        <v>65</v>
      </c>
      <c r="G768" s="27">
        <v>1401</v>
      </c>
      <c r="H768" s="28">
        <v>26.23</v>
      </c>
      <c r="I768" s="12">
        <v>5337.69</v>
      </c>
      <c r="J768" s="27">
        <v>38</v>
      </c>
      <c r="K768" s="2">
        <v>8400</v>
      </c>
      <c r="L768" s="27">
        <v>1905</v>
      </c>
      <c r="M768" s="27" t="s">
        <v>525</v>
      </c>
      <c r="N768" s="27" t="s">
        <v>526</v>
      </c>
      <c r="O768" s="27" t="s">
        <v>527</v>
      </c>
      <c r="P768" s="27" t="s">
        <v>528</v>
      </c>
      <c r="Q768" s="27" t="s">
        <v>527</v>
      </c>
      <c r="R768" s="27" t="s">
        <v>529</v>
      </c>
      <c r="S768" s="27" t="s">
        <v>530</v>
      </c>
      <c r="T768" s="27" t="s">
        <v>531</v>
      </c>
      <c r="U768" s="4"/>
      <c r="V768" s="4"/>
      <c r="W768" s="4"/>
      <c r="X768" s="4"/>
      <c r="Y768" s="4"/>
      <c r="Z768" s="4"/>
      <c r="AA768" s="4"/>
      <c r="AB768" s="4"/>
    </row>
    <row r="769" spans="1:28" x14ac:dyDescent="0.25">
      <c r="A769" s="27" t="s">
        <v>1334</v>
      </c>
      <c r="B769" s="27" t="str">
        <f t="shared" si="62"/>
        <v>Tennessee</v>
      </c>
      <c r="C769" s="27" t="str">
        <f t="shared" si="63"/>
        <v>Monroe</v>
      </c>
      <c r="D769" s="27">
        <v>2426</v>
      </c>
      <c r="E769" s="27">
        <v>87</v>
      </c>
      <c r="F769" s="27">
        <v>90</v>
      </c>
      <c r="G769" s="27">
        <v>4544</v>
      </c>
      <c r="H769" s="28">
        <v>28.5</v>
      </c>
      <c r="I769" s="12">
        <v>13232.86</v>
      </c>
      <c r="J769" s="27">
        <v>81</v>
      </c>
      <c r="K769" s="2">
        <v>28000</v>
      </c>
      <c r="L769" s="27">
        <v>1905</v>
      </c>
      <c r="M769" s="27" t="s">
        <v>525</v>
      </c>
      <c r="N769" s="27" t="s">
        <v>526</v>
      </c>
      <c r="O769" s="27" t="s">
        <v>527</v>
      </c>
      <c r="P769" s="27" t="s">
        <v>528</v>
      </c>
      <c r="Q769" s="27" t="s">
        <v>527</v>
      </c>
      <c r="R769" s="27" t="s">
        <v>529</v>
      </c>
      <c r="S769" s="27" t="s">
        <v>530</v>
      </c>
      <c r="T769" s="27" t="s">
        <v>531</v>
      </c>
      <c r="U769" s="4"/>
      <c r="V769" s="4"/>
      <c r="W769" s="4"/>
      <c r="X769" s="4"/>
      <c r="Y769" s="4"/>
      <c r="Z769" s="4"/>
      <c r="AA769" s="4"/>
      <c r="AB769" s="4"/>
    </row>
    <row r="770" spans="1:28" x14ac:dyDescent="0.25">
      <c r="A770" s="27" t="s">
        <v>1335</v>
      </c>
      <c r="B770" s="27" t="str">
        <f t="shared" si="62"/>
        <v>Tennessee</v>
      </c>
      <c r="C770" s="27" t="str">
        <f t="shared" si="63"/>
        <v>Montgomery</v>
      </c>
      <c r="D770" s="27">
        <v>3993</v>
      </c>
      <c r="E770" s="27">
        <v>144</v>
      </c>
      <c r="F770" s="27">
        <v>160</v>
      </c>
      <c r="G770" s="27">
        <v>7747</v>
      </c>
      <c r="H770" s="28">
        <v>36.42</v>
      </c>
      <c r="I770" s="12">
        <v>57759.28</v>
      </c>
      <c r="J770" s="27">
        <v>93</v>
      </c>
      <c r="K770" s="2">
        <v>58764</v>
      </c>
      <c r="L770" s="27">
        <v>1905</v>
      </c>
      <c r="M770" s="27" t="s">
        <v>525</v>
      </c>
      <c r="N770" s="27" t="s">
        <v>526</v>
      </c>
      <c r="O770" s="27" t="s">
        <v>527</v>
      </c>
      <c r="P770" s="27" t="s">
        <v>528</v>
      </c>
      <c r="Q770" s="27" t="s">
        <v>527</v>
      </c>
      <c r="R770" s="27" t="s">
        <v>529</v>
      </c>
      <c r="S770" s="27" t="s">
        <v>530</v>
      </c>
      <c r="T770" s="27" t="s">
        <v>531</v>
      </c>
      <c r="U770" s="4"/>
      <c r="V770" s="4"/>
      <c r="W770" s="4"/>
      <c r="X770" s="4"/>
      <c r="Y770" s="4"/>
      <c r="Z770" s="4"/>
      <c r="AA770" s="4"/>
      <c r="AB770" s="4"/>
    </row>
    <row r="771" spans="1:28" x14ac:dyDescent="0.25">
      <c r="A771" s="27" t="s">
        <v>1336</v>
      </c>
      <c r="B771" s="27" t="str">
        <f t="shared" si="62"/>
        <v>Tennessee</v>
      </c>
      <c r="C771" s="27" t="str">
        <f t="shared" si="63"/>
        <v>Moore</v>
      </c>
      <c r="D771" s="27">
        <v>794</v>
      </c>
      <c r="E771" s="27">
        <v>32</v>
      </c>
      <c r="F771" s="27">
        <v>85</v>
      </c>
      <c r="G771" s="27">
        <v>1145</v>
      </c>
      <c r="H771" s="28">
        <v>29.48</v>
      </c>
      <c r="I771" s="12">
        <v>4298.3500000000004</v>
      </c>
      <c r="J771" s="27">
        <v>23</v>
      </c>
      <c r="K771" s="2">
        <v>6750</v>
      </c>
      <c r="L771" s="27">
        <v>1905</v>
      </c>
      <c r="M771" s="27" t="s">
        <v>525</v>
      </c>
      <c r="N771" s="27" t="s">
        <v>526</v>
      </c>
      <c r="O771" s="27" t="s">
        <v>527</v>
      </c>
      <c r="P771" s="27" t="s">
        <v>528</v>
      </c>
      <c r="Q771" s="27" t="s">
        <v>527</v>
      </c>
      <c r="R771" s="27" t="s">
        <v>529</v>
      </c>
      <c r="S771" s="27" t="s">
        <v>530</v>
      </c>
      <c r="T771" s="27" t="s">
        <v>531</v>
      </c>
      <c r="U771" s="4"/>
      <c r="V771" s="4"/>
      <c r="W771" s="4"/>
      <c r="X771" s="4"/>
      <c r="Y771" s="4"/>
      <c r="Z771" s="4"/>
      <c r="AA771" s="4"/>
      <c r="AB771" s="4"/>
    </row>
    <row r="772" spans="1:28" x14ac:dyDescent="0.25">
      <c r="A772" s="27" t="s">
        <v>1337</v>
      </c>
      <c r="B772" s="27" t="str">
        <f t="shared" si="62"/>
        <v>Tennessee</v>
      </c>
      <c r="C772" s="27" t="str">
        <f t="shared" si="63"/>
        <v>Morgan</v>
      </c>
      <c r="D772" s="27">
        <v>1683</v>
      </c>
      <c r="E772" s="27">
        <v>54</v>
      </c>
      <c r="F772" s="27">
        <v>83</v>
      </c>
      <c r="G772" s="27">
        <v>2936</v>
      </c>
      <c r="H772" s="28">
        <v>33</v>
      </c>
      <c r="I772" s="12">
        <v>13235.95</v>
      </c>
      <c r="J772" s="27">
        <v>48</v>
      </c>
      <c r="K772" s="2">
        <v>24510</v>
      </c>
      <c r="L772" s="27">
        <v>1905</v>
      </c>
      <c r="M772" s="27" t="s">
        <v>525</v>
      </c>
      <c r="N772" s="27" t="s">
        <v>526</v>
      </c>
      <c r="O772" s="27" t="s">
        <v>527</v>
      </c>
      <c r="P772" s="27" t="s">
        <v>528</v>
      </c>
      <c r="Q772" s="27" t="s">
        <v>527</v>
      </c>
      <c r="R772" s="27" t="s">
        <v>529</v>
      </c>
      <c r="S772" s="27" t="s">
        <v>530</v>
      </c>
      <c r="T772" s="27" t="s">
        <v>531</v>
      </c>
      <c r="U772" s="4"/>
      <c r="V772" s="4"/>
      <c r="W772" s="4"/>
      <c r="X772" s="4"/>
      <c r="Y772" s="4"/>
      <c r="Z772" s="4"/>
      <c r="AA772" s="4"/>
      <c r="AB772" s="4"/>
    </row>
    <row r="773" spans="1:28" x14ac:dyDescent="0.25">
      <c r="A773" s="27" t="s">
        <v>1338</v>
      </c>
      <c r="B773" s="27" t="str">
        <f t="shared" si="62"/>
        <v>Tennessee</v>
      </c>
      <c r="C773" s="27" t="str">
        <f t="shared" si="63"/>
        <v>Obion</v>
      </c>
      <c r="D773" s="27">
        <v>4667</v>
      </c>
      <c r="E773" s="2">
        <v>133</v>
      </c>
      <c r="F773" s="27">
        <v>131</v>
      </c>
      <c r="G773" s="27">
        <v>8473</v>
      </c>
      <c r="H773" s="28">
        <v>43.25</v>
      </c>
      <c r="I773" s="12">
        <v>52990.73</v>
      </c>
      <c r="J773" s="27">
        <v>110</v>
      </c>
      <c r="K773" s="2">
        <v>85777</v>
      </c>
      <c r="L773" s="27">
        <v>1905</v>
      </c>
      <c r="M773" s="27" t="s">
        <v>525</v>
      </c>
      <c r="N773" s="27" t="s">
        <v>526</v>
      </c>
      <c r="O773" s="27" t="s">
        <v>527</v>
      </c>
      <c r="P773" s="27" t="s">
        <v>528</v>
      </c>
      <c r="Q773" s="27" t="s">
        <v>527</v>
      </c>
      <c r="R773" s="27" t="s">
        <v>529</v>
      </c>
      <c r="S773" s="27" t="s">
        <v>530</v>
      </c>
      <c r="T773" s="27" t="s">
        <v>531</v>
      </c>
      <c r="U773" s="4"/>
      <c r="V773" s="4"/>
      <c r="W773" s="4"/>
      <c r="X773" s="4"/>
      <c r="Y773" s="4"/>
      <c r="Z773" s="4"/>
      <c r="AA773" s="4"/>
      <c r="AB773" s="4"/>
    </row>
    <row r="774" spans="1:28" x14ac:dyDescent="0.25">
      <c r="A774" s="27" t="s">
        <v>1339</v>
      </c>
      <c r="B774" s="27" t="str">
        <f t="shared" si="62"/>
        <v>Tennessee</v>
      </c>
      <c r="C774" s="27" t="str">
        <f t="shared" si="63"/>
        <v>Overton</v>
      </c>
      <c r="D774" s="27">
        <v>2786</v>
      </c>
      <c r="E774" s="27">
        <v>80</v>
      </c>
      <c r="F774" s="27">
        <v>81</v>
      </c>
      <c r="G774" s="27">
        <v>3832</v>
      </c>
      <c r="H774" s="28">
        <v>23</v>
      </c>
      <c r="I774" s="12">
        <v>10158.5</v>
      </c>
      <c r="J774" s="27">
        <v>80</v>
      </c>
      <c r="K774" s="2">
        <v>12545</v>
      </c>
      <c r="L774" s="27">
        <v>1905</v>
      </c>
      <c r="M774" s="27" t="s">
        <v>525</v>
      </c>
      <c r="N774" s="27" t="s">
        <v>526</v>
      </c>
      <c r="O774" s="27" t="s">
        <v>527</v>
      </c>
      <c r="P774" s="27" t="s">
        <v>528</v>
      </c>
      <c r="Q774" s="27" t="s">
        <v>527</v>
      </c>
      <c r="R774" s="27" t="s">
        <v>529</v>
      </c>
      <c r="S774" s="27" t="s">
        <v>530</v>
      </c>
      <c r="T774" s="27" t="s">
        <v>531</v>
      </c>
      <c r="U774" s="4"/>
      <c r="V774" s="4"/>
      <c r="W774" s="4"/>
      <c r="X774" s="4"/>
      <c r="Y774" s="4"/>
      <c r="Z774" s="4"/>
      <c r="AA774" s="4"/>
      <c r="AB774" s="4"/>
    </row>
    <row r="775" spans="1:28" x14ac:dyDescent="0.25">
      <c r="A775" s="27" t="s">
        <v>1340</v>
      </c>
      <c r="B775" s="27" t="str">
        <f t="shared" ref="B775:B838" si="64">LEFT(A775,FIND(";",A775)-1)</f>
        <v>Tennessee</v>
      </c>
      <c r="C775" s="27" t="str">
        <f t="shared" ref="C775:C838" si="65">MID(A775,FIND(";",A775)+1,100)</f>
        <v>Perry</v>
      </c>
      <c r="D775" s="27">
        <v>1614</v>
      </c>
      <c r="E775" s="27">
        <v>57</v>
      </c>
      <c r="F775" s="27">
        <v>84</v>
      </c>
      <c r="G775" s="27">
        <v>2045</v>
      </c>
      <c r="H775" s="28">
        <v>30.5</v>
      </c>
      <c r="I775" s="12">
        <v>7617.44</v>
      </c>
      <c r="J775" s="27">
        <v>48</v>
      </c>
      <c r="K775" s="2">
        <v>12110</v>
      </c>
      <c r="L775" s="27">
        <v>1905</v>
      </c>
      <c r="M775" s="27" t="s">
        <v>525</v>
      </c>
      <c r="N775" s="27" t="s">
        <v>526</v>
      </c>
      <c r="O775" s="27" t="s">
        <v>527</v>
      </c>
      <c r="P775" s="27" t="s">
        <v>528</v>
      </c>
      <c r="Q775" s="27" t="s">
        <v>527</v>
      </c>
      <c r="R775" s="27" t="s">
        <v>529</v>
      </c>
      <c r="S775" s="27" t="s">
        <v>530</v>
      </c>
      <c r="T775" s="27" t="s">
        <v>531</v>
      </c>
      <c r="U775" s="4"/>
      <c r="V775" s="4"/>
      <c r="W775" s="4"/>
      <c r="X775" s="4"/>
      <c r="Y775" s="4"/>
      <c r="Z775" s="4"/>
      <c r="AA775" s="4"/>
      <c r="AB775" s="4"/>
    </row>
    <row r="776" spans="1:28" x14ac:dyDescent="0.25">
      <c r="A776" s="27" t="s">
        <v>1341</v>
      </c>
      <c r="B776" s="27" t="str">
        <f t="shared" si="64"/>
        <v>Tennessee</v>
      </c>
      <c r="C776" s="27" t="str">
        <f t="shared" si="65"/>
        <v>Pickett</v>
      </c>
      <c r="D776" s="27">
        <v>1080</v>
      </c>
      <c r="E776" s="2">
        <v>29</v>
      </c>
      <c r="F776" s="27">
        <v>84</v>
      </c>
      <c r="G776" s="27">
        <v>1360</v>
      </c>
      <c r="H776" s="28">
        <v>24</v>
      </c>
      <c r="I776" s="12">
        <v>4549.8100000000004</v>
      </c>
      <c r="J776" s="27">
        <v>33</v>
      </c>
      <c r="K776" s="2">
        <v>4075</v>
      </c>
      <c r="L776" s="27">
        <v>1905</v>
      </c>
      <c r="M776" s="27" t="s">
        <v>525</v>
      </c>
      <c r="N776" s="27" t="s">
        <v>526</v>
      </c>
      <c r="O776" s="27" t="s">
        <v>527</v>
      </c>
      <c r="P776" s="27" t="s">
        <v>528</v>
      </c>
      <c r="Q776" s="27" t="s">
        <v>527</v>
      </c>
      <c r="R776" s="27" t="s">
        <v>529</v>
      </c>
      <c r="S776" s="27" t="s">
        <v>530</v>
      </c>
      <c r="T776" s="27" t="s">
        <v>531</v>
      </c>
      <c r="U776" s="4"/>
      <c r="V776" s="4"/>
      <c r="W776" s="4"/>
      <c r="X776" s="4"/>
      <c r="Y776" s="4"/>
      <c r="Z776" s="4"/>
      <c r="AA776" s="4"/>
      <c r="AB776" s="4"/>
    </row>
    <row r="777" spans="1:28" x14ac:dyDescent="0.25">
      <c r="A777" s="27" t="s">
        <v>1342</v>
      </c>
      <c r="B777" s="27" t="str">
        <f t="shared" si="64"/>
        <v>Tennessee</v>
      </c>
      <c r="C777" s="27" t="str">
        <f t="shared" si="65"/>
        <v>Polk</v>
      </c>
      <c r="D777" s="27">
        <v>1474</v>
      </c>
      <c r="E777" s="2">
        <v>58</v>
      </c>
      <c r="F777" s="27">
        <v>119</v>
      </c>
      <c r="G777" s="27">
        <v>3001</v>
      </c>
      <c r="H777" s="28">
        <v>34.159999999999997</v>
      </c>
      <c r="I777" s="12">
        <v>15483.13</v>
      </c>
      <c r="J777" s="27">
        <v>53</v>
      </c>
      <c r="K777" s="2">
        <v>147730</v>
      </c>
      <c r="L777" s="27">
        <v>1905</v>
      </c>
      <c r="M777" s="27" t="s">
        <v>525</v>
      </c>
      <c r="N777" s="27" t="s">
        <v>526</v>
      </c>
      <c r="O777" s="27" t="s">
        <v>527</v>
      </c>
      <c r="P777" s="27" t="s">
        <v>528</v>
      </c>
      <c r="Q777" s="27" t="s">
        <v>527</v>
      </c>
      <c r="R777" s="27" t="s">
        <v>529</v>
      </c>
      <c r="S777" s="27" t="s">
        <v>530</v>
      </c>
      <c r="T777" s="27" t="s">
        <v>531</v>
      </c>
      <c r="U777" s="4"/>
      <c r="V777" s="4"/>
      <c r="W777" s="4"/>
      <c r="X777" s="4"/>
      <c r="Y777" s="4"/>
      <c r="Z777" s="4"/>
      <c r="AA777" s="4"/>
      <c r="AB777" s="4"/>
    </row>
    <row r="778" spans="1:28" x14ac:dyDescent="0.25">
      <c r="A778" s="27" t="s">
        <v>1343</v>
      </c>
      <c r="B778" s="27" t="str">
        <f t="shared" si="64"/>
        <v>Tennessee</v>
      </c>
      <c r="C778" s="27" t="str">
        <f t="shared" si="65"/>
        <v>Putnam</v>
      </c>
      <c r="D778" s="27">
        <v>3100</v>
      </c>
      <c r="E778" s="27">
        <v>93</v>
      </c>
      <c r="F778" s="27">
        <v>98</v>
      </c>
      <c r="G778" s="27">
        <v>4873</v>
      </c>
      <c r="H778" s="28">
        <v>33.549999999999997</v>
      </c>
      <c r="I778" s="12">
        <v>187.41</v>
      </c>
      <c r="J778" s="27">
        <v>79</v>
      </c>
      <c r="K778" s="2">
        <v>41500</v>
      </c>
      <c r="L778" s="27">
        <v>1905</v>
      </c>
      <c r="M778" s="27" t="s">
        <v>525</v>
      </c>
      <c r="N778" s="27" t="s">
        <v>526</v>
      </c>
      <c r="O778" s="27" t="s">
        <v>527</v>
      </c>
      <c r="P778" s="27" t="s">
        <v>528</v>
      </c>
      <c r="Q778" s="27" t="s">
        <v>527</v>
      </c>
      <c r="R778" s="27" t="s">
        <v>529</v>
      </c>
      <c r="S778" s="27" t="s">
        <v>530</v>
      </c>
      <c r="T778" s="27" t="s">
        <v>531</v>
      </c>
      <c r="U778" s="4"/>
      <c r="V778" s="4"/>
      <c r="W778" s="4"/>
      <c r="X778" s="4"/>
      <c r="Y778" s="4"/>
      <c r="Z778" s="4"/>
      <c r="AA778" s="4"/>
      <c r="AB778" s="4"/>
    </row>
    <row r="779" spans="1:28" x14ac:dyDescent="0.25">
      <c r="A779" s="27" t="s">
        <v>1344</v>
      </c>
      <c r="B779" s="27" t="str">
        <f t="shared" si="64"/>
        <v>Tennessee</v>
      </c>
      <c r="C779" s="27" t="str">
        <f t="shared" si="65"/>
        <v>Rhea</v>
      </c>
      <c r="D779" s="27">
        <v>2140.73</v>
      </c>
      <c r="E779" s="27">
        <v>70</v>
      </c>
      <c r="F779" s="27">
        <v>102</v>
      </c>
      <c r="G779" s="27">
        <v>3800</v>
      </c>
      <c r="H779" s="28">
        <v>37.26</v>
      </c>
      <c r="I779" s="12">
        <v>19834.36</v>
      </c>
      <c r="J779" s="27">
        <v>51</v>
      </c>
      <c r="K779" s="2">
        <v>51342</v>
      </c>
      <c r="L779" s="27">
        <v>1905</v>
      </c>
      <c r="M779" s="27" t="s">
        <v>525</v>
      </c>
      <c r="N779" s="27" t="s">
        <v>526</v>
      </c>
      <c r="O779" s="27" t="s">
        <v>527</v>
      </c>
      <c r="P779" s="27" t="s">
        <v>528</v>
      </c>
      <c r="Q779" s="27" t="s">
        <v>527</v>
      </c>
      <c r="R779" s="27" t="s">
        <v>529</v>
      </c>
      <c r="S779" s="27" t="s">
        <v>530</v>
      </c>
      <c r="T779" s="27" t="s">
        <v>531</v>
      </c>
      <c r="U779" s="4"/>
      <c r="V779" s="4"/>
      <c r="W779" s="4"/>
      <c r="X779" s="4"/>
      <c r="Y779" s="4"/>
      <c r="Z779" s="4"/>
      <c r="AA779" s="4"/>
      <c r="AB779" s="4"/>
    </row>
    <row r="780" spans="1:28" x14ac:dyDescent="0.25">
      <c r="A780" s="27" t="s">
        <v>1345</v>
      </c>
      <c r="B780" s="27" t="str">
        <f t="shared" si="64"/>
        <v>Tennessee</v>
      </c>
      <c r="C780" s="27" t="str">
        <f t="shared" si="65"/>
        <v>Roane</v>
      </c>
      <c r="D780" s="27">
        <v>3725.74</v>
      </c>
      <c r="E780" s="2">
        <v>114</v>
      </c>
      <c r="F780" s="27">
        <v>123</v>
      </c>
      <c r="G780" s="27">
        <v>6298</v>
      </c>
      <c r="H780" s="28">
        <v>38.97</v>
      </c>
      <c r="I780" s="12">
        <v>33771.279999999999</v>
      </c>
      <c r="J780" s="27">
        <v>80</v>
      </c>
      <c r="K780" s="2">
        <v>52525</v>
      </c>
      <c r="L780" s="27">
        <v>1905</v>
      </c>
      <c r="M780" s="27" t="s">
        <v>525</v>
      </c>
      <c r="N780" s="27" t="s">
        <v>526</v>
      </c>
      <c r="O780" s="27" t="s">
        <v>527</v>
      </c>
      <c r="P780" s="27" t="s">
        <v>528</v>
      </c>
      <c r="Q780" s="27" t="s">
        <v>527</v>
      </c>
      <c r="R780" s="27" t="s">
        <v>529</v>
      </c>
      <c r="S780" s="27" t="s">
        <v>530</v>
      </c>
      <c r="T780" s="27" t="s">
        <v>531</v>
      </c>
      <c r="U780" s="4"/>
      <c r="V780" s="4"/>
      <c r="W780" s="4"/>
      <c r="X780" s="4"/>
      <c r="Y780" s="4"/>
      <c r="Z780" s="4"/>
      <c r="AA780" s="4"/>
      <c r="AB780" s="4"/>
    </row>
    <row r="781" spans="1:28" x14ac:dyDescent="0.25">
      <c r="A781" s="27" t="s">
        <v>1346</v>
      </c>
      <c r="B781" s="27" t="str">
        <f t="shared" si="64"/>
        <v>Tennessee</v>
      </c>
      <c r="C781" s="27" t="str">
        <f t="shared" si="65"/>
        <v>Robertson</v>
      </c>
      <c r="D781" s="27">
        <v>4093</v>
      </c>
      <c r="E781" s="27">
        <v>128</v>
      </c>
      <c r="F781" s="27">
        <v>137</v>
      </c>
      <c r="G781" s="27">
        <v>6216</v>
      </c>
      <c r="H781" s="28">
        <v>40</v>
      </c>
      <c r="I781" s="12">
        <v>44050.94</v>
      </c>
      <c r="J781" s="27">
        <v>103</v>
      </c>
      <c r="K781" s="2">
        <v>16100</v>
      </c>
      <c r="L781" s="27">
        <v>1905</v>
      </c>
      <c r="M781" s="27" t="s">
        <v>525</v>
      </c>
      <c r="N781" s="27" t="s">
        <v>526</v>
      </c>
      <c r="O781" s="27" t="s">
        <v>527</v>
      </c>
      <c r="P781" s="27" t="s">
        <v>528</v>
      </c>
      <c r="Q781" s="27" t="s">
        <v>527</v>
      </c>
      <c r="R781" s="27" t="s">
        <v>529</v>
      </c>
      <c r="S781" s="27" t="s">
        <v>530</v>
      </c>
      <c r="T781" s="27" t="s">
        <v>531</v>
      </c>
      <c r="U781" s="4"/>
      <c r="V781" s="4"/>
      <c r="W781" s="4"/>
      <c r="X781" s="4"/>
      <c r="Y781" s="4"/>
      <c r="Z781" s="4"/>
      <c r="AA781" s="4"/>
      <c r="AB781" s="4"/>
    </row>
    <row r="782" spans="1:28" x14ac:dyDescent="0.25">
      <c r="A782" s="27" t="s">
        <v>1347</v>
      </c>
      <c r="B782" s="27" t="str">
        <f t="shared" si="64"/>
        <v>Tennessee</v>
      </c>
      <c r="C782" s="27" t="str">
        <f t="shared" si="65"/>
        <v>Rutherford</v>
      </c>
      <c r="D782" s="27">
        <v>6885</v>
      </c>
      <c r="E782" s="27">
        <v>160</v>
      </c>
      <c r="F782" s="27">
        <v>121</v>
      </c>
      <c r="G782" s="27">
        <v>9608</v>
      </c>
      <c r="H782" s="28">
        <v>29.62</v>
      </c>
      <c r="I782" s="12">
        <v>38187.93</v>
      </c>
      <c r="J782" s="27">
        <v>137</v>
      </c>
      <c r="K782" s="2">
        <v>62200</v>
      </c>
      <c r="L782" s="27">
        <v>1905</v>
      </c>
      <c r="M782" s="27" t="s">
        <v>525</v>
      </c>
      <c r="N782" s="27" t="s">
        <v>526</v>
      </c>
      <c r="O782" s="27" t="s">
        <v>527</v>
      </c>
      <c r="P782" s="27" t="s">
        <v>528</v>
      </c>
      <c r="Q782" s="27" t="s">
        <v>527</v>
      </c>
      <c r="R782" s="27" t="s">
        <v>529</v>
      </c>
      <c r="S782" s="27" t="s">
        <v>530</v>
      </c>
      <c r="T782" s="27" t="s">
        <v>531</v>
      </c>
      <c r="U782" s="4"/>
      <c r="V782" s="4"/>
      <c r="W782" s="4"/>
      <c r="X782" s="4"/>
      <c r="Y782" s="4"/>
      <c r="Z782" s="4"/>
      <c r="AA782" s="4"/>
      <c r="AB782" s="4"/>
    </row>
    <row r="783" spans="1:28" x14ac:dyDescent="0.25">
      <c r="A783" s="27" t="s">
        <v>1348</v>
      </c>
      <c r="B783" s="27" t="str">
        <f t="shared" si="64"/>
        <v>Tennessee</v>
      </c>
      <c r="C783" s="27" t="str">
        <f t="shared" si="65"/>
        <v>Scott</v>
      </c>
      <c r="D783" s="27">
        <v>1689</v>
      </c>
      <c r="E783" s="27">
        <v>73</v>
      </c>
      <c r="F783" s="27">
        <v>128</v>
      </c>
      <c r="G783" s="2">
        <v>3610</v>
      </c>
      <c r="H783" s="28">
        <v>35.04</v>
      </c>
      <c r="I783" s="12">
        <v>18767.580000000002</v>
      </c>
      <c r="J783" s="27">
        <v>62</v>
      </c>
      <c r="K783" s="2">
        <v>15300</v>
      </c>
      <c r="L783" s="27">
        <v>1905</v>
      </c>
      <c r="M783" s="27" t="s">
        <v>525</v>
      </c>
      <c r="N783" s="27" t="s">
        <v>526</v>
      </c>
      <c r="O783" s="27" t="s">
        <v>527</v>
      </c>
      <c r="P783" s="27" t="s">
        <v>528</v>
      </c>
      <c r="Q783" s="27" t="s">
        <v>527</v>
      </c>
      <c r="R783" s="27" t="s">
        <v>529</v>
      </c>
      <c r="S783" s="27" t="s">
        <v>530</v>
      </c>
      <c r="T783" s="27" t="s">
        <v>531</v>
      </c>
      <c r="U783" s="4"/>
      <c r="V783" s="4"/>
      <c r="W783" s="4"/>
      <c r="X783" s="4"/>
      <c r="Y783" s="4"/>
      <c r="Z783" s="4"/>
      <c r="AA783" s="4"/>
      <c r="AB783" s="4"/>
    </row>
    <row r="784" spans="1:28" x14ac:dyDescent="0.25">
      <c r="A784" s="27" t="s">
        <v>1762</v>
      </c>
      <c r="B784" s="27" t="str">
        <f t="shared" si="64"/>
        <v>Tennessee</v>
      </c>
      <c r="C784" s="27" t="str">
        <f t="shared" si="65"/>
        <v>Sequatchie</v>
      </c>
      <c r="D784" s="27">
        <v>595</v>
      </c>
      <c r="E784" s="27">
        <v>27</v>
      </c>
      <c r="F784" s="27">
        <v>76</v>
      </c>
      <c r="G784" s="27">
        <v>769</v>
      </c>
      <c r="H784" s="28">
        <v>37.5</v>
      </c>
      <c r="I784" s="12">
        <v>3999.13</v>
      </c>
      <c r="J784" s="27">
        <v>18</v>
      </c>
      <c r="K784" s="2">
        <v>10500</v>
      </c>
      <c r="L784" s="27">
        <v>1905</v>
      </c>
      <c r="M784" s="27" t="s">
        <v>525</v>
      </c>
      <c r="N784" s="27" t="s">
        <v>526</v>
      </c>
      <c r="O784" s="27" t="s">
        <v>527</v>
      </c>
      <c r="P784" s="27" t="s">
        <v>528</v>
      </c>
      <c r="Q784" s="27" t="s">
        <v>527</v>
      </c>
      <c r="R784" s="27" t="s">
        <v>529</v>
      </c>
      <c r="S784" s="27" t="s">
        <v>530</v>
      </c>
      <c r="T784" s="27" t="s">
        <v>531</v>
      </c>
      <c r="U784" s="4"/>
      <c r="V784" s="4"/>
      <c r="W784" s="4"/>
      <c r="X784" s="4"/>
      <c r="Y784" s="4"/>
      <c r="Z784" s="4"/>
      <c r="AA784" s="4"/>
      <c r="AB784" s="4"/>
    </row>
    <row r="785" spans="1:28" x14ac:dyDescent="0.25">
      <c r="A785" s="27" t="s">
        <v>1349</v>
      </c>
      <c r="B785" s="27" t="str">
        <f t="shared" si="64"/>
        <v>Tennessee</v>
      </c>
      <c r="C785" s="27" t="str">
        <f t="shared" si="65"/>
        <v>Sevier</v>
      </c>
      <c r="D785" s="27">
        <v>4440</v>
      </c>
      <c r="E785" s="2">
        <v>118</v>
      </c>
      <c r="F785" s="27">
        <v>80</v>
      </c>
      <c r="G785" s="27">
        <v>6737</v>
      </c>
      <c r="H785" s="28">
        <v>25.5</v>
      </c>
      <c r="I785" s="12">
        <v>14473.7</v>
      </c>
      <c r="J785" s="27">
        <v>106</v>
      </c>
      <c r="K785" s="2">
        <v>41657</v>
      </c>
      <c r="L785" s="27">
        <v>1905</v>
      </c>
      <c r="M785" s="27" t="s">
        <v>525</v>
      </c>
      <c r="N785" s="27" t="s">
        <v>526</v>
      </c>
      <c r="O785" s="27" t="s">
        <v>527</v>
      </c>
      <c r="P785" s="27" t="s">
        <v>528</v>
      </c>
      <c r="Q785" s="27" t="s">
        <v>527</v>
      </c>
      <c r="R785" s="27" t="s">
        <v>529</v>
      </c>
      <c r="S785" s="27" t="s">
        <v>530</v>
      </c>
      <c r="T785" s="27" t="s">
        <v>531</v>
      </c>
      <c r="U785" s="4"/>
      <c r="V785" s="4"/>
      <c r="W785" s="4"/>
      <c r="X785" s="4"/>
      <c r="Y785" s="4"/>
      <c r="Z785" s="4"/>
      <c r="AA785" s="4"/>
      <c r="AB785" s="4"/>
    </row>
    <row r="786" spans="1:28" x14ac:dyDescent="0.25">
      <c r="A786" s="27" t="s">
        <v>1350</v>
      </c>
      <c r="B786" s="27" t="str">
        <f t="shared" si="64"/>
        <v>Tennessee</v>
      </c>
      <c r="C786" s="27" t="str">
        <f t="shared" si="65"/>
        <v>Shelby</v>
      </c>
      <c r="D786" s="27">
        <v>15508.8</v>
      </c>
      <c r="E786" s="2">
        <v>487</v>
      </c>
      <c r="F786" s="27">
        <v>165</v>
      </c>
      <c r="G786" s="27">
        <v>22880</v>
      </c>
      <c r="H786" s="28">
        <v>52.97</v>
      </c>
      <c r="I786" s="12">
        <v>460419.29</v>
      </c>
      <c r="J786" s="27">
        <v>180</v>
      </c>
      <c r="K786" s="2">
        <v>637146</v>
      </c>
      <c r="L786" s="27">
        <v>1905</v>
      </c>
      <c r="M786" s="27" t="s">
        <v>525</v>
      </c>
      <c r="N786" s="27" t="s">
        <v>526</v>
      </c>
      <c r="O786" s="27" t="s">
        <v>527</v>
      </c>
      <c r="P786" s="27" t="s">
        <v>528</v>
      </c>
      <c r="Q786" s="27" t="s">
        <v>527</v>
      </c>
      <c r="R786" s="27" t="s">
        <v>529</v>
      </c>
      <c r="S786" s="27" t="s">
        <v>530</v>
      </c>
      <c r="T786" s="27" t="s">
        <v>531</v>
      </c>
      <c r="U786" s="4"/>
      <c r="V786" s="4"/>
      <c r="W786" s="4"/>
      <c r="X786" s="4"/>
      <c r="Y786" s="4"/>
      <c r="Z786" s="4"/>
      <c r="AA786" s="4"/>
      <c r="AB786" s="4"/>
    </row>
    <row r="787" spans="1:28" x14ac:dyDescent="0.25">
      <c r="A787" s="27" t="s">
        <v>1351</v>
      </c>
      <c r="B787" s="27" t="str">
        <f t="shared" si="64"/>
        <v>Tennessee</v>
      </c>
      <c r="C787" s="27" t="str">
        <f t="shared" si="65"/>
        <v>Smith</v>
      </c>
      <c r="D787" s="27">
        <v>3302.81</v>
      </c>
      <c r="E787" s="27">
        <v>100</v>
      </c>
      <c r="F787" s="27">
        <v>122</v>
      </c>
      <c r="G787" s="27">
        <v>4304</v>
      </c>
      <c r="H787" s="28">
        <v>33.08</v>
      </c>
      <c r="I787" s="12">
        <v>21308.93</v>
      </c>
      <c r="J787" s="27">
        <v>71</v>
      </c>
      <c r="K787" s="2">
        <v>15480</v>
      </c>
      <c r="L787" s="27">
        <v>1905</v>
      </c>
      <c r="M787" s="27" t="s">
        <v>525</v>
      </c>
      <c r="N787" s="27" t="s">
        <v>526</v>
      </c>
      <c r="O787" s="27" t="s">
        <v>527</v>
      </c>
      <c r="P787" s="27" t="s">
        <v>528</v>
      </c>
      <c r="Q787" s="27" t="s">
        <v>527</v>
      </c>
      <c r="R787" s="27" t="s">
        <v>529</v>
      </c>
      <c r="S787" s="27" t="s">
        <v>530</v>
      </c>
      <c r="T787" s="27" t="s">
        <v>531</v>
      </c>
      <c r="U787" s="4"/>
      <c r="V787" s="4"/>
      <c r="W787" s="4"/>
      <c r="X787" s="4"/>
      <c r="Y787" s="4"/>
      <c r="Z787" s="4"/>
      <c r="AA787" s="4"/>
      <c r="AB787" s="4"/>
    </row>
    <row r="788" spans="1:28" x14ac:dyDescent="0.25">
      <c r="A788" s="27" t="s">
        <v>1352</v>
      </c>
      <c r="B788" s="27" t="str">
        <f t="shared" si="64"/>
        <v>Tennessee</v>
      </c>
      <c r="C788" s="27" t="str">
        <f t="shared" si="65"/>
        <v>Stewart</v>
      </c>
      <c r="D788" s="27">
        <v>2012.82</v>
      </c>
      <c r="E788" s="27">
        <v>64</v>
      </c>
      <c r="F788" s="27">
        <v>91</v>
      </c>
      <c r="G788" s="27">
        <v>3628</v>
      </c>
      <c r="H788" s="28">
        <v>34.75</v>
      </c>
      <c r="I788" s="12">
        <v>13619.3</v>
      </c>
      <c r="J788" s="27">
        <v>52</v>
      </c>
      <c r="K788" s="2">
        <v>18485</v>
      </c>
      <c r="L788" s="27">
        <v>1905</v>
      </c>
      <c r="M788" s="27" t="s">
        <v>525</v>
      </c>
      <c r="N788" s="27" t="s">
        <v>526</v>
      </c>
      <c r="O788" s="27" t="s">
        <v>527</v>
      </c>
      <c r="P788" s="27" t="s">
        <v>528</v>
      </c>
      <c r="Q788" s="27" t="s">
        <v>527</v>
      </c>
      <c r="R788" s="27" t="s">
        <v>529</v>
      </c>
      <c r="S788" s="27" t="s">
        <v>530</v>
      </c>
      <c r="T788" s="27" t="s">
        <v>531</v>
      </c>
      <c r="U788" s="4"/>
      <c r="V788" s="4"/>
      <c r="W788" s="4"/>
      <c r="X788" s="4"/>
      <c r="Y788" s="4"/>
      <c r="Z788" s="4"/>
      <c r="AA788" s="4"/>
      <c r="AB788" s="4"/>
    </row>
    <row r="789" spans="1:28" x14ac:dyDescent="0.25">
      <c r="A789" s="27" t="s">
        <v>1353</v>
      </c>
      <c r="B789" s="27" t="str">
        <f t="shared" si="64"/>
        <v>Tennessee</v>
      </c>
      <c r="C789" s="27" t="str">
        <f t="shared" si="65"/>
        <v>Sullivan</v>
      </c>
      <c r="D789" s="27">
        <v>4307</v>
      </c>
      <c r="E789" s="2">
        <v>114</v>
      </c>
      <c r="F789" s="27">
        <v>133</v>
      </c>
      <c r="G789" s="27">
        <v>7161</v>
      </c>
      <c r="H789" s="28">
        <v>34.299999999999997</v>
      </c>
      <c r="I789" s="12">
        <v>24828.77</v>
      </c>
      <c r="J789" s="27">
        <v>85</v>
      </c>
      <c r="K789" s="2">
        <v>74783</v>
      </c>
      <c r="L789" s="27">
        <v>1905</v>
      </c>
      <c r="M789" s="27" t="s">
        <v>525</v>
      </c>
      <c r="N789" s="27" t="s">
        <v>526</v>
      </c>
      <c r="O789" s="27" t="s">
        <v>527</v>
      </c>
      <c r="P789" s="27" t="s">
        <v>528</v>
      </c>
      <c r="Q789" s="27" t="s">
        <v>527</v>
      </c>
      <c r="R789" s="27" t="s">
        <v>529</v>
      </c>
      <c r="S789" s="27" t="s">
        <v>530</v>
      </c>
      <c r="T789" s="27" t="s">
        <v>531</v>
      </c>
      <c r="U789" s="4"/>
      <c r="V789" s="4"/>
      <c r="W789" s="4"/>
      <c r="X789" s="4"/>
      <c r="Y789" s="4"/>
      <c r="Z789" s="4"/>
      <c r="AA789" s="4"/>
      <c r="AB789" s="4"/>
    </row>
    <row r="790" spans="1:28" x14ac:dyDescent="0.25">
      <c r="A790" s="27" t="s">
        <v>1354</v>
      </c>
      <c r="B790" s="27" t="str">
        <f t="shared" si="64"/>
        <v>Tennessee</v>
      </c>
      <c r="C790" s="27" t="str">
        <f t="shared" si="65"/>
        <v>Sumner</v>
      </c>
      <c r="D790" s="27">
        <v>7636</v>
      </c>
      <c r="E790" s="27">
        <v>130</v>
      </c>
      <c r="F790" s="27">
        <v>130</v>
      </c>
      <c r="G790" s="27">
        <v>8315</v>
      </c>
      <c r="H790" s="28">
        <v>31.21</v>
      </c>
      <c r="I790" s="12">
        <v>30452.79</v>
      </c>
      <c r="J790" s="27">
        <v>99</v>
      </c>
      <c r="K790" s="2">
        <v>61200</v>
      </c>
      <c r="L790" s="27">
        <v>1905</v>
      </c>
      <c r="M790" s="27" t="s">
        <v>525</v>
      </c>
      <c r="N790" s="27" t="s">
        <v>526</v>
      </c>
      <c r="O790" s="27" t="s">
        <v>527</v>
      </c>
      <c r="P790" s="27" t="s">
        <v>528</v>
      </c>
      <c r="Q790" s="27" t="s">
        <v>527</v>
      </c>
      <c r="R790" s="27" t="s">
        <v>529</v>
      </c>
      <c r="S790" s="27" t="s">
        <v>530</v>
      </c>
      <c r="T790" s="27" t="s">
        <v>531</v>
      </c>
      <c r="U790" s="4"/>
      <c r="V790" s="4"/>
      <c r="W790" s="4"/>
      <c r="X790" s="4"/>
      <c r="Y790" s="4"/>
      <c r="Z790" s="4"/>
      <c r="AA790" s="4"/>
      <c r="AB790" s="4"/>
    </row>
    <row r="791" spans="1:28" x14ac:dyDescent="0.25">
      <c r="A791" s="27" t="s">
        <v>1355</v>
      </c>
      <c r="B791" s="27" t="str">
        <f t="shared" si="64"/>
        <v>Tennessee</v>
      </c>
      <c r="C791" s="27" t="str">
        <f t="shared" si="65"/>
        <v>Tipton</v>
      </c>
      <c r="D791" s="27">
        <v>4715.8500000000004</v>
      </c>
      <c r="E791" s="27">
        <v>128</v>
      </c>
      <c r="F791" s="27">
        <v>116</v>
      </c>
      <c r="G791" s="27">
        <v>6730</v>
      </c>
      <c r="H791" s="28">
        <v>36.14</v>
      </c>
      <c r="I791" s="12">
        <v>35064.639999999999</v>
      </c>
      <c r="J791" s="27">
        <v>92</v>
      </c>
      <c r="K791" s="2">
        <v>35935</v>
      </c>
      <c r="L791" s="27">
        <v>1905</v>
      </c>
      <c r="M791" s="27" t="s">
        <v>525</v>
      </c>
      <c r="N791" s="27" t="s">
        <v>526</v>
      </c>
      <c r="O791" s="27" t="s">
        <v>527</v>
      </c>
      <c r="P791" s="27" t="s">
        <v>528</v>
      </c>
      <c r="Q791" s="27" t="s">
        <v>527</v>
      </c>
      <c r="R791" s="27" t="s">
        <v>529</v>
      </c>
      <c r="S791" s="27" t="s">
        <v>530</v>
      </c>
      <c r="T791" s="27" t="s">
        <v>531</v>
      </c>
      <c r="U791" s="4"/>
      <c r="V791" s="4"/>
      <c r="W791" s="4"/>
      <c r="X791" s="4"/>
      <c r="Y791" s="4"/>
      <c r="Z791" s="4"/>
      <c r="AA791" s="4"/>
      <c r="AB791" s="4"/>
    </row>
    <row r="792" spans="1:28" x14ac:dyDescent="0.25">
      <c r="A792" s="27" t="s">
        <v>1356</v>
      </c>
      <c r="B792" s="27" t="str">
        <f t="shared" si="64"/>
        <v>Tennessee</v>
      </c>
      <c r="C792" s="27" t="str">
        <f t="shared" si="65"/>
        <v>Trousdale</v>
      </c>
      <c r="D792" s="27">
        <v>1155</v>
      </c>
      <c r="E792" s="27">
        <v>32</v>
      </c>
      <c r="F792" s="27">
        <v>100</v>
      </c>
      <c r="G792" s="27">
        <v>1590</v>
      </c>
      <c r="H792" s="28">
        <v>30</v>
      </c>
      <c r="I792" s="12">
        <v>4791.8500000000004</v>
      </c>
      <c r="J792" s="27">
        <v>21</v>
      </c>
      <c r="K792" s="2">
        <v>12050</v>
      </c>
      <c r="L792" s="27">
        <v>1905</v>
      </c>
      <c r="M792" s="27" t="s">
        <v>525</v>
      </c>
      <c r="N792" s="27" t="s">
        <v>526</v>
      </c>
      <c r="O792" s="27" t="s">
        <v>527</v>
      </c>
      <c r="P792" s="27" t="s">
        <v>528</v>
      </c>
      <c r="Q792" s="27" t="s">
        <v>527</v>
      </c>
      <c r="R792" s="27" t="s">
        <v>529</v>
      </c>
      <c r="S792" s="27" t="s">
        <v>530</v>
      </c>
      <c r="T792" s="27" t="s">
        <v>531</v>
      </c>
      <c r="U792" s="4"/>
      <c r="V792" s="4"/>
      <c r="W792" s="4"/>
      <c r="X792" s="4"/>
      <c r="Y792" s="4"/>
      <c r="Z792" s="4"/>
      <c r="AA792" s="4"/>
      <c r="AB792" s="4"/>
    </row>
    <row r="793" spans="1:28" x14ac:dyDescent="0.25">
      <c r="A793" s="27" t="s">
        <v>1357</v>
      </c>
      <c r="B793" s="27" t="str">
        <f t="shared" si="64"/>
        <v>Tennessee</v>
      </c>
      <c r="C793" s="27" t="str">
        <f t="shared" si="65"/>
        <v>Unicoi</v>
      </c>
      <c r="D793" s="27">
        <v>1673</v>
      </c>
      <c r="E793" s="27">
        <v>23</v>
      </c>
      <c r="F793" s="27">
        <v>130</v>
      </c>
      <c r="G793" s="27">
        <v>2195</v>
      </c>
      <c r="H793" s="28">
        <v>23.08</v>
      </c>
      <c r="I793" s="12">
        <v>3260.63</v>
      </c>
      <c r="J793" s="27">
        <v>24</v>
      </c>
      <c r="K793" s="2">
        <v>13300</v>
      </c>
      <c r="L793" s="27">
        <v>1905</v>
      </c>
      <c r="M793" s="27" t="s">
        <v>525</v>
      </c>
      <c r="N793" s="27" t="s">
        <v>526</v>
      </c>
      <c r="O793" s="27" t="s">
        <v>527</v>
      </c>
      <c r="P793" s="27" t="s">
        <v>528</v>
      </c>
      <c r="Q793" s="27" t="s">
        <v>527</v>
      </c>
      <c r="R793" s="27" t="s">
        <v>529</v>
      </c>
      <c r="S793" s="27" t="s">
        <v>530</v>
      </c>
      <c r="T793" s="27" t="s">
        <v>531</v>
      </c>
      <c r="U793" s="4"/>
      <c r="V793" s="4"/>
      <c r="W793" s="4"/>
      <c r="X793" s="4"/>
      <c r="Y793" s="4"/>
      <c r="Z793" s="4"/>
      <c r="AA793" s="4"/>
      <c r="AB793" s="4"/>
    </row>
    <row r="794" spans="1:28" x14ac:dyDescent="0.25">
      <c r="A794" s="27" t="s">
        <v>1358</v>
      </c>
      <c r="B794" s="27" t="str">
        <f t="shared" si="64"/>
        <v>Tennessee</v>
      </c>
      <c r="C794" s="27" t="str">
        <f t="shared" si="65"/>
        <v>Union</v>
      </c>
      <c r="D794" s="27">
        <v>3000.88</v>
      </c>
      <c r="E794" s="27">
        <v>55</v>
      </c>
      <c r="F794" s="27">
        <v>76</v>
      </c>
      <c r="G794" s="27">
        <v>3718</v>
      </c>
      <c r="H794" s="28">
        <v>30.9</v>
      </c>
      <c r="I794" s="12">
        <v>6653.4</v>
      </c>
      <c r="J794" s="27">
        <v>55</v>
      </c>
      <c r="K794" s="2">
        <v>15480</v>
      </c>
      <c r="L794" s="27">
        <v>1905</v>
      </c>
      <c r="M794" s="27" t="s">
        <v>525</v>
      </c>
      <c r="N794" s="27" t="s">
        <v>526</v>
      </c>
      <c r="O794" s="27" t="s">
        <v>527</v>
      </c>
      <c r="P794" s="27" t="s">
        <v>528</v>
      </c>
      <c r="Q794" s="27" t="s">
        <v>527</v>
      </c>
      <c r="R794" s="27" t="s">
        <v>529</v>
      </c>
      <c r="S794" s="27" t="s">
        <v>530</v>
      </c>
      <c r="T794" s="27" t="s">
        <v>531</v>
      </c>
      <c r="U794" s="4"/>
      <c r="V794" s="4"/>
      <c r="W794" s="4"/>
      <c r="X794" s="4"/>
      <c r="Y794" s="4"/>
      <c r="Z794" s="4"/>
      <c r="AA794" s="4"/>
      <c r="AB794" s="4"/>
    </row>
    <row r="795" spans="1:28" x14ac:dyDescent="0.25">
      <c r="A795" s="27" t="s">
        <v>1359</v>
      </c>
      <c r="B795" s="27" t="str">
        <f t="shared" si="64"/>
        <v>Tennessee</v>
      </c>
      <c r="C795" s="27" t="str">
        <f t="shared" si="65"/>
        <v>Van Buren</v>
      </c>
      <c r="D795" s="27">
        <v>796.59</v>
      </c>
      <c r="E795" s="27">
        <v>25</v>
      </c>
      <c r="F795" s="27">
        <v>75</v>
      </c>
      <c r="G795" s="27">
        <v>860</v>
      </c>
      <c r="H795" s="28">
        <v>19.5</v>
      </c>
      <c r="I795" s="12">
        <v>1583.69</v>
      </c>
      <c r="J795" s="27">
        <v>23</v>
      </c>
      <c r="K795" s="2">
        <v>2345</v>
      </c>
      <c r="L795" s="27">
        <v>1905</v>
      </c>
      <c r="M795" s="27" t="s">
        <v>525</v>
      </c>
      <c r="N795" s="27" t="s">
        <v>526</v>
      </c>
      <c r="O795" s="27" t="s">
        <v>527</v>
      </c>
      <c r="P795" s="27" t="s">
        <v>528</v>
      </c>
      <c r="Q795" s="27" t="s">
        <v>527</v>
      </c>
      <c r="R795" s="27" t="s">
        <v>529</v>
      </c>
      <c r="S795" s="27" t="s">
        <v>530</v>
      </c>
      <c r="T795" s="27" t="s">
        <v>531</v>
      </c>
      <c r="U795" s="4"/>
      <c r="V795" s="4"/>
      <c r="W795" s="4"/>
      <c r="X795" s="4"/>
      <c r="Y795" s="4"/>
      <c r="Z795" s="4"/>
      <c r="AA795" s="4"/>
      <c r="AB795" s="4"/>
    </row>
    <row r="796" spans="1:28" x14ac:dyDescent="0.25">
      <c r="A796" s="27" t="s">
        <v>1360</v>
      </c>
      <c r="B796" s="27" t="str">
        <f t="shared" si="64"/>
        <v>Tennessee</v>
      </c>
      <c r="C796" s="27" t="str">
        <f t="shared" si="65"/>
        <v>Warren</v>
      </c>
      <c r="D796" s="27">
        <v>2794</v>
      </c>
      <c r="E796" s="27">
        <v>90</v>
      </c>
      <c r="F796" s="27">
        <v>103</v>
      </c>
      <c r="G796" s="27">
        <v>4479</v>
      </c>
      <c r="H796" s="28">
        <v>25.77</v>
      </c>
      <c r="I796" s="12">
        <v>16003.33</v>
      </c>
      <c r="J796" s="27">
        <v>88</v>
      </c>
      <c r="K796" s="2">
        <v>42150</v>
      </c>
      <c r="L796" s="27">
        <v>1905</v>
      </c>
      <c r="M796" s="27" t="s">
        <v>525</v>
      </c>
      <c r="N796" s="27" t="s">
        <v>526</v>
      </c>
      <c r="O796" s="27" t="s">
        <v>527</v>
      </c>
      <c r="P796" s="27" t="s">
        <v>528</v>
      </c>
      <c r="Q796" s="27" t="s">
        <v>527</v>
      </c>
      <c r="R796" s="27" t="s">
        <v>529</v>
      </c>
      <c r="S796" s="27" t="s">
        <v>530</v>
      </c>
      <c r="T796" s="27" t="s">
        <v>531</v>
      </c>
      <c r="U796" s="4"/>
      <c r="V796" s="4"/>
      <c r="W796" s="4"/>
      <c r="X796" s="4"/>
      <c r="Y796" s="4"/>
      <c r="Z796" s="4"/>
      <c r="AA796" s="4"/>
      <c r="AB796" s="4"/>
    </row>
    <row r="797" spans="1:28" x14ac:dyDescent="0.25">
      <c r="A797" s="27" t="s">
        <v>1361</v>
      </c>
      <c r="B797" s="27" t="str">
        <f t="shared" si="64"/>
        <v>Tennessee</v>
      </c>
      <c r="C797" s="27" t="str">
        <f t="shared" si="65"/>
        <v>Washington</v>
      </c>
      <c r="D797" s="27">
        <v>3826.91</v>
      </c>
      <c r="E797" s="27">
        <v>119</v>
      </c>
      <c r="F797" s="27">
        <v>139</v>
      </c>
      <c r="G797" s="27">
        <v>5380</v>
      </c>
      <c r="H797" s="28">
        <v>35</v>
      </c>
      <c r="I797" s="12">
        <v>25052.48</v>
      </c>
      <c r="J797" s="27">
        <v>68</v>
      </c>
      <c r="K797" s="2">
        <v>110878</v>
      </c>
      <c r="L797" s="27">
        <v>1905</v>
      </c>
      <c r="M797" s="27" t="s">
        <v>525</v>
      </c>
      <c r="N797" s="27" t="s">
        <v>526</v>
      </c>
      <c r="O797" s="27" t="s">
        <v>527</v>
      </c>
      <c r="P797" s="27" t="s">
        <v>528</v>
      </c>
      <c r="Q797" s="27" t="s">
        <v>527</v>
      </c>
      <c r="R797" s="27" t="s">
        <v>529</v>
      </c>
      <c r="S797" s="27" t="s">
        <v>530</v>
      </c>
      <c r="T797" s="27" t="s">
        <v>531</v>
      </c>
      <c r="U797" s="4"/>
      <c r="V797" s="4"/>
      <c r="W797" s="4"/>
      <c r="X797" s="4"/>
      <c r="Y797" s="4"/>
      <c r="Z797" s="4"/>
      <c r="AA797" s="4"/>
      <c r="AB797" s="4"/>
    </row>
    <row r="798" spans="1:28" x14ac:dyDescent="0.25">
      <c r="A798" s="27" t="s">
        <v>1362</v>
      </c>
      <c r="B798" s="27" t="str">
        <f t="shared" si="64"/>
        <v>Tennessee</v>
      </c>
      <c r="C798" s="27" t="str">
        <f t="shared" si="65"/>
        <v>Wayne</v>
      </c>
      <c r="D798" s="27">
        <v>2583</v>
      </c>
      <c r="E798" s="27">
        <v>77</v>
      </c>
      <c r="F798" s="27">
        <v>80</v>
      </c>
      <c r="G798" s="27">
        <v>3635</v>
      </c>
      <c r="H798" s="28">
        <v>25.5</v>
      </c>
      <c r="I798" s="12">
        <v>11539.82</v>
      </c>
      <c r="J798" s="27">
        <v>77</v>
      </c>
      <c r="K798" s="2">
        <v>15300</v>
      </c>
      <c r="L798" s="27">
        <v>1905</v>
      </c>
      <c r="M798" s="27" t="s">
        <v>525</v>
      </c>
      <c r="N798" s="27" t="s">
        <v>526</v>
      </c>
      <c r="O798" s="27" t="s">
        <v>527</v>
      </c>
      <c r="P798" s="27" t="s">
        <v>528</v>
      </c>
      <c r="Q798" s="27" t="s">
        <v>527</v>
      </c>
      <c r="R798" s="27" t="s">
        <v>529</v>
      </c>
      <c r="S798" s="27" t="s">
        <v>530</v>
      </c>
      <c r="T798" s="27" t="s">
        <v>531</v>
      </c>
      <c r="U798" s="4"/>
      <c r="V798" s="4"/>
      <c r="W798" s="4"/>
      <c r="X798" s="4"/>
      <c r="Y798" s="4"/>
      <c r="Z798" s="4"/>
      <c r="AA798" s="4"/>
      <c r="AB798" s="4"/>
    </row>
    <row r="799" spans="1:28" x14ac:dyDescent="0.25">
      <c r="A799" s="27" t="s">
        <v>1363</v>
      </c>
      <c r="B799" s="27" t="str">
        <f t="shared" si="64"/>
        <v>Tennessee</v>
      </c>
      <c r="C799" s="27" t="str">
        <f t="shared" si="65"/>
        <v>Weakley</v>
      </c>
      <c r="D799" s="27">
        <v>4252</v>
      </c>
      <c r="E799" s="27">
        <v>170</v>
      </c>
      <c r="F799" s="27">
        <v>118</v>
      </c>
      <c r="G799" s="27">
        <v>7475</v>
      </c>
      <c r="H799" s="28">
        <v>37.450000000000003</v>
      </c>
      <c r="I799" s="12">
        <v>45443.22</v>
      </c>
      <c r="J799" s="27">
        <v>122</v>
      </c>
      <c r="K799" s="2">
        <v>74000</v>
      </c>
      <c r="L799" s="27">
        <v>1905</v>
      </c>
      <c r="M799" s="27" t="s">
        <v>525</v>
      </c>
      <c r="N799" s="27" t="s">
        <v>526</v>
      </c>
      <c r="O799" s="27" t="s">
        <v>527</v>
      </c>
      <c r="P799" s="27" t="s">
        <v>528</v>
      </c>
      <c r="Q799" s="27" t="s">
        <v>527</v>
      </c>
      <c r="R799" s="27" t="s">
        <v>529</v>
      </c>
      <c r="S799" s="27" t="s">
        <v>530</v>
      </c>
      <c r="T799" s="27" t="s">
        <v>531</v>
      </c>
      <c r="U799" s="4"/>
      <c r="V799" s="4"/>
      <c r="W799" s="4"/>
      <c r="X799" s="4"/>
      <c r="Y799" s="4"/>
      <c r="Z799" s="4"/>
      <c r="AA799" s="4"/>
      <c r="AB799" s="4"/>
    </row>
    <row r="800" spans="1:28" x14ac:dyDescent="0.25">
      <c r="A800" s="27" t="s">
        <v>1364</v>
      </c>
      <c r="B800" s="27" t="str">
        <f t="shared" si="64"/>
        <v>Tennessee</v>
      </c>
      <c r="C800" s="27" t="str">
        <f t="shared" si="65"/>
        <v>White</v>
      </c>
      <c r="D800" s="27">
        <v>3369</v>
      </c>
      <c r="E800" s="27">
        <v>94</v>
      </c>
      <c r="F800" s="27">
        <v>97</v>
      </c>
      <c r="G800" s="27">
        <v>4542</v>
      </c>
      <c r="H800" s="28">
        <v>30</v>
      </c>
      <c r="I800" s="12">
        <v>11730.92</v>
      </c>
      <c r="J800" s="27">
        <v>72</v>
      </c>
      <c r="K800" s="2">
        <v>11280</v>
      </c>
      <c r="L800" s="27">
        <v>1905</v>
      </c>
      <c r="M800" s="27" t="s">
        <v>525</v>
      </c>
      <c r="N800" s="27" t="s">
        <v>526</v>
      </c>
      <c r="O800" s="27" t="s">
        <v>527</v>
      </c>
      <c r="P800" s="27" t="s">
        <v>528</v>
      </c>
      <c r="Q800" s="27" t="s">
        <v>527</v>
      </c>
      <c r="R800" s="27" t="s">
        <v>529</v>
      </c>
      <c r="S800" s="27" t="s">
        <v>530</v>
      </c>
      <c r="T800" s="27" t="s">
        <v>531</v>
      </c>
      <c r="U800" s="4"/>
      <c r="V800" s="4"/>
      <c r="W800" s="4"/>
      <c r="X800" s="4"/>
      <c r="Y800" s="4"/>
      <c r="Z800" s="4"/>
      <c r="AA800" s="4"/>
      <c r="AB800" s="4"/>
    </row>
    <row r="801" spans="1:28" x14ac:dyDescent="0.25">
      <c r="A801" s="27" t="s">
        <v>1365</v>
      </c>
      <c r="B801" s="27" t="str">
        <f t="shared" si="64"/>
        <v>Tennessee</v>
      </c>
      <c r="C801" s="27" t="str">
        <f t="shared" si="65"/>
        <v>Williamson</v>
      </c>
      <c r="D801" s="27">
        <v>5712</v>
      </c>
      <c r="E801" s="27">
        <v>111</v>
      </c>
      <c r="F801" s="27">
        <v>127</v>
      </c>
      <c r="G801" s="27">
        <v>8396</v>
      </c>
      <c r="H801" s="28">
        <v>30.66</v>
      </c>
      <c r="I801" s="12">
        <v>27234.23</v>
      </c>
      <c r="J801" s="27">
        <v>85</v>
      </c>
      <c r="K801" s="2">
        <v>39618</v>
      </c>
      <c r="L801" s="27">
        <v>1905</v>
      </c>
      <c r="M801" s="27" t="s">
        <v>525</v>
      </c>
      <c r="N801" s="27" t="s">
        <v>526</v>
      </c>
      <c r="O801" s="27" t="s">
        <v>527</v>
      </c>
      <c r="P801" s="27" t="s">
        <v>528</v>
      </c>
      <c r="Q801" s="27" t="s">
        <v>527</v>
      </c>
      <c r="R801" s="27" t="s">
        <v>529</v>
      </c>
      <c r="S801" s="27" t="s">
        <v>530</v>
      </c>
      <c r="T801" s="27" t="s">
        <v>531</v>
      </c>
      <c r="U801" s="4"/>
      <c r="V801" s="4"/>
      <c r="W801" s="4"/>
      <c r="X801" s="4"/>
      <c r="Y801" s="4"/>
      <c r="Z801" s="4"/>
      <c r="AA801" s="4"/>
      <c r="AB801" s="4"/>
    </row>
    <row r="802" spans="1:28" x14ac:dyDescent="0.25">
      <c r="A802" s="27" t="s">
        <v>1366</v>
      </c>
      <c r="B802" s="27" t="str">
        <f t="shared" si="64"/>
        <v>Tennessee</v>
      </c>
      <c r="C802" s="27" t="str">
        <f t="shared" si="65"/>
        <v>Wilson</v>
      </c>
      <c r="D802" s="27">
        <v>6676</v>
      </c>
      <c r="E802" s="27">
        <v>162</v>
      </c>
      <c r="F802" s="27">
        <v>97</v>
      </c>
      <c r="G802" s="27">
        <v>7248</v>
      </c>
      <c r="H802" s="28">
        <v>33</v>
      </c>
      <c r="I802" s="12">
        <v>26939.62</v>
      </c>
      <c r="J802" s="27">
        <v>87</v>
      </c>
      <c r="K802" s="2">
        <v>48000</v>
      </c>
      <c r="L802" s="27">
        <v>1905</v>
      </c>
      <c r="M802" s="27" t="s">
        <v>525</v>
      </c>
      <c r="N802" s="27" t="s">
        <v>526</v>
      </c>
      <c r="O802" s="27" t="s">
        <v>527</v>
      </c>
      <c r="P802" s="27" t="s">
        <v>528</v>
      </c>
      <c r="Q802" s="27" t="s">
        <v>527</v>
      </c>
      <c r="R802" s="27" t="s">
        <v>529</v>
      </c>
      <c r="S802" s="27" t="s">
        <v>530</v>
      </c>
      <c r="T802" s="27" t="s">
        <v>531</v>
      </c>
      <c r="U802" s="4"/>
      <c r="V802" s="4"/>
      <c r="W802" s="4"/>
      <c r="X802" s="4"/>
      <c r="Y802" s="4"/>
      <c r="Z802" s="4"/>
      <c r="AA802" s="4"/>
      <c r="AB802" s="4"/>
    </row>
    <row r="803" spans="1:28" x14ac:dyDescent="0.25">
      <c r="A803" s="27" t="s">
        <v>1367</v>
      </c>
      <c r="B803" s="27" t="str">
        <f t="shared" si="64"/>
        <v/>
      </c>
      <c r="C803" s="27" t="str">
        <f t="shared" si="65"/>
        <v/>
      </c>
      <c r="D803" s="26">
        <f>SUM(D707:D802)</f>
        <v>348693.12999999995</v>
      </c>
      <c r="E803" s="27">
        <f>SUM(E707:E802)</f>
        <v>9784</v>
      </c>
      <c r="F803" s="27"/>
      <c r="G803" s="2">
        <f>SUM(G707:G802)</f>
        <v>501740.71799999999</v>
      </c>
      <c r="H803" s="27"/>
      <c r="I803" s="2">
        <f>SUM(I707:I802)</f>
        <v>2914735.58</v>
      </c>
      <c r="J803" s="27">
        <f>SUM(J707:J802)</f>
        <v>6883</v>
      </c>
      <c r="K803" s="2">
        <f>SUM(K707:K802)</f>
        <v>5189763</v>
      </c>
      <c r="L803" s="27"/>
      <c r="M803" s="27" t="s">
        <v>383</v>
      </c>
      <c r="N803" s="27" t="s">
        <v>383</v>
      </c>
      <c r="O803" s="27" t="s">
        <v>383</v>
      </c>
      <c r="P803" s="27" t="s">
        <v>383</v>
      </c>
      <c r="Q803" s="27" t="s">
        <v>383</v>
      </c>
      <c r="R803" s="27" t="s">
        <v>383</v>
      </c>
      <c r="S803" s="27" t="s">
        <v>383</v>
      </c>
      <c r="T803" s="27" t="s">
        <v>383</v>
      </c>
      <c r="U803" s="4"/>
      <c r="V803" s="4"/>
      <c r="W803" s="4"/>
      <c r="X803" s="4"/>
      <c r="Y803" s="4"/>
      <c r="Z803" s="4"/>
      <c r="AA803" s="4"/>
      <c r="AB803" s="4"/>
    </row>
    <row r="804" spans="1:28" x14ac:dyDescent="0.25">
      <c r="A804" s="27" t="s">
        <v>1367</v>
      </c>
      <c r="B804" s="27" t="str">
        <f t="shared" si="64"/>
        <v/>
      </c>
      <c r="C804" s="27" t="str">
        <f t="shared" si="65"/>
        <v/>
      </c>
      <c r="D804" s="26">
        <v>348688</v>
      </c>
      <c r="E804" s="27">
        <v>9784</v>
      </c>
      <c r="F804" s="27"/>
      <c r="G804" s="27">
        <v>507423</v>
      </c>
      <c r="H804" s="27"/>
      <c r="I804" s="12">
        <v>2933289.23</v>
      </c>
      <c r="J804" s="27">
        <v>6885</v>
      </c>
      <c r="K804" s="2">
        <v>5171753</v>
      </c>
      <c r="L804" s="27"/>
      <c r="M804" s="27" t="s">
        <v>383</v>
      </c>
      <c r="N804" s="27" t="s">
        <v>383</v>
      </c>
      <c r="O804" s="27" t="s">
        <v>383</v>
      </c>
      <c r="P804" s="27" t="s">
        <v>383</v>
      </c>
      <c r="Q804" s="27" t="s">
        <v>383</v>
      </c>
      <c r="R804" s="27" t="s">
        <v>383</v>
      </c>
      <c r="S804" s="27" t="s">
        <v>383</v>
      </c>
      <c r="T804" s="27" t="s">
        <v>383</v>
      </c>
      <c r="U804" s="4"/>
      <c r="V804" s="4"/>
      <c r="W804" s="4"/>
      <c r="X804" s="4"/>
      <c r="Y804" s="4"/>
      <c r="Z804" s="4"/>
      <c r="AA804" s="4"/>
      <c r="AB804" s="4"/>
    </row>
    <row r="805" spans="1:28" x14ac:dyDescent="0.25">
      <c r="A805" s="27" t="s">
        <v>1367</v>
      </c>
      <c r="B805" s="27" t="str">
        <f t="shared" si="64"/>
        <v/>
      </c>
      <c r="C805" s="27" t="str">
        <f t="shared" si="65"/>
        <v/>
      </c>
      <c r="D805" s="27"/>
      <c r="E805" s="27"/>
      <c r="F805" s="27"/>
      <c r="G805" s="27"/>
      <c r="H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8" x14ac:dyDescent="0.25">
      <c r="A806" s="27" t="s">
        <v>1368</v>
      </c>
      <c r="B806" s="27" t="str">
        <f t="shared" si="64"/>
        <v>Texas</v>
      </c>
      <c r="C806" s="27" t="str">
        <f t="shared" si="65"/>
        <v>Anderson</v>
      </c>
      <c r="D806" s="27">
        <v>347412</v>
      </c>
      <c r="E806" s="27">
        <v>107</v>
      </c>
      <c r="F806" s="26">
        <f>'TX pre'!G2</f>
        <v>143.19626168224298</v>
      </c>
      <c r="G806" s="10">
        <v>6738</v>
      </c>
      <c r="H806" s="28">
        <f>'TX pre'!J2</f>
        <v>28.270578253491713</v>
      </c>
      <c r="I806" s="2">
        <v>22238</v>
      </c>
      <c r="J806" s="27">
        <v>77</v>
      </c>
      <c r="K806" s="2">
        <v>14767</v>
      </c>
      <c r="L806" s="27">
        <v>1905</v>
      </c>
      <c r="M806" s="27" t="s">
        <v>1965</v>
      </c>
      <c r="N806" s="27" t="s">
        <v>532</v>
      </c>
      <c r="O806" s="27" t="s">
        <v>533</v>
      </c>
      <c r="P806" s="27" t="s">
        <v>534</v>
      </c>
      <c r="Q806" s="27" t="s">
        <v>2565</v>
      </c>
      <c r="R806" s="27" t="s">
        <v>535</v>
      </c>
      <c r="S806" s="27" t="s">
        <v>536</v>
      </c>
      <c r="T806" s="27" t="s">
        <v>537</v>
      </c>
      <c r="U806" s="4"/>
      <c r="V806" s="4"/>
      <c r="W806" s="4"/>
      <c r="X806" s="4"/>
      <c r="Y806" s="4"/>
      <c r="Z806" s="4"/>
      <c r="AA806" s="4"/>
      <c r="AB806" s="4"/>
    </row>
    <row r="807" spans="1:28" x14ac:dyDescent="0.25">
      <c r="A807" s="27" t="s">
        <v>1371</v>
      </c>
      <c r="B807" s="27" t="str">
        <f t="shared" si="64"/>
        <v>Texas</v>
      </c>
      <c r="C807" s="27" t="str">
        <f t="shared" si="65"/>
        <v>Aransas</v>
      </c>
      <c r="D807" s="27">
        <v>4164</v>
      </c>
      <c r="E807" s="27">
        <v>3</v>
      </c>
      <c r="F807" s="26">
        <f>'TX pre'!G3</f>
        <v>84.333333333333329</v>
      </c>
      <c r="G807" s="10">
        <v>64</v>
      </c>
      <c r="H807" s="28">
        <f>'TX pre'!J3</f>
        <v>42.724901185770747</v>
      </c>
      <c r="I807" s="2">
        <v>642</v>
      </c>
      <c r="J807" s="27">
        <v>3</v>
      </c>
      <c r="K807" s="2">
        <v>585</v>
      </c>
      <c r="L807" s="27">
        <v>1905</v>
      </c>
      <c r="M807" s="27" t="s">
        <v>1965</v>
      </c>
      <c r="N807" s="27" t="s">
        <v>532</v>
      </c>
      <c r="O807" s="27" t="s">
        <v>533</v>
      </c>
      <c r="P807" s="27" t="s">
        <v>534</v>
      </c>
      <c r="Q807" s="27" t="str">
        <f>Q806</f>
        <v>https://babel.hathitrust.org/cgi/pt?id=uc1.b3014083;view=1up;seq=211</v>
      </c>
      <c r="R807" s="27" t="s">
        <v>535</v>
      </c>
      <c r="S807" s="27" t="s">
        <v>536</v>
      </c>
      <c r="T807" s="27" t="s">
        <v>537</v>
      </c>
      <c r="U807" s="4"/>
      <c r="V807" s="4"/>
      <c r="W807" s="4"/>
      <c r="X807" s="4"/>
      <c r="Y807" s="4"/>
      <c r="Z807" s="4"/>
      <c r="AA807" s="4"/>
      <c r="AB807" s="4"/>
    </row>
    <row r="808" spans="1:28" x14ac:dyDescent="0.25">
      <c r="A808" s="27" t="s">
        <v>1372</v>
      </c>
      <c r="B808" s="27" t="str">
        <f t="shared" si="64"/>
        <v>Texas</v>
      </c>
      <c r="C808" s="27" t="str">
        <f t="shared" si="65"/>
        <v>Archer</v>
      </c>
      <c r="D808" s="27">
        <v>51178</v>
      </c>
      <c r="E808" s="27">
        <v>26</v>
      </c>
      <c r="F808" s="26">
        <f>'TX pre'!G4</f>
        <v>88.692307692307693</v>
      </c>
      <c r="G808" s="10">
        <v>774</v>
      </c>
      <c r="H808" s="28">
        <f>'TX pre'!J4</f>
        <v>56.151517779705117</v>
      </c>
      <c r="I808" s="2">
        <v>7546</v>
      </c>
      <c r="J808" s="27">
        <v>24</v>
      </c>
      <c r="K808" s="2">
        <v>15550</v>
      </c>
      <c r="L808" s="27">
        <v>1905</v>
      </c>
      <c r="M808" s="27" t="s">
        <v>1965</v>
      </c>
      <c r="N808" s="27" t="s">
        <v>532</v>
      </c>
      <c r="O808" s="27" t="s">
        <v>533</v>
      </c>
      <c r="P808" s="27" t="s">
        <v>534</v>
      </c>
      <c r="Q808" s="27" t="str">
        <f t="shared" ref="Q808:Q871" si="66">Q807</f>
        <v>https://babel.hathitrust.org/cgi/pt?id=uc1.b3014083;view=1up;seq=211</v>
      </c>
      <c r="R808" s="27" t="s">
        <v>535</v>
      </c>
      <c r="S808" s="27" t="s">
        <v>536</v>
      </c>
      <c r="T808" s="27" t="s">
        <v>537</v>
      </c>
      <c r="U808" s="4"/>
      <c r="V808" s="4"/>
      <c r="W808" s="4"/>
      <c r="X808" s="4"/>
      <c r="Y808" s="4"/>
      <c r="Z808" s="4"/>
      <c r="AA808" s="4"/>
      <c r="AB808" s="4"/>
    </row>
    <row r="809" spans="1:28" x14ac:dyDescent="0.25">
      <c r="A809" s="27" t="s">
        <v>1373</v>
      </c>
      <c r="B809" s="27" t="str">
        <f t="shared" si="64"/>
        <v>Texas</v>
      </c>
      <c r="C809" s="27" t="str">
        <f t="shared" si="65"/>
        <v>Armstrong</v>
      </c>
      <c r="D809" s="27">
        <v>29996</v>
      </c>
      <c r="E809" s="27">
        <v>14</v>
      </c>
      <c r="F809" s="26">
        <f>'TX pre'!G5</f>
        <v>93.5</v>
      </c>
      <c r="G809" s="10">
        <v>336</v>
      </c>
      <c r="H809" s="28">
        <f>'TX pre'!J5</f>
        <v>75.943468296409478</v>
      </c>
      <c r="I809" s="2">
        <v>5891</v>
      </c>
      <c r="J809" s="27">
        <v>10</v>
      </c>
      <c r="K809" s="2">
        <v>5565</v>
      </c>
      <c r="L809" s="27">
        <v>1905</v>
      </c>
      <c r="M809" s="27" t="s">
        <v>1965</v>
      </c>
      <c r="N809" s="27" t="s">
        <v>532</v>
      </c>
      <c r="O809" s="27" t="s">
        <v>533</v>
      </c>
      <c r="P809" s="27" t="s">
        <v>534</v>
      </c>
      <c r="Q809" s="27" t="str">
        <f t="shared" si="66"/>
        <v>https://babel.hathitrust.org/cgi/pt?id=uc1.b3014083;view=1up;seq=211</v>
      </c>
      <c r="R809" s="27" t="s">
        <v>535</v>
      </c>
      <c r="S809" s="27" t="s">
        <v>536</v>
      </c>
      <c r="T809" s="27" t="s">
        <v>537</v>
      </c>
      <c r="U809" s="4"/>
      <c r="V809" s="4"/>
      <c r="W809" s="4"/>
      <c r="X809" s="4"/>
      <c r="Y809" s="4"/>
      <c r="Z809" s="4"/>
      <c r="AA809" s="4"/>
      <c r="AB809" s="4"/>
    </row>
    <row r="810" spans="1:28" x14ac:dyDescent="0.25">
      <c r="A810" s="27" t="s">
        <v>1374</v>
      </c>
      <c r="B810" s="27" t="str">
        <f t="shared" si="64"/>
        <v>Texas</v>
      </c>
      <c r="C810" s="27" t="str">
        <f t="shared" si="65"/>
        <v>Atascosa</v>
      </c>
      <c r="D810" s="27">
        <v>111322</v>
      </c>
      <c r="E810" s="27">
        <v>43</v>
      </c>
      <c r="F810" s="26">
        <f>'TX pre'!G6</f>
        <v>119.41860465116279</v>
      </c>
      <c r="G810" s="10">
        <v>1525</v>
      </c>
      <c r="H810" s="28">
        <f>'TX pre'!J6</f>
        <v>44.363388510223942</v>
      </c>
      <c r="I810" s="2">
        <v>12122</v>
      </c>
      <c r="J810" s="27">
        <v>38</v>
      </c>
      <c r="K810" s="2">
        <v>10479</v>
      </c>
      <c r="L810" s="27">
        <v>1905</v>
      </c>
      <c r="M810" s="27" t="s">
        <v>1965</v>
      </c>
      <c r="N810" s="27" t="s">
        <v>532</v>
      </c>
      <c r="O810" s="27" t="s">
        <v>533</v>
      </c>
      <c r="P810" s="27" t="s">
        <v>534</v>
      </c>
      <c r="Q810" s="27" t="str">
        <f t="shared" si="66"/>
        <v>https://babel.hathitrust.org/cgi/pt?id=uc1.b3014083;view=1up;seq=211</v>
      </c>
      <c r="R810" s="27" t="s">
        <v>535</v>
      </c>
      <c r="S810" s="27" t="s">
        <v>536</v>
      </c>
      <c r="T810" s="27" t="s">
        <v>537</v>
      </c>
      <c r="U810" s="4"/>
      <c r="V810" s="4"/>
      <c r="W810" s="4"/>
      <c r="X810" s="4"/>
      <c r="Y810" s="4"/>
      <c r="Z810" s="4"/>
      <c r="AA810" s="4"/>
      <c r="AB810" s="4"/>
    </row>
    <row r="811" spans="1:28" x14ac:dyDescent="0.25">
      <c r="A811" s="27" t="s">
        <v>1375</v>
      </c>
      <c r="B811" s="27" t="str">
        <f t="shared" si="64"/>
        <v>Texas</v>
      </c>
      <c r="C811" s="27" t="str">
        <f t="shared" si="65"/>
        <v>Austin</v>
      </c>
      <c r="D811" s="27">
        <v>218055</v>
      </c>
      <c r="E811" s="27">
        <v>73</v>
      </c>
      <c r="F811" s="26">
        <f>'TX pre'!G7</f>
        <v>106.8082191780822</v>
      </c>
      <c r="G811" s="10">
        <v>3181</v>
      </c>
      <c r="H811" s="28">
        <f>'TX pre'!J7</f>
        <v>48.560395023727075</v>
      </c>
      <c r="I811" s="2">
        <v>19256</v>
      </c>
      <c r="J811" s="27">
        <v>69</v>
      </c>
      <c r="K811" s="2">
        <v>6493</v>
      </c>
      <c r="L811" s="27">
        <v>1905</v>
      </c>
      <c r="M811" s="27" t="s">
        <v>1965</v>
      </c>
      <c r="N811" s="27" t="s">
        <v>532</v>
      </c>
      <c r="O811" s="27" t="s">
        <v>533</v>
      </c>
      <c r="P811" s="27" t="s">
        <v>534</v>
      </c>
      <c r="Q811" s="27" t="str">
        <f t="shared" si="66"/>
        <v>https://babel.hathitrust.org/cgi/pt?id=uc1.b3014083;view=1up;seq=211</v>
      </c>
      <c r="R811" s="27" t="s">
        <v>535</v>
      </c>
      <c r="S811" s="27" t="s">
        <v>536</v>
      </c>
      <c r="T811" s="27" t="s">
        <v>537</v>
      </c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27" t="s">
        <v>1377</v>
      </c>
      <c r="B812" s="27" t="str">
        <f t="shared" si="64"/>
        <v>Texas</v>
      </c>
      <c r="C812" s="27" t="str">
        <f t="shared" si="65"/>
        <v>Bandera</v>
      </c>
      <c r="D812" s="27">
        <v>96468</v>
      </c>
      <c r="E812" s="2">
        <v>35</v>
      </c>
      <c r="F812" s="26">
        <f>'TX pre'!G8</f>
        <v>108.2</v>
      </c>
      <c r="G812" s="10">
        <v>1324</v>
      </c>
      <c r="H812" s="28">
        <f>'TX pre'!J8</f>
        <v>43.097702667018751</v>
      </c>
      <c r="I812" s="2">
        <v>9075</v>
      </c>
      <c r="J812" s="27">
        <v>31</v>
      </c>
      <c r="K812" s="2">
        <v>8455</v>
      </c>
      <c r="L812" s="27">
        <v>1905</v>
      </c>
      <c r="M812" s="27" t="s">
        <v>1965</v>
      </c>
      <c r="N812" s="27" t="s">
        <v>532</v>
      </c>
      <c r="O812" s="27" t="s">
        <v>533</v>
      </c>
      <c r="P812" s="27" t="s">
        <v>534</v>
      </c>
      <c r="Q812" s="27" t="str">
        <f t="shared" si="66"/>
        <v>https://babel.hathitrust.org/cgi/pt?id=uc1.b3014083;view=1up;seq=211</v>
      </c>
      <c r="R812" s="27" t="s">
        <v>535</v>
      </c>
      <c r="S812" s="27" t="s">
        <v>536</v>
      </c>
      <c r="T812" s="27" t="s">
        <v>537</v>
      </c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27" t="s">
        <v>1379</v>
      </c>
      <c r="B813" s="27" t="str">
        <f t="shared" si="64"/>
        <v>Texas</v>
      </c>
      <c r="C813" s="27" t="str">
        <f t="shared" si="65"/>
        <v>Baylor</v>
      </c>
      <c r="D813" s="27">
        <v>36071</v>
      </c>
      <c r="E813" s="2">
        <v>17</v>
      </c>
      <c r="F813" s="26">
        <f>'TX pre'!G9</f>
        <v>117.17647058823529</v>
      </c>
      <c r="G813" s="10">
        <v>588</v>
      </c>
      <c r="H813" s="28">
        <f>'TX pre'!J9</f>
        <v>45.460341365461858</v>
      </c>
      <c r="I813" s="2">
        <v>6768</v>
      </c>
      <c r="J813" s="27">
        <v>17</v>
      </c>
      <c r="K813" s="2">
        <v>8540</v>
      </c>
      <c r="L813" s="27">
        <v>1905</v>
      </c>
      <c r="M813" s="27" t="s">
        <v>1965</v>
      </c>
      <c r="N813" s="27" t="s">
        <v>532</v>
      </c>
      <c r="O813" s="27" t="s">
        <v>533</v>
      </c>
      <c r="P813" s="27" t="s">
        <v>534</v>
      </c>
      <c r="Q813" s="27" t="str">
        <f t="shared" si="66"/>
        <v>https://babel.hathitrust.org/cgi/pt?id=uc1.b3014083;view=1up;seq=211</v>
      </c>
      <c r="R813" s="27" t="s">
        <v>535</v>
      </c>
      <c r="S813" s="27" t="s">
        <v>536</v>
      </c>
      <c r="T813" s="27" t="s">
        <v>537</v>
      </c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27" t="s">
        <v>1380</v>
      </c>
      <c r="B814" s="27" t="str">
        <f t="shared" si="64"/>
        <v>Texas</v>
      </c>
      <c r="C814" s="27" t="str">
        <f t="shared" si="65"/>
        <v>Bee</v>
      </c>
      <c r="D814" s="27">
        <v>64126</v>
      </c>
      <c r="E814" s="27">
        <v>30</v>
      </c>
      <c r="F814" s="26">
        <f>'TX pre'!G10</f>
        <v>115.16666666666667</v>
      </c>
      <c r="G814" s="10">
        <v>833</v>
      </c>
      <c r="H814" s="28">
        <f>'TX pre'!J10</f>
        <v>43.338060781476116</v>
      </c>
      <c r="I814" s="2">
        <v>8652</v>
      </c>
      <c r="J814" s="27">
        <v>27</v>
      </c>
      <c r="K814" s="2">
        <v>7585</v>
      </c>
      <c r="L814" s="27">
        <v>1905</v>
      </c>
      <c r="M814" s="27" t="s">
        <v>1965</v>
      </c>
      <c r="N814" s="27" t="s">
        <v>532</v>
      </c>
      <c r="O814" s="27" t="s">
        <v>533</v>
      </c>
      <c r="P814" s="27" t="s">
        <v>534</v>
      </c>
      <c r="Q814" s="27" t="str">
        <f t="shared" si="66"/>
        <v>https://babel.hathitrust.org/cgi/pt?id=uc1.b3014083;view=1up;seq=211</v>
      </c>
      <c r="R814" s="27" t="s">
        <v>535</v>
      </c>
      <c r="S814" s="27" t="s">
        <v>536</v>
      </c>
      <c r="T814" s="27" t="s">
        <v>537</v>
      </c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27" t="s">
        <v>1381</v>
      </c>
      <c r="B815" s="27" t="str">
        <f t="shared" si="64"/>
        <v>Texas</v>
      </c>
      <c r="C815" s="27" t="str">
        <f t="shared" si="65"/>
        <v>Bell</v>
      </c>
      <c r="D815" s="27">
        <v>396908</v>
      </c>
      <c r="E815" s="27">
        <v>127</v>
      </c>
      <c r="F815" s="26">
        <f>'TX pre'!G11</f>
        <v>101.90551181102362</v>
      </c>
      <c r="G815" s="10">
        <v>6069</v>
      </c>
      <c r="H815" s="28">
        <f>'TX pre'!J11</f>
        <v>47.710956575490655</v>
      </c>
      <c r="I815" s="2">
        <v>33558</v>
      </c>
      <c r="J815" s="27">
        <v>107</v>
      </c>
      <c r="K815" s="2">
        <v>47251</v>
      </c>
      <c r="L815" s="27">
        <v>1905</v>
      </c>
      <c r="M815" s="27" t="s">
        <v>1965</v>
      </c>
      <c r="N815" s="27" t="s">
        <v>532</v>
      </c>
      <c r="O815" s="27" t="s">
        <v>533</v>
      </c>
      <c r="P815" s="27" t="s">
        <v>534</v>
      </c>
      <c r="Q815" s="27" t="str">
        <f t="shared" si="66"/>
        <v>https://babel.hathitrust.org/cgi/pt?id=uc1.b3014083;view=1up;seq=211</v>
      </c>
      <c r="R815" s="27" t="s">
        <v>535</v>
      </c>
      <c r="S815" s="27" t="s">
        <v>536</v>
      </c>
      <c r="T815" s="27" t="s">
        <v>537</v>
      </c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27" t="s">
        <v>1382</v>
      </c>
      <c r="B816" s="27" t="str">
        <f t="shared" si="64"/>
        <v>Texas</v>
      </c>
      <c r="C816" s="27" t="str">
        <f t="shared" si="65"/>
        <v>Bexar</v>
      </c>
      <c r="D816" s="27">
        <v>203374</v>
      </c>
      <c r="E816" s="27">
        <v>69</v>
      </c>
      <c r="F816" s="26">
        <f>'TX pre'!G12</f>
        <v>134.81159420289856</v>
      </c>
      <c r="G816" s="10">
        <v>2878</v>
      </c>
      <c r="H816" s="28">
        <f>'TX pre'!J12</f>
        <v>45.181487852074817</v>
      </c>
      <c r="I816" s="2">
        <v>26365</v>
      </c>
      <c r="J816" s="27">
        <v>63</v>
      </c>
      <c r="K816" s="2">
        <v>34328</v>
      </c>
      <c r="L816" s="27">
        <v>1905</v>
      </c>
      <c r="M816" s="27" t="s">
        <v>1965</v>
      </c>
      <c r="N816" s="27" t="s">
        <v>532</v>
      </c>
      <c r="O816" s="27" t="s">
        <v>533</v>
      </c>
      <c r="P816" s="27" t="s">
        <v>534</v>
      </c>
      <c r="Q816" s="27" t="str">
        <f t="shared" si="66"/>
        <v>https://babel.hathitrust.org/cgi/pt?id=uc1.b3014083;view=1up;seq=211</v>
      </c>
      <c r="R816" s="27" t="s">
        <v>535</v>
      </c>
      <c r="S816" s="27" t="s">
        <v>536</v>
      </c>
      <c r="T816" s="27" t="s">
        <v>537</v>
      </c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27" t="s">
        <v>1383</v>
      </c>
      <c r="B817" s="27" t="str">
        <f t="shared" si="64"/>
        <v>Texas</v>
      </c>
      <c r="C817" s="27" t="str">
        <f t="shared" si="65"/>
        <v>Blanco</v>
      </c>
      <c r="D817" s="27">
        <v>53953</v>
      </c>
      <c r="E817" s="27">
        <v>29</v>
      </c>
      <c r="F817" s="26">
        <f>'TX pre'!G13</f>
        <v>74.34482758620689</v>
      </c>
      <c r="G817" s="10">
        <v>829</v>
      </c>
      <c r="H817" s="28">
        <f>'TX pre'!J13</f>
        <v>46.393228200371055</v>
      </c>
      <c r="I817" s="2">
        <v>5162</v>
      </c>
      <c r="J817" s="27">
        <v>22</v>
      </c>
      <c r="K817" s="2">
        <v>13200</v>
      </c>
      <c r="L817" s="27">
        <v>1905</v>
      </c>
      <c r="M817" s="27" t="s">
        <v>1965</v>
      </c>
      <c r="N817" s="27" t="s">
        <v>532</v>
      </c>
      <c r="O817" s="27" t="s">
        <v>533</v>
      </c>
      <c r="P817" s="27" t="s">
        <v>534</v>
      </c>
      <c r="Q817" s="27" t="str">
        <f t="shared" si="66"/>
        <v>https://babel.hathitrust.org/cgi/pt?id=uc1.b3014083;view=1up;seq=211</v>
      </c>
      <c r="R817" s="27" t="s">
        <v>535</v>
      </c>
      <c r="S817" s="27" t="s">
        <v>536</v>
      </c>
      <c r="T817" s="27" t="s">
        <v>537</v>
      </c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27" t="s">
        <v>1384</v>
      </c>
      <c r="B818" s="27" t="str">
        <f t="shared" si="64"/>
        <v>Texas</v>
      </c>
      <c r="C818" s="27" t="str">
        <f t="shared" si="65"/>
        <v>Borden</v>
      </c>
      <c r="D818" s="27">
        <v>14394</v>
      </c>
      <c r="E818" s="27">
        <v>12</v>
      </c>
      <c r="F818" s="26">
        <f>'TX pre'!G14</f>
        <v>75.666666666666671</v>
      </c>
      <c r="G818" s="10">
        <v>241</v>
      </c>
      <c r="H818" s="28">
        <f>'TX pre'!J14</f>
        <v>39.649339207048456</v>
      </c>
      <c r="I818" s="2">
        <v>2217</v>
      </c>
      <c r="J818" s="27">
        <v>10</v>
      </c>
      <c r="K818" s="2">
        <v>2510</v>
      </c>
      <c r="L818" s="27">
        <v>1905</v>
      </c>
      <c r="M818" s="27" t="s">
        <v>1965</v>
      </c>
      <c r="N818" s="27" t="s">
        <v>532</v>
      </c>
      <c r="O818" s="27" t="s">
        <v>533</v>
      </c>
      <c r="P818" s="27" t="s">
        <v>534</v>
      </c>
      <c r="Q818" s="27" t="str">
        <f t="shared" si="66"/>
        <v>https://babel.hathitrust.org/cgi/pt?id=uc1.b3014083;view=1up;seq=211</v>
      </c>
      <c r="R818" s="27" t="s">
        <v>535</v>
      </c>
      <c r="S818" s="27" t="s">
        <v>536</v>
      </c>
      <c r="T818" s="27" t="s">
        <v>537</v>
      </c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27" t="s">
        <v>1385</v>
      </c>
      <c r="B819" s="27" t="str">
        <f t="shared" si="64"/>
        <v>Texas</v>
      </c>
      <c r="C819" s="27" t="str">
        <f t="shared" si="65"/>
        <v>Bosque</v>
      </c>
      <c r="D819" s="27">
        <v>194414</v>
      </c>
      <c r="E819" s="27">
        <v>81</v>
      </c>
      <c r="F819" s="26">
        <f>'TX pre'!G15</f>
        <v>81.962962962962962</v>
      </c>
      <c r="G819" s="10">
        <v>3543</v>
      </c>
      <c r="H819" s="28">
        <f>'TX pre'!J15</f>
        <v>49.713631571019725</v>
      </c>
      <c r="I819" s="2">
        <v>17337</v>
      </c>
      <c r="J819" s="27">
        <v>71</v>
      </c>
      <c r="K819" s="2">
        <v>27765</v>
      </c>
      <c r="L819" s="27">
        <v>1905</v>
      </c>
      <c r="M819" s="27" t="s">
        <v>1965</v>
      </c>
      <c r="N819" s="27" t="s">
        <v>532</v>
      </c>
      <c r="O819" s="27" t="s">
        <v>533</v>
      </c>
      <c r="P819" s="27" t="s">
        <v>534</v>
      </c>
      <c r="Q819" s="27" t="str">
        <f t="shared" si="66"/>
        <v>https://babel.hathitrust.org/cgi/pt?id=uc1.b3014083;view=1up;seq=211</v>
      </c>
      <c r="R819" s="27" t="s">
        <v>535</v>
      </c>
      <c r="S819" s="27" t="s">
        <v>536</v>
      </c>
      <c r="T819" s="27" t="s">
        <v>537</v>
      </c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27" t="s">
        <v>1386</v>
      </c>
      <c r="B820" s="27" t="str">
        <f t="shared" si="64"/>
        <v>Texas</v>
      </c>
      <c r="C820" s="27" t="str">
        <f t="shared" si="65"/>
        <v>Bowie</v>
      </c>
      <c r="D820" s="27">
        <v>311352</v>
      </c>
      <c r="E820" s="27">
        <v>118</v>
      </c>
      <c r="F820" s="26">
        <f>'TX pre'!G16</f>
        <v>97.737288135593218</v>
      </c>
      <c r="G820" s="10">
        <v>5964</v>
      </c>
      <c r="H820" s="28">
        <f>'TX pre'!J16</f>
        <v>51.849735541489643</v>
      </c>
      <c r="I820" s="2">
        <v>33129</v>
      </c>
      <c r="J820" s="27">
        <v>109</v>
      </c>
      <c r="K820" s="2">
        <v>27882</v>
      </c>
      <c r="L820" s="27">
        <v>1905</v>
      </c>
      <c r="M820" s="27" t="s">
        <v>1965</v>
      </c>
      <c r="N820" s="27" t="s">
        <v>532</v>
      </c>
      <c r="O820" s="27" t="s">
        <v>533</v>
      </c>
      <c r="P820" s="27" t="s">
        <v>534</v>
      </c>
      <c r="Q820" s="27" t="str">
        <f t="shared" si="66"/>
        <v>https://babel.hathitrust.org/cgi/pt?id=uc1.b3014083;view=1up;seq=211</v>
      </c>
      <c r="R820" s="27" t="s">
        <v>535</v>
      </c>
      <c r="S820" s="27" t="s">
        <v>536</v>
      </c>
      <c r="T820" s="27" t="s">
        <v>537</v>
      </c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27" t="s">
        <v>1387</v>
      </c>
      <c r="B821" s="27" t="str">
        <f t="shared" si="64"/>
        <v>Texas</v>
      </c>
      <c r="C821" s="27" t="str">
        <f t="shared" si="65"/>
        <v>Brazoria</v>
      </c>
      <c r="D821" s="27">
        <v>129502</v>
      </c>
      <c r="E821" s="27">
        <v>59</v>
      </c>
      <c r="F821" s="26">
        <f>'TX pre'!G17</f>
        <v>115.01694915254237</v>
      </c>
      <c r="G821" s="10">
        <v>1998</v>
      </c>
      <c r="H821" s="28">
        <f>'TX pre'!J17</f>
        <v>42.95045682287062</v>
      </c>
      <c r="I821" s="2">
        <v>16451</v>
      </c>
      <c r="J821" s="27">
        <v>60</v>
      </c>
      <c r="K821" s="2">
        <v>15088</v>
      </c>
      <c r="L821" s="27">
        <v>1905</v>
      </c>
      <c r="M821" s="27" t="s">
        <v>1965</v>
      </c>
      <c r="N821" s="27" t="s">
        <v>532</v>
      </c>
      <c r="O821" s="27" t="s">
        <v>533</v>
      </c>
      <c r="P821" s="27" t="s">
        <v>534</v>
      </c>
      <c r="Q821" s="27" t="str">
        <f t="shared" si="66"/>
        <v>https://babel.hathitrust.org/cgi/pt?id=uc1.b3014083;view=1up;seq=211</v>
      </c>
      <c r="R821" s="27" t="s">
        <v>535</v>
      </c>
      <c r="S821" s="27" t="s">
        <v>536</v>
      </c>
      <c r="T821" s="27" t="s">
        <v>537</v>
      </c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27" t="s">
        <v>1388</v>
      </c>
      <c r="B822" s="27" t="str">
        <f t="shared" si="64"/>
        <v>Texas</v>
      </c>
      <c r="C822" s="27" t="str">
        <f t="shared" si="65"/>
        <v>Brazos</v>
      </c>
      <c r="D822" s="27">
        <v>205250</v>
      </c>
      <c r="E822" s="27">
        <v>79</v>
      </c>
      <c r="F822" s="26">
        <f>'TX pre'!G18</f>
        <v>102.20253164556962</v>
      </c>
      <c r="G822" s="10">
        <v>3336</v>
      </c>
      <c r="H822" s="28">
        <f>'TX pre'!J18</f>
        <v>45.860515234084716</v>
      </c>
      <c r="I822" s="2">
        <v>19113</v>
      </c>
      <c r="J822" s="27">
        <v>73</v>
      </c>
      <c r="K822" s="2">
        <v>13885</v>
      </c>
      <c r="L822" s="27">
        <v>1905</v>
      </c>
      <c r="M822" s="27" t="s">
        <v>1965</v>
      </c>
      <c r="N822" s="27" t="s">
        <v>532</v>
      </c>
      <c r="O822" s="27" t="s">
        <v>533</v>
      </c>
      <c r="P822" s="27" t="s">
        <v>534</v>
      </c>
      <c r="Q822" s="27" t="str">
        <f t="shared" si="66"/>
        <v>https://babel.hathitrust.org/cgi/pt?id=uc1.b3014083;view=1up;seq=211</v>
      </c>
      <c r="R822" s="27" t="s">
        <v>535</v>
      </c>
      <c r="S822" s="27" t="s">
        <v>536</v>
      </c>
      <c r="T822" s="27" t="s">
        <v>537</v>
      </c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27" t="s">
        <v>1389</v>
      </c>
      <c r="B823" s="27" t="str">
        <f t="shared" si="64"/>
        <v>Texas</v>
      </c>
      <c r="C823" s="27" t="str">
        <f t="shared" si="65"/>
        <v>Brewster</v>
      </c>
      <c r="D823" s="27">
        <v>46500</v>
      </c>
      <c r="E823" s="27">
        <v>11</v>
      </c>
      <c r="F823" s="26">
        <f>'TX pre'!G19</f>
        <v>163.81818181818181</v>
      </c>
      <c r="G823" s="10">
        <v>434</v>
      </c>
      <c r="H823" s="28">
        <f>'TX pre'!J19</f>
        <v>59.15649278579356</v>
      </c>
      <c r="I823" s="2">
        <v>6478</v>
      </c>
      <c r="J823" s="27">
        <v>8</v>
      </c>
      <c r="K823" s="2">
        <v>7776</v>
      </c>
      <c r="L823" s="27">
        <v>1905</v>
      </c>
      <c r="M823" s="27" t="s">
        <v>1965</v>
      </c>
      <c r="N823" s="27" t="s">
        <v>532</v>
      </c>
      <c r="O823" s="27" t="s">
        <v>533</v>
      </c>
      <c r="P823" s="27" t="s">
        <v>534</v>
      </c>
      <c r="Q823" s="27" t="str">
        <f t="shared" si="66"/>
        <v>https://babel.hathitrust.org/cgi/pt?id=uc1.b3014083;view=1up;seq=211</v>
      </c>
      <c r="R823" s="27" t="s">
        <v>535</v>
      </c>
      <c r="S823" s="27" t="s">
        <v>536</v>
      </c>
      <c r="T823" s="27" t="s">
        <v>537</v>
      </c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27" t="s">
        <v>1390</v>
      </c>
      <c r="B824" s="27" t="str">
        <f t="shared" si="64"/>
        <v>Texas</v>
      </c>
      <c r="C824" s="27" t="str">
        <f t="shared" si="65"/>
        <v>Briscoe</v>
      </c>
      <c r="D824" s="27">
        <v>32516</v>
      </c>
      <c r="E824" s="27">
        <v>12</v>
      </c>
      <c r="F824" s="26">
        <f>'TX pre'!G20</f>
        <v>109.08333333333333</v>
      </c>
      <c r="G824" s="10">
        <v>453</v>
      </c>
      <c r="H824" s="28">
        <f>'TX pre'!J20</f>
        <v>53.608097784568372</v>
      </c>
      <c r="I824" s="2">
        <v>3700</v>
      </c>
      <c r="J824" s="27">
        <v>9</v>
      </c>
      <c r="K824" s="2">
        <v>3954</v>
      </c>
      <c r="L824" s="27">
        <v>1905</v>
      </c>
      <c r="M824" s="27" t="s">
        <v>1965</v>
      </c>
      <c r="N824" s="27" t="s">
        <v>532</v>
      </c>
      <c r="O824" s="27" t="s">
        <v>533</v>
      </c>
      <c r="P824" s="27" t="s">
        <v>534</v>
      </c>
      <c r="Q824" s="27" t="str">
        <f t="shared" si="66"/>
        <v>https://babel.hathitrust.org/cgi/pt?id=uc1.b3014083;view=1up;seq=211</v>
      </c>
      <c r="R824" s="27" t="s">
        <v>535</v>
      </c>
      <c r="S824" s="27" t="s">
        <v>536</v>
      </c>
      <c r="T824" s="27" t="s">
        <v>537</v>
      </c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27" t="s">
        <v>1392</v>
      </c>
      <c r="B825" s="27" t="str">
        <f t="shared" si="64"/>
        <v>Texas</v>
      </c>
      <c r="C825" s="27" t="str">
        <f t="shared" si="65"/>
        <v>Brown</v>
      </c>
      <c r="D825" s="27"/>
      <c r="E825" s="27">
        <v>75</v>
      </c>
      <c r="F825" s="26">
        <f>'TX pre'!G21</f>
        <v>91.61333333333333</v>
      </c>
      <c r="G825" s="10"/>
      <c r="H825" s="28">
        <f>'TX pre'!J21</f>
        <v>47.289186435744433</v>
      </c>
      <c r="I825" s="2">
        <v>16632</v>
      </c>
      <c r="J825" s="27">
        <v>51</v>
      </c>
      <c r="K825" s="2">
        <v>29050</v>
      </c>
      <c r="L825" s="27">
        <v>1905</v>
      </c>
      <c r="M825" s="27" t="s">
        <v>1965</v>
      </c>
      <c r="N825" s="27" t="s">
        <v>532</v>
      </c>
      <c r="O825" s="27" t="s">
        <v>533</v>
      </c>
      <c r="P825" s="27" t="s">
        <v>534</v>
      </c>
      <c r="Q825" s="27" t="str">
        <f t="shared" si="66"/>
        <v>https://babel.hathitrust.org/cgi/pt?id=uc1.b3014083;view=1up;seq=211</v>
      </c>
      <c r="R825" s="27" t="s">
        <v>535</v>
      </c>
      <c r="S825" s="27" t="s">
        <v>536</v>
      </c>
      <c r="T825" s="27" t="s">
        <v>537</v>
      </c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27" t="s">
        <v>1393</v>
      </c>
      <c r="B826" s="27" t="str">
        <f t="shared" si="64"/>
        <v>Texas</v>
      </c>
      <c r="C826" s="27" t="str">
        <f t="shared" si="65"/>
        <v>Burleson</v>
      </c>
      <c r="D826" s="27">
        <v>215949</v>
      </c>
      <c r="E826" s="27">
        <v>79</v>
      </c>
      <c r="F826" s="26">
        <f>'TX pre'!G22</f>
        <v>104.58227848101266</v>
      </c>
      <c r="G826" s="10">
        <v>3304</v>
      </c>
      <c r="H826" s="28">
        <f>'TX pre'!J22</f>
        <v>45.262890341321707</v>
      </c>
      <c r="I826" s="2">
        <v>19353</v>
      </c>
      <c r="J826" s="27">
        <v>75</v>
      </c>
      <c r="K826" s="2">
        <v>5530</v>
      </c>
      <c r="L826" s="27">
        <v>1905</v>
      </c>
      <c r="M826" s="27" t="s">
        <v>1965</v>
      </c>
      <c r="N826" s="27" t="s">
        <v>532</v>
      </c>
      <c r="O826" s="27" t="s">
        <v>533</v>
      </c>
      <c r="P826" s="27" t="s">
        <v>534</v>
      </c>
      <c r="Q826" s="27" t="str">
        <f t="shared" si="66"/>
        <v>https://babel.hathitrust.org/cgi/pt?id=uc1.b3014083;view=1up;seq=211</v>
      </c>
      <c r="R826" s="27" t="s">
        <v>535</v>
      </c>
      <c r="S826" s="27" t="s">
        <v>536</v>
      </c>
      <c r="T826" s="27" t="s">
        <v>537</v>
      </c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27" t="s">
        <v>1394</v>
      </c>
      <c r="B827" s="27" t="str">
        <f t="shared" si="64"/>
        <v>Texas</v>
      </c>
      <c r="C827" s="27" t="str">
        <f t="shared" si="65"/>
        <v>Burnet</v>
      </c>
      <c r="D827" s="27">
        <v>162207</v>
      </c>
      <c r="E827" s="27">
        <v>63</v>
      </c>
      <c r="F827" s="26">
        <f>'TX pre'!G23</f>
        <v>95.571428571428569</v>
      </c>
      <c r="G827" s="10">
        <v>2389</v>
      </c>
      <c r="H827" s="28">
        <f>'TX pre'!J23</f>
        <v>42.530709184520845</v>
      </c>
      <c r="I827" s="2">
        <v>13616</v>
      </c>
      <c r="J827" s="27">
        <v>54</v>
      </c>
      <c r="K827" s="2">
        <v>15831</v>
      </c>
      <c r="L827" s="27">
        <v>1905</v>
      </c>
      <c r="M827" s="27" t="s">
        <v>1965</v>
      </c>
      <c r="N827" s="27" t="s">
        <v>532</v>
      </c>
      <c r="O827" s="27" t="s">
        <v>533</v>
      </c>
      <c r="P827" s="27" t="s">
        <v>534</v>
      </c>
      <c r="Q827" s="27" t="str">
        <f t="shared" si="66"/>
        <v>https://babel.hathitrust.org/cgi/pt?id=uc1.b3014083;view=1up;seq=211</v>
      </c>
      <c r="R827" s="27" t="s">
        <v>535</v>
      </c>
      <c r="S827" s="27" t="s">
        <v>536</v>
      </c>
      <c r="T827" s="27" t="s">
        <v>537</v>
      </c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27" t="s">
        <v>1395</v>
      </c>
      <c r="B828" s="27" t="str">
        <f t="shared" si="64"/>
        <v>Texas</v>
      </c>
      <c r="C828" s="27" t="str">
        <f t="shared" si="65"/>
        <v>Caldwell</v>
      </c>
      <c r="D828" s="27">
        <v>205224</v>
      </c>
      <c r="E828" s="27">
        <v>84</v>
      </c>
      <c r="F828" s="26">
        <f>'TX pre'!G24</f>
        <v>113.27380952380952</v>
      </c>
      <c r="G828" s="10">
        <v>3245</v>
      </c>
      <c r="H828" s="28">
        <f>'TX pre'!J24</f>
        <v>45.410930110352076</v>
      </c>
      <c r="I828" s="2">
        <v>22598</v>
      </c>
      <c r="J828" s="27">
        <v>69</v>
      </c>
      <c r="K828" s="2">
        <v>25582</v>
      </c>
      <c r="L828" s="27">
        <v>1905</v>
      </c>
      <c r="M828" s="27" t="s">
        <v>1965</v>
      </c>
      <c r="N828" s="27" t="s">
        <v>532</v>
      </c>
      <c r="O828" s="27" t="s">
        <v>533</v>
      </c>
      <c r="P828" s="27" t="s">
        <v>534</v>
      </c>
      <c r="Q828" s="27" t="str">
        <f t="shared" si="66"/>
        <v>https://babel.hathitrust.org/cgi/pt?id=uc1.b3014083;view=1up;seq=211</v>
      </c>
      <c r="R828" s="27" t="s">
        <v>535</v>
      </c>
      <c r="S828" s="27" t="s">
        <v>536</v>
      </c>
      <c r="T828" s="27" t="s">
        <v>537</v>
      </c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27" t="s">
        <v>1396</v>
      </c>
      <c r="B829" s="27" t="str">
        <f t="shared" si="64"/>
        <v>Texas</v>
      </c>
      <c r="C829" s="27" t="str">
        <f t="shared" si="65"/>
        <v>Calhoun</v>
      </c>
      <c r="D829" s="27">
        <v>12299</v>
      </c>
      <c r="E829" s="27">
        <v>7</v>
      </c>
      <c r="F829" s="26">
        <f>'TX pre'!G25</f>
        <v>97.142857142857139</v>
      </c>
      <c r="G829" s="10">
        <v>163</v>
      </c>
      <c r="H829" s="28">
        <f>'TX pre'!J25</f>
        <v>44.029411764705884</v>
      </c>
      <c r="I829" s="2">
        <v>1672</v>
      </c>
      <c r="J829" s="27">
        <v>5</v>
      </c>
      <c r="K829" s="2">
        <v>2305</v>
      </c>
      <c r="L829" s="27">
        <v>1905</v>
      </c>
      <c r="M829" s="27" t="s">
        <v>1965</v>
      </c>
      <c r="N829" s="27" t="s">
        <v>532</v>
      </c>
      <c r="O829" s="27" t="s">
        <v>533</v>
      </c>
      <c r="P829" s="27" t="s">
        <v>534</v>
      </c>
      <c r="Q829" s="27" t="str">
        <f t="shared" si="66"/>
        <v>https://babel.hathitrust.org/cgi/pt?id=uc1.b3014083;view=1up;seq=211</v>
      </c>
      <c r="R829" s="27" t="s">
        <v>535</v>
      </c>
      <c r="S829" s="27" t="s">
        <v>536</v>
      </c>
      <c r="T829" s="27" t="s">
        <v>537</v>
      </c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27" t="s">
        <v>1397</v>
      </c>
      <c r="B830" s="27" t="str">
        <f t="shared" si="64"/>
        <v>Texas</v>
      </c>
      <c r="C830" s="27" t="str">
        <f t="shared" si="65"/>
        <v>Callahan</v>
      </c>
      <c r="D830" s="27">
        <v>122715</v>
      </c>
      <c r="E830" s="27">
        <v>51</v>
      </c>
      <c r="F830" s="26">
        <f>'TX pre'!G26</f>
        <v>85.254901960784309</v>
      </c>
      <c r="G830" s="10">
        <v>2110</v>
      </c>
      <c r="H830" s="28">
        <f>'TX pre'!J26</f>
        <v>52.855335786568538</v>
      </c>
      <c r="I830" s="2">
        <v>13007</v>
      </c>
      <c r="J830" s="27">
        <v>37</v>
      </c>
      <c r="K830" s="2">
        <v>12120</v>
      </c>
      <c r="L830" s="27">
        <v>1905</v>
      </c>
      <c r="M830" s="27" t="s">
        <v>1965</v>
      </c>
      <c r="N830" s="27" t="s">
        <v>532</v>
      </c>
      <c r="O830" s="27" t="s">
        <v>533</v>
      </c>
      <c r="P830" s="27" t="s">
        <v>534</v>
      </c>
      <c r="Q830" s="27" t="str">
        <f t="shared" si="66"/>
        <v>https://babel.hathitrust.org/cgi/pt?id=uc1.b3014083;view=1up;seq=211</v>
      </c>
      <c r="R830" s="27" t="s">
        <v>535</v>
      </c>
      <c r="S830" s="27" t="s">
        <v>536</v>
      </c>
      <c r="T830" s="27" t="s">
        <v>537</v>
      </c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27" t="s">
        <v>1400</v>
      </c>
      <c r="B831" s="27" t="str">
        <f t="shared" si="64"/>
        <v>Texas</v>
      </c>
      <c r="C831" s="27" t="str">
        <f t="shared" si="65"/>
        <v>Carson</v>
      </c>
      <c r="D831" s="27">
        <v>18958</v>
      </c>
      <c r="E831" s="27">
        <v>9</v>
      </c>
      <c r="F831" s="26">
        <f>'TX pre'!G27</f>
        <v>101.11111111111111</v>
      </c>
      <c r="G831" s="10">
        <v>220</v>
      </c>
      <c r="H831" s="28">
        <f>'TX pre'!J27</f>
        <v>63.659340659340657</v>
      </c>
      <c r="I831" s="2">
        <v>4017</v>
      </c>
      <c r="J831" s="27">
        <v>7</v>
      </c>
      <c r="K831" s="2">
        <v>3750</v>
      </c>
      <c r="L831" s="27">
        <v>1905</v>
      </c>
      <c r="M831" s="27" t="s">
        <v>1965</v>
      </c>
      <c r="N831" s="27" t="s">
        <v>532</v>
      </c>
      <c r="O831" s="27" t="s">
        <v>533</v>
      </c>
      <c r="P831" s="27" t="s">
        <v>534</v>
      </c>
      <c r="Q831" s="27" t="str">
        <f t="shared" si="66"/>
        <v>https://babel.hathitrust.org/cgi/pt?id=uc1.b3014083;view=1up;seq=211</v>
      </c>
      <c r="R831" s="27" t="s">
        <v>535</v>
      </c>
      <c r="S831" s="27" t="s">
        <v>536</v>
      </c>
      <c r="T831" s="27" t="s">
        <v>537</v>
      </c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27" t="s">
        <v>1790</v>
      </c>
      <c r="B832" s="27" t="str">
        <f t="shared" si="64"/>
        <v>Texas</v>
      </c>
      <c r="C832" s="27" t="str">
        <f t="shared" si="65"/>
        <v>Cass/Davis</v>
      </c>
      <c r="D832" s="27">
        <v>344651</v>
      </c>
      <c r="E832" s="27">
        <v>120</v>
      </c>
      <c r="F832" s="26">
        <f>'TX pre'!G28</f>
        <v>107.47499999999999</v>
      </c>
      <c r="G832" s="10">
        <v>5595</v>
      </c>
      <c r="H832" s="28">
        <f>'TX pre'!J28</f>
        <v>46.880778475614484</v>
      </c>
      <c r="I832" s="2">
        <v>30831</v>
      </c>
      <c r="J832" s="27">
        <v>91</v>
      </c>
      <c r="K832" s="2">
        <v>17540</v>
      </c>
      <c r="L832" s="27">
        <v>1905</v>
      </c>
      <c r="M832" s="27" t="s">
        <v>1965</v>
      </c>
      <c r="N832" s="27" t="s">
        <v>532</v>
      </c>
      <c r="O832" s="27" t="s">
        <v>533</v>
      </c>
      <c r="P832" s="27" t="s">
        <v>534</v>
      </c>
      <c r="Q832" s="27" t="str">
        <f t="shared" si="66"/>
        <v>https://babel.hathitrust.org/cgi/pt?id=uc1.b3014083;view=1up;seq=211</v>
      </c>
      <c r="R832" s="27" t="s">
        <v>535</v>
      </c>
      <c r="S832" s="27" t="s">
        <v>536</v>
      </c>
      <c r="T832" s="27" t="s">
        <v>537</v>
      </c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27" t="s">
        <v>1401</v>
      </c>
      <c r="B833" s="27" t="str">
        <f t="shared" si="64"/>
        <v>Texas</v>
      </c>
      <c r="C833" s="27" t="str">
        <f t="shared" si="65"/>
        <v>Castro</v>
      </c>
      <c r="D833" s="27">
        <v>23633</v>
      </c>
      <c r="E833" s="27">
        <v>11</v>
      </c>
      <c r="F833" s="26">
        <f>'TX pre'!G29</f>
        <v>114.27272727272727</v>
      </c>
      <c r="G833" s="10">
        <v>328</v>
      </c>
      <c r="H833" s="28">
        <f>'TX pre'!J29</f>
        <v>46.097056483691333</v>
      </c>
      <c r="I833" s="2">
        <v>3219</v>
      </c>
      <c r="J833" s="27">
        <v>10</v>
      </c>
      <c r="K833" s="2">
        <v>2350</v>
      </c>
      <c r="L833" s="27">
        <v>1905</v>
      </c>
      <c r="M833" s="27" t="s">
        <v>1965</v>
      </c>
      <c r="N833" s="27" t="s">
        <v>532</v>
      </c>
      <c r="O833" s="27" t="s">
        <v>533</v>
      </c>
      <c r="P833" s="27" t="s">
        <v>534</v>
      </c>
      <c r="Q833" s="27" t="str">
        <f t="shared" si="66"/>
        <v>https://babel.hathitrust.org/cgi/pt?id=uc1.b3014083;view=1up;seq=211</v>
      </c>
      <c r="R833" s="27" t="s">
        <v>535</v>
      </c>
      <c r="S833" s="27" t="s">
        <v>536</v>
      </c>
      <c r="T833" s="27" t="s">
        <v>537</v>
      </c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27" t="s">
        <v>1402</v>
      </c>
      <c r="B834" s="27" t="str">
        <f t="shared" si="64"/>
        <v>Texas</v>
      </c>
      <c r="C834" s="27" t="str">
        <f t="shared" si="65"/>
        <v>Chambers</v>
      </c>
      <c r="D834" s="27">
        <v>55099</v>
      </c>
      <c r="E834" s="27">
        <v>24</v>
      </c>
      <c r="F834" s="26">
        <f>'TX pre'!G30</f>
        <v>101.29166666666667</v>
      </c>
      <c r="G834" s="10">
        <v>814</v>
      </c>
      <c r="H834" s="28">
        <f>'TX pre'!J30</f>
        <v>40.397860962566845</v>
      </c>
      <c r="I834" s="2">
        <v>5102</v>
      </c>
      <c r="J834" s="27">
        <v>21</v>
      </c>
      <c r="K834" s="2">
        <v>2865</v>
      </c>
      <c r="L834" s="27">
        <v>1905</v>
      </c>
      <c r="M834" s="27" t="s">
        <v>1965</v>
      </c>
      <c r="N834" s="27" t="s">
        <v>532</v>
      </c>
      <c r="O834" s="27" t="s">
        <v>533</v>
      </c>
      <c r="P834" s="27" t="s">
        <v>534</v>
      </c>
      <c r="Q834" s="27" t="str">
        <f t="shared" si="66"/>
        <v>https://babel.hathitrust.org/cgi/pt?id=uc1.b3014083;view=1up;seq=211</v>
      </c>
      <c r="R834" s="27" t="s">
        <v>535</v>
      </c>
      <c r="S834" s="27" t="s">
        <v>536</v>
      </c>
      <c r="T834" s="27" t="s">
        <v>537</v>
      </c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27" t="s">
        <v>1403</v>
      </c>
      <c r="B835" s="27" t="str">
        <f t="shared" si="64"/>
        <v>Texas</v>
      </c>
      <c r="C835" s="27" t="str">
        <f t="shared" si="65"/>
        <v>Cherokee</v>
      </c>
      <c r="D835" s="27">
        <v>423882</v>
      </c>
      <c r="E835" s="27">
        <v>128</v>
      </c>
      <c r="F835" s="26">
        <f>'TX pre'!G31</f>
        <v>102.921875</v>
      </c>
      <c r="G835" s="10">
        <v>6765</v>
      </c>
      <c r="H835" s="28">
        <f>'TX pre'!J31</f>
        <v>50.043342948231363</v>
      </c>
      <c r="I835" s="2">
        <v>34424</v>
      </c>
      <c r="J835" s="27">
        <v>118</v>
      </c>
      <c r="K835" s="2">
        <v>39279</v>
      </c>
      <c r="L835" s="27">
        <v>1905</v>
      </c>
      <c r="M835" s="27" t="s">
        <v>1965</v>
      </c>
      <c r="N835" s="27" t="s">
        <v>532</v>
      </c>
      <c r="O835" s="27" t="s">
        <v>533</v>
      </c>
      <c r="P835" s="27" t="s">
        <v>534</v>
      </c>
      <c r="Q835" s="27" t="str">
        <f t="shared" si="66"/>
        <v>https://babel.hathitrust.org/cgi/pt?id=uc1.b3014083;view=1up;seq=211</v>
      </c>
      <c r="R835" s="27" t="s">
        <v>535</v>
      </c>
      <c r="S835" s="27" t="s">
        <v>536</v>
      </c>
      <c r="T835" s="27" t="s">
        <v>537</v>
      </c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27" t="s">
        <v>1404</v>
      </c>
      <c r="B836" s="27" t="str">
        <f t="shared" si="64"/>
        <v>Texas</v>
      </c>
      <c r="C836" s="27" t="str">
        <f t="shared" si="65"/>
        <v>Childress</v>
      </c>
      <c r="D836" s="27">
        <v>20218</v>
      </c>
      <c r="E836" s="27">
        <v>13</v>
      </c>
      <c r="F836" s="26">
        <f>'TX pre'!G32</f>
        <v>98.384615384615387</v>
      </c>
      <c r="G836" s="10">
        <v>373</v>
      </c>
      <c r="H836" s="28">
        <f>'TX pre'!J32</f>
        <v>49.413604378420636</v>
      </c>
      <c r="I836" s="2">
        <v>5436</v>
      </c>
      <c r="J836" s="27">
        <v>12</v>
      </c>
      <c r="K836" s="2">
        <v>4975</v>
      </c>
      <c r="L836" s="27">
        <v>1905</v>
      </c>
      <c r="M836" s="27" t="s">
        <v>1965</v>
      </c>
      <c r="N836" s="27" t="s">
        <v>532</v>
      </c>
      <c r="O836" s="27" t="s">
        <v>533</v>
      </c>
      <c r="P836" s="27" t="s">
        <v>534</v>
      </c>
      <c r="Q836" s="27" t="str">
        <f t="shared" si="66"/>
        <v>https://babel.hathitrust.org/cgi/pt?id=uc1.b3014083;view=1up;seq=211</v>
      </c>
      <c r="R836" s="27" t="s">
        <v>535</v>
      </c>
      <c r="S836" s="27" t="s">
        <v>536</v>
      </c>
      <c r="T836" s="27" t="s">
        <v>537</v>
      </c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27" t="s">
        <v>1405</v>
      </c>
      <c r="B837" s="27" t="str">
        <f t="shared" si="64"/>
        <v>Texas</v>
      </c>
      <c r="C837" s="27" t="str">
        <f t="shared" si="65"/>
        <v>Clay</v>
      </c>
      <c r="D837" s="27">
        <v>102766</v>
      </c>
      <c r="E837" s="2">
        <v>45</v>
      </c>
      <c r="F837" s="26">
        <f>'TX pre'!G33</f>
        <v>103</v>
      </c>
      <c r="G837" s="10">
        <v>1751</v>
      </c>
      <c r="H837" s="28">
        <f>'TX pre'!J33</f>
        <v>47.748694714131602</v>
      </c>
      <c r="I837" s="2">
        <v>13440</v>
      </c>
      <c r="J837" s="27">
        <v>40</v>
      </c>
      <c r="K837" s="2">
        <v>17788</v>
      </c>
      <c r="L837" s="27">
        <v>1905</v>
      </c>
      <c r="M837" s="27" t="s">
        <v>1965</v>
      </c>
      <c r="N837" s="27" t="s">
        <v>532</v>
      </c>
      <c r="O837" s="27" t="s">
        <v>533</v>
      </c>
      <c r="P837" s="27" t="s">
        <v>534</v>
      </c>
      <c r="Q837" s="27" t="str">
        <f t="shared" si="66"/>
        <v>https://babel.hathitrust.org/cgi/pt?id=uc1.b3014083;view=1up;seq=211</v>
      </c>
      <c r="R837" s="27" t="s">
        <v>535</v>
      </c>
      <c r="S837" s="27" t="s">
        <v>536</v>
      </c>
      <c r="T837" s="27" t="s">
        <v>537</v>
      </c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27" t="s">
        <v>1406</v>
      </c>
      <c r="B838" s="27" t="str">
        <f t="shared" si="64"/>
        <v>Texas</v>
      </c>
      <c r="C838" s="27" t="str">
        <f t="shared" si="65"/>
        <v>Coke</v>
      </c>
      <c r="D838" s="27">
        <v>69149</v>
      </c>
      <c r="E838" s="27">
        <v>29</v>
      </c>
      <c r="F838" s="26">
        <f>'TX pre'!G34</f>
        <v>103.31034482758621</v>
      </c>
      <c r="G838" s="10">
        <v>1107</v>
      </c>
      <c r="H838" s="28">
        <f>'TX pre'!J34</f>
        <v>46.13918558077436</v>
      </c>
      <c r="I838" s="2">
        <v>7826</v>
      </c>
      <c r="J838" s="27">
        <v>24</v>
      </c>
      <c r="K838" s="2">
        <v>10700</v>
      </c>
      <c r="L838" s="27">
        <v>1905</v>
      </c>
      <c r="M838" s="27" t="s">
        <v>1965</v>
      </c>
      <c r="N838" s="27" t="s">
        <v>532</v>
      </c>
      <c r="O838" s="27" t="s">
        <v>533</v>
      </c>
      <c r="P838" s="27" t="s">
        <v>534</v>
      </c>
      <c r="Q838" s="27" t="str">
        <f t="shared" si="66"/>
        <v>https://babel.hathitrust.org/cgi/pt?id=uc1.b3014083;view=1up;seq=211</v>
      </c>
      <c r="R838" s="27" t="s">
        <v>535</v>
      </c>
      <c r="S838" s="27" t="s">
        <v>536</v>
      </c>
      <c r="T838" s="27" t="s">
        <v>537</v>
      </c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27" t="s">
        <v>1407</v>
      </c>
      <c r="B839" s="27" t="str">
        <f t="shared" ref="B839:B902" si="67">LEFT(A839,FIND(";",A839)-1)</f>
        <v>Texas</v>
      </c>
      <c r="C839" s="27" t="str">
        <f t="shared" ref="C839:C902" si="68">MID(A839,FIND(";",A839)+1,100)</f>
        <v>Coleman</v>
      </c>
      <c r="D839" s="27">
        <v>209315</v>
      </c>
      <c r="E839" s="27">
        <v>57</v>
      </c>
      <c r="F839" s="26">
        <f>'TX pre'!G35</f>
        <v>160</v>
      </c>
      <c r="G839" s="10">
        <v>2924</v>
      </c>
      <c r="H839" s="28">
        <f>'TX pre'!J35</f>
        <v>42.840285087719295</v>
      </c>
      <c r="I839" s="2">
        <v>2248</v>
      </c>
      <c r="J839" s="27">
        <v>55</v>
      </c>
      <c r="K839" s="2">
        <v>32418</v>
      </c>
      <c r="L839" s="27">
        <v>1905</v>
      </c>
      <c r="M839" s="27" t="s">
        <v>1965</v>
      </c>
      <c r="N839" s="27" t="s">
        <v>532</v>
      </c>
      <c r="O839" s="27" t="s">
        <v>533</v>
      </c>
      <c r="P839" s="27" t="s">
        <v>534</v>
      </c>
      <c r="Q839" s="27" t="str">
        <f t="shared" si="66"/>
        <v>https://babel.hathitrust.org/cgi/pt?id=uc1.b3014083;view=1up;seq=211</v>
      </c>
      <c r="R839" s="27" t="s">
        <v>535</v>
      </c>
      <c r="S839" s="27" t="s">
        <v>536</v>
      </c>
      <c r="T839" s="27" t="s">
        <v>537</v>
      </c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27" t="s">
        <v>1408</v>
      </c>
      <c r="B840" s="27" t="str">
        <f t="shared" si="67"/>
        <v>Texas</v>
      </c>
      <c r="C840" s="27" t="str">
        <f t="shared" si="68"/>
        <v>Collin</v>
      </c>
      <c r="D840" s="27">
        <v>617924</v>
      </c>
      <c r="E840" s="2">
        <v>184</v>
      </c>
      <c r="F840" s="26">
        <f>'TX pre'!G36</f>
        <v>81.619565217391298</v>
      </c>
      <c r="G840" s="10">
        <v>10402</v>
      </c>
      <c r="H840" s="28">
        <f>'TX pre'!J36</f>
        <v>69.374563856705294</v>
      </c>
      <c r="I840" s="2">
        <v>55647</v>
      </c>
      <c r="J840" s="27">
        <v>179</v>
      </c>
      <c r="K840" s="2">
        <v>91865</v>
      </c>
      <c r="L840" s="27">
        <v>1905</v>
      </c>
      <c r="M840" s="27" t="s">
        <v>1965</v>
      </c>
      <c r="N840" s="27" t="s">
        <v>532</v>
      </c>
      <c r="O840" s="27" t="s">
        <v>533</v>
      </c>
      <c r="P840" s="27" t="s">
        <v>534</v>
      </c>
      <c r="Q840" s="27" t="str">
        <f t="shared" si="66"/>
        <v>https://babel.hathitrust.org/cgi/pt?id=uc1.b3014083;view=1up;seq=211</v>
      </c>
      <c r="R840" s="27" t="s">
        <v>535</v>
      </c>
      <c r="S840" s="27" t="s">
        <v>536</v>
      </c>
      <c r="T840" s="27" t="s">
        <v>537</v>
      </c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27" t="s">
        <v>1409</v>
      </c>
      <c r="B841" s="27" t="str">
        <f t="shared" si="67"/>
        <v>Texas</v>
      </c>
      <c r="C841" s="27" t="str">
        <f t="shared" si="68"/>
        <v>Collingsworth</v>
      </c>
      <c r="D841" s="27">
        <v>35159</v>
      </c>
      <c r="E841" s="27">
        <v>20</v>
      </c>
      <c r="F841" s="26">
        <f>'TX pre'!G37</f>
        <v>95.75</v>
      </c>
      <c r="G841" s="10">
        <v>680</v>
      </c>
      <c r="H841" s="28">
        <f>'TX pre'!J37</f>
        <v>53.706005221932124</v>
      </c>
      <c r="I841" s="2">
        <v>6623</v>
      </c>
      <c r="J841" s="27">
        <v>18</v>
      </c>
      <c r="K841" s="2">
        <v>7700</v>
      </c>
      <c r="L841" s="27">
        <v>1905</v>
      </c>
      <c r="M841" s="27" t="s">
        <v>1965</v>
      </c>
      <c r="N841" s="27" t="s">
        <v>532</v>
      </c>
      <c r="O841" s="27" t="s">
        <v>533</v>
      </c>
      <c r="P841" s="27" t="s">
        <v>534</v>
      </c>
      <c r="Q841" s="27" t="str">
        <f t="shared" si="66"/>
        <v>https://babel.hathitrust.org/cgi/pt?id=uc1.b3014083;view=1up;seq=211</v>
      </c>
      <c r="R841" s="27" t="s">
        <v>535</v>
      </c>
      <c r="S841" s="27" t="s">
        <v>536</v>
      </c>
      <c r="T841" s="27" t="s">
        <v>537</v>
      </c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27" t="s">
        <v>1410</v>
      </c>
      <c r="B842" s="27" t="str">
        <f t="shared" si="67"/>
        <v>Texas</v>
      </c>
      <c r="C842" s="27" t="str">
        <f t="shared" si="68"/>
        <v>Colorado</v>
      </c>
      <c r="D842" s="27">
        <v>239240</v>
      </c>
      <c r="E842" s="27">
        <v>96</v>
      </c>
      <c r="F842" s="26">
        <f>'TX pre'!G38</f>
        <v>100.82291666666667</v>
      </c>
      <c r="G842" s="10">
        <v>3542</v>
      </c>
      <c r="H842" s="28">
        <f>'TX pre'!J38</f>
        <v>44.479904948858348</v>
      </c>
      <c r="I842" s="2">
        <v>22123</v>
      </c>
      <c r="J842" s="27">
        <v>76</v>
      </c>
      <c r="K842" s="2">
        <v>25313</v>
      </c>
      <c r="L842" s="27">
        <v>1905</v>
      </c>
      <c r="M842" s="27" t="s">
        <v>1965</v>
      </c>
      <c r="N842" s="27" t="s">
        <v>532</v>
      </c>
      <c r="O842" s="27" t="s">
        <v>533</v>
      </c>
      <c r="P842" s="27" t="s">
        <v>534</v>
      </c>
      <c r="Q842" s="27" t="str">
        <f t="shared" si="66"/>
        <v>https://babel.hathitrust.org/cgi/pt?id=uc1.b3014083;view=1up;seq=211</v>
      </c>
      <c r="R842" s="27" t="s">
        <v>535</v>
      </c>
      <c r="S842" s="27" t="s">
        <v>536</v>
      </c>
      <c r="T842" s="27" t="s">
        <v>537</v>
      </c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27" t="s">
        <v>1411</v>
      </c>
      <c r="B843" s="27" t="str">
        <f t="shared" si="67"/>
        <v>Texas</v>
      </c>
      <c r="C843" s="27" t="str">
        <f t="shared" si="68"/>
        <v>Comal</v>
      </c>
      <c r="D843" s="27">
        <v>84193</v>
      </c>
      <c r="E843" s="27">
        <v>27</v>
      </c>
      <c r="F843" s="26">
        <f>'TX pre'!G39</f>
        <v>165.03703703703704</v>
      </c>
      <c r="G843" s="10">
        <v>708</v>
      </c>
      <c r="H843" s="28">
        <f>'TX pre'!J39</f>
        <v>39.96916517055655</v>
      </c>
      <c r="I843" s="2">
        <v>9533</v>
      </c>
      <c r="J843" s="27">
        <v>28</v>
      </c>
      <c r="K843" s="2">
        <v>12240</v>
      </c>
      <c r="L843" s="27">
        <v>1905</v>
      </c>
      <c r="M843" s="27" t="s">
        <v>1965</v>
      </c>
      <c r="N843" s="27" t="s">
        <v>532</v>
      </c>
      <c r="O843" s="27" t="s">
        <v>533</v>
      </c>
      <c r="P843" s="27" t="s">
        <v>534</v>
      </c>
      <c r="Q843" s="27" t="str">
        <f t="shared" si="66"/>
        <v>https://babel.hathitrust.org/cgi/pt?id=uc1.b3014083;view=1up;seq=211</v>
      </c>
      <c r="R843" s="27" t="s">
        <v>535</v>
      </c>
      <c r="S843" s="27" t="s">
        <v>536</v>
      </c>
      <c r="T843" s="27" t="s">
        <v>537</v>
      </c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27" t="s">
        <v>1412</v>
      </c>
      <c r="B844" s="27" t="str">
        <f t="shared" si="67"/>
        <v>Texas</v>
      </c>
      <c r="C844" s="27" t="str">
        <f t="shared" si="68"/>
        <v>Comanche</v>
      </c>
      <c r="D844" s="27">
        <v>295247</v>
      </c>
      <c r="E844" s="27">
        <v>106</v>
      </c>
      <c r="F844" s="26">
        <f>'TX pre'!G40</f>
        <v>93.367924528301884</v>
      </c>
      <c r="G844" s="10">
        <v>5420</v>
      </c>
      <c r="H844" s="28">
        <f>'TX pre'!J40</f>
        <v>48.214994442760435</v>
      </c>
      <c r="I844" s="2">
        <v>24707</v>
      </c>
      <c r="J844" s="27">
        <v>81</v>
      </c>
      <c r="K844" s="2">
        <v>26064</v>
      </c>
      <c r="L844" s="27">
        <v>1905</v>
      </c>
      <c r="M844" s="27" t="s">
        <v>1965</v>
      </c>
      <c r="N844" s="27" t="s">
        <v>532</v>
      </c>
      <c r="O844" s="27" t="s">
        <v>533</v>
      </c>
      <c r="P844" s="27" t="s">
        <v>534</v>
      </c>
      <c r="Q844" s="27" t="str">
        <f t="shared" si="66"/>
        <v>https://babel.hathitrust.org/cgi/pt?id=uc1.b3014083;view=1up;seq=211</v>
      </c>
      <c r="R844" s="27" t="s">
        <v>535</v>
      </c>
      <c r="S844" s="27" t="s">
        <v>536</v>
      </c>
      <c r="T844" s="27" t="s">
        <v>537</v>
      </c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27" t="s">
        <v>1414</v>
      </c>
      <c r="B845" s="27" t="str">
        <f t="shared" si="67"/>
        <v>Texas</v>
      </c>
      <c r="C845" s="27" t="str">
        <f t="shared" si="68"/>
        <v>Cooke</v>
      </c>
      <c r="D845" s="27">
        <v>43249</v>
      </c>
      <c r="E845" s="27">
        <v>16</v>
      </c>
      <c r="F845" s="26">
        <f>'TX pre'!G41</f>
        <v>110.25</v>
      </c>
      <c r="G845" s="10">
        <v>4394</v>
      </c>
      <c r="H845" s="28">
        <f>'TX pre'!J41</f>
        <v>47.62403628117913</v>
      </c>
      <c r="I845" s="2">
        <v>5016</v>
      </c>
      <c r="J845" s="27">
        <v>13</v>
      </c>
      <c r="K845" s="2">
        <v>3897</v>
      </c>
      <c r="L845" s="27">
        <v>1905</v>
      </c>
      <c r="M845" s="27" t="s">
        <v>1965</v>
      </c>
      <c r="N845" s="27" t="s">
        <v>532</v>
      </c>
      <c r="O845" s="27" t="s">
        <v>533</v>
      </c>
      <c r="P845" s="27" t="s">
        <v>534</v>
      </c>
      <c r="Q845" s="27" t="str">
        <f t="shared" si="66"/>
        <v>https://babel.hathitrust.org/cgi/pt?id=uc1.b3014083;view=1up;seq=211</v>
      </c>
      <c r="R845" s="27" t="s">
        <v>535</v>
      </c>
      <c r="S845" s="27" t="s">
        <v>536</v>
      </c>
      <c r="T845" s="27" t="s">
        <v>537</v>
      </c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27" t="s">
        <v>1413</v>
      </c>
      <c r="B846" s="27" t="str">
        <f t="shared" si="67"/>
        <v>Texas</v>
      </c>
      <c r="C846" s="27" t="str">
        <f t="shared" si="68"/>
        <v>Concho</v>
      </c>
      <c r="D846" s="27">
        <v>249092</v>
      </c>
      <c r="E846" s="27">
        <v>94</v>
      </c>
      <c r="F846" s="26">
        <f>'TX pre'!G42</f>
        <v>104.71276595744681</v>
      </c>
      <c r="G846" s="10">
        <v>683</v>
      </c>
      <c r="H846" s="28">
        <f>'TX pre'!J42</f>
        <v>47.461607233567008</v>
      </c>
      <c r="I846" s="2">
        <v>25433</v>
      </c>
      <c r="J846" s="27">
        <v>90</v>
      </c>
      <c r="K846" s="2">
        <v>32667</v>
      </c>
      <c r="L846" s="27">
        <v>1905</v>
      </c>
      <c r="M846" s="27" t="s">
        <v>1965</v>
      </c>
      <c r="N846" s="27" t="s">
        <v>532</v>
      </c>
      <c r="O846" s="27" t="s">
        <v>533</v>
      </c>
      <c r="P846" s="27" t="s">
        <v>534</v>
      </c>
      <c r="Q846" s="27" t="str">
        <f t="shared" si="66"/>
        <v>https://babel.hathitrust.org/cgi/pt?id=uc1.b3014083;view=1up;seq=211</v>
      </c>
      <c r="R846" s="27" t="s">
        <v>535</v>
      </c>
      <c r="S846" s="27" t="s">
        <v>536</v>
      </c>
      <c r="T846" s="27" t="s">
        <v>537</v>
      </c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27" t="s">
        <v>1415</v>
      </c>
      <c r="B847" s="27" t="str">
        <f t="shared" si="67"/>
        <v>Texas</v>
      </c>
      <c r="C847" s="27" t="str">
        <f t="shared" si="68"/>
        <v>Coryell</v>
      </c>
      <c r="D847" s="27">
        <v>245156</v>
      </c>
      <c r="E847" s="27">
        <v>92</v>
      </c>
      <c r="F847" s="26">
        <f>'TX pre'!G43</f>
        <v>92.771739130434781</v>
      </c>
      <c r="G847" s="10">
        <v>4264</v>
      </c>
      <c r="H847" s="28">
        <f>'TX pre'!J43</f>
        <v>47.821909783245459</v>
      </c>
      <c r="I847" s="2">
        <v>21342</v>
      </c>
      <c r="J847" s="27">
        <v>84</v>
      </c>
      <c r="K847" s="2">
        <v>19310</v>
      </c>
      <c r="L847" s="27">
        <v>1905</v>
      </c>
      <c r="M847" s="27" t="s">
        <v>1965</v>
      </c>
      <c r="N847" s="27" t="s">
        <v>532</v>
      </c>
      <c r="O847" s="27" t="s">
        <v>533</v>
      </c>
      <c r="P847" s="27" t="s">
        <v>534</v>
      </c>
      <c r="Q847" s="27" t="str">
        <f t="shared" si="66"/>
        <v>https://babel.hathitrust.org/cgi/pt?id=uc1.b3014083;view=1up;seq=211</v>
      </c>
      <c r="R847" s="27" t="s">
        <v>535</v>
      </c>
      <c r="S847" s="27" t="s">
        <v>536</v>
      </c>
      <c r="T847" s="27" t="s">
        <v>537</v>
      </c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27" t="s">
        <v>1416</v>
      </c>
      <c r="B848" s="27" t="str">
        <f t="shared" si="67"/>
        <v>Texas</v>
      </c>
      <c r="C848" s="27" t="str">
        <f t="shared" si="68"/>
        <v>Cottle</v>
      </c>
      <c r="D848" s="27">
        <v>25384</v>
      </c>
      <c r="E848" s="27">
        <v>10</v>
      </c>
      <c r="F848" s="26">
        <f>'TX pre'!G44</f>
        <v>133.1</v>
      </c>
      <c r="G848" s="10">
        <v>330</v>
      </c>
      <c r="H848" s="28">
        <f>'TX pre'!J44</f>
        <v>56.987227648384682</v>
      </c>
      <c r="I848" s="2">
        <v>5272</v>
      </c>
      <c r="J848" s="27">
        <v>8</v>
      </c>
      <c r="K848" s="2">
        <v>5880</v>
      </c>
      <c r="L848" s="27">
        <v>1905</v>
      </c>
      <c r="M848" s="27" t="s">
        <v>1965</v>
      </c>
      <c r="N848" s="27" t="s">
        <v>532</v>
      </c>
      <c r="O848" s="27" t="s">
        <v>533</v>
      </c>
      <c r="P848" s="27" t="s">
        <v>534</v>
      </c>
      <c r="Q848" s="27" t="str">
        <f t="shared" si="66"/>
        <v>https://babel.hathitrust.org/cgi/pt?id=uc1.b3014083;view=1up;seq=211</v>
      </c>
      <c r="R848" s="27" t="s">
        <v>535</v>
      </c>
      <c r="S848" s="27" t="s">
        <v>536</v>
      </c>
      <c r="T848" s="27" t="s">
        <v>537</v>
      </c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27" t="s">
        <v>1418</v>
      </c>
      <c r="B849" s="27" t="str">
        <f t="shared" si="67"/>
        <v>Texas</v>
      </c>
      <c r="C849" s="27" t="str">
        <f t="shared" si="68"/>
        <v>Crockett</v>
      </c>
      <c r="D849" s="27"/>
      <c r="E849" s="27"/>
      <c r="F849" s="26"/>
      <c r="G849" s="10"/>
      <c r="H849" s="28"/>
      <c r="J849" s="27"/>
      <c r="K849" s="27"/>
      <c r="L849" s="27">
        <v>1905</v>
      </c>
      <c r="M849" s="27" t="s">
        <v>1965</v>
      </c>
      <c r="N849" s="27" t="s">
        <v>532</v>
      </c>
      <c r="O849" s="27" t="s">
        <v>533</v>
      </c>
      <c r="P849" s="27" t="s">
        <v>534</v>
      </c>
      <c r="Q849" s="27" t="str">
        <f t="shared" si="66"/>
        <v>https://babel.hathitrust.org/cgi/pt?id=uc1.b3014083;view=1up;seq=211</v>
      </c>
      <c r="R849" s="27" t="s">
        <v>535</v>
      </c>
      <c r="S849" s="27" t="s">
        <v>536</v>
      </c>
      <c r="T849" s="27" t="s">
        <v>537</v>
      </c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27" t="s">
        <v>1419</v>
      </c>
      <c r="B850" s="27" t="str">
        <f t="shared" si="67"/>
        <v>Texas</v>
      </c>
      <c r="C850" s="27" t="str">
        <f t="shared" si="68"/>
        <v>Crosby</v>
      </c>
      <c r="D850" s="27">
        <v>25928</v>
      </c>
      <c r="E850" s="27">
        <v>13</v>
      </c>
      <c r="F850" s="26">
        <f>'TX pre'!G46</f>
        <v>110.30769230769231</v>
      </c>
      <c r="G850" s="10">
        <v>318</v>
      </c>
      <c r="H850" s="28">
        <f>'TX pre'!J46</f>
        <v>48.476290097629018</v>
      </c>
      <c r="I850" s="2">
        <v>4583</v>
      </c>
      <c r="J850" s="27">
        <v>10</v>
      </c>
      <c r="K850" s="2">
        <v>3900</v>
      </c>
      <c r="L850" s="27">
        <v>1905</v>
      </c>
      <c r="M850" s="27" t="s">
        <v>1965</v>
      </c>
      <c r="N850" s="27" t="s">
        <v>532</v>
      </c>
      <c r="O850" s="27" t="s">
        <v>533</v>
      </c>
      <c r="P850" s="27" t="s">
        <v>534</v>
      </c>
      <c r="Q850" s="27" t="str">
        <f t="shared" si="66"/>
        <v>https://babel.hathitrust.org/cgi/pt?id=uc1.b3014083;view=1up;seq=211</v>
      </c>
      <c r="R850" s="27" t="s">
        <v>535</v>
      </c>
      <c r="S850" s="27" t="s">
        <v>536</v>
      </c>
      <c r="T850" s="27" t="s">
        <v>537</v>
      </c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27" t="s">
        <v>1421</v>
      </c>
      <c r="B851" s="27" t="str">
        <f t="shared" si="67"/>
        <v>Texas</v>
      </c>
      <c r="C851" s="27" t="str">
        <f t="shared" si="68"/>
        <v>Dallam</v>
      </c>
      <c r="D851" s="27">
        <v>6144</v>
      </c>
      <c r="E851" s="27">
        <v>3</v>
      </c>
      <c r="F851" s="26">
        <f>'TX pre'!G47</f>
        <v>137.66666666666666</v>
      </c>
      <c r="G851" s="10">
        <v>61</v>
      </c>
      <c r="H851" s="28">
        <f>'TX pre'!J47</f>
        <v>59.200968523002423</v>
      </c>
      <c r="I851" s="2">
        <v>2033</v>
      </c>
      <c r="J851" s="27">
        <v>4</v>
      </c>
      <c r="K851" s="2">
        <v>1510</v>
      </c>
      <c r="L851" s="27">
        <v>1905</v>
      </c>
      <c r="M851" s="27" t="s">
        <v>1965</v>
      </c>
      <c r="N851" s="27" t="s">
        <v>532</v>
      </c>
      <c r="O851" s="27" t="s">
        <v>533</v>
      </c>
      <c r="P851" s="27" t="s">
        <v>534</v>
      </c>
      <c r="Q851" s="27" t="str">
        <f t="shared" si="66"/>
        <v>https://babel.hathitrust.org/cgi/pt?id=uc1.b3014083;view=1up;seq=211</v>
      </c>
      <c r="R851" s="27" t="s">
        <v>535</v>
      </c>
      <c r="S851" s="27" t="s">
        <v>536</v>
      </c>
      <c r="T851" s="27" t="s">
        <v>537</v>
      </c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27" t="s">
        <v>1422</v>
      </c>
      <c r="B852" s="27" t="str">
        <f t="shared" si="67"/>
        <v>Texas</v>
      </c>
      <c r="C852" s="27" t="str">
        <f t="shared" si="68"/>
        <v>Dallas</v>
      </c>
      <c r="D852" s="27">
        <v>521829</v>
      </c>
      <c r="E852" s="27">
        <v>167</v>
      </c>
      <c r="F852" s="26">
        <f>'TX pre'!G48</f>
        <v>111.05988023952096</v>
      </c>
      <c r="G852" s="10">
        <v>8662</v>
      </c>
      <c r="H852" s="28">
        <f>'TX pre'!J48</f>
        <v>47.789399902949263</v>
      </c>
      <c r="I852" s="2">
        <v>51912</v>
      </c>
      <c r="J852" s="27">
        <v>125</v>
      </c>
      <c r="K852" s="2">
        <v>83695</v>
      </c>
      <c r="L852" s="27">
        <v>1905</v>
      </c>
      <c r="M852" s="27" t="s">
        <v>1965</v>
      </c>
      <c r="N852" s="27" t="s">
        <v>532</v>
      </c>
      <c r="O852" s="27" t="s">
        <v>533</v>
      </c>
      <c r="P852" s="27" t="s">
        <v>534</v>
      </c>
      <c r="Q852" s="27" t="str">
        <f t="shared" si="66"/>
        <v>https://babel.hathitrust.org/cgi/pt?id=uc1.b3014083;view=1up;seq=211</v>
      </c>
      <c r="R852" s="27" t="s">
        <v>535</v>
      </c>
      <c r="S852" s="27" t="s">
        <v>536</v>
      </c>
      <c r="T852" s="27" t="s">
        <v>537</v>
      </c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27" t="s">
        <v>1423</v>
      </c>
      <c r="B853" s="27" t="str">
        <f t="shared" si="67"/>
        <v>Texas</v>
      </c>
      <c r="C853" s="27" t="str">
        <f t="shared" si="68"/>
        <v>Dawson</v>
      </c>
      <c r="D853" s="27"/>
      <c r="E853" s="27"/>
      <c r="F853" s="26"/>
      <c r="G853" s="10"/>
      <c r="H853" s="28"/>
      <c r="J853" s="27"/>
      <c r="K853" s="27"/>
      <c r="L853" s="27">
        <v>1905</v>
      </c>
      <c r="M853" s="27" t="s">
        <v>1965</v>
      </c>
      <c r="N853" s="27" t="s">
        <v>532</v>
      </c>
      <c r="O853" s="27" t="s">
        <v>533</v>
      </c>
      <c r="P853" s="27" t="s">
        <v>534</v>
      </c>
      <c r="Q853" s="27" t="str">
        <f t="shared" si="66"/>
        <v>https://babel.hathitrust.org/cgi/pt?id=uc1.b3014083;view=1up;seq=211</v>
      </c>
      <c r="R853" s="27" t="s">
        <v>535</v>
      </c>
      <c r="S853" s="27" t="s">
        <v>536</v>
      </c>
      <c r="T853" s="27" t="s">
        <v>537</v>
      </c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27" t="s">
        <v>1424</v>
      </c>
      <c r="B854" s="27" t="str">
        <f t="shared" si="67"/>
        <v>Texas</v>
      </c>
      <c r="C854" s="27" t="str">
        <f t="shared" si="68"/>
        <v>Deaf Smith</v>
      </c>
      <c r="D854" s="27">
        <v>44056</v>
      </c>
      <c r="E854" s="27">
        <v>10</v>
      </c>
      <c r="F854" s="26">
        <f>'TX pre'!G50</f>
        <v>137.1</v>
      </c>
      <c r="G854" s="10">
        <v>447</v>
      </c>
      <c r="H854" s="28">
        <f>'TX pre'!J50</f>
        <v>54.894237782640417</v>
      </c>
      <c r="I854" s="2">
        <v>5104</v>
      </c>
      <c r="J854" s="27">
        <v>12</v>
      </c>
      <c r="K854" s="2">
        <v>9100</v>
      </c>
      <c r="L854" s="27">
        <v>1905</v>
      </c>
      <c r="M854" s="27" t="s">
        <v>1965</v>
      </c>
      <c r="N854" s="27" t="s">
        <v>532</v>
      </c>
      <c r="O854" s="27" t="s">
        <v>533</v>
      </c>
      <c r="P854" s="27" t="s">
        <v>534</v>
      </c>
      <c r="Q854" s="27" t="str">
        <f t="shared" si="66"/>
        <v>https://babel.hathitrust.org/cgi/pt?id=uc1.b3014083;view=1up;seq=211</v>
      </c>
      <c r="R854" s="27" t="s">
        <v>535</v>
      </c>
      <c r="S854" s="27" t="s">
        <v>536</v>
      </c>
      <c r="T854" s="27" t="s">
        <v>537</v>
      </c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27" t="s">
        <v>1425</v>
      </c>
      <c r="B855" s="27" t="str">
        <f t="shared" si="67"/>
        <v>Texas</v>
      </c>
      <c r="C855" s="27" t="str">
        <f t="shared" si="68"/>
        <v>Delta</v>
      </c>
      <c r="D855" s="27">
        <v>185846</v>
      </c>
      <c r="E855" s="27">
        <v>56</v>
      </c>
      <c r="F855" s="26">
        <f>'TX pre'!G51</f>
        <v>105.71428571428571</v>
      </c>
      <c r="G855" s="10">
        <v>3361</v>
      </c>
      <c r="H855" s="28">
        <f>'TX pre'!J51</f>
        <v>52.475000000000001</v>
      </c>
      <c r="I855" s="2">
        <v>15901</v>
      </c>
      <c r="J855" s="27">
        <v>41</v>
      </c>
      <c r="K855" s="2">
        <v>27643</v>
      </c>
      <c r="L855" s="27">
        <v>1905</v>
      </c>
      <c r="M855" s="27" t="s">
        <v>1965</v>
      </c>
      <c r="N855" s="27" t="s">
        <v>532</v>
      </c>
      <c r="O855" s="27" t="s">
        <v>533</v>
      </c>
      <c r="P855" s="27" t="s">
        <v>534</v>
      </c>
      <c r="Q855" s="27" t="str">
        <f t="shared" si="66"/>
        <v>https://babel.hathitrust.org/cgi/pt?id=uc1.b3014083;view=1up;seq=211</v>
      </c>
      <c r="R855" s="27" t="s">
        <v>535</v>
      </c>
      <c r="S855" s="27" t="s">
        <v>536</v>
      </c>
      <c r="T855" s="27" t="s">
        <v>537</v>
      </c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27" t="s">
        <v>1426</v>
      </c>
      <c r="B856" s="27" t="str">
        <f t="shared" si="67"/>
        <v>Texas</v>
      </c>
      <c r="C856" s="27" t="str">
        <f t="shared" si="68"/>
        <v>Denton</v>
      </c>
      <c r="D856" s="27">
        <v>258907</v>
      </c>
      <c r="E856" s="27">
        <v>98</v>
      </c>
      <c r="F856" s="26">
        <f>'TX pre'!G52</f>
        <v>97.469387755102048</v>
      </c>
      <c r="G856" s="10">
        <v>4686</v>
      </c>
      <c r="H856" s="28">
        <f>'TX pre'!J52</f>
        <v>48.025439698492455</v>
      </c>
      <c r="I856" s="2">
        <v>24740</v>
      </c>
      <c r="J856" s="27">
        <v>83</v>
      </c>
      <c r="K856" s="2">
        <v>37493</v>
      </c>
      <c r="L856" s="27">
        <v>1905</v>
      </c>
      <c r="M856" s="27" t="s">
        <v>1965</v>
      </c>
      <c r="N856" s="27" t="s">
        <v>532</v>
      </c>
      <c r="O856" s="27" t="s">
        <v>533</v>
      </c>
      <c r="P856" s="27" t="s">
        <v>534</v>
      </c>
      <c r="Q856" s="27" t="str">
        <f t="shared" si="66"/>
        <v>https://babel.hathitrust.org/cgi/pt?id=uc1.b3014083;view=1up;seq=211</v>
      </c>
      <c r="R856" s="27" t="s">
        <v>535</v>
      </c>
      <c r="S856" s="27" t="s">
        <v>536</v>
      </c>
      <c r="T856" s="27" t="s">
        <v>537</v>
      </c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27" t="s">
        <v>1428</v>
      </c>
      <c r="B857" s="27" t="str">
        <f t="shared" si="67"/>
        <v>Texas</v>
      </c>
      <c r="C857" s="27" t="str">
        <f t="shared" si="68"/>
        <v>Dickens</v>
      </c>
      <c r="D857" s="27">
        <v>24898</v>
      </c>
      <c r="E857" s="27">
        <v>14</v>
      </c>
      <c r="F857" s="26">
        <f>'TX pre'!G53</f>
        <v>109.28571428571429</v>
      </c>
      <c r="G857" s="10">
        <v>417</v>
      </c>
      <c r="H857" s="28">
        <f>'TX pre'!J53</f>
        <v>45.91699346405229</v>
      </c>
      <c r="I857" s="2">
        <v>4093</v>
      </c>
      <c r="J857" s="27">
        <v>12</v>
      </c>
      <c r="K857" s="2">
        <v>4400</v>
      </c>
      <c r="L857" s="27">
        <v>1905</v>
      </c>
      <c r="M857" s="27" t="s">
        <v>1965</v>
      </c>
      <c r="N857" s="27" t="s">
        <v>532</v>
      </c>
      <c r="O857" s="27" t="s">
        <v>533</v>
      </c>
      <c r="P857" s="27" t="s">
        <v>534</v>
      </c>
      <c r="Q857" s="27" t="str">
        <f t="shared" si="66"/>
        <v>https://babel.hathitrust.org/cgi/pt?id=uc1.b3014083;view=1up;seq=211</v>
      </c>
      <c r="R857" s="27" t="s">
        <v>535</v>
      </c>
      <c r="S857" s="27" t="s">
        <v>536</v>
      </c>
      <c r="T857" s="27" t="s">
        <v>537</v>
      </c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27" t="s">
        <v>1429</v>
      </c>
      <c r="B858" s="27" t="str">
        <f t="shared" si="67"/>
        <v>Texas</v>
      </c>
      <c r="C858" s="27" t="str">
        <f t="shared" si="68"/>
        <v>Dimmit</v>
      </c>
      <c r="D858" s="27">
        <v>21386</v>
      </c>
      <c r="E858" s="27">
        <v>7</v>
      </c>
      <c r="F858" s="26">
        <f>'TX pre'!G54</f>
        <v>129.28571428571428</v>
      </c>
      <c r="G858" s="10">
        <v>293</v>
      </c>
      <c r="H858" s="28">
        <f>'TX pre'!J54</f>
        <v>49.812154696132602</v>
      </c>
      <c r="I858" s="2">
        <v>7555</v>
      </c>
      <c r="J858" s="27">
        <v>6</v>
      </c>
      <c r="K858" s="2">
        <v>9220</v>
      </c>
      <c r="L858" s="27">
        <v>1905</v>
      </c>
      <c r="M858" s="27" t="s">
        <v>1965</v>
      </c>
      <c r="N858" s="27" t="s">
        <v>532</v>
      </c>
      <c r="O858" s="27" t="s">
        <v>533</v>
      </c>
      <c r="P858" s="27" t="s">
        <v>534</v>
      </c>
      <c r="Q858" s="27" t="str">
        <f t="shared" si="66"/>
        <v>https://babel.hathitrust.org/cgi/pt?id=uc1.b3014083;view=1up;seq=211</v>
      </c>
      <c r="R858" s="27" t="s">
        <v>535</v>
      </c>
      <c r="S858" s="27" t="s">
        <v>536</v>
      </c>
      <c r="T858" s="27" t="s">
        <v>537</v>
      </c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27" t="s">
        <v>1430</v>
      </c>
      <c r="B859" s="27" t="str">
        <f t="shared" si="67"/>
        <v>Texas</v>
      </c>
      <c r="C859" s="27" t="str">
        <f t="shared" si="68"/>
        <v>Donley</v>
      </c>
      <c r="D859" s="27">
        <v>28088</v>
      </c>
      <c r="E859" s="27">
        <v>19</v>
      </c>
      <c r="F859" s="26">
        <f>'TX pre'!G55</f>
        <v>108.31578947368421</v>
      </c>
      <c r="G859" s="10">
        <v>435</v>
      </c>
      <c r="H859" s="28">
        <f>'TX pre'!J55</f>
        <v>42.627599611273084</v>
      </c>
      <c r="I859" s="2">
        <v>5454</v>
      </c>
      <c r="J859" s="27">
        <v>17</v>
      </c>
      <c r="K859" s="2">
        <v>5863</v>
      </c>
      <c r="L859" s="27">
        <v>1905</v>
      </c>
      <c r="M859" s="27" t="s">
        <v>1965</v>
      </c>
      <c r="N859" s="27" t="s">
        <v>532</v>
      </c>
      <c r="O859" s="27" t="s">
        <v>533</v>
      </c>
      <c r="P859" s="27" t="s">
        <v>534</v>
      </c>
      <c r="Q859" s="27" t="str">
        <f t="shared" si="66"/>
        <v>https://babel.hathitrust.org/cgi/pt?id=uc1.b3014083;view=1up;seq=211</v>
      </c>
      <c r="R859" s="27" t="s">
        <v>535</v>
      </c>
      <c r="S859" s="27" t="s">
        <v>536</v>
      </c>
      <c r="T859" s="27" t="s">
        <v>537</v>
      </c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27" t="s">
        <v>1432</v>
      </c>
      <c r="B860" s="27" t="str">
        <f t="shared" si="67"/>
        <v>Texas</v>
      </c>
      <c r="C860" s="27" t="str">
        <f t="shared" si="68"/>
        <v>Eastland</v>
      </c>
      <c r="D860" s="27">
        <v>206305</v>
      </c>
      <c r="E860" s="27">
        <v>85</v>
      </c>
      <c r="F860" s="26">
        <f>'TX pre'!G56</f>
        <v>90.411764705882348</v>
      </c>
      <c r="G860" s="10">
        <v>3830</v>
      </c>
      <c r="H860" s="28">
        <f>'TX pre'!J56</f>
        <v>55.910422901756675</v>
      </c>
      <c r="I860" s="2">
        <v>24710</v>
      </c>
      <c r="J860" s="27">
        <v>73</v>
      </c>
      <c r="K860" s="2">
        <v>27836</v>
      </c>
      <c r="L860" s="27">
        <v>1905</v>
      </c>
      <c r="M860" s="27" t="s">
        <v>1965</v>
      </c>
      <c r="N860" s="27" t="s">
        <v>532</v>
      </c>
      <c r="O860" s="27" t="s">
        <v>533</v>
      </c>
      <c r="P860" s="27" t="s">
        <v>534</v>
      </c>
      <c r="Q860" s="27" t="str">
        <f t="shared" si="66"/>
        <v>https://babel.hathitrust.org/cgi/pt?id=uc1.b3014083;view=1up;seq=211</v>
      </c>
      <c r="R860" s="27" t="s">
        <v>535</v>
      </c>
      <c r="S860" s="27" t="s">
        <v>536</v>
      </c>
      <c r="T860" s="27" t="s">
        <v>537</v>
      </c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27" t="s">
        <v>1433</v>
      </c>
      <c r="B861" s="27" t="str">
        <f t="shared" si="67"/>
        <v>Texas</v>
      </c>
      <c r="C861" s="27" t="str">
        <f t="shared" si="68"/>
        <v>Ector</v>
      </c>
      <c r="D861" s="27">
        <v>10066</v>
      </c>
      <c r="E861" s="27">
        <v>3</v>
      </c>
      <c r="F861" s="26">
        <f>'TX pre'!G57</f>
        <v>118.66666666666667</v>
      </c>
      <c r="G861" s="10">
        <v>116</v>
      </c>
      <c r="H861" s="28">
        <f>'TX pre'!J57</f>
        <v>75.842696629213478</v>
      </c>
      <c r="I861" s="2">
        <v>1737</v>
      </c>
      <c r="J861" s="27">
        <v>2</v>
      </c>
      <c r="K861" s="2">
        <v>3600</v>
      </c>
      <c r="L861" s="27">
        <v>1905</v>
      </c>
      <c r="M861" s="27" t="s">
        <v>1965</v>
      </c>
      <c r="N861" s="27" t="s">
        <v>532</v>
      </c>
      <c r="O861" s="27" t="s">
        <v>533</v>
      </c>
      <c r="P861" s="27" t="s">
        <v>534</v>
      </c>
      <c r="Q861" s="27" t="str">
        <f t="shared" si="66"/>
        <v>https://babel.hathitrust.org/cgi/pt?id=uc1.b3014083;view=1up;seq=211</v>
      </c>
      <c r="R861" s="27" t="s">
        <v>535</v>
      </c>
      <c r="S861" s="27" t="s">
        <v>536</v>
      </c>
      <c r="T861" s="27" t="s">
        <v>537</v>
      </c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27" t="s">
        <v>1434</v>
      </c>
      <c r="B862" s="27" t="str">
        <f t="shared" si="67"/>
        <v>Texas</v>
      </c>
      <c r="C862" s="27" t="str">
        <f t="shared" si="68"/>
        <v>Edwards</v>
      </c>
      <c r="D862" s="27">
        <v>52072</v>
      </c>
      <c r="E862" s="27">
        <v>24</v>
      </c>
      <c r="F862" s="26">
        <f>'TX pre'!G58</f>
        <v>111.66666666666667</v>
      </c>
      <c r="G862" s="10">
        <v>760</v>
      </c>
      <c r="H862" s="28">
        <f>'TX pre'!J58</f>
        <v>46.996716417910449</v>
      </c>
      <c r="I862" s="2">
        <v>7463</v>
      </c>
      <c r="J862" s="27">
        <v>17</v>
      </c>
      <c r="K862" s="2">
        <v>6115</v>
      </c>
      <c r="L862" s="27">
        <v>1905</v>
      </c>
      <c r="M862" s="27" t="s">
        <v>1965</v>
      </c>
      <c r="N862" s="27" t="s">
        <v>532</v>
      </c>
      <c r="O862" s="27" t="s">
        <v>533</v>
      </c>
      <c r="P862" s="27" t="s">
        <v>534</v>
      </c>
      <c r="Q862" s="27" t="str">
        <f t="shared" si="66"/>
        <v>https://babel.hathitrust.org/cgi/pt?id=uc1.b3014083;view=1up;seq=211</v>
      </c>
      <c r="R862" s="27" t="s">
        <v>535</v>
      </c>
      <c r="S862" s="27" t="s">
        <v>536</v>
      </c>
      <c r="T862" s="27" t="s">
        <v>537</v>
      </c>
      <c r="U862" s="4"/>
      <c r="V862" s="4"/>
      <c r="W862" s="4"/>
      <c r="X862" s="4"/>
      <c r="Y862" s="4"/>
      <c r="Z862" s="4"/>
      <c r="AA862" s="4"/>
      <c r="AB862" s="4"/>
    </row>
    <row r="863" spans="1:28" s="27" customFormat="1" x14ac:dyDescent="0.25">
      <c r="A863" s="27" t="s">
        <v>1436</v>
      </c>
      <c r="B863" s="27" t="str">
        <f t="shared" si="67"/>
        <v>Texas</v>
      </c>
      <c r="C863" s="27" t="str">
        <f t="shared" si="68"/>
        <v>Ellis</v>
      </c>
      <c r="D863" s="27">
        <v>614508</v>
      </c>
      <c r="E863" s="27">
        <v>181</v>
      </c>
      <c r="F863" s="26">
        <f>'TX pre'!G59</f>
        <v>112.09944751381215</v>
      </c>
      <c r="G863" s="10">
        <v>9952</v>
      </c>
      <c r="H863" s="28">
        <f>'TX pre'!J59</f>
        <v>53.233336619024151</v>
      </c>
      <c r="I863" s="2">
        <v>62373</v>
      </c>
      <c r="J863" s="27">
        <v>129</v>
      </c>
      <c r="K863" s="2">
        <v>145200</v>
      </c>
      <c r="L863" s="27">
        <v>1905</v>
      </c>
      <c r="M863" s="27" t="s">
        <v>1965</v>
      </c>
      <c r="N863" s="27" t="s">
        <v>532</v>
      </c>
      <c r="O863" s="27" t="s">
        <v>533</v>
      </c>
      <c r="P863" s="27" t="s">
        <v>534</v>
      </c>
      <c r="Q863" s="27" t="str">
        <f t="shared" si="66"/>
        <v>https://babel.hathitrust.org/cgi/pt?id=uc1.b3014083;view=1up;seq=211</v>
      </c>
      <c r="R863" s="27" t="s">
        <v>535</v>
      </c>
      <c r="S863" s="27" t="s">
        <v>536</v>
      </c>
      <c r="T863" s="27" t="s">
        <v>537</v>
      </c>
      <c r="U863" s="4"/>
      <c r="V863" s="4"/>
      <c r="W863" s="4"/>
      <c r="X863" s="4"/>
      <c r="Y863" s="4"/>
      <c r="Z863" s="4"/>
      <c r="AA863" s="4"/>
      <c r="AB863" s="4"/>
    </row>
    <row r="864" spans="1:28" s="27" customFormat="1" x14ac:dyDescent="0.25">
      <c r="A864" s="27" t="s">
        <v>1435</v>
      </c>
      <c r="B864" s="27" t="str">
        <f t="shared" si="67"/>
        <v>Texas</v>
      </c>
      <c r="C864" s="27" t="str">
        <f t="shared" si="68"/>
        <v>El Paso</v>
      </c>
      <c r="D864" s="27">
        <v>68722</v>
      </c>
      <c r="E864" s="27">
        <v>19</v>
      </c>
      <c r="F864" s="26">
        <f>'TX pre'!G60</f>
        <v>160.68421052631578</v>
      </c>
      <c r="G864" s="10">
        <v>961</v>
      </c>
      <c r="H864" s="28">
        <f>'TX pre'!J60</f>
        <v>58.781526367507368</v>
      </c>
      <c r="I864" s="2">
        <v>12111</v>
      </c>
      <c r="J864" s="27">
        <v>15</v>
      </c>
      <c r="K864" s="2">
        <v>6595</v>
      </c>
      <c r="L864" s="27">
        <v>1905</v>
      </c>
      <c r="M864" s="27" t="s">
        <v>1965</v>
      </c>
      <c r="N864" s="27" t="s">
        <v>532</v>
      </c>
      <c r="O864" s="27" t="s">
        <v>533</v>
      </c>
      <c r="P864" s="27" t="s">
        <v>534</v>
      </c>
      <c r="Q864" s="27" t="str">
        <f t="shared" si="66"/>
        <v>https://babel.hathitrust.org/cgi/pt?id=uc1.b3014083;view=1up;seq=211</v>
      </c>
      <c r="R864" s="27" t="s">
        <v>535</v>
      </c>
      <c r="S864" s="27" t="s">
        <v>536</v>
      </c>
      <c r="T864" s="27" t="s">
        <v>537</v>
      </c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27" t="s">
        <v>1437</v>
      </c>
      <c r="B865" s="27" t="str">
        <f t="shared" si="67"/>
        <v>Texas</v>
      </c>
      <c r="C865" s="27" t="str">
        <f t="shared" si="68"/>
        <v>Erath</v>
      </c>
      <c r="D865" s="27">
        <v>376747</v>
      </c>
      <c r="E865" s="27">
        <v>114</v>
      </c>
      <c r="F865" s="26">
        <f>'TX pre'!G61</f>
        <v>94.44736842105263</v>
      </c>
      <c r="G865" s="10">
        <v>6024</v>
      </c>
      <c r="H865" s="28">
        <f>'TX pre'!J61</f>
        <v>51.666146558930066</v>
      </c>
      <c r="I865" s="2">
        <v>29713</v>
      </c>
      <c r="J865" s="27">
        <v>90</v>
      </c>
      <c r="K865" s="2">
        <v>22752</v>
      </c>
      <c r="L865" s="27">
        <v>1905</v>
      </c>
      <c r="M865" s="27" t="s">
        <v>1965</v>
      </c>
      <c r="N865" s="27" t="s">
        <v>532</v>
      </c>
      <c r="O865" s="27" t="s">
        <v>533</v>
      </c>
      <c r="P865" s="27" t="s">
        <v>534</v>
      </c>
      <c r="Q865" s="27" t="str">
        <f t="shared" si="66"/>
        <v>https://babel.hathitrust.org/cgi/pt?id=uc1.b3014083;view=1up;seq=211</v>
      </c>
      <c r="R865" s="27" t="s">
        <v>535</v>
      </c>
      <c r="S865" s="27" t="s">
        <v>536</v>
      </c>
      <c r="T865" s="27" t="s">
        <v>537</v>
      </c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27" t="s">
        <v>1438</v>
      </c>
      <c r="B866" s="27" t="str">
        <f t="shared" si="67"/>
        <v>Texas</v>
      </c>
      <c r="C866" s="27" t="str">
        <f t="shared" si="68"/>
        <v>Falls</v>
      </c>
      <c r="D866" s="27">
        <v>341357</v>
      </c>
      <c r="E866" s="27">
        <v>114</v>
      </c>
      <c r="F866" s="26">
        <f>'TX pre'!G62</f>
        <v>110.97368421052632</v>
      </c>
      <c r="G866" s="10">
        <v>5649</v>
      </c>
      <c r="H866" s="28">
        <f>'TX pre'!J62</f>
        <v>47.631855189313093</v>
      </c>
      <c r="I866" s="2">
        <v>32685</v>
      </c>
      <c r="J866" s="27">
        <v>91</v>
      </c>
      <c r="K866" s="2">
        <v>32115</v>
      </c>
      <c r="L866" s="27">
        <v>1905</v>
      </c>
      <c r="M866" s="27" t="s">
        <v>1965</v>
      </c>
      <c r="N866" s="27" t="s">
        <v>532</v>
      </c>
      <c r="O866" s="27" t="s">
        <v>533</v>
      </c>
      <c r="P866" s="27" t="s">
        <v>534</v>
      </c>
      <c r="Q866" s="27" t="str">
        <f t="shared" si="66"/>
        <v>https://babel.hathitrust.org/cgi/pt?id=uc1.b3014083;view=1up;seq=211</v>
      </c>
      <c r="R866" s="27" t="s">
        <v>535</v>
      </c>
      <c r="S866" s="27" t="s">
        <v>536</v>
      </c>
      <c r="T866" s="27" t="s">
        <v>537</v>
      </c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27" t="s">
        <v>1439</v>
      </c>
      <c r="B867" s="27" t="str">
        <f t="shared" si="67"/>
        <v>Texas</v>
      </c>
      <c r="C867" s="27" t="str">
        <f t="shared" si="68"/>
        <v>Fannin</v>
      </c>
      <c r="D867" s="27">
        <v>487167</v>
      </c>
      <c r="E867" s="27">
        <v>172</v>
      </c>
      <c r="F867" s="26">
        <f>'TX pre'!G63</f>
        <v>107.08139534883721</v>
      </c>
      <c r="G867" s="10">
        <v>9067</v>
      </c>
      <c r="H867" s="28">
        <f>'TX pre'!J63</f>
        <v>49.825627103920084</v>
      </c>
      <c r="I867" s="2">
        <v>48925</v>
      </c>
      <c r="J867" s="27">
        <v>142</v>
      </c>
      <c r="K867" s="2">
        <v>75315</v>
      </c>
      <c r="L867" s="27">
        <v>1905</v>
      </c>
      <c r="M867" s="27" t="s">
        <v>1965</v>
      </c>
      <c r="N867" s="27" t="s">
        <v>532</v>
      </c>
      <c r="O867" s="27" t="s">
        <v>533</v>
      </c>
      <c r="P867" s="27" t="s">
        <v>534</v>
      </c>
      <c r="Q867" s="27" t="str">
        <f t="shared" si="66"/>
        <v>https://babel.hathitrust.org/cgi/pt?id=uc1.b3014083;view=1up;seq=211</v>
      </c>
      <c r="R867" s="27" t="s">
        <v>535</v>
      </c>
      <c r="S867" s="27" t="s">
        <v>536</v>
      </c>
      <c r="T867" s="27" t="s">
        <v>537</v>
      </c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27" t="s">
        <v>1441</v>
      </c>
      <c r="B868" s="27" t="str">
        <f t="shared" si="67"/>
        <v>Texas</v>
      </c>
      <c r="C868" s="27" t="str">
        <f t="shared" si="68"/>
        <v>Fisher</v>
      </c>
      <c r="D868" s="27">
        <v>64835</v>
      </c>
      <c r="E868" s="27">
        <v>30</v>
      </c>
      <c r="F868" s="26">
        <f>'TX pre'!G64</f>
        <v>102.1</v>
      </c>
      <c r="G868" s="10">
        <v>1000</v>
      </c>
      <c r="H868" s="28">
        <f>'TX pre'!J64</f>
        <v>50.881227554684955</v>
      </c>
      <c r="I868" s="2">
        <v>8322</v>
      </c>
      <c r="J868" s="27">
        <v>28</v>
      </c>
      <c r="K868" s="2">
        <v>9764</v>
      </c>
      <c r="L868" s="27">
        <v>1905</v>
      </c>
      <c r="M868" s="27" t="s">
        <v>1965</v>
      </c>
      <c r="N868" s="27" t="s">
        <v>532</v>
      </c>
      <c r="O868" s="27" t="s">
        <v>533</v>
      </c>
      <c r="P868" s="27" t="s">
        <v>534</v>
      </c>
      <c r="Q868" s="27" t="str">
        <f t="shared" si="66"/>
        <v>https://babel.hathitrust.org/cgi/pt?id=uc1.b3014083;view=1up;seq=211</v>
      </c>
      <c r="R868" s="27" t="s">
        <v>535</v>
      </c>
      <c r="S868" s="27" t="s">
        <v>536</v>
      </c>
      <c r="T868" s="27" t="s">
        <v>537</v>
      </c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27" t="s">
        <v>1442</v>
      </c>
      <c r="B869" s="27" t="str">
        <f t="shared" si="67"/>
        <v>Texas</v>
      </c>
      <c r="C869" s="27" t="str">
        <f t="shared" si="68"/>
        <v>Floyd</v>
      </c>
      <c r="D869" s="27">
        <v>34739</v>
      </c>
      <c r="E869" s="27">
        <v>17</v>
      </c>
      <c r="F869" s="26">
        <f>'TX pre'!G65</f>
        <v>108.47058823529412</v>
      </c>
      <c r="G869" s="10">
        <v>601</v>
      </c>
      <c r="H869" s="28">
        <f>'TX pre'!J65</f>
        <v>43.752711496746201</v>
      </c>
      <c r="I869" s="2">
        <v>4669</v>
      </c>
      <c r="J869" s="27">
        <v>20</v>
      </c>
      <c r="K869" s="2">
        <v>5550</v>
      </c>
      <c r="L869" s="27">
        <v>1905</v>
      </c>
      <c r="M869" s="27" t="s">
        <v>1965</v>
      </c>
      <c r="N869" s="27" t="s">
        <v>532</v>
      </c>
      <c r="O869" s="27" t="s">
        <v>533</v>
      </c>
      <c r="P869" s="27" t="s">
        <v>534</v>
      </c>
      <c r="Q869" s="27" t="str">
        <f t="shared" si="66"/>
        <v>https://babel.hathitrust.org/cgi/pt?id=uc1.b3014083;view=1up;seq=211</v>
      </c>
      <c r="R869" s="27" t="s">
        <v>535</v>
      </c>
      <c r="S869" s="27" t="s">
        <v>536</v>
      </c>
      <c r="T869" s="27" t="s">
        <v>537</v>
      </c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27" t="s">
        <v>1443</v>
      </c>
      <c r="B870" s="27" t="str">
        <f t="shared" si="67"/>
        <v>Texas</v>
      </c>
      <c r="C870" s="27" t="str">
        <f t="shared" si="68"/>
        <v>Foard</v>
      </c>
      <c r="D870" s="27">
        <v>24334</v>
      </c>
      <c r="E870" s="27">
        <v>13</v>
      </c>
      <c r="F870" s="26">
        <f>'TX pre'!G66</f>
        <v>101.53846153846153</v>
      </c>
      <c r="G870" s="10">
        <v>417</v>
      </c>
      <c r="H870" s="28">
        <f>'TX pre'!J66</f>
        <v>45.62045454545455</v>
      </c>
      <c r="I870" s="2">
        <v>3590</v>
      </c>
      <c r="J870" s="27">
        <v>13</v>
      </c>
      <c r="K870" s="2">
        <v>3395</v>
      </c>
      <c r="L870" s="27">
        <v>1905</v>
      </c>
      <c r="M870" s="27" t="s">
        <v>1965</v>
      </c>
      <c r="N870" s="27" t="s">
        <v>532</v>
      </c>
      <c r="O870" s="27" t="s">
        <v>533</v>
      </c>
      <c r="P870" s="27" t="s">
        <v>534</v>
      </c>
      <c r="Q870" s="27" t="str">
        <f t="shared" si="66"/>
        <v>https://babel.hathitrust.org/cgi/pt?id=uc1.b3014083;view=1up;seq=211</v>
      </c>
      <c r="R870" s="27" t="s">
        <v>535</v>
      </c>
      <c r="S870" s="27" t="s">
        <v>536</v>
      </c>
      <c r="T870" s="27" t="s">
        <v>537</v>
      </c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27" t="s">
        <v>1444</v>
      </c>
      <c r="B871" s="27" t="str">
        <f t="shared" si="67"/>
        <v>Texas</v>
      </c>
      <c r="C871" s="27" t="str">
        <f t="shared" si="68"/>
        <v>Fort Bend</v>
      </c>
      <c r="D871" s="27">
        <v>163106</v>
      </c>
      <c r="E871" s="27">
        <v>61</v>
      </c>
      <c r="F871" s="26">
        <f>'TX pre'!G67</f>
        <v>117.8360655737705</v>
      </c>
      <c r="G871" s="10">
        <v>2622</v>
      </c>
      <c r="H871" s="28">
        <f>'TX pre'!J67</f>
        <v>43.63188647746243</v>
      </c>
      <c r="I871" s="2">
        <v>17749</v>
      </c>
      <c r="J871" s="27">
        <v>61</v>
      </c>
      <c r="K871" s="2">
        <v>9317</v>
      </c>
      <c r="L871" s="27">
        <v>1905</v>
      </c>
      <c r="M871" s="27" t="s">
        <v>1965</v>
      </c>
      <c r="N871" s="27" t="s">
        <v>532</v>
      </c>
      <c r="O871" s="27" t="s">
        <v>533</v>
      </c>
      <c r="P871" s="27" t="s">
        <v>534</v>
      </c>
      <c r="Q871" s="27" t="str">
        <f t="shared" si="66"/>
        <v>https://babel.hathitrust.org/cgi/pt?id=uc1.b3014083;view=1up;seq=211</v>
      </c>
      <c r="R871" s="27" t="s">
        <v>535</v>
      </c>
      <c r="S871" s="27" t="s">
        <v>536</v>
      </c>
      <c r="T871" s="27" t="s">
        <v>537</v>
      </c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27" t="s">
        <v>1445</v>
      </c>
      <c r="B872" s="27" t="str">
        <f t="shared" si="67"/>
        <v>Texas</v>
      </c>
      <c r="C872" s="27" t="str">
        <f t="shared" si="68"/>
        <v>Franklin</v>
      </c>
      <c r="D872" s="27">
        <v>124616</v>
      </c>
      <c r="E872" s="27">
        <v>50</v>
      </c>
      <c r="F872" s="26">
        <f>'TX pre'!G68</f>
        <v>90.96</v>
      </c>
      <c r="G872" s="10">
        <v>2618</v>
      </c>
      <c r="H872" s="28">
        <f>'TX pre'!J68</f>
        <v>49.865567282321898</v>
      </c>
      <c r="I872" s="2">
        <v>11739</v>
      </c>
      <c r="J872" s="27">
        <v>33</v>
      </c>
      <c r="K872" s="2">
        <v>12320</v>
      </c>
      <c r="L872" s="27">
        <v>1905</v>
      </c>
      <c r="M872" s="27" t="s">
        <v>1965</v>
      </c>
      <c r="N872" s="27" t="s">
        <v>532</v>
      </c>
      <c r="O872" s="27" t="s">
        <v>533</v>
      </c>
      <c r="P872" s="27" t="s">
        <v>534</v>
      </c>
      <c r="Q872" s="27" t="str">
        <f t="shared" ref="Q872:Q935" si="69">Q871</f>
        <v>https://babel.hathitrust.org/cgi/pt?id=uc1.b3014083;view=1up;seq=211</v>
      </c>
      <c r="R872" s="27" t="s">
        <v>535</v>
      </c>
      <c r="S872" s="27" t="s">
        <v>536</v>
      </c>
      <c r="T872" s="27" t="s">
        <v>537</v>
      </c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27" t="s">
        <v>1446</v>
      </c>
      <c r="B873" s="27" t="str">
        <f t="shared" si="67"/>
        <v>Texas</v>
      </c>
      <c r="C873" s="27" t="str">
        <f t="shared" si="68"/>
        <v>Frio</v>
      </c>
      <c r="D873" s="27">
        <v>57803</v>
      </c>
      <c r="E873" s="27">
        <v>23</v>
      </c>
      <c r="F873" s="26">
        <f>'TX pre'!G69</f>
        <v>120.30434782608695</v>
      </c>
      <c r="G873" s="10">
        <v>694</v>
      </c>
      <c r="H873" s="28">
        <f>'TX pre'!J69</f>
        <v>45.503071919045901</v>
      </c>
      <c r="I873" s="2">
        <v>6621</v>
      </c>
      <c r="J873" s="27">
        <v>19</v>
      </c>
      <c r="K873" s="2">
        <v>3400</v>
      </c>
      <c r="L873" s="27">
        <v>1905</v>
      </c>
      <c r="M873" s="27" t="s">
        <v>1965</v>
      </c>
      <c r="N873" s="27" t="s">
        <v>532</v>
      </c>
      <c r="O873" s="27" t="s">
        <v>533</v>
      </c>
      <c r="P873" s="27" t="s">
        <v>534</v>
      </c>
      <c r="Q873" s="27" t="str">
        <f t="shared" si="69"/>
        <v>https://babel.hathitrust.org/cgi/pt?id=uc1.b3014083;view=1up;seq=211</v>
      </c>
      <c r="R873" s="27" t="s">
        <v>535</v>
      </c>
      <c r="S873" s="27" t="s">
        <v>536</v>
      </c>
      <c r="T873" s="27" t="s">
        <v>537</v>
      </c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27" t="s">
        <v>1447</v>
      </c>
      <c r="B874" s="27" t="str">
        <f t="shared" si="67"/>
        <v>Texas</v>
      </c>
      <c r="C874" s="27" t="str">
        <f t="shared" si="68"/>
        <v>Gaines</v>
      </c>
      <c r="D874" s="27">
        <v>550</v>
      </c>
      <c r="E874" s="27">
        <v>2</v>
      </c>
      <c r="F874" s="26">
        <f>'TX pre'!G70</f>
        <v>63.5</v>
      </c>
      <c r="G874" s="10">
        <v>16</v>
      </c>
      <c r="H874" s="28">
        <f>'TX pre'!J70</f>
        <v>42.125984251968504</v>
      </c>
      <c r="I874" s="2">
        <v>267</v>
      </c>
      <c r="J874" s="27">
        <v>1</v>
      </c>
      <c r="K874" s="2">
        <v>200</v>
      </c>
      <c r="L874" s="27">
        <v>1905</v>
      </c>
      <c r="M874" s="27" t="s">
        <v>1965</v>
      </c>
      <c r="N874" s="27" t="s">
        <v>532</v>
      </c>
      <c r="O874" s="27" t="s">
        <v>533</v>
      </c>
      <c r="P874" s="27" t="s">
        <v>534</v>
      </c>
      <c r="Q874" s="27" t="str">
        <f t="shared" si="69"/>
        <v>https://babel.hathitrust.org/cgi/pt?id=uc1.b3014083;view=1up;seq=211</v>
      </c>
      <c r="R874" s="27" t="s">
        <v>535</v>
      </c>
      <c r="S874" s="27" t="s">
        <v>536</v>
      </c>
      <c r="T874" s="27" t="s">
        <v>537</v>
      </c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27" t="s">
        <v>1448</v>
      </c>
      <c r="B875" s="27" t="str">
        <f t="shared" si="67"/>
        <v>Texas</v>
      </c>
      <c r="C875" s="27" t="str">
        <f t="shared" si="68"/>
        <v>Galveston</v>
      </c>
      <c r="D875" s="27">
        <v>65204</v>
      </c>
      <c r="E875" s="27">
        <v>24</v>
      </c>
      <c r="F875" s="26">
        <f>'TX pre'!G71</f>
        <v>120.625</v>
      </c>
      <c r="G875" s="10">
        <v>868</v>
      </c>
      <c r="H875" s="28">
        <f>'TX pre'!J71</f>
        <v>41.3685664939551</v>
      </c>
      <c r="I875" s="2">
        <v>8008</v>
      </c>
      <c r="J875" s="27">
        <v>18</v>
      </c>
      <c r="K875" s="2">
        <v>12205</v>
      </c>
      <c r="L875" s="27">
        <v>1905</v>
      </c>
      <c r="M875" s="27" t="s">
        <v>1965</v>
      </c>
      <c r="N875" s="27" t="s">
        <v>532</v>
      </c>
      <c r="O875" s="27" t="s">
        <v>533</v>
      </c>
      <c r="P875" s="27" t="s">
        <v>534</v>
      </c>
      <c r="Q875" s="27" t="str">
        <f t="shared" si="69"/>
        <v>https://babel.hathitrust.org/cgi/pt?id=uc1.b3014083;view=1up;seq=211</v>
      </c>
      <c r="R875" s="27" t="s">
        <v>535</v>
      </c>
      <c r="S875" s="27" t="s">
        <v>536</v>
      </c>
      <c r="T875" s="27" t="s">
        <v>537</v>
      </c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27" t="s">
        <v>1449</v>
      </c>
      <c r="B876" s="27" t="str">
        <f t="shared" si="67"/>
        <v>Texas</v>
      </c>
      <c r="C876" s="27" t="str">
        <f t="shared" si="68"/>
        <v>Garza</v>
      </c>
      <c r="D876" s="27">
        <v>3117</v>
      </c>
      <c r="E876" s="27">
        <v>4</v>
      </c>
      <c r="F876" s="26">
        <f>'TX pre'!G72</f>
        <v>74.25</v>
      </c>
      <c r="G876" s="10">
        <v>59</v>
      </c>
      <c r="H876" s="28">
        <f>'TX pre'!J72</f>
        <v>29.045791245791246</v>
      </c>
      <c r="I876" s="2">
        <v>507</v>
      </c>
      <c r="J876" s="27">
        <v>2</v>
      </c>
      <c r="K876" s="2">
        <v>565</v>
      </c>
      <c r="L876" s="27">
        <v>1905</v>
      </c>
      <c r="M876" s="27" t="s">
        <v>1965</v>
      </c>
      <c r="N876" s="27" t="s">
        <v>532</v>
      </c>
      <c r="O876" s="27" t="s">
        <v>533</v>
      </c>
      <c r="P876" s="27" t="s">
        <v>534</v>
      </c>
      <c r="Q876" s="27" t="str">
        <f t="shared" si="69"/>
        <v>https://babel.hathitrust.org/cgi/pt?id=uc1.b3014083;view=1up;seq=211</v>
      </c>
      <c r="R876" s="27" t="s">
        <v>535</v>
      </c>
      <c r="S876" s="27" t="s">
        <v>536</v>
      </c>
      <c r="T876" s="27" t="s">
        <v>537</v>
      </c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27" t="s">
        <v>1450</v>
      </c>
      <c r="B877" s="27" t="str">
        <f t="shared" si="67"/>
        <v>Texas</v>
      </c>
      <c r="C877" s="27" t="str">
        <f t="shared" si="68"/>
        <v>Gillespie</v>
      </c>
      <c r="D877" s="27">
        <v>135469</v>
      </c>
      <c r="E877" s="27">
        <v>43</v>
      </c>
      <c r="F877" s="26">
        <f>'TX pre'!G73</f>
        <v>130.55813953488371</v>
      </c>
      <c r="G877" s="10">
        <v>1421</v>
      </c>
      <c r="H877" s="28">
        <f>'TX pre'!J73</f>
        <v>40.67353045956537</v>
      </c>
      <c r="I877" s="2">
        <v>11807</v>
      </c>
      <c r="J877" s="27">
        <v>40</v>
      </c>
      <c r="K877" s="2">
        <v>30887</v>
      </c>
      <c r="L877" s="27">
        <v>1905</v>
      </c>
      <c r="M877" s="27" t="s">
        <v>1965</v>
      </c>
      <c r="N877" s="27" t="s">
        <v>532</v>
      </c>
      <c r="O877" s="27" t="s">
        <v>533</v>
      </c>
      <c r="P877" s="27" t="s">
        <v>534</v>
      </c>
      <c r="Q877" s="27" t="str">
        <f t="shared" si="69"/>
        <v>https://babel.hathitrust.org/cgi/pt?id=uc1.b3014083;view=1up;seq=211</v>
      </c>
      <c r="R877" s="27" t="s">
        <v>535</v>
      </c>
      <c r="S877" s="27" t="s">
        <v>536</v>
      </c>
      <c r="T877" s="27" t="s">
        <v>537</v>
      </c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27" t="s">
        <v>1451</v>
      </c>
      <c r="B878" s="27" t="str">
        <f t="shared" si="67"/>
        <v>Texas</v>
      </c>
      <c r="C878" s="27" t="str">
        <f t="shared" si="68"/>
        <v>Glasscock</v>
      </c>
      <c r="D878" s="27">
        <v>10082</v>
      </c>
      <c r="E878" s="27">
        <v>5</v>
      </c>
      <c r="F878" s="26">
        <f>'TX pre'!G74</f>
        <v>122</v>
      </c>
      <c r="G878" s="10">
        <v>123</v>
      </c>
      <c r="H878" s="28">
        <f>'TX pre'!J74</f>
        <v>51.442622950819676</v>
      </c>
      <c r="I878" s="2">
        <v>2053</v>
      </c>
      <c r="J878" s="27">
        <v>4</v>
      </c>
      <c r="K878" s="2">
        <v>924</v>
      </c>
      <c r="L878" s="27">
        <v>1905</v>
      </c>
      <c r="M878" s="27" t="s">
        <v>1965</v>
      </c>
      <c r="N878" s="27" t="s">
        <v>532</v>
      </c>
      <c r="O878" s="27" t="s">
        <v>533</v>
      </c>
      <c r="P878" s="27" t="s">
        <v>534</v>
      </c>
      <c r="Q878" s="27" t="str">
        <f t="shared" si="69"/>
        <v>https://babel.hathitrust.org/cgi/pt?id=uc1.b3014083;view=1up;seq=211</v>
      </c>
      <c r="R878" s="27" t="s">
        <v>535</v>
      </c>
      <c r="S878" s="27" t="s">
        <v>536</v>
      </c>
      <c r="T878" s="27" t="s">
        <v>537</v>
      </c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27" t="s">
        <v>1452</v>
      </c>
      <c r="B879" s="27" t="str">
        <f t="shared" si="67"/>
        <v>Texas</v>
      </c>
      <c r="C879" s="27" t="str">
        <f t="shared" si="68"/>
        <v>Goliad</v>
      </c>
      <c r="D879" s="27">
        <v>130705</v>
      </c>
      <c r="E879" s="27">
        <v>52</v>
      </c>
      <c r="F879" s="26">
        <f>'TX pre'!G75</f>
        <v>102.30769230769231</v>
      </c>
      <c r="G879" s="10">
        <v>1613</v>
      </c>
      <c r="H879" s="28">
        <f>'TX pre'!J75</f>
        <v>44.922406015037602</v>
      </c>
      <c r="I879" s="2">
        <v>12129</v>
      </c>
      <c r="J879" s="27">
        <v>39</v>
      </c>
      <c r="K879" s="2">
        <v>15583</v>
      </c>
      <c r="L879" s="27">
        <v>1905</v>
      </c>
      <c r="M879" s="27" t="s">
        <v>1965</v>
      </c>
      <c r="N879" s="27" t="s">
        <v>532</v>
      </c>
      <c r="O879" s="27" t="s">
        <v>533</v>
      </c>
      <c r="P879" s="27" t="s">
        <v>534</v>
      </c>
      <c r="Q879" s="27" t="str">
        <f t="shared" si="69"/>
        <v>https://babel.hathitrust.org/cgi/pt?id=uc1.b3014083;view=1up;seq=211</v>
      </c>
      <c r="R879" s="27" t="s">
        <v>535</v>
      </c>
      <c r="S879" s="27" t="s">
        <v>536</v>
      </c>
      <c r="T879" s="27" t="s">
        <v>537</v>
      </c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27" t="s">
        <v>1453</v>
      </c>
      <c r="B880" s="27" t="str">
        <f t="shared" si="67"/>
        <v>Texas</v>
      </c>
      <c r="C880" s="27" t="str">
        <f t="shared" si="68"/>
        <v>Gonzales</v>
      </c>
      <c r="D880" s="27">
        <v>302263</v>
      </c>
      <c r="E880" s="27">
        <v>125</v>
      </c>
      <c r="F880" s="26">
        <f>'TX pre'!G76</f>
        <v>105.744</v>
      </c>
      <c r="G880" s="10">
        <v>4624</v>
      </c>
      <c r="H880" s="28">
        <f>'TX pre'!J76</f>
        <v>44.301240732334691</v>
      </c>
      <c r="I880" s="2">
        <v>30371</v>
      </c>
      <c r="J880" s="27">
        <v>111</v>
      </c>
      <c r="K880" s="2">
        <v>23978</v>
      </c>
      <c r="L880" s="27">
        <v>1905</v>
      </c>
      <c r="M880" s="27" t="s">
        <v>1965</v>
      </c>
      <c r="N880" s="27" t="s">
        <v>532</v>
      </c>
      <c r="O880" s="27" t="s">
        <v>533</v>
      </c>
      <c r="P880" s="27" t="s">
        <v>534</v>
      </c>
      <c r="Q880" s="27" t="str">
        <f t="shared" si="69"/>
        <v>https://babel.hathitrust.org/cgi/pt?id=uc1.b3014083;view=1up;seq=211</v>
      </c>
      <c r="R880" s="27" t="s">
        <v>535</v>
      </c>
      <c r="S880" s="27" t="s">
        <v>536</v>
      </c>
      <c r="T880" s="27" t="s">
        <v>537</v>
      </c>
      <c r="U880" s="4"/>
      <c r="V880" s="4"/>
      <c r="W880" s="4"/>
      <c r="X880" s="4"/>
      <c r="Y880" s="4"/>
      <c r="Z880" s="4"/>
      <c r="AA880" s="4"/>
      <c r="AB880" s="4"/>
    </row>
    <row r="881" spans="1:20" x14ac:dyDescent="0.25">
      <c r="A881" s="27" t="s">
        <v>1454</v>
      </c>
      <c r="B881" s="27" t="str">
        <f t="shared" si="67"/>
        <v>Texas</v>
      </c>
      <c r="C881" s="27" t="str">
        <f t="shared" si="68"/>
        <v>Gray</v>
      </c>
      <c r="D881" s="27">
        <v>10824</v>
      </c>
      <c r="E881" s="27">
        <v>10</v>
      </c>
      <c r="F881" s="26">
        <f>'TX pre'!G77</f>
        <v>107.3</v>
      </c>
      <c r="G881" s="10">
        <v>267</v>
      </c>
      <c r="H881" s="28">
        <f>'TX pre'!J77</f>
        <v>52.068965517241381</v>
      </c>
      <c r="I881" s="2">
        <v>3586</v>
      </c>
      <c r="J881" s="27">
        <v>9</v>
      </c>
      <c r="K881" s="2">
        <v>1817</v>
      </c>
      <c r="L881" s="27">
        <v>1905</v>
      </c>
      <c r="M881" s="27" t="s">
        <v>1965</v>
      </c>
      <c r="N881" s="27" t="str">
        <f>N880</f>
        <v>http://hdl.handle.net/2027/uc1.b3014083?urlappend=%3Bseq=105</v>
      </c>
      <c r="O881" s="27" t="str">
        <f>O880</f>
        <v>http://hdl.handle.net/2027/uc1.b3014083?urlappend=%3Bseq=126</v>
      </c>
      <c r="P881" s="27" t="str">
        <f>P880</f>
        <v>http://hdl.handle.net/2027/uc1.b3014083?urlappend=%3Bseq=68</v>
      </c>
      <c r="Q881" s="27" t="str">
        <f t="shared" si="69"/>
        <v>https://babel.hathitrust.org/cgi/pt?id=uc1.b3014083;view=1up;seq=211</v>
      </c>
      <c r="R881" s="27" t="str">
        <f>R880</f>
        <v>http://hdl.handle.net/2027/uc1.b3014083?urlappend=%3Bseq=212</v>
      </c>
      <c r="S881" s="27" t="str">
        <f>S880</f>
        <v>http://hdl.handle.net/2027/uc1.b3014083?urlappend=%3Bseq=153</v>
      </c>
      <c r="T881" s="27" t="str">
        <f>T880</f>
        <v>http://hdl.handle.net/2027/uc1.b3014083?urlappend=%3Bseq=174</v>
      </c>
    </row>
    <row r="882" spans="1:20" x14ac:dyDescent="0.25">
      <c r="A882" s="27" t="s">
        <v>1455</v>
      </c>
      <c r="B882" s="27" t="str">
        <f t="shared" si="67"/>
        <v>Texas</v>
      </c>
      <c r="C882" s="27" t="str">
        <f t="shared" si="68"/>
        <v>Grayson</v>
      </c>
      <c r="D882" s="27">
        <v>511401</v>
      </c>
      <c r="E882" s="27">
        <v>167</v>
      </c>
      <c r="F882" s="26">
        <f>'TX pre'!G78</f>
        <v>105.33532934131736</v>
      </c>
      <c r="G882" s="10">
        <v>8445</v>
      </c>
      <c r="H882" s="28">
        <f>'TX pre'!J78</f>
        <v>48.941492808822687</v>
      </c>
      <c r="I882" s="2">
        <v>48467</v>
      </c>
      <c r="J882" s="27">
        <v>133</v>
      </c>
      <c r="K882" s="2">
        <v>76680</v>
      </c>
      <c r="L882" s="27">
        <v>1905</v>
      </c>
      <c r="M882" s="27" t="s">
        <v>1965</v>
      </c>
      <c r="N882" s="27" t="str">
        <f t="shared" ref="N882:N945" si="70">N881</f>
        <v>http://hdl.handle.net/2027/uc1.b3014083?urlappend=%3Bseq=105</v>
      </c>
      <c r="O882" s="27" t="str">
        <f t="shared" ref="O882:O945" si="71">O881</f>
        <v>http://hdl.handle.net/2027/uc1.b3014083?urlappend=%3Bseq=126</v>
      </c>
      <c r="P882" s="27" t="str">
        <f t="shared" ref="P882:P945" si="72">P881</f>
        <v>http://hdl.handle.net/2027/uc1.b3014083?urlappend=%3Bseq=68</v>
      </c>
      <c r="Q882" s="27" t="str">
        <f t="shared" si="69"/>
        <v>https://babel.hathitrust.org/cgi/pt?id=uc1.b3014083;view=1up;seq=211</v>
      </c>
      <c r="R882" s="27" t="str">
        <f t="shared" ref="R882:R945" si="73">R881</f>
        <v>http://hdl.handle.net/2027/uc1.b3014083?urlappend=%3Bseq=212</v>
      </c>
      <c r="S882" s="27" t="str">
        <f t="shared" ref="S882:S945" si="74">S881</f>
        <v>http://hdl.handle.net/2027/uc1.b3014083?urlappend=%3Bseq=153</v>
      </c>
      <c r="T882" s="27" t="str">
        <f t="shared" ref="T882:T945" si="75">T881</f>
        <v>http://hdl.handle.net/2027/uc1.b3014083?urlappend=%3Bseq=174</v>
      </c>
    </row>
    <row r="883" spans="1:20" x14ac:dyDescent="0.25">
      <c r="A883" s="27" t="s">
        <v>1456</v>
      </c>
      <c r="B883" s="27" t="str">
        <f t="shared" si="67"/>
        <v>Texas</v>
      </c>
      <c r="C883" s="27" t="str">
        <f t="shared" si="68"/>
        <v>Gregg</v>
      </c>
      <c r="D883" s="27">
        <v>133995</v>
      </c>
      <c r="E883" s="27">
        <v>44</v>
      </c>
      <c r="F883" s="26">
        <f>'TX pre'!G79</f>
        <v>104.5</v>
      </c>
      <c r="G883" s="10">
        <v>2348</v>
      </c>
      <c r="H883" s="28">
        <f>'TX pre'!J79</f>
        <v>48.509569377990438</v>
      </c>
      <c r="I883" s="2">
        <v>12180</v>
      </c>
      <c r="J883" s="27">
        <v>39</v>
      </c>
      <c r="K883" s="2">
        <v>14240</v>
      </c>
      <c r="L883" s="27">
        <v>1905</v>
      </c>
      <c r="M883" s="27" t="s">
        <v>1965</v>
      </c>
      <c r="N883" s="27" t="str">
        <f t="shared" si="70"/>
        <v>http://hdl.handle.net/2027/uc1.b3014083?urlappend=%3Bseq=105</v>
      </c>
      <c r="O883" s="27" t="str">
        <f t="shared" si="71"/>
        <v>http://hdl.handle.net/2027/uc1.b3014083?urlappend=%3Bseq=126</v>
      </c>
      <c r="P883" s="27" t="str">
        <f t="shared" si="72"/>
        <v>http://hdl.handle.net/2027/uc1.b3014083?urlappend=%3Bseq=68</v>
      </c>
      <c r="Q883" s="27" t="str">
        <f t="shared" si="69"/>
        <v>https://babel.hathitrust.org/cgi/pt?id=uc1.b3014083;view=1up;seq=211</v>
      </c>
      <c r="R883" s="27" t="str">
        <f t="shared" si="73"/>
        <v>http://hdl.handle.net/2027/uc1.b3014083?urlappend=%3Bseq=212</v>
      </c>
      <c r="S883" s="27" t="str">
        <f t="shared" si="74"/>
        <v>http://hdl.handle.net/2027/uc1.b3014083?urlappend=%3Bseq=153</v>
      </c>
      <c r="T883" s="27" t="str">
        <f t="shared" si="75"/>
        <v>http://hdl.handle.net/2027/uc1.b3014083?urlappend=%3Bseq=174</v>
      </c>
    </row>
    <row r="884" spans="1:20" x14ac:dyDescent="0.25">
      <c r="A884" s="27" t="s">
        <v>1457</v>
      </c>
      <c r="B884" s="27" t="str">
        <f t="shared" si="67"/>
        <v>Texas</v>
      </c>
      <c r="C884" s="27" t="str">
        <f t="shared" si="68"/>
        <v>Grimes</v>
      </c>
      <c r="D884" s="27">
        <v>292269</v>
      </c>
      <c r="E884" s="27">
        <v>96</v>
      </c>
      <c r="F884" s="26">
        <f>'TX pre'!G80</f>
        <v>104.89583333333333</v>
      </c>
      <c r="G884" s="10">
        <v>4271</v>
      </c>
      <c r="H884" s="28">
        <f>'TX pre'!J80</f>
        <v>46.596842105263164</v>
      </c>
      <c r="I884" s="2">
        <v>23961</v>
      </c>
      <c r="J884" s="27">
        <v>88</v>
      </c>
      <c r="K884" s="2">
        <v>10760</v>
      </c>
      <c r="L884" s="27">
        <v>1905</v>
      </c>
      <c r="M884" s="27" t="s">
        <v>1965</v>
      </c>
      <c r="N884" s="27" t="str">
        <f t="shared" si="70"/>
        <v>http://hdl.handle.net/2027/uc1.b3014083?urlappend=%3Bseq=105</v>
      </c>
      <c r="O884" s="27" t="str">
        <f t="shared" si="71"/>
        <v>http://hdl.handle.net/2027/uc1.b3014083?urlappend=%3Bseq=126</v>
      </c>
      <c r="P884" s="27" t="str">
        <f t="shared" si="72"/>
        <v>http://hdl.handle.net/2027/uc1.b3014083?urlappend=%3Bseq=68</v>
      </c>
      <c r="Q884" s="27" t="str">
        <f t="shared" si="69"/>
        <v>https://babel.hathitrust.org/cgi/pt?id=uc1.b3014083;view=1up;seq=211</v>
      </c>
      <c r="R884" s="27" t="str">
        <f t="shared" si="73"/>
        <v>http://hdl.handle.net/2027/uc1.b3014083?urlappend=%3Bseq=212</v>
      </c>
      <c r="S884" s="27" t="str">
        <f t="shared" si="74"/>
        <v>http://hdl.handle.net/2027/uc1.b3014083?urlappend=%3Bseq=153</v>
      </c>
      <c r="T884" s="27" t="str">
        <f t="shared" si="75"/>
        <v>http://hdl.handle.net/2027/uc1.b3014083?urlappend=%3Bseq=174</v>
      </c>
    </row>
    <row r="885" spans="1:20" x14ac:dyDescent="0.25">
      <c r="A885" s="27" t="s">
        <v>1764</v>
      </c>
      <c r="B885" s="27" t="str">
        <f t="shared" si="67"/>
        <v>Texas</v>
      </c>
      <c r="C885" s="27" t="str">
        <f t="shared" si="68"/>
        <v>Guadalupe</v>
      </c>
      <c r="D885" s="27">
        <v>245492</v>
      </c>
      <c r="E885" s="27">
        <v>84</v>
      </c>
      <c r="F885" s="26">
        <f>'TX pre'!G81</f>
        <v>126.73809523809524</v>
      </c>
      <c r="G885" s="10">
        <v>3063</v>
      </c>
      <c r="H885" s="28">
        <f>'TX pre'!J81</f>
        <v>42.714728536539546</v>
      </c>
      <c r="I885" s="2">
        <v>24012</v>
      </c>
      <c r="J885" s="27">
        <v>79</v>
      </c>
      <c r="K885" s="2">
        <v>35232</v>
      </c>
      <c r="L885" s="27">
        <v>1905</v>
      </c>
      <c r="M885" s="27" t="s">
        <v>1965</v>
      </c>
      <c r="N885" s="27" t="str">
        <f t="shared" si="70"/>
        <v>http://hdl.handle.net/2027/uc1.b3014083?urlappend=%3Bseq=105</v>
      </c>
      <c r="O885" s="27" t="str">
        <f t="shared" si="71"/>
        <v>http://hdl.handle.net/2027/uc1.b3014083?urlappend=%3Bseq=126</v>
      </c>
      <c r="P885" s="27" t="str">
        <f t="shared" si="72"/>
        <v>http://hdl.handle.net/2027/uc1.b3014083?urlappend=%3Bseq=68</v>
      </c>
      <c r="Q885" s="27" t="str">
        <f t="shared" si="69"/>
        <v>https://babel.hathitrust.org/cgi/pt?id=uc1.b3014083;view=1up;seq=211</v>
      </c>
      <c r="R885" s="27" t="str">
        <f t="shared" si="73"/>
        <v>http://hdl.handle.net/2027/uc1.b3014083?urlappend=%3Bseq=212</v>
      </c>
      <c r="S885" s="27" t="str">
        <f t="shared" si="74"/>
        <v>http://hdl.handle.net/2027/uc1.b3014083?urlappend=%3Bseq=153</v>
      </c>
      <c r="T885" s="27" t="str">
        <f t="shared" si="75"/>
        <v>http://hdl.handle.net/2027/uc1.b3014083?urlappend=%3Bseq=174</v>
      </c>
    </row>
    <row r="886" spans="1:20" x14ac:dyDescent="0.25">
      <c r="A886" s="27" t="s">
        <v>1458</v>
      </c>
      <c r="B886" s="27" t="str">
        <f t="shared" si="67"/>
        <v>Texas</v>
      </c>
      <c r="C886" s="27" t="str">
        <f t="shared" si="68"/>
        <v>Hale</v>
      </c>
      <c r="D886" s="27">
        <v>50361</v>
      </c>
      <c r="E886" s="27">
        <v>17</v>
      </c>
      <c r="F886" s="26">
        <f>'TX pre'!G82</f>
        <v>115</v>
      </c>
      <c r="G886" s="10">
        <v>586</v>
      </c>
      <c r="H886" s="28">
        <f>'TX pre'!J82</f>
        <v>43.424552429667521</v>
      </c>
      <c r="I886" s="2">
        <v>5001</v>
      </c>
      <c r="J886" s="27">
        <v>6</v>
      </c>
      <c r="K886" s="27"/>
      <c r="L886" s="27">
        <v>1905</v>
      </c>
      <c r="M886" s="27" t="s">
        <v>1965</v>
      </c>
      <c r="N886" s="27" t="str">
        <f t="shared" si="70"/>
        <v>http://hdl.handle.net/2027/uc1.b3014083?urlappend=%3Bseq=105</v>
      </c>
      <c r="O886" s="27" t="str">
        <f t="shared" si="71"/>
        <v>http://hdl.handle.net/2027/uc1.b3014083?urlappend=%3Bseq=126</v>
      </c>
      <c r="P886" s="27" t="str">
        <f t="shared" si="72"/>
        <v>http://hdl.handle.net/2027/uc1.b3014083?urlappend=%3Bseq=68</v>
      </c>
      <c r="Q886" s="27" t="str">
        <f t="shared" si="69"/>
        <v>https://babel.hathitrust.org/cgi/pt?id=uc1.b3014083;view=1up;seq=211</v>
      </c>
      <c r="R886" s="27" t="str">
        <f t="shared" si="73"/>
        <v>http://hdl.handle.net/2027/uc1.b3014083?urlappend=%3Bseq=212</v>
      </c>
      <c r="S886" s="27" t="str">
        <f t="shared" si="74"/>
        <v>http://hdl.handle.net/2027/uc1.b3014083?urlappend=%3Bseq=153</v>
      </c>
      <c r="T886" s="27" t="str">
        <f t="shared" si="75"/>
        <v>http://hdl.handle.net/2027/uc1.b3014083?urlappend=%3Bseq=174</v>
      </c>
    </row>
    <row r="887" spans="1:20" x14ac:dyDescent="0.25">
      <c r="A887" s="27" t="s">
        <v>1459</v>
      </c>
      <c r="B887" s="27" t="str">
        <f t="shared" si="67"/>
        <v>Texas</v>
      </c>
      <c r="C887" s="27" t="str">
        <f t="shared" si="68"/>
        <v>Hall</v>
      </c>
      <c r="D887" s="27">
        <v>35028</v>
      </c>
      <c r="E887" s="27">
        <v>15</v>
      </c>
      <c r="F887" s="26">
        <f>'TX pre'!G83</f>
        <v>109.6</v>
      </c>
      <c r="G887" s="10">
        <v>460</v>
      </c>
      <c r="H887" s="28">
        <f>'TX pre'!J83</f>
        <v>50.091849148418497</v>
      </c>
      <c r="I887" s="2">
        <v>4864</v>
      </c>
      <c r="J887" s="27">
        <v>14</v>
      </c>
      <c r="K887" s="2">
        <v>3900</v>
      </c>
      <c r="L887" s="27">
        <v>1905</v>
      </c>
      <c r="M887" s="27" t="s">
        <v>1965</v>
      </c>
      <c r="N887" s="27" t="str">
        <f t="shared" si="70"/>
        <v>http://hdl.handle.net/2027/uc1.b3014083?urlappend=%3Bseq=105</v>
      </c>
      <c r="O887" s="27" t="str">
        <f t="shared" si="71"/>
        <v>http://hdl.handle.net/2027/uc1.b3014083?urlappend=%3Bseq=126</v>
      </c>
      <c r="P887" s="27" t="str">
        <f t="shared" si="72"/>
        <v>http://hdl.handle.net/2027/uc1.b3014083?urlappend=%3Bseq=68</v>
      </c>
      <c r="Q887" s="27" t="str">
        <f t="shared" si="69"/>
        <v>https://babel.hathitrust.org/cgi/pt?id=uc1.b3014083;view=1up;seq=211</v>
      </c>
      <c r="R887" s="27" t="str">
        <f t="shared" si="73"/>
        <v>http://hdl.handle.net/2027/uc1.b3014083?urlappend=%3Bseq=212</v>
      </c>
      <c r="S887" s="27" t="str">
        <f t="shared" si="74"/>
        <v>http://hdl.handle.net/2027/uc1.b3014083?urlappend=%3Bseq=153</v>
      </c>
      <c r="T887" s="27" t="str">
        <f t="shared" si="75"/>
        <v>http://hdl.handle.net/2027/uc1.b3014083?urlappend=%3Bseq=174</v>
      </c>
    </row>
    <row r="888" spans="1:20" x14ac:dyDescent="0.25">
      <c r="A888" s="27" t="s">
        <v>1460</v>
      </c>
      <c r="B888" s="27" t="str">
        <f t="shared" si="67"/>
        <v>Texas</v>
      </c>
      <c r="C888" s="27" t="str">
        <f t="shared" si="68"/>
        <v>Hamilton</v>
      </c>
      <c r="D888" s="27">
        <v>165940</v>
      </c>
      <c r="E888" s="27">
        <v>59</v>
      </c>
      <c r="F888" s="26">
        <f>'TX pre'!G84</f>
        <v>93.542372881355931</v>
      </c>
      <c r="G888" s="10">
        <v>2857</v>
      </c>
      <c r="H888" s="28">
        <f>'TX pre'!J84</f>
        <v>46.652328320347884</v>
      </c>
      <c r="I888" s="2">
        <v>13589</v>
      </c>
      <c r="J888" s="27">
        <v>55</v>
      </c>
      <c r="K888" s="2">
        <v>16808</v>
      </c>
      <c r="L888" s="27">
        <v>1905</v>
      </c>
      <c r="M888" s="27" t="s">
        <v>1965</v>
      </c>
      <c r="N888" s="27" t="str">
        <f t="shared" si="70"/>
        <v>http://hdl.handle.net/2027/uc1.b3014083?urlappend=%3Bseq=105</v>
      </c>
      <c r="O888" s="27" t="str">
        <f t="shared" si="71"/>
        <v>http://hdl.handle.net/2027/uc1.b3014083?urlappend=%3Bseq=126</v>
      </c>
      <c r="P888" s="27" t="str">
        <f t="shared" si="72"/>
        <v>http://hdl.handle.net/2027/uc1.b3014083?urlappend=%3Bseq=68</v>
      </c>
      <c r="Q888" s="27" t="str">
        <f t="shared" si="69"/>
        <v>https://babel.hathitrust.org/cgi/pt?id=uc1.b3014083;view=1up;seq=211</v>
      </c>
      <c r="R888" s="27" t="str">
        <f t="shared" si="73"/>
        <v>http://hdl.handle.net/2027/uc1.b3014083?urlappend=%3Bseq=212</v>
      </c>
      <c r="S888" s="27" t="str">
        <f t="shared" si="74"/>
        <v>http://hdl.handle.net/2027/uc1.b3014083?urlappend=%3Bseq=153</v>
      </c>
      <c r="T888" s="27" t="str">
        <f t="shared" si="75"/>
        <v>http://hdl.handle.net/2027/uc1.b3014083?urlappend=%3Bseq=174</v>
      </c>
    </row>
    <row r="889" spans="1:20" x14ac:dyDescent="0.25">
      <c r="A889" s="27" t="s">
        <v>1461</v>
      </c>
      <c r="B889" s="27" t="str">
        <f t="shared" si="67"/>
        <v>Texas</v>
      </c>
      <c r="C889" s="27" t="str">
        <f t="shared" si="68"/>
        <v>Hansford</v>
      </c>
      <c r="D889" s="27">
        <v>11459</v>
      </c>
      <c r="E889" s="27">
        <v>10</v>
      </c>
      <c r="F889" s="26">
        <f>'TX pre'!G85</f>
        <v>109.1</v>
      </c>
      <c r="G889" s="10">
        <v>174</v>
      </c>
      <c r="H889" s="28">
        <f>'TX pre'!J85</f>
        <v>37.066911090742437</v>
      </c>
      <c r="I889" s="2">
        <v>2593</v>
      </c>
      <c r="J889" s="27">
        <v>11</v>
      </c>
      <c r="K889" s="2">
        <v>660</v>
      </c>
      <c r="L889" s="27">
        <v>1905</v>
      </c>
      <c r="M889" s="27" t="s">
        <v>1965</v>
      </c>
      <c r="N889" s="27" t="str">
        <f t="shared" si="70"/>
        <v>http://hdl.handle.net/2027/uc1.b3014083?urlappend=%3Bseq=105</v>
      </c>
      <c r="O889" s="27" t="str">
        <f t="shared" si="71"/>
        <v>http://hdl.handle.net/2027/uc1.b3014083?urlappend=%3Bseq=126</v>
      </c>
      <c r="P889" s="27" t="str">
        <f t="shared" si="72"/>
        <v>http://hdl.handle.net/2027/uc1.b3014083?urlappend=%3Bseq=68</v>
      </c>
      <c r="Q889" s="27" t="str">
        <f t="shared" si="69"/>
        <v>https://babel.hathitrust.org/cgi/pt?id=uc1.b3014083;view=1up;seq=211</v>
      </c>
      <c r="R889" s="27" t="str">
        <f t="shared" si="73"/>
        <v>http://hdl.handle.net/2027/uc1.b3014083?urlappend=%3Bseq=212</v>
      </c>
      <c r="S889" s="27" t="str">
        <f t="shared" si="74"/>
        <v>http://hdl.handle.net/2027/uc1.b3014083?urlappend=%3Bseq=153</v>
      </c>
      <c r="T889" s="27" t="str">
        <f t="shared" si="75"/>
        <v>http://hdl.handle.net/2027/uc1.b3014083?urlappend=%3Bseq=174</v>
      </c>
    </row>
    <row r="890" spans="1:20" x14ac:dyDescent="0.25">
      <c r="A890" s="27" t="s">
        <v>1462</v>
      </c>
      <c r="B890" s="27" t="str">
        <f t="shared" si="67"/>
        <v>Texas</v>
      </c>
      <c r="C890" s="27" t="str">
        <f t="shared" si="68"/>
        <v>Hardeman</v>
      </c>
      <c r="D890" s="27">
        <v>35111</v>
      </c>
      <c r="E890" s="27">
        <v>15</v>
      </c>
      <c r="F890" s="26">
        <f>'TX pre'!G86</f>
        <v>116.8</v>
      </c>
      <c r="G890" s="10">
        <v>547</v>
      </c>
      <c r="H890" s="28">
        <f>'TX pre'!J86</f>
        <v>54.426369863013704</v>
      </c>
      <c r="I890" s="2">
        <v>5992</v>
      </c>
      <c r="J890" s="27">
        <v>13</v>
      </c>
      <c r="K890" s="2">
        <v>3968</v>
      </c>
      <c r="L890" s="27">
        <v>1905</v>
      </c>
      <c r="M890" s="27" t="s">
        <v>1965</v>
      </c>
      <c r="N890" s="27" t="str">
        <f t="shared" si="70"/>
        <v>http://hdl.handle.net/2027/uc1.b3014083?urlappend=%3Bseq=105</v>
      </c>
      <c r="O890" s="27" t="str">
        <f t="shared" si="71"/>
        <v>http://hdl.handle.net/2027/uc1.b3014083?urlappend=%3Bseq=126</v>
      </c>
      <c r="P890" s="27" t="str">
        <f t="shared" si="72"/>
        <v>http://hdl.handle.net/2027/uc1.b3014083?urlappend=%3Bseq=68</v>
      </c>
      <c r="Q890" s="27" t="str">
        <f t="shared" si="69"/>
        <v>https://babel.hathitrust.org/cgi/pt?id=uc1.b3014083;view=1up;seq=211</v>
      </c>
      <c r="R890" s="27" t="str">
        <f t="shared" si="73"/>
        <v>http://hdl.handle.net/2027/uc1.b3014083?urlappend=%3Bseq=212</v>
      </c>
      <c r="S890" s="27" t="str">
        <f t="shared" si="74"/>
        <v>http://hdl.handle.net/2027/uc1.b3014083?urlappend=%3Bseq=153</v>
      </c>
      <c r="T890" s="27" t="str">
        <f t="shared" si="75"/>
        <v>http://hdl.handle.net/2027/uc1.b3014083?urlappend=%3Bseq=174</v>
      </c>
    </row>
    <row r="891" spans="1:20" x14ac:dyDescent="0.25">
      <c r="A891" s="27" t="s">
        <v>1463</v>
      </c>
      <c r="B891" s="27" t="str">
        <f t="shared" si="67"/>
        <v>Texas</v>
      </c>
      <c r="C891" s="27" t="str">
        <f t="shared" si="68"/>
        <v>Hardin</v>
      </c>
      <c r="D891" s="27">
        <v>125063</v>
      </c>
      <c r="E891" s="27">
        <v>39</v>
      </c>
      <c r="F891" s="26">
        <f>'TX pre'!G87</f>
        <v>110</v>
      </c>
      <c r="G891" s="10">
        <v>1980</v>
      </c>
      <c r="H891" s="28">
        <f>'TX pre'!J87</f>
        <v>55.341165501165506</v>
      </c>
      <c r="I891" s="2">
        <v>15609</v>
      </c>
      <c r="J891" s="27">
        <v>10</v>
      </c>
      <c r="K891" s="2">
        <v>11716</v>
      </c>
      <c r="L891" s="27">
        <v>1905</v>
      </c>
      <c r="M891" s="27" t="s">
        <v>1965</v>
      </c>
      <c r="N891" s="27" t="str">
        <f t="shared" si="70"/>
        <v>http://hdl.handle.net/2027/uc1.b3014083?urlappend=%3Bseq=105</v>
      </c>
      <c r="O891" s="27" t="str">
        <f t="shared" si="71"/>
        <v>http://hdl.handle.net/2027/uc1.b3014083?urlappend=%3Bseq=126</v>
      </c>
      <c r="P891" s="27" t="str">
        <f t="shared" si="72"/>
        <v>http://hdl.handle.net/2027/uc1.b3014083?urlappend=%3Bseq=68</v>
      </c>
      <c r="Q891" s="27" t="str">
        <f t="shared" si="69"/>
        <v>https://babel.hathitrust.org/cgi/pt?id=uc1.b3014083;view=1up;seq=211</v>
      </c>
      <c r="R891" s="27" t="str">
        <f t="shared" si="73"/>
        <v>http://hdl.handle.net/2027/uc1.b3014083?urlappend=%3Bseq=212</v>
      </c>
      <c r="S891" s="27" t="str">
        <f t="shared" si="74"/>
        <v>http://hdl.handle.net/2027/uc1.b3014083?urlappend=%3Bseq=153</v>
      </c>
      <c r="T891" s="27" t="str">
        <f t="shared" si="75"/>
        <v>http://hdl.handle.net/2027/uc1.b3014083?urlappend=%3Bseq=174</v>
      </c>
    </row>
    <row r="892" spans="1:20" x14ac:dyDescent="0.25">
      <c r="A892" s="27" t="s">
        <v>1464</v>
      </c>
      <c r="B892" s="27" t="str">
        <f t="shared" si="67"/>
        <v>Texas</v>
      </c>
      <c r="C892" s="27" t="str">
        <f t="shared" si="68"/>
        <v>Harris</v>
      </c>
      <c r="D892" s="27">
        <v>242673</v>
      </c>
      <c r="E892" s="27">
        <v>104</v>
      </c>
      <c r="F892" s="26">
        <f>'TX pre'!G88</f>
        <v>108.43269230769231</v>
      </c>
      <c r="G892" s="10">
        <v>3395</v>
      </c>
      <c r="H892" s="28">
        <f>'TX pre'!J88</f>
        <v>42.965416334131412</v>
      </c>
      <c r="I892" s="2">
        <v>33034</v>
      </c>
      <c r="J892" s="27">
        <v>102</v>
      </c>
      <c r="K892" s="2">
        <v>39850</v>
      </c>
      <c r="L892" s="27">
        <v>1905</v>
      </c>
      <c r="M892" s="27" t="s">
        <v>1965</v>
      </c>
      <c r="N892" s="27" t="str">
        <f t="shared" si="70"/>
        <v>http://hdl.handle.net/2027/uc1.b3014083?urlappend=%3Bseq=105</v>
      </c>
      <c r="O892" s="27" t="str">
        <f t="shared" si="71"/>
        <v>http://hdl.handle.net/2027/uc1.b3014083?urlappend=%3Bseq=126</v>
      </c>
      <c r="P892" s="27" t="str">
        <f t="shared" si="72"/>
        <v>http://hdl.handle.net/2027/uc1.b3014083?urlappend=%3Bseq=68</v>
      </c>
      <c r="Q892" s="27" t="str">
        <f t="shared" si="69"/>
        <v>https://babel.hathitrust.org/cgi/pt?id=uc1.b3014083;view=1up;seq=211</v>
      </c>
      <c r="R892" s="27" t="str">
        <f t="shared" si="73"/>
        <v>http://hdl.handle.net/2027/uc1.b3014083?urlappend=%3Bseq=212</v>
      </c>
      <c r="S892" s="27" t="str">
        <f t="shared" si="74"/>
        <v>http://hdl.handle.net/2027/uc1.b3014083?urlappend=%3Bseq=153</v>
      </c>
      <c r="T892" s="27" t="str">
        <f t="shared" si="75"/>
        <v>http://hdl.handle.net/2027/uc1.b3014083?urlappend=%3Bseq=174</v>
      </c>
    </row>
    <row r="893" spans="1:20" x14ac:dyDescent="0.25">
      <c r="A893" s="27" t="s">
        <v>1465</v>
      </c>
      <c r="B893" s="27" t="str">
        <f t="shared" si="67"/>
        <v>Texas</v>
      </c>
      <c r="C893" s="27" t="str">
        <f t="shared" si="68"/>
        <v>Harrison</v>
      </c>
      <c r="D893" s="27">
        <v>401709</v>
      </c>
      <c r="E893" s="27">
        <v>120</v>
      </c>
      <c r="F893" s="26">
        <f>'TX pre'!G89</f>
        <v>130.15833333333333</v>
      </c>
      <c r="G893" s="10">
        <v>5770</v>
      </c>
      <c r="H893" s="28">
        <f>'TX pre'!J89</f>
        <v>47.291926499775911</v>
      </c>
      <c r="I893" s="2">
        <v>40251</v>
      </c>
      <c r="J893" s="27">
        <v>123</v>
      </c>
      <c r="K893" s="2">
        <v>27816</v>
      </c>
      <c r="L893" s="27">
        <v>1905</v>
      </c>
      <c r="M893" s="27" t="s">
        <v>1965</v>
      </c>
      <c r="N893" s="27" t="str">
        <f t="shared" si="70"/>
        <v>http://hdl.handle.net/2027/uc1.b3014083?urlappend=%3Bseq=105</v>
      </c>
      <c r="O893" s="27" t="str">
        <f t="shared" si="71"/>
        <v>http://hdl.handle.net/2027/uc1.b3014083?urlappend=%3Bseq=126</v>
      </c>
      <c r="P893" s="27" t="str">
        <f t="shared" si="72"/>
        <v>http://hdl.handle.net/2027/uc1.b3014083?urlappend=%3Bseq=68</v>
      </c>
      <c r="Q893" s="27" t="str">
        <f t="shared" si="69"/>
        <v>https://babel.hathitrust.org/cgi/pt?id=uc1.b3014083;view=1up;seq=211</v>
      </c>
      <c r="R893" s="27" t="str">
        <f t="shared" si="73"/>
        <v>http://hdl.handle.net/2027/uc1.b3014083?urlappend=%3Bseq=212</v>
      </c>
      <c r="S893" s="27" t="str">
        <f t="shared" si="74"/>
        <v>http://hdl.handle.net/2027/uc1.b3014083?urlappend=%3Bseq=153</v>
      </c>
      <c r="T893" s="27" t="str">
        <f t="shared" si="75"/>
        <v>http://hdl.handle.net/2027/uc1.b3014083?urlappend=%3Bseq=174</v>
      </c>
    </row>
    <row r="894" spans="1:20" x14ac:dyDescent="0.25">
      <c r="A894" s="27" t="s">
        <v>1466</v>
      </c>
      <c r="B894" s="27" t="str">
        <f t="shared" si="67"/>
        <v>Texas</v>
      </c>
      <c r="C894" s="27" t="str">
        <f t="shared" si="68"/>
        <v>Hartley</v>
      </c>
      <c r="D894" s="27">
        <v>5139</v>
      </c>
      <c r="E894" s="27">
        <v>3</v>
      </c>
      <c r="F894" s="26">
        <f>'TX pre'!G90</f>
        <v>143.33333333333334</v>
      </c>
      <c r="G894" s="10">
        <v>54</v>
      </c>
      <c r="H894" s="28">
        <f>'TX pre'!J90</f>
        <v>53.953488372093027</v>
      </c>
      <c r="I894" s="2">
        <v>1257</v>
      </c>
      <c r="J894" s="27">
        <v>3</v>
      </c>
      <c r="K894" s="2">
        <v>3460</v>
      </c>
      <c r="L894" s="27">
        <v>1905</v>
      </c>
      <c r="M894" s="27" t="s">
        <v>1965</v>
      </c>
      <c r="N894" s="27" t="str">
        <f t="shared" si="70"/>
        <v>http://hdl.handle.net/2027/uc1.b3014083?urlappend=%3Bseq=105</v>
      </c>
      <c r="O894" s="27" t="str">
        <f t="shared" si="71"/>
        <v>http://hdl.handle.net/2027/uc1.b3014083?urlappend=%3Bseq=126</v>
      </c>
      <c r="P894" s="27" t="str">
        <f t="shared" si="72"/>
        <v>http://hdl.handle.net/2027/uc1.b3014083?urlappend=%3Bseq=68</v>
      </c>
      <c r="Q894" s="27" t="str">
        <f t="shared" si="69"/>
        <v>https://babel.hathitrust.org/cgi/pt?id=uc1.b3014083;view=1up;seq=211</v>
      </c>
      <c r="R894" s="27" t="str">
        <f t="shared" si="73"/>
        <v>http://hdl.handle.net/2027/uc1.b3014083?urlappend=%3Bseq=212</v>
      </c>
      <c r="S894" s="27" t="str">
        <f t="shared" si="74"/>
        <v>http://hdl.handle.net/2027/uc1.b3014083?urlappend=%3Bseq=153</v>
      </c>
      <c r="T894" s="27" t="str">
        <f t="shared" si="75"/>
        <v>http://hdl.handle.net/2027/uc1.b3014083?urlappend=%3Bseq=174</v>
      </c>
    </row>
    <row r="895" spans="1:20" x14ac:dyDescent="0.25">
      <c r="A895" s="27" t="s">
        <v>1467</v>
      </c>
      <c r="B895" s="27" t="str">
        <f t="shared" si="67"/>
        <v>Texas</v>
      </c>
      <c r="C895" s="27" t="str">
        <f t="shared" si="68"/>
        <v>Haskell</v>
      </c>
      <c r="D895" s="27">
        <v>78418</v>
      </c>
      <c r="E895" s="27">
        <v>33</v>
      </c>
      <c r="F895" s="26">
        <f>'TX pre'!G91</f>
        <v>86.909090909090907</v>
      </c>
      <c r="G895" s="10">
        <v>1328</v>
      </c>
      <c r="H895" s="28">
        <f>'TX pre'!J91</f>
        <v>50.2986750348675</v>
      </c>
      <c r="I895" s="2">
        <v>13081</v>
      </c>
      <c r="J895" s="27">
        <v>29</v>
      </c>
      <c r="K895" s="2">
        <v>10865</v>
      </c>
      <c r="L895" s="27">
        <v>1905</v>
      </c>
      <c r="M895" s="27" t="s">
        <v>1965</v>
      </c>
      <c r="N895" s="27" t="str">
        <f t="shared" si="70"/>
        <v>http://hdl.handle.net/2027/uc1.b3014083?urlappend=%3Bseq=105</v>
      </c>
      <c r="O895" s="27" t="str">
        <f t="shared" si="71"/>
        <v>http://hdl.handle.net/2027/uc1.b3014083?urlappend=%3Bseq=126</v>
      </c>
      <c r="P895" s="27" t="str">
        <f t="shared" si="72"/>
        <v>http://hdl.handle.net/2027/uc1.b3014083?urlappend=%3Bseq=68</v>
      </c>
      <c r="Q895" s="27" t="str">
        <f t="shared" si="69"/>
        <v>https://babel.hathitrust.org/cgi/pt?id=uc1.b3014083;view=1up;seq=211</v>
      </c>
      <c r="R895" s="27" t="str">
        <f t="shared" si="73"/>
        <v>http://hdl.handle.net/2027/uc1.b3014083?urlappend=%3Bseq=212</v>
      </c>
      <c r="S895" s="27" t="str">
        <f t="shared" si="74"/>
        <v>http://hdl.handle.net/2027/uc1.b3014083?urlappend=%3Bseq=153</v>
      </c>
      <c r="T895" s="27" t="str">
        <f t="shared" si="75"/>
        <v>http://hdl.handle.net/2027/uc1.b3014083?urlappend=%3Bseq=174</v>
      </c>
    </row>
    <row r="896" spans="1:20" x14ac:dyDescent="0.25">
      <c r="A896" s="27" t="s">
        <v>1468</v>
      </c>
      <c r="B896" s="27" t="str">
        <f t="shared" si="67"/>
        <v>Texas</v>
      </c>
      <c r="C896" s="27" t="str">
        <f t="shared" si="68"/>
        <v>Hays</v>
      </c>
      <c r="D896" s="27">
        <v>163785</v>
      </c>
      <c r="E896" s="27">
        <v>64</v>
      </c>
      <c r="F896" s="26">
        <f>'TX pre'!G92</f>
        <v>99.859375</v>
      </c>
      <c r="G896" s="10">
        <v>2187</v>
      </c>
      <c r="H896" s="28">
        <f>'TX pre'!J92</f>
        <v>47.438272570802688</v>
      </c>
      <c r="I896" s="2">
        <v>16155</v>
      </c>
      <c r="J896" s="27">
        <v>55</v>
      </c>
      <c r="K896" s="2">
        <v>34455</v>
      </c>
      <c r="L896" s="27">
        <v>1905</v>
      </c>
      <c r="M896" s="27" t="s">
        <v>1965</v>
      </c>
      <c r="N896" s="27" t="str">
        <f t="shared" si="70"/>
        <v>http://hdl.handle.net/2027/uc1.b3014083?urlappend=%3Bseq=105</v>
      </c>
      <c r="O896" s="27" t="str">
        <f t="shared" si="71"/>
        <v>http://hdl.handle.net/2027/uc1.b3014083?urlappend=%3Bseq=126</v>
      </c>
      <c r="P896" s="27" t="str">
        <f t="shared" si="72"/>
        <v>http://hdl.handle.net/2027/uc1.b3014083?urlappend=%3Bseq=68</v>
      </c>
      <c r="Q896" s="27" t="str">
        <f t="shared" si="69"/>
        <v>https://babel.hathitrust.org/cgi/pt?id=uc1.b3014083;view=1up;seq=211</v>
      </c>
      <c r="R896" s="27" t="str">
        <f t="shared" si="73"/>
        <v>http://hdl.handle.net/2027/uc1.b3014083?urlappend=%3Bseq=212</v>
      </c>
      <c r="S896" s="27" t="str">
        <f t="shared" si="74"/>
        <v>http://hdl.handle.net/2027/uc1.b3014083?urlappend=%3Bseq=153</v>
      </c>
      <c r="T896" s="27" t="str">
        <f t="shared" si="75"/>
        <v>http://hdl.handle.net/2027/uc1.b3014083?urlappend=%3Bseq=174</v>
      </c>
    </row>
    <row r="897" spans="1:20" x14ac:dyDescent="0.25">
      <c r="A897" s="27" t="s">
        <v>1469</v>
      </c>
      <c r="B897" s="27" t="str">
        <f t="shared" si="67"/>
        <v>Texas</v>
      </c>
      <c r="C897" s="27" t="str">
        <f t="shared" si="68"/>
        <v>Hemphill</v>
      </c>
      <c r="D897" s="27">
        <v>22092</v>
      </c>
      <c r="E897" s="27">
        <v>8</v>
      </c>
      <c r="F897" s="26">
        <f>'TX pre'!G93</f>
        <v>151.75</v>
      </c>
      <c r="G897" s="10">
        <v>246</v>
      </c>
      <c r="H897" s="28">
        <f>'TX pre'!J93</f>
        <v>52.368204283360789</v>
      </c>
      <c r="I897" s="2">
        <v>4398</v>
      </c>
      <c r="J897" s="27">
        <v>5</v>
      </c>
      <c r="K897" s="2">
        <v>2980</v>
      </c>
      <c r="L897" s="27">
        <v>1905</v>
      </c>
      <c r="M897" s="27" t="s">
        <v>1965</v>
      </c>
      <c r="N897" s="27" t="str">
        <f t="shared" si="70"/>
        <v>http://hdl.handle.net/2027/uc1.b3014083?urlappend=%3Bseq=105</v>
      </c>
      <c r="O897" s="27" t="str">
        <f t="shared" si="71"/>
        <v>http://hdl.handle.net/2027/uc1.b3014083?urlappend=%3Bseq=126</v>
      </c>
      <c r="P897" s="27" t="str">
        <f t="shared" si="72"/>
        <v>http://hdl.handle.net/2027/uc1.b3014083?urlappend=%3Bseq=68</v>
      </c>
      <c r="Q897" s="27" t="str">
        <f t="shared" si="69"/>
        <v>https://babel.hathitrust.org/cgi/pt?id=uc1.b3014083;view=1up;seq=211</v>
      </c>
      <c r="R897" s="27" t="str">
        <f t="shared" si="73"/>
        <v>http://hdl.handle.net/2027/uc1.b3014083?urlappend=%3Bseq=212</v>
      </c>
      <c r="S897" s="27" t="str">
        <f t="shared" si="74"/>
        <v>http://hdl.handle.net/2027/uc1.b3014083?urlappend=%3Bseq=153</v>
      </c>
      <c r="T897" s="27" t="str">
        <f t="shared" si="75"/>
        <v>http://hdl.handle.net/2027/uc1.b3014083?urlappend=%3Bseq=174</v>
      </c>
    </row>
    <row r="898" spans="1:20" x14ac:dyDescent="0.25">
      <c r="A898" s="27" t="s">
        <v>1470</v>
      </c>
      <c r="B898" s="27" t="str">
        <f t="shared" si="67"/>
        <v>Texas</v>
      </c>
      <c r="C898" s="27" t="str">
        <f t="shared" si="68"/>
        <v>Henderson</v>
      </c>
      <c r="D898" s="27">
        <v>229346</v>
      </c>
      <c r="E898" s="27">
        <v>100</v>
      </c>
      <c r="F898" s="26">
        <f>'TX pre'!G94</f>
        <v>94.24</v>
      </c>
      <c r="G898" s="10">
        <v>4704</v>
      </c>
      <c r="H898" s="28">
        <f>'TX pre'!J94</f>
        <v>48.316001697792871</v>
      </c>
      <c r="I898" s="2">
        <v>24458</v>
      </c>
      <c r="J898" s="27">
        <v>91</v>
      </c>
      <c r="K898" s="2">
        <v>25480</v>
      </c>
      <c r="L898" s="27">
        <v>1905</v>
      </c>
      <c r="M898" s="27" t="s">
        <v>1965</v>
      </c>
      <c r="N898" s="27" t="str">
        <f t="shared" si="70"/>
        <v>http://hdl.handle.net/2027/uc1.b3014083?urlappend=%3Bseq=105</v>
      </c>
      <c r="O898" s="27" t="str">
        <f t="shared" si="71"/>
        <v>http://hdl.handle.net/2027/uc1.b3014083?urlappend=%3Bseq=126</v>
      </c>
      <c r="P898" s="27" t="str">
        <f t="shared" si="72"/>
        <v>http://hdl.handle.net/2027/uc1.b3014083?urlappend=%3Bseq=68</v>
      </c>
      <c r="Q898" s="27" t="str">
        <f t="shared" si="69"/>
        <v>https://babel.hathitrust.org/cgi/pt?id=uc1.b3014083;view=1up;seq=211</v>
      </c>
      <c r="R898" s="27" t="str">
        <f t="shared" si="73"/>
        <v>http://hdl.handle.net/2027/uc1.b3014083?urlappend=%3Bseq=212</v>
      </c>
      <c r="S898" s="27" t="str">
        <f t="shared" si="74"/>
        <v>http://hdl.handle.net/2027/uc1.b3014083?urlappend=%3Bseq=153</v>
      </c>
      <c r="T898" s="27" t="str">
        <f t="shared" si="75"/>
        <v>http://hdl.handle.net/2027/uc1.b3014083?urlappend=%3Bseq=174</v>
      </c>
    </row>
    <row r="899" spans="1:20" x14ac:dyDescent="0.25">
      <c r="A899" s="27" t="s">
        <v>1471</v>
      </c>
      <c r="B899" s="27" t="str">
        <f t="shared" si="67"/>
        <v>Texas</v>
      </c>
      <c r="C899" s="27" t="str">
        <f t="shared" si="68"/>
        <v>Hidalgo</v>
      </c>
      <c r="D899" s="27">
        <v>99899</v>
      </c>
      <c r="E899" s="27">
        <v>25</v>
      </c>
      <c r="F899" s="26">
        <f>'TX pre'!G95</f>
        <v>135.19999999999999</v>
      </c>
      <c r="G899" s="10">
        <v>820</v>
      </c>
      <c r="H899" s="28">
        <f>'TX pre'!J95</f>
        <v>62.994082840236686</v>
      </c>
      <c r="I899" s="2">
        <v>13777</v>
      </c>
      <c r="J899" s="27">
        <v>22</v>
      </c>
      <c r="K899" s="2">
        <v>9066</v>
      </c>
      <c r="L899" s="27">
        <v>1905</v>
      </c>
      <c r="M899" s="27" t="s">
        <v>1965</v>
      </c>
      <c r="N899" s="27" t="str">
        <f t="shared" si="70"/>
        <v>http://hdl.handle.net/2027/uc1.b3014083?urlappend=%3Bseq=105</v>
      </c>
      <c r="O899" s="27" t="str">
        <f t="shared" si="71"/>
        <v>http://hdl.handle.net/2027/uc1.b3014083?urlappend=%3Bseq=126</v>
      </c>
      <c r="P899" s="27" t="str">
        <f t="shared" si="72"/>
        <v>http://hdl.handle.net/2027/uc1.b3014083?urlappend=%3Bseq=68</v>
      </c>
      <c r="Q899" s="27" t="str">
        <f t="shared" si="69"/>
        <v>https://babel.hathitrust.org/cgi/pt?id=uc1.b3014083;view=1up;seq=211</v>
      </c>
      <c r="R899" s="27" t="str">
        <f t="shared" si="73"/>
        <v>http://hdl.handle.net/2027/uc1.b3014083?urlappend=%3Bseq=212</v>
      </c>
      <c r="S899" s="27" t="str">
        <f t="shared" si="74"/>
        <v>http://hdl.handle.net/2027/uc1.b3014083?urlappend=%3Bseq=153</v>
      </c>
      <c r="T899" s="27" t="str">
        <f t="shared" si="75"/>
        <v>http://hdl.handle.net/2027/uc1.b3014083?urlappend=%3Bseq=174</v>
      </c>
    </row>
    <row r="900" spans="1:20" x14ac:dyDescent="0.25">
      <c r="A900" s="27" t="s">
        <v>1472</v>
      </c>
      <c r="B900" s="27" t="str">
        <f t="shared" si="67"/>
        <v>Texas</v>
      </c>
      <c r="C900" s="27" t="str">
        <f t="shared" si="68"/>
        <v>Hill</v>
      </c>
      <c r="D900" s="27">
        <v>521650</v>
      </c>
      <c r="E900" s="27">
        <v>168</v>
      </c>
      <c r="F900" s="26">
        <f>'TX pre'!G96</f>
        <v>102.875</v>
      </c>
      <c r="G900" s="10">
        <v>9024</v>
      </c>
      <c r="H900" s="28">
        <f>'TX pre'!J96</f>
        <v>48.43217034079732</v>
      </c>
      <c r="I900" s="2">
        <v>47721</v>
      </c>
      <c r="J900" s="27">
        <v>124</v>
      </c>
      <c r="K900" s="2">
        <v>75695</v>
      </c>
      <c r="L900" s="27">
        <v>1905</v>
      </c>
      <c r="M900" s="27" t="s">
        <v>1965</v>
      </c>
      <c r="N900" s="27" t="str">
        <f t="shared" si="70"/>
        <v>http://hdl.handle.net/2027/uc1.b3014083?urlappend=%3Bseq=105</v>
      </c>
      <c r="O900" s="27" t="str">
        <f t="shared" si="71"/>
        <v>http://hdl.handle.net/2027/uc1.b3014083?urlappend=%3Bseq=126</v>
      </c>
      <c r="P900" s="27" t="str">
        <f t="shared" si="72"/>
        <v>http://hdl.handle.net/2027/uc1.b3014083?urlappend=%3Bseq=68</v>
      </c>
      <c r="Q900" s="27" t="str">
        <f t="shared" si="69"/>
        <v>https://babel.hathitrust.org/cgi/pt?id=uc1.b3014083;view=1up;seq=211</v>
      </c>
      <c r="R900" s="27" t="str">
        <f t="shared" si="73"/>
        <v>http://hdl.handle.net/2027/uc1.b3014083?urlappend=%3Bseq=212</v>
      </c>
      <c r="S900" s="27" t="str">
        <f t="shared" si="74"/>
        <v>http://hdl.handle.net/2027/uc1.b3014083?urlappend=%3Bseq=153</v>
      </c>
      <c r="T900" s="27" t="str">
        <f t="shared" si="75"/>
        <v>http://hdl.handle.net/2027/uc1.b3014083?urlappend=%3Bseq=174</v>
      </c>
    </row>
    <row r="901" spans="1:20" x14ac:dyDescent="0.25">
      <c r="A901" s="27" t="s">
        <v>1473</v>
      </c>
      <c r="B901" s="27" t="str">
        <f t="shared" si="67"/>
        <v>Texas</v>
      </c>
      <c r="C901" s="27" t="str">
        <f t="shared" si="68"/>
        <v>Hockley</v>
      </c>
      <c r="D901" s="27">
        <v>278</v>
      </c>
      <c r="E901" s="27">
        <v>1</v>
      </c>
      <c r="F901" s="26">
        <f>'TX pre'!G97</f>
        <v>26</v>
      </c>
      <c r="G901" s="10">
        <v>12</v>
      </c>
      <c r="H901" s="28">
        <f>'TX pre'!J97</f>
        <v>126.92307692307692</v>
      </c>
      <c r="I901" s="2">
        <v>249</v>
      </c>
      <c r="J901" s="27"/>
      <c r="K901" s="2">
        <v>315</v>
      </c>
      <c r="L901" s="27">
        <v>1905</v>
      </c>
      <c r="M901" s="27" t="s">
        <v>1965</v>
      </c>
      <c r="N901" s="27" t="str">
        <f t="shared" si="70"/>
        <v>http://hdl.handle.net/2027/uc1.b3014083?urlappend=%3Bseq=105</v>
      </c>
      <c r="O901" s="27" t="str">
        <f t="shared" si="71"/>
        <v>http://hdl.handle.net/2027/uc1.b3014083?urlappend=%3Bseq=126</v>
      </c>
      <c r="P901" s="27" t="str">
        <f t="shared" si="72"/>
        <v>http://hdl.handle.net/2027/uc1.b3014083?urlappend=%3Bseq=68</v>
      </c>
      <c r="Q901" s="27" t="str">
        <f t="shared" si="69"/>
        <v>https://babel.hathitrust.org/cgi/pt?id=uc1.b3014083;view=1up;seq=211</v>
      </c>
      <c r="R901" s="27" t="str">
        <f t="shared" si="73"/>
        <v>http://hdl.handle.net/2027/uc1.b3014083?urlappend=%3Bseq=212</v>
      </c>
      <c r="S901" s="27" t="str">
        <f t="shared" si="74"/>
        <v>http://hdl.handle.net/2027/uc1.b3014083?urlappend=%3Bseq=153</v>
      </c>
      <c r="T901" s="27" t="str">
        <f t="shared" si="75"/>
        <v>http://hdl.handle.net/2027/uc1.b3014083?urlappend=%3Bseq=174</v>
      </c>
    </row>
    <row r="902" spans="1:20" x14ac:dyDescent="0.25">
      <c r="A902" s="27" t="s">
        <v>1474</v>
      </c>
      <c r="B902" s="27" t="str">
        <f t="shared" si="67"/>
        <v>Texas</v>
      </c>
      <c r="C902" s="27" t="str">
        <f t="shared" si="68"/>
        <v>Hood</v>
      </c>
      <c r="D902" s="27">
        <v>96198</v>
      </c>
      <c r="E902" s="27">
        <v>40</v>
      </c>
      <c r="F902" s="26">
        <f>'TX pre'!G98</f>
        <v>74.2</v>
      </c>
      <c r="G902" s="10">
        <v>1775</v>
      </c>
      <c r="H902" s="28">
        <f>'TX pre'!J98</f>
        <v>59.995754716981139</v>
      </c>
      <c r="I902" s="2">
        <v>9395</v>
      </c>
      <c r="J902" s="27">
        <v>33</v>
      </c>
      <c r="K902" s="2">
        <v>10360</v>
      </c>
      <c r="L902" s="27">
        <v>1905</v>
      </c>
      <c r="M902" s="27" t="s">
        <v>1965</v>
      </c>
      <c r="N902" s="27" t="str">
        <f t="shared" si="70"/>
        <v>http://hdl.handle.net/2027/uc1.b3014083?urlappend=%3Bseq=105</v>
      </c>
      <c r="O902" s="27" t="str">
        <f t="shared" si="71"/>
        <v>http://hdl.handle.net/2027/uc1.b3014083?urlappend=%3Bseq=126</v>
      </c>
      <c r="P902" s="27" t="str">
        <f t="shared" si="72"/>
        <v>http://hdl.handle.net/2027/uc1.b3014083?urlappend=%3Bseq=68</v>
      </c>
      <c r="Q902" s="27" t="str">
        <f t="shared" si="69"/>
        <v>https://babel.hathitrust.org/cgi/pt?id=uc1.b3014083;view=1up;seq=211</v>
      </c>
      <c r="R902" s="27" t="str">
        <f t="shared" si="73"/>
        <v>http://hdl.handle.net/2027/uc1.b3014083?urlappend=%3Bseq=212</v>
      </c>
      <c r="S902" s="27" t="str">
        <f t="shared" si="74"/>
        <v>http://hdl.handle.net/2027/uc1.b3014083?urlappend=%3Bseq=153</v>
      </c>
      <c r="T902" s="27" t="str">
        <f t="shared" si="75"/>
        <v>http://hdl.handle.net/2027/uc1.b3014083?urlappend=%3Bseq=174</v>
      </c>
    </row>
    <row r="903" spans="1:20" x14ac:dyDescent="0.25">
      <c r="A903" s="27" t="s">
        <v>1475</v>
      </c>
      <c r="B903" s="27" t="str">
        <f t="shared" ref="B903:B966" si="76">LEFT(A903,FIND(";",A903)-1)</f>
        <v>Texas</v>
      </c>
      <c r="C903" s="27" t="str">
        <f t="shared" ref="C903:C966" si="77">MID(A903,FIND(";",A903)+1,100)</f>
        <v>Hopkins</v>
      </c>
      <c r="D903" s="27">
        <v>363398</v>
      </c>
      <c r="E903" s="27">
        <v>136</v>
      </c>
      <c r="F903" s="26">
        <f>'TX pre'!G99</f>
        <v>98.602941176470594</v>
      </c>
      <c r="G903" s="10">
        <v>7568</v>
      </c>
      <c r="H903" s="28">
        <f>'TX pre'!J99</f>
        <v>50.673139448172996</v>
      </c>
      <c r="I903" s="2">
        <v>35550</v>
      </c>
      <c r="J903" s="27">
        <v>111</v>
      </c>
      <c r="K903" s="2">
        <v>36455</v>
      </c>
      <c r="L903" s="27">
        <v>1905</v>
      </c>
      <c r="M903" s="27" t="s">
        <v>1965</v>
      </c>
      <c r="N903" s="27" t="str">
        <f t="shared" si="70"/>
        <v>http://hdl.handle.net/2027/uc1.b3014083?urlappend=%3Bseq=105</v>
      </c>
      <c r="O903" s="27" t="str">
        <f t="shared" si="71"/>
        <v>http://hdl.handle.net/2027/uc1.b3014083?urlappend=%3Bseq=126</v>
      </c>
      <c r="P903" s="27" t="str">
        <f t="shared" si="72"/>
        <v>http://hdl.handle.net/2027/uc1.b3014083?urlappend=%3Bseq=68</v>
      </c>
      <c r="Q903" s="27" t="str">
        <f t="shared" si="69"/>
        <v>https://babel.hathitrust.org/cgi/pt?id=uc1.b3014083;view=1up;seq=211</v>
      </c>
      <c r="R903" s="27" t="str">
        <f t="shared" si="73"/>
        <v>http://hdl.handle.net/2027/uc1.b3014083?urlappend=%3Bseq=212</v>
      </c>
      <c r="S903" s="27" t="str">
        <f t="shared" si="74"/>
        <v>http://hdl.handle.net/2027/uc1.b3014083?urlappend=%3Bseq=153</v>
      </c>
      <c r="T903" s="27" t="str">
        <f t="shared" si="75"/>
        <v>http://hdl.handle.net/2027/uc1.b3014083?urlappend=%3Bseq=174</v>
      </c>
    </row>
    <row r="904" spans="1:20" x14ac:dyDescent="0.25">
      <c r="A904" s="27" t="s">
        <v>1477</v>
      </c>
      <c r="B904" s="27" t="str">
        <f t="shared" si="76"/>
        <v>Texas</v>
      </c>
      <c r="C904" s="27" t="str">
        <f t="shared" si="77"/>
        <v>Howard</v>
      </c>
      <c r="D904" s="27">
        <v>15678</v>
      </c>
      <c r="E904" s="27">
        <v>9</v>
      </c>
      <c r="F904" s="26">
        <f>'TX pre'!G100</f>
        <v>112.22222222222223</v>
      </c>
      <c r="G904" s="10">
        <v>264</v>
      </c>
      <c r="H904" s="28">
        <f>'TX pre'!J100</f>
        <v>43.56435643564356</v>
      </c>
      <c r="I904" s="2">
        <v>2501</v>
      </c>
      <c r="J904" s="27">
        <v>9</v>
      </c>
      <c r="K904" s="2">
        <v>1725</v>
      </c>
      <c r="L904" s="27">
        <v>1905</v>
      </c>
      <c r="M904" s="27" t="s">
        <v>1965</v>
      </c>
      <c r="N904" s="27" t="str">
        <f t="shared" si="70"/>
        <v>http://hdl.handle.net/2027/uc1.b3014083?urlappend=%3Bseq=105</v>
      </c>
      <c r="O904" s="27" t="str">
        <f t="shared" si="71"/>
        <v>http://hdl.handle.net/2027/uc1.b3014083?urlappend=%3Bseq=126</v>
      </c>
      <c r="P904" s="27" t="str">
        <f t="shared" si="72"/>
        <v>http://hdl.handle.net/2027/uc1.b3014083?urlappend=%3Bseq=68</v>
      </c>
      <c r="Q904" s="27" t="str">
        <f t="shared" si="69"/>
        <v>https://babel.hathitrust.org/cgi/pt?id=uc1.b3014083;view=1up;seq=211</v>
      </c>
      <c r="R904" s="27" t="str">
        <f t="shared" si="73"/>
        <v>http://hdl.handle.net/2027/uc1.b3014083?urlappend=%3Bseq=212</v>
      </c>
      <c r="S904" s="27" t="str">
        <f t="shared" si="74"/>
        <v>http://hdl.handle.net/2027/uc1.b3014083?urlappend=%3Bseq=153</v>
      </c>
      <c r="T904" s="27" t="str">
        <f t="shared" si="75"/>
        <v>http://hdl.handle.net/2027/uc1.b3014083?urlappend=%3Bseq=174</v>
      </c>
    </row>
    <row r="905" spans="1:20" x14ac:dyDescent="0.25">
      <c r="A905" s="27" t="s">
        <v>1479</v>
      </c>
      <c r="B905" s="27" t="str">
        <f t="shared" si="76"/>
        <v>Texas</v>
      </c>
      <c r="C905" s="27" t="str">
        <f t="shared" si="77"/>
        <v>Hunt</v>
      </c>
      <c r="D905" s="27">
        <v>444201</v>
      </c>
      <c r="E905" s="27">
        <v>158</v>
      </c>
      <c r="F905" s="26">
        <f>'TX pre'!G101</f>
        <v>94.810126582278485</v>
      </c>
      <c r="G905" s="10">
        <v>8110</v>
      </c>
      <c r="H905" s="28">
        <f>'TX pre'!J101</f>
        <v>50.829692923898527</v>
      </c>
      <c r="I905" s="2">
        <v>41109</v>
      </c>
      <c r="J905" s="27">
        <v>134</v>
      </c>
      <c r="K905" s="2">
        <v>90958</v>
      </c>
      <c r="L905" s="27">
        <v>1905</v>
      </c>
      <c r="M905" s="27" t="s">
        <v>1965</v>
      </c>
      <c r="N905" s="27" t="str">
        <f t="shared" si="70"/>
        <v>http://hdl.handle.net/2027/uc1.b3014083?urlappend=%3Bseq=105</v>
      </c>
      <c r="O905" s="27" t="str">
        <f t="shared" si="71"/>
        <v>http://hdl.handle.net/2027/uc1.b3014083?urlappend=%3Bseq=126</v>
      </c>
      <c r="P905" s="27" t="str">
        <f t="shared" si="72"/>
        <v>http://hdl.handle.net/2027/uc1.b3014083?urlappend=%3Bseq=68</v>
      </c>
      <c r="Q905" s="27" t="str">
        <f t="shared" si="69"/>
        <v>https://babel.hathitrust.org/cgi/pt?id=uc1.b3014083;view=1up;seq=211</v>
      </c>
      <c r="R905" s="27" t="str">
        <f t="shared" si="73"/>
        <v>http://hdl.handle.net/2027/uc1.b3014083?urlappend=%3Bseq=212</v>
      </c>
      <c r="S905" s="27" t="str">
        <f t="shared" si="74"/>
        <v>http://hdl.handle.net/2027/uc1.b3014083?urlappend=%3Bseq=153</v>
      </c>
      <c r="T905" s="27" t="str">
        <f t="shared" si="75"/>
        <v>http://hdl.handle.net/2027/uc1.b3014083?urlappend=%3Bseq=174</v>
      </c>
    </row>
    <row r="906" spans="1:20" x14ac:dyDescent="0.25">
      <c r="A906" s="27" t="s">
        <v>1480</v>
      </c>
      <c r="B906" s="27" t="str">
        <f t="shared" si="76"/>
        <v>Texas</v>
      </c>
      <c r="C906" s="27" t="str">
        <f t="shared" si="77"/>
        <v>Hutchinson</v>
      </c>
      <c r="D906" s="27">
        <v>11766</v>
      </c>
      <c r="E906" s="27">
        <v>12</v>
      </c>
      <c r="F906" s="26">
        <f>'TX pre'!G102</f>
        <v>82.083333333333329</v>
      </c>
      <c r="G906" s="10">
        <v>209</v>
      </c>
      <c r="H906" s="28">
        <f>'TX pre'!J102</f>
        <v>48.526903553299498</v>
      </c>
      <c r="I906" s="2">
        <v>2762</v>
      </c>
      <c r="J906" s="27">
        <v>9</v>
      </c>
      <c r="K906" s="2">
        <v>1660</v>
      </c>
      <c r="L906" s="27">
        <v>1905</v>
      </c>
      <c r="M906" s="27" t="s">
        <v>1965</v>
      </c>
      <c r="N906" s="27" t="str">
        <f t="shared" si="70"/>
        <v>http://hdl.handle.net/2027/uc1.b3014083?urlappend=%3Bseq=105</v>
      </c>
      <c r="O906" s="27" t="str">
        <f t="shared" si="71"/>
        <v>http://hdl.handle.net/2027/uc1.b3014083?urlappend=%3Bseq=126</v>
      </c>
      <c r="P906" s="27" t="str">
        <f t="shared" si="72"/>
        <v>http://hdl.handle.net/2027/uc1.b3014083?urlappend=%3Bseq=68</v>
      </c>
      <c r="Q906" s="27" t="str">
        <f t="shared" si="69"/>
        <v>https://babel.hathitrust.org/cgi/pt?id=uc1.b3014083;view=1up;seq=211</v>
      </c>
      <c r="R906" s="27" t="str">
        <f t="shared" si="73"/>
        <v>http://hdl.handle.net/2027/uc1.b3014083?urlappend=%3Bseq=212</v>
      </c>
      <c r="S906" s="27" t="str">
        <f t="shared" si="74"/>
        <v>http://hdl.handle.net/2027/uc1.b3014083?urlappend=%3Bseq=153</v>
      </c>
      <c r="T906" s="27" t="str">
        <f t="shared" si="75"/>
        <v>http://hdl.handle.net/2027/uc1.b3014083?urlappend=%3Bseq=174</v>
      </c>
    </row>
    <row r="907" spans="1:20" x14ac:dyDescent="0.25">
      <c r="A907" s="27" t="s">
        <v>1481</v>
      </c>
      <c r="B907" s="27" t="str">
        <f t="shared" si="76"/>
        <v>Texas</v>
      </c>
      <c r="C907" s="27" t="str">
        <f t="shared" si="77"/>
        <v>Irion</v>
      </c>
      <c r="D907" s="27">
        <v>24064</v>
      </c>
      <c r="E907" s="27">
        <v>6</v>
      </c>
      <c r="F907" s="26">
        <f>'TX pre'!G103</f>
        <v>126</v>
      </c>
      <c r="G907" s="10">
        <v>258</v>
      </c>
      <c r="H907" s="28">
        <f>'TX pre'!J103</f>
        <v>55.026455026455032</v>
      </c>
      <c r="I907" s="2">
        <v>2338</v>
      </c>
      <c r="J907" s="27">
        <v>3</v>
      </c>
      <c r="K907" s="2">
        <v>3975</v>
      </c>
      <c r="L907" s="27">
        <v>1905</v>
      </c>
      <c r="M907" s="27" t="s">
        <v>1965</v>
      </c>
      <c r="N907" s="27" t="str">
        <f t="shared" si="70"/>
        <v>http://hdl.handle.net/2027/uc1.b3014083?urlappend=%3Bseq=105</v>
      </c>
      <c r="O907" s="27" t="str">
        <f t="shared" si="71"/>
        <v>http://hdl.handle.net/2027/uc1.b3014083?urlappend=%3Bseq=126</v>
      </c>
      <c r="P907" s="27" t="str">
        <f t="shared" si="72"/>
        <v>http://hdl.handle.net/2027/uc1.b3014083?urlappend=%3Bseq=68</v>
      </c>
      <c r="Q907" s="27" t="str">
        <f t="shared" si="69"/>
        <v>https://babel.hathitrust.org/cgi/pt?id=uc1.b3014083;view=1up;seq=211</v>
      </c>
      <c r="R907" s="27" t="str">
        <f t="shared" si="73"/>
        <v>http://hdl.handle.net/2027/uc1.b3014083?urlappend=%3Bseq=212</v>
      </c>
      <c r="S907" s="27" t="str">
        <f t="shared" si="74"/>
        <v>http://hdl.handle.net/2027/uc1.b3014083?urlappend=%3Bseq=153</v>
      </c>
      <c r="T907" s="27" t="str">
        <f t="shared" si="75"/>
        <v>http://hdl.handle.net/2027/uc1.b3014083?urlappend=%3Bseq=174</v>
      </c>
    </row>
    <row r="908" spans="1:20" x14ac:dyDescent="0.25">
      <c r="A908" s="27" t="s">
        <v>1482</v>
      </c>
      <c r="B908" s="27" t="str">
        <f t="shared" si="76"/>
        <v>Texas</v>
      </c>
      <c r="C908" s="27" t="str">
        <f t="shared" si="77"/>
        <v>Jack</v>
      </c>
      <c r="D908" s="27">
        <v>123020</v>
      </c>
      <c r="E908" s="27">
        <v>54</v>
      </c>
      <c r="F908" s="26">
        <f>'TX pre'!G104</f>
        <v>93.055555555555557</v>
      </c>
      <c r="G908" s="10">
        <v>2304</v>
      </c>
      <c r="H908" s="28">
        <f>'TX pre'!J104</f>
        <v>47.289313432835826</v>
      </c>
      <c r="I908" s="2">
        <v>13583</v>
      </c>
      <c r="J908" s="27">
        <v>49</v>
      </c>
      <c r="K908" s="2">
        <v>18810</v>
      </c>
      <c r="L908" s="27">
        <v>1905</v>
      </c>
      <c r="M908" s="27" t="s">
        <v>1965</v>
      </c>
      <c r="N908" s="27" t="str">
        <f t="shared" si="70"/>
        <v>http://hdl.handle.net/2027/uc1.b3014083?urlappend=%3Bseq=105</v>
      </c>
      <c r="O908" s="27" t="str">
        <f t="shared" si="71"/>
        <v>http://hdl.handle.net/2027/uc1.b3014083?urlappend=%3Bseq=126</v>
      </c>
      <c r="P908" s="27" t="str">
        <f t="shared" si="72"/>
        <v>http://hdl.handle.net/2027/uc1.b3014083?urlappend=%3Bseq=68</v>
      </c>
      <c r="Q908" s="27" t="str">
        <f t="shared" si="69"/>
        <v>https://babel.hathitrust.org/cgi/pt?id=uc1.b3014083;view=1up;seq=211</v>
      </c>
      <c r="R908" s="27" t="str">
        <f t="shared" si="73"/>
        <v>http://hdl.handle.net/2027/uc1.b3014083?urlappend=%3Bseq=212</v>
      </c>
      <c r="S908" s="27" t="str">
        <f t="shared" si="74"/>
        <v>http://hdl.handle.net/2027/uc1.b3014083?urlappend=%3Bseq=153</v>
      </c>
      <c r="T908" s="27" t="str">
        <f t="shared" si="75"/>
        <v>http://hdl.handle.net/2027/uc1.b3014083?urlappend=%3Bseq=174</v>
      </c>
    </row>
    <row r="909" spans="1:20" x14ac:dyDescent="0.25">
      <c r="A909" s="27" t="s">
        <v>1483</v>
      </c>
      <c r="B909" s="27" t="str">
        <f t="shared" si="76"/>
        <v>Texas</v>
      </c>
      <c r="C909" s="27" t="str">
        <f t="shared" si="77"/>
        <v>Jackson</v>
      </c>
      <c r="D909" s="27">
        <v>41642</v>
      </c>
      <c r="E909" s="27">
        <v>27</v>
      </c>
      <c r="F909" s="26">
        <f>'TX pre'!G105</f>
        <v>117</v>
      </c>
      <c r="G909" s="10">
        <v>725</v>
      </c>
      <c r="H909" s="28">
        <f>'TX pre'!J105</f>
        <v>36.297815764482429</v>
      </c>
      <c r="I909" s="2">
        <v>6015</v>
      </c>
      <c r="J909" s="27">
        <v>29</v>
      </c>
      <c r="K909" s="2">
        <v>5505</v>
      </c>
      <c r="L909" s="27">
        <v>1905</v>
      </c>
      <c r="M909" s="27" t="s">
        <v>1965</v>
      </c>
      <c r="N909" s="27" t="str">
        <f t="shared" si="70"/>
        <v>http://hdl.handle.net/2027/uc1.b3014083?urlappend=%3Bseq=105</v>
      </c>
      <c r="O909" s="27" t="str">
        <f t="shared" si="71"/>
        <v>http://hdl.handle.net/2027/uc1.b3014083?urlappend=%3Bseq=126</v>
      </c>
      <c r="P909" s="27" t="str">
        <f t="shared" si="72"/>
        <v>http://hdl.handle.net/2027/uc1.b3014083?urlappend=%3Bseq=68</v>
      </c>
      <c r="Q909" s="27" t="str">
        <f t="shared" si="69"/>
        <v>https://babel.hathitrust.org/cgi/pt?id=uc1.b3014083;view=1up;seq=211</v>
      </c>
      <c r="R909" s="27" t="str">
        <f t="shared" si="73"/>
        <v>http://hdl.handle.net/2027/uc1.b3014083?urlappend=%3Bseq=212</v>
      </c>
      <c r="S909" s="27" t="str">
        <f t="shared" si="74"/>
        <v>http://hdl.handle.net/2027/uc1.b3014083?urlappend=%3Bseq=153</v>
      </c>
      <c r="T909" s="27" t="str">
        <f t="shared" si="75"/>
        <v>http://hdl.handle.net/2027/uc1.b3014083?urlappend=%3Bseq=174</v>
      </c>
    </row>
    <row r="910" spans="1:20" x14ac:dyDescent="0.25">
      <c r="A910" s="27" t="s">
        <v>1484</v>
      </c>
      <c r="B910" s="27" t="str">
        <f t="shared" si="76"/>
        <v>Texas</v>
      </c>
      <c r="C910" s="27" t="str">
        <f t="shared" si="77"/>
        <v>Jasper</v>
      </c>
      <c r="D910" s="27">
        <v>170971</v>
      </c>
      <c r="E910" s="27">
        <v>81</v>
      </c>
      <c r="F910" s="26">
        <f>'TX pre'!G106</f>
        <v>72.790123456790127</v>
      </c>
      <c r="G910" s="10">
        <v>3010</v>
      </c>
      <c r="H910" s="28">
        <f>'TX pre'!J106</f>
        <v>49.363568521031205</v>
      </c>
      <c r="I910" s="2">
        <v>16349</v>
      </c>
      <c r="J910" s="27">
        <v>57</v>
      </c>
      <c r="K910" s="2">
        <v>12345</v>
      </c>
      <c r="L910" s="27">
        <v>1905</v>
      </c>
      <c r="M910" s="27" t="s">
        <v>1965</v>
      </c>
      <c r="N910" s="27" t="str">
        <f t="shared" si="70"/>
        <v>http://hdl.handle.net/2027/uc1.b3014083?urlappend=%3Bseq=105</v>
      </c>
      <c r="O910" s="27" t="str">
        <f t="shared" si="71"/>
        <v>http://hdl.handle.net/2027/uc1.b3014083?urlappend=%3Bseq=126</v>
      </c>
      <c r="P910" s="27" t="str">
        <f t="shared" si="72"/>
        <v>http://hdl.handle.net/2027/uc1.b3014083?urlappend=%3Bseq=68</v>
      </c>
      <c r="Q910" s="27" t="str">
        <f t="shared" si="69"/>
        <v>https://babel.hathitrust.org/cgi/pt?id=uc1.b3014083;view=1up;seq=211</v>
      </c>
      <c r="R910" s="27" t="str">
        <f t="shared" si="73"/>
        <v>http://hdl.handle.net/2027/uc1.b3014083?urlappend=%3Bseq=212</v>
      </c>
      <c r="S910" s="27" t="str">
        <f t="shared" si="74"/>
        <v>http://hdl.handle.net/2027/uc1.b3014083?urlappend=%3Bseq=153</v>
      </c>
      <c r="T910" s="27" t="str">
        <f t="shared" si="75"/>
        <v>http://hdl.handle.net/2027/uc1.b3014083?urlappend=%3Bseq=174</v>
      </c>
    </row>
    <row r="911" spans="1:20" x14ac:dyDescent="0.25">
      <c r="A911" s="27" t="s">
        <v>1485</v>
      </c>
      <c r="B911" s="27" t="str">
        <f t="shared" si="76"/>
        <v>Texas</v>
      </c>
      <c r="C911" s="27" t="str">
        <f t="shared" si="77"/>
        <v>Jeff Davis</v>
      </c>
      <c r="D911" s="27">
        <v>10756</v>
      </c>
      <c r="E911" s="27">
        <v>6</v>
      </c>
      <c r="F911" s="26">
        <f>'TX pre'!G107</f>
        <v>148.66666666666666</v>
      </c>
      <c r="G911" s="10">
        <v>129</v>
      </c>
      <c r="H911" s="28">
        <f>'TX pre'!J107</f>
        <v>55.454035874439462</v>
      </c>
      <c r="I911" s="2">
        <v>2765</v>
      </c>
      <c r="J911" s="27">
        <v>6</v>
      </c>
      <c r="K911" s="2">
        <v>4575</v>
      </c>
      <c r="L911" s="27">
        <v>1905</v>
      </c>
      <c r="M911" s="27" t="s">
        <v>1965</v>
      </c>
      <c r="N911" s="27" t="str">
        <f t="shared" si="70"/>
        <v>http://hdl.handle.net/2027/uc1.b3014083?urlappend=%3Bseq=105</v>
      </c>
      <c r="O911" s="27" t="str">
        <f t="shared" si="71"/>
        <v>http://hdl.handle.net/2027/uc1.b3014083?urlappend=%3Bseq=126</v>
      </c>
      <c r="P911" s="27" t="str">
        <f t="shared" si="72"/>
        <v>http://hdl.handle.net/2027/uc1.b3014083?urlappend=%3Bseq=68</v>
      </c>
      <c r="Q911" s="27" t="str">
        <f t="shared" si="69"/>
        <v>https://babel.hathitrust.org/cgi/pt?id=uc1.b3014083;view=1up;seq=211</v>
      </c>
      <c r="R911" s="27" t="str">
        <f t="shared" si="73"/>
        <v>http://hdl.handle.net/2027/uc1.b3014083?urlappend=%3Bseq=212</v>
      </c>
      <c r="S911" s="27" t="str">
        <f t="shared" si="74"/>
        <v>http://hdl.handle.net/2027/uc1.b3014083?urlappend=%3Bseq=153</v>
      </c>
      <c r="T911" s="27" t="str">
        <f t="shared" si="75"/>
        <v>http://hdl.handle.net/2027/uc1.b3014083?urlappend=%3Bseq=174</v>
      </c>
    </row>
    <row r="912" spans="1:20" x14ac:dyDescent="0.25">
      <c r="A912" s="27" t="s">
        <v>1486</v>
      </c>
      <c r="B912" s="27" t="str">
        <f t="shared" si="76"/>
        <v>Texas</v>
      </c>
      <c r="C912" s="27" t="str">
        <f t="shared" si="77"/>
        <v>Jefferson</v>
      </c>
      <c r="D912" s="27">
        <v>101236</v>
      </c>
      <c r="E912" s="27">
        <v>27</v>
      </c>
      <c r="F912" s="26">
        <f>'TX pre'!G108</f>
        <v>142.7037037037037</v>
      </c>
      <c r="G912" s="10">
        <v>1152</v>
      </c>
      <c r="H912" s="28">
        <f>'TX pre'!J108</f>
        <v>51.962107448741243</v>
      </c>
      <c r="I912" s="2">
        <v>12155</v>
      </c>
      <c r="J912" s="27">
        <v>22</v>
      </c>
      <c r="K912" s="2">
        <v>8005</v>
      </c>
      <c r="L912" s="27">
        <v>1905</v>
      </c>
      <c r="M912" s="27" t="s">
        <v>1965</v>
      </c>
      <c r="N912" s="27" t="str">
        <f t="shared" si="70"/>
        <v>http://hdl.handle.net/2027/uc1.b3014083?urlappend=%3Bseq=105</v>
      </c>
      <c r="O912" s="27" t="str">
        <f t="shared" si="71"/>
        <v>http://hdl.handle.net/2027/uc1.b3014083?urlappend=%3Bseq=126</v>
      </c>
      <c r="P912" s="27" t="str">
        <f t="shared" si="72"/>
        <v>http://hdl.handle.net/2027/uc1.b3014083?urlappend=%3Bseq=68</v>
      </c>
      <c r="Q912" s="27" t="str">
        <f t="shared" si="69"/>
        <v>https://babel.hathitrust.org/cgi/pt?id=uc1.b3014083;view=1up;seq=211</v>
      </c>
      <c r="R912" s="27" t="str">
        <f t="shared" si="73"/>
        <v>http://hdl.handle.net/2027/uc1.b3014083?urlappend=%3Bseq=212</v>
      </c>
      <c r="S912" s="27" t="str">
        <f t="shared" si="74"/>
        <v>http://hdl.handle.net/2027/uc1.b3014083?urlappend=%3Bseq=153</v>
      </c>
      <c r="T912" s="27" t="str">
        <f t="shared" si="75"/>
        <v>http://hdl.handle.net/2027/uc1.b3014083?urlappend=%3Bseq=174</v>
      </c>
    </row>
    <row r="913" spans="1:20" x14ac:dyDescent="0.25">
      <c r="A913" s="27" t="s">
        <v>1489</v>
      </c>
      <c r="B913" s="27" t="str">
        <f t="shared" si="76"/>
        <v>Texas</v>
      </c>
      <c r="C913" s="27" t="str">
        <f t="shared" si="77"/>
        <v>Johnson</v>
      </c>
      <c r="D913" s="27">
        <v>309062</v>
      </c>
      <c r="E913" s="27">
        <v>111</v>
      </c>
      <c r="F913" s="26">
        <f>'TX pre'!G109</f>
        <v>90.018018018018012</v>
      </c>
      <c r="G913" s="10">
        <v>5236</v>
      </c>
      <c r="H913" s="28">
        <f>'TX pre'!J109</f>
        <v>50.491232986389115</v>
      </c>
      <c r="I913" s="2">
        <v>37130</v>
      </c>
      <c r="J913" s="27">
        <v>83</v>
      </c>
      <c r="K913" s="2">
        <v>42883</v>
      </c>
      <c r="L913" s="27">
        <v>1905</v>
      </c>
      <c r="M913" s="27" t="s">
        <v>1965</v>
      </c>
      <c r="N913" s="27" t="str">
        <f t="shared" si="70"/>
        <v>http://hdl.handle.net/2027/uc1.b3014083?urlappend=%3Bseq=105</v>
      </c>
      <c r="O913" s="27" t="str">
        <f t="shared" si="71"/>
        <v>http://hdl.handle.net/2027/uc1.b3014083?urlappend=%3Bseq=126</v>
      </c>
      <c r="P913" s="27" t="str">
        <f t="shared" si="72"/>
        <v>http://hdl.handle.net/2027/uc1.b3014083?urlappend=%3Bseq=68</v>
      </c>
      <c r="Q913" s="27" t="str">
        <f t="shared" si="69"/>
        <v>https://babel.hathitrust.org/cgi/pt?id=uc1.b3014083;view=1up;seq=211</v>
      </c>
      <c r="R913" s="27" t="str">
        <f t="shared" si="73"/>
        <v>http://hdl.handle.net/2027/uc1.b3014083?urlappend=%3Bseq=212</v>
      </c>
      <c r="S913" s="27" t="str">
        <f t="shared" si="74"/>
        <v>http://hdl.handle.net/2027/uc1.b3014083?urlappend=%3Bseq=153</v>
      </c>
      <c r="T913" s="27" t="str">
        <f t="shared" si="75"/>
        <v>http://hdl.handle.net/2027/uc1.b3014083?urlappend=%3Bseq=174</v>
      </c>
    </row>
    <row r="914" spans="1:20" x14ac:dyDescent="0.25">
      <c r="A914" s="27" t="s">
        <v>1490</v>
      </c>
      <c r="B914" s="27" t="str">
        <f t="shared" si="76"/>
        <v>Texas</v>
      </c>
      <c r="C914" s="27" t="str">
        <f t="shared" si="77"/>
        <v>Jones</v>
      </c>
      <c r="D914" s="27">
        <v>140968</v>
      </c>
      <c r="E914" s="27">
        <v>55</v>
      </c>
      <c r="F914" s="26">
        <f>'TX pre'!G110</f>
        <v>96.090909090909093</v>
      </c>
      <c r="G914" s="10">
        <v>2574</v>
      </c>
      <c r="H914" s="28">
        <f>'TX pre'!J110</f>
        <v>48.274361400189214</v>
      </c>
      <c r="I914" s="2">
        <v>14528</v>
      </c>
      <c r="J914" s="27">
        <v>52</v>
      </c>
      <c r="K914" s="2">
        <v>16431</v>
      </c>
      <c r="L914" s="27">
        <v>1905</v>
      </c>
      <c r="M914" s="27" t="s">
        <v>1965</v>
      </c>
      <c r="N914" s="27" t="str">
        <f t="shared" si="70"/>
        <v>http://hdl.handle.net/2027/uc1.b3014083?urlappend=%3Bseq=105</v>
      </c>
      <c r="O914" s="27" t="str">
        <f t="shared" si="71"/>
        <v>http://hdl.handle.net/2027/uc1.b3014083?urlappend=%3Bseq=126</v>
      </c>
      <c r="P914" s="27" t="str">
        <f t="shared" si="72"/>
        <v>http://hdl.handle.net/2027/uc1.b3014083?urlappend=%3Bseq=68</v>
      </c>
      <c r="Q914" s="27" t="str">
        <f t="shared" si="69"/>
        <v>https://babel.hathitrust.org/cgi/pt?id=uc1.b3014083;view=1up;seq=211</v>
      </c>
      <c r="R914" s="27" t="str">
        <f t="shared" si="73"/>
        <v>http://hdl.handle.net/2027/uc1.b3014083?urlappend=%3Bseq=212</v>
      </c>
      <c r="S914" s="27" t="str">
        <f t="shared" si="74"/>
        <v>http://hdl.handle.net/2027/uc1.b3014083?urlappend=%3Bseq=153</v>
      </c>
      <c r="T914" s="27" t="str">
        <f t="shared" si="75"/>
        <v>http://hdl.handle.net/2027/uc1.b3014083?urlappend=%3Bseq=174</v>
      </c>
    </row>
    <row r="915" spans="1:20" x14ac:dyDescent="0.25">
      <c r="A915" s="27" t="s">
        <v>1491</v>
      </c>
      <c r="B915" s="27" t="str">
        <f t="shared" si="76"/>
        <v>Texas</v>
      </c>
      <c r="C915" s="27" t="str">
        <f t="shared" si="77"/>
        <v>Karnes</v>
      </c>
      <c r="D915" s="27">
        <v>80831</v>
      </c>
      <c r="E915" s="27">
        <v>33</v>
      </c>
      <c r="F915" s="26">
        <f>'TX pre'!G111</f>
        <v>126.48484848484848</v>
      </c>
      <c r="G915" s="10">
        <v>1060</v>
      </c>
      <c r="H915" s="28">
        <f>'TX pre'!J111</f>
        <v>45.470723526593197</v>
      </c>
      <c r="I915" s="2">
        <v>11007</v>
      </c>
      <c r="J915" s="27">
        <v>28</v>
      </c>
      <c r="K915" s="2">
        <v>11096</v>
      </c>
      <c r="L915" s="27">
        <v>1905</v>
      </c>
      <c r="M915" s="27" t="s">
        <v>1965</v>
      </c>
      <c r="N915" s="27" t="str">
        <f t="shared" si="70"/>
        <v>http://hdl.handle.net/2027/uc1.b3014083?urlappend=%3Bseq=105</v>
      </c>
      <c r="O915" s="27" t="str">
        <f t="shared" si="71"/>
        <v>http://hdl.handle.net/2027/uc1.b3014083?urlappend=%3Bseq=126</v>
      </c>
      <c r="P915" s="27" t="str">
        <f t="shared" si="72"/>
        <v>http://hdl.handle.net/2027/uc1.b3014083?urlappend=%3Bseq=68</v>
      </c>
      <c r="Q915" s="27" t="str">
        <f t="shared" si="69"/>
        <v>https://babel.hathitrust.org/cgi/pt?id=uc1.b3014083;view=1up;seq=211</v>
      </c>
      <c r="R915" s="27" t="str">
        <f t="shared" si="73"/>
        <v>http://hdl.handle.net/2027/uc1.b3014083?urlappend=%3Bseq=212</v>
      </c>
      <c r="S915" s="27" t="str">
        <f t="shared" si="74"/>
        <v>http://hdl.handle.net/2027/uc1.b3014083?urlappend=%3Bseq=153</v>
      </c>
      <c r="T915" s="27" t="str">
        <f t="shared" si="75"/>
        <v>http://hdl.handle.net/2027/uc1.b3014083?urlappend=%3Bseq=174</v>
      </c>
    </row>
    <row r="916" spans="1:20" x14ac:dyDescent="0.25">
      <c r="A916" s="27" t="s">
        <v>1492</v>
      </c>
      <c r="B916" s="27" t="str">
        <f t="shared" si="76"/>
        <v>Texas</v>
      </c>
      <c r="C916" s="27" t="str">
        <f t="shared" si="77"/>
        <v>Kaufman</v>
      </c>
      <c r="D916" s="27">
        <v>268581</v>
      </c>
      <c r="E916" s="27">
        <v>101</v>
      </c>
      <c r="F916" s="26">
        <f>'TX pre'!G112</f>
        <v>88.89108910891089</v>
      </c>
      <c r="G916" s="10">
        <v>5101</v>
      </c>
      <c r="H916" s="28">
        <f>'TX pre'!J112</f>
        <v>54.022633103141011</v>
      </c>
      <c r="I916" s="2">
        <v>27991</v>
      </c>
      <c r="J916" s="27">
        <v>83</v>
      </c>
      <c r="K916" s="2">
        <v>38347</v>
      </c>
      <c r="L916" s="27">
        <v>1905</v>
      </c>
      <c r="M916" s="27" t="s">
        <v>1965</v>
      </c>
      <c r="N916" s="27" t="str">
        <f t="shared" si="70"/>
        <v>http://hdl.handle.net/2027/uc1.b3014083?urlappend=%3Bseq=105</v>
      </c>
      <c r="O916" s="27" t="str">
        <f t="shared" si="71"/>
        <v>http://hdl.handle.net/2027/uc1.b3014083?urlappend=%3Bseq=126</v>
      </c>
      <c r="P916" s="27" t="str">
        <f t="shared" si="72"/>
        <v>http://hdl.handle.net/2027/uc1.b3014083?urlappend=%3Bseq=68</v>
      </c>
      <c r="Q916" s="27" t="str">
        <f t="shared" si="69"/>
        <v>https://babel.hathitrust.org/cgi/pt?id=uc1.b3014083;view=1up;seq=211</v>
      </c>
      <c r="R916" s="27" t="str">
        <f t="shared" si="73"/>
        <v>http://hdl.handle.net/2027/uc1.b3014083?urlappend=%3Bseq=212</v>
      </c>
      <c r="S916" s="27" t="str">
        <f t="shared" si="74"/>
        <v>http://hdl.handle.net/2027/uc1.b3014083?urlappend=%3Bseq=153</v>
      </c>
      <c r="T916" s="27" t="str">
        <f t="shared" si="75"/>
        <v>http://hdl.handle.net/2027/uc1.b3014083?urlappend=%3Bseq=174</v>
      </c>
    </row>
    <row r="917" spans="1:20" x14ac:dyDescent="0.25">
      <c r="A917" s="27" t="s">
        <v>1493</v>
      </c>
      <c r="B917" s="27" t="str">
        <f t="shared" si="76"/>
        <v>Texas</v>
      </c>
      <c r="C917" s="27" t="str">
        <f t="shared" si="77"/>
        <v>Kendall</v>
      </c>
      <c r="D917" s="27">
        <v>71240</v>
      </c>
      <c r="E917" s="27">
        <v>28</v>
      </c>
      <c r="F917" s="26">
        <f>'TX pre'!G113</f>
        <v>94.142857142857139</v>
      </c>
      <c r="G917" s="10">
        <v>826</v>
      </c>
      <c r="H917" s="28">
        <f>'TX pre'!J113</f>
        <v>56.107132018209406</v>
      </c>
      <c r="I917" s="2">
        <v>7981</v>
      </c>
      <c r="J917" s="27">
        <v>23</v>
      </c>
      <c r="K917" s="2">
        <v>15250</v>
      </c>
      <c r="L917" s="27">
        <v>1905</v>
      </c>
      <c r="M917" s="27" t="s">
        <v>1965</v>
      </c>
      <c r="N917" s="27" t="str">
        <f t="shared" si="70"/>
        <v>http://hdl.handle.net/2027/uc1.b3014083?urlappend=%3Bseq=105</v>
      </c>
      <c r="O917" s="27" t="str">
        <f t="shared" si="71"/>
        <v>http://hdl.handle.net/2027/uc1.b3014083?urlappend=%3Bseq=126</v>
      </c>
      <c r="P917" s="27" t="str">
        <f t="shared" si="72"/>
        <v>http://hdl.handle.net/2027/uc1.b3014083?urlappend=%3Bseq=68</v>
      </c>
      <c r="Q917" s="27" t="str">
        <f t="shared" si="69"/>
        <v>https://babel.hathitrust.org/cgi/pt?id=uc1.b3014083;view=1up;seq=211</v>
      </c>
      <c r="R917" s="27" t="str">
        <f t="shared" si="73"/>
        <v>http://hdl.handle.net/2027/uc1.b3014083?urlappend=%3Bseq=212</v>
      </c>
      <c r="S917" s="27" t="str">
        <f t="shared" si="74"/>
        <v>http://hdl.handle.net/2027/uc1.b3014083?urlappend=%3Bseq=153</v>
      </c>
      <c r="T917" s="27" t="str">
        <f t="shared" si="75"/>
        <v>http://hdl.handle.net/2027/uc1.b3014083?urlappend=%3Bseq=174</v>
      </c>
    </row>
    <row r="918" spans="1:20" x14ac:dyDescent="0.25">
      <c r="A918" s="27" t="s">
        <v>1495</v>
      </c>
      <c r="B918" s="27" t="str">
        <f t="shared" si="76"/>
        <v>Texas</v>
      </c>
      <c r="C918" s="27" t="str">
        <f t="shared" si="77"/>
        <v>Kent</v>
      </c>
      <c r="D918" s="27">
        <v>21087</v>
      </c>
      <c r="E918" s="27">
        <v>14</v>
      </c>
      <c r="F918" s="26">
        <f>'TX pre'!G114</f>
        <v>106.64285714285714</v>
      </c>
      <c r="G918" s="10">
        <v>367</v>
      </c>
      <c r="H918" s="28">
        <f>'TX pre'!J114</f>
        <v>50.368385800401867</v>
      </c>
      <c r="I918" s="2">
        <v>4271</v>
      </c>
      <c r="J918" s="27">
        <v>15</v>
      </c>
      <c r="K918" s="2">
        <v>1865</v>
      </c>
      <c r="L918" s="27">
        <v>1905</v>
      </c>
      <c r="M918" s="27" t="s">
        <v>1965</v>
      </c>
      <c r="N918" s="27" t="str">
        <f t="shared" si="70"/>
        <v>http://hdl.handle.net/2027/uc1.b3014083?urlappend=%3Bseq=105</v>
      </c>
      <c r="O918" s="27" t="str">
        <f t="shared" si="71"/>
        <v>http://hdl.handle.net/2027/uc1.b3014083?urlappend=%3Bseq=126</v>
      </c>
      <c r="P918" s="27" t="str">
        <f t="shared" si="72"/>
        <v>http://hdl.handle.net/2027/uc1.b3014083?urlappend=%3Bseq=68</v>
      </c>
      <c r="Q918" s="27" t="str">
        <f t="shared" si="69"/>
        <v>https://babel.hathitrust.org/cgi/pt?id=uc1.b3014083;view=1up;seq=211</v>
      </c>
      <c r="R918" s="27" t="str">
        <f t="shared" si="73"/>
        <v>http://hdl.handle.net/2027/uc1.b3014083?urlappend=%3Bseq=212</v>
      </c>
      <c r="S918" s="27" t="str">
        <f t="shared" si="74"/>
        <v>http://hdl.handle.net/2027/uc1.b3014083?urlappend=%3Bseq=153</v>
      </c>
      <c r="T918" s="27" t="str">
        <f t="shared" si="75"/>
        <v>http://hdl.handle.net/2027/uc1.b3014083?urlappend=%3Bseq=174</v>
      </c>
    </row>
    <row r="919" spans="1:20" x14ac:dyDescent="0.25">
      <c r="A919" s="27" t="s">
        <v>1496</v>
      </c>
      <c r="B919" s="27" t="str">
        <f t="shared" si="76"/>
        <v>Texas</v>
      </c>
      <c r="C919" s="27" t="str">
        <f t="shared" si="77"/>
        <v>Kerr</v>
      </c>
      <c r="D919" s="27">
        <v>34558</v>
      </c>
      <c r="E919" s="27">
        <v>17</v>
      </c>
      <c r="F919" s="26">
        <f>'TX pre'!G115</f>
        <v>110.11764705882354</v>
      </c>
      <c r="G919" s="10">
        <v>469</v>
      </c>
      <c r="H919" s="28">
        <f>'TX pre'!J115</f>
        <v>37.75138888888889</v>
      </c>
      <c r="I919" s="2">
        <v>3815</v>
      </c>
      <c r="J919" s="27">
        <v>15</v>
      </c>
      <c r="K919" s="2">
        <v>2833</v>
      </c>
      <c r="L919" s="27">
        <v>1905</v>
      </c>
      <c r="M919" s="27" t="s">
        <v>1965</v>
      </c>
      <c r="N919" s="27" t="str">
        <f t="shared" si="70"/>
        <v>http://hdl.handle.net/2027/uc1.b3014083?urlappend=%3Bseq=105</v>
      </c>
      <c r="O919" s="27" t="str">
        <f t="shared" si="71"/>
        <v>http://hdl.handle.net/2027/uc1.b3014083?urlappend=%3Bseq=126</v>
      </c>
      <c r="P919" s="27" t="str">
        <f t="shared" si="72"/>
        <v>http://hdl.handle.net/2027/uc1.b3014083?urlappend=%3Bseq=68</v>
      </c>
      <c r="Q919" s="27" t="str">
        <f t="shared" si="69"/>
        <v>https://babel.hathitrust.org/cgi/pt?id=uc1.b3014083;view=1up;seq=211</v>
      </c>
      <c r="R919" s="27" t="str">
        <f t="shared" si="73"/>
        <v>http://hdl.handle.net/2027/uc1.b3014083?urlappend=%3Bseq=212</v>
      </c>
      <c r="S919" s="27" t="str">
        <f t="shared" si="74"/>
        <v>http://hdl.handle.net/2027/uc1.b3014083?urlappend=%3Bseq=153</v>
      </c>
      <c r="T919" s="27" t="str">
        <f t="shared" si="75"/>
        <v>http://hdl.handle.net/2027/uc1.b3014083?urlappend=%3Bseq=174</v>
      </c>
    </row>
    <row r="920" spans="1:20" x14ac:dyDescent="0.25">
      <c r="A920" s="27" t="s">
        <v>1497</v>
      </c>
      <c r="B920" s="27" t="str">
        <f t="shared" si="76"/>
        <v>Texas</v>
      </c>
      <c r="C920" s="27" t="str">
        <f t="shared" si="77"/>
        <v>Kimble</v>
      </c>
      <c r="D920" s="27">
        <v>51560</v>
      </c>
      <c r="E920" s="27">
        <v>26</v>
      </c>
      <c r="F920" s="26">
        <f>'TX pre'!G116</f>
        <v>97.807692307692307</v>
      </c>
      <c r="G920" s="10">
        <v>747</v>
      </c>
      <c r="H920" s="28">
        <f>'TX pre'!J116</f>
        <v>42.727093983484075</v>
      </c>
      <c r="I920" s="2">
        <v>6122</v>
      </c>
      <c r="J920" s="27">
        <v>22</v>
      </c>
      <c r="K920" s="2">
        <v>9350</v>
      </c>
      <c r="L920" s="27">
        <v>1905</v>
      </c>
      <c r="M920" s="27" t="s">
        <v>1965</v>
      </c>
      <c r="N920" s="27" t="str">
        <f t="shared" si="70"/>
        <v>http://hdl.handle.net/2027/uc1.b3014083?urlappend=%3Bseq=105</v>
      </c>
      <c r="O920" s="27" t="str">
        <f t="shared" si="71"/>
        <v>http://hdl.handle.net/2027/uc1.b3014083?urlappend=%3Bseq=126</v>
      </c>
      <c r="P920" s="27" t="str">
        <f t="shared" si="72"/>
        <v>http://hdl.handle.net/2027/uc1.b3014083?urlappend=%3Bseq=68</v>
      </c>
      <c r="Q920" s="27" t="str">
        <f t="shared" si="69"/>
        <v>https://babel.hathitrust.org/cgi/pt?id=uc1.b3014083;view=1up;seq=211</v>
      </c>
      <c r="R920" s="27" t="str">
        <f t="shared" si="73"/>
        <v>http://hdl.handle.net/2027/uc1.b3014083?urlappend=%3Bseq=212</v>
      </c>
      <c r="S920" s="27" t="str">
        <f t="shared" si="74"/>
        <v>http://hdl.handle.net/2027/uc1.b3014083?urlappend=%3Bseq=153</v>
      </c>
      <c r="T920" s="27" t="str">
        <f t="shared" si="75"/>
        <v>http://hdl.handle.net/2027/uc1.b3014083?urlappend=%3Bseq=174</v>
      </c>
    </row>
    <row r="921" spans="1:20" x14ac:dyDescent="0.25">
      <c r="A921" s="27" t="s">
        <v>1498</v>
      </c>
      <c r="B921" s="27" t="str">
        <f t="shared" si="76"/>
        <v>Texas</v>
      </c>
      <c r="C921" s="27" t="str">
        <f t="shared" si="77"/>
        <v>King</v>
      </c>
      <c r="D921" s="27">
        <v>6368</v>
      </c>
      <c r="E921" s="27">
        <v>3</v>
      </c>
      <c r="F921" s="26">
        <f>'TX pre'!G117</f>
        <v>100</v>
      </c>
      <c r="G921" s="10">
        <v>82</v>
      </c>
      <c r="H921" s="28">
        <f>'TX pre'!J117</f>
        <v>51.233333333333334</v>
      </c>
      <c r="I921" s="2">
        <v>823</v>
      </c>
      <c r="J921" s="27">
        <v>3</v>
      </c>
      <c r="K921" s="2">
        <v>1455</v>
      </c>
      <c r="L921" s="27">
        <v>1905</v>
      </c>
      <c r="M921" s="27" t="s">
        <v>1965</v>
      </c>
      <c r="N921" s="27" t="str">
        <f t="shared" si="70"/>
        <v>http://hdl.handle.net/2027/uc1.b3014083?urlappend=%3Bseq=105</v>
      </c>
      <c r="O921" s="27" t="str">
        <f t="shared" si="71"/>
        <v>http://hdl.handle.net/2027/uc1.b3014083?urlappend=%3Bseq=126</v>
      </c>
      <c r="P921" s="27" t="str">
        <f t="shared" si="72"/>
        <v>http://hdl.handle.net/2027/uc1.b3014083?urlappend=%3Bseq=68</v>
      </c>
      <c r="Q921" s="27" t="str">
        <f t="shared" si="69"/>
        <v>https://babel.hathitrust.org/cgi/pt?id=uc1.b3014083;view=1up;seq=211</v>
      </c>
      <c r="R921" s="27" t="str">
        <f t="shared" si="73"/>
        <v>http://hdl.handle.net/2027/uc1.b3014083?urlappend=%3Bseq=212</v>
      </c>
      <c r="S921" s="27" t="str">
        <f t="shared" si="74"/>
        <v>http://hdl.handle.net/2027/uc1.b3014083?urlappend=%3Bseq=153</v>
      </c>
      <c r="T921" s="27" t="str">
        <f t="shared" si="75"/>
        <v>http://hdl.handle.net/2027/uc1.b3014083?urlappend=%3Bseq=174</v>
      </c>
    </row>
    <row r="922" spans="1:20" x14ac:dyDescent="0.25">
      <c r="A922" s="27" t="s">
        <v>1499</v>
      </c>
      <c r="B922" s="27" t="str">
        <f t="shared" si="76"/>
        <v>Texas</v>
      </c>
      <c r="C922" s="27" t="str">
        <f t="shared" si="77"/>
        <v>Kinney</v>
      </c>
      <c r="D922" s="27">
        <v>39928</v>
      </c>
      <c r="E922" s="27">
        <v>12</v>
      </c>
      <c r="F922" s="26">
        <f>'TX pre'!G118</f>
        <v>144.33333333333334</v>
      </c>
      <c r="G922" s="10">
        <v>358</v>
      </c>
      <c r="H922" s="28">
        <f>'TX pre'!J118</f>
        <v>55.715935334872974</v>
      </c>
      <c r="I922" s="2">
        <v>5244</v>
      </c>
      <c r="J922" s="27">
        <v>7</v>
      </c>
      <c r="K922" s="2">
        <v>3255</v>
      </c>
      <c r="L922" s="27">
        <v>1905</v>
      </c>
      <c r="M922" s="27" t="s">
        <v>1965</v>
      </c>
      <c r="N922" s="27" t="str">
        <f t="shared" si="70"/>
        <v>http://hdl.handle.net/2027/uc1.b3014083?urlappend=%3Bseq=105</v>
      </c>
      <c r="O922" s="27" t="str">
        <f t="shared" si="71"/>
        <v>http://hdl.handle.net/2027/uc1.b3014083?urlappend=%3Bseq=126</v>
      </c>
      <c r="P922" s="27" t="str">
        <f t="shared" si="72"/>
        <v>http://hdl.handle.net/2027/uc1.b3014083?urlappend=%3Bseq=68</v>
      </c>
      <c r="Q922" s="27" t="str">
        <f t="shared" si="69"/>
        <v>https://babel.hathitrust.org/cgi/pt?id=uc1.b3014083;view=1up;seq=211</v>
      </c>
      <c r="R922" s="27" t="str">
        <f t="shared" si="73"/>
        <v>http://hdl.handle.net/2027/uc1.b3014083?urlappend=%3Bseq=212</v>
      </c>
      <c r="S922" s="27" t="str">
        <f t="shared" si="74"/>
        <v>http://hdl.handle.net/2027/uc1.b3014083?urlappend=%3Bseq=153</v>
      </c>
      <c r="T922" s="27" t="str">
        <f t="shared" si="75"/>
        <v>http://hdl.handle.net/2027/uc1.b3014083?urlappend=%3Bseq=174</v>
      </c>
    </row>
    <row r="923" spans="1:20" x14ac:dyDescent="0.25">
      <c r="A923" s="27" t="s">
        <v>1501</v>
      </c>
      <c r="B923" s="27" t="str">
        <f t="shared" si="76"/>
        <v>Texas</v>
      </c>
      <c r="C923" s="27" t="str">
        <f t="shared" si="77"/>
        <v>Knox</v>
      </c>
      <c r="D923" s="27">
        <v>70536</v>
      </c>
      <c r="E923" s="27">
        <v>24</v>
      </c>
      <c r="F923" s="26">
        <f>'TX pre'!G119</f>
        <v>115.45833333333333</v>
      </c>
      <c r="G923" s="10">
        <v>1076</v>
      </c>
      <c r="H923" s="28">
        <f>'TX pre'!J119</f>
        <v>55.526091663659336</v>
      </c>
      <c r="I923" s="2">
        <v>8977</v>
      </c>
      <c r="J923" s="27">
        <v>15</v>
      </c>
      <c r="K923" s="2">
        <v>4848</v>
      </c>
      <c r="L923" s="27">
        <v>1905</v>
      </c>
      <c r="M923" s="27" t="s">
        <v>1965</v>
      </c>
      <c r="N923" s="27" t="str">
        <f t="shared" si="70"/>
        <v>http://hdl.handle.net/2027/uc1.b3014083?urlappend=%3Bseq=105</v>
      </c>
      <c r="O923" s="27" t="str">
        <f t="shared" si="71"/>
        <v>http://hdl.handle.net/2027/uc1.b3014083?urlappend=%3Bseq=126</v>
      </c>
      <c r="P923" s="27" t="str">
        <f t="shared" si="72"/>
        <v>http://hdl.handle.net/2027/uc1.b3014083?urlappend=%3Bseq=68</v>
      </c>
      <c r="Q923" s="27" t="str">
        <f t="shared" si="69"/>
        <v>https://babel.hathitrust.org/cgi/pt?id=uc1.b3014083;view=1up;seq=211</v>
      </c>
      <c r="R923" s="27" t="str">
        <f t="shared" si="73"/>
        <v>http://hdl.handle.net/2027/uc1.b3014083?urlappend=%3Bseq=212</v>
      </c>
      <c r="S923" s="27" t="str">
        <f t="shared" si="74"/>
        <v>http://hdl.handle.net/2027/uc1.b3014083?urlappend=%3Bseq=153</v>
      </c>
      <c r="T923" s="27" t="str">
        <f t="shared" si="75"/>
        <v>http://hdl.handle.net/2027/uc1.b3014083?urlappend=%3Bseq=174</v>
      </c>
    </row>
    <row r="924" spans="1:20" x14ac:dyDescent="0.25">
      <c r="A924" s="27" t="s">
        <v>1502</v>
      </c>
      <c r="B924" s="27" t="str">
        <f t="shared" si="76"/>
        <v>Texas</v>
      </c>
      <c r="C924" s="27" t="str">
        <f t="shared" si="77"/>
        <v>Lamar</v>
      </c>
      <c r="D924" s="27">
        <v>503402</v>
      </c>
      <c r="E924" s="27">
        <v>188</v>
      </c>
      <c r="F924" s="26">
        <f>'TX pre'!G120</f>
        <v>107.1063829787234</v>
      </c>
      <c r="G924" s="10">
        <v>981</v>
      </c>
      <c r="H924" s="28">
        <f>'TX pre'!J120</f>
        <v>47.534515295987291</v>
      </c>
      <c r="I924" s="2">
        <v>51034</v>
      </c>
      <c r="J924" s="27">
        <v>160</v>
      </c>
      <c r="K924" s="2">
        <v>60552</v>
      </c>
      <c r="L924" s="27">
        <v>1905</v>
      </c>
      <c r="M924" s="27" t="s">
        <v>1965</v>
      </c>
      <c r="N924" s="27" t="str">
        <f t="shared" si="70"/>
        <v>http://hdl.handle.net/2027/uc1.b3014083?urlappend=%3Bseq=105</v>
      </c>
      <c r="O924" s="27" t="str">
        <f t="shared" si="71"/>
        <v>http://hdl.handle.net/2027/uc1.b3014083?urlappend=%3Bseq=126</v>
      </c>
      <c r="P924" s="27" t="str">
        <f t="shared" si="72"/>
        <v>http://hdl.handle.net/2027/uc1.b3014083?urlappend=%3Bseq=68</v>
      </c>
      <c r="Q924" s="27" t="str">
        <f t="shared" si="69"/>
        <v>https://babel.hathitrust.org/cgi/pt?id=uc1.b3014083;view=1up;seq=211</v>
      </c>
      <c r="R924" s="27" t="str">
        <f t="shared" si="73"/>
        <v>http://hdl.handle.net/2027/uc1.b3014083?urlappend=%3Bseq=212</v>
      </c>
      <c r="S924" s="27" t="str">
        <f t="shared" si="74"/>
        <v>http://hdl.handle.net/2027/uc1.b3014083?urlappend=%3Bseq=153</v>
      </c>
      <c r="T924" s="27" t="str">
        <f t="shared" si="75"/>
        <v>http://hdl.handle.net/2027/uc1.b3014083?urlappend=%3Bseq=174</v>
      </c>
    </row>
    <row r="925" spans="1:20" x14ac:dyDescent="0.25">
      <c r="A925" s="27" t="s">
        <v>1503</v>
      </c>
      <c r="B925" s="27" t="str">
        <f t="shared" si="76"/>
        <v>Texas</v>
      </c>
      <c r="C925" s="27" t="str">
        <f t="shared" si="77"/>
        <v>Lamb</v>
      </c>
      <c r="D925" s="27">
        <v>558</v>
      </c>
      <c r="E925" s="27">
        <v>1</v>
      </c>
      <c r="F925" s="26">
        <f>'TX pre'!G121</f>
        <v>55</v>
      </c>
      <c r="G925" s="10">
        <v>17</v>
      </c>
      <c r="H925" s="28">
        <f>'TX pre'!J121</f>
        <v>296</v>
      </c>
      <c r="I925" s="2">
        <v>879</v>
      </c>
      <c r="J925" s="27"/>
      <c r="K925" s="2"/>
      <c r="L925" s="27">
        <v>1905</v>
      </c>
      <c r="M925" s="27" t="s">
        <v>1965</v>
      </c>
      <c r="N925" s="27" t="str">
        <f t="shared" si="70"/>
        <v>http://hdl.handle.net/2027/uc1.b3014083?urlappend=%3Bseq=105</v>
      </c>
      <c r="O925" s="27" t="str">
        <f t="shared" si="71"/>
        <v>http://hdl.handle.net/2027/uc1.b3014083?urlappend=%3Bseq=126</v>
      </c>
      <c r="P925" s="27" t="str">
        <f t="shared" si="72"/>
        <v>http://hdl.handle.net/2027/uc1.b3014083?urlappend=%3Bseq=68</v>
      </c>
      <c r="Q925" s="27" t="str">
        <f t="shared" si="69"/>
        <v>https://babel.hathitrust.org/cgi/pt?id=uc1.b3014083;view=1up;seq=211</v>
      </c>
      <c r="R925" s="27" t="str">
        <f t="shared" si="73"/>
        <v>http://hdl.handle.net/2027/uc1.b3014083?urlappend=%3Bseq=212</v>
      </c>
      <c r="S925" s="27" t="str">
        <f t="shared" si="74"/>
        <v>http://hdl.handle.net/2027/uc1.b3014083?urlappend=%3Bseq=153</v>
      </c>
      <c r="T925" s="27" t="str">
        <f t="shared" si="75"/>
        <v>http://hdl.handle.net/2027/uc1.b3014083?urlappend=%3Bseq=174</v>
      </c>
    </row>
    <row r="926" spans="1:20" x14ac:dyDescent="0.25">
      <c r="A926" s="27" t="s">
        <v>1504</v>
      </c>
      <c r="B926" s="27" t="str">
        <f t="shared" si="76"/>
        <v>Texas</v>
      </c>
      <c r="C926" s="27" t="str">
        <f t="shared" si="77"/>
        <v>Lampasas</v>
      </c>
      <c r="D926" s="27">
        <v>103110</v>
      </c>
      <c r="E926" s="27">
        <v>41</v>
      </c>
      <c r="F926" s="26">
        <f>'TX pre'!G122</f>
        <v>95.878048780487802</v>
      </c>
      <c r="G926" s="10">
        <v>1689</v>
      </c>
      <c r="H926" s="28">
        <f>'TX pre'!J122</f>
        <v>44.096972780462991</v>
      </c>
      <c r="I926" s="2">
        <v>9185</v>
      </c>
      <c r="J926" s="27">
        <v>36</v>
      </c>
      <c r="K926" s="2">
        <v>16175</v>
      </c>
      <c r="L926" s="27">
        <v>1905</v>
      </c>
      <c r="M926" s="27" t="s">
        <v>1965</v>
      </c>
      <c r="N926" s="27" t="str">
        <f t="shared" si="70"/>
        <v>http://hdl.handle.net/2027/uc1.b3014083?urlappend=%3Bseq=105</v>
      </c>
      <c r="O926" s="27" t="str">
        <f t="shared" si="71"/>
        <v>http://hdl.handle.net/2027/uc1.b3014083?urlappend=%3Bseq=126</v>
      </c>
      <c r="P926" s="27" t="str">
        <f t="shared" si="72"/>
        <v>http://hdl.handle.net/2027/uc1.b3014083?urlappend=%3Bseq=68</v>
      </c>
      <c r="Q926" s="27" t="str">
        <f t="shared" si="69"/>
        <v>https://babel.hathitrust.org/cgi/pt?id=uc1.b3014083;view=1up;seq=211</v>
      </c>
      <c r="R926" s="27" t="str">
        <f t="shared" si="73"/>
        <v>http://hdl.handle.net/2027/uc1.b3014083?urlappend=%3Bseq=212</v>
      </c>
      <c r="S926" s="27" t="str">
        <f t="shared" si="74"/>
        <v>http://hdl.handle.net/2027/uc1.b3014083?urlappend=%3Bseq=153</v>
      </c>
      <c r="T926" s="27" t="str">
        <f t="shared" si="75"/>
        <v>http://hdl.handle.net/2027/uc1.b3014083?urlappend=%3Bseq=174</v>
      </c>
    </row>
    <row r="927" spans="1:20" x14ac:dyDescent="0.25">
      <c r="A927" s="27" t="s">
        <v>1505</v>
      </c>
      <c r="B927" s="27" t="str">
        <f t="shared" si="76"/>
        <v>Texas</v>
      </c>
      <c r="C927" s="27" t="str">
        <f t="shared" si="77"/>
        <v>La Salle</v>
      </c>
      <c r="D927" s="27">
        <v>45512</v>
      </c>
      <c r="E927" s="27">
        <v>9</v>
      </c>
      <c r="F927" s="26">
        <f>'TX pre'!G123</f>
        <v>137.66666666666666</v>
      </c>
      <c r="G927" s="10">
        <v>425</v>
      </c>
      <c r="H927" s="28">
        <f>'TX pre'!J123</f>
        <v>59.330104923325273</v>
      </c>
      <c r="I927" s="2">
        <v>4345</v>
      </c>
      <c r="J927" s="27">
        <v>6</v>
      </c>
      <c r="K927" s="2">
        <v>2821</v>
      </c>
      <c r="L927" s="27">
        <v>1905</v>
      </c>
      <c r="M927" s="27" t="s">
        <v>1965</v>
      </c>
      <c r="N927" s="27" t="str">
        <f t="shared" si="70"/>
        <v>http://hdl.handle.net/2027/uc1.b3014083?urlappend=%3Bseq=105</v>
      </c>
      <c r="O927" s="27" t="str">
        <f t="shared" si="71"/>
        <v>http://hdl.handle.net/2027/uc1.b3014083?urlappend=%3Bseq=126</v>
      </c>
      <c r="P927" s="27" t="str">
        <f t="shared" si="72"/>
        <v>http://hdl.handle.net/2027/uc1.b3014083?urlappend=%3Bseq=68</v>
      </c>
      <c r="Q927" s="27" t="str">
        <f t="shared" si="69"/>
        <v>https://babel.hathitrust.org/cgi/pt?id=uc1.b3014083;view=1up;seq=211</v>
      </c>
      <c r="R927" s="27" t="str">
        <f t="shared" si="73"/>
        <v>http://hdl.handle.net/2027/uc1.b3014083?urlappend=%3Bseq=212</v>
      </c>
      <c r="S927" s="27" t="str">
        <f t="shared" si="74"/>
        <v>http://hdl.handle.net/2027/uc1.b3014083?urlappend=%3Bseq=153</v>
      </c>
      <c r="T927" s="27" t="str">
        <f t="shared" si="75"/>
        <v>http://hdl.handle.net/2027/uc1.b3014083?urlappend=%3Bseq=174</v>
      </c>
    </row>
    <row r="928" spans="1:20" x14ac:dyDescent="0.25">
      <c r="A928" s="27" t="s">
        <v>1506</v>
      </c>
      <c r="B928" s="27" t="str">
        <f t="shared" si="76"/>
        <v>Texas</v>
      </c>
      <c r="C928" s="27" t="str">
        <f t="shared" si="77"/>
        <v>Lavaca</v>
      </c>
      <c r="D928" s="27">
        <v>356436</v>
      </c>
      <c r="E928" s="27">
        <v>108</v>
      </c>
      <c r="F928" s="26">
        <f>'TX pre'!G124</f>
        <v>112.53703703703704</v>
      </c>
      <c r="G928" s="10">
        <v>5043</v>
      </c>
      <c r="H928" s="28">
        <f>'TX pre'!J124</f>
        <v>48.944627283198955</v>
      </c>
      <c r="I928" s="2">
        <v>32699</v>
      </c>
      <c r="J928" s="27">
        <v>91</v>
      </c>
      <c r="K928" s="2">
        <v>43161</v>
      </c>
      <c r="L928" s="27">
        <v>1905</v>
      </c>
      <c r="M928" s="27" t="s">
        <v>1965</v>
      </c>
      <c r="N928" s="27" t="str">
        <f t="shared" si="70"/>
        <v>http://hdl.handle.net/2027/uc1.b3014083?urlappend=%3Bseq=105</v>
      </c>
      <c r="O928" s="27" t="str">
        <f t="shared" si="71"/>
        <v>http://hdl.handle.net/2027/uc1.b3014083?urlappend=%3Bseq=126</v>
      </c>
      <c r="P928" s="27" t="str">
        <f t="shared" si="72"/>
        <v>http://hdl.handle.net/2027/uc1.b3014083?urlappend=%3Bseq=68</v>
      </c>
      <c r="Q928" s="27" t="str">
        <f t="shared" si="69"/>
        <v>https://babel.hathitrust.org/cgi/pt?id=uc1.b3014083;view=1up;seq=211</v>
      </c>
      <c r="R928" s="27" t="str">
        <f t="shared" si="73"/>
        <v>http://hdl.handle.net/2027/uc1.b3014083?urlappend=%3Bseq=212</v>
      </c>
      <c r="S928" s="27" t="str">
        <f t="shared" si="74"/>
        <v>http://hdl.handle.net/2027/uc1.b3014083?urlappend=%3Bseq=153</v>
      </c>
      <c r="T928" s="27" t="str">
        <f t="shared" si="75"/>
        <v>http://hdl.handle.net/2027/uc1.b3014083?urlappend=%3Bseq=174</v>
      </c>
    </row>
    <row r="929" spans="1:20" x14ac:dyDescent="0.25">
      <c r="A929" s="27" t="s">
        <v>1508</v>
      </c>
      <c r="B929" s="27" t="str">
        <f t="shared" si="76"/>
        <v>Texas</v>
      </c>
      <c r="C929" s="27" t="str">
        <f t="shared" si="77"/>
        <v>Leon</v>
      </c>
      <c r="D929" s="27">
        <v>237665</v>
      </c>
      <c r="E929" s="27">
        <v>105</v>
      </c>
      <c r="F929" s="26">
        <f>'TX pre'!G125</f>
        <v>88.819047619047623</v>
      </c>
      <c r="G929" s="10">
        <v>3914</v>
      </c>
      <c r="H929" s="28">
        <f>'TX pre'!J125</f>
        <v>44.161226678104228</v>
      </c>
      <c r="I929" s="2">
        <v>21057</v>
      </c>
      <c r="J929" s="27">
        <v>99</v>
      </c>
      <c r="K929" s="2">
        <v>13703</v>
      </c>
      <c r="L929" s="27">
        <v>1905</v>
      </c>
      <c r="M929" s="27" t="s">
        <v>1965</v>
      </c>
      <c r="N929" s="27" t="str">
        <f t="shared" si="70"/>
        <v>http://hdl.handle.net/2027/uc1.b3014083?urlappend=%3Bseq=105</v>
      </c>
      <c r="O929" s="27" t="str">
        <f t="shared" si="71"/>
        <v>http://hdl.handle.net/2027/uc1.b3014083?urlappend=%3Bseq=126</v>
      </c>
      <c r="P929" s="27" t="str">
        <f t="shared" si="72"/>
        <v>http://hdl.handle.net/2027/uc1.b3014083?urlappend=%3Bseq=68</v>
      </c>
      <c r="Q929" s="27" t="str">
        <f t="shared" si="69"/>
        <v>https://babel.hathitrust.org/cgi/pt?id=uc1.b3014083;view=1up;seq=211</v>
      </c>
      <c r="R929" s="27" t="str">
        <f t="shared" si="73"/>
        <v>http://hdl.handle.net/2027/uc1.b3014083?urlappend=%3Bseq=212</v>
      </c>
      <c r="S929" s="27" t="str">
        <f t="shared" si="74"/>
        <v>http://hdl.handle.net/2027/uc1.b3014083?urlappend=%3Bseq=153</v>
      </c>
      <c r="T929" s="27" t="str">
        <f t="shared" si="75"/>
        <v>http://hdl.handle.net/2027/uc1.b3014083?urlappend=%3Bseq=174</v>
      </c>
    </row>
    <row r="930" spans="1:20" x14ac:dyDescent="0.25">
      <c r="A930" s="27" t="s">
        <v>1509</v>
      </c>
      <c r="B930" s="27" t="str">
        <f t="shared" si="76"/>
        <v>Texas</v>
      </c>
      <c r="C930" s="27" t="str">
        <f t="shared" si="77"/>
        <v>Liberty</v>
      </c>
      <c r="D930" s="27">
        <v>93454</v>
      </c>
      <c r="E930" s="27">
        <v>56</v>
      </c>
      <c r="F930" s="26">
        <f>'TX pre'!G126</f>
        <v>76.589285714285708</v>
      </c>
      <c r="G930" s="10">
        <v>1568</v>
      </c>
      <c r="H930" s="28">
        <f>'TX pre'!J126</f>
        <v>46.88869200279786</v>
      </c>
      <c r="I930" s="2">
        <v>10904</v>
      </c>
      <c r="J930" s="27">
        <v>46</v>
      </c>
      <c r="K930" s="2">
        <v>8067</v>
      </c>
      <c r="L930" s="27">
        <v>1905</v>
      </c>
      <c r="M930" s="27" t="s">
        <v>1965</v>
      </c>
      <c r="N930" s="27" t="str">
        <f t="shared" si="70"/>
        <v>http://hdl.handle.net/2027/uc1.b3014083?urlappend=%3Bseq=105</v>
      </c>
      <c r="O930" s="27" t="str">
        <f t="shared" si="71"/>
        <v>http://hdl.handle.net/2027/uc1.b3014083?urlappend=%3Bseq=126</v>
      </c>
      <c r="P930" s="27" t="str">
        <f t="shared" si="72"/>
        <v>http://hdl.handle.net/2027/uc1.b3014083?urlappend=%3Bseq=68</v>
      </c>
      <c r="Q930" s="27" t="str">
        <f t="shared" si="69"/>
        <v>https://babel.hathitrust.org/cgi/pt?id=uc1.b3014083;view=1up;seq=211</v>
      </c>
      <c r="R930" s="27" t="str">
        <f t="shared" si="73"/>
        <v>http://hdl.handle.net/2027/uc1.b3014083?urlappend=%3Bseq=212</v>
      </c>
      <c r="S930" s="27" t="str">
        <f t="shared" si="74"/>
        <v>http://hdl.handle.net/2027/uc1.b3014083?urlappend=%3Bseq=153</v>
      </c>
      <c r="T930" s="27" t="str">
        <f t="shared" si="75"/>
        <v>http://hdl.handle.net/2027/uc1.b3014083?urlappend=%3Bseq=174</v>
      </c>
    </row>
    <row r="931" spans="1:20" x14ac:dyDescent="0.25">
      <c r="A931" s="27" t="s">
        <v>1511</v>
      </c>
      <c r="B931" s="27" t="str">
        <f t="shared" si="76"/>
        <v>Texas</v>
      </c>
      <c r="C931" s="27" t="str">
        <f t="shared" si="77"/>
        <v>Lipscomb</v>
      </c>
      <c r="D931" s="27">
        <v>13307</v>
      </c>
      <c r="E931" s="27">
        <v>10</v>
      </c>
      <c r="F931" s="26">
        <f>'TX pre'!G127</f>
        <v>143.9</v>
      </c>
      <c r="G931" s="10">
        <v>269</v>
      </c>
      <c r="H931" s="28">
        <f>'TX pre'!J127</f>
        <v>45.239749826268238</v>
      </c>
      <c r="I931" s="2">
        <v>4002</v>
      </c>
      <c r="J931" s="27">
        <v>10</v>
      </c>
      <c r="K931" s="2">
        <v>3190</v>
      </c>
      <c r="L931" s="27">
        <v>1905</v>
      </c>
      <c r="M931" s="27" t="s">
        <v>1965</v>
      </c>
      <c r="N931" s="27" t="str">
        <f t="shared" si="70"/>
        <v>http://hdl.handle.net/2027/uc1.b3014083?urlappend=%3Bseq=105</v>
      </c>
      <c r="O931" s="27" t="str">
        <f t="shared" si="71"/>
        <v>http://hdl.handle.net/2027/uc1.b3014083?urlappend=%3Bseq=126</v>
      </c>
      <c r="P931" s="27" t="str">
        <f t="shared" si="72"/>
        <v>http://hdl.handle.net/2027/uc1.b3014083?urlappend=%3Bseq=68</v>
      </c>
      <c r="Q931" s="27" t="str">
        <f t="shared" si="69"/>
        <v>https://babel.hathitrust.org/cgi/pt?id=uc1.b3014083;view=1up;seq=211</v>
      </c>
      <c r="R931" s="27" t="str">
        <f t="shared" si="73"/>
        <v>http://hdl.handle.net/2027/uc1.b3014083?urlappend=%3Bseq=212</v>
      </c>
      <c r="S931" s="27" t="str">
        <f t="shared" si="74"/>
        <v>http://hdl.handle.net/2027/uc1.b3014083?urlappend=%3Bseq=153</v>
      </c>
      <c r="T931" s="27" t="str">
        <f t="shared" si="75"/>
        <v>http://hdl.handle.net/2027/uc1.b3014083?urlappend=%3Bseq=174</v>
      </c>
    </row>
    <row r="932" spans="1:20" x14ac:dyDescent="0.25">
      <c r="A932" s="27" t="s">
        <v>1512</v>
      </c>
      <c r="B932" s="27" t="str">
        <f t="shared" si="76"/>
        <v>Texas</v>
      </c>
      <c r="C932" s="27" t="str">
        <f t="shared" si="77"/>
        <v>Live Oak</v>
      </c>
      <c r="D932" s="27">
        <v>20181</v>
      </c>
      <c r="E932" s="27">
        <v>15</v>
      </c>
      <c r="F932" s="26">
        <f>'TX pre'!G128</f>
        <v>93.4</v>
      </c>
      <c r="G932" s="10">
        <v>294</v>
      </c>
      <c r="H932" s="28">
        <f>'TX pre'!J128</f>
        <v>40.885082084225552</v>
      </c>
      <c r="I932" s="2">
        <v>2983</v>
      </c>
      <c r="J932" s="27">
        <v>15</v>
      </c>
      <c r="K932" s="2">
        <v>2118</v>
      </c>
      <c r="L932" s="27">
        <v>1905</v>
      </c>
      <c r="M932" s="27" t="s">
        <v>1965</v>
      </c>
      <c r="N932" s="27" t="str">
        <f t="shared" si="70"/>
        <v>http://hdl.handle.net/2027/uc1.b3014083?urlappend=%3Bseq=105</v>
      </c>
      <c r="O932" s="27" t="str">
        <f t="shared" si="71"/>
        <v>http://hdl.handle.net/2027/uc1.b3014083?urlappend=%3Bseq=126</v>
      </c>
      <c r="P932" s="27" t="str">
        <f t="shared" si="72"/>
        <v>http://hdl.handle.net/2027/uc1.b3014083?urlappend=%3Bseq=68</v>
      </c>
      <c r="Q932" s="27" t="str">
        <f t="shared" si="69"/>
        <v>https://babel.hathitrust.org/cgi/pt?id=uc1.b3014083;view=1up;seq=211</v>
      </c>
      <c r="R932" s="27" t="str">
        <f t="shared" si="73"/>
        <v>http://hdl.handle.net/2027/uc1.b3014083?urlappend=%3Bseq=212</v>
      </c>
      <c r="S932" s="27" t="str">
        <f t="shared" si="74"/>
        <v>http://hdl.handle.net/2027/uc1.b3014083?urlappend=%3Bseq=153</v>
      </c>
      <c r="T932" s="27" t="str">
        <f t="shared" si="75"/>
        <v>http://hdl.handle.net/2027/uc1.b3014083?urlappend=%3Bseq=174</v>
      </c>
    </row>
    <row r="933" spans="1:20" x14ac:dyDescent="0.25">
      <c r="A933" s="27" t="s">
        <v>1513</v>
      </c>
      <c r="B933" s="27" t="str">
        <f t="shared" si="76"/>
        <v>Texas</v>
      </c>
      <c r="C933" s="27" t="str">
        <f t="shared" si="77"/>
        <v>Llano</v>
      </c>
      <c r="D933" s="27">
        <v>61681</v>
      </c>
      <c r="E933" s="27">
        <v>33</v>
      </c>
      <c r="F933" s="26">
        <f>'TX pre'!G129</f>
        <v>88.212121212121218</v>
      </c>
      <c r="G933" s="10">
        <v>1122</v>
      </c>
      <c r="H933" s="28">
        <f>'TX pre'!J129</f>
        <v>40.63517691514943</v>
      </c>
      <c r="I933" s="2">
        <v>6206</v>
      </c>
      <c r="J933" s="27">
        <v>33</v>
      </c>
      <c r="K933" s="2">
        <v>7257</v>
      </c>
      <c r="L933" s="27">
        <v>1905</v>
      </c>
      <c r="M933" s="27" t="s">
        <v>1965</v>
      </c>
      <c r="N933" s="27" t="str">
        <f t="shared" si="70"/>
        <v>http://hdl.handle.net/2027/uc1.b3014083?urlappend=%3Bseq=105</v>
      </c>
      <c r="O933" s="27" t="str">
        <f t="shared" si="71"/>
        <v>http://hdl.handle.net/2027/uc1.b3014083?urlappend=%3Bseq=126</v>
      </c>
      <c r="P933" s="27" t="str">
        <f t="shared" si="72"/>
        <v>http://hdl.handle.net/2027/uc1.b3014083?urlappend=%3Bseq=68</v>
      </c>
      <c r="Q933" s="27" t="str">
        <f t="shared" si="69"/>
        <v>https://babel.hathitrust.org/cgi/pt?id=uc1.b3014083;view=1up;seq=211</v>
      </c>
      <c r="R933" s="27" t="str">
        <f t="shared" si="73"/>
        <v>http://hdl.handle.net/2027/uc1.b3014083?urlappend=%3Bseq=212</v>
      </c>
      <c r="S933" s="27" t="str">
        <f t="shared" si="74"/>
        <v>http://hdl.handle.net/2027/uc1.b3014083?urlappend=%3Bseq=153</v>
      </c>
      <c r="T933" s="27" t="str">
        <f t="shared" si="75"/>
        <v>http://hdl.handle.net/2027/uc1.b3014083?urlappend=%3Bseq=174</v>
      </c>
    </row>
    <row r="934" spans="1:20" x14ac:dyDescent="0.25">
      <c r="A934" s="27" t="s">
        <v>1515</v>
      </c>
      <c r="B934" s="27" t="str">
        <f t="shared" si="76"/>
        <v>Texas</v>
      </c>
      <c r="C934" s="27" t="str">
        <f t="shared" si="77"/>
        <v>Lubbock</v>
      </c>
      <c r="D934" s="27">
        <v>29189</v>
      </c>
      <c r="E934" s="27">
        <v>12</v>
      </c>
      <c r="F934" s="26">
        <f>'TX pre'!G130</f>
        <v>131.08333333333334</v>
      </c>
      <c r="G934" s="10">
        <v>358</v>
      </c>
      <c r="H934" s="28">
        <f>'TX pre'!J130</f>
        <v>51.857596948506036</v>
      </c>
      <c r="I934" s="2">
        <v>4665</v>
      </c>
      <c r="J934" s="27">
        <v>11</v>
      </c>
      <c r="K934" s="2">
        <v>5170</v>
      </c>
      <c r="L934" s="27">
        <v>1905</v>
      </c>
      <c r="M934" s="27" t="s">
        <v>1965</v>
      </c>
      <c r="N934" s="27" t="str">
        <f t="shared" si="70"/>
        <v>http://hdl.handle.net/2027/uc1.b3014083?urlappend=%3Bseq=105</v>
      </c>
      <c r="O934" s="27" t="str">
        <f t="shared" si="71"/>
        <v>http://hdl.handle.net/2027/uc1.b3014083?urlappend=%3Bseq=126</v>
      </c>
      <c r="P934" s="27" t="str">
        <f t="shared" si="72"/>
        <v>http://hdl.handle.net/2027/uc1.b3014083?urlappend=%3Bseq=68</v>
      </c>
      <c r="Q934" s="27" t="str">
        <f t="shared" si="69"/>
        <v>https://babel.hathitrust.org/cgi/pt?id=uc1.b3014083;view=1up;seq=211</v>
      </c>
      <c r="R934" s="27" t="str">
        <f t="shared" si="73"/>
        <v>http://hdl.handle.net/2027/uc1.b3014083?urlappend=%3Bseq=212</v>
      </c>
      <c r="S934" s="27" t="str">
        <f t="shared" si="74"/>
        <v>http://hdl.handle.net/2027/uc1.b3014083?urlappend=%3Bseq=153</v>
      </c>
      <c r="T934" s="27" t="str">
        <f t="shared" si="75"/>
        <v>http://hdl.handle.net/2027/uc1.b3014083?urlappend=%3Bseq=174</v>
      </c>
    </row>
    <row r="935" spans="1:20" x14ac:dyDescent="0.25">
      <c r="A935" s="27" t="s">
        <v>1516</v>
      </c>
      <c r="B935" s="27" t="str">
        <f t="shared" si="76"/>
        <v>Texas</v>
      </c>
      <c r="C935" s="27" t="str">
        <f t="shared" si="77"/>
        <v>Lynn</v>
      </c>
      <c r="D935" s="27">
        <v>16171</v>
      </c>
      <c r="E935" s="27">
        <v>9</v>
      </c>
      <c r="F935" s="26">
        <f>'TX pre'!G131</f>
        <v>118.11111111111111</v>
      </c>
      <c r="G935" s="10">
        <v>224</v>
      </c>
      <c r="H935" s="28">
        <f>'TX pre'!J131</f>
        <v>40.378174976481652</v>
      </c>
      <c r="I935" s="2">
        <v>2839</v>
      </c>
      <c r="J935" s="27">
        <v>7</v>
      </c>
      <c r="K935" s="2">
        <v>2507</v>
      </c>
      <c r="L935" s="27">
        <v>1905</v>
      </c>
      <c r="M935" s="27" t="s">
        <v>1965</v>
      </c>
      <c r="N935" s="27" t="str">
        <f t="shared" si="70"/>
        <v>http://hdl.handle.net/2027/uc1.b3014083?urlappend=%3Bseq=105</v>
      </c>
      <c r="O935" s="27" t="str">
        <f t="shared" si="71"/>
        <v>http://hdl.handle.net/2027/uc1.b3014083?urlappend=%3Bseq=126</v>
      </c>
      <c r="P935" s="27" t="str">
        <f t="shared" si="72"/>
        <v>http://hdl.handle.net/2027/uc1.b3014083?urlappend=%3Bseq=68</v>
      </c>
      <c r="Q935" s="27" t="str">
        <f t="shared" si="69"/>
        <v>https://babel.hathitrust.org/cgi/pt?id=uc1.b3014083;view=1up;seq=211</v>
      </c>
      <c r="R935" s="27" t="str">
        <f t="shared" si="73"/>
        <v>http://hdl.handle.net/2027/uc1.b3014083?urlappend=%3Bseq=212</v>
      </c>
      <c r="S935" s="27" t="str">
        <f t="shared" si="74"/>
        <v>http://hdl.handle.net/2027/uc1.b3014083?urlappend=%3Bseq=153</v>
      </c>
      <c r="T935" s="27" t="str">
        <f t="shared" si="75"/>
        <v>http://hdl.handle.net/2027/uc1.b3014083?urlappend=%3Bseq=174</v>
      </c>
    </row>
    <row r="936" spans="1:20" x14ac:dyDescent="0.25">
      <c r="A936" s="27" t="s">
        <v>1520</v>
      </c>
      <c r="B936" s="27" t="str">
        <f t="shared" si="76"/>
        <v>Texas</v>
      </c>
      <c r="C936" s="27" t="str">
        <f t="shared" si="77"/>
        <v>Madison</v>
      </c>
      <c r="D936" s="27">
        <v>111457</v>
      </c>
      <c r="E936" s="27">
        <v>48</v>
      </c>
      <c r="F936" s="26">
        <f>'TX pre'!G132</f>
        <v>87.416666666666671</v>
      </c>
      <c r="G936" s="10">
        <v>2111</v>
      </c>
      <c r="H936" s="28">
        <f>'TX pre'!J132</f>
        <v>44.534032411820782</v>
      </c>
      <c r="I936" s="2">
        <v>9883</v>
      </c>
      <c r="J936" s="27">
        <v>43</v>
      </c>
      <c r="K936" s="2">
        <v>4785</v>
      </c>
      <c r="L936" s="27">
        <v>1905</v>
      </c>
      <c r="M936" s="27" t="s">
        <v>1965</v>
      </c>
      <c r="N936" s="27" t="str">
        <f t="shared" si="70"/>
        <v>http://hdl.handle.net/2027/uc1.b3014083?urlappend=%3Bseq=105</v>
      </c>
      <c r="O936" s="27" t="str">
        <f t="shared" si="71"/>
        <v>http://hdl.handle.net/2027/uc1.b3014083?urlappend=%3Bseq=126</v>
      </c>
      <c r="P936" s="27" t="str">
        <f t="shared" si="72"/>
        <v>http://hdl.handle.net/2027/uc1.b3014083?urlappend=%3Bseq=68</v>
      </c>
      <c r="Q936" s="27" t="str">
        <f t="shared" ref="Q936:Q999" si="78">Q935</f>
        <v>https://babel.hathitrust.org/cgi/pt?id=uc1.b3014083;view=1up;seq=211</v>
      </c>
      <c r="R936" s="27" t="str">
        <f t="shared" si="73"/>
        <v>http://hdl.handle.net/2027/uc1.b3014083?urlappend=%3Bseq=212</v>
      </c>
      <c r="S936" s="27" t="str">
        <f t="shared" si="74"/>
        <v>http://hdl.handle.net/2027/uc1.b3014083?urlappend=%3Bseq=153</v>
      </c>
      <c r="T936" s="27" t="str">
        <f t="shared" si="75"/>
        <v>http://hdl.handle.net/2027/uc1.b3014083?urlappend=%3Bseq=174</v>
      </c>
    </row>
    <row r="937" spans="1:20" x14ac:dyDescent="0.25">
      <c r="A937" s="27" t="s">
        <v>1521</v>
      </c>
      <c r="B937" s="27" t="str">
        <f t="shared" si="76"/>
        <v>Texas</v>
      </c>
      <c r="C937" s="27" t="str">
        <f t="shared" si="77"/>
        <v>Marion</v>
      </c>
      <c r="D937" s="27">
        <v>184495</v>
      </c>
      <c r="E937" s="27">
        <v>63</v>
      </c>
      <c r="F937" s="26">
        <f>'TX pre'!G133</f>
        <v>120.66666666666667</v>
      </c>
      <c r="G937" s="10">
        <v>2819</v>
      </c>
      <c r="H937" s="28">
        <f>'TX pre'!J133</f>
        <v>44.136674559326487</v>
      </c>
      <c r="I937" s="2">
        <v>18416</v>
      </c>
      <c r="J937" s="27">
        <v>53</v>
      </c>
      <c r="K937" s="2">
        <v>16985</v>
      </c>
      <c r="L937" s="27">
        <v>1905</v>
      </c>
      <c r="M937" s="27" t="s">
        <v>1965</v>
      </c>
      <c r="N937" s="27" t="str">
        <f t="shared" si="70"/>
        <v>http://hdl.handle.net/2027/uc1.b3014083?urlappend=%3Bseq=105</v>
      </c>
      <c r="O937" s="27" t="str">
        <f t="shared" si="71"/>
        <v>http://hdl.handle.net/2027/uc1.b3014083?urlappend=%3Bseq=126</v>
      </c>
      <c r="P937" s="27" t="str">
        <f t="shared" si="72"/>
        <v>http://hdl.handle.net/2027/uc1.b3014083?urlappend=%3Bseq=68</v>
      </c>
      <c r="Q937" s="27" t="str">
        <f t="shared" si="78"/>
        <v>https://babel.hathitrust.org/cgi/pt?id=uc1.b3014083;view=1up;seq=211</v>
      </c>
      <c r="R937" s="27" t="str">
        <f t="shared" si="73"/>
        <v>http://hdl.handle.net/2027/uc1.b3014083?urlappend=%3Bseq=212</v>
      </c>
      <c r="S937" s="27" t="str">
        <f t="shared" si="74"/>
        <v>http://hdl.handle.net/2027/uc1.b3014083?urlappend=%3Bseq=153</v>
      </c>
      <c r="T937" s="27" t="str">
        <f t="shared" si="75"/>
        <v>http://hdl.handle.net/2027/uc1.b3014083?urlappend=%3Bseq=174</v>
      </c>
    </row>
    <row r="938" spans="1:20" x14ac:dyDescent="0.25">
      <c r="A938" s="27" t="s">
        <v>1522</v>
      </c>
      <c r="B938" s="27" t="str">
        <f t="shared" si="76"/>
        <v>Texas</v>
      </c>
      <c r="C938" s="27" t="str">
        <f t="shared" si="77"/>
        <v>Martin</v>
      </c>
      <c r="D938" s="27">
        <v>9210</v>
      </c>
      <c r="E938" s="27">
        <v>4</v>
      </c>
      <c r="F938" s="26">
        <f>'TX pre'!G134</f>
        <v>80</v>
      </c>
      <c r="G938" s="10">
        <v>90</v>
      </c>
      <c r="H938" s="28">
        <f>'TX pre'!J134</f>
        <v>60.75</v>
      </c>
      <c r="I938" s="2">
        <v>1424</v>
      </c>
      <c r="J938" s="27">
        <v>1</v>
      </c>
      <c r="K938" s="2">
        <v>1330</v>
      </c>
      <c r="L938" s="27">
        <v>1905</v>
      </c>
      <c r="M938" s="27" t="s">
        <v>1965</v>
      </c>
      <c r="N938" s="27" t="str">
        <f t="shared" si="70"/>
        <v>http://hdl.handle.net/2027/uc1.b3014083?urlappend=%3Bseq=105</v>
      </c>
      <c r="O938" s="27" t="str">
        <f t="shared" si="71"/>
        <v>http://hdl.handle.net/2027/uc1.b3014083?urlappend=%3Bseq=126</v>
      </c>
      <c r="P938" s="27" t="str">
        <f t="shared" si="72"/>
        <v>http://hdl.handle.net/2027/uc1.b3014083?urlappend=%3Bseq=68</v>
      </c>
      <c r="Q938" s="27" t="str">
        <f t="shared" si="78"/>
        <v>https://babel.hathitrust.org/cgi/pt?id=uc1.b3014083;view=1up;seq=211</v>
      </c>
      <c r="R938" s="27" t="str">
        <f t="shared" si="73"/>
        <v>http://hdl.handle.net/2027/uc1.b3014083?urlappend=%3Bseq=212</v>
      </c>
      <c r="S938" s="27" t="str">
        <f t="shared" si="74"/>
        <v>http://hdl.handle.net/2027/uc1.b3014083?urlappend=%3Bseq=153</v>
      </c>
      <c r="T938" s="27" t="str">
        <f t="shared" si="75"/>
        <v>http://hdl.handle.net/2027/uc1.b3014083?urlappend=%3Bseq=174</v>
      </c>
    </row>
    <row r="939" spans="1:20" x14ac:dyDescent="0.25">
      <c r="A939" s="27" t="s">
        <v>1523</v>
      </c>
      <c r="B939" s="27" t="str">
        <f t="shared" si="76"/>
        <v>Texas</v>
      </c>
      <c r="C939" s="27" t="str">
        <f t="shared" si="77"/>
        <v>Mason</v>
      </c>
      <c r="D939" s="27">
        <v>61783</v>
      </c>
      <c r="E939" s="27">
        <v>32</v>
      </c>
      <c r="F939" s="26">
        <f>'TX pre'!G135</f>
        <v>84</v>
      </c>
      <c r="G939" s="10">
        <v>1050</v>
      </c>
      <c r="H939" s="28">
        <f>'TX pre'!J135</f>
        <v>43.792633928571426</v>
      </c>
      <c r="I939" s="2">
        <v>6574</v>
      </c>
      <c r="J939" s="27">
        <v>28</v>
      </c>
      <c r="K939" s="2">
        <v>8525</v>
      </c>
      <c r="L939" s="27">
        <v>1905</v>
      </c>
      <c r="M939" s="27" t="s">
        <v>1965</v>
      </c>
      <c r="N939" s="27" t="str">
        <f t="shared" si="70"/>
        <v>http://hdl.handle.net/2027/uc1.b3014083?urlappend=%3Bseq=105</v>
      </c>
      <c r="O939" s="27" t="str">
        <f t="shared" si="71"/>
        <v>http://hdl.handle.net/2027/uc1.b3014083?urlappend=%3Bseq=126</v>
      </c>
      <c r="P939" s="27" t="str">
        <f t="shared" si="72"/>
        <v>http://hdl.handle.net/2027/uc1.b3014083?urlappend=%3Bseq=68</v>
      </c>
      <c r="Q939" s="27" t="str">
        <f t="shared" si="78"/>
        <v>https://babel.hathitrust.org/cgi/pt?id=uc1.b3014083;view=1up;seq=211</v>
      </c>
      <c r="R939" s="27" t="str">
        <f t="shared" si="73"/>
        <v>http://hdl.handle.net/2027/uc1.b3014083?urlappend=%3Bseq=212</v>
      </c>
      <c r="S939" s="27" t="str">
        <f t="shared" si="74"/>
        <v>http://hdl.handle.net/2027/uc1.b3014083?urlappend=%3Bseq=153</v>
      </c>
      <c r="T939" s="27" t="str">
        <f t="shared" si="75"/>
        <v>http://hdl.handle.net/2027/uc1.b3014083?urlappend=%3Bseq=174</v>
      </c>
    </row>
    <row r="940" spans="1:20" x14ac:dyDescent="0.25">
      <c r="A940" s="27" t="s">
        <v>1525</v>
      </c>
      <c r="B940" s="27" t="str">
        <f t="shared" si="76"/>
        <v>Texas</v>
      </c>
      <c r="C940" s="27" t="str">
        <f t="shared" si="77"/>
        <v>Maverick</v>
      </c>
      <c r="D940" s="27">
        <v>1977</v>
      </c>
      <c r="E940" s="27">
        <v>2</v>
      </c>
      <c r="F940" s="26">
        <f>'TX pre'!G136</f>
        <v>73.5</v>
      </c>
      <c r="G940" s="10">
        <v>26</v>
      </c>
      <c r="H940" s="28">
        <f>'TX pre'!J136</f>
        <v>102.98095238095239</v>
      </c>
      <c r="I940" s="2">
        <v>1056</v>
      </c>
      <c r="J940" s="27">
        <v>1</v>
      </c>
      <c r="K940" s="2">
        <v>400</v>
      </c>
      <c r="L940" s="27">
        <v>1905</v>
      </c>
      <c r="M940" s="27" t="s">
        <v>1965</v>
      </c>
      <c r="N940" s="27" t="str">
        <f t="shared" si="70"/>
        <v>http://hdl.handle.net/2027/uc1.b3014083?urlappend=%3Bseq=105</v>
      </c>
      <c r="O940" s="27" t="str">
        <f t="shared" si="71"/>
        <v>http://hdl.handle.net/2027/uc1.b3014083?urlappend=%3Bseq=126</v>
      </c>
      <c r="P940" s="27" t="str">
        <f t="shared" si="72"/>
        <v>http://hdl.handle.net/2027/uc1.b3014083?urlappend=%3Bseq=68</v>
      </c>
      <c r="Q940" s="27" t="str">
        <f t="shared" si="78"/>
        <v>https://babel.hathitrust.org/cgi/pt?id=uc1.b3014083;view=1up;seq=211</v>
      </c>
      <c r="R940" s="27" t="str">
        <f t="shared" si="73"/>
        <v>http://hdl.handle.net/2027/uc1.b3014083?urlappend=%3Bseq=212</v>
      </c>
      <c r="S940" s="27" t="str">
        <f t="shared" si="74"/>
        <v>http://hdl.handle.net/2027/uc1.b3014083?urlappend=%3Bseq=153</v>
      </c>
      <c r="T940" s="27" t="str">
        <f t="shared" si="75"/>
        <v>http://hdl.handle.net/2027/uc1.b3014083?urlappend=%3Bseq=174</v>
      </c>
    </row>
    <row r="941" spans="1:20" x14ac:dyDescent="0.25">
      <c r="A941" s="27" t="s">
        <v>1517</v>
      </c>
      <c r="B941" s="27" t="str">
        <f t="shared" si="76"/>
        <v>Texas</v>
      </c>
      <c r="C941" s="27" t="str">
        <f t="shared" si="77"/>
        <v>McCulloch</v>
      </c>
      <c r="D941" s="27">
        <v>88381</v>
      </c>
      <c r="E941" s="27">
        <v>34</v>
      </c>
      <c r="F941" s="26">
        <f>'TX pre'!G137</f>
        <v>114.91176470588235</v>
      </c>
      <c r="G941" s="10">
        <v>1475</v>
      </c>
      <c r="H941" s="28">
        <f>'TX pre'!J137</f>
        <v>44.822114154082414</v>
      </c>
      <c r="I941" s="2">
        <v>10754</v>
      </c>
      <c r="J941" s="27">
        <v>26</v>
      </c>
      <c r="K941" s="2">
        <v>26405</v>
      </c>
      <c r="L941" s="27">
        <v>1905</v>
      </c>
      <c r="M941" s="27" t="s">
        <v>1965</v>
      </c>
      <c r="N941" s="27" t="str">
        <f t="shared" si="70"/>
        <v>http://hdl.handle.net/2027/uc1.b3014083?urlappend=%3Bseq=105</v>
      </c>
      <c r="O941" s="27" t="str">
        <f t="shared" si="71"/>
        <v>http://hdl.handle.net/2027/uc1.b3014083?urlappend=%3Bseq=126</v>
      </c>
      <c r="P941" s="27" t="str">
        <f t="shared" si="72"/>
        <v>http://hdl.handle.net/2027/uc1.b3014083?urlappend=%3Bseq=68</v>
      </c>
      <c r="Q941" s="27" t="str">
        <f t="shared" si="78"/>
        <v>https://babel.hathitrust.org/cgi/pt?id=uc1.b3014083;view=1up;seq=211</v>
      </c>
      <c r="R941" s="27" t="str">
        <f t="shared" si="73"/>
        <v>http://hdl.handle.net/2027/uc1.b3014083?urlappend=%3Bseq=212</v>
      </c>
      <c r="S941" s="27" t="str">
        <f t="shared" si="74"/>
        <v>http://hdl.handle.net/2027/uc1.b3014083?urlappend=%3Bseq=153</v>
      </c>
      <c r="T941" s="27" t="str">
        <f t="shared" si="75"/>
        <v>http://hdl.handle.net/2027/uc1.b3014083?urlappend=%3Bseq=174</v>
      </c>
    </row>
    <row r="942" spans="1:20" x14ac:dyDescent="0.25">
      <c r="A942" s="27" t="s">
        <v>1518</v>
      </c>
      <c r="B942" s="27" t="str">
        <f t="shared" si="76"/>
        <v>Texas</v>
      </c>
      <c r="C942" s="27" t="str">
        <f t="shared" si="77"/>
        <v>McLennan</v>
      </c>
      <c r="D942" s="27">
        <v>395719</v>
      </c>
      <c r="E942" s="27">
        <v>128</v>
      </c>
      <c r="F942" s="26">
        <f>'TX pre'!G138</f>
        <v>106.484375</v>
      </c>
      <c r="G942" s="10">
        <v>6529</v>
      </c>
      <c r="H942" s="28">
        <f>'TX pre'!J138</f>
        <v>46.407072633895815</v>
      </c>
      <c r="I942" s="2">
        <v>33848</v>
      </c>
      <c r="J942" s="27">
        <v>112</v>
      </c>
      <c r="K942" s="2">
        <v>40500</v>
      </c>
      <c r="L942" s="27">
        <v>1905</v>
      </c>
      <c r="M942" s="27" t="s">
        <v>1965</v>
      </c>
      <c r="N942" s="27" t="str">
        <f t="shared" si="70"/>
        <v>http://hdl.handle.net/2027/uc1.b3014083?urlappend=%3Bseq=105</v>
      </c>
      <c r="O942" s="27" t="str">
        <f t="shared" si="71"/>
        <v>http://hdl.handle.net/2027/uc1.b3014083?urlappend=%3Bseq=126</v>
      </c>
      <c r="P942" s="27" t="str">
        <f t="shared" si="72"/>
        <v>http://hdl.handle.net/2027/uc1.b3014083?urlappend=%3Bseq=68</v>
      </c>
      <c r="Q942" s="27" t="str">
        <f t="shared" si="78"/>
        <v>https://babel.hathitrust.org/cgi/pt?id=uc1.b3014083;view=1up;seq=211</v>
      </c>
      <c r="R942" s="27" t="str">
        <f t="shared" si="73"/>
        <v>http://hdl.handle.net/2027/uc1.b3014083?urlappend=%3Bseq=212</v>
      </c>
      <c r="S942" s="27" t="str">
        <f t="shared" si="74"/>
        <v>http://hdl.handle.net/2027/uc1.b3014083?urlappend=%3Bseq=153</v>
      </c>
      <c r="T942" s="27" t="str">
        <f t="shared" si="75"/>
        <v>http://hdl.handle.net/2027/uc1.b3014083?urlappend=%3Bseq=174</v>
      </c>
    </row>
    <row r="943" spans="1:20" x14ac:dyDescent="0.25">
      <c r="A943" s="27" t="s">
        <v>1519</v>
      </c>
      <c r="B943" s="27" t="str">
        <f t="shared" si="76"/>
        <v>Texas</v>
      </c>
      <c r="C943" s="27" t="str">
        <f t="shared" si="77"/>
        <v>McMullen</v>
      </c>
      <c r="D943" s="27">
        <v>15058</v>
      </c>
      <c r="E943" s="27">
        <v>7</v>
      </c>
      <c r="F943" s="26">
        <f>'TX pre'!G139</f>
        <v>117.14285714285714</v>
      </c>
      <c r="G943" s="10">
        <v>174</v>
      </c>
      <c r="H943" s="28">
        <f>'TX pre'!J139</f>
        <v>43.73170731707318</v>
      </c>
      <c r="I943" s="2">
        <v>1993</v>
      </c>
      <c r="J943" s="27">
        <v>4</v>
      </c>
      <c r="K943" s="2">
        <v>1208</v>
      </c>
      <c r="L943" s="27">
        <v>1905</v>
      </c>
      <c r="M943" s="27" t="s">
        <v>1965</v>
      </c>
      <c r="N943" s="27" t="str">
        <f t="shared" si="70"/>
        <v>http://hdl.handle.net/2027/uc1.b3014083?urlappend=%3Bseq=105</v>
      </c>
      <c r="O943" s="27" t="str">
        <f t="shared" si="71"/>
        <v>http://hdl.handle.net/2027/uc1.b3014083?urlappend=%3Bseq=126</v>
      </c>
      <c r="P943" s="27" t="str">
        <f t="shared" si="72"/>
        <v>http://hdl.handle.net/2027/uc1.b3014083?urlappend=%3Bseq=68</v>
      </c>
      <c r="Q943" s="27" t="str">
        <f t="shared" si="78"/>
        <v>https://babel.hathitrust.org/cgi/pt?id=uc1.b3014083;view=1up;seq=211</v>
      </c>
      <c r="R943" s="27" t="str">
        <f t="shared" si="73"/>
        <v>http://hdl.handle.net/2027/uc1.b3014083?urlappend=%3Bseq=212</v>
      </c>
      <c r="S943" s="27" t="str">
        <f t="shared" si="74"/>
        <v>http://hdl.handle.net/2027/uc1.b3014083?urlappend=%3Bseq=153</v>
      </c>
      <c r="T943" s="27" t="str">
        <f t="shared" si="75"/>
        <v>http://hdl.handle.net/2027/uc1.b3014083?urlappend=%3Bseq=174</v>
      </c>
    </row>
    <row r="944" spans="1:20" x14ac:dyDescent="0.25">
      <c r="A944" s="27" t="s">
        <v>1526</v>
      </c>
      <c r="B944" s="27" t="str">
        <f t="shared" si="76"/>
        <v>Texas</v>
      </c>
      <c r="C944" s="27" t="str">
        <f t="shared" si="77"/>
        <v>Medina</v>
      </c>
      <c r="D944" s="27">
        <v>118182</v>
      </c>
      <c r="E944" s="27">
        <v>35</v>
      </c>
      <c r="F944" s="26">
        <f>'TX pre'!G140</f>
        <v>131.25714285714287</v>
      </c>
      <c r="G944" s="10">
        <v>1175</v>
      </c>
      <c r="H944" s="28">
        <f>'TX pre'!J140</f>
        <v>42.393339138006098</v>
      </c>
      <c r="I944" s="2">
        <v>10358</v>
      </c>
      <c r="J944" s="27">
        <v>35</v>
      </c>
      <c r="K944" s="2">
        <v>5975</v>
      </c>
      <c r="L944" s="27">
        <v>1905</v>
      </c>
      <c r="M944" s="27" t="s">
        <v>1965</v>
      </c>
      <c r="N944" s="27" t="str">
        <f t="shared" si="70"/>
        <v>http://hdl.handle.net/2027/uc1.b3014083?urlappend=%3Bseq=105</v>
      </c>
      <c r="O944" s="27" t="str">
        <f t="shared" si="71"/>
        <v>http://hdl.handle.net/2027/uc1.b3014083?urlappend=%3Bseq=126</v>
      </c>
      <c r="P944" s="27" t="str">
        <f t="shared" si="72"/>
        <v>http://hdl.handle.net/2027/uc1.b3014083?urlappend=%3Bseq=68</v>
      </c>
      <c r="Q944" s="27" t="str">
        <f t="shared" si="78"/>
        <v>https://babel.hathitrust.org/cgi/pt?id=uc1.b3014083;view=1up;seq=211</v>
      </c>
      <c r="R944" s="27" t="str">
        <f t="shared" si="73"/>
        <v>http://hdl.handle.net/2027/uc1.b3014083?urlappend=%3Bseq=212</v>
      </c>
      <c r="S944" s="27" t="str">
        <f t="shared" si="74"/>
        <v>http://hdl.handle.net/2027/uc1.b3014083?urlappend=%3Bseq=153</v>
      </c>
      <c r="T944" s="27" t="str">
        <f t="shared" si="75"/>
        <v>http://hdl.handle.net/2027/uc1.b3014083?urlappend=%3Bseq=174</v>
      </c>
    </row>
    <row r="945" spans="1:20" x14ac:dyDescent="0.25">
      <c r="A945" s="27" t="s">
        <v>1527</v>
      </c>
      <c r="B945" s="27" t="str">
        <f t="shared" si="76"/>
        <v>Texas</v>
      </c>
      <c r="C945" s="27" t="str">
        <f t="shared" si="77"/>
        <v>Menard</v>
      </c>
      <c r="D945" s="27">
        <v>19855</v>
      </c>
      <c r="E945" s="27">
        <v>13</v>
      </c>
      <c r="F945" s="26">
        <f>'TX pre'!G141</f>
        <v>103</v>
      </c>
      <c r="G945" s="10">
        <v>363</v>
      </c>
      <c r="H945" s="28">
        <f>'TX pre'!J141</f>
        <v>39.392979835698277</v>
      </c>
      <c r="I945" s="2">
        <v>2816</v>
      </c>
      <c r="J945" s="27">
        <v>12</v>
      </c>
      <c r="K945" s="2">
        <v>2348</v>
      </c>
      <c r="L945" s="27">
        <v>1905</v>
      </c>
      <c r="M945" s="27" t="s">
        <v>1965</v>
      </c>
      <c r="N945" s="27" t="str">
        <f t="shared" si="70"/>
        <v>http://hdl.handle.net/2027/uc1.b3014083?urlappend=%3Bseq=105</v>
      </c>
      <c r="O945" s="27" t="str">
        <f t="shared" si="71"/>
        <v>http://hdl.handle.net/2027/uc1.b3014083?urlappend=%3Bseq=126</v>
      </c>
      <c r="P945" s="27" t="str">
        <f t="shared" si="72"/>
        <v>http://hdl.handle.net/2027/uc1.b3014083?urlappend=%3Bseq=68</v>
      </c>
      <c r="Q945" s="27" t="str">
        <f t="shared" si="78"/>
        <v>https://babel.hathitrust.org/cgi/pt?id=uc1.b3014083;view=1up;seq=211</v>
      </c>
      <c r="R945" s="27" t="str">
        <f t="shared" si="73"/>
        <v>http://hdl.handle.net/2027/uc1.b3014083?urlappend=%3Bseq=212</v>
      </c>
      <c r="S945" s="27" t="str">
        <f t="shared" si="74"/>
        <v>http://hdl.handle.net/2027/uc1.b3014083?urlappend=%3Bseq=153</v>
      </c>
      <c r="T945" s="27" t="str">
        <f t="shared" si="75"/>
        <v>http://hdl.handle.net/2027/uc1.b3014083?urlappend=%3Bseq=174</v>
      </c>
    </row>
    <row r="946" spans="1:20" x14ac:dyDescent="0.25">
      <c r="A946" s="27" t="s">
        <v>1528</v>
      </c>
      <c r="B946" s="27" t="str">
        <f t="shared" si="76"/>
        <v>Texas</v>
      </c>
      <c r="C946" s="27" t="str">
        <f t="shared" si="77"/>
        <v>Midland</v>
      </c>
      <c r="D946" s="27">
        <v>45157</v>
      </c>
      <c r="E946" s="27">
        <v>8</v>
      </c>
      <c r="F946" s="26">
        <f>'TX pre'!G142</f>
        <v>22</v>
      </c>
      <c r="G946" s="10">
        <v>339</v>
      </c>
      <c r="H946" s="28">
        <f>'TX pre'!J142</f>
        <v>490.90909090909088</v>
      </c>
      <c r="I946" s="2">
        <v>4878</v>
      </c>
      <c r="J946" s="27">
        <v>1</v>
      </c>
      <c r="K946" s="2">
        <v>10700</v>
      </c>
      <c r="L946" s="27">
        <v>1905</v>
      </c>
      <c r="M946" s="27" t="s">
        <v>1965</v>
      </c>
      <c r="N946" s="27" t="str">
        <f t="shared" ref="N946:N1009" si="79">N945</f>
        <v>http://hdl.handle.net/2027/uc1.b3014083?urlappend=%3Bseq=105</v>
      </c>
      <c r="O946" s="27" t="str">
        <f t="shared" ref="O946:O1009" si="80">O945</f>
        <v>http://hdl.handle.net/2027/uc1.b3014083?urlappend=%3Bseq=126</v>
      </c>
      <c r="P946" s="27" t="str">
        <f t="shared" ref="P946:P1009" si="81">P945</f>
        <v>http://hdl.handle.net/2027/uc1.b3014083?urlappend=%3Bseq=68</v>
      </c>
      <c r="Q946" s="27" t="str">
        <f t="shared" si="78"/>
        <v>https://babel.hathitrust.org/cgi/pt?id=uc1.b3014083;view=1up;seq=211</v>
      </c>
      <c r="R946" s="27" t="str">
        <f t="shared" ref="R946:R1009" si="82">R945</f>
        <v>http://hdl.handle.net/2027/uc1.b3014083?urlappend=%3Bseq=212</v>
      </c>
      <c r="S946" s="27" t="str">
        <f t="shared" ref="S946:S1009" si="83">S945</f>
        <v>http://hdl.handle.net/2027/uc1.b3014083?urlappend=%3Bseq=153</v>
      </c>
      <c r="T946" s="27" t="str">
        <f t="shared" ref="T946:T1009" si="84">T945</f>
        <v>http://hdl.handle.net/2027/uc1.b3014083?urlappend=%3Bseq=174</v>
      </c>
    </row>
    <row r="947" spans="1:20" x14ac:dyDescent="0.25">
      <c r="A947" s="27" t="s">
        <v>1529</v>
      </c>
      <c r="B947" s="27" t="str">
        <f t="shared" si="76"/>
        <v>Texas</v>
      </c>
      <c r="C947" s="27" t="str">
        <f t="shared" si="77"/>
        <v>Milam</v>
      </c>
      <c r="D947" s="27">
        <v>459026</v>
      </c>
      <c r="E947" s="27">
        <v>151</v>
      </c>
      <c r="F947" s="26">
        <f>'TX pre'!G143</f>
        <v>20.119205298013245</v>
      </c>
      <c r="G947" s="10">
        <v>7357</v>
      </c>
      <c r="H947" s="28">
        <f>'TX pre'!J143</f>
        <v>263.36497695852535</v>
      </c>
      <c r="I947" s="2">
        <v>42541</v>
      </c>
      <c r="J947" s="27">
        <v>127</v>
      </c>
      <c r="K947" s="2">
        <v>46774</v>
      </c>
      <c r="L947" s="27">
        <v>1905</v>
      </c>
      <c r="M947" s="27" t="s">
        <v>1965</v>
      </c>
      <c r="N947" s="27" t="str">
        <f t="shared" si="79"/>
        <v>http://hdl.handle.net/2027/uc1.b3014083?urlappend=%3Bseq=105</v>
      </c>
      <c r="O947" s="27" t="str">
        <f t="shared" si="80"/>
        <v>http://hdl.handle.net/2027/uc1.b3014083?urlappend=%3Bseq=126</v>
      </c>
      <c r="P947" s="27" t="str">
        <f t="shared" si="81"/>
        <v>http://hdl.handle.net/2027/uc1.b3014083?urlappend=%3Bseq=68</v>
      </c>
      <c r="Q947" s="27" t="str">
        <f t="shared" si="78"/>
        <v>https://babel.hathitrust.org/cgi/pt?id=uc1.b3014083;view=1up;seq=211</v>
      </c>
      <c r="R947" s="27" t="str">
        <f t="shared" si="82"/>
        <v>http://hdl.handle.net/2027/uc1.b3014083?urlappend=%3Bseq=212</v>
      </c>
      <c r="S947" s="27" t="str">
        <f t="shared" si="83"/>
        <v>http://hdl.handle.net/2027/uc1.b3014083?urlappend=%3Bseq=153</v>
      </c>
      <c r="T947" s="27" t="str">
        <f t="shared" si="84"/>
        <v>http://hdl.handle.net/2027/uc1.b3014083?urlappend=%3Bseq=174</v>
      </c>
    </row>
    <row r="948" spans="1:20" x14ac:dyDescent="0.25">
      <c r="A948" s="27" t="s">
        <v>1530</v>
      </c>
      <c r="B948" s="27" t="str">
        <f t="shared" si="76"/>
        <v>Texas</v>
      </c>
      <c r="C948" s="27" t="str">
        <f t="shared" si="77"/>
        <v>Mills</v>
      </c>
      <c r="D948" s="27">
        <v>99062</v>
      </c>
      <c r="E948" s="27">
        <v>45</v>
      </c>
      <c r="F948" s="26">
        <f>'TX pre'!G144</f>
        <v>88.977777777777774</v>
      </c>
      <c r="G948" s="10">
        <v>1751</v>
      </c>
      <c r="H948" s="28">
        <f>'TX pre'!J144</f>
        <v>41.867332667332668</v>
      </c>
      <c r="I948" s="2">
        <v>8732</v>
      </c>
      <c r="J948" s="27">
        <v>39</v>
      </c>
      <c r="K948" s="2">
        <v>9775</v>
      </c>
      <c r="L948" s="27">
        <v>1905</v>
      </c>
      <c r="M948" s="27" t="s">
        <v>1965</v>
      </c>
      <c r="N948" s="27" t="str">
        <f t="shared" si="79"/>
        <v>http://hdl.handle.net/2027/uc1.b3014083?urlappend=%3Bseq=105</v>
      </c>
      <c r="O948" s="27" t="str">
        <f t="shared" si="80"/>
        <v>http://hdl.handle.net/2027/uc1.b3014083?urlappend=%3Bseq=126</v>
      </c>
      <c r="P948" s="27" t="str">
        <f t="shared" si="81"/>
        <v>http://hdl.handle.net/2027/uc1.b3014083?urlappend=%3Bseq=68</v>
      </c>
      <c r="Q948" s="27" t="str">
        <f t="shared" si="78"/>
        <v>https://babel.hathitrust.org/cgi/pt?id=uc1.b3014083;view=1up;seq=211</v>
      </c>
      <c r="R948" s="27" t="str">
        <f t="shared" si="82"/>
        <v>http://hdl.handle.net/2027/uc1.b3014083?urlappend=%3Bseq=212</v>
      </c>
      <c r="S948" s="27" t="str">
        <f t="shared" si="83"/>
        <v>http://hdl.handle.net/2027/uc1.b3014083?urlappend=%3Bseq=153</v>
      </c>
      <c r="T948" s="27" t="str">
        <f t="shared" si="84"/>
        <v>http://hdl.handle.net/2027/uc1.b3014083?urlappend=%3Bseq=174</v>
      </c>
    </row>
    <row r="949" spans="1:20" x14ac:dyDescent="0.25">
      <c r="A949" s="27" t="s">
        <v>1531</v>
      </c>
      <c r="B949" s="27" t="str">
        <f t="shared" si="76"/>
        <v>Texas</v>
      </c>
      <c r="C949" s="27" t="str">
        <f t="shared" si="77"/>
        <v>Mitchell</v>
      </c>
      <c r="D949" s="27">
        <v>65545</v>
      </c>
      <c r="E949" s="27">
        <v>23</v>
      </c>
      <c r="F949" s="26">
        <f>'TX pre'!G145</f>
        <v>72.173913043478265</v>
      </c>
      <c r="G949" s="10">
        <v>809</v>
      </c>
      <c r="H949" s="28">
        <f>'TX pre'!J145</f>
        <v>91.927710843373504</v>
      </c>
      <c r="I949" s="2">
        <v>8868</v>
      </c>
      <c r="J949" s="27">
        <v>17</v>
      </c>
      <c r="K949" s="2">
        <v>13730</v>
      </c>
      <c r="L949" s="27">
        <v>1905</v>
      </c>
      <c r="M949" s="27" t="s">
        <v>1965</v>
      </c>
      <c r="N949" s="27" t="str">
        <f t="shared" si="79"/>
        <v>http://hdl.handle.net/2027/uc1.b3014083?urlappend=%3Bseq=105</v>
      </c>
      <c r="O949" s="27" t="str">
        <f t="shared" si="80"/>
        <v>http://hdl.handle.net/2027/uc1.b3014083?urlappend=%3Bseq=126</v>
      </c>
      <c r="P949" s="27" t="str">
        <f t="shared" si="81"/>
        <v>http://hdl.handle.net/2027/uc1.b3014083?urlappend=%3Bseq=68</v>
      </c>
      <c r="Q949" s="27" t="str">
        <f t="shared" si="78"/>
        <v>https://babel.hathitrust.org/cgi/pt?id=uc1.b3014083;view=1up;seq=211</v>
      </c>
      <c r="R949" s="27" t="str">
        <f t="shared" si="82"/>
        <v>http://hdl.handle.net/2027/uc1.b3014083?urlappend=%3Bseq=212</v>
      </c>
      <c r="S949" s="27" t="str">
        <f t="shared" si="83"/>
        <v>http://hdl.handle.net/2027/uc1.b3014083?urlappend=%3Bseq=153</v>
      </c>
      <c r="T949" s="27" t="str">
        <f t="shared" si="84"/>
        <v>http://hdl.handle.net/2027/uc1.b3014083?urlappend=%3Bseq=174</v>
      </c>
    </row>
    <row r="950" spans="1:20" x14ac:dyDescent="0.25">
      <c r="A950" s="27" t="s">
        <v>1532</v>
      </c>
      <c r="B950" s="27" t="str">
        <f t="shared" si="76"/>
        <v>Texas</v>
      </c>
      <c r="C950" s="27" t="str">
        <f t="shared" si="77"/>
        <v>Montague</v>
      </c>
      <c r="D950" s="27">
        <v>261805</v>
      </c>
      <c r="E950" s="27">
        <v>120</v>
      </c>
      <c r="F950" s="26">
        <f>'TX pre'!G146</f>
        <v>80.691666666666663</v>
      </c>
      <c r="G950" s="10">
        <v>5176</v>
      </c>
      <c r="H950" s="28">
        <f>'TX pre'!J146</f>
        <v>47.993700299493966</v>
      </c>
      <c r="I950" s="2">
        <v>27273</v>
      </c>
      <c r="J950" s="27">
        <v>97</v>
      </c>
      <c r="K950" s="2">
        <v>44574</v>
      </c>
      <c r="L950" s="27">
        <v>1905</v>
      </c>
      <c r="M950" s="27" t="s">
        <v>1965</v>
      </c>
      <c r="N950" s="27" t="str">
        <f t="shared" si="79"/>
        <v>http://hdl.handle.net/2027/uc1.b3014083?urlappend=%3Bseq=105</v>
      </c>
      <c r="O950" s="27" t="str">
        <f t="shared" si="80"/>
        <v>http://hdl.handle.net/2027/uc1.b3014083?urlappend=%3Bseq=126</v>
      </c>
      <c r="P950" s="27" t="str">
        <f t="shared" si="81"/>
        <v>http://hdl.handle.net/2027/uc1.b3014083?urlappend=%3Bseq=68</v>
      </c>
      <c r="Q950" s="27" t="str">
        <f t="shared" si="78"/>
        <v>https://babel.hathitrust.org/cgi/pt?id=uc1.b3014083;view=1up;seq=211</v>
      </c>
      <c r="R950" s="27" t="str">
        <f t="shared" si="82"/>
        <v>http://hdl.handle.net/2027/uc1.b3014083?urlappend=%3Bseq=212</v>
      </c>
      <c r="S950" s="27" t="str">
        <f t="shared" si="83"/>
        <v>http://hdl.handle.net/2027/uc1.b3014083?urlappend=%3Bseq=153</v>
      </c>
      <c r="T950" s="27" t="str">
        <f t="shared" si="84"/>
        <v>http://hdl.handle.net/2027/uc1.b3014083?urlappend=%3Bseq=174</v>
      </c>
    </row>
    <row r="951" spans="1:20" x14ac:dyDescent="0.25">
      <c r="A951" s="27" t="s">
        <v>1534</v>
      </c>
      <c r="B951" s="27" t="str">
        <f t="shared" si="76"/>
        <v>Texas</v>
      </c>
      <c r="C951" s="27" t="str">
        <f t="shared" si="77"/>
        <v>Moore</v>
      </c>
      <c r="D951" s="27">
        <v>8451</v>
      </c>
      <c r="E951" s="27">
        <v>9</v>
      </c>
      <c r="F951" s="26">
        <f>'TX pre'!G147</f>
        <v>96.333333333333329</v>
      </c>
      <c r="G951" s="10">
        <v>156</v>
      </c>
      <c r="H951" s="28">
        <f>'TX pre'!J147</f>
        <v>40.576701268742795</v>
      </c>
      <c r="I951" s="2">
        <v>1946</v>
      </c>
      <c r="J951" s="27">
        <v>11</v>
      </c>
      <c r="K951" s="2">
        <v>1765</v>
      </c>
      <c r="L951" s="27">
        <v>1905</v>
      </c>
      <c r="M951" s="27" t="s">
        <v>1965</v>
      </c>
      <c r="N951" s="27" t="str">
        <f t="shared" si="79"/>
        <v>http://hdl.handle.net/2027/uc1.b3014083?urlappend=%3Bseq=105</v>
      </c>
      <c r="O951" s="27" t="str">
        <f t="shared" si="80"/>
        <v>http://hdl.handle.net/2027/uc1.b3014083?urlappend=%3Bseq=126</v>
      </c>
      <c r="P951" s="27" t="str">
        <f t="shared" si="81"/>
        <v>http://hdl.handle.net/2027/uc1.b3014083?urlappend=%3Bseq=68</v>
      </c>
      <c r="Q951" s="27" t="str">
        <f t="shared" si="78"/>
        <v>https://babel.hathitrust.org/cgi/pt?id=uc1.b3014083;view=1up;seq=211</v>
      </c>
      <c r="R951" s="27" t="str">
        <f t="shared" si="82"/>
        <v>http://hdl.handle.net/2027/uc1.b3014083?urlappend=%3Bseq=212</v>
      </c>
      <c r="S951" s="27" t="str">
        <f t="shared" si="83"/>
        <v>http://hdl.handle.net/2027/uc1.b3014083?urlappend=%3Bseq=153</v>
      </c>
      <c r="T951" s="27" t="str">
        <f t="shared" si="84"/>
        <v>http://hdl.handle.net/2027/uc1.b3014083?urlappend=%3Bseq=174</v>
      </c>
    </row>
    <row r="952" spans="1:20" x14ac:dyDescent="0.25">
      <c r="A952" s="27" t="s">
        <v>1536</v>
      </c>
      <c r="B952" s="27" t="str">
        <f t="shared" si="76"/>
        <v>Texas</v>
      </c>
      <c r="C952" s="27" t="str">
        <f t="shared" si="77"/>
        <v>Motley</v>
      </c>
      <c r="D952" s="27">
        <v>41449</v>
      </c>
      <c r="E952" s="27">
        <v>14</v>
      </c>
      <c r="F952" s="26">
        <f>'TX pre'!G148</f>
        <v>114.28571428571429</v>
      </c>
      <c r="G952" s="10">
        <v>504</v>
      </c>
      <c r="H952" s="28">
        <f>'TX pre'!J148</f>
        <v>52.975000000000001</v>
      </c>
      <c r="I952" s="2">
        <v>4952</v>
      </c>
      <c r="J952" s="27">
        <v>12</v>
      </c>
      <c r="K952" s="2">
        <v>1745</v>
      </c>
      <c r="L952" s="27">
        <v>1905</v>
      </c>
      <c r="M952" s="27" t="s">
        <v>1965</v>
      </c>
      <c r="N952" s="27" t="str">
        <f t="shared" si="79"/>
        <v>http://hdl.handle.net/2027/uc1.b3014083?urlappend=%3Bseq=105</v>
      </c>
      <c r="O952" s="27" t="str">
        <f t="shared" si="80"/>
        <v>http://hdl.handle.net/2027/uc1.b3014083?urlappend=%3Bseq=126</v>
      </c>
      <c r="P952" s="27" t="str">
        <f t="shared" si="81"/>
        <v>http://hdl.handle.net/2027/uc1.b3014083?urlappend=%3Bseq=68</v>
      </c>
      <c r="Q952" s="27" t="str">
        <f t="shared" si="78"/>
        <v>https://babel.hathitrust.org/cgi/pt?id=uc1.b3014083;view=1up;seq=211</v>
      </c>
      <c r="R952" s="27" t="str">
        <f t="shared" si="82"/>
        <v>http://hdl.handle.net/2027/uc1.b3014083?urlappend=%3Bseq=212</v>
      </c>
      <c r="S952" s="27" t="str">
        <f t="shared" si="83"/>
        <v>http://hdl.handle.net/2027/uc1.b3014083?urlappend=%3Bseq=153</v>
      </c>
      <c r="T952" s="27" t="str">
        <f t="shared" si="84"/>
        <v>http://hdl.handle.net/2027/uc1.b3014083?urlappend=%3Bseq=174</v>
      </c>
    </row>
    <row r="953" spans="1:20" x14ac:dyDescent="0.25">
      <c r="A953" s="27" t="s">
        <v>1538</v>
      </c>
      <c r="B953" s="27" t="str">
        <f t="shared" si="76"/>
        <v>Texas</v>
      </c>
      <c r="C953" s="27" t="str">
        <f t="shared" si="77"/>
        <v>Navarro</v>
      </c>
      <c r="D953" s="27">
        <v>478311</v>
      </c>
      <c r="E953" s="27">
        <v>179</v>
      </c>
      <c r="F953" s="26">
        <f>'TX pre'!G149</f>
        <v>95.837988826815646</v>
      </c>
      <c r="G953" s="10">
        <v>8995</v>
      </c>
      <c r="H953" s="28">
        <f>'TX pre'!J149</f>
        <v>58.429250947245698</v>
      </c>
      <c r="I953" s="2">
        <v>56775</v>
      </c>
      <c r="J953" s="27">
        <v>131</v>
      </c>
      <c r="K953" s="2">
        <v>86298</v>
      </c>
      <c r="L953" s="27">
        <v>1905</v>
      </c>
      <c r="M953" s="27" t="s">
        <v>1965</v>
      </c>
      <c r="N953" s="27" t="str">
        <f t="shared" si="79"/>
        <v>http://hdl.handle.net/2027/uc1.b3014083?urlappend=%3Bseq=105</v>
      </c>
      <c r="O953" s="27" t="str">
        <f t="shared" si="80"/>
        <v>http://hdl.handle.net/2027/uc1.b3014083?urlappend=%3Bseq=126</v>
      </c>
      <c r="P953" s="27" t="str">
        <f t="shared" si="81"/>
        <v>http://hdl.handle.net/2027/uc1.b3014083?urlappend=%3Bseq=68</v>
      </c>
      <c r="Q953" s="27" t="str">
        <f t="shared" si="78"/>
        <v>https://babel.hathitrust.org/cgi/pt?id=uc1.b3014083;view=1up;seq=211</v>
      </c>
      <c r="R953" s="27" t="str">
        <f t="shared" si="82"/>
        <v>http://hdl.handle.net/2027/uc1.b3014083?urlappend=%3Bseq=212</v>
      </c>
      <c r="S953" s="27" t="str">
        <f t="shared" si="83"/>
        <v>http://hdl.handle.net/2027/uc1.b3014083?urlappend=%3Bseq=153</v>
      </c>
      <c r="T953" s="27" t="str">
        <f t="shared" si="84"/>
        <v>http://hdl.handle.net/2027/uc1.b3014083?urlappend=%3Bseq=174</v>
      </c>
    </row>
    <row r="954" spans="1:20" x14ac:dyDescent="0.25">
      <c r="A954" s="27" t="s">
        <v>1539</v>
      </c>
      <c r="B954" s="27" t="str">
        <f t="shared" si="76"/>
        <v>Texas</v>
      </c>
      <c r="C954" s="27" t="str">
        <f t="shared" si="77"/>
        <v>Newton</v>
      </c>
      <c r="D954" s="27">
        <v>109186</v>
      </c>
      <c r="E954" s="27">
        <v>52</v>
      </c>
      <c r="F954" s="26">
        <f>'TX pre'!G150</f>
        <v>77.615384615384613</v>
      </c>
      <c r="G954" s="10">
        <v>1859</v>
      </c>
      <c r="H954" s="28">
        <f>'TX pre'!J150</f>
        <v>46.186818632309219</v>
      </c>
      <c r="I954" s="2">
        <v>9826</v>
      </c>
      <c r="J954" s="27">
        <v>51</v>
      </c>
      <c r="K954" s="2">
        <v>7782</v>
      </c>
      <c r="L954" s="27">
        <v>1905</v>
      </c>
      <c r="M954" s="27" t="s">
        <v>1965</v>
      </c>
      <c r="N954" s="27" t="str">
        <f t="shared" si="79"/>
        <v>http://hdl.handle.net/2027/uc1.b3014083?urlappend=%3Bseq=105</v>
      </c>
      <c r="O954" s="27" t="str">
        <f t="shared" si="80"/>
        <v>http://hdl.handle.net/2027/uc1.b3014083?urlappend=%3Bseq=126</v>
      </c>
      <c r="P954" s="27" t="str">
        <f t="shared" si="81"/>
        <v>http://hdl.handle.net/2027/uc1.b3014083?urlappend=%3Bseq=68</v>
      </c>
      <c r="Q954" s="27" t="str">
        <f t="shared" si="78"/>
        <v>https://babel.hathitrust.org/cgi/pt?id=uc1.b3014083;view=1up;seq=211</v>
      </c>
      <c r="R954" s="27" t="str">
        <f t="shared" si="82"/>
        <v>http://hdl.handle.net/2027/uc1.b3014083?urlappend=%3Bseq=212</v>
      </c>
      <c r="S954" s="27" t="str">
        <f t="shared" si="83"/>
        <v>http://hdl.handle.net/2027/uc1.b3014083?urlappend=%3Bseq=153</v>
      </c>
      <c r="T954" s="27" t="str">
        <f t="shared" si="84"/>
        <v>http://hdl.handle.net/2027/uc1.b3014083?urlappend=%3Bseq=174</v>
      </c>
    </row>
    <row r="955" spans="1:20" x14ac:dyDescent="0.25">
      <c r="A955" s="27" t="s">
        <v>1540</v>
      </c>
      <c r="B955" s="27" t="str">
        <f t="shared" si="76"/>
        <v>Texas</v>
      </c>
      <c r="C955" s="27" t="str">
        <f t="shared" si="77"/>
        <v>Nolan</v>
      </c>
      <c r="D955" s="27">
        <v>44361</v>
      </c>
      <c r="E955" s="27">
        <v>21</v>
      </c>
      <c r="F955" s="26">
        <f>'TX pre'!G151</f>
        <v>98.333333333333329</v>
      </c>
      <c r="G955" s="10">
        <v>721</v>
      </c>
      <c r="H955" s="28">
        <f>'TX pre'!J151</f>
        <v>43.34024213075061</v>
      </c>
      <c r="I955" s="2">
        <v>5629</v>
      </c>
      <c r="J955" s="27">
        <v>21</v>
      </c>
      <c r="K955" s="2">
        <v>7127</v>
      </c>
      <c r="L955" s="27">
        <v>1905</v>
      </c>
      <c r="M955" s="27" t="s">
        <v>1965</v>
      </c>
      <c r="N955" s="27" t="str">
        <f t="shared" si="79"/>
        <v>http://hdl.handle.net/2027/uc1.b3014083?urlappend=%3Bseq=105</v>
      </c>
      <c r="O955" s="27" t="str">
        <f t="shared" si="80"/>
        <v>http://hdl.handle.net/2027/uc1.b3014083?urlappend=%3Bseq=126</v>
      </c>
      <c r="P955" s="27" t="str">
        <f t="shared" si="81"/>
        <v>http://hdl.handle.net/2027/uc1.b3014083?urlappend=%3Bseq=68</v>
      </c>
      <c r="Q955" s="27" t="str">
        <f t="shared" si="78"/>
        <v>https://babel.hathitrust.org/cgi/pt?id=uc1.b3014083;view=1up;seq=211</v>
      </c>
      <c r="R955" s="27" t="str">
        <f t="shared" si="82"/>
        <v>http://hdl.handle.net/2027/uc1.b3014083?urlappend=%3Bseq=212</v>
      </c>
      <c r="S955" s="27" t="str">
        <f t="shared" si="83"/>
        <v>http://hdl.handle.net/2027/uc1.b3014083?urlappend=%3Bseq=153</v>
      </c>
      <c r="T955" s="27" t="str">
        <f t="shared" si="84"/>
        <v>http://hdl.handle.net/2027/uc1.b3014083?urlappend=%3Bseq=174</v>
      </c>
    </row>
    <row r="956" spans="1:20" x14ac:dyDescent="0.25">
      <c r="A956" s="27" t="s">
        <v>1541</v>
      </c>
      <c r="B956" s="27" t="str">
        <f t="shared" si="76"/>
        <v>Texas</v>
      </c>
      <c r="C956" s="27" t="str">
        <f t="shared" si="77"/>
        <v>Nueces</v>
      </c>
      <c r="D956" s="27">
        <v>38265</v>
      </c>
      <c r="E956" s="27">
        <v>25</v>
      </c>
      <c r="F956" s="26">
        <f>'TX pre'!G152</f>
        <v>91.64</v>
      </c>
      <c r="G956" s="10">
        <v>695</v>
      </c>
      <c r="H956" s="28">
        <f>'TX pre'!J152</f>
        <v>48.753208206023572</v>
      </c>
      <c r="I956" s="2">
        <v>7097</v>
      </c>
      <c r="J956" s="27">
        <v>10</v>
      </c>
      <c r="K956" s="2">
        <v>9485</v>
      </c>
      <c r="L956" s="27">
        <v>1905</v>
      </c>
      <c r="M956" s="27" t="s">
        <v>1965</v>
      </c>
      <c r="N956" s="27" t="str">
        <f t="shared" si="79"/>
        <v>http://hdl.handle.net/2027/uc1.b3014083?urlappend=%3Bseq=105</v>
      </c>
      <c r="O956" s="27" t="str">
        <f t="shared" si="80"/>
        <v>http://hdl.handle.net/2027/uc1.b3014083?urlappend=%3Bseq=126</v>
      </c>
      <c r="P956" s="27" t="str">
        <f t="shared" si="81"/>
        <v>http://hdl.handle.net/2027/uc1.b3014083?urlappend=%3Bseq=68</v>
      </c>
      <c r="Q956" s="27" t="str">
        <f t="shared" si="78"/>
        <v>https://babel.hathitrust.org/cgi/pt?id=uc1.b3014083;view=1up;seq=211</v>
      </c>
      <c r="R956" s="27" t="str">
        <f t="shared" si="82"/>
        <v>http://hdl.handle.net/2027/uc1.b3014083?urlappend=%3Bseq=212</v>
      </c>
      <c r="S956" s="27" t="str">
        <f t="shared" si="83"/>
        <v>http://hdl.handle.net/2027/uc1.b3014083?urlappend=%3Bseq=153</v>
      </c>
      <c r="T956" s="27" t="str">
        <f t="shared" si="84"/>
        <v>http://hdl.handle.net/2027/uc1.b3014083?urlappend=%3Bseq=174</v>
      </c>
    </row>
    <row r="957" spans="1:20" x14ac:dyDescent="0.25">
      <c r="A957" s="27" t="s">
        <v>1542</v>
      </c>
      <c r="B957" s="27" t="str">
        <f t="shared" si="76"/>
        <v>Texas</v>
      </c>
      <c r="C957" s="27" t="str">
        <f t="shared" si="77"/>
        <v>Ochiltree</v>
      </c>
      <c r="D957" s="27">
        <v>11762</v>
      </c>
      <c r="E957" s="27">
        <v>11</v>
      </c>
      <c r="F957" s="26">
        <f>'TX pre'!G153</f>
        <v>98.545454545454547</v>
      </c>
      <c r="G957" s="10">
        <v>201</v>
      </c>
      <c r="H957" s="28">
        <f>'TX pre'!J153</f>
        <v>38.528597785977858</v>
      </c>
      <c r="I957" s="2">
        <v>2163</v>
      </c>
      <c r="J957" s="27">
        <v>11</v>
      </c>
      <c r="K957" s="2">
        <v>1568</v>
      </c>
      <c r="L957" s="27">
        <v>1905</v>
      </c>
      <c r="M957" s="27" t="s">
        <v>1965</v>
      </c>
      <c r="N957" s="27" t="str">
        <f t="shared" si="79"/>
        <v>http://hdl.handle.net/2027/uc1.b3014083?urlappend=%3Bseq=105</v>
      </c>
      <c r="O957" s="27" t="str">
        <f t="shared" si="80"/>
        <v>http://hdl.handle.net/2027/uc1.b3014083?urlappend=%3Bseq=126</v>
      </c>
      <c r="P957" s="27" t="str">
        <f t="shared" si="81"/>
        <v>http://hdl.handle.net/2027/uc1.b3014083?urlappend=%3Bseq=68</v>
      </c>
      <c r="Q957" s="27" t="str">
        <f t="shared" si="78"/>
        <v>https://babel.hathitrust.org/cgi/pt?id=uc1.b3014083;view=1up;seq=211</v>
      </c>
      <c r="R957" s="27" t="str">
        <f t="shared" si="82"/>
        <v>http://hdl.handle.net/2027/uc1.b3014083?urlappend=%3Bseq=212</v>
      </c>
      <c r="S957" s="27" t="str">
        <f t="shared" si="83"/>
        <v>http://hdl.handle.net/2027/uc1.b3014083?urlappend=%3Bseq=153</v>
      </c>
      <c r="T957" s="27" t="str">
        <f t="shared" si="84"/>
        <v>http://hdl.handle.net/2027/uc1.b3014083?urlappend=%3Bseq=174</v>
      </c>
    </row>
    <row r="958" spans="1:20" x14ac:dyDescent="0.25">
      <c r="A958" s="27" t="s">
        <v>1543</v>
      </c>
      <c r="B958" s="27" t="str">
        <f t="shared" si="76"/>
        <v>Texas</v>
      </c>
      <c r="C958" s="27" t="str">
        <f t="shared" si="77"/>
        <v>Oldham</v>
      </c>
      <c r="D958" s="27">
        <v>6871</v>
      </c>
      <c r="E958" s="27">
        <v>4</v>
      </c>
      <c r="F958" s="26">
        <f>'TX pre'!G154</f>
        <v>124.25</v>
      </c>
      <c r="G958" s="10">
        <v>81</v>
      </c>
      <c r="H958" s="28">
        <f>'TX pre'!J154</f>
        <v>48.259557344064383</v>
      </c>
      <c r="I958" s="2">
        <v>1710</v>
      </c>
      <c r="J958" s="27">
        <v>4</v>
      </c>
      <c r="K958" s="2">
        <v>3180</v>
      </c>
      <c r="L958" s="27">
        <v>1905</v>
      </c>
      <c r="M958" s="27" t="s">
        <v>1965</v>
      </c>
      <c r="N958" s="27" t="str">
        <f t="shared" si="79"/>
        <v>http://hdl.handle.net/2027/uc1.b3014083?urlappend=%3Bseq=105</v>
      </c>
      <c r="O958" s="27" t="str">
        <f t="shared" si="80"/>
        <v>http://hdl.handle.net/2027/uc1.b3014083?urlappend=%3Bseq=126</v>
      </c>
      <c r="P958" s="27" t="str">
        <f t="shared" si="81"/>
        <v>http://hdl.handle.net/2027/uc1.b3014083?urlappend=%3Bseq=68</v>
      </c>
      <c r="Q958" s="27" t="str">
        <f t="shared" si="78"/>
        <v>https://babel.hathitrust.org/cgi/pt?id=uc1.b3014083;view=1up;seq=211</v>
      </c>
      <c r="R958" s="27" t="str">
        <f t="shared" si="82"/>
        <v>http://hdl.handle.net/2027/uc1.b3014083?urlappend=%3Bseq=212</v>
      </c>
      <c r="S958" s="27" t="str">
        <f t="shared" si="83"/>
        <v>http://hdl.handle.net/2027/uc1.b3014083?urlappend=%3Bseq=153</v>
      </c>
      <c r="T958" s="27" t="str">
        <f t="shared" si="84"/>
        <v>http://hdl.handle.net/2027/uc1.b3014083?urlappend=%3Bseq=174</v>
      </c>
    </row>
    <row r="959" spans="1:20" x14ac:dyDescent="0.25">
      <c r="A959" s="27" t="s">
        <v>1544</v>
      </c>
      <c r="B959" s="27" t="str">
        <f t="shared" si="76"/>
        <v>Texas</v>
      </c>
      <c r="C959" s="27" t="str">
        <f t="shared" si="77"/>
        <v>Orange</v>
      </c>
      <c r="D959" s="27">
        <v>51761</v>
      </c>
      <c r="E959" s="27">
        <v>17</v>
      </c>
      <c r="F959" s="26">
        <f>'TX pre'!G155</f>
        <v>138.29411764705881</v>
      </c>
      <c r="G959" s="10">
        <v>663</v>
      </c>
      <c r="H959" s="28">
        <f>'TX pre'!J155</f>
        <v>46.6950233943003</v>
      </c>
      <c r="I959" s="2">
        <v>7402</v>
      </c>
      <c r="J959" s="27">
        <v>16</v>
      </c>
      <c r="K959" s="2">
        <v>6975</v>
      </c>
      <c r="L959" s="27">
        <v>1905</v>
      </c>
      <c r="M959" s="27" t="s">
        <v>1965</v>
      </c>
      <c r="N959" s="27" t="str">
        <f t="shared" si="79"/>
        <v>http://hdl.handle.net/2027/uc1.b3014083?urlappend=%3Bseq=105</v>
      </c>
      <c r="O959" s="27" t="str">
        <f t="shared" si="80"/>
        <v>http://hdl.handle.net/2027/uc1.b3014083?urlappend=%3Bseq=126</v>
      </c>
      <c r="P959" s="27" t="str">
        <f t="shared" si="81"/>
        <v>http://hdl.handle.net/2027/uc1.b3014083?urlappend=%3Bseq=68</v>
      </c>
      <c r="Q959" s="27" t="str">
        <f t="shared" si="78"/>
        <v>https://babel.hathitrust.org/cgi/pt?id=uc1.b3014083;view=1up;seq=211</v>
      </c>
      <c r="R959" s="27" t="str">
        <f t="shared" si="82"/>
        <v>http://hdl.handle.net/2027/uc1.b3014083?urlappend=%3Bseq=212</v>
      </c>
      <c r="S959" s="27" t="str">
        <f t="shared" si="83"/>
        <v>http://hdl.handle.net/2027/uc1.b3014083?urlappend=%3Bseq=153</v>
      </c>
      <c r="T959" s="27" t="str">
        <f t="shared" si="84"/>
        <v>http://hdl.handle.net/2027/uc1.b3014083?urlappend=%3Bseq=174</v>
      </c>
    </row>
    <row r="960" spans="1:20" x14ac:dyDescent="0.25">
      <c r="A960" s="27" t="s">
        <v>1545</v>
      </c>
      <c r="B960" s="27" t="str">
        <f t="shared" si="76"/>
        <v>Texas</v>
      </c>
      <c r="C960" s="27" t="str">
        <f t="shared" si="77"/>
        <v>Palo Pinto</v>
      </c>
      <c r="D960" s="27">
        <v>114452</v>
      </c>
      <c r="E960" s="27">
        <v>49</v>
      </c>
      <c r="F960" s="26">
        <f>'TX pre'!G156</f>
        <v>81.265306122448976</v>
      </c>
      <c r="G960" s="10">
        <v>2156</v>
      </c>
      <c r="H960" s="28">
        <f>'TX pre'!J156</f>
        <v>51.817930688096439</v>
      </c>
      <c r="I960" s="2">
        <v>11108</v>
      </c>
      <c r="J960" s="27">
        <v>45</v>
      </c>
      <c r="K960" s="2">
        <v>14265</v>
      </c>
      <c r="L960" s="27">
        <v>1905</v>
      </c>
      <c r="M960" s="27" t="s">
        <v>1965</v>
      </c>
      <c r="N960" s="27" t="str">
        <f t="shared" si="79"/>
        <v>http://hdl.handle.net/2027/uc1.b3014083?urlappend=%3Bseq=105</v>
      </c>
      <c r="O960" s="27" t="str">
        <f t="shared" si="80"/>
        <v>http://hdl.handle.net/2027/uc1.b3014083?urlappend=%3Bseq=126</v>
      </c>
      <c r="P960" s="27" t="str">
        <f t="shared" si="81"/>
        <v>http://hdl.handle.net/2027/uc1.b3014083?urlappend=%3Bseq=68</v>
      </c>
      <c r="Q960" s="27" t="str">
        <f t="shared" si="78"/>
        <v>https://babel.hathitrust.org/cgi/pt?id=uc1.b3014083;view=1up;seq=211</v>
      </c>
      <c r="R960" s="27" t="str">
        <f t="shared" si="82"/>
        <v>http://hdl.handle.net/2027/uc1.b3014083?urlappend=%3Bseq=212</v>
      </c>
      <c r="S960" s="27" t="str">
        <f t="shared" si="83"/>
        <v>http://hdl.handle.net/2027/uc1.b3014083?urlappend=%3Bseq=153</v>
      </c>
      <c r="T960" s="27" t="str">
        <f t="shared" si="84"/>
        <v>http://hdl.handle.net/2027/uc1.b3014083?urlappend=%3Bseq=174</v>
      </c>
    </row>
    <row r="961" spans="1:20" x14ac:dyDescent="0.25">
      <c r="A961" s="27" t="s">
        <v>1547</v>
      </c>
      <c r="B961" s="27" t="str">
        <f t="shared" si="76"/>
        <v>Texas</v>
      </c>
      <c r="C961" s="27" t="str">
        <f t="shared" si="77"/>
        <v>Parker</v>
      </c>
      <c r="D961" s="27">
        <v>247292</v>
      </c>
      <c r="E961" s="27">
        <v>92</v>
      </c>
      <c r="F961" s="26">
        <f>'TX pre'!G157</f>
        <v>96.097826086956516</v>
      </c>
      <c r="G961" s="10">
        <v>4836</v>
      </c>
      <c r="H961" s="28">
        <f>'TX pre'!J157</f>
        <v>46.823323153489426</v>
      </c>
      <c r="I961" s="2">
        <v>21250</v>
      </c>
      <c r="J961" s="27">
        <v>90</v>
      </c>
      <c r="K961" s="2">
        <v>18100</v>
      </c>
      <c r="L961" s="27">
        <v>1905</v>
      </c>
      <c r="M961" s="27" t="s">
        <v>1965</v>
      </c>
      <c r="N961" s="27" t="str">
        <f t="shared" si="79"/>
        <v>http://hdl.handle.net/2027/uc1.b3014083?urlappend=%3Bseq=105</v>
      </c>
      <c r="O961" s="27" t="str">
        <f t="shared" si="80"/>
        <v>http://hdl.handle.net/2027/uc1.b3014083?urlappend=%3Bseq=126</v>
      </c>
      <c r="P961" s="27" t="str">
        <f t="shared" si="81"/>
        <v>http://hdl.handle.net/2027/uc1.b3014083?urlappend=%3Bseq=68</v>
      </c>
      <c r="Q961" s="27" t="str">
        <f t="shared" si="78"/>
        <v>https://babel.hathitrust.org/cgi/pt?id=uc1.b3014083;view=1up;seq=211</v>
      </c>
      <c r="R961" s="27" t="str">
        <f t="shared" si="82"/>
        <v>http://hdl.handle.net/2027/uc1.b3014083?urlappend=%3Bseq=212</v>
      </c>
      <c r="S961" s="27" t="str">
        <f t="shared" si="83"/>
        <v>http://hdl.handle.net/2027/uc1.b3014083?urlappend=%3Bseq=153</v>
      </c>
      <c r="T961" s="27" t="str">
        <f t="shared" si="84"/>
        <v>http://hdl.handle.net/2027/uc1.b3014083?urlappend=%3Bseq=174</v>
      </c>
    </row>
    <row r="962" spans="1:20" x14ac:dyDescent="0.25">
      <c r="A962" s="27" t="s">
        <v>1548</v>
      </c>
      <c r="B962" s="27" t="str">
        <f t="shared" si="76"/>
        <v>Texas</v>
      </c>
      <c r="C962" s="27" t="str">
        <f t="shared" si="77"/>
        <v>Parmer</v>
      </c>
      <c r="D962" s="27"/>
      <c r="E962" s="27"/>
      <c r="F962" s="26"/>
      <c r="G962" s="10"/>
      <c r="H962" s="28"/>
      <c r="J962" s="27"/>
      <c r="K962" s="2"/>
      <c r="L962" s="27">
        <v>1905</v>
      </c>
      <c r="M962" s="27" t="s">
        <v>1965</v>
      </c>
      <c r="N962" s="27" t="str">
        <f t="shared" si="79"/>
        <v>http://hdl.handle.net/2027/uc1.b3014083?urlappend=%3Bseq=105</v>
      </c>
      <c r="O962" s="27" t="str">
        <f t="shared" si="80"/>
        <v>http://hdl.handle.net/2027/uc1.b3014083?urlappend=%3Bseq=126</v>
      </c>
      <c r="P962" s="27" t="str">
        <f t="shared" si="81"/>
        <v>http://hdl.handle.net/2027/uc1.b3014083?urlappend=%3Bseq=68</v>
      </c>
      <c r="Q962" s="27" t="str">
        <f t="shared" si="78"/>
        <v>https://babel.hathitrust.org/cgi/pt?id=uc1.b3014083;view=1up;seq=211</v>
      </c>
      <c r="R962" s="27" t="str">
        <f t="shared" si="82"/>
        <v>http://hdl.handle.net/2027/uc1.b3014083?urlappend=%3Bseq=212</v>
      </c>
      <c r="S962" s="27" t="str">
        <f t="shared" si="83"/>
        <v>http://hdl.handle.net/2027/uc1.b3014083?urlappend=%3Bseq=153</v>
      </c>
      <c r="T962" s="27" t="str">
        <f t="shared" si="84"/>
        <v>http://hdl.handle.net/2027/uc1.b3014083?urlappend=%3Bseq=174</v>
      </c>
    </row>
    <row r="963" spans="1:20" x14ac:dyDescent="0.25">
      <c r="A963" s="27" t="s">
        <v>1549</v>
      </c>
      <c r="B963" s="27" t="str">
        <f t="shared" si="76"/>
        <v>Texas</v>
      </c>
      <c r="C963" s="27" t="str">
        <f t="shared" si="77"/>
        <v>Pecos</v>
      </c>
      <c r="D963" s="27">
        <v>24246</v>
      </c>
      <c r="E963" s="27">
        <v>8</v>
      </c>
      <c r="F963" s="26">
        <f>'TX pre'!G159</f>
        <v>157.75</v>
      </c>
      <c r="G963" s="10">
        <v>260</v>
      </c>
      <c r="H963" s="28">
        <f>'TX pre'!J159</f>
        <v>54.659270998415209</v>
      </c>
      <c r="I963" s="2">
        <v>4028</v>
      </c>
      <c r="J963" s="27">
        <v>6</v>
      </c>
      <c r="K963" s="2">
        <v>4750</v>
      </c>
      <c r="L963" s="27">
        <v>1905</v>
      </c>
      <c r="M963" s="27" t="s">
        <v>1965</v>
      </c>
      <c r="N963" s="27" t="str">
        <f t="shared" si="79"/>
        <v>http://hdl.handle.net/2027/uc1.b3014083?urlappend=%3Bseq=105</v>
      </c>
      <c r="O963" s="27" t="str">
        <f t="shared" si="80"/>
        <v>http://hdl.handle.net/2027/uc1.b3014083?urlappend=%3Bseq=126</v>
      </c>
      <c r="P963" s="27" t="str">
        <f t="shared" si="81"/>
        <v>http://hdl.handle.net/2027/uc1.b3014083?urlappend=%3Bseq=68</v>
      </c>
      <c r="Q963" s="27" t="str">
        <f t="shared" si="78"/>
        <v>https://babel.hathitrust.org/cgi/pt?id=uc1.b3014083;view=1up;seq=211</v>
      </c>
      <c r="R963" s="27" t="str">
        <f t="shared" si="82"/>
        <v>http://hdl.handle.net/2027/uc1.b3014083?urlappend=%3Bseq=212</v>
      </c>
      <c r="S963" s="27" t="str">
        <f t="shared" si="83"/>
        <v>http://hdl.handle.net/2027/uc1.b3014083?urlappend=%3Bseq=153</v>
      </c>
      <c r="T963" s="27" t="str">
        <f t="shared" si="84"/>
        <v>http://hdl.handle.net/2027/uc1.b3014083?urlappend=%3Bseq=174</v>
      </c>
    </row>
    <row r="964" spans="1:20" x14ac:dyDescent="0.25">
      <c r="A964" s="27" t="s">
        <v>1550</v>
      </c>
      <c r="B964" s="27" t="str">
        <f t="shared" si="76"/>
        <v>Texas</v>
      </c>
      <c r="C964" s="27" t="str">
        <f t="shared" si="77"/>
        <v>Polk</v>
      </c>
      <c r="D964" s="27">
        <v>156812</v>
      </c>
      <c r="E964" s="27">
        <v>99</v>
      </c>
      <c r="F964" s="26">
        <f>'TX pre'!G160</f>
        <v>75.292929292929287</v>
      </c>
      <c r="G964" s="10">
        <v>3309</v>
      </c>
      <c r="H964" s="28">
        <f>'TX pre'!J160</f>
        <v>37.371666219479472</v>
      </c>
      <c r="I964" s="2">
        <v>14489</v>
      </c>
      <c r="J964" s="27">
        <v>73</v>
      </c>
      <c r="K964" s="2">
        <v>1980</v>
      </c>
      <c r="L964" s="27">
        <v>1905</v>
      </c>
      <c r="M964" s="27" t="s">
        <v>1965</v>
      </c>
      <c r="N964" s="27" t="str">
        <f t="shared" si="79"/>
        <v>http://hdl.handle.net/2027/uc1.b3014083?urlappend=%3Bseq=105</v>
      </c>
      <c r="O964" s="27" t="str">
        <f t="shared" si="80"/>
        <v>http://hdl.handle.net/2027/uc1.b3014083?urlappend=%3Bseq=126</v>
      </c>
      <c r="P964" s="27" t="str">
        <f t="shared" si="81"/>
        <v>http://hdl.handle.net/2027/uc1.b3014083?urlappend=%3Bseq=68</v>
      </c>
      <c r="Q964" s="27" t="str">
        <f t="shared" si="78"/>
        <v>https://babel.hathitrust.org/cgi/pt?id=uc1.b3014083;view=1up;seq=211</v>
      </c>
      <c r="R964" s="27" t="str">
        <f t="shared" si="82"/>
        <v>http://hdl.handle.net/2027/uc1.b3014083?urlappend=%3Bseq=212</v>
      </c>
      <c r="S964" s="27" t="str">
        <f t="shared" si="83"/>
        <v>http://hdl.handle.net/2027/uc1.b3014083?urlappend=%3Bseq=153</v>
      </c>
      <c r="T964" s="27" t="str">
        <f t="shared" si="84"/>
        <v>http://hdl.handle.net/2027/uc1.b3014083?urlappend=%3Bseq=174</v>
      </c>
    </row>
    <row r="965" spans="1:20" x14ac:dyDescent="0.25">
      <c r="A965" s="27" t="s">
        <v>1551</v>
      </c>
      <c r="B965" s="27" t="str">
        <f t="shared" si="76"/>
        <v>Texas</v>
      </c>
      <c r="C965" s="27" t="str">
        <f t="shared" si="77"/>
        <v>Potter</v>
      </c>
      <c r="D965" s="27">
        <v>85263</v>
      </c>
      <c r="E965" s="27">
        <v>19</v>
      </c>
      <c r="F965" s="26">
        <f>'TX pre'!G161</f>
        <v>134.94736842105263</v>
      </c>
      <c r="G965" s="10">
        <v>872</v>
      </c>
      <c r="H965" s="28">
        <f>'TX pre'!J161</f>
        <v>59.782371294851799</v>
      </c>
      <c r="I965" s="2">
        <v>10599</v>
      </c>
      <c r="J965" s="27">
        <v>8</v>
      </c>
      <c r="K965" s="2">
        <v>5500</v>
      </c>
      <c r="L965" s="27">
        <v>1905</v>
      </c>
      <c r="M965" s="27" t="s">
        <v>1965</v>
      </c>
      <c r="N965" s="27" t="str">
        <f t="shared" si="79"/>
        <v>http://hdl.handle.net/2027/uc1.b3014083?urlappend=%3Bseq=105</v>
      </c>
      <c r="O965" s="27" t="str">
        <f t="shared" si="80"/>
        <v>http://hdl.handle.net/2027/uc1.b3014083?urlappend=%3Bseq=126</v>
      </c>
      <c r="P965" s="27" t="str">
        <f t="shared" si="81"/>
        <v>http://hdl.handle.net/2027/uc1.b3014083?urlappend=%3Bseq=68</v>
      </c>
      <c r="Q965" s="27" t="str">
        <f t="shared" si="78"/>
        <v>https://babel.hathitrust.org/cgi/pt?id=uc1.b3014083;view=1up;seq=211</v>
      </c>
      <c r="R965" s="27" t="str">
        <f t="shared" si="82"/>
        <v>http://hdl.handle.net/2027/uc1.b3014083?urlappend=%3Bseq=212</v>
      </c>
      <c r="S965" s="27" t="str">
        <f t="shared" si="83"/>
        <v>http://hdl.handle.net/2027/uc1.b3014083?urlappend=%3Bseq=153</v>
      </c>
      <c r="T965" s="27" t="str">
        <f t="shared" si="84"/>
        <v>http://hdl.handle.net/2027/uc1.b3014083?urlappend=%3Bseq=174</v>
      </c>
    </row>
    <row r="966" spans="1:20" x14ac:dyDescent="0.25">
      <c r="A966" s="27" t="s">
        <v>1552</v>
      </c>
      <c r="B966" s="27" t="str">
        <f t="shared" si="76"/>
        <v>Texas</v>
      </c>
      <c r="C966" s="27" t="str">
        <f t="shared" si="77"/>
        <v>Presidio</v>
      </c>
      <c r="D966" s="27">
        <v>49296</v>
      </c>
      <c r="E966" s="27">
        <v>13</v>
      </c>
      <c r="F966" s="26">
        <f>'TX pre'!G162</f>
        <v>163.84615384615384</v>
      </c>
      <c r="G966" s="10">
        <v>323</v>
      </c>
      <c r="H966" s="28">
        <f>'TX pre'!J162</f>
        <v>66.417840375586863</v>
      </c>
      <c r="I966" s="2">
        <v>9050</v>
      </c>
      <c r="J966" s="27">
        <v>10</v>
      </c>
      <c r="K966" s="2">
        <v>12223</v>
      </c>
      <c r="L966" s="27">
        <v>1905</v>
      </c>
      <c r="M966" s="27" t="s">
        <v>1965</v>
      </c>
      <c r="N966" s="27" t="str">
        <f t="shared" si="79"/>
        <v>http://hdl.handle.net/2027/uc1.b3014083?urlappend=%3Bseq=105</v>
      </c>
      <c r="O966" s="27" t="str">
        <f t="shared" si="80"/>
        <v>http://hdl.handle.net/2027/uc1.b3014083?urlappend=%3Bseq=126</v>
      </c>
      <c r="P966" s="27" t="str">
        <f t="shared" si="81"/>
        <v>http://hdl.handle.net/2027/uc1.b3014083?urlappend=%3Bseq=68</v>
      </c>
      <c r="Q966" s="27" t="str">
        <f t="shared" si="78"/>
        <v>https://babel.hathitrust.org/cgi/pt?id=uc1.b3014083;view=1up;seq=211</v>
      </c>
      <c r="R966" s="27" t="str">
        <f t="shared" si="82"/>
        <v>http://hdl.handle.net/2027/uc1.b3014083?urlappend=%3Bseq=212</v>
      </c>
      <c r="S966" s="27" t="str">
        <f t="shared" si="83"/>
        <v>http://hdl.handle.net/2027/uc1.b3014083?urlappend=%3Bseq=153</v>
      </c>
      <c r="T966" s="27" t="str">
        <f t="shared" si="84"/>
        <v>http://hdl.handle.net/2027/uc1.b3014083?urlappend=%3Bseq=174</v>
      </c>
    </row>
    <row r="967" spans="1:20" x14ac:dyDescent="0.25">
      <c r="A967" s="27" t="s">
        <v>1553</v>
      </c>
      <c r="B967" s="27" t="str">
        <f t="shared" ref="B967:B1042" si="85">LEFT(A967,FIND(";",A967)-1)</f>
        <v>Texas</v>
      </c>
      <c r="C967" s="27" t="str">
        <f t="shared" ref="C967:C1042" si="86">MID(A967,FIND(";",A967)+1,100)</f>
        <v>Rains</v>
      </c>
      <c r="D967" s="27"/>
      <c r="E967" s="27"/>
      <c r="F967" s="26"/>
      <c r="G967" s="10"/>
      <c r="H967" s="28"/>
      <c r="I967" s="2">
        <v>10194</v>
      </c>
      <c r="J967" s="27"/>
      <c r="K967" s="2"/>
      <c r="L967" s="27">
        <v>1905</v>
      </c>
      <c r="M967" s="27" t="s">
        <v>1965</v>
      </c>
      <c r="N967" s="27" t="str">
        <f t="shared" si="79"/>
        <v>http://hdl.handle.net/2027/uc1.b3014083?urlappend=%3Bseq=105</v>
      </c>
      <c r="O967" s="27" t="str">
        <f t="shared" si="80"/>
        <v>http://hdl.handle.net/2027/uc1.b3014083?urlappend=%3Bseq=126</v>
      </c>
      <c r="P967" s="27" t="str">
        <f t="shared" si="81"/>
        <v>http://hdl.handle.net/2027/uc1.b3014083?urlappend=%3Bseq=68</v>
      </c>
      <c r="Q967" s="27" t="str">
        <f t="shared" si="78"/>
        <v>https://babel.hathitrust.org/cgi/pt?id=uc1.b3014083;view=1up;seq=211</v>
      </c>
      <c r="R967" s="27" t="str">
        <f t="shared" si="82"/>
        <v>http://hdl.handle.net/2027/uc1.b3014083?urlappend=%3Bseq=212</v>
      </c>
      <c r="S967" s="27" t="str">
        <f t="shared" si="83"/>
        <v>http://hdl.handle.net/2027/uc1.b3014083?urlappend=%3Bseq=153</v>
      </c>
      <c r="T967" s="27" t="str">
        <f t="shared" si="84"/>
        <v>http://hdl.handle.net/2027/uc1.b3014083?urlappend=%3Bseq=174</v>
      </c>
    </row>
    <row r="968" spans="1:20" x14ac:dyDescent="0.25">
      <c r="A968" s="27" t="s">
        <v>1554</v>
      </c>
      <c r="B968" s="27" t="str">
        <f t="shared" si="85"/>
        <v>Texas</v>
      </c>
      <c r="C968" s="27" t="str">
        <f t="shared" si="86"/>
        <v>Randall</v>
      </c>
      <c r="D968" s="27">
        <v>18027</v>
      </c>
      <c r="E968" s="27">
        <v>12</v>
      </c>
      <c r="F968" s="26">
        <f>'TX pre'!G164</f>
        <v>104.91666666666667</v>
      </c>
      <c r="G968" s="10">
        <v>245</v>
      </c>
      <c r="H968" s="28">
        <f>'TX pre'!J164</f>
        <v>51.305321683876087</v>
      </c>
      <c r="I968" s="2">
        <v>3885</v>
      </c>
      <c r="J968" s="27">
        <v>12</v>
      </c>
      <c r="K968" s="2">
        <v>3465</v>
      </c>
      <c r="L968" s="27">
        <v>1905</v>
      </c>
      <c r="M968" s="27" t="s">
        <v>1965</v>
      </c>
      <c r="N968" s="27" t="str">
        <f t="shared" si="79"/>
        <v>http://hdl.handle.net/2027/uc1.b3014083?urlappend=%3Bseq=105</v>
      </c>
      <c r="O968" s="27" t="str">
        <f t="shared" si="80"/>
        <v>http://hdl.handle.net/2027/uc1.b3014083?urlappend=%3Bseq=126</v>
      </c>
      <c r="P968" s="27" t="str">
        <f t="shared" si="81"/>
        <v>http://hdl.handle.net/2027/uc1.b3014083?urlappend=%3Bseq=68</v>
      </c>
      <c r="Q968" s="27" t="str">
        <f t="shared" si="78"/>
        <v>https://babel.hathitrust.org/cgi/pt?id=uc1.b3014083;view=1up;seq=211</v>
      </c>
      <c r="R968" s="27" t="str">
        <f t="shared" si="82"/>
        <v>http://hdl.handle.net/2027/uc1.b3014083?urlappend=%3Bseq=212</v>
      </c>
      <c r="S968" s="27" t="str">
        <f t="shared" si="83"/>
        <v>http://hdl.handle.net/2027/uc1.b3014083?urlappend=%3Bseq=153</v>
      </c>
      <c r="T968" s="27" t="str">
        <f t="shared" si="84"/>
        <v>http://hdl.handle.net/2027/uc1.b3014083?urlappend=%3Bseq=174</v>
      </c>
    </row>
    <row r="969" spans="1:20" x14ac:dyDescent="0.25">
      <c r="A969" s="27" t="s">
        <v>1555</v>
      </c>
      <c r="B969" s="27" t="str">
        <f t="shared" si="85"/>
        <v>Texas</v>
      </c>
      <c r="C969" s="27" t="str">
        <f t="shared" si="86"/>
        <v>Reagan</v>
      </c>
      <c r="D969" s="27">
        <v>10795</v>
      </c>
      <c r="E969" s="27">
        <v>6</v>
      </c>
      <c r="F969" s="26">
        <f>'TX pre'!G165</f>
        <v>129.5</v>
      </c>
      <c r="G969" s="10">
        <v>123</v>
      </c>
      <c r="H969" s="28">
        <f>'TX pre'!J165</f>
        <v>45.173745173745175</v>
      </c>
      <c r="I969" s="2">
        <v>2245</v>
      </c>
      <c r="J969" s="27">
        <v>6</v>
      </c>
      <c r="K969" s="2">
        <v>1655</v>
      </c>
      <c r="L969" s="27">
        <v>1905</v>
      </c>
      <c r="M969" s="27" t="s">
        <v>1965</v>
      </c>
      <c r="N969" s="27" t="str">
        <f t="shared" si="79"/>
        <v>http://hdl.handle.net/2027/uc1.b3014083?urlappend=%3Bseq=105</v>
      </c>
      <c r="O969" s="27" t="str">
        <f t="shared" si="80"/>
        <v>http://hdl.handle.net/2027/uc1.b3014083?urlappend=%3Bseq=126</v>
      </c>
      <c r="P969" s="27" t="str">
        <f t="shared" si="81"/>
        <v>http://hdl.handle.net/2027/uc1.b3014083?urlappend=%3Bseq=68</v>
      </c>
      <c r="Q969" s="27" t="str">
        <f t="shared" si="78"/>
        <v>https://babel.hathitrust.org/cgi/pt?id=uc1.b3014083;view=1up;seq=211</v>
      </c>
      <c r="R969" s="27" t="str">
        <f t="shared" si="82"/>
        <v>http://hdl.handle.net/2027/uc1.b3014083?urlappend=%3Bseq=212</v>
      </c>
      <c r="S969" s="27" t="str">
        <f t="shared" si="83"/>
        <v>http://hdl.handle.net/2027/uc1.b3014083?urlappend=%3Bseq=153</v>
      </c>
      <c r="T969" s="27" t="str">
        <f t="shared" si="84"/>
        <v>http://hdl.handle.net/2027/uc1.b3014083?urlappend=%3Bseq=174</v>
      </c>
    </row>
    <row r="970" spans="1:20" x14ac:dyDescent="0.25">
      <c r="A970" s="27" t="s">
        <v>1557</v>
      </c>
      <c r="B970" s="27" t="str">
        <f t="shared" si="85"/>
        <v>Texas</v>
      </c>
      <c r="C970" s="27" t="str">
        <f t="shared" si="86"/>
        <v>Red River</v>
      </c>
      <c r="D970" s="27">
        <v>403850</v>
      </c>
      <c r="E970" s="27">
        <v>160</v>
      </c>
      <c r="F970" s="26">
        <f>'TX pre'!G166</f>
        <v>99.212500000000006</v>
      </c>
      <c r="G970" s="10">
        <v>7867</v>
      </c>
      <c r="H970" s="28">
        <f>'TX pre'!J166</f>
        <v>49.41807987904749</v>
      </c>
      <c r="I970" s="2">
        <v>40231</v>
      </c>
      <c r="J970" s="27">
        <v>147</v>
      </c>
      <c r="K970" s="2">
        <v>33445</v>
      </c>
      <c r="L970" s="27">
        <v>1905</v>
      </c>
      <c r="M970" s="27" t="s">
        <v>1965</v>
      </c>
      <c r="N970" s="27" t="str">
        <f t="shared" si="79"/>
        <v>http://hdl.handle.net/2027/uc1.b3014083?urlappend=%3Bseq=105</v>
      </c>
      <c r="O970" s="27" t="str">
        <f t="shared" si="80"/>
        <v>http://hdl.handle.net/2027/uc1.b3014083?urlappend=%3Bseq=126</v>
      </c>
      <c r="P970" s="27" t="str">
        <f t="shared" si="81"/>
        <v>http://hdl.handle.net/2027/uc1.b3014083?urlappend=%3Bseq=68</v>
      </c>
      <c r="Q970" s="27" t="str">
        <f t="shared" si="78"/>
        <v>https://babel.hathitrust.org/cgi/pt?id=uc1.b3014083;view=1up;seq=211</v>
      </c>
      <c r="R970" s="27" t="str">
        <f t="shared" si="82"/>
        <v>http://hdl.handle.net/2027/uc1.b3014083?urlappend=%3Bseq=212</v>
      </c>
      <c r="S970" s="27" t="str">
        <f t="shared" si="83"/>
        <v>http://hdl.handle.net/2027/uc1.b3014083?urlappend=%3Bseq=153</v>
      </c>
      <c r="T970" s="27" t="str">
        <f t="shared" si="84"/>
        <v>http://hdl.handle.net/2027/uc1.b3014083?urlappend=%3Bseq=174</v>
      </c>
    </row>
    <row r="971" spans="1:20" x14ac:dyDescent="0.25">
      <c r="A971" s="27" t="s">
        <v>1558</v>
      </c>
      <c r="B971" s="27" t="str">
        <f t="shared" si="85"/>
        <v>Texas</v>
      </c>
      <c r="C971" s="27" t="str">
        <f t="shared" si="86"/>
        <v>Reeves</v>
      </c>
      <c r="D971" s="27">
        <v>35897</v>
      </c>
      <c r="E971" s="27">
        <v>12</v>
      </c>
      <c r="F971" s="26">
        <f>'TX pre'!G167</f>
        <v>145.75</v>
      </c>
      <c r="G971" s="10">
        <v>363</v>
      </c>
      <c r="H971" s="28">
        <f>'TX pre'!J167</f>
        <v>59.413950829045177</v>
      </c>
      <c r="I971" s="2">
        <v>5996</v>
      </c>
      <c r="J971" s="27">
        <v>11</v>
      </c>
      <c r="K971" s="2">
        <v>7215</v>
      </c>
      <c r="L971" s="27">
        <v>1905</v>
      </c>
      <c r="M971" s="27" t="s">
        <v>1965</v>
      </c>
      <c r="N971" s="27" t="str">
        <f t="shared" si="79"/>
        <v>http://hdl.handle.net/2027/uc1.b3014083?urlappend=%3Bseq=105</v>
      </c>
      <c r="O971" s="27" t="str">
        <f t="shared" si="80"/>
        <v>http://hdl.handle.net/2027/uc1.b3014083?urlappend=%3Bseq=126</v>
      </c>
      <c r="P971" s="27" t="str">
        <f t="shared" si="81"/>
        <v>http://hdl.handle.net/2027/uc1.b3014083?urlappend=%3Bseq=68</v>
      </c>
      <c r="Q971" s="27" t="str">
        <f t="shared" si="78"/>
        <v>https://babel.hathitrust.org/cgi/pt?id=uc1.b3014083;view=1up;seq=211</v>
      </c>
      <c r="R971" s="27" t="str">
        <f t="shared" si="82"/>
        <v>http://hdl.handle.net/2027/uc1.b3014083?urlappend=%3Bseq=212</v>
      </c>
      <c r="S971" s="27" t="str">
        <f t="shared" si="83"/>
        <v>http://hdl.handle.net/2027/uc1.b3014083?urlappend=%3Bseq=153</v>
      </c>
      <c r="T971" s="27" t="str">
        <f t="shared" si="84"/>
        <v>http://hdl.handle.net/2027/uc1.b3014083?urlappend=%3Bseq=174</v>
      </c>
    </row>
    <row r="972" spans="1:20" x14ac:dyDescent="0.25">
      <c r="A972" s="27" t="s">
        <v>1559</v>
      </c>
      <c r="B972" s="27" t="str">
        <f t="shared" si="85"/>
        <v>Texas</v>
      </c>
      <c r="C972" s="27" t="str">
        <f t="shared" si="86"/>
        <v>Refugio</v>
      </c>
      <c r="D972" s="27">
        <v>25871</v>
      </c>
      <c r="E972" s="27">
        <v>14</v>
      </c>
      <c r="F972" s="26">
        <f>'TX pre'!G168</f>
        <v>98.571428571428569</v>
      </c>
      <c r="G972" s="10">
        <v>298</v>
      </c>
      <c r="H972" s="28">
        <f>'TX pre'!J168</f>
        <v>47.871304347826083</v>
      </c>
      <c r="I972" s="2">
        <v>3678</v>
      </c>
      <c r="J972" s="27">
        <v>13</v>
      </c>
      <c r="K972" s="2">
        <v>1460</v>
      </c>
      <c r="L972" s="27">
        <v>1905</v>
      </c>
      <c r="M972" s="27" t="s">
        <v>1965</v>
      </c>
      <c r="N972" s="27" t="str">
        <f t="shared" si="79"/>
        <v>http://hdl.handle.net/2027/uc1.b3014083?urlappend=%3Bseq=105</v>
      </c>
      <c r="O972" s="27" t="str">
        <f t="shared" si="80"/>
        <v>http://hdl.handle.net/2027/uc1.b3014083?urlappend=%3Bseq=126</v>
      </c>
      <c r="P972" s="27" t="str">
        <f t="shared" si="81"/>
        <v>http://hdl.handle.net/2027/uc1.b3014083?urlappend=%3Bseq=68</v>
      </c>
      <c r="Q972" s="27" t="str">
        <f t="shared" si="78"/>
        <v>https://babel.hathitrust.org/cgi/pt?id=uc1.b3014083;view=1up;seq=211</v>
      </c>
      <c r="R972" s="27" t="str">
        <f t="shared" si="82"/>
        <v>http://hdl.handle.net/2027/uc1.b3014083?urlappend=%3Bseq=212</v>
      </c>
      <c r="S972" s="27" t="str">
        <f t="shared" si="83"/>
        <v>http://hdl.handle.net/2027/uc1.b3014083?urlappend=%3Bseq=153</v>
      </c>
      <c r="T972" s="27" t="str">
        <f t="shared" si="84"/>
        <v>http://hdl.handle.net/2027/uc1.b3014083?urlappend=%3Bseq=174</v>
      </c>
    </row>
    <row r="973" spans="1:20" x14ac:dyDescent="0.25">
      <c r="A973" s="27" t="s">
        <v>1560</v>
      </c>
      <c r="B973" s="27" t="str">
        <f t="shared" si="85"/>
        <v>Texas</v>
      </c>
      <c r="C973" s="27" t="str">
        <f t="shared" si="86"/>
        <v>Roberts</v>
      </c>
      <c r="D973" s="27">
        <v>17512</v>
      </c>
      <c r="E973" s="27">
        <v>11</v>
      </c>
      <c r="F973" s="26">
        <f>'TX pre'!G169</f>
        <v>103.09090909090909</v>
      </c>
      <c r="G973" s="10">
        <v>130</v>
      </c>
      <c r="H973" s="28">
        <f>'TX pre'!J169</f>
        <v>48.464902998236333</v>
      </c>
      <c r="I973" s="2">
        <v>2977</v>
      </c>
      <c r="J973" s="27">
        <v>7</v>
      </c>
      <c r="K973" s="2">
        <v>1250</v>
      </c>
      <c r="L973" s="27">
        <v>1905</v>
      </c>
      <c r="M973" s="27" t="s">
        <v>1965</v>
      </c>
      <c r="N973" s="27" t="str">
        <f t="shared" si="79"/>
        <v>http://hdl.handle.net/2027/uc1.b3014083?urlappend=%3Bseq=105</v>
      </c>
      <c r="O973" s="27" t="str">
        <f t="shared" si="80"/>
        <v>http://hdl.handle.net/2027/uc1.b3014083?urlappend=%3Bseq=126</v>
      </c>
      <c r="P973" s="27" t="str">
        <f t="shared" si="81"/>
        <v>http://hdl.handle.net/2027/uc1.b3014083?urlappend=%3Bseq=68</v>
      </c>
      <c r="Q973" s="27" t="str">
        <f t="shared" si="78"/>
        <v>https://babel.hathitrust.org/cgi/pt?id=uc1.b3014083;view=1up;seq=211</v>
      </c>
      <c r="R973" s="27" t="str">
        <f t="shared" si="82"/>
        <v>http://hdl.handle.net/2027/uc1.b3014083?urlappend=%3Bseq=212</v>
      </c>
      <c r="S973" s="27" t="str">
        <f t="shared" si="83"/>
        <v>http://hdl.handle.net/2027/uc1.b3014083?urlappend=%3Bseq=153</v>
      </c>
      <c r="T973" s="27" t="str">
        <f t="shared" si="84"/>
        <v>http://hdl.handle.net/2027/uc1.b3014083?urlappend=%3Bseq=174</v>
      </c>
    </row>
    <row r="974" spans="1:20" x14ac:dyDescent="0.25">
      <c r="A974" s="27" t="s">
        <v>1562</v>
      </c>
      <c r="B974" s="27" t="str">
        <f t="shared" si="85"/>
        <v>Texas</v>
      </c>
      <c r="C974" s="27" t="str">
        <f t="shared" si="86"/>
        <v>Rockwall</v>
      </c>
      <c r="D974" s="27">
        <v>112523</v>
      </c>
      <c r="E974" s="27">
        <v>38</v>
      </c>
      <c r="F974" s="26">
        <f>'TX pre'!G170</f>
        <v>109.23684210526316</v>
      </c>
      <c r="G974" s="10">
        <v>1788</v>
      </c>
      <c r="H974" s="28">
        <f>'TX pre'!J170</f>
        <v>55.938135389062865</v>
      </c>
      <c r="I974" s="2">
        <v>13016</v>
      </c>
      <c r="J974" s="27">
        <v>22</v>
      </c>
      <c r="K974" s="2">
        <v>16328</v>
      </c>
      <c r="L974" s="27">
        <v>1905</v>
      </c>
      <c r="M974" s="27" t="s">
        <v>1965</v>
      </c>
      <c r="N974" s="27" t="str">
        <f t="shared" si="79"/>
        <v>http://hdl.handle.net/2027/uc1.b3014083?urlappend=%3Bseq=105</v>
      </c>
      <c r="O974" s="27" t="str">
        <f t="shared" si="80"/>
        <v>http://hdl.handle.net/2027/uc1.b3014083?urlappend=%3Bseq=126</v>
      </c>
      <c r="P974" s="27" t="str">
        <f t="shared" si="81"/>
        <v>http://hdl.handle.net/2027/uc1.b3014083?urlappend=%3Bseq=68</v>
      </c>
      <c r="Q974" s="27" t="str">
        <f t="shared" si="78"/>
        <v>https://babel.hathitrust.org/cgi/pt?id=uc1.b3014083;view=1up;seq=211</v>
      </c>
      <c r="R974" s="27" t="str">
        <f t="shared" si="82"/>
        <v>http://hdl.handle.net/2027/uc1.b3014083?urlappend=%3Bseq=212</v>
      </c>
      <c r="S974" s="27" t="str">
        <f t="shared" si="83"/>
        <v>http://hdl.handle.net/2027/uc1.b3014083?urlappend=%3Bseq=153</v>
      </c>
      <c r="T974" s="27" t="str">
        <f t="shared" si="84"/>
        <v>http://hdl.handle.net/2027/uc1.b3014083?urlappend=%3Bseq=174</v>
      </c>
    </row>
    <row r="975" spans="1:20" x14ac:dyDescent="0.25">
      <c r="A975" s="27" t="s">
        <v>1563</v>
      </c>
      <c r="B975" s="27" t="str">
        <f t="shared" si="85"/>
        <v>Texas</v>
      </c>
      <c r="C975" s="27" t="str">
        <f t="shared" si="86"/>
        <v>Runnels</v>
      </c>
      <c r="D975" s="27">
        <v>199918</v>
      </c>
      <c r="E975" s="27">
        <v>57</v>
      </c>
      <c r="F975" s="26">
        <f>'TX pre'!G171</f>
        <v>116.78947368421052</v>
      </c>
      <c r="G975" s="10">
        <v>2858</v>
      </c>
      <c r="H975" s="28">
        <f>'TX pre'!J171</f>
        <v>32.237494366831903</v>
      </c>
      <c r="I975" s="2">
        <v>14764</v>
      </c>
      <c r="J975" s="27">
        <v>41</v>
      </c>
      <c r="K975" s="2">
        <v>38060</v>
      </c>
      <c r="L975" s="27">
        <v>1905</v>
      </c>
      <c r="M975" s="27" t="s">
        <v>1965</v>
      </c>
      <c r="N975" s="27" t="str">
        <f t="shared" si="79"/>
        <v>http://hdl.handle.net/2027/uc1.b3014083?urlappend=%3Bseq=105</v>
      </c>
      <c r="O975" s="27" t="str">
        <f t="shared" si="80"/>
        <v>http://hdl.handle.net/2027/uc1.b3014083?urlappend=%3Bseq=126</v>
      </c>
      <c r="P975" s="27" t="str">
        <f t="shared" si="81"/>
        <v>http://hdl.handle.net/2027/uc1.b3014083?urlappend=%3Bseq=68</v>
      </c>
      <c r="Q975" s="27" t="str">
        <f t="shared" si="78"/>
        <v>https://babel.hathitrust.org/cgi/pt?id=uc1.b3014083;view=1up;seq=211</v>
      </c>
      <c r="R975" s="27" t="str">
        <f t="shared" si="82"/>
        <v>http://hdl.handle.net/2027/uc1.b3014083?urlappend=%3Bseq=212</v>
      </c>
      <c r="S975" s="27" t="str">
        <f t="shared" si="83"/>
        <v>http://hdl.handle.net/2027/uc1.b3014083?urlappend=%3Bseq=153</v>
      </c>
      <c r="T975" s="27" t="str">
        <f t="shared" si="84"/>
        <v>http://hdl.handle.net/2027/uc1.b3014083?urlappend=%3Bseq=174</v>
      </c>
    </row>
    <row r="976" spans="1:20" x14ac:dyDescent="0.25">
      <c r="A976" s="27" t="s">
        <v>1566</v>
      </c>
      <c r="B976" s="27" t="str">
        <f t="shared" si="85"/>
        <v>Texas</v>
      </c>
      <c r="C976" s="27" t="str">
        <f t="shared" si="86"/>
        <v>San Augustine</v>
      </c>
      <c r="D976" s="27">
        <v>114384</v>
      </c>
      <c r="E976" s="27">
        <v>64</v>
      </c>
      <c r="F976" s="26">
        <f>'TX pre'!G172</f>
        <v>76.859375</v>
      </c>
      <c r="G976" s="10">
        <v>2396</v>
      </c>
      <c r="H976" s="28">
        <f>'TX pre'!J172</f>
        <v>47.427607237243343</v>
      </c>
      <c r="I976" s="2">
        <v>12315</v>
      </c>
      <c r="J976" s="27">
        <v>63</v>
      </c>
      <c r="K976" s="2">
        <v>8070</v>
      </c>
      <c r="L976" s="27">
        <v>1905</v>
      </c>
      <c r="M976" s="27" t="s">
        <v>1965</v>
      </c>
      <c r="N976" s="27" t="str">
        <f t="shared" si="79"/>
        <v>http://hdl.handle.net/2027/uc1.b3014083?urlappend=%3Bseq=105</v>
      </c>
      <c r="O976" s="27" t="str">
        <f t="shared" si="80"/>
        <v>http://hdl.handle.net/2027/uc1.b3014083?urlappend=%3Bseq=126</v>
      </c>
      <c r="P976" s="27" t="str">
        <f t="shared" si="81"/>
        <v>http://hdl.handle.net/2027/uc1.b3014083?urlappend=%3Bseq=68</v>
      </c>
      <c r="Q976" s="27" t="str">
        <f t="shared" si="78"/>
        <v>https://babel.hathitrust.org/cgi/pt?id=uc1.b3014083;view=1up;seq=211</v>
      </c>
      <c r="R976" s="27" t="str">
        <f t="shared" si="82"/>
        <v>http://hdl.handle.net/2027/uc1.b3014083?urlappend=%3Bseq=212</v>
      </c>
      <c r="S976" s="27" t="str">
        <f t="shared" si="83"/>
        <v>http://hdl.handle.net/2027/uc1.b3014083?urlappend=%3Bseq=153</v>
      </c>
      <c r="T976" s="27" t="str">
        <f t="shared" si="84"/>
        <v>http://hdl.handle.net/2027/uc1.b3014083?urlappend=%3Bseq=174</v>
      </c>
    </row>
    <row r="977" spans="1:20" x14ac:dyDescent="0.25">
      <c r="A977" s="27" t="s">
        <v>1567</v>
      </c>
      <c r="B977" s="27" t="str">
        <f t="shared" si="85"/>
        <v>Texas</v>
      </c>
      <c r="C977" s="27" t="str">
        <f t="shared" si="86"/>
        <v>San Jacinto</v>
      </c>
      <c r="D977" s="27">
        <v>132193</v>
      </c>
      <c r="E977" s="27">
        <v>66</v>
      </c>
      <c r="F977" s="26">
        <f>'TX pre'!G173</f>
        <v>95.545454545454547</v>
      </c>
      <c r="G977" s="10">
        <v>2421</v>
      </c>
      <c r="H977" s="28">
        <f>'TX pre'!J173</f>
        <v>39.79264192832224</v>
      </c>
      <c r="I977" s="2">
        <v>13021</v>
      </c>
      <c r="J977" s="27">
        <v>62</v>
      </c>
      <c r="K977" s="2">
        <v>6554</v>
      </c>
      <c r="L977" s="27">
        <v>1905</v>
      </c>
      <c r="M977" s="27" t="s">
        <v>1965</v>
      </c>
      <c r="N977" s="27" t="str">
        <f t="shared" si="79"/>
        <v>http://hdl.handle.net/2027/uc1.b3014083?urlappend=%3Bseq=105</v>
      </c>
      <c r="O977" s="27" t="str">
        <f t="shared" si="80"/>
        <v>http://hdl.handle.net/2027/uc1.b3014083?urlappend=%3Bseq=126</v>
      </c>
      <c r="P977" s="27" t="str">
        <f t="shared" si="81"/>
        <v>http://hdl.handle.net/2027/uc1.b3014083?urlappend=%3Bseq=68</v>
      </c>
      <c r="Q977" s="27" t="str">
        <f t="shared" si="78"/>
        <v>https://babel.hathitrust.org/cgi/pt?id=uc1.b3014083;view=1up;seq=211</v>
      </c>
      <c r="R977" s="27" t="str">
        <f t="shared" si="82"/>
        <v>http://hdl.handle.net/2027/uc1.b3014083?urlappend=%3Bseq=212</v>
      </c>
      <c r="S977" s="27" t="str">
        <f t="shared" si="83"/>
        <v>http://hdl.handle.net/2027/uc1.b3014083?urlappend=%3Bseq=153</v>
      </c>
      <c r="T977" s="27" t="str">
        <f t="shared" si="84"/>
        <v>http://hdl.handle.net/2027/uc1.b3014083?urlappend=%3Bseq=174</v>
      </c>
    </row>
    <row r="978" spans="1:20" x14ac:dyDescent="0.25">
      <c r="A978" s="27" t="s">
        <v>1568</v>
      </c>
      <c r="B978" s="27" t="str">
        <f t="shared" si="85"/>
        <v>Texas</v>
      </c>
      <c r="C978" s="27" t="str">
        <f t="shared" si="86"/>
        <v>San Patricio</v>
      </c>
      <c r="D978" s="27">
        <v>23884</v>
      </c>
      <c r="E978" s="27">
        <v>12</v>
      </c>
      <c r="F978" s="26">
        <f>'TX pre'!G174</f>
        <v>129.83333333333334</v>
      </c>
      <c r="G978" s="10">
        <v>376</v>
      </c>
      <c r="H978" s="28">
        <f>'TX pre'!J174</f>
        <v>48.780487804878049</v>
      </c>
      <c r="I978" s="2">
        <v>4426</v>
      </c>
      <c r="J978" s="27">
        <v>12</v>
      </c>
      <c r="K978" s="2">
        <v>5700</v>
      </c>
      <c r="L978" s="27">
        <v>1905</v>
      </c>
      <c r="M978" s="27" t="s">
        <v>1965</v>
      </c>
      <c r="N978" s="27" t="str">
        <f t="shared" si="79"/>
        <v>http://hdl.handle.net/2027/uc1.b3014083?urlappend=%3Bseq=105</v>
      </c>
      <c r="O978" s="27" t="str">
        <f t="shared" si="80"/>
        <v>http://hdl.handle.net/2027/uc1.b3014083?urlappend=%3Bseq=126</v>
      </c>
      <c r="P978" s="27" t="str">
        <f t="shared" si="81"/>
        <v>http://hdl.handle.net/2027/uc1.b3014083?urlappend=%3Bseq=68</v>
      </c>
      <c r="Q978" s="27" t="str">
        <f t="shared" si="78"/>
        <v>https://babel.hathitrust.org/cgi/pt?id=uc1.b3014083;view=1up;seq=211</v>
      </c>
      <c r="R978" s="27" t="str">
        <f t="shared" si="82"/>
        <v>http://hdl.handle.net/2027/uc1.b3014083?urlappend=%3Bseq=212</v>
      </c>
      <c r="S978" s="27" t="str">
        <f t="shared" si="83"/>
        <v>http://hdl.handle.net/2027/uc1.b3014083?urlappend=%3Bseq=153</v>
      </c>
      <c r="T978" s="27" t="str">
        <f t="shared" si="84"/>
        <v>http://hdl.handle.net/2027/uc1.b3014083?urlappend=%3Bseq=174</v>
      </c>
    </row>
    <row r="979" spans="1:20" x14ac:dyDescent="0.25">
      <c r="A979" s="27" t="s">
        <v>1569</v>
      </c>
      <c r="B979" s="27" t="str">
        <f t="shared" si="85"/>
        <v>Texas</v>
      </c>
      <c r="C979" s="27" t="str">
        <f t="shared" si="86"/>
        <v>San Saba</v>
      </c>
      <c r="D979" s="27">
        <v>129724</v>
      </c>
      <c r="E979" s="27">
        <v>49</v>
      </c>
      <c r="F979" s="26">
        <f>'TX pre'!G175</f>
        <v>161.91836734693877</v>
      </c>
      <c r="G979" s="10">
        <v>1960</v>
      </c>
      <c r="H979" s="28">
        <f>'TX pre'!J175</f>
        <v>27.393874464330729</v>
      </c>
      <c r="I979" s="2">
        <v>12092</v>
      </c>
      <c r="J979" s="27">
        <v>44</v>
      </c>
      <c r="K979" s="2">
        <v>17120</v>
      </c>
      <c r="L979" s="27">
        <v>1905</v>
      </c>
      <c r="M979" s="27" t="s">
        <v>1965</v>
      </c>
      <c r="N979" s="27" t="str">
        <f t="shared" si="79"/>
        <v>http://hdl.handle.net/2027/uc1.b3014083?urlappend=%3Bseq=105</v>
      </c>
      <c r="O979" s="27" t="str">
        <f t="shared" si="80"/>
        <v>http://hdl.handle.net/2027/uc1.b3014083?urlappend=%3Bseq=126</v>
      </c>
      <c r="P979" s="27" t="str">
        <f t="shared" si="81"/>
        <v>http://hdl.handle.net/2027/uc1.b3014083?urlappend=%3Bseq=68</v>
      </c>
      <c r="Q979" s="27" t="str">
        <f t="shared" si="78"/>
        <v>https://babel.hathitrust.org/cgi/pt?id=uc1.b3014083;view=1up;seq=211</v>
      </c>
      <c r="R979" s="27" t="str">
        <f t="shared" si="82"/>
        <v>http://hdl.handle.net/2027/uc1.b3014083?urlappend=%3Bseq=212</v>
      </c>
      <c r="S979" s="27" t="str">
        <f t="shared" si="83"/>
        <v>http://hdl.handle.net/2027/uc1.b3014083?urlappend=%3Bseq=153</v>
      </c>
      <c r="T979" s="27" t="str">
        <f t="shared" si="84"/>
        <v>http://hdl.handle.net/2027/uc1.b3014083?urlappend=%3Bseq=174</v>
      </c>
    </row>
    <row r="980" spans="1:20" x14ac:dyDescent="0.25">
      <c r="A980" s="27" t="s">
        <v>1570</v>
      </c>
      <c r="B980" s="27" t="str">
        <f t="shared" si="85"/>
        <v>Texas</v>
      </c>
      <c r="C980" s="27" t="str">
        <f t="shared" si="86"/>
        <v>Schleicher</v>
      </c>
      <c r="D980" s="27">
        <v>20477</v>
      </c>
      <c r="E980" s="27">
        <v>9</v>
      </c>
      <c r="F980" s="26">
        <f>'TX pre'!G176</f>
        <v>134.66666666666666</v>
      </c>
      <c r="G980" s="10">
        <v>231</v>
      </c>
      <c r="H980" s="28">
        <f>'TX pre'!J176</f>
        <v>43.990924092409244</v>
      </c>
      <c r="I980" s="2">
        <v>3694</v>
      </c>
      <c r="J980" s="27">
        <v>6</v>
      </c>
      <c r="K980" s="2">
        <v>1965</v>
      </c>
      <c r="L980" s="27">
        <v>1905</v>
      </c>
      <c r="M980" s="27" t="s">
        <v>1965</v>
      </c>
      <c r="N980" s="27" t="str">
        <f t="shared" si="79"/>
        <v>http://hdl.handle.net/2027/uc1.b3014083?urlappend=%3Bseq=105</v>
      </c>
      <c r="O980" s="27" t="str">
        <f t="shared" si="80"/>
        <v>http://hdl.handle.net/2027/uc1.b3014083?urlappend=%3Bseq=126</v>
      </c>
      <c r="P980" s="27" t="str">
        <f t="shared" si="81"/>
        <v>http://hdl.handle.net/2027/uc1.b3014083?urlappend=%3Bseq=68</v>
      </c>
      <c r="Q980" s="27" t="str">
        <f t="shared" si="78"/>
        <v>https://babel.hathitrust.org/cgi/pt?id=uc1.b3014083;view=1up;seq=211</v>
      </c>
      <c r="R980" s="27" t="str">
        <f t="shared" si="82"/>
        <v>http://hdl.handle.net/2027/uc1.b3014083?urlappend=%3Bseq=212</v>
      </c>
      <c r="S980" s="27" t="str">
        <f t="shared" si="83"/>
        <v>http://hdl.handle.net/2027/uc1.b3014083?urlappend=%3Bseq=153</v>
      </c>
      <c r="T980" s="27" t="str">
        <f t="shared" si="84"/>
        <v>http://hdl.handle.net/2027/uc1.b3014083?urlappend=%3Bseq=174</v>
      </c>
    </row>
    <row r="981" spans="1:20" x14ac:dyDescent="0.25">
      <c r="A981" s="27" t="s">
        <v>1571</v>
      </c>
      <c r="B981" s="27" t="str">
        <f t="shared" si="85"/>
        <v>Texas</v>
      </c>
      <c r="C981" s="27" t="str">
        <f t="shared" si="86"/>
        <v>Scurry</v>
      </c>
      <c r="D981" s="27">
        <v>72129</v>
      </c>
      <c r="E981" s="27">
        <v>26</v>
      </c>
      <c r="F981" s="26">
        <f>'TX pre'!G177</f>
        <v>95.038461538461533</v>
      </c>
      <c r="G981" s="10">
        <v>1153</v>
      </c>
      <c r="H981" s="28">
        <f>'TX pre'!J177</f>
        <v>51.296317280453259</v>
      </c>
      <c r="I981" s="2">
        <v>6564</v>
      </c>
      <c r="J981" s="27">
        <v>25</v>
      </c>
      <c r="K981" s="2">
        <v>2690</v>
      </c>
      <c r="L981" s="27">
        <v>1905</v>
      </c>
      <c r="M981" s="27" t="s">
        <v>1965</v>
      </c>
      <c r="N981" s="27" t="str">
        <f t="shared" si="79"/>
        <v>http://hdl.handle.net/2027/uc1.b3014083?urlappend=%3Bseq=105</v>
      </c>
      <c r="O981" s="27" t="str">
        <f t="shared" si="80"/>
        <v>http://hdl.handle.net/2027/uc1.b3014083?urlappend=%3Bseq=126</v>
      </c>
      <c r="P981" s="27" t="str">
        <f t="shared" si="81"/>
        <v>http://hdl.handle.net/2027/uc1.b3014083?urlappend=%3Bseq=68</v>
      </c>
      <c r="Q981" s="27" t="str">
        <f t="shared" si="78"/>
        <v>https://babel.hathitrust.org/cgi/pt?id=uc1.b3014083;view=1up;seq=211</v>
      </c>
      <c r="R981" s="27" t="str">
        <f t="shared" si="82"/>
        <v>http://hdl.handle.net/2027/uc1.b3014083?urlappend=%3Bseq=212</v>
      </c>
      <c r="S981" s="27" t="str">
        <f t="shared" si="83"/>
        <v>http://hdl.handle.net/2027/uc1.b3014083?urlappend=%3Bseq=153</v>
      </c>
      <c r="T981" s="27" t="str">
        <f t="shared" si="84"/>
        <v>http://hdl.handle.net/2027/uc1.b3014083?urlappend=%3Bseq=174</v>
      </c>
    </row>
    <row r="982" spans="1:20" x14ac:dyDescent="0.25">
      <c r="A982" s="27" t="s">
        <v>1573</v>
      </c>
      <c r="B982" s="27" t="str">
        <f t="shared" si="85"/>
        <v>Texas</v>
      </c>
      <c r="C982" s="27" t="str">
        <f t="shared" si="86"/>
        <v>Shelby</v>
      </c>
      <c r="D982" s="27">
        <v>259556</v>
      </c>
      <c r="E982" s="27">
        <v>94</v>
      </c>
      <c r="F982" s="26">
        <f>'TX pre'!G178</f>
        <v>121.02127659574468</v>
      </c>
      <c r="G982" s="10">
        <v>5367</v>
      </c>
      <c r="H982" s="28">
        <f>'TX pre'!J178</f>
        <v>45.932032348804498</v>
      </c>
      <c r="I982" s="2">
        <v>28092</v>
      </c>
      <c r="J982" s="27">
        <v>48</v>
      </c>
      <c r="K982" s="2">
        <v>18975</v>
      </c>
      <c r="L982" s="27">
        <v>1905</v>
      </c>
      <c r="M982" s="27" t="s">
        <v>1965</v>
      </c>
      <c r="N982" s="27" t="str">
        <f t="shared" si="79"/>
        <v>http://hdl.handle.net/2027/uc1.b3014083?urlappend=%3Bseq=105</v>
      </c>
      <c r="O982" s="27" t="str">
        <f t="shared" si="80"/>
        <v>http://hdl.handle.net/2027/uc1.b3014083?urlappend=%3Bseq=126</v>
      </c>
      <c r="P982" s="27" t="str">
        <f t="shared" si="81"/>
        <v>http://hdl.handle.net/2027/uc1.b3014083?urlappend=%3Bseq=68</v>
      </c>
      <c r="Q982" s="27" t="str">
        <f t="shared" si="78"/>
        <v>https://babel.hathitrust.org/cgi/pt?id=uc1.b3014083;view=1up;seq=211</v>
      </c>
      <c r="R982" s="27" t="str">
        <f t="shared" si="82"/>
        <v>http://hdl.handle.net/2027/uc1.b3014083?urlappend=%3Bseq=212</v>
      </c>
      <c r="S982" s="27" t="str">
        <f t="shared" si="83"/>
        <v>http://hdl.handle.net/2027/uc1.b3014083?urlappend=%3Bseq=153</v>
      </c>
      <c r="T982" s="27" t="str">
        <f t="shared" si="84"/>
        <v>http://hdl.handle.net/2027/uc1.b3014083?urlappend=%3Bseq=174</v>
      </c>
    </row>
    <row r="983" spans="1:20" x14ac:dyDescent="0.25">
      <c r="A983" s="27" t="s">
        <v>1574</v>
      </c>
      <c r="B983" s="27" t="str">
        <f t="shared" si="85"/>
        <v>Texas</v>
      </c>
      <c r="C983" s="27" t="str">
        <f t="shared" si="86"/>
        <v>Sherman</v>
      </c>
      <c r="D983" s="27">
        <v>6580</v>
      </c>
      <c r="E983" s="27">
        <v>7</v>
      </c>
      <c r="F983" s="26">
        <f>'TX pre'!G179</f>
        <v>86.857142857142861</v>
      </c>
      <c r="G983" s="10">
        <v>88</v>
      </c>
      <c r="H983" s="28">
        <f>'TX pre'!J179</f>
        <v>47.801973684210523</v>
      </c>
      <c r="I983" s="2">
        <v>1845</v>
      </c>
      <c r="J983" s="27">
        <v>7</v>
      </c>
      <c r="K983" s="2">
        <v>102</v>
      </c>
      <c r="L983" s="27">
        <v>1905</v>
      </c>
      <c r="M983" s="27" t="s">
        <v>1965</v>
      </c>
      <c r="N983" s="27" t="str">
        <f t="shared" si="79"/>
        <v>http://hdl.handle.net/2027/uc1.b3014083?urlappend=%3Bseq=105</v>
      </c>
      <c r="O983" s="27" t="str">
        <f t="shared" si="80"/>
        <v>http://hdl.handle.net/2027/uc1.b3014083?urlappend=%3Bseq=126</v>
      </c>
      <c r="P983" s="27" t="str">
        <f t="shared" si="81"/>
        <v>http://hdl.handle.net/2027/uc1.b3014083?urlappend=%3Bseq=68</v>
      </c>
      <c r="Q983" s="27" t="str">
        <f t="shared" si="78"/>
        <v>https://babel.hathitrust.org/cgi/pt?id=uc1.b3014083;view=1up;seq=211</v>
      </c>
      <c r="R983" s="27" t="str">
        <f t="shared" si="82"/>
        <v>http://hdl.handle.net/2027/uc1.b3014083?urlappend=%3Bseq=212</v>
      </c>
      <c r="S983" s="27" t="str">
        <f t="shared" si="83"/>
        <v>http://hdl.handle.net/2027/uc1.b3014083?urlappend=%3Bseq=153</v>
      </c>
      <c r="T983" s="27" t="str">
        <f t="shared" si="84"/>
        <v>http://hdl.handle.net/2027/uc1.b3014083?urlappend=%3Bseq=174</v>
      </c>
    </row>
    <row r="984" spans="1:20" x14ac:dyDescent="0.25">
      <c r="A984" s="27" t="s">
        <v>1575</v>
      </c>
      <c r="B984" s="27" t="str">
        <f t="shared" si="85"/>
        <v>Texas</v>
      </c>
      <c r="C984" s="27" t="str">
        <f t="shared" si="86"/>
        <v>Smith</v>
      </c>
      <c r="D984" s="27">
        <v>408585</v>
      </c>
      <c r="E984" s="27">
        <v>147</v>
      </c>
      <c r="F984" s="26">
        <f>'TX pre'!G180</f>
        <v>100.8639455782313</v>
      </c>
      <c r="G984" s="10">
        <v>7877</v>
      </c>
      <c r="H984" s="28">
        <f>'TX pre'!J180</f>
        <v>47.036541444661765</v>
      </c>
      <c r="I984" s="2">
        <v>37027</v>
      </c>
      <c r="J984" s="27">
        <v>126</v>
      </c>
      <c r="K984" s="2">
        <v>34788</v>
      </c>
      <c r="L984" s="27">
        <v>1905</v>
      </c>
      <c r="M984" s="27" t="s">
        <v>1965</v>
      </c>
      <c r="N984" s="27" t="str">
        <f t="shared" si="79"/>
        <v>http://hdl.handle.net/2027/uc1.b3014083?urlappend=%3Bseq=105</v>
      </c>
      <c r="O984" s="27" t="str">
        <f t="shared" si="80"/>
        <v>http://hdl.handle.net/2027/uc1.b3014083?urlappend=%3Bseq=126</v>
      </c>
      <c r="P984" s="27" t="str">
        <f t="shared" si="81"/>
        <v>http://hdl.handle.net/2027/uc1.b3014083?urlappend=%3Bseq=68</v>
      </c>
      <c r="Q984" s="27" t="str">
        <f t="shared" si="78"/>
        <v>https://babel.hathitrust.org/cgi/pt?id=uc1.b3014083;view=1up;seq=211</v>
      </c>
      <c r="R984" s="27" t="str">
        <f t="shared" si="82"/>
        <v>http://hdl.handle.net/2027/uc1.b3014083?urlappend=%3Bseq=212</v>
      </c>
      <c r="S984" s="27" t="str">
        <f t="shared" si="83"/>
        <v>http://hdl.handle.net/2027/uc1.b3014083?urlappend=%3Bseq=153</v>
      </c>
      <c r="T984" s="27" t="str">
        <f t="shared" si="84"/>
        <v>http://hdl.handle.net/2027/uc1.b3014083?urlappend=%3Bseq=174</v>
      </c>
    </row>
    <row r="985" spans="1:20" x14ac:dyDescent="0.25">
      <c r="A985" s="27" t="s">
        <v>1576</v>
      </c>
      <c r="B985" s="27" t="str">
        <f t="shared" si="85"/>
        <v>Texas</v>
      </c>
      <c r="C985" s="27" t="str">
        <f t="shared" si="86"/>
        <v>Somervell</v>
      </c>
      <c r="D985" s="27">
        <v>51167</v>
      </c>
      <c r="E985" s="27">
        <v>17</v>
      </c>
      <c r="F985" s="26">
        <f>'TX pre'!G181</f>
        <v>105.64705882352941</v>
      </c>
      <c r="G985" s="10">
        <v>986</v>
      </c>
      <c r="H985" s="28">
        <f>'TX pre'!J181</f>
        <v>47.530066815144764</v>
      </c>
      <c r="I985" s="2">
        <v>4589</v>
      </c>
      <c r="J985" s="27">
        <v>19</v>
      </c>
      <c r="K985" s="2">
        <v>2080</v>
      </c>
      <c r="L985" s="27">
        <v>1905</v>
      </c>
      <c r="M985" s="27" t="s">
        <v>1965</v>
      </c>
      <c r="N985" s="27" t="str">
        <f t="shared" si="79"/>
        <v>http://hdl.handle.net/2027/uc1.b3014083?urlappend=%3Bseq=105</v>
      </c>
      <c r="O985" s="27" t="str">
        <f t="shared" si="80"/>
        <v>http://hdl.handle.net/2027/uc1.b3014083?urlappend=%3Bseq=126</v>
      </c>
      <c r="P985" s="27" t="str">
        <f t="shared" si="81"/>
        <v>http://hdl.handle.net/2027/uc1.b3014083?urlappend=%3Bseq=68</v>
      </c>
      <c r="Q985" s="27" t="str">
        <f t="shared" si="78"/>
        <v>https://babel.hathitrust.org/cgi/pt?id=uc1.b3014083;view=1up;seq=211</v>
      </c>
      <c r="R985" s="27" t="str">
        <f t="shared" si="82"/>
        <v>http://hdl.handle.net/2027/uc1.b3014083?urlappend=%3Bseq=212</v>
      </c>
      <c r="S985" s="27" t="str">
        <f t="shared" si="83"/>
        <v>http://hdl.handle.net/2027/uc1.b3014083?urlappend=%3Bseq=153</v>
      </c>
      <c r="T985" s="27" t="str">
        <f t="shared" si="84"/>
        <v>http://hdl.handle.net/2027/uc1.b3014083?urlappend=%3Bseq=174</v>
      </c>
    </row>
    <row r="986" spans="1:20" x14ac:dyDescent="0.25">
      <c r="A986" s="27" t="s">
        <v>1792</v>
      </c>
      <c r="B986" s="27" t="str">
        <f t="shared" si="85"/>
        <v>Texas</v>
      </c>
      <c r="C986" s="27" t="str">
        <f t="shared" si="86"/>
        <v>Stephens/Buchanan</v>
      </c>
      <c r="D986" s="27">
        <v>99395</v>
      </c>
      <c r="E986" s="27">
        <v>49</v>
      </c>
      <c r="F986" s="26">
        <f>'TX pre'!G182</f>
        <v>93.306122448979593</v>
      </c>
      <c r="G986" s="10">
        <v>1599</v>
      </c>
      <c r="H986" s="28">
        <f>'TX pre'!J182</f>
        <v>41.522178477690282</v>
      </c>
      <c r="I986" s="2">
        <v>9936</v>
      </c>
      <c r="J986" s="27">
        <v>42</v>
      </c>
      <c r="K986" s="2">
        <v>8776</v>
      </c>
      <c r="L986" s="27">
        <v>1905</v>
      </c>
      <c r="M986" s="27" t="s">
        <v>1965</v>
      </c>
      <c r="N986" s="27" t="str">
        <f t="shared" si="79"/>
        <v>http://hdl.handle.net/2027/uc1.b3014083?urlappend=%3Bseq=105</v>
      </c>
      <c r="O986" s="27" t="str">
        <f t="shared" si="80"/>
        <v>http://hdl.handle.net/2027/uc1.b3014083?urlappend=%3Bseq=126</v>
      </c>
      <c r="P986" s="27" t="str">
        <f t="shared" si="81"/>
        <v>http://hdl.handle.net/2027/uc1.b3014083?urlappend=%3Bseq=68</v>
      </c>
      <c r="Q986" s="27" t="str">
        <f t="shared" si="78"/>
        <v>https://babel.hathitrust.org/cgi/pt?id=uc1.b3014083;view=1up;seq=211</v>
      </c>
      <c r="R986" s="27" t="str">
        <f t="shared" si="82"/>
        <v>http://hdl.handle.net/2027/uc1.b3014083?urlappend=%3Bseq=212</v>
      </c>
      <c r="S986" s="27" t="str">
        <f t="shared" si="83"/>
        <v>http://hdl.handle.net/2027/uc1.b3014083?urlappend=%3Bseq=153</v>
      </c>
      <c r="T986" s="27" t="str">
        <f t="shared" si="84"/>
        <v>http://hdl.handle.net/2027/uc1.b3014083?urlappend=%3Bseq=174</v>
      </c>
    </row>
    <row r="987" spans="1:20" x14ac:dyDescent="0.25">
      <c r="A987" s="27" t="s">
        <v>1578</v>
      </c>
      <c r="B987" s="27" t="str">
        <f t="shared" si="85"/>
        <v>Texas</v>
      </c>
      <c r="C987" s="27" t="str">
        <f t="shared" si="86"/>
        <v>Sterling</v>
      </c>
      <c r="D987" s="27">
        <v>12148</v>
      </c>
      <c r="E987" s="27">
        <v>10</v>
      </c>
      <c r="F987" s="26">
        <f>'TX pre'!G183</f>
        <v>127.2</v>
      </c>
      <c r="G987" s="10">
        <v>164</v>
      </c>
      <c r="H987" s="28">
        <f>'TX pre'!J183</f>
        <v>42.268081761006286</v>
      </c>
      <c r="I987" s="2">
        <v>3502</v>
      </c>
      <c r="J987" s="27">
        <v>12</v>
      </c>
      <c r="K987" s="2">
        <v>2571</v>
      </c>
      <c r="L987" s="27">
        <v>1905</v>
      </c>
      <c r="M987" s="27" t="s">
        <v>1965</v>
      </c>
      <c r="N987" s="27" t="str">
        <f t="shared" si="79"/>
        <v>http://hdl.handle.net/2027/uc1.b3014083?urlappend=%3Bseq=105</v>
      </c>
      <c r="O987" s="27" t="str">
        <f t="shared" si="80"/>
        <v>http://hdl.handle.net/2027/uc1.b3014083?urlappend=%3Bseq=126</v>
      </c>
      <c r="P987" s="27" t="str">
        <f t="shared" si="81"/>
        <v>http://hdl.handle.net/2027/uc1.b3014083?urlappend=%3Bseq=68</v>
      </c>
      <c r="Q987" s="27" t="str">
        <f t="shared" si="78"/>
        <v>https://babel.hathitrust.org/cgi/pt?id=uc1.b3014083;view=1up;seq=211</v>
      </c>
      <c r="R987" s="27" t="str">
        <f t="shared" si="82"/>
        <v>http://hdl.handle.net/2027/uc1.b3014083?urlappend=%3Bseq=212</v>
      </c>
      <c r="S987" s="27" t="str">
        <f t="shared" si="83"/>
        <v>http://hdl.handle.net/2027/uc1.b3014083?urlappend=%3Bseq=153</v>
      </c>
      <c r="T987" s="27" t="str">
        <f t="shared" si="84"/>
        <v>http://hdl.handle.net/2027/uc1.b3014083?urlappend=%3Bseq=174</v>
      </c>
    </row>
    <row r="988" spans="1:20" x14ac:dyDescent="0.25">
      <c r="A988" s="27" t="s">
        <v>1579</v>
      </c>
      <c r="B988" s="27" t="str">
        <f t="shared" si="85"/>
        <v>Texas</v>
      </c>
      <c r="C988" s="27" t="str">
        <f t="shared" si="86"/>
        <v>Stonewall</v>
      </c>
      <c r="D988" s="27">
        <v>38998</v>
      </c>
      <c r="E988" s="27">
        <v>25</v>
      </c>
      <c r="F988" s="26">
        <f>'TX pre'!G184</f>
        <v>95</v>
      </c>
      <c r="G988" s="10">
        <v>680</v>
      </c>
      <c r="H988" s="28">
        <f>'TX pre'!J184</f>
        <v>48.784589473684207</v>
      </c>
      <c r="I988" s="2">
        <v>6669</v>
      </c>
      <c r="J988" s="27">
        <v>25</v>
      </c>
      <c r="K988" s="2">
        <v>6125</v>
      </c>
      <c r="L988" s="27">
        <v>1905</v>
      </c>
      <c r="M988" s="27" t="s">
        <v>1965</v>
      </c>
      <c r="N988" s="27" t="str">
        <f t="shared" si="79"/>
        <v>http://hdl.handle.net/2027/uc1.b3014083?urlappend=%3Bseq=105</v>
      </c>
      <c r="O988" s="27" t="str">
        <f t="shared" si="80"/>
        <v>http://hdl.handle.net/2027/uc1.b3014083?urlappend=%3Bseq=126</v>
      </c>
      <c r="P988" s="27" t="str">
        <f t="shared" si="81"/>
        <v>http://hdl.handle.net/2027/uc1.b3014083?urlappend=%3Bseq=68</v>
      </c>
      <c r="Q988" s="27" t="str">
        <f t="shared" si="78"/>
        <v>https://babel.hathitrust.org/cgi/pt?id=uc1.b3014083;view=1up;seq=211</v>
      </c>
      <c r="R988" s="27" t="str">
        <f t="shared" si="82"/>
        <v>http://hdl.handle.net/2027/uc1.b3014083?urlappend=%3Bseq=212</v>
      </c>
      <c r="S988" s="27" t="str">
        <f t="shared" si="83"/>
        <v>http://hdl.handle.net/2027/uc1.b3014083?urlappend=%3Bseq=153</v>
      </c>
      <c r="T988" s="27" t="str">
        <f t="shared" si="84"/>
        <v>http://hdl.handle.net/2027/uc1.b3014083?urlappend=%3Bseq=174</v>
      </c>
    </row>
    <row r="989" spans="1:20" x14ac:dyDescent="0.25">
      <c r="A989" s="27" t="s">
        <v>1580</v>
      </c>
      <c r="B989" s="27" t="str">
        <f t="shared" si="85"/>
        <v>Texas</v>
      </c>
      <c r="C989" s="27" t="str">
        <f t="shared" si="86"/>
        <v>Sutton</v>
      </c>
      <c r="D989" s="27">
        <v>3169</v>
      </c>
      <c r="E989" s="27">
        <v>4</v>
      </c>
      <c r="F989" s="26">
        <f>'TX pre'!G185</f>
        <v>100</v>
      </c>
      <c r="G989" s="10">
        <v>69</v>
      </c>
      <c r="H989" s="28">
        <f>'TX pre'!J185</f>
        <v>33</v>
      </c>
      <c r="I989" s="2">
        <v>660</v>
      </c>
      <c r="J989" s="27">
        <v>5</v>
      </c>
      <c r="K989" s="2">
        <v>1225</v>
      </c>
      <c r="L989" s="27">
        <v>1905</v>
      </c>
      <c r="M989" s="27" t="s">
        <v>1965</v>
      </c>
      <c r="N989" s="27" t="str">
        <f t="shared" si="79"/>
        <v>http://hdl.handle.net/2027/uc1.b3014083?urlappend=%3Bseq=105</v>
      </c>
      <c r="O989" s="27" t="str">
        <f t="shared" si="80"/>
        <v>http://hdl.handle.net/2027/uc1.b3014083?urlappend=%3Bseq=126</v>
      </c>
      <c r="P989" s="27" t="str">
        <f t="shared" si="81"/>
        <v>http://hdl.handle.net/2027/uc1.b3014083?urlappend=%3Bseq=68</v>
      </c>
      <c r="Q989" s="27" t="str">
        <f t="shared" si="78"/>
        <v>https://babel.hathitrust.org/cgi/pt?id=uc1.b3014083;view=1up;seq=211</v>
      </c>
      <c r="R989" s="27" t="str">
        <f t="shared" si="82"/>
        <v>http://hdl.handle.net/2027/uc1.b3014083?urlappend=%3Bseq=212</v>
      </c>
      <c r="S989" s="27" t="str">
        <f t="shared" si="83"/>
        <v>http://hdl.handle.net/2027/uc1.b3014083?urlappend=%3Bseq=153</v>
      </c>
      <c r="T989" s="27" t="str">
        <f t="shared" si="84"/>
        <v>http://hdl.handle.net/2027/uc1.b3014083?urlappend=%3Bseq=174</v>
      </c>
    </row>
    <row r="990" spans="1:20" x14ac:dyDescent="0.25">
      <c r="A990" s="27" t="s">
        <v>1581</v>
      </c>
      <c r="B990" s="27" t="str">
        <f t="shared" si="85"/>
        <v>Texas</v>
      </c>
      <c r="C990" s="27" t="str">
        <f t="shared" si="86"/>
        <v>Swisher</v>
      </c>
      <c r="D990" s="27">
        <v>28334</v>
      </c>
      <c r="E990" s="27">
        <v>12</v>
      </c>
      <c r="F990" s="26">
        <f>'TX pre'!G186</f>
        <v>104.33333333333333</v>
      </c>
      <c r="G990" s="10">
        <v>412</v>
      </c>
      <c r="H990" s="28">
        <f>'TX pre'!J186</f>
        <v>52.34392971246006</v>
      </c>
      <c r="I990" s="2">
        <v>3870</v>
      </c>
      <c r="J990" s="27">
        <v>9</v>
      </c>
      <c r="K990" s="2">
        <v>3542</v>
      </c>
      <c r="L990" s="27">
        <v>1905</v>
      </c>
      <c r="M990" s="27" t="s">
        <v>1965</v>
      </c>
      <c r="N990" s="27" t="str">
        <f t="shared" si="79"/>
        <v>http://hdl.handle.net/2027/uc1.b3014083?urlappend=%3Bseq=105</v>
      </c>
      <c r="O990" s="27" t="str">
        <f t="shared" si="80"/>
        <v>http://hdl.handle.net/2027/uc1.b3014083?urlappend=%3Bseq=126</v>
      </c>
      <c r="P990" s="27" t="str">
        <f t="shared" si="81"/>
        <v>http://hdl.handle.net/2027/uc1.b3014083?urlappend=%3Bseq=68</v>
      </c>
      <c r="Q990" s="27" t="str">
        <f t="shared" si="78"/>
        <v>https://babel.hathitrust.org/cgi/pt?id=uc1.b3014083;view=1up;seq=211</v>
      </c>
      <c r="R990" s="27" t="str">
        <f t="shared" si="82"/>
        <v>http://hdl.handle.net/2027/uc1.b3014083?urlappend=%3Bseq=212</v>
      </c>
      <c r="S990" s="27" t="str">
        <f t="shared" si="83"/>
        <v>http://hdl.handle.net/2027/uc1.b3014083?urlappend=%3Bseq=153</v>
      </c>
      <c r="T990" s="27" t="str">
        <f t="shared" si="84"/>
        <v>http://hdl.handle.net/2027/uc1.b3014083?urlappend=%3Bseq=174</v>
      </c>
    </row>
    <row r="991" spans="1:20" x14ac:dyDescent="0.25">
      <c r="A991" s="27" t="s">
        <v>1582</v>
      </c>
      <c r="B991" s="27" t="str">
        <f t="shared" si="85"/>
        <v>Texas</v>
      </c>
      <c r="C991" s="27" t="str">
        <f t="shared" si="86"/>
        <v>Tarrant</v>
      </c>
      <c r="D991" s="27">
        <v>482502</v>
      </c>
      <c r="E991" s="27">
        <v>142</v>
      </c>
      <c r="F991" s="26">
        <f>'TX pre'!G187</f>
        <v>120.20422535211267</v>
      </c>
      <c r="G991" s="10">
        <v>7529</v>
      </c>
      <c r="H991" s="28">
        <f>'TX pre'!J187</f>
        <v>49.439803151912834</v>
      </c>
      <c r="I991" s="2">
        <v>53742</v>
      </c>
      <c r="J991" s="27">
        <v>106</v>
      </c>
      <c r="K991" s="2">
        <v>46104</v>
      </c>
      <c r="L991" s="27">
        <v>1905</v>
      </c>
      <c r="M991" s="27" t="s">
        <v>1965</v>
      </c>
      <c r="N991" s="27" t="str">
        <f t="shared" si="79"/>
        <v>http://hdl.handle.net/2027/uc1.b3014083?urlappend=%3Bseq=105</v>
      </c>
      <c r="O991" s="27" t="str">
        <f t="shared" si="80"/>
        <v>http://hdl.handle.net/2027/uc1.b3014083?urlappend=%3Bseq=126</v>
      </c>
      <c r="P991" s="27" t="str">
        <f t="shared" si="81"/>
        <v>http://hdl.handle.net/2027/uc1.b3014083?urlappend=%3Bseq=68</v>
      </c>
      <c r="Q991" s="27" t="str">
        <f t="shared" si="78"/>
        <v>https://babel.hathitrust.org/cgi/pt?id=uc1.b3014083;view=1up;seq=211</v>
      </c>
      <c r="R991" s="27" t="str">
        <f t="shared" si="82"/>
        <v>http://hdl.handle.net/2027/uc1.b3014083?urlappend=%3Bseq=212</v>
      </c>
      <c r="S991" s="27" t="str">
        <f t="shared" si="83"/>
        <v>http://hdl.handle.net/2027/uc1.b3014083?urlappend=%3Bseq=153</v>
      </c>
      <c r="T991" s="27" t="str">
        <f t="shared" si="84"/>
        <v>http://hdl.handle.net/2027/uc1.b3014083?urlappend=%3Bseq=174</v>
      </c>
    </row>
    <row r="992" spans="1:20" x14ac:dyDescent="0.25">
      <c r="A992" s="27" t="s">
        <v>1583</v>
      </c>
      <c r="B992" s="27" t="str">
        <f t="shared" si="85"/>
        <v>Texas</v>
      </c>
      <c r="C992" s="27" t="str">
        <f t="shared" si="86"/>
        <v>Taylor</v>
      </c>
      <c r="D992" s="27">
        <v>125696</v>
      </c>
      <c r="E992" s="27">
        <v>50</v>
      </c>
      <c r="F992" s="26">
        <f>'TX pre'!G188</f>
        <v>92.64</v>
      </c>
      <c r="G992" s="10">
        <v>2352</v>
      </c>
      <c r="H992" s="28">
        <f>'TX pre'!J188</f>
        <v>57.930872193436969</v>
      </c>
      <c r="I992" s="2">
        <v>14593</v>
      </c>
      <c r="J992" s="27">
        <v>43</v>
      </c>
      <c r="K992" s="2">
        <v>13750</v>
      </c>
      <c r="L992" s="27">
        <v>1905</v>
      </c>
      <c r="M992" s="27" t="s">
        <v>1965</v>
      </c>
      <c r="N992" s="27" t="str">
        <f t="shared" si="79"/>
        <v>http://hdl.handle.net/2027/uc1.b3014083?urlappend=%3Bseq=105</v>
      </c>
      <c r="O992" s="27" t="str">
        <f t="shared" si="80"/>
        <v>http://hdl.handle.net/2027/uc1.b3014083?urlappend=%3Bseq=126</v>
      </c>
      <c r="P992" s="27" t="str">
        <f t="shared" si="81"/>
        <v>http://hdl.handle.net/2027/uc1.b3014083?urlappend=%3Bseq=68</v>
      </c>
      <c r="Q992" s="27" t="str">
        <f t="shared" si="78"/>
        <v>https://babel.hathitrust.org/cgi/pt?id=uc1.b3014083;view=1up;seq=211</v>
      </c>
      <c r="R992" s="27" t="str">
        <f t="shared" si="82"/>
        <v>http://hdl.handle.net/2027/uc1.b3014083?urlappend=%3Bseq=212</v>
      </c>
      <c r="S992" s="27" t="str">
        <f t="shared" si="83"/>
        <v>http://hdl.handle.net/2027/uc1.b3014083?urlappend=%3Bseq=153</v>
      </c>
      <c r="T992" s="27" t="str">
        <f t="shared" si="84"/>
        <v>http://hdl.handle.net/2027/uc1.b3014083?urlappend=%3Bseq=174</v>
      </c>
    </row>
    <row r="993" spans="1:20" x14ac:dyDescent="0.25">
      <c r="A993" s="27" t="s">
        <v>1585</v>
      </c>
      <c r="B993" s="27" t="str">
        <f t="shared" si="85"/>
        <v>Texas</v>
      </c>
      <c r="C993" s="27" t="str">
        <f t="shared" si="86"/>
        <v>Terry</v>
      </c>
      <c r="D993" s="27"/>
      <c r="E993" s="27">
        <v>5</v>
      </c>
      <c r="F993" s="26">
        <f>'TX pre'!G189</f>
        <v>83.6</v>
      </c>
      <c r="G993" s="10"/>
      <c r="H993" s="28">
        <f>'TX pre'!J189</f>
        <v>44.52153110047847</v>
      </c>
      <c r="I993" s="2">
        <v>1070</v>
      </c>
      <c r="J993" s="27">
        <v>5</v>
      </c>
      <c r="K993" s="2">
        <v>3470</v>
      </c>
      <c r="L993" s="27">
        <v>1905</v>
      </c>
      <c r="M993" s="27" t="s">
        <v>1965</v>
      </c>
      <c r="N993" s="27" t="str">
        <f t="shared" si="79"/>
        <v>http://hdl.handle.net/2027/uc1.b3014083?urlappend=%3Bseq=105</v>
      </c>
      <c r="O993" s="27" t="str">
        <f t="shared" si="80"/>
        <v>http://hdl.handle.net/2027/uc1.b3014083?urlappend=%3Bseq=126</v>
      </c>
      <c r="P993" s="27" t="str">
        <f t="shared" si="81"/>
        <v>http://hdl.handle.net/2027/uc1.b3014083?urlappend=%3Bseq=68</v>
      </c>
      <c r="Q993" s="27" t="str">
        <f t="shared" si="78"/>
        <v>https://babel.hathitrust.org/cgi/pt?id=uc1.b3014083;view=1up;seq=211</v>
      </c>
      <c r="R993" s="27" t="str">
        <f t="shared" si="82"/>
        <v>http://hdl.handle.net/2027/uc1.b3014083?urlappend=%3Bseq=212</v>
      </c>
      <c r="S993" s="27" t="str">
        <f t="shared" si="83"/>
        <v>http://hdl.handle.net/2027/uc1.b3014083?urlappend=%3Bseq=153</v>
      </c>
      <c r="T993" s="27" t="str">
        <f t="shared" si="84"/>
        <v>http://hdl.handle.net/2027/uc1.b3014083?urlappend=%3Bseq=174</v>
      </c>
    </row>
    <row r="994" spans="1:20" x14ac:dyDescent="0.25">
      <c r="A994" s="27" t="s">
        <v>1586</v>
      </c>
      <c r="B994" s="27" t="str">
        <f t="shared" si="85"/>
        <v>Texas</v>
      </c>
      <c r="C994" s="27" t="str">
        <f t="shared" si="86"/>
        <v>Throckmorton</v>
      </c>
      <c r="D994" s="27">
        <v>31672</v>
      </c>
      <c r="E994" s="27">
        <v>18</v>
      </c>
      <c r="F994" s="26">
        <f>'TX pre'!G190</f>
        <v>104.38888888888889</v>
      </c>
      <c r="G994" s="10">
        <v>535</v>
      </c>
      <c r="H994" s="28">
        <f>'TX pre'!J190</f>
        <v>53.458009579563601</v>
      </c>
      <c r="I994" s="2">
        <v>6155</v>
      </c>
      <c r="J994" s="27">
        <v>15</v>
      </c>
      <c r="K994" s="2">
        <v>4016</v>
      </c>
      <c r="L994" s="27">
        <v>1905</v>
      </c>
      <c r="M994" s="27" t="s">
        <v>1965</v>
      </c>
      <c r="N994" s="27" t="str">
        <f t="shared" si="79"/>
        <v>http://hdl.handle.net/2027/uc1.b3014083?urlappend=%3Bseq=105</v>
      </c>
      <c r="O994" s="27" t="str">
        <f t="shared" si="80"/>
        <v>http://hdl.handle.net/2027/uc1.b3014083?urlappend=%3Bseq=126</v>
      </c>
      <c r="P994" s="27" t="str">
        <f t="shared" si="81"/>
        <v>http://hdl.handle.net/2027/uc1.b3014083?urlappend=%3Bseq=68</v>
      </c>
      <c r="Q994" s="27" t="str">
        <f t="shared" si="78"/>
        <v>https://babel.hathitrust.org/cgi/pt?id=uc1.b3014083;view=1up;seq=211</v>
      </c>
      <c r="R994" s="27" t="str">
        <f t="shared" si="82"/>
        <v>http://hdl.handle.net/2027/uc1.b3014083?urlappend=%3Bseq=212</v>
      </c>
      <c r="S994" s="27" t="str">
        <f t="shared" si="83"/>
        <v>http://hdl.handle.net/2027/uc1.b3014083?urlappend=%3Bseq=153</v>
      </c>
      <c r="T994" s="27" t="str">
        <f t="shared" si="84"/>
        <v>http://hdl.handle.net/2027/uc1.b3014083?urlappend=%3Bseq=174</v>
      </c>
    </row>
    <row r="995" spans="1:20" x14ac:dyDescent="0.25">
      <c r="A995" s="27" t="s">
        <v>1587</v>
      </c>
      <c r="B995" s="27" t="str">
        <f t="shared" si="85"/>
        <v>Texas</v>
      </c>
      <c r="C995" s="27" t="str">
        <f t="shared" si="86"/>
        <v>Titus</v>
      </c>
      <c r="D995" s="27">
        <v>138649</v>
      </c>
      <c r="E995" s="27">
        <v>52</v>
      </c>
      <c r="F995" s="26">
        <f>'TX pre'!G191</f>
        <v>48.192307692307693</v>
      </c>
      <c r="G995" s="10">
        <v>2705</v>
      </c>
      <c r="H995" s="28">
        <f>'TX pre'!J191</f>
        <v>101.94142059058261</v>
      </c>
      <c r="I995" s="2">
        <v>13901</v>
      </c>
      <c r="J995" s="27">
        <v>12</v>
      </c>
      <c r="K995" s="2">
        <v>6838</v>
      </c>
      <c r="L995" s="27">
        <v>1905</v>
      </c>
      <c r="M995" s="27" t="s">
        <v>1965</v>
      </c>
      <c r="N995" s="27" t="str">
        <f t="shared" si="79"/>
        <v>http://hdl.handle.net/2027/uc1.b3014083?urlappend=%3Bseq=105</v>
      </c>
      <c r="O995" s="27" t="str">
        <f t="shared" si="80"/>
        <v>http://hdl.handle.net/2027/uc1.b3014083?urlappend=%3Bseq=126</v>
      </c>
      <c r="P995" s="27" t="str">
        <f t="shared" si="81"/>
        <v>http://hdl.handle.net/2027/uc1.b3014083?urlappend=%3Bseq=68</v>
      </c>
      <c r="Q995" s="27" t="str">
        <f t="shared" si="78"/>
        <v>https://babel.hathitrust.org/cgi/pt?id=uc1.b3014083;view=1up;seq=211</v>
      </c>
      <c r="R995" s="27" t="str">
        <f t="shared" si="82"/>
        <v>http://hdl.handle.net/2027/uc1.b3014083?urlappend=%3Bseq=212</v>
      </c>
      <c r="S995" s="27" t="str">
        <f t="shared" si="83"/>
        <v>http://hdl.handle.net/2027/uc1.b3014083?urlappend=%3Bseq=153</v>
      </c>
      <c r="T995" s="27" t="str">
        <f t="shared" si="84"/>
        <v>http://hdl.handle.net/2027/uc1.b3014083?urlappend=%3Bseq=174</v>
      </c>
    </row>
    <row r="996" spans="1:20" x14ac:dyDescent="0.25">
      <c r="A996" s="27" t="s">
        <v>1588</v>
      </c>
      <c r="B996" s="27" t="str">
        <f t="shared" si="85"/>
        <v>Texas</v>
      </c>
      <c r="C996" s="27" t="str">
        <f t="shared" si="86"/>
        <v>Tom Green</v>
      </c>
      <c r="D996" s="27">
        <v>55832</v>
      </c>
      <c r="E996" s="27">
        <v>22</v>
      </c>
      <c r="F996" s="26">
        <f>'TX pre'!G192</f>
        <v>124.86363636363636</v>
      </c>
      <c r="G996" s="10">
        <v>832</v>
      </c>
      <c r="H996" s="28">
        <f>'TX pre'!J192</f>
        <v>53.451037495449576</v>
      </c>
      <c r="I996" s="2">
        <v>7566</v>
      </c>
      <c r="J996" s="27">
        <v>19</v>
      </c>
      <c r="K996" s="2">
        <v>3890</v>
      </c>
      <c r="L996" s="27">
        <v>1905</v>
      </c>
      <c r="M996" s="27" t="s">
        <v>1965</v>
      </c>
      <c r="N996" s="27" t="str">
        <f t="shared" si="79"/>
        <v>http://hdl.handle.net/2027/uc1.b3014083?urlappend=%3Bseq=105</v>
      </c>
      <c r="O996" s="27" t="str">
        <f t="shared" si="80"/>
        <v>http://hdl.handle.net/2027/uc1.b3014083?urlappend=%3Bseq=126</v>
      </c>
      <c r="P996" s="27" t="str">
        <f t="shared" si="81"/>
        <v>http://hdl.handle.net/2027/uc1.b3014083?urlappend=%3Bseq=68</v>
      </c>
      <c r="Q996" s="27" t="str">
        <f t="shared" si="78"/>
        <v>https://babel.hathitrust.org/cgi/pt?id=uc1.b3014083;view=1up;seq=211</v>
      </c>
      <c r="R996" s="27" t="str">
        <f t="shared" si="82"/>
        <v>http://hdl.handle.net/2027/uc1.b3014083?urlappend=%3Bseq=212</v>
      </c>
      <c r="S996" s="27" t="str">
        <f t="shared" si="83"/>
        <v>http://hdl.handle.net/2027/uc1.b3014083?urlappend=%3Bseq=153</v>
      </c>
      <c r="T996" s="27" t="str">
        <f t="shared" si="84"/>
        <v>http://hdl.handle.net/2027/uc1.b3014083?urlappend=%3Bseq=174</v>
      </c>
    </row>
    <row r="997" spans="1:20" x14ac:dyDescent="0.25">
      <c r="A997" s="27" t="s">
        <v>1589</v>
      </c>
      <c r="B997" s="27" t="str">
        <f t="shared" si="85"/>
        <v>Texas</v>
      </c>
      <c r="C997" s="27" t="str">
        <f t="shared" si="86"/>
        <v>Travis</v>
      </c>
      <c r="D997" s="27">
        <v>290337</v>
      </c>
      <c r="E997" s="27">
        <v>104</v>
      </c>
      <c r="F997" s="26">
        <f>'TX pre'!G193</f>
        <v>108.22115384615384</v>
      </c>
      <c r="G997" s="10">
        <v>4421</v>
      </c>
      <c r="H997" s="28">
        <f>'TX pre'!J193</f>
        <v>45.461163927143495</v>
      </c>
      <c r="I997" s="2">
        <v>28249</v>
      </c>
      <c r="J997" s="27">
        <v>93</v>
      </c>
      <c r="K997" s="2">
        <v>31054</v>
      </c>
      <c r="L997" s="27">
        <v>1905</v>
      </c>
      <c r="M997" s="27" t="s">
        <v>1965</v>
      </c>
      <c r="N997" s="27" t="str">
        <f t="shared" si="79"/>
        <v>http://hdl.handle.net/2027/uc1.b3014083?urlappend=%3Bseq=105</v>
      </c>
      <c r="O997" s="27" t="str">
        <f t="shared" si="80"/>
        <v>http://hdl.handle.net/2027/uc1.b3014083?urlappend=%3Bseq=126</v>
      </c>
      <c r="P997" s="27" t="str">
        <f t="shared" si="81"/>
        <v>http://hdl.handle.net/2027/uc1.b3014083?urlappend=%3Bseq=68</v>
      </c>
      <c r="Q997" s="27" t="str">
        <f t="shared" si="78"/>
        <v>https://babel.hathitrust.org/cgi/pt?id=uc1.b3014083;view=1up;seq=211</v>
      </c>
      <c r="R997" s="27" t="str">
        <f t="shared" si="82"/>
        <v>http://hdl.handle.net/2027/uc1.b3014083?urlappend=%3Bseq=212</v>
      </c>
      <c r="S997" s="27" t="str">
        <f t="shared" si="83"/>
        <v>http://hdl.handle.net/2027/uc1.b3014083?urlappend=%3Bseq=153</v>
      </c>
      <c r="T997" s="27" t="str">
        <f t="shared" si="84"/>
        <v>http://hdl.handle.net/2027/uc1.b3014083?urlappend=%3Bseq=174</v>
      </c>
    </row>
    <row r="998" spans="1:20" x14ac:dyDescent="0.25">
      <c r="A998" s="27" t="s">
        <v>1591</v>
      </c>
      <c r="B998" s="27" t="str">
        <f t="shared" si="85"/>
        <v>Texas</v>
      </c>
      <c r="C998" s="27" t="str">
        <f t="shared" si="86"/>
        <v>Tyler</v>
      </c>
      <c r="D998" s="27">
        <v>150779</v>
      </c>
      <c r="E998" s="27">
        <v>79</v>
      </c>
      <c r="F998" s="26">
        <f>'TX pre'!G194</f>
        <v>66.582278481012665</v>
      </c>
      <c r="G998" s="10">
        <v>2528</v>
      </c>
      <c r="H998" s="28">
        <f>'TX pre'!J194</f>
        <v>48.502851711026608</v>
      </c>
      <c r="I998" s="2">
        <v>13575</v>
      </c>
      <c r="J998" s="27">
        <v>55</v>
      </c>
      <c r="K998" s="2">
        <v>3903</v>
      </c>
      <c r="L998" s="27">
        <v>1905</v>
      </c>
      <c r="M998" s="27" t="s">
        <v>1965</v>
      </c>
      <c r="N998" s="27" t="str">
        <f t="shared" si="79"/>
        <v>http://hdl.handle.net/2027/uc1.b3014083?urlappend=%3Bseq=105</v>
      </c>
      <c r="O998" s="27" t="str">
        <f t="shared" si="80"/>
        <v>http://hdl.handle.net/2027/uc1.b3014083?urlappend=%3Bseq=126</v>
      </c>
      <c r="P998" s="27" t="str">
        <f t="shared" si="81"/>
        <v>http://hdl.handle.net/2027/uc1.b3014083?urlappend=%3Bseq=68</v>
      </c>
      <c r="Q998" s="27" t="str">
        <f t="shared" si="78"/>
        <v>https://babel.hathitrust.org/cgi/pt?id=uc1.b3014083;view=1up;seq=211</v>
      </c>
      <c r="R998" s="27" t="str">
        <f t="shared" si="82"/>
        <v>http://hdl.handle.net/2027/uc1.b3014083?urlappend=%3Bseq=212</v>
      </c>
      <c r="S998" s="27" t="str">
        <f t="shared" si="83"/>
        <v>http://hdl.handle.net/2027/uc1.b3014083?urlappend=%3Bseq=153</v>
      </c>
      <c r="T998" s="27" t="str">
        <f t="shared" si="84"/>
        <v>http://hdl.handle.net/2027/uc1.b3014083?urlappend=%3Bseq=174</v>
      </c>
    </row>
    <row r="999" spans="1:20" x14ac:dyDescent="0.25">
      <c r="A999" s="27" t="s">
        <v>1592</v>
      </c>
      <c r="B999" s="27" t="str">
        <f t="shared" si="85"/>
        <v>Texas</v>
      </c>
      <c r="C999" s="27" t="str">
        <f t="shared" si="86"/>
        <v>Upshur</v>
      </c>
      <c r="D999" s="27">
        <v>170779</v>
      </c>
      <c r="E999" s="27">
        <v>84</v>
      </c>
      <c r="F999" s="26">
        <f>'TX pre'!G195</f>
        <v>75.166666666666671</v>
      </c>
      <c r="G999" s="10">
        <v>4119</v>
      </c>
      <c r="H999" s="28">
        <f>'TX pre'!J195</f>
        <v>61.266012036743739</v>
      </c>
      <c r="I999" s="2">
        <v>20107</v>
      </c>
      <c r="J999" s="27">
        <v>77</v>
      </c>
      <c r="K999" s="2">
        <v>16060</v>
      </c>
      <c r="L999" s="27">
        <v>1905</v>
      </c>
      <c r="M999" s="27" t="s">
        <v>1965</v>
      </c>
      <c r="N999" s="27" t="str">
        <f t="shared" si="79"/>
        <v>http://hdl.handle.net/2027/uc1.b3014083?urlappend=%3Bseq=105</v>
      </c>
      <c r="O999" s="27" t="str">
        <f t="shared" si="80"/>
        <v>http://hdl.handle.net/2027/uc1.b3014083?urlappend=%3Bseq=126</v>
      </c>
      <c r="P999" s="27" t="str">
        <f t="shared" si="81"/>
        <v>http://hdl.handle.net/2027/uc1.b3014083?urlappend=%3Bseq=68</v>
      </c>
      <c r="Q999" s="27" t="str">
        <f t="shared" si="78"/>
        <v>https://babel.hathitrust.org/cgi/pt?id=uc1.b3014083;view=1up;seq=211</v>
      </c>
      <c r="R999" s="27" t="str">
        <f t="shared" si="82"/>
        <v>http://hdl.handle.net/2027/uc1.b3014083?urlappend=%3Bseq=212</v>
      </c>
      <c r="S999" s="27" t="str">
        <f t="shared" si="83"/>
        <v>http://hdl.handle.net/2027/uc1.b3014083?urlappend=%3Bseq=153</v>
      </c>
      <c r="T999" s="27" t="str">
        <f t="shared" si="84"/>
        <v>http://hdl.handle.net/2027/uc1.b3014083?urlappend=%3Bseq=174</v>
      </c>
    </row>
    <row r="1000" spans="1:20" x14ac:dyDescent="0.25">
      <c r="A1000" s="27" t="s">
        <v>1594</v>
      </c>
      <c r="B1000" s="27" t="str">
        <f t="shared" si="85"/>
        <v>Texas</v>
      </c>
      <c r="C1000" s="27" t="str">
        <f t="shared" si="86"/>
        <v>Uvalde</v>
      </c>
      <c r="D1000" s="27">
        <v>102878</v>
      </c>
      <c r="E1000" s="27">
        <v>32</v>
      </c>
      <c r="F1000" s="26">
        <f>'TX pre'!G196</f>
        <v>138.8125</v>
      </c>
      <c r="G1000" s="10">
        <v>1068</v>
      </c>
      <c r="H1000" s="28">
        <f>'TX pre'!J196</f>
        <v>41.350742908599734</v>
      </c>
      <c r="I1000" s="2">
        <v>12270</v>
      </c>
      <c r="J1000" s="27">
        <v>21</v>
      </c>
      <c r="K1000" s="2">
        <v>20166</v>
      </c>
      <c r="L1000" s="27">
        <v>1905</v>
      </c>
      <c r="M1000" s="27" t="s">
        <v>1965</v>
      </c>
      <c r="N1000" s="27" t="str">
        <f t="shared" si="79"/>
        <v>http://hdl.handle.net/2027/uc1.b3014083?urlappend=%3Bseq=105</v>
      </c>
      <c r="O1000" s="27" t="str">
        <f t="shared" si="80"/>
        <v>http://hdl.handle.net/2027/uc1.b3014083?urlappend=%3Bseq=126</v>
      </c>
      <c r="P1000" s="27" t="str">
        <f t="shared" si="81"/>
        <v>http://hdl.handle.net/2027/uc1.b3014083?urlappend=%3Bseq=68</v>
      </c>
      <c r="Q1000" s="27" t="str">
        <f t="shared" ref="Q1000:Q1016" si="87">Q999</f>
        <v>https://babel.hathitrust.org/cgi/pt?id=uc1.b3014083;view=1up;seq=211</v>
      </c>
      <c r="R1000" s="27" t="str">
        <f t="shared" si="82"/>
        <v>http://hdl.handle.net/2027/uc1.b3014083?urlappend=%3Bseq=212</v>
      </c>
      <c r="S1000" s="27" t="str">
        <f t="shared" si="83"/>
        <v>http://hdl.handle.net/2027/uc1.b3014083?urlappend=%3Bseq=153</v>
      </c>
      <c r="T1000" s="27" t="str">
        <f t="shared" si="84"/>
        <v>http://hdl.handle.net/2027/uc1.b3014083?urlappend=%3Bseq=174</v>
      </c>
    </row>
    <row r="1001" spans="1:20" x14ac:dyDescent="0.25">
      <c r="A1001" s="27" t="s">
        <v>1765</v>
      </c>
      <c r="B1001" s="27" t="str">
        <f t="shared" si="85"/>
        <v>Texas</v>
      </c>
      <c r="C1001" s="27" t="str">
        <f t="shared" si="86"/>
        <v>Val Verde</v>
      </c>
      <c r="D1001" s="27">
        <v>21566</v>
      </c>
      <c r="E1001" s="27">
        <v>7</v>
      </c>
      <c r="F1001" s="26">
        <f>'TX pre'!G197</f>
        <v>118.57142857142857</v>
      </c>
      <c r="G1001" s="10">
        <v>321</v>
      </c>
      <c r="H1001" s="28">
        <f>'TX pre'!J197</f>
        <v>60.361445783132524</v>
      </c>
      <c r="I1001" s="2">
        <v>3375</v>
      </c>
      <c r="J1001" s="27">
        <v>6</v>
      </c>
      <c r="K1001" s="2">
        <v>2700</v>
      </c>
      <c r="L1001" s="27">
        <v>1905</v>
      </c>
      <c r="M1001" s="27" t="s">
        <v>1965</v>
      </c>
      <c r="N1001" s="27" t="str">
        <f t="shared" si="79"/>
        <v>http://hdl.handle.net/2027/uc1.b3014083?urlappend=%3Bseq=105</v>
      </c>
      <c r="O1001" s="27" t="str">
        <f t="shared" si="80"/>
        <v>http://hdl.handle.net/2027/uc1.b3014083?urlappend=%3Bseq=126</v>
      </c>
      <c r="P1001" s="27" t="str">
        <f t="shared" si="81"/>
        <v>http://hdl.handle.net/2027/uc1.b3014083?urlappend=%3Bseq=68</v>
      </c>
      <c r="Q1001" s="27" t="str">
        <f t="shared" si="87"/>
        <v>https://babel.hathitrust.org/cgi/pt?id=uc1.b3014083;view=1up;seq=211</v>
      </c>
      <c r="R1001" s="27" t="str">
        <f t="shared" si="82"/>
        <v>http://hdl.handle.net/2027/uc1.b3014083?urlappend=%3Bseq=212</v>
      </c>
      <c r="S1001" s="27" t="str">
        <f t="shared" si="83"/>
        <v>http://hdl.handle.net/2027/uc1.b3014083?urlappend=%3Bseq=153</v>
      </c>
      <c r="T1001" s="27" t="str">
        <f t="shared" si="84"/>
        <v>http://hdl.handle.net/2027/uc1.b3014083?urlappend=%3Bseq=174</v>
      </c>
    </row>
    <row r="1002" spans="1:20" x14ac:dyDescent="0.25">
      <c r="A1002" s="27" t="s">
        <v>1596</v>
      </c>
      <c r="B1002" s="27" t="str">
        <f t="shared" si="85"/>
        <v>Texas</v>
      </c>
      <c r="C1002" s="27" t="str">
        <f t="shared" si="86"/>
        <v>Victoria</v>
      </c>
      <c r="D1002" s="27">
        <v>81868</v>
      </c>
      <c r="E1002" s="27">
        <v>42</v>
      </c>
      <c r="F1002" s="26">
        <f>'TX pre'!G198</f>
        <v>105.73809523809524</v>
      </c>
      <c r="G1002" s="10">
        <v>1251</v>
      </c>
      <c r="H1002" s="28">
        <f>'TX pre'!J198</f>
        <v>39.878270659761313</v>
      </c>
      <c r="I1002" s="2">
        <v>9331</v>
      </c>
      <c r="J1002" s="27">
        <v>41</v>
      </c>
      <c r="K1002" s="2">
        <v>5657</v>
      </c>
      <c r="L1002" s="27">
        <v>1905</v>
      </c>
      <c r="M1002" s="27" t="s">
        <v>1965</v>
      </c>
      <c r="N1002" s="27" t="str">
        <f t="shared" si="79"/>
        <v>http://hdl.handle.net/2027/uc1.b3014083?urlappend=%3Bseq=105</v>
      </c>
      <c r="O1002" s="27" t="str">
        <f t="shared" si="80"/>
        <v>http://hdl.handle.net/2027/uc1.b3014083?urlappend=%3Bseq=126</v>
      </c>
      <c r="P1002" s="27" t="str">
        <f t="shared" si="81"/>
        <v>http://hdl.handle.net/2027/uc1.b3014083?urlappend=%3Bseq=68</v>
      </c>
      <c r="Q1002" s="27" t="str">
        <f t="shared" si="87"/>
        <v>https://babel.hathitrust.org/cgi/pt?id=uc1.b3014083;view=1up;seq=211</v>
      </c>
      <c r="R1002" s="27" t="str">
        <f t="shared" si="82"/>
        <v>http://hdl.handle.net/2027/uc1.b3014083?urlappend=%3Bseq=212</v>
      </c>
      <c r="S1002" s="27" t="str">
        <f t="shared" si="83"/>
        <v>http://hdl.handle.net/2027/uc1.b3014083?urlappend=%3Bseq=153</v>
      </c>
      <c r="T1002" s="27" t="str">
        <f t="shared" si="84"/>
        <v>http://hdl.handle.net/2027/uc1.b3014083?urlappend=%3Bseq=174</v>
      </c>
    </row>
    <row r="1003" spans="1:20" x14ac:dyDescent="0.25">
      <c r="A1003" s="27" t="s">
        <v>1597</v>
      </c>
      <c r="B1003" s="27" t="str">
        <f t="shared" si="85"/>
        <v>Texas</v>
      </c>
      <c r="C1003" s="27" t="str">
        <f t="shared" si="86"/>
        <v>Walker</v>
      </c>
      <c r="D1003" s="27">
        <v>209788</v>
      </c>
      <c r="E1003" s="27">
        <v>75</v>
      </c>
      <c r="F1003" s="26">
        <f>'TX pre'!G199</f>
        <v>117.36</v>
      </c>
      <c r="G1003" s="10">
        <v>3314</v>
      </c>
      <c r="H1003" s="28">
        <f>'TX pre'!J199</f>
        <v>37.4373551465576</v>
      </c>
      <c r="I1003" s="2">
        <v>17805</v>
      </c>
      <c r="J1003" s="27">
        <v>73</v>
      </c>
      <c r="K1003" s="2">
        <v>13810</v>
      </c>
      <c r="L1003" s="27">
        <v>1905</v>
      </c>
      <c r="M1003" s="27" t="s">
        <v>1965</v>
      </c>
      <c r="N1003" s="27" t="str">
        <f t="shared" si="79"/>
        <v>http://hdl.handle.net/2027/uc1.b3014083?urlappend=%3Bseq=105</v>
      </c>
      <c r="O1003" s="27" t="str">
        <f t="shared" si="80"/>
        <v>http://hdl.handle.net/2027/uc1.b3014083?urlappend=%3Bseq=126</v>
      </c>
      <c r="P1003" s="27" t="str">
        <f t="shared" si="81"/>
        <v>http://hdl.handle.net/2027/uc1.b3014083?urlappend=%3Bseq=68</v>
      </c>
      <c r="Q1003" s="27" t="str">
        <f t="shared" si="87"/>
        <v>https://babel.hathitrust.org/cgi/pt?id=uc1.b3014083;view=1up;seq=211</v>
      </c>
      <c r="R1003" s="27" t="str">
        <f t="shared" si="82"/>
        <v>http://hdl.handle.net/2027/uc1.b3014083?urlappend=%3Bseq=212</v>
      </c>
      <c r="S1003" s="27" t="str">
        <f t="shared" si="83"/>
        <v>http://hdl.handle.net/2027/uc1.b3014083?urlappend=%3Bseq=153</v>
      </c>
      <c r="T1003" s="27" t="str">
        <f t="shared" si="84"/>
        <v>http://hdl.handle.net/2027/uc1.b3014083?urlappend=%3Bseq=174</v>
      </c>
    </row>
    <row r="1004" spans="1:20" x14ac:dyDescent="0.25">
      <c r="A1004" s="27" t="s">
        <v>1598</v>
      </c>
      <c r="B1004" s="27" t="str">
        <f t="shared" si="85"/>
        <v>Texas</v>
      </c>
      <c r="C1004" s="27" t="str">
        <f t="shared" si="86"/>
        <v>Waller</v>
      </c>
      <c r="D1004" s="27">
        <v>157536</v>
      </c>
      <c r="E1004" s="27">
        <v>58</v>
      </c>
      <c r="F1004" s="26">
        <f>'TX pre'!G200</f>
        <v>103.75862068965517</v>
      </c>
      <c r="G1004" s="10">
        <v>2597</v>
      </c>
      <c r="H1004" s="28">
        <f>'TX pre'!J200</f>
        <v>42.156430707876368</v>
      </c>
      <c r="I1004" s="2">
        <v>13695</v>
      </c>
      <c r="J1004" s="27">
        <v>53</v>
      </c>
      <c r="K1004" s="2">
        <v>7495</v>
      </c>
      <c r="L1004" s="27">
        <v>1905</v>
      </c>
      <c r="M1004" s="27" t="s">
        <v>1965</v>
      </c>
      <c r="N1004" s="27" t="str">
        <f t="shared" si="79"/>
        <v>http://hdl.handle.net/2027/uc1.b3014083?urlappend=%3Bseq=105</v>
      </c>
      <c r="O1004" s="27" t="str">
        <f t="shared" si="80"/>
        <v>http://hdl.handle.net/2027/uc1.b3014083?urlappend=%3Bseq=126</v>
      </c>
      <c r="P1004" s="27" t="str">
        <f t="shared" si="81"/>
        <v>http://hdl.handle.net/2027/uc1.b3014083?urlappend=%3Bseq=68</v>
      </c>
      <c r="Q1004" s="27" t="str">
        <f t="shared" si="87"/>
        <v>https://babel.hathitrust.org/cgi/pt?id=uc1.b3014083;view=1up;seq=211</v>
      </c>
      <c r="R1004" s="27" t="str">
        <f t="shared" si="82"/>
        <v>http://hdl.handle.net/2027/uc1.b3014083?urlappend=%3Bseq=212</v>
      </c>
      <c r="S1004" s="27" t="str">
        <f t="shared" si="83"/>
        <v>http://hdl.handle.net/2027/uc1.b3014083?urlappend=%3Bseq=153</v>
      </c>
      <c r="T1004" s="27" t="str">
        <f t="shared" si="84"/>
        <v>http://hdl.handle.net/2027/uc1.b3014083?urlappend=%3Bseq=174</v>
      </c>
    </row>
    <row r="1005" spans="1:20" x14ac:dyDescent="0.25">
      <c r="A1005" s="27" t="s">
        <v>1599</v>
      </c>
      <c r="B1005" s="27" t="str">
        <f t="shared" si="85"/>
        <v>Texas</v>
      </c>
      <c r="C1005" s="27" t="str">
        <f t="shared" si="86"/>
        <v>Ward</v>
      </c>
      <c r="D1005" s="27">
        <v>22174</v>
      </c>
      <c r="E1005" s="27">
        <v>5</v>
      </c>
      <c r="F1005" s="26">
        <f>'TX pre'!G201</f>
        <v>192</v>
      </c>
      <c r="G1005" s="10">
        <v>278</v>
      </c>
      <c r="H1005" s="28">
        <f>'TX pre'!J201</f>
        <v>72.083333333333343</v>
      </c>
      <c r="I1005" s="2">
        <v>5816</v>
      </c>
      <c r="J1005" s="27">
        <v>2</v>
      </c>
      <c r="K1005" s="2">
        <v>8535</v>
      </c>
      <c r="L1005" s="27">
        <v>1905</v>
      </c>
      <c r="M1005" s="27" t="s">
        <v>1965</v>
      </c>
      <c r="N1005" s="27" t="str">
        <f t="shared" si="79"/>
        <v>http://hdl.handle.net/2027/uc1.b3014083?urlappend=%3Bseq=105</v>
      </c>
      <c r="O1005" s="27" t="str">
        <f t="shared" si="80"/>
        <v>http://hdl.handle.net/2027/uc1.b3014083?urlappend=%3Bseq=126</v>
      </c>
      <c r="P1005" s="27" t="str">
        <f t="shared" si="81"/>
        <v>http://hdl.handle.net/2027/uc1.b3014083?urlappend=%3Bseq=68</v>
      </c>
      <c r="Q1005" s="27" t="str">
        <f t="shared" si="87"/>
        <v>https://babel.hathitrust.org/cgi/pt?id=uc1.b3014083;view=1up;seq=211</v>
      </c>
      <c r="R1005" s="27" t="str">
        <f t="shared" si="82"/>
        <v>http://hdl.handle.net/2027/uc1.b3014083?urlappend=%3Bseq=212</v>
      </c>
      <c r="S1005" s="27" t="str">
        <f t="shared" si="83"/>
        <v>http://hdl.handle.net/2027/uc1.b3014083?urlappend=%3Bseq=153</v>
      </c>
      <c r="T1005" s="27" t="str">
        <f t="shared" si="84"/>
        <v>http://hdl.handle.net/2027/uc1.b3014083?urlappend=%3Bseq=174</v>
      </c>
    </row>
    <row r="1006" spans="1:20" x14ac:dyDescent="0.25">
      <c r="A1006" s="27" t="s">
        <v>1603</v>
      </c>
      <c r="B1006" s="27" t="str">
        <f t="shared" si="85"/>
        <v>Texas</v>
      </c>
      <c r="C1006" s="27" t="str">
        <f t="shared" si="86"/>
        <v>Wheeler</v>
      </c>
      <c r="D1006" s="27">
        <v>23068</v>
      </c>
      <c r="E1006" s="27">
        <v>13</v>
      </c>
      <c r="F1006" s="26">
        <f>'TX pre'!G202</f>
        <v>107.92307692307692</v>
      </c>
      <c r="G1006" s="10">
        <v>385</v>
      </c>
      <c r="H1006" s="28">
        <f>'TX pre'!J202</f>
        <v>46.471846044191025</v>
      </c>
      <c r="I1006" s="2">
        <v>4049</v>
      </c>
      <c r="J1006" s="27">
        <v>12</v>
      </c>
      <c r="K1006" s="2">
        <v>7310</v>
      </c>
      <c r="L1006" s="27">
        <v>1905</v>
      </c>
      <c r="M1006" s="27" t="s">
        <v>1965</v>
      </c>
      <c r="N1006" s="27" t="str">
        <f t="shared" si="79"/>
        <v>http://hdl.handle.net/2027/uc1.b3014083?urlappend=%3Bseq=105</v>
      </c>
      <c r="O1006" s="27" t="str">
        <f t="shared" si="80"/>
        <v>http://hdl.handle.net/2027/uc1.b3014083?urlappend=%3Bseq=126</v>
      </c>
      <c r="P1006" s="27" t="str">
        <f t="shared" si="81"/>
        <v>http://hdl.handle.net/2027/uc1.b3014083?urlappend=%3Bseq=68</v>
      </c>
      <c r="Q1006" s="27" t="str">
        <f t="shared" si="87"/>
        <v>https://babel.hathitrust.org/cgi/pt?id=uc1.b3014083;view=1up;seq=211</v>
      </c>
      <c r="R1006" s="27" t="str">
        <f t="shared" si="82"/>
        <v>http://hdl.handle.net/2027/uc1.b3014083?urlappend=%3Bseq=212</v>
      </c>
      <c r="S1006" s="27" t="str">
        <f t="shared" si="83"/>
        <v>http://hdl.handle.net/2027/uc1.b3014083?urlappend=%3Bseq=153</v>
      </c>
      <c r="T1006" s="27" t="str">
        <f t="shared" si="84"/>
        <v>http://hdl.handle.net/2027/uc1.b3014083?urlappend=%3Bseq=174</v>
      </c>
    </row>
    <row r="1007" spans="1:20" x14ac:dyDescent="0.25">
      <c r="A1007" s="27" t="s">
        <v>1604</v>
      </c>
      <c r="B1007" s="27" t="str">
        <f t="shared" si="85"/>
        <v>Texas</v>
      </c>
      <c r="C1007" s="27" t="str">
        <f t="shared" si="86"/>
        <v>Wichita</v>
      </c>
      <c r="D1007" s="27">
        <v>30554</v>
      </c>
      <c r="E1007" s="27">
        <v>16</v>
      </c>
      <c r="F1007" s="26">
        <f>'TX pre'!G203</f>
        <v>110.75</v>
      </c>
      <c r="G1007" s="10">
        <v>443</v>
      </c>
      <c r="H1007" s="28">
        <f>'TX pre'!J203</f>
        <v>49.692437923250566</v>
      </c>
      <c r="I1007" s="2">
        <v>5376</v>
      </c>
      <c r="J1007" s="27">
        <v>16</v>
      </c>
      <c r="K1007" s="2">
        <v>9395</v>
      </c>
      <c r="L1007" s="27">
        <v>1905</v>
      </c>
      <c r="M1007" s="27" t="s">
        <v>1965</v>
      </c>
      <c r="N1007" s="27" t="str">
        <f t="shared" si="79"/>
        <v>http://hdl.handle.net/2027/uc1.b3014083?urlappend=%3Bseq=105</v>
      </c>
      <c r="O1007" s="27" t="str">
        <f t="shared" si="80"/>
        <v>http://hdl.handle.net/2027/uc1.b3014083?urlappend=%3Bseq=126</v>
      </c>
      <c r="P1007" s="27" t="str">
        <f t="shared" si="81"/>
        <v>http://hdl.handle.net/2027/uc1.b3014083?urlappend=%3Bseq=68</v>
      </c>
      <c r="Q1007" s="27" t="str">
        <f t="shared" si="87"/>
        <v>https://babel.hathitrust.org/cgi/pt?id=uc1.b3014083;view=1up;seq=211</v>
      </c>
      <c r="R1007" s="27" t="str">
        <f t="shared" si="82"/>
        <v>http://hdl.handle.net/2027/uc1.b3014083?urlappend=%3Bseq=212</v>
      </c>
      <c r="S1007" s="27" t="str">
        <f t="shared" si="83"/>
        <v>http://hdl.handle.net/2027/uc1.b3014083?urlappend=%3Bseq=153</v>
      </c>
      <c r="T1007" s="27" t="str">
        <f t="shared" si="84"/>
        <v>http://hdl.handle.net/2027/uc1.b3014083?urlappend=%3Bseq=174</v>
      </c>
    </row>
    <row r="1008" spans="1:20" x14ac:dyDescent="0.25">
      <c r="A1008" s="27" t="s">
        <v>1605</v>
      </c>
      <c r="B1008" s="27" t="str">
        <f t="shared" si="85"/>
        <v>Texas</v>
      </c>
      <c r="C1008" s="27" t="str">
        <f t="shared" si="86"/>
        <v>Wilbarger</v>
      </c>
      <c r="D1008" s="27">
        <v>57878</v>
      </c>
      <c r="E1008" s="27">
        <v>27</v>
      </c>
      <c r="F1008" s="26">
        <f>'TX pre'!G204</f>
        <v>111.44444444444444</v>
      </c>
      <c r="G1008" s="10">
        <v>868</v>
      </c>
      <c r="H1008" s="28">
        <f>'TX pre'!J204</f>
        <v>51.561116650049854</v>
      </c>
      <c r="I1008" s="2">
        <v>9670</v>
      </c>
      <c r="J1008" s="27">
        <v>25</v>
      </c>
      <c r="K1008" s="2">
        <v>10915</v>
      </c>
      <c r="L1008" s="27">
        <v>1905</v>
      </c>
      <c r="M1008" s="27" t="s">
        <v>1965</v>
      </c>
      <c r="N1008" s="27" t="str">
        <f t="shared" si="79"/>
        <v>http://hdl.handle.net/2027/uc1.b3014083?urlappend=%3Bseq=105</v>
      </c>
      <c r="O1008" s="27" t="str">
        <f t="shared" si="80"/>
        <v>http://hdl.handle.net/2027/uc1.b3014083?urlappend=%3Bseq=126</v>
      </c>
      <c r="P1008" s="27" t="str">
        <f t="shared" si="81"/>
        <v>http://hdl.handle.net/2027/uc1.b3014083?urlappend=%3Bseq=68</v>
      </c>
      <c r="Q1008" s="27" t="str">
        <f t="shared" si="87"/>
        <v>https://babel.hathitrust.org/cgi/pt?id=uc1.b3014083;view=1up;seq=211</v>
      </c>
      <c r="R1008" s="27" t="str">
        <f t="shared" si="82"/>
        <v>http://hdl.handle.net/2027/uc1.b3014083?urlappend=%3Bseq=212</v>
      </c>
      <c r="S1008" s="27" t="str">
        <f t="shared" si="83"/>
        <v>http://hdl.handle.net/2027/uc1.b3014083?urlappend=%3Bseq=153</v>
      </c>
      <c r="T1008" s="27" t="str">
        <f t="shared" si="84"/>
        <v>http://hdl.handle.net/2027/uc1.b3014083?urlappend=%3Bseq=174</v>
      </c>
    </row>
    <row r="1009" spans="1:20" x14ac:dyDescent="0.25">
      <c r="A1009" s="27" t="s">
        <v>1607</v>
      </c>
      <c r="B1009" s="27" t="str">
        <f t="shared" si="85"/>
        <v>Texas</v>
      </c>
      <c r="C1009" s="27" t="str">
        <f t="shared" si="86"/>
        <v>Williamson</v>
      </c>
      <c r="D1009" s="27">
        <v>335348</v>
      </c>
      <c r="E1009" s="27">
        <v>121</v>
      </c>
      <c r="F1009" s="26">
        <f>'TX pre'!G205</f>
        <v>97.710743801652896</v>
      </c>
      <c r="G1009" s="10">
        <v>5291</v>
      </c>
      <c r="H1009" s="28">
        <f>'TX pre'!J205</f>
        <v>51.152059544954746</v>
      </c>
      <c r="I1009" s="2">
        <v>32136</v>
      </c>
      <c r="J1009" s="27">
        <v>102</v>
      </c>
      <c r="K1009" s="2">
        <v>49699</v>
      </c>
      <c r="L1009" s="27">
        <v>1905</v>
      </c>
      <c r="M1009" s="27" t="s">
        <v>1965</v>
      </c>
      <c r="N1009" s="27" t="str">
        <f t="shared" si="79"/>
        <v>http://hdl.handle.net/2027/uc1.b3014083?urlappend=%3Bseq=105</v>
      </c>
      <c r="O1009" s="27" t="str">
        <f t="shared" si="80"/>
        <v>http://hdl.handle.net/2027/uc1.b3014083?urlappend=%3Bseq=126</v>
      </c>
      <c r="P1009" s="27" t="str">
        <f t="shared" si="81"/>
        <v>http://hdl.handle.net/2027/uc1.b3014083?urlappend=%3Bseq=68</v>
      </c>
      <c r="Q1009" s="27" t="str">
        <f>Q1008</f>
        <v>https://babel.hathitrust.org/cgi/pt?id=uc1.b3014083;view=1up;seq=211</v>
      </c>
      <c r="R1009" s="27" t="str">
        <f t="shared" si="82"/>
        <v>http://hdl.handle.net/2027/uc1.b3014083?urlappend=%3Bseq=212</v>
      </c>
      <c r="S1009" s="27" t="str">
        <f t="shared" si="83"/>
        <v>http://hdl.handle.net/2027/uc1.b3014083?urlappend=%3Bseq=153</v>
      </c>
      <c r="T1009" s="27" t="str">
        <f t="shared" si="84"/>
        <v>http://hdl.handle.net/2027/uc1.b3014083?urlappend=%3Bseq=174</v>
      </c>
    </row>
    <row r="1010" spans="1:20" x14ac:dyDescent="0.25">
      <c r="A1010" s="27" t="s">
        <v>1608</v>
      </c>
      <c r="B1010" s="27" t="str">
        <f t="shared" si="85"/>
        <v>Texas</v>
      </c>
      <c r="C1010" s="27" t="str">
        <f t="shared" si="86"/>
        <v>Wilson</v>
      </c>
      <c r="D1010" s="27">
        <v>156411</v>
      </c>
      <c r="E1010" s="27">
        <v>63</v>
      </c>
      <c r="F1010" s="26">
        <f>'TX pre'!G206</f>
        <v>100.01587301587301</v>
      </c>
      <c r="G1010" s="10">
        <v>2280</v>
      </c>
      <c r="H1010" s="28">
        <f>'TX pre'!J206</f>
        <v>52.64529439771465</v>
      </c>
      <c r="I1010" s="2">
        <v>17298</v>
      </c>
      <c r="J1010" s="27">
        <v>56</v>
      </c>
      <c r="K1010" s="2">
        <v>17855</v>
      </c>
      <c r="L1010" s="27">
        <v>1905</v>
      </c>
      <c r="M1010" s="27" t="s">
        <v>1965</v>
      </c>
      <c r="N1010" s="27" t="str">
        <f t="shared" ref="N1010:N1016" si="88">N1009</f>
        <v>http://hdl.handle.net/2027/uc1.b3014083?urlappend=%3Bseq=105</v>
      </c>
      <c r="O1010" s="27" t="str">
        <f t="shared" ref="O1010:O1016" si="89">O1009</f>
        <v>http://hdl.handle.net/2027/uc1.b3014083?urlappend=%3Bseq=126</v>
      </c>
      <c r="P1010" s="27" t="str">
        <f t="shared" ref="P1010:P1016" si="90">P1009</f>
        <v>http://hdl.handle.net/2027/uc1.b3014083?urlappend=%3Bseq=68</v>
      </c>
      <c r="Q1010" s="27" t="str">
        <f t="shared" si="87"/>
        <v>https://babel.hathitrust.org/cgi/pt?id=uc1.b3014083;view=1up;seq=211</v>
      </c>
      <c r="R1010" s="27" t="str">
        <f t="shared" ref="R1010:R1016" si="91">R1009</f>
        <v>http://hdl.handle.net/2027/uc1.b3014083?urlappend=%3Bseq=212</v>
      </c>
      <c r="S1010" s="27" t="str">
        <f t="shared" ref="S1010:S1016" si="92">S1009</f>
        <v>http://hdl.handle.net/2027/uc1.b3014083?urlappend=%3Bseq=153</v>
      </c>
      <c r="T1010" s="27" t="str">
        <f t="shared" ref="T1010:T1016" si="93">T1009</f>
        <v>http://hdl.handle.net/2027/uc1.b3014083?urlappend=%3Bseq=174</v>
      </c>
    </row>
    <row r="1011" spans="1:20" x14ac:dyDescent="0.25">
      <c r="A1011" s="27" t="s">
        <v>1610</v>
      </c>
      <c r="B1011" s="27" t="str">
        <f t="shared" si="85"/>
        <v>Texas</v>
      </c>
      <c r="C1011" s="27" t="str">
        <f t="shared" si="86"/>
        <v>Wise</v>
      </c>
      <c r="D1011" s="27">
        <v>327158</v>
      </c>
      <c r="E1011" s="27">
        <v>129</v>
      </c>
      <c r="F1011" s="26">
        <f>'TX pre'!G207</f>
        <v>73.511627906976742</v>
      </c>
      <c r="G1011" s="10">
        <v>6260</v>
      </c>
      <c r="H1011" s="28">
        <f>'TX pre'!J207</f>
        <v>58.010165559422127</v>
      </c>
      <c r="I1011" s="2">
        <v>29097</v>
      </c>
      <c r="J1011" s="27">
        <v>106</v>
      </c>
      <c r="K1011" s="2">
        <v>39176</v>
      </c>
      <c r="L1011" s="27">
        <v>1905</v>
      </c>
      <c r="M1011" s="27" t="s">
        <v>1965</v>
      </c>
      <c r="N1011" s="27" t="str">
        <f t="shared" si="88"/>
        <v>http://hdl.handle.net/2027/uc1.b3014083?urlappend=%3Bseq=105</v>
      </c>
      <c r="O1011" s="27" t="str">
        <f t="shared" si="89"/>
        <v>http://hdl.handle.net/2027/uc1.b3014083?urlappend=%3Bseq=126</v>
      </c>
      <c r="P1011" s="27" t="str">
        <f t="shared" si="90"/>
        <v>http://hdl.handle.net/2027/uc1.b3014083?urlappend=%3Bseq=68</v>
      </c>
      <c r="Q1011" s="27" t="str">
        <f t="shared" si="87"/>
        <v>https://babel.hathitrust.org/cgi/pt?id=uc1.b3014083;view=1up;seq=211</v>
      </c>
      <c r="R1011" s="27" t="str">
        <f t="shared" si="91"/>
        <v>http://hdl.handle.net/2027/uc1.b3014083?urlappend=%3Bseq=212</v>
      </c>
      <c r="S1011" s="27" t="str">
        <f t="shared" si="92"/>
        <v>http://hdl.handle.net/2027/uc1.b3014083?urlappend=%3Bseq=153</v>
      </c>
      <c r="T1011" s="27" t="str">
        <f t="shared" si="93"/>
        <v>http://hdl.handle.net/2027/uc1.b3014083?urlappend=%3Bseq=174</v>
      </c>
    </row>
    <row r="1012" spans="1:20" x14ac:dyDescent="0.25">
      <c r="A1012" s="27" t="s">
        <v>1611</v>
      </c>
      <c r="B1012" s="27" t="str">
        <f t="shared" si="85"/>
        <v>Texas</v>
      </c>
      <c r="C1012" s="27" t="str">
        <f t="shared" si="86"/>
        <v>Wood</v>
      </c>
      <c r="D1012" s="27">
        <v>242797</v>
      </c>
      <c r="E1012" s="27">
        <v>91</v>
      </c>
      <c r="F1012" s="26">
        <f>'TX pre'!G208</f>
        <v>71.593406593406598</v>
      </c>
      <c r="G1012" s="10">
        <v>4980</v>
      </c>
      <c r="H1012" s="28">
        <f>'TX pre'!J208</f>
        <v>64.628580199539513</v>
      </c>
      <c r="I1012" s="2">
        <v>21614</v>
      </c>
      <c r="J1012" s="27">
        <v>68</v>
      </c>
      <c r="K1012" s="2">
        <v>33689</v>
      </c>
      <c r="L1012" s="27">
        <v>1905</v>
      </c>
      <c r="M1012" s="27" t="s">
        <v>1965</v>
      </c>
      <c r="N1012" s="27" t="str">
        <f t="shared" si="88"/>
        <v>http://hdl.handle.net/2027/uc1.b3014083?urlappend=%3Bseq=105</v>
      </c>
      <c r="O1012" s="27" t="str">
        <f t="shared" si="89"/>
        <v>http://hdl.handle.net/2027/uc1.b3014083?urlappend=%3Bseq=126</v>
      </c>
      <c r="P1012" s="27" t="str">
        <f t="shared" si="90"/>
        <v>http://hdl.handle.net/2027/uc1.b3014083?urlappend=%3Bseq=68</v>
      </c>
      <c r="Q1012" s="27" t="str">
        <f t="shared" si="87"/>
        <v>https://babel.hathitrust.org/cgi/pt?id=uc1.b3014083;view=1up;seq=211</v>
      </c>
      <c r="R1012" s="27" t="str">
        <f t="shared" si="91"/>
        <v>http://hdl.handle.net/2027/uc1.b3014083?urlappend=%3Bseq=212</v>
      </c>
      <c r="S1012" s="27" t="str">
        <f t="shared" si="92"/>
        <v>http://hdl.handle.net/2027/uc1.b3014083?urlappend=%3Bseq=153</v>
      </c>
      <c r="T1012" s="27" t="str">
        <f t="shared" si="93"/>
        <v>http://hdl.handle.net/2027/uc1.b3014083?urlappend=%3Bseq=174</v>
      </c>
    </row>
    <row r="1013" spans="1:20" x14ac:dyDescent="0.25">
      <c r="A1013" s="27" t="s">
        <v>1612</v>
      </c>
      <c r="B1013" s="27" t="str">
        <f t="shared" si="85"/>
        <v>Texas</v>
      </c>
      <c r="C1013" s="27" t="str">
        <f t="shared" si="86"/>
        <v>Yoakum</v>
      </c>
      <c r="D1013" s="27"/>
      <c r="E1013" s="27"/>
      <c r="F1013" s="26"/>
      <c r="G1013" s="10"/>
      <c r="H1013" s="28"/>
      <c r="J1013" s="27"/>
      <c r="K1013" s="2"/>
      <c r="L1013" s="27">
        <v>1905</v>
      </c>
      <c r="M1013" s="27" t="s">
        <v>1965</v>
      </c>
      <c r="N1013" s="27" t="str">
        <f t="shared" si="88"/>
        <v>http://hdl.handle.net/2027/uc1.b3014083?urlappend=%3Bseq=105</v>
      </c>
      <c r="O1013" s="27" t="str">
        <f t="shared" si="89"/>
        <v>http://hdl.handle.net/2027/uc1.b3014083?urlappend=%3Bseq=126</v>
      </c>
      <c r="P1013" s="27" t="str">
        <f t="shared" si="90"/>
        <v>http://hdl.handle.net/2027/uc1.b3014083?urlappend=%3Bseq=68</v>
      </c>
      <c r="Q1013" s="27" t="str">
        <f t="shared" si="87"/>
        <v>https://babel.hathitrust.org/cgi/pt?id=uc1.b3014083;view=1up;seq=211</v>
      </c>
      <c r="R1013" s="27" t="str">
        <f t="shared" si="91"/>
        <v>http://hdl.handle.net/2027/uc1.b3014083?urlappend=%3Bseq=212</v>
      </c>
      <c r="S1013" s="27" t="str">
        <f t="shared" si="92"/>
        <v>http://hdl.handle.net/2027/uc1.b3014083?urlappend=%3Bseq=153</v>
      </c>
      <c r="T1013" s="27" t="str">
        <f t="shared" si="93"/>
        <v>http://hdl.handle.net/2027/uc1.b3014083?urlappend=%3Bseq=174</v>
      </c>
    </row>
    <row r="1014" spans="1:20" x14ac:dyDescent="0.25">
      <c r="A1014" s="27" t="s">
        <v>1613</v>
      </c>
      <c r="B1014" s="27" t="str">
        <f t="shared" si="85"/>
        <v>Texas</v>
      </c>
      <c r="C1014" s="27" t="str">
        <f t="shared" si="86"/>
        <v>Young</v>
      </c>
      <c r="D1014" s="27">
        <v>90836</v>
      </c>
      <c r="E1014" s="27">
        <v>50</v>
      </c>
      <c r="F1014" s="26">
        <f>'TX pre'!G210</f>
        <v>89.08</v>
      </c>
      <c r="G1014" s="10">
        <v>1613</v>
      </c>
      <c r="H1014" s="28">
        <f>'TX pre'!J210</f>
        <v>45.060170633138746</v>
      </c>
      <c r="I1014" s="2">
        <v>11260</v>
      </c>
      <c r="J1014" s="27">
        <v>45</v>
      </c>
      <c r="K1014" s="2">
        <v>15935</v>
      </c>
      <c r="L1014" s="27">
        <v>1905</v>
      </c>
      <c r="M1014" s="27" t="s">
        <v>1965</v>
      </c>
      <c r="N1014" s="27" t="str">
        <f t="shared" si="88"/>
        <v>http://hdl.handle.net/2027/uc1.b3014083?urlappend=%3Bseq=105</v>
      </c>
      <c r="O1014" s="27" t="str">
        <f t="shared" si="89"/>
        <v>http://hdl.handle.net/2027/uc1.b3014083?urlappend=%3Bseq=126</v>
      </c>
      <c r="P1014" s="27" t="str">
        <f t="shared" si="90"/>
        <v>http://hdl.handle.net/2027/uc1.b3014083?urlappend=%3Bseq=68</v>
      </c>
      <c r="Q1014" s="27" t="str">
        <f t="shared" si="87"/>
        <v>https://babel.hathitrust.org/cgi/pt?id=uc1.b3014083;view=1up;seq=211</v>
      </c>
      <c r="R1014" s="27" t="str">
        <f t="shared" si="91"/>
        <v>http://hdl.handle.net/2027/uc1.b3014083?urlappend=%3Bseq=212</v>
      </c>
      <c r="S1014" s="27" t="str">
        <f t="shared" si="92"/>
        <v>http://hdl.handle.net/2027/uc1.b3014083?urlappend=%3Bseq=153</v>
      </c>
      <c r="T1014" s="27" t="str">
        <f t="shared" si="93"/>
        <v>http://hdl.handle.net/2027/uc1.b3014083?urlappend=%3Bseq=174</v>
      </c>
    </row>
    <row r="1015" spans="1:20" x14ac:dyDescent="0.25">
      <c r="A1015" s="27" t="s">
        <v>1614</v>
      </c>
      <c r="B1015" s="27" t="str">
        <f t="shared" si="85"/>
        <v>Texas</v>
      </c>
      <c r="C1015" s="27" t="str">
        <f t="shared" si="86"/>
        <v>Zapata</v>
      </c>
      <c r="D1015" s="27">
        <v>113440</v>
      </c>
      <c r="E1015" s="27">
        <v>18</v>
      </c>
      <c r="F1015" s="26">
        <f>'TX pre'!G211</f>
        <v>145.55555555555554</v>
      </c>
      <c r="G1015" s="10">
        <v>826</v>
      </c>
      <c r="H1015" s="28">
        <f>'TX pre'!J211</f>
        <v>44.652671755725201</v>
      </c>
      <c r="I1015" s="2">
        <v>8204</v>
      </c>
      <c r="J1015" s="27">
        <v>14</v>
      </c>
      <c r="K1015" s="2">
        <v>5720</v>
      </c>
      <c r="L1015" s="27">
        <v>1905</v>
      </c>
      <c r="M1015" s="27" t="s">
        <v>1965</v>
      </c>
      <c r="N1015" s="27" t="str">
        <f t="shared" si="88"/>
        <v>http://hdl.handle.net/2027/uc1.b3014083?urlappend=%3Bseq=105</v>
      </c>
      <c r="O1015" s="27" t="str">
        <f t="shared" si="89"/>
        <v>http://hdl.handle.net/2027/uc1.b3014083?urlappend=%3Bseq=126</v>
      </c>
      <c r="P1015" s="27" t="str">
        <f t="shared" si="90"/>
        <v>http://hdl.handle.net/2027/uc1.b3014083?urlappend=%3Bseq=68</v>
      </c>
      <c r="Q1015" s="27" t="str">
        <f t="shared" si="87"/>
        <v>https://babel.hathitrust.org/cgi/pt?id=uc1.b3014083;view=1up;seq=211</v>
      </c>
      <c r="R1015" s="27" t="str">
        <f t="shared" si="91"/>
        <v>http://hdl.handle.net/2027/uc1.b3014083?urlappend=%3Bseq=212</v>
      </c>
      <c r="S1015" s="27" t="str">
        <f t="shared" si="92"/>
        <v>http://hdl.handle.net/2027/uc1.b3014083?urlappend=%3Bseq=153</v>
      </c>
      <c r="T1015" s="27" t="str">
        <f t="shared" si="93"/>
        <v>http://hdl.handle.net/2027/uc1.b3014083?urlappend=%3Bseq=174</v>
      </c>
    </row>
    <row r="1016" spans="1:20" x14ac:dyDescent="0.25">
      <c r="A1016" s="27" t="s">
        <v>1615</v>
      </c>
      <c r="B1016" s="27" t="str">
        <f t="shared" si="85"/>
        <v>Texas</v>
      </c>
      <c r="C1016" s="27" t="str">
        <f t="shared" si="86"/>
        <v>Zavalla</v>
      </c>
      <c r="D1016" s="27">
        <v>15770</v>
      </c>
      <c r="E1016" s="27">
        <v>8</v>
      </c>
      <c r="F1016" s="26">
        <f>'TX pre'!G212</f>
        <v>120</v>
      </c>
      <c r="G1016" s="10">
        <v>218</v>
      </c>
      <c r="H1016" s="28">
        <f>'TX pre'!J212</f>
        <v>44.739583333333336</v>
      </c>
      <c r="I1016" s="2">
        <v>2764</v>
      </c>
      <c r="J1016" s="27">
        <v>5</v>
      </c>
      <c r="K1016" s="2">
        <v>2525</v>
      </c>
      <c r="L1016" s="27">
        <v>1905</v>
      </c>
      <c r="M1016" s="27" t="s">
        <v>1965</v>
      </c>
      <c r="N1016" s="27" t="str">
        <f t="shared" si="88"/>
        <v>http://hdl.handle.net/2027/uc1.b3014083?urlappend=%3Bseq=105</v>
      </c>
      <c r="O1016" s="27" t="str">
        <f t="shared" si="89"/>
        <v>http://hdl.handle.net/2027/uc1.b3014083?urlappend=%3Bseq=126</v>
      </c>
      <c r="P1016" s="27" t="str">
        <f t="shared" si="90"/>
        <v>http://hdl.handle.net/2027/uc1.b3014083?urlappend=%3Bseq=68</v>
      </c>
      <c r="Q1016" s="27" t="str">
        <f t="shared" si="87"/>
        <v>https://babel.hathitrust.org/cgi/pt?id=uc1.b3014083;view=1up;seq=211</v>
      </c>
      <c r="R1016" s="27" t="str">
        <f t="shared" si="91"/>
        <v>http://hdl.handle.net/2027/uc1.b3014083?urlappend=%3Bseq=212</v>
      </c>
      <c r="S1016" s="27" t="str">
        <f t="shared" si="92"/>
        <v>http://hdl.handle.net/2027/uc1.b3014083?urlappend=%3Bseq=153</v>
      </c>
      <c r="T1016" s="27" t="str">
        <f t="shared" si="93"/>
        <v>http://hdl.handle.net/2027/uc1.b3014083?urlappend=%3Bseq=174</v>
      </c>
    </row>
    <row r="1017" spans="1:20" s="27" customFormat="1" x14ac:dyDescent="0.25">
      <c r="A1017" s="27" t="s">
        <v>1370</v>
      </c>
      <c r="B1017" s="27" t="str">
        <f>LEFT(A1017,FIND(";",A1017)-1)</f>
        <v>Texas</v>
      </c>
      <c r="C1017" s="27" t="str">
        <f>MID(A1017,FIND(";",A1017)+1,100)</f>
        <v>Angelina</v>
      </c>
      <c r="F1017" s="26"/>
      <c r="G1017" s="10"/>
      <c r="H1017" s="28"/>
      <c r="I1017" s="2"/>
      <c r="K1017" s="2"/>
      <c r="L1017" s="27">
        <v>1905</v>
      </c>
      <c r="M1017" s="27" t="s">
        <v>1967</v>
      </c>
      <c r="Q1017" s="27" t="s">
        <v>2566</v>
      </c>
    </row>
    <row r="1018" spans="1:20" s="27" customFormat="1" x14ac:dyDescent="0.25">
      <c r="A1018" s="27" t="s">
        <v>1378</v>
      </c>
      <c r="B1018" s="27" t="str">
        <f t="shared" si="85"/>
        <v>Texas</v>
      </c>
      <c r="C1018" s="27" t="str">
        <f t="shared" si="86"/>
        <v>Bastrop</v>
      </c>
      <c r="D1018" s="27">
        <v>218154</v>
      </c>
      <c r="E1018" s="27">
        <v>107</v>
      </c>
      <c r="F1018" s="26">
        <f>'TX pre'!G214</f>
        <v>79.99065420560747</v>
      </c>
      <c r="G1018" s="10">
        <v>4017</v>
      </c>
      <c r="H1018" s="28">
        <f>'TX pre'!J214</f>
        <v>48.524220119172796</v>
      </c>
      <c r="I1018" s="12">
        <v>21365.94</v>
      </c>
      <c r="J1018" s="27">
        <v>98</v>
      </c>
      <c r="K1018" s="2">
        <v>15895.35</v>
      </c>
      <c r="L1018" s="27">
        <v>1905</v>
      </c>
      <c r="M1018" s="27" t="s">
        <v>1967</v>
      </c>
      <c r="Q1018" s="27" t="str">
        <f>Q1017</f>
        <v>https://babel.hathitrust.org/cgi/pt?id=uc1.b3014083;view=1up;seq=217</v>
      </c>
    </row>
    <row r="1019" spans="1:20" s="27" customFormat="1" x14ac:dyDescent="0.25">
      <c r="A1019" s="27" t="s">
        <v>1398</v>
      </c>
      <c r="B1019" s="27" t="str">
        <f t="shared" si="85"/>
        <v>Texas</v>
      </c>
      <c r="C1019" s="27" t="str">
        <f t="shared" si="86"/>
        <v>Cameron</v>
      </c>
      <c r="D1019" s="27">
        <v>190768</v>
      </c>
      <c r="E1019" s="27">
        <v>51</v>
      </c>
      <c r="F1019" s="26">
        <f>'TX pre'!G215</f>
        <v>166.27450980392157</v>
      </c>
      <c r="G1019" s="10">
        <v>1433</v>
      </c>
      <c r="H1019" s="28">
        <f>'TX pre'!J215</f>
        <v>41.674528301886795</v>
      </c>
      <c r="I1019" s="12">
        <v>18870</v>
      </c>
      <c r="J1019" s="27">
        <v>58</v>
      </c>
      <c r="K1019" s="2">
        <v>325</v>
      </c>
      <c r="L1019" s="27">
        <v>1905</v>
      </c>
      <c r="M1019" s="27" t="s">
        <v>1967</v>
      </c>
      <c r="Q1019" s="27" t="str">
        <f t="shared" ref="Q1019:Q1042" si="94">Q1018</f>
        <v>https://babel.hathitrust.org/cgi/pt?id=uc1.b3014083;view=1up;seq=217</v>
      </c>
    </row>
    <row r="1020" spans="1:20" s="27" customFormat="1" x14ac:dyDescent="0.25">
      <c r="A1020" s="27" t="s">
        <v>1399</v>
      </c>
      <c r="B1020" s="27" t="str">
        <f t="shared" si="85"/>
        <v>Texas</v>
      </c>
      <c r="C1020" s="27" t="str">
        <f t="shared" si="86"/>
        <v>Camp</v>
      </c>
      <c r="D1020" s="27">
        <v>116061</v>
      </c>
      <c r="E1020" s="27">
        <v>45</v>
      </c>
      <c r="F1020" s="26">
        <f>'TX pre'!G216</f>
        <v>84.37777777777778</v>
      </c>
      <c r="G1020" s="10">
        <v>2272</v>
      </c>
      <c r="H1020" s="28">
        <f>'TX pre'!J216</f>
        <v>54.403476428759539</v>
      </c>
      <c r="I1020" s="12">
        <v>10628.5</v>
      </c>
      <c r="J1020" s="27">
        <v>39</v>
      </c>
      <c r="K1020" s="2">
        <v>10210</v>
      </c>
      <c r="L1020" s="27">
        <v>1905</v>
      </c>
      <c r="M1020" s="27" t="s">
        <v>1967</v>
      </c>
      <c r="Q1020" s="27" t="str">
        <f t="shared" si="94"/>
        <v>https://babel.hathitrust.org/cgi/pt?id=uc1.b3014083;view=1up;seq=217</v>
      </c>
    </row>
    <row r="1021" spans="1:20" s="27" customFormat="1" x14ac:dyDescent="0.25">
      <c r="A1021" s="27" t="s">
        <v>1966</v>
      </c>
      <c r="B1021" s="27" t="str">
        <f t="shared" si="85"/>
        <v>Texas</v>
      </c>
      <c r="C1021" s="27" t="str">
        <f t="shared" si="86"/>
        <v>Dewitt</v>
      </c>
      <c r="D1021" s="27">
        <v>224971</v>
      </c>
      <c r="E1021" s="27">
        <v>73</v>
      </c>
      <c r="F1021" s="26">
        <f>'TX pre'!G217</f>
        <v>124.71232876712328</v>
      </c>
      <c r="G1021" s="10">
        <v>2874</v>
      </c>
      <c r="H1021" s="28">
        <f>'TX pre'!J217</f>
        <v>44.90217486818981</v>
      </c>
      <c r="I1021" s="12">
        <v>21066.78</v>
      </c>
      <c r="J1021" s="27">
        <v>63</v>
      </c>
      <c r="K1021" s="2">
        <v>19792</v>
      </c>
      <c r="L1021" s="27">
        <v>1905</v>
      </c>
      <c r="M1021" s="27" t="s">
        <v>1967</v>
      </c>
      <c r="Q1021" s="27" t="str">
        <f t="shared" si="94"/>
        <v>https://babel.hathitrust.org/cgi/pt?id=uc1.b3014083;view=1up;seq=217</v>
      </c>
    </row>
    <row r="1022" spans="1:20" s="27" customFormat="1" x14ac:dyDescent="0.25">
      <c r="A1022" s="27" t="s">
        <v>1431</v>
      </c>
      <c r="B1022" s="27" t="str">
        <f t="shared" si="85"/>
        <v>Texas</v>
      </c>
      <c r="C1022" s="27" t="str">
        <f t="shared" si="86"/>
        <v>Duval</v>
      </c>
      <c r="D1022" s="27">
        <v>118163</v>
      </c>
      <c r="E1022" s="27">
        <v>26</v>
      </c>
      <c r="F1022" s="26">
        <f>'TX pre'!G218</f>
        <v>104.65384615384616</v>
      </c>
      <c r="G1022" s="10">
        <v>1072</v>
      </c>
      <c r="H1022" s="28">
        <f>'TX pre'!J218</f>
        <v>68.109151047409028</v>
      </c>
      <c r="I1022" s="12">
        <v>10183.129999999999</v>
      </c>
      <c r="J1022" s="27">
        <v>12</v>
      </c>
      <c r="K1022" s="2">
        <v>15990</v>
      </c>
      <c r="L1022" s="27">
        <v>1905</v>
      </c>
      <c r="M1022" s="27" t="s">
        <v>1967</v>
      </c>
      <c r="Q1022" s="27" t="str">
        <f t="shared" si="94"/>
        <v>https://babel.hathitrust.org/cgi/pt?id=uc1.b3014083;view=1up;seq=217</v>
      </c>
    </row>
    <row r="1023" spans="1:20" s="27" customFormat="1" x14ac:dyDescent="0.25">
      <c r="A1023" s="27" t="s">
        <v>1440</v>
      </c>
      <c r="B1023" s="27" t="str">
        <f t="shared" si="85"/>
        <v>Texas</v>
      </c>
      <c r="C1023" s="27" t="str">
        <f t="shared" si="86"/>
        <v>Fayette</v>
      </c>
      <c r="D1023" s="27">
        <v>456158</v>
      </c>
      <c r="E1023" s="27">
        <v>148</v>
      </c>
      <c r="F1023" s="26">
        <f>'TX pre'!G219</f>
        <v>97.229729729729726</v>
      </c>
      <c r="G1023" s="10">
        <v>6097</v>
      </c>
      <c r="H1023" s="28">
        <f>'TX pre'!J219</f>
        <v>55.597081306462826</v>
      </c>
      <c r="I1023" s="12">
        <v>41202.1</v>
      </c>
      <c r="J1023" s="27">
        <v>132</v>
      </c>
      <c r="K1023" s="2">
        <v>56328</v>
      </c>
      <c r="L1023" s="27">
        <v>1905</v>
      </c>
      <c r="M1023" s="27" t="s">
        <v>1967</v>
      </c>
      <c r="Q1023" s="27" t="str">
        <f t="shared" si="94"/>
        <v>https://babel.hathitrust.org/cgi/pt?id=uc1.b3014083;view=1up;seq=217</v>
      </c>
    </row>
    <row r="1024" spans="1:20" s="27" customFormat="1" x14ac:dyDescent="0.25">
      <c r="A1024" s="27" t="s">
        <v>1763</v>
      </c>
      <c r="B1024" s="27" t="str">
        <f t="shared" si="85"/>
        <v>Texas</v>
      </c>
      <c r="C1024" s="27" t="str">
        <f t="shared" si="86"/>
        <v>Freestone</v>
      </c>
      <c r="D1024" s="27">
        <v>218482</v>
      </c>
      <c r="E1024" s="27">
        <v>103</v>
      </c>
      <c r="F1024" s="26">
        <f>'TX pre'!G220</f>
        <v>88.495145631067956</v>
      </c>
      <c r="G1024" s="10">
        <v>3770</v>
      </c>
      <c r="H1024" s="28">
        <f>'TX pre'!J220</f>
        <v>42.908809654415798</v>
      </c>
      <c r="I1024" s="12">
        <v>20055.689999999999</v>
      </c>
      <c r="J1024" s="27">
        <v>104</v>
      </c>
      <c r="K1024" s="2">
        <v>19569</v>
      </c>
      <c r="L1024" s="27">
        <v>1905</v>
      </c>
      <c r="M1024" s="27" t="s">
        <v>1967</v>
      </c>
      <c r="Q1024" s="27" t="str">
        <f t="shared" si="94"/>
        <v>https://babel.hathitrust.org/cgi/pt?id=uc1.b3014083;view=1up;seq=217</v>
      </c>
    </row>
    <row r="1025" spans="1:17" s="27" customFormat="1" x14ac:dyDescent="0.25">
      <c r="A1025" s="27" t="s">
        <v>1476</v>
      </c>
      <c r="B1025" s="27" t="str">
        <f t="shared" si="85"/>
        <v>Texas</v>
      </c>
      <c r="C1025" s="27" t="str">
        <f t="shared" si="86"/>
        <v>Houston</v>
      </c>
      <c r="D1025" s="27">
        <v>389575</v>
      </c>
      <c r="E1025" s="27">
        <v>161</v>
      </c>
      <c r="F1025" s="26">
        <f>'TX pre'!G221</f>
        <v>92.881987577639748</v>
      </c>
      <c r="G1025" s="10">
        <v>6252</v>
      </c>
      <c r="H1025" s="28">
        <f>'TX pre'!J221</f>
        <v>47.505015380500197</v>
      </c>
      <c r="I1025" s="12">
        <v>36364.78</v>
      </c>
      <c r="J1025" s="27">
        <v>150</v>
      </c>
      <c r="K1025" s="2">
        <v>16121.5</v>
      </c>
      <c r="L1025" s="27">
        <v>1905</v>
      </c>
      <c r="M1025" s="27" t="s">
        <v>1967</v>
      </c>
      <c r="Q1025" s="27" t="str">
        <f t="shared" si="94"/>
        <v>https://babel.hathitrust.org/cgi/pt?id=uc1.b3014083;view=1up;seq=217</v>
      </c>
    </row>
    <row r="1026" spans="1:17" s="27" customFormat="1" x14ac:dyDescent="0.25">
      <c r="A1026" s="27" t="s">
        <v>1507</v>
      </c>
      <c r="B1026" s="27" t="str">
        <f t="shared" si="85"/>
        <v>Texas</v>
      </c>
      <c r="C1026" s="27" t="str">
        <f t="shared" si="86"/>
        <v>Lee</v>
      </c>
      <c r="D1026" s="27">
        <v>119495</v>
      </c>
      <c r="E1026" s="27">
        <v>61</v>
      </c>
      <c r="F1026" s="26">
        <f>'TX pre'!G222</f>
        <v>97.606557377049185</v>
      </c>
      <c r="G1026" s="10">
        <v>2077</v>
      </c>
      <c r="H1026" s="28">
        <f>'TX pre'!J222</f>
        <v>44.019079610345983</v>
      </c>
      <c r="I1026" s="12">
        <v>13524.48</v>
      </c>
      <c r="J1026" s="27">
        <v>58</v>
      </c>
      <c r="K1026" s="2">
        <v>10310</v>
      </c>
      <c r="L1026" s="27">
        <v>1905</v>
      </c>
      <c r="M1026" s="27" t="s">
        <v>1967</v>
      </c>
      <c r="Q1026" s="27" t="str">
        <f t="shared" si="94"/>
        <v>https://babel.hathitrust.org/cgi/pt?id=uc1.b3014083;view=1up;seq=217</v>
      </c>
    </row>
    <row r="1027" spans="1:17" s="27" customFormat="1" x14ac:dyDescent="0.25">
      <c r="A1027" s="27" t="s">
        <v>1510</v>
      </c>
      <c r="B1027" s="27" t="str">
        <f t="shared" si="85"/>
        <v>Texas</v>
      </c>
      <c r="C1027" s="27" t="str">
        <f t="shared" si="86"/>
        <v>Limestone</v>
      </c>
      <c r="D1027" s="27">
        <v>375419</v>
      </c>
      <c r="E1027" s="27">
        <v>126</v>
      </c>
      <c r="F1027" s="26">
        <f>'TX pre'!G223</f>
        <v>96.873015873015873</v>
      </c>
      <c r="G1027" s="10">
        <v>5783</v>
      </c>
      <c r="H1027" s="28">
        <f>'TX pre'!J223</f>
        <v>58.266721284614128</v>
      </c>
      <c r="I1027" s="12">
        <v>37708.07</v>
      </c>
      <c r="J1027" s="27">
        <v>103</v>
      </c>
      <c r="K1027" s="2">
        <v>40725</v>
      </c>
      <c r="L1027" s="27">
        <v>1905</v>
      </c>
      <c r="M1027" s="27" t="s">
        <v>1967</v>
      </c>
      <c r="Q1027" s="27" t="str">
        <f t="shared" si="94"/>
        <v>https://babel.hathitrust.org/cgi/pt?id=uc1.b3014083;view=1up;seq=217</v>
      </c>
    </row>
    <row r="1028" spans="1:17" s="27" customFormat="1" x14ac:dyDescent="0.25">
      <c r="A1028" s="27" t="s">
        <v>1524</v>
      </c>
      <c r="B1028" s="27" t="str">
        <f t="shared" si="85"/>
        <v>Texas</v>
      </c>
      <c r="C1028" s="27" t="str">
        <f t="shared" si="86"/>
        <v>Matagorda</v>
      </c>
      <c r="D1028" s="27">
        <v>72246</v>
      </c>
      <c r="E1028" s="27">
        <v>32</v>
      </c>
      <c r="F1028" s="26">
        <f>'TX pre'!G224</f>
        <v>98.0625</v>
      </c>
      <c r="G1028" s="10">
        <v>1156</v>
      </c>
      <c r="H1028" s="28">
        <f>'TX pre'!J224</f>
        <v>44.164372211599741</v>
      </c>
      <c r="I1028" s="12">
        <v>7229.39</v>
      </c>
      <c r="J1028" s="27">
        <v>31</v>
      </c>
      <c r="K1028" s="2">
        <v>2240</v>
      </c>
      <c r="L1028" s="27">
        <v>1905</v>
      </c>
      <c r="M1028" s="27" t="s">
        <v>1967</v>
      </c>
      <c r="Q1028" s="27" t="str">
        <f t="shared" si="94"/>
        <v>https://babel.hathitrust.org/cgi/pt?id=uc1.b3014083;view=1up;seq=217</v>
      </c>
    </row>
    <row r="1029" spans="1:17" s="27" customFormat="1" x14ac:dyDescent="0.25">
      <c r="A1029" s="27" t="s">
        <v>1533</v>
      </c>
      <c r="B1029" s="27" t="str">
        <f t="shared" si="85"/>
        <v>Texas</v>
      </c>
      <c r="C1029" s="27" t="str">
        <f t="shared" si="86"/>
        <v>Montgomery</v>
      </c>
      <c r="D1029" s="27">
        <v>162630</v>
      </c>
      <c r="E1029" s="27">
        <v>104</v>
      </c>
      <c r="F1029" s="26">
        <f>'TX pre'!G225</f>
        <v>72.182692307692307</v>
      </c>
      <c r="G1029" s="10">
        <v>3367</v>
      </c>
      <c r="H1029" s="28">
        <f>'TX pre'!J225</f>
        <v>40.536432662848007</v>
      </c>
      <c r="I1029" s="12">
        <v>15815.35</v>
      </c>
      <c r="J1029" s="27">
        <v>101</v>
      </c>
      <c r="K1029" s="2">
        <v>60</v>
      </c>
      <c r="L1029" s="27">
        <v>1905</v>
      </c>
      <c r="M1029" s="27" t="s">
        <v>1967</v>
      </c>
      <c r="Q1029" s="27" t="str">
        <f t="shared" si="94"/>
        <v>https://babel.hathitrust.org/cgi/pt?id=uc1.b3014083;view=1up;seq=217</v>
      </c>
    </row>
    <row r="1030" spans="1:17" s="27" customFormat="1" x14ac:dyDescent="0.25">
      <c r="A1030" s="27" t="s">
        <v>1535</v>
      </c>
      <c r="B1030" s="27" t="str">
        <f t="shared" si="85"/>
        <v>Texas</v>
      </c>
      <c r="C1030" s="27" t="str">
        <f t="shared" si="86"/>
        <v>Morris</v>
      </c>
      <c r="D1030" s="27">
        <v>95293</v>
      </c>
      <c r="E1030" s="27">
        <v>40</v>
      </c>
      <c r="F1030" s="26">
        <f>'TX pre'!G226</f>
        <v>88.6</v>
      </c>
      <c r="G1030" s="10">
        <v>1989</v>
      </c>
      <c r="H1030" s="28">
        <f>'TX pre'!J226</f>
        <v>50.162866817155766</v>
      </c>
      <c r="I1030" s="12">
        <v>9388.86</v>
      </c>
      <c r="J1030" s="27">
        <v>36</v>
      </c>
      <c r="K1030" s="2">
        <v>10488.5</v>
      </c>
      <c r="L1030" s="27">
        <v>1905</v>
      </c>
      <c r="M1030" s="27" t="s">
        <v>1967</v>
      </c>
      <c r="Q1030" s="27" t="str">
        <f t="shared" si="94"/>
        <v>https://babel.hathitrust.org/cgi/pt?id=uc1.b3014083;view=1up;seq=217</v>
      </c>
    </row>
    <row r="1031" spans="1:17" s="27" customFormat="1" x14ac:dyDescent="0.25">
      <c r="A1031" s="27" t="s">
        <v>1537</v>
      </c>
      <c r="B1031" s="27" t="str">
        <f t="shared" si="85"/>
        <v>Texas</v>
      </c>
      <c r="C1031" s="27" t="str">
        <f t="shared" si="86"/>
        <v>Nacogdoches</v>
      </c>
      <c r="D1031" s="27">
        <v>293496</v>
      </c>
      <c r="E1031" s="27">
        <v>118</v>
      </c>
      <c r="F1031" s="26">
        <f>'TX pre'!G227</f>
        <v>99.516949152542367</v>
      </c>
      <c r="G1031" s="10">
        <v>5597</v>
      </c>
      <c r="H1031" s="28">
        <f>'TX pre'!J227</f>
        <v>48.74423912117858</v>
      </c>
      <c r="I1031" s="12">
        <v>29820.18</v>
      </c>
      <c r="J1031" s="27">
        <v>112</v>
      </c>
      <c r="K1031" s="2">
        <v>18185</v>
      </c>
      <c r="L1031" s="27">
        <v>1905</v>
      </c>
      <c r="M1031" s="27" t="s">
        <v>1967</v>
      </c>
      <c r="Q1031" s="27" t="str">
        <f t="shared" si="94"/>
        <v>https://babel.hathitrust.org/cgi/pt?id=uc1.b3014083;view=1up;seq=217</v>
      </c>
    </row>
    <row r="1032" spans="1:17" s="27" customFormat="1" x14ac:dyDescent="0.25">
      <c r="A1032" s="27" t="s">
        <v>1546</v>
      </c>
      <c r="B1032" s="27" t="str">
        <f t="shared" si="85"/>
        <v>Texas</v>
      </c>
      <c r="C1032" s="27" t="str">
        <f t="shared" si="86"/>
        <v>Panola</v>
      </c>
      <c r="D1032" s="27">
        <v>283523</v>
      </c>
      <c r="E1032" s="27">
        <v>120</v>
      </c>
      <c r="F1032" s="26">
        <f>'TX pre'!G228</f>
        <v>171.82499999999999</v>
      </c>
      <c r="G1032" s="10">
        <v>5267</v>
      </c>
      <c r="H1032" s="28">
        <f>'TX pre'!J228</f>
        <v>24.717716669091615</v>
      </c>
      <c r="I1032" s="12">
        <v>26625.33</v>
      </c>
      <c r="J1032" s="27">
        <v>101</v>
      </c>
      <c r="K1032" s="2">
        <v>19744</v>
      </c>
      <c r="L1032" s="27">
        <v>1905</v>
      </c>
      <c r="M1032" s="27" t="s">
        <v>1967</v>
      </c>
      <c r="Q1032" s="27" t="str">
        <f t="shared" si="94"/>
        <v>https://babel.hathitrust.org/cgi/pt?id=uc1.b3014083;view=1up;seq=217</v>
      </c>
    </row>
    <row r="1033" spans="1:17" s="27" customFormat="1" x14ac:dyDescent="0.25">
      <c r="A1033" s="27" t="s">
        <v>1561</v>
      </c>
      <c r="B1033" s="27" t="str">
        <f t="shared" si="85"/>
        <v>Texas</v>
      </c>
      <c r="C1033" s="27" t="str">
        <f t="shared" si="86"/>
        <v>Robertson</v>
      </c>
      <c r="D1033" s="27">
        <v>271527</v>
      </c>
      <c r="E1033" s="27">
        <v>101</v>
      </c>
      <c r="F1033" s="26">
        <f>'TX pre'!G229</f>
        <v>101.43564356435644</v>
      </c>
      <c r="G1033" s="10">
        <v>4500</v>
      </c>
      <c r="H1033" s="28">
        <f>'TX pre'!J229</f>
        <v>45.905514885309906</v>
      </c>
      <c r="I1033" s="12">
        <v>25090.28</v>
      </c>
      <c r="J1033" s="27">
        <v>92</v>
      </c>
      <c r="K1033" s="2">
        <v>23274</v>
      </c>
      <c r="L1033" s="27">
        <v>1905</v>
      </c>
      <c r="M1033" s="27" t="s">
        <v>1967</v>
      </c>
      <c r="Q1033" s="27" t="str">
        <f t="shared" si="94"/>
        <v>https://babel.hathitrust.org/cgi/pt?id=uc1.b3014083;view=1up;seq=217</v>
      </c>
    </row>
    <row r="1034" spans="1:17" s="27" customFormat="1" x14ac:dyDescent="0.25">
      <c r="A1034" s="27" t="s">
        <v>1564</v>
      </c>
      <c r="B1034" s="27" t="str">
        <f t="shared" si="85"/>
        <v>Texas</v>
      </c>
      <c r="C1034" s="27" t="str">
        <f t="shared" si="86"/>
        <v>Rusk</v>
      </c>
      <c r="D1034" s="27">
        <v>407619</v>
      </c>
      <c r="E1034" s="27">
        <v>147</v>
      </c>
      <c r="F1034" s="26">
        <f>'TX pre'!G230</f>
        <v>101.9047619047619</v>
      </c>
      <c r="G1034" s="27">
        <v>6214</v>
      </c>
      <c r="H1034" s="28">
        <f>'TX pre'!J230</f>
        <v>44.905140186915887</v>
      </c>
      <c r="I1034" s="12">
        <v>34166.65</v>
      </c>
      <c r="J1034" s="27">
        <v>132</v>
      </c>
      <c r="K1034" s="2">
        <v>25350</v>
      </c>
      <c r="L1034" s="27">
        <v>1905</v>
      </c>
      <c r="M1034" s="27" t="s">
        <v>1967</v>
      </c>
      <c r="Q1034" s="27" t="str">
        <f t="shared" si="94"/>
        <v>https://babel.hathitrust.org/cgi/pt?id=uc1.b3014083;view=1up;seq=217</v>
      </c>
    </row>
    <row r="1035" spans="1:17" s="27" customFormat="1" x14ac:dyDescent="0.25">
      <c r="A1035" s="27" t="s">
        <v>1565</v>
      </c>
      <c r="B1035" s="27" t="str">
        <f t="shared" si="85"/>
        <v>Texas</v>
      </c>
      <c r="C1035" s="27" t="str">
        <f t="shared" si="86"/>
        <v>Sabine</v>
      </c>
      <c r="D1035" s="27">
        <v>115070</v>
      </c>
      <c r="E1035" s="27">
        <v>82</v>
      </c>
      <c r="F1035" s="26">
        <f>'TX pre'!G231</f>
        <v>54.585365853658537</v>
      </c>
      <c r="G1035" s="10">
        <v>2046</v>
      </c>
      <c r="H1035" s="28">
        <f>'TX pre'!J231</f>
        <v>42.907506702412867</v>
      </c>
      <c r="I1035" s="12">
        <v>9913.9500000000007</v>
      </c>
      <c r="J1035" s="27">
        <v>54</v>
      </c>
      <c r="K1035" s="2">
        <v>3760</v>
      </c>
      <c r="L1035" s="27">
        <v>1905</v>
      </c>
      <c r="M1035" s="27" t="s">
        <v>1967</v>
      </c>
      <c r="Q1035" s="27" t="str">
        <f t="shared" si="94"/>
        <v>https://babel.hathitrust.org/cgi/pt?id=uc1.b3014083;view=1up;seq=217</v>
      </c>
    </row>
    <row r="1036" spans="1:17" s="27" customFormat="1" x14ac:dyDescent="0.25">
      <c r="A1036" s="27" t="s">
        <v>1572</v>
      </c>
      <c r="B1036" s="27" t="str">
        <f t="shared" si="85"/>
        <v>Texas</v>
      </c>
      <c r="C1036" s="27" t="str">
        <f t="shared" si="86"/>
        <v>Shackelford</v>
      </c>
      <c r="D1036" s="27">
        <v>2303</v>
      </c>
      <c r="E1036" s="27">
        <v>11</v>
      </c>
      <c r="F1036" s="26">
        <f>'TX pre'!G232</f>
        <v>83.545454545454547</v>
      </c>
      <c r="G1036" s="10">
        <v>346</v>
      </c>
      <c r="H1036" s="28">
        <f>'TX pre'!J232</f>
        <v>82.607181719260055</v>
      </c>
      <c r="I1036" s="12">
        <v>3945.8</v>
      </c>
      <c r="J1036" s="27">
        <v>10</v>
      </c>
      <c r="K1036" s="2">
        <v>2625</v>
      </c>
      <c r="L1036" s="27">
        <v>1905</v>
      </c>
      <c r="M1036" s="27" t="s">
        <v>1967</v>
      </c>
      <c r="Q1036" s="27" t="str">
        <f t="shared" si="94"/>
        <v>https://babel.hathitrust.org/cgi/pt?id=uc1.b3014083;view=1up;seq=217</v>
      </c>
    </row>
    <row r="1037" spans="1:17" s="27" customFormat="1" x14ac:dyDescent="0.25">
      <c r="A1037" s="27" t="s">
        <v>1577</v>
      </c>
      <c r="B1037" s="27" t="str">
        <f t="shared" si="85"/>
        <v>Texas</v>
      </c>
      <c r="C1037" s="27" t="str">
        <f t="shared" si="86"/>
        <v>Starr</v>
      </c>
      <c r="D1037" s="27">
        <v>89735</v>
      </c>
      <c r="E1037" s="27">
        <v>33</v>
      </c>
      <c r="F1037" s="26">
        <f>'TX pre'!G233</f>
        <v>122.42424242424242</v>
      </c>
      <c r="G1037" s="10">
        <v>906</v>
      </c>
      <c r="H1037" s="28">
        <f>'TX pre'!J233</f>
        <v>71.476485148514854</v>
      </c>
      <c r="I1037" s="12">
        <v>15102.88</v>
      </c>
      <c r="J1037" s="27">
        <v>12</v>
      </c>
      <c r="K1037" s="2">
        <v>570</v>
      </c>
      <c r="L1037" s="27">
        <v>1905</v>
      </c>
      <c r="M1037" s="27" t="s">
        <v>1967</v>
      </c>
      <c r="Q1037" s="27" t="str">
        <f t="shared" si="94"/>
        <v>https://babel.hathitrust.org/cgi/pt?id=uc1.b3014083;view=1up;seq=217</v>
      </c>
    </row>
    <row r="1038" spans="1:17" s="27" customFormat="1" x14ac:dyDescent="0.25">
      <c r="A1038" s="27" t="s">
        <v>1590</v>
      </c>
      <c r="B1038" s="27" t="str">
        <f t="shared" si="85"/>
        <v>Texas</v>
      </c>
      <c r="C1038" s="27" t="str">
        <f t="shared" si="86"/>
        <v>Trinity</v>
      </c>
      <c r="D1038" s="27">
        <v>32835</v>
      </c>
      <c r="E1038" s="27">
        <v>52</v>
      </c>
      <c r="F1038" s="26">
        <f>'TX pre'!G234</f>
        <v>77.057692307692307</v>
      </c>
      <c r="G1038" s="10">
        <v>1881</v>
      </c>
      <c r="H1038" s="28">
        <f>'TX pre'!J234</f>
        <v>43.770351884202647</v>
      </c>
      <c r="I1038" s="12">
        <v>8782.42</v>
      </c>
      <c r="J1038" s="27">
        <v>49</v>
      </c>
      <c r="K1038" s="2">
        <v>1650</v>
      </c>
      <c r="L1038" s="27">
        <v>1905</v>
      </c>
      <c r="M1038" s="27" t="s">
        <v>1967</v>
      </c>
      <c r="Q1038" s="27" t="str">
        <f t="shared" si="94"/>
        <v>https://babel.hathitrust.org/cgi/pt?id=uc1.b3014083;view=1up;seq=217</v>
      </c>
    </row>
    <row r="1039" spans="1:17" s="27" customFormat="1" x14ac:dyDescent="0.25">
      <c r="A1039" s="27" t="s">
        <v>1595</v>
      </c>
      <c r="B1039" s="27" t="str">
        <f t="shared" si="85"/>
        <v>Texas</v>
      </c>
      <c r="C1039" s="27" t="str">
        <f t="shared" si="86"/>
        <v>Van Zandt</v>
      </c>
      <c r="D1039" s="27">
        <v>298022</v>
      </c>
      <c r="E1039" s="27">
        <v>105</v>
      </c>
      <c r="F1039" s="26">
        <f>'TX pre'!G235</f>
        <v>100.11428571428571</v>
      </c>
      <c r="G1039" s="10">
        <v>5760</v>
      </c>
      <c r="H1039" s="28">
        <f>'TX pre'!J235</f>
        <v>51.833885083713852</v>
      </c>
      <c r="I1039" s="12">
        <v>27793.29</v>
      </c>
      <c r="J1039" s="27">
        <v>90</v>
      </c>
      <c r="K1039" s="2">
        <v>30442.5</v>
      </c>
      <c r="L1039" s="27">
        <v>1905</v>
      </c>
      <c r="M1039" s="27" t="s">
        <v>1967</v>
      </c>
      <c r="Q1039" s="27" t="str">
        <f t="shared" si="94"/>
        <v>https://babel.hathitrust.org/cgi/pt?id=uc1.b3014083;view=1up;seq=217</v>
      </c>
    </row>
    <row r="1040" spans="1:17" s="27" customFormat="1" x14ac:dyDescent="0.25">
      <c r="A1040" s="27" t="s">
        <v>1600</v>
      </c>
      <c r="B1040" s="27" t="str">
        <f t="shared" si="85"/>
        <v>Texas</v>
      </c>
      <c r="C1040" s="27" t="str">
        <f t="shared" si="86"/>
        <v>Washington</v>
      </c>
      <c r="D1040" s="27">
        <v>505664</v>
      </c>
      <c r="E1040" s="27">
        <v>109</v>
      </c>
      <c r="F1040" s="26">
        <f>'TX pre'!G236</f>
        <v>150.41284403669724</v>
      </c>
      <c r="G1040" s="10">
        <v>5586</v>
      </c>
      <c r="H1040" s="28">
        <f>'TX pre'!J236</f>
        <v>52.278560536749012</v>
      </c>
      <c r="I1040" s="12">
        <v>43455.35</v>
      </c>
      <c r="K1040" s="2">
        <v>5316</v>
      </c>
      <c r="L1040" s="27">
        <v>1905</v>
      </c>
      <c r="M1040" s="27" t="s">
        <v>1967</v>
      </c>
      <c r="Q1040" s="27" t="str">
        <f t="shared" si="94"/>
        <v>https://babel.hathitrust.org/cgi/pt?id=uc1.b3014083;view=1up;seq=217</v>
      </c>
    </row>
    <row r="1041" spans="1:28" s="27" customFormat="1" x14ac:dyDescent="0.25">
      <c r="A1041" s="27" t="s">
        <v>1601</v>
      </c>
      <c r="B1041" s="27" t="str">
        <f t="shared" si="85"/>
        <v>Texas</v>
      </c>
      <c r="C1041" s="27" t="str">
        <f t="shared" si="86"/>
        <v>Webb</v>
      </c>
      <c r="D1041" s="27">
        <v>84533</v>
      </c>
      <c r="E1041" s="27">
        <v>26</v>
      </c>
      <c r="F1041" s="26">
        <f>'TX pre'!G237</f>
        <v>160</v>
      </c>
      <c r="G1041" s="10">
        <v>886</v>
      </c>
      <c r="H1041" s="28">
        <f>'TX pre'!J237</f>
        <v>53.269230769230766</v>
      </c>
      <c r="I1041" s="12">
        <v>14113.6</v>
      </c>
      <c r="J1041" s="27">
        <v>25</v>
      </c>
      <c r="K1041" s="2">
        <v>893</v>
      </c>
      <c r="L1041" s="27">
        <v>1905</v>
      </c>
      <c r="M1041" s="27" t="s">
        <v>1967</v>
      </c>
      <c r="Q1041" s="27" t="str">
        <f t="shared" si="94"/>
        <v>https://babel.hathitrust.org/cgi/pt?id=uc1.b3014083;view=1up;seq=217</v>
      </c>
    </row>
    <row r="1042" spans="1:28" s="27" customFormat="1" x14ac:dyDescent="0.25">
      <c r="A1042" s="27" t="s">
        <v>1602</v>
      </c>
      <c r="B1042" s="27" t="str">
        <f t="shared" si="85"/>
        <v>Texas</v>
      </c>
      <c r="C1042" s="27" t="str">
        <f t="shared" si="86"/>
        <v>Wharton</v>
      </c>
      <c r="D1042" s="27">
        <v>216858</v>
      </c>
      <c r="E1042" s="27">
        <v>81</v>
      </c>
      <c r="F1042" s="26">
        <f>'TX pre'!G238</f>
        <v>113.80246913580247</v>
      </c>
      <c r="G1042" s="10">
        <v>3162</v>
      </c>
      <c r="H1042" s="28">
        <f>'TX pre'!J238</f>
        <v>48.321284443480145</v>
      </c>
      <c r="I1042" s="12">
        <v>24526.93</v>
      </c>
      <c r="J1042" s="27">
        <v>65</v>
      </c>
      <c r="K1042" s="2">
        <v>20157</v>
      </c>
      <c r="L1042" s="27">
        <v>1905</v>
      </c>
      <c r="M1042" s="27" t="s">
        <v>1967</v>
      </c>
      <c r="Q1042" s="27" t="str">
        <f t="shared" si="94"/>
        <v>https://babel.hathitrust.org/cgi/pt?id=uc1.b3014083;view=1up;seq=217</v>
      </c>
    </row>
    <row r="1043" spans="1:28" s="27" customFormat="1" x14ac:dyDescent="0.25">
      <c r="G1043" s="10"/>
      <c r="I1043" s="2"/>
      <c r="K1043" s="2"/>
    </row>
    <row r="1044" spans="1:28" x14ac:dyDescent="0.25">
      <c r="A1044" s="27" t="s">
        <v>1367</v>
      </c>
      <c r="B1044" s="27" t="str">
        <f t="shared" ref="B1044:B1052" si="95">LEFT(A1044,FIND(";",A1044)-1)</f>
        <v/>
      </c>
      <c r="C1044" s="27" t="str">
        <f t="shared" ref="C1044:C1052" si="96">MID(A1044,FIND(";",A1044)+1,100)</f>
        <v/>
      </c>
      <c r="E1044" s="27"/>
    </row>
    <row r="1045" spans="1:28" x14ac:dyDescent="0.25">
      <c r="A1045" s="27" t="s">
        <v>1766</v>
      </c>
      <c r="B1045" s="27" t="str">
        <f t="shared" si="95"/>
        <v>Virginia</v>
      </c>
      <c r="C1045" s="27" t="str">
        <f t="shared" si="96"/>
        <v>Accomack</v>
      </c>
      <c r="D1045" s="2">
        <v>8681</v>
      </c>
      <c r="E1045" s="2">
        <f>'VA pre'!I2</f>
        <v>150</v>
      </c>
      <c r="F1045">
        <v>130</v>
      </c>
      <c r="G1045" s="2">
        <v>6679</v>
      </c>
      <c r="H1045" s="28">
        <f>'VA pre'!P2</f>
        <v>27.274733333333334</v>
      </c>
      <c r="I1045" s="2">
        <v>35062.080000000002</v>
      </c>
      <c r="J1045" s="17">
        <v>94</v>
      </c>
      <c r="K1045" s="27">
        <v>20000</v>
      </c>
      <c r="L1045" s="17">
        <v>1905</v>
      </c>
      <c r="M1045" t="s">
        <v>538</v>
      </c>
      <c r="N1045" s="1" t="s">
        <v>539</v>
      </c>
      <c r="O1045" s="17" t="s">
        <v>540</v>
      </c>
      <c r="P1045" t="s">
        <v>541</v>
      </c>
      <c r="Q1045" t="s">
        <v>542</v>
      </c>
      <c r="R1045" s="1" t="s">
        <v>543</v>
      </c>
      <c r="S1045" s="1" t="s">
        <v>544</v>
      </c>
      <c r="T1045" s="1" t="s">
        <v>545</v>
      </c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27" t="s">
        <v>1616</v>
      </c>
      <c r="B1046" s="27" t="str">
        <f t="shared" si="95"/>
        <v>Virginia</v>
      </c>
      <c r="C1046" s="27" t="str">
        <f t="shared" si="96"/>
        <v>Albemarle</v>
      </c>
      <c r="D1046" s="27">
        <v>3048</v>
      </c>
      <c r="E1046" s="2">
        <f>'VA pre'!I3</f>
        <v>149</v>
      </c>
      <c r="F1046">
        <v>118</v>
      </c>
      <c r="G1046" s="17">
        <v>5019</v>
      </c>
      <c r="H1046" s="28">
        <f>'VA pre'!P3</f>
        <v>28.24503355704698</v>
      </c>
      <c r="I1046" s="2">
        <v>29041.46</v>
      </c>
      <c r="J1046" s="17">
        <v>139</v>
      </c>
      <c r="K1046" s="27">
        <v>38485</v>
      </c>
      <c r="L1046" s="27">
        <v>1905</v>
      </c>
      <c r="M1046" s="27" t="s">
        <v>538</v>
      </c>
      <c r="N1046" s="1" t="s">
        <v>539</v>
      </c>
      <c r="O1046" s="27" t="s">
        <v>540</v>
      </c>
      <c r="P1046" s="27" t="s">
        <v>541</v>
      </c>
      <c r="Q1046" s="27" t="s">
        <v>542</v>
      </c>
      <c r="R1046" s="1" t="s">
        <v>543</v>
      </c>
      <c r="S1046" s="1" t="s">
        <v>544</v>
      </c>
      <c r="T1046" s="1" t="s">
        <v>545</v>
      </c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27" t="s">
        <v>1767</v>
      </c>
      <c r="B1047" s="27" t="str">
        <f t="shared" si="95"/>
        <v>Virginia</v>
      </c>
      <c r="C1047" s="27" t="str">
        <f t="shared" si="96"/>
        <v>Alexandria City</v>
      </c>
      <c r="D1047" s="2">
        <v>1480</v>
      </c>
      <c r="E1047" s="2">
        <f>'VA pre'!I4</f>
        <v>33</v>
      </c>
      <c r="F1047">
        <v>197</v>
      </c>
      <c r="G1047" s="2">
        <v>1861</v>
      </c>
      <c r="H1047" s="28">
        <f>'VA pre'!P4</f>
        <v>54.911818181818177</v>
      </c>
      <c r="I1047" s="2">
        <v>23596.31</v>
      </c>
      <c r="J1047" s="17">
        <v>5</v>
      </c>
      <c r="K1047" s="27">
        <v>35000</v>
      </c>
      <c r="L1047" s="27">
        <v>1905</v>
      </c>
      <c r="M1047" s="27" t="s">
        <v>538</v>
      </c>
      <c r="N1047" s="1" t="s">
        <v>539</v>
      </c>
      <c r="O1047" s="27" t="s">
        <v>540</v>
      </c>
      <c r="P1047" s="27" t="s">
        <v>541</v>
      </c>
      <c r="Q1047" s="27" t="s">
        <v>542</v>
      </c>
      <c r="R1047" s="1" t="s">
        <v>543</v>
      </c>
      <c r="S1047" s="1" t="s">
        <v>544</v>
      </c>
      <c r="T1047" s="1" t="s">
        <v>545</v>
      </c>
      <c r="U1047" s="4"/>
      <c r="V1047" s="4"/>
      <c r="W1047" s="4"/>
      <c r="X1047" s="4"/>
      <c r="Y1047" s="4"/>
      <c r="Z1047" s="4"/>
      <c r="AA1047" s="4"/>
      <c r="AB1047" s="4"/>
    </row>
    <row r="1048" spans="1:28" s="27" customFormat="1" x14ac:dyDescent="0.25">
      <c r="A1048" s="27" t="s">
        <v>1793</v>
      </c>
      <c r="B1048" s="27" t="str">
        <f t="shared" si="95"/>
        <v>Virginia</v>
      </c>
      <c r="C1048" s="27" t="str">
        <f t="shared" si="96"/>
        <v>Arlington/Alexandria</v>
      </c>
      <c r="D1048" s="27">
        <v>506</v>
      </c>
      <c r="E1048" s="2">
        <f>'VA pre'!I5</f>
        <v>20</v>
      </c>
      <c r="F1048" s="27">
        <v>162</v>
      </c>
      <c r="G1048" s="17">
        <v>949</v>
      </c>
      <c r="H1048" s="28">
        <f>'VA pre'!P5</f>
        <v>35.763999999999996</v>
      </c>
      <c r="I1048" s="2">
        <v>21762.3</v>
      </c>
      <c r="J1048" s="27">
        <v>13</v>
      </c>
      <c r="K1048" s="27">
        <v>44200</v>
      </c>
      <c r="L1048" s="27">
        <v>1905</v>
      </c>
      <c r="M1048" s="27" t="s">
        <v>538</v>
      </c>
      <c r="N1048" s="1" t="s">
        <v>539</v>
      </c>
      <c r="O1048" s="27" t="s">
        <v>540</v>
      </c>
      <c r="P1048" s="27" t="s">
        <v>541</v>
      </c>
      <c r="Q1048" s="27" t="s">
        <v>542</v>
      </c>
      <c r="R1048" s="1" t="s">
        <v>543</v>
      </c>
      <c r="S1048" s="1" t="s">
        <v>544</v>
      </c>
      <c r="T1048" s="1" t="s">
        <v>545</v>
      </c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27" t="s">
        <v>1617</v>
      </c>
      <c r="B1049" s="27" t="str">
        <f t="shared" si="95"/>
        <v>Virginia</v>
      </c>
      <c r="C1049" s="27" t="str">
        <f t="shared" si="96"/>
        <v>Alleghany</v>
      </c>
      <c r="D1049" s="2">
        <v>1689</v>
      </c>
      <c r="E1049" s="2">
        <f>'VA pre'!I6</f>
        <v>60</v>
      </c>
      <c r="F1049">
        <v>131</v>
      </c>
      <c r="G1049" s="2">
        <v>2647</v>
      </c>
      <c r="H1049" s="28">
        <f>'VA pre'!P6</f>
        <v>33.091166666666666</v>
      </c>
      <c r="I1049" s="2">
        <v>14724.26</v>
      </c>
      <c r="J1049" s="17">
        <v>55</v>
      </c>
      <c r="K1049" s="27">
        <v>33700</v>
      </c>
      <c r="L1049" s="27">
        <v>1905</v>
      </c>
      <c r="M1049" s="27" t="s">
        <v>538</v>
      </c>
      <c r="N1049" s="1" t="s">
        <v>539</v>
      </c>
      <c r="O1049" s="27" t="s">
        <v>540</v>
      </c>
      <c r="P1049" s="27" t="s">
        <v>541</v>
      </c>
      <c r="Q1049" s="27" t="s">
        <v>542</v>
      </c>
      <c r="R1049" s="1" t="s">
        <v>543</v>
      </c>
      <c r="S1049" s="1" t="s">
        <v>544</v>
      </c>
      <c r="T1049" s="1" t="s">
        <v>545</v>
      </c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27" t="s">
        <v>1618</v>
      </c>
      <c r="B1050" s="27" t="str">
        <f t="shared" si="95"/>
        <v>Virginia</v>
      </c>
      <c r="C1050" s="27" t="str">
        <f t="shared" si="96"/>
        <v>Amelia</v>
      </c>
      <c r="D1050" s="27">
        <v>960</v>
      </c>
      <c r="E1050" s="2">
        <f>'VA pre'!I7</f>
        <v>47</v>
      </c>
      <c r="F1050">
        <v>126</v>
      </c>
      <c r="G1050" s="2">
        <v>1700</v>
      </c>
      <c r="H1050" s="28">
        <f>'VA pre'!P7</f>
        <v>26.674468085106383</v>
      </c>
      <c r="I1050" s="2">
        <v>8431.92</v>
      </c>
      <c r="J1050" s="17">
        <v>44</v>
      </c>
      <c r="K1050" s="27">
        <v>4844.5</v>
      </c>
      <c r="L1050" s="27">
        <v>1905</v>
      </c>
      <c r="M1050" s="27" t="s">
        <v>538</v>
      </c>
      <c r="N1050" s="1" t="s">
        <v>539</v>
      </c>
      <c r="O1050" s="27" t="s">
        <v>540</v>
      </c>
      <c r="P1050" s="27" t="s">
        <v>541</v>
      </c>
      <c r="Q1050" s="27" t="s">
        <v>542</v>
      </c>
      <c r="R1050" s="1" t="s">
        <v>543</v>
      </c>
      <c r="S1050" s="1" t="s">
        <v>544</v>
      </c>
      <c r="T1050" s="1" t="s">
        <v>545</v>
      </c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27" t="s">
        <v>1619</v>
      </c>
      <c r="B1051" s="27" t="str">
        <f t="shared" si="95"/>
        <v>Virginia</v>
      </c>
      <c r="C1051" s="27" t="str">
        <f t="shared" si="96"/>
        <v>Amherst</v>
      </c>
      <c r="D1051" s="2">
        <v>1957</v>
      </c>
      <c r="E1051" s="2">
        <f>'VA pre'!I8</f>
        <v>112</v>
      </c>
      <c r="F1051">
        <v>109</v>
      </c>
      <c r="G1051" s="17">
        <v>3569</v>
      </c>
      <c r="H1051" s="28">
        <f>'VA pre'!P8</f>
        <v>24.182678571428571</v>
      </c>
      <c r="I1051" s="2">
        <v>15353.51</v>
      </c>
      <c r="J1051" s="17">
        <v>108</v>
      </c>
      <c r="K1051" s="27">
        <v>18600</v>
      </c>
      <c r="L1051" s="27">
        <v>1905</v>
      </c>
      <c r="M1051" s="27" t="s">
        <v>538</v>
      </c>
      <c r="N1051" s="1" t="s">
        <v>539</v>
      </c>
      <c r="O1051" s="27" t="s">
        <v>540</v>
      </c>
      <c r="P1051" s="27" t="s">
        <v>541</v>
      </c>
      <c r="Q1051" s="27" t="s">
        <v>542</v>
      </c>
      <c r="R1051" s="1" t="s">
        <v>543</v>
      </c>
      <c r="S1051" s="1" t="s">
        <v>544</v>
      </c>
      <c r="T1051" s="1" t="s">
        <v>545</v>
      </c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27" t="s">
        <v>1620</v>
      </c>
      <c r="B1052" s="27" t="str">
        <f t="shared" si="95"/>
        <v>Virginia</v>
      </c>
      <c r="C1052" s="27" t="str">
        <f t="shared" si="96"/>
        <v>Appomattox</v>
      </c>
      <c r="D1052" s="27">
        <v>822</v>
      </c>
      <c r="E1052" s="2">
        <f>'VA pre'!I9</f>
        <v>45</v>
      </c>
      <c r="F1052">
        <v>101</v>
      </c>
      <c r="G1052" s="2">
        <v>1656</v>
      </c>
      <c r="H1052" s="28">
        <f>'VA pre'!P9</f>
        <v>28.110444444444447</v>
      </c>
      <c r="I1052" s="2">
        <v>7942.32</v>
      </c>
      <c r="J1052" s="17">
        <v>53</v>
      </c>
      <c r="K1052" s="27">
        <v>5850</v>
      </c>
      <c r="L1052" s="27">
        <v>1905</v>
      </c>
      <c r="M1052" s="27" t="s">
        <v>538</v>
      </c>
      <c r="N1052" s="1" t="s">
        <v>539</v>
      </c>
      <c r="O1052" s="27" t="s">
        <v>540</v>
      </c>
      <c r="P1052" s="27" t="s">
        <v>541</v>
      </c>
      <c r="Q1052" s="27" t="s">
        <v>542</v>
      </c>
      <c r="R1052" s="1" t="s">
        <v>543</v>
      </c>
      <c r="S1052" s="1" t="s">
        <v>544</v>
      </c>
      <c r="T1052" s="1" t="s">
        <v>545</v>
      </c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27" t="s">
        <v>1621</v>
      </c>
      <c r="B1053" s="27" t="str">
        <f t="shared" ref="B1053:B1116" si="97">LEFT(A1053,FIND(";",A1053)-1)</f>
        <v>Virginia</v>
      </c>
      <c r="C1053" s="27" t="str">
        <f t="shared" ref="C1053:C1116" si="98">MID(A1053,FIND(";",A1053)+1,100)</f>
        <v>Augusta</v>
      </c>
      <c r="D1053" s="2">
        <v>4496</v>
      </c>
      <c r="E1053" s="2">
        <f>'VA pre'!I10</f>
        <v>225</v>
      </c>
      <c r="F1053">
        <v>109</v>
      </c>
      <c r="G1053" s="17">
        <v>6823</v>
      </c>
      <c r="H1053" s="28">
        <f>'VA pre'!P10</f>
        <v>29.040844444444442</v>
      </c>
      <c r="I1053" s="2">
        <v>39934.160000000003</v>
      </c>
      <c r="J1053" s="17">
        <v>185</v>
      </c>
      <c r="K1053" s="27">
        <v>96100</v>
      </c>
      <c r="L1053" s="27">
        <v>1905</v>
      </c>
      <c r="M1053" s="27" t="s">
        <v>538</v>
      </c>
      <c r="N1053" s="1" t="s">
        <v>539</v>
      </c>
      <c r="O1053" s="27" t="s">
        <v>540</v>
      </c>
      <c r="P1053" s="27" t="s">
        <v>541</v>
      </c>
      <c r="Q1053" s="27" t="s">
        <v>542</v>
      </c>
      <c r="R1053" s="1" t="s">
        <v>543</v>
      </c>
      <c r="S1053" s="1" t="s">
        <v>544</v>
      </c>
      <c r="T1053" s="1" t="s">
        <v>545</v>
      </c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27" t="s">
        <v>1622</v>
      </c>
      <c r="B1054" s="27" t="str">
        <f t="shared" si="97"/>
        <v>Virginia</v>
      </c>
      <c r="C1054" s="27" t="str">
        <f t="shared" si="98"/>
        <v>Bath</v>
      </c>
      <c r="D1054" s="27">
        <v>673</v>
      </c>
      <c r="E1054" s="2">
        <f>'VA pre'!I11</f>
        <v>40</v>
      </c>
      <c r="F1054">
        <v>108</v>
      </c>
      <c r="G1054" s="2">
        <v>1199</v>
      </c>
      <c r="H1054" s="28">
        <f>'VA pre'!P11</f>
        <v>32.006999999999998</v>
      </c>
      <c r="I1054" s="2">
        <v>9589.5300000000007</v>
      </c>
      <c r="J1054" s="17">
        <v>40</v>
      </c>
      <c r="K1054" s="27">
        <v>17899</v>
      </c>
      <c r="L1054" s="27">
        <v>1905</v>
      </c>
      <c r="M1054" s="27" t="s">
        <v>538</v>
      </c>
      <c r="N1054" s="1" t="s">
        <v>539</v>
      </c>
      <c r="O1054" s="27" t="s">
        <v>540</v>
      </c>
      <c r="P1054" s="27" t="s">
        <v>541</v>
      </c>
      <c r="Q1054" s="27" t="s">
        <v>542</v>
      </c>
      <c r="R1054" s="1" t="s">
        <v>543</v>
      </c>
      <c r="S1054" s="1" t="s">
        <v>544</v>
      </c>
      <c r="T1054" s="1" t="s">
        <v>545</v>
      </c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27" t="s">
        <v>1623</v>
      </c>
      <c r="B1055" s="27" t="str">
        <f t="shared" si="97"/>
        <v>Virginia</v>
      </c>
      <c r="C1055" s="27" t="str">
        <f t="shared" si="98"/>
        <v>Bedford</v>
      </c>
      <c r="D1055" s="2">
        <v>3731</v>
      </c>
      <c r="E1055" s="2">
        <f>'VA pre'!I12</f>
        <v>174</v>
      </c>
      <c r="F1055">
        <v>106</v>
      </c>
      <c r="G1055" s="2">
        <v>6477</v>
      </c>
      <c r="H1055" s="28">
        <f>'VA pre'!P12</f>
        <v>26.687183908045981</v>
      </c>
      <c r="I1055" s="2">
        <v>27314.13</v>
      </c>
      <c r="J1055" s="17">
        <v>149</v>
      </c>
      <c r="K1055" s="27">
        <v>51460</v>
      </c>
      <c r="L1055" s="27">
        <v>1905</v>
      </c>
      <c r="M1055" s="27" t="s">
        <v>538</v>
      </c>
      <c r="N1055" s="1" t="s">
        <v>539</v>
      </c>
      <c r="O1055" s="27" t="s">
        <v>540</v>
      </c>
      <c r="P1055" s="27" t="s">
        <v>541</v>
      </c>
      <c r="Q1055" s="27" t="s">
        <v>542</v>
      </c>
      <c r="R1055" s="1" t="s">
        <v>543</v>
      </c>
      <c r="S1055" s="1" t="s">
        <v>544</v>
      </c>
      <c r="T1055" s="1" t="s">
        <v>545</v>
      </c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27" t="s">
        <v>1624</v>
      </c>
      <c r="B1056" s="27" t="str">
        <f t="shared" si="97"/>
        <v>Virginia</v>
      </c>
      <c r="C1056" s="27" t="str">
        <f t="shared" si="98"/>
        <v>Bland</v>
      </c>
      <c r="D1056" s="27">
        <v>841</v>
      </c>
      <c r="E1056" s="2">
        <f>'VA pre'!I13</f>
        <v>41</v>
      </c>
      <c r="F1056">
        <v>89</v>
      </c>
      <c r="G1056" s="17">
        <v>1400</v>
      </c>
      <c r="H1056" s="28">
        <f>'VA pre'!P13</f>
        <v>22.989512195121954</v>
      </c>
      <c r="I1056" s="2">
        <v>5540.03</v>
      </c>
      <c r="J1056" s="17">
        <v>45</v>
      </c>
      <c r="K1056" s="27">
        <v>8600</v>
      </c>
      <c r="L1056" s="27">
        <v>1905</v>
      </c>
      <c r="M1056" s="27" t="s">
        <v>538</v>
      </c>
      <c r="N1056" s="1" t="s">
        <v>539</v>
      </c>
      <c r="O1056" s="27" t="s">
        <v>540</v>
      </c>
      <c r="P1056" s="27" t="s">
        <v>541</v>
      </c>
      <c r="Q1056" s="27" t="s">
        <v>542</v>
      </c>
      <c r="R1056" s="1" t="s">
        <v>543</v>
      </c>
      <c r="S1056" s="1" t="s">
        <v>544</v>
      </c>
      <c r="T1056" s="1" t="s">
        <v>545</v>
      </c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27" t="s">
        <v>1625</v>
      </c>
      <c r="B1057" s="27" t="str">
        <f t="shared" si="97"/>
        <v>Virginia</v>
      </c>
      <c r="C1057" s="27" t="str">
        <f t="shared" si="98"/>
        <v>Botetourt</v>
      </c>
      <c r="D1057" s="2">
        <v>2555</v>
      </c>
      <c r="E1057" s="2">
        <f>'VA pre'!I14</f>
        <v>111</v>
      </c>
      <c r="F1057">
        <v>111</v>
      </c>
      <c r="G1057" s="2">
        <v>3912</v>
      </c>
      <c r="H1057" s="28">
        <f>'VA pre'!P14</f>
        <v>27.855135135135136</v>
      </c>
      <c r="I1057" s="2">
        <v>23303.15</v>
      </c>
      <c r="J1057" s="17">
        <v>97</v>
      </c>
      <c r="K1057" s="27">
        <v>37449.74</v>
      </c>
      <c r="L1057" s="27">
        <v>1905</v>
      </c>
      <c r="M1057" s="27" t="s">
        <v>538</v>
      </c>
      <c r="N1057" s="1" t="s">
        <v>539</v>
      </c>
      <c r="O1057" s="27" t="s">
        <v>540</v>
      </c>
      <c r="P1057" s="27" t="s">
        <v>541</v>
      </c>
      <c r="Q1057" s="27" t="s">
        <v>542</v>
      </c>
      <c r="R1057" s="1" t="s">
        <v>543</v>
      </c>
      <c r="S1057" s="1" t="s">
        <v>544</v>
      </c>
      <c r="T1057" s="1" t="s">
        <v>545</v>
      </c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27" t="s">
        <v>1723</v>
      </c>
      <c r="B1058" s="27" t="str">
        <f t="shared" si="97"/>
        <v>Virginia</v>
      </c>
      <c r="C1058" s="27" t="str">
        <f t="shared" si="98"/>
        <v>Bristol</v>
      </c>
      <c r="D1058" s="27">
        <v>563</v>
      </c>
      <c r="E1058" s="2">
        <f>'VA pre'!I15</f>
        <v>15</v>
      </c>
      <c r="F1058">
        <v>176</v>
      </c>
      <c r="G1058" s="17">
        <v>912</v>
      </c>
      <c r="H1058" s="28">
        <f>'VA pre'!P15</f>
        <v>46.230000000000004</v>
      </c>
      <c r="I1058" s="2">
        <v>8014.84</v>
      </c>
      <c r="J1058" s="17">
        <v>3</v>
      </c>
      <c r="K1058" s="27">
        <v>36000</v>
      </c>
      <c r="L1058" s="27">
        <v>1905</v>
      </c>
      <c r="M1058" s="27" t="s">
        <v>538</v>
      </c>
      <c r="N1058" s="1" t="s">
        <v>539</v>
      </c>
      <c r="O1058" s="27" t="s">
        <v>540</v>
      </c>
      <c r="P1058" s="27" t="s">
        <v>541</v>
      </c>
      <c r="Q1058" s="27" t="s">
        <v>542</v>
      </c>
      <c r="R1058" s="1" t="s">
        <v>543</v>
      </c>
      <c r="S1058" s="1" t="s">
        <v>544</v>
      </c>
      <c r="T1058" s="1" t="s">
        <v>545</v>
      </c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27" t="s">
        <v>1626</v>
      </c>
      <c r="B1059" s="27" t="str">
        <f t="shared" si="97"/>
        <v>Virginia</v>
      </c>
      <c r="C1059" s="27" t="str">
        <f t="shared" si="98"/>
        <v>Brunswick</v>
      </c>
      <c r="D1059" s="2">
        <v>1584</v>
      </c>
      <c r="E1059" s="2">
        <f>'VA pre'!I16</f>
        <v>94</v>
      </c>
      <c r="F1059">
        <v>111</v>
      </c>
      <c r="G1059" s="2">
        <v>3355</v>
      </c>
      <c r="H1059" s="28">
        <f>'VA pre'!P16</f>
        <v>25.027553191489364</v>
      </c>
      <c r="I1059" s="2">
        <v>15905.6</v>
      </c>
      <c r="J1059" s="17">
        <v>90</v>
      </c>
      <c r="K1059" s="27">
        <v>6613.9</v>
      </c>
      <c r="L1059" s="27">
        <v>1905</v>
      </c>
      <c r="M1059" s="27" t="s">
        <v>538</v>
      </c>
      <c r="N1059" s="1" t="s">
        <v>539</v>
      </c>
      <c r="O1059" s="27" t="s">
        <v>540</v>
      </c>
      <c r="P1059" s="27" t="s">
        <v>541</v>
      </c>
      <c r="Q1059" s="27" t="s">
        <v>542</v>
      </c>
      <c r="R1059" s="1" t="s">
        <v>543</v>
      </c>
      <c r="S1059" s="1" t="s">
        <v>544</v>
      </c>
      <c r="T1059" s="1" t="s">
        <v>545</v>
      </c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27" t="s">
        <v>1627</v>
      </c>
      <c r="B1060" s="27" t="str">
        <f t="shared" si="97"/>
        <v>Virginia</v>
      </c>
      <c r="C1060" s="27" t="str">
        <f t="shared" si="98"/>
        <v>Buchanan</v>
      </c>
      <c r="D1060" s="2">
        <v>1300</v>
      </c>
      <c r="E1060" s="2">
        <f>'VA pre'!I17</f>
        <v>61</v>
      </c>
      <c r="F1060">
        <v>90</v>
      </c>
      <c r="G1060" s="2">
        <v>2627</v>
      </c>
      <c r="H1060" s="28">
        <f>'VA pre'!P17</f>
        <v>31.903770491803275</v>
      </c>
      <c r="I1060" s="2">
        <v>12571.63</v>
      </c>
      <c r="J1060" s="17">
        <v>59</v>
      </c>
      <c r="K1060" s="27">
        <v>13391.72</v>
      </c>
      <c r="L1060" s="27">
        <v>1905</v>
      </c>
      <c r="M1060" s="27" t="s">
        <v>538</v>
      </c>
      <c r="N1060" s="1" t="s">
        <v>539</v>
      </c>
      <c r="O1060" s="27" t="s">
        <v>540</v>
      </c>
      <c r="P1060" s="27" t="s">
        <v>541</v>
      </c>
      <c r="Q1060" s="27" t="s">
        <v>542</v>
      </c>
      <c r="R1060" s="1" t="s">
        <v>543</v>
      </c>
      <c r="S1060" s="1" t="s">
        <v>544</v>
      </c>
      <c r="T1060" s="1" t="s">
        <v>545</v>
      </c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27" t="s">
        <v>1628</v>
      </c>
      <c r="B1061" s="27" t="str">
        <f t="shared" si="97"/>
        <v>Virginia</v>
      </c>
      <c r="C1061" s="27" t="str">
        <f t="shared" si="98"/>
        <v>Buckingham</v>
      </c>
      <c r="D1061" s="2">
        <v>1353</v>
      </c>
      <c r="E1061" s="2">
        <f>'VA pre'!I18</f>
        <v>77</v>
      </c>
      <c r="F1061">
        <v>106</v>
      </c>
      <c r="G1061" s="2">
        <v>2483</v>
      </c>
      <c r="H1061" s="28">
        <f>'VA pre'!P18</f>
        <v>25.309870129870127</v>
      </c>
      <c r="I1061" s="2">
        <v>12984.39</v>
      </c>
      <c r="J1061" s="17">
        <v>71</v>
      </c>
      <c r="K1061" s="27">
        <v>7525</v>
      </c>
      <c r="L1061" s="27">
        <v>1905</v>
      </c>
      <c r="M1061" s="27" t="s">
        <v>538</v>
      </c>
      <c r="N1061" s="1" t="s">
        <v>539</v>
      </c>
      <c r="O1061" s="27" t="s">
        <v>540</v>
      </c>
      <c r="P1061" s="27" t="s">
        <v>541</v>
      </c>
      <c r="Q1061" s="27" t="s">
        <v>542</v>
      </c>
      <c r="R1061" s="1" t="s">
        <v>543</v>
      </c>
      <c r="S1061" s="1" t="s">
        <v>544</v>
      </c>
      <c r="T1061" s="1" t="s">
        <v>545</v>
      </c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27" t="s">
        <v>1794</v>
      </c>
      <c r="B1062" s="27" t="str">
        <f t="shared" si="97"/>
        <v>Virginia</v>
      </c>
      <c r="C1062" s="27" t="str">
        <f t="shared" si="98"/>
        <v>Buena Vista</v>
      </c>
      <c r="D1062" s="27">
        <v>261</v>
      </c>
      <c r="E1062" s="2">
        <f>'VA pre'!I19</f>
        <v>9</v>
      </c>
      <c r="F1062">
        <v>174</v>
      </c>
      <c r="G1062" s="17">
        <v>422</v>
      </c>
      <c r="H1062" s="28">
        <f>'VA pre'!P19</f>
        <v>33.333333333333336</v>
      </c>
      <c r="I1062" s="2">
        <v>3133.56</v>
      </c>
      <c r="J1062" s="17">
        <v>3</v>
      </c>
      <c r="K1062" s="27">
        <v>7945</v>
      </c>
      <c r="L1062" s="27">
        <v>1905</v>
      </c>
      <c r="M1062" s="27" t="s">
        <v>538</v>
      </c>
      <c r="N1062" s="1" t="s">
        <v>539</v>
      </c>
      <c r="O1062" s="27" t="s">
        <v>540</v>
      </c>
      <c r="P1062" s="27" t="s">
        <v>541</v>
      </c>
      <c r="Q1062" s="27" t="s">
        <v>542</v>
      </c>
      <c r="R1062" s="1" t="s">
        <v>543</v>
      </c>
      <c r="S1062" s="1" t="s">
        <v>544</v>
      </c>
      <c r="T1062" s="1" t="s">
        <v>545</v>
      </c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27" t="s">
        <v>1629</v>
      </c>
      <c r="B1063" s="27" t="str">
        <f t="shared" si="97"/>
        <v>Virginia</v>
      </c>
      <c r="C1063" s="27" t="str">
        <f t="shared" si="98"/>
        <v>Campbell</v>
      </c>
      <c r="D1063" s="2">
        <v>2430</v>
      </c>
      <c r="E1063" s="2">
        <f>'VA pre'!I20</f>
        <v>112</v>
      </c>
      <c r="F1063">
        <v>121</v>
      </c>
      <c r="G1063" s="2">
        <v>4490</v>
      </c>
      <c r="H1063" s="28">
        <f>'VA pre'!P20</f>
        <v>28.002053571428572</v>
      </c>
      <c r="I1063" s="2">
        <v>24221.25</v>
      </c>
      <c r="J1063" s="17">
        <v>98</v>
      </c>
      <c r="K1063" s="27">
        <v>35721</v>
      </c>
      <c r="L1063" s="27">
        <v>1905</v>
      </c>
      <c r="M1063" s="27" t="s">
        <v>538</v>
      </c>
      <c r="N1063" s="1" t="s">
        <v>539</v>
      </c>
      <c r="O1063" s="27" t="s">
        <v>540</v>
      </c>
      <c r="P1063" s="27" t="s">
        <v>541</v>
      </c>
      <c r="Q1063" s="27" t="s">
        <v>542</v>
      </c>
      <c r="R1063" s="1" t="s">
        <v>543</v>
      </c>
      <c r="S1063" s="1" t="s">
        <v>544</v>
      </c>
      <c r="T1063" s="1" t="s">
        <v>545</v>
      </c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27" t="s">
        <v>1630</v>
      </c>
      <c r="B1064" s="27" t="str">
        <f t="shared" si="97"/>
        <v>Virginia</v>
      </c>
      <c r="C1064" s="27" t="str">
        <f t="shared" si="98"/>
        <v>Caroline</v>
      </c>
      <c r="D1064" s="2">
        <v>1775</v>
      </c>
      <c r="E1064" s="2">
        <f>'VA pre'!I21</f>
        <v>80</v>
      </c>
      <c r="F1064">
        <v>128</v>
      </c>
      <c r="G1064" s="2">
        <v>3104</v>
      </c>
      <c r="H1064" s="28">
        <f>'VA pre'!P21</f>
        <v>23.107999999999997</v>
      </c>
      <c r="I1064" s="2">
        <v>13297.02</v>
      </c>
      <c r="J1064" s="17">
        <v>75</v>
      </c>
      <c r="K1064" s="27">
        <v>12300</v>
      </c>
      <c r="L1064" s="27">
        <v>1905</v>
      </c>
      <c r="M1064" s="27" t="s">
        <v>538</v>
      </c>
      <c r="N1064" s="1" t="s">
        <v>539</v>
      </c>
      <c r="O1064" s="27" t="s">
        <v>540</v>
      </c>
      <c r="P1064" s="27" t="s">
        <v>541</v>
      </c>
      <c r="Q1064" s="27" t="s">
        <v>542</v>
      </c>
      <c r="R1064" s="1" t="s">
        <v>543</v>
      </c>
      <c r="S1064" s="1" t="s">
        <v>544</v>
      </c>
      <c r="T1064" s="1" t="s">
        <v>545</v>
      </c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27" t="s">
        <v>1631</v>
      </c>
      <c r="B1065" s="27" t="str">
        <f t="shared" si="97"/>
        <v>Virginia</v>
      </c>
      <c r="C1065" s="27" t="str">
        <f t="shared" si="98"/>
        <v>Carroll</v>
      </c>
      <c r="D1065" s="2">
        <v>3052</v>
      </c>
      <c r="E1065" s="2">
        <f>'VA pre'!I22</f>
        <v>108</v>
      </c>
      <c r="F1065">
        <v>94</v>
      </c>
      <c r="G1065" s="2">
        <v>5473</v>
      </c>
      <c r="H1065" s="28">
        <f>'VA pre'!P22</f>
        <v>22.735185185185181</v>
      </c>
      <c r="I1065" s="2">
        <v>12633.95</v>
      </c>
      <c r="J1065" s="17">
        <v>108</v>
      </c>
      <c r="K1065" s="27">
        <v>10038</v>
      </c>
      <c r="L1065" s="27">
        <v>1905</v>
      </c>
      <c r="M1065" s="27" t="s">
        <v>538</v>
      </c>
      <c r="N1065" s="1" t="s">
        <v>539</v>
      </c>
      <c r="O1065" s="27" t="s">
        <v>540</v>
      </c>
      <c r="P1065" s="27" t="s">
        <v>541</v>
      </c>
      <c r="Q1065" s="27" t="s">
        <v>542</v>
      </c>
      <c r="R1065" s="1" t="s">
        <v>543</v>
      </c>
      <c r="S1065" s="1" t="s">
        <v>544</v>
      </c>
      <c r="T1065" s="1" t="s">
        <v>545</v>
      </c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27" t="s">
        <v>1632</v>
      </c>
      <c r="B1066" s="27" t="str">
        <f t="shared" si="97"/>
        <v>Virginia</v>
      </c>
      <c r="C1066" s="27" t="str">
        <f t="shared" si="98"/>
        <v>Charles City</v>
      </c>
      <c r="D1066" s="27">
        <v>455</v>
      </c>
      <c r="E1066" s="2">
        <f>'VA pre'!I23</f>
        <v>26</v>
      </c>
      <c r="F1066">
        <v>129</v>
      </c>
      <c r="G1066" s="17">
        <v>860</v>
      </c>
      <c r="H1066" s="28">
        <f>'VA pre'!P23</f>
        <v>25</v>
      </c>
      <c r="I1066" s="2">
        <v>4909.91</v>
      </c>
      <c r="J1066" s="17">
        <v>24</v>
      </c>
      <c r="K1066" s="27">
        <v>3400</v>
      </c>
      <c r="L1066" s="27">
        <v>1905</v>
      </c>
      <c r="M1066" s="27" t="s">
        <v>538</v>
      </c>
      <c r="N1066" s="1" t="s">
        <v>539</v>
      </c>
      <c r="O1066" s="27" t="s">
        <v>540</v>
      </c>
      <c r="P1066" s="27" t="s">
        <v>541</v>
      </c>
      <c r="Q1066" s="27" t="s">
        <v>542</v>
      </c>
      <c r="R1066" s="1" t="s">
        <v>543</v>
      </c>
      <c r="S1066" s="1" t="s">
        <v>544</v>
      </c>
      <c r="T1066" s="1" t="s">
        <v>545</v>
      </c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27" t="s">
        <v>1633</v>
      </c>
      <c r="B1067" s="27" t="str">
        <f t="shared" si="97"/>
        <v>Virginia</v>
      </c>
      <c r="C1067" s="27" t="str">
        <f t="shared" si="98"/>
        <v>Charlotte</v>
      </c>
      <c r="D1067" s="2">
        <v>1701</v>
      </c>
      <c r="E1067" s="2">
        <f>'VA pre'!I24</f>
        <v>88</v>
      </c>
      <c r="F1067">
        <v>105</v>
      </c>
      <c r="G1067" s="2">
        <v>3091</v>
      </c>
      <c r="H1067" s="28">
        <f>'VA pre'!P24</f>
        <v>24.021477272727271</v>
      </c>
      <c r="I1067" s="2">
        <v>9807.0499999999993</v>
      </c>
      <c r="J1067" s="17">
        <v>86</v>
      </c>
      <c r="K1067" s="27">
        <v>26515</v>
      </c>
      <c r="L1067" s="27">
        <v>1905</v>
      </c>
      <c r="M1067" s="27" t="s">
        <v>538</v>
      </c>
      <c r="N1067" s="1" t="s">
        <v>539</v>
      </c>
      <c r="O1067" s="27" t="s">
        <v>540</v>
      </c>
      <c r="P1067" s="27" t="s">
        <v>541</v>
      </c>
      <c r="Q1067" s="27" t="s">
        <v>542</v>
      </c>
      <c r="R1067" s="1" t="s">
        <v>543</v>
      </c>
      <c r="S1067" s="1" t="s">
        <v>544</v>
      </c>
      <c r="T1067" s="1" t="s">
        <v>545</v>
      </c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27" t="s">
        <v>1724</v>
      </c>
      <c r="B1068" s="27" t="str">
        <f t="shared" si="97"/>
        <v>Virginia</v>
      </c>
      <c r="C1068" s="27" t="str">
        <f t="shared" si="98"/>
        <v>Charlottesville</v>
      </c>
      <c r="D1068" s="2">
        <v>1353</v>
      </c>
      <c r="E1068" s="2">
        <f>'VA pre'!I25</f>
        <v>33</v>
      </c>
      <c r="F1068">
        <v>182</v>
      </c>
      <c r="G1068" s="2">
        <v>1719</v>
      </c>
      <c r="H1068" s="28">
        <f>'VA pre'!P25</f>
        <v>37.876363636363635</v>
      </c>
      <c r="I1068" s="2">
        <v>18915.61</v>
      </c>
      <c r="J1068" s="17">
        <v>3</v>
      </c>
      <c r="K1068" s="27">
        <v>60000</v>
      </c>
      <c r="L1068" s="27">
        <v>1905</v>
      </c>
      <c r="M1068" s="27" t="s">
        <v>538</v>
      </c>
      <c r="N1068" s="1" t="s">
        <v>539</v>
      </c>
      <c r="O1068" s="27" t="s">
        <v>540</v>
      </c>
      <c r="P1068" s="27" t="s">
        <v>541</v>
      </c>
      <c r="Q1068" s="27" t="s">
        <v>542</v>
      </c>
      <c r="R1068" s="1" t="s">
        <v>543</v>
      </c>
      <c r="S1068" s="1" t="s">
        <v>544</v>
      </c>
      <c r="T1068" s="1" t="s">
        <v>545</v>
      </c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27" t="s">
        <v>1634</v>
      </c>
      <c r="B1069" s="27" t="str">
        <f t="shared" si="97"/>
        <v>Virginia</v>
      </c>
      <c r="C1069" s="27" t="str">
        <f t="shared" si="98"/>
        <v>Chesterfield</v>
      </c>
      <c r="D1069" s="2">
        <v>1883</v>
      </c>
      <c r="E1069" s="2">
        <f>'VA pre'!I26</f>
        <v>89</v>
      </c>
      <c r="F1069">
        <v>132</v>
      </c>
      <c r="G1069" s="2">
        <v>3116</v>
      </c>
      <c r="H1069" s="28">
        <f>'VA pre'!P26</f>
        <v>27.898202247191012</v>
      </c>
      <c r="I1069" s="2">
        <v>21251.279999999999</v>
      </c>
      <c r="J1069" s="17">
        <v>77</v>
      </c>
      <c r="K1069" s="27">
        <v>29000</v>
      </c>
      <c r="L1069" s="27">
        <v>1905</v>
      </c>
      <c r="M1069" s="27" t="s">
        <v>538</v>
      </c>
      <c r="N1069" s="1" t="s">
        <v>539</v>
      </c>
      <c r="O1069" s="27" t="s">
        <v>540</v>
      </c>
      <c r="P1069" s="27" t="s">
        <v>541</v>
      </c>
      <c r="Q1069" s="27" t="s">
        <v>542</v>
      </c>
      <c r="R1069" s="1" t="s">
        <v>543</v>
      </c>
      <c r="S1069" s="1" t="s">
        <v>544</v>
      </c>
      <c r="T1069" s="1" t="s">
        <v>545</v>
      </c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27" t="s">
        <v>1635</v>
      </c>
      <c r="B1070" s="27" t="str">
        <f t="shared" si="97"/>
        <v>Virginia</v>
      </c>
      <c r="C1070" s="27" t="str">
        <f t="shared" si="98"/>
        <v>Clarke</v>
      </c>
      <c r="D1070">
        <v>746</v>
      </c>
      <c r="E1070" s="2">
        <f>'VA pre'!I27</f>
        <v>41</v>
      </c>
      <c r="F1070">
        <v>124</v>
      </c>
      <c r="G1070" s="2">
        <v>1381</v>
      </c>
      <c r="H1070" s="28">
        <f>'VA pre'!P27</f>
        <v>26.206097560975611</v>
      </c>
      <c r="I1070" s="2">
        <v>10437.1</v>
      </c>
      <c r="J1070" s="17">
        <v>34</v>
      </c>
      <c r="K1070" s="27">
        <v>24123</v>
      </c>
      <c r="L1070" s="27">
        <v>1905</v>
      </c>
      <c r="M1070" s="27" t="s">
        <v>538</v>
      </c>
      <c r="N1070" s="1" t="s">
        <v>539</v>
      </c>
      <c r="O1070" s="27" t="s">
        <v>540</v>
      </c>
      <c r="P1070" s="27" t="s">
        <v>541</v>
      </c>
      <c r="Q1070" s="27" t="s">
        <v>542</v>
      </c>
      <c r="R1070" s="1" t="s">
        <v>543</v>
      </c>
      <c r="S1070" s="1" t="s">
        <v>544</v>
      </c>
      <c r="T1070" s="1" t="s">
        <v>545</v>
      </c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27" t="s">
        <v>1636</v>
      </c>
      <c r="B1071" s="27" t="str">
        <f t="shared" si="97"/>
        <v>Virginia</v>
      </c>
      <c r="C1071" s="27" t="str">
        <f t="shared" si="98"/>
        <v>Craig</v>
      </c>
      <c r="D1071">
        <v>646</v>
      </c>
      <c r="E1071" s="2">
        <f>'VA pre'!I28</f>
        <v>32</v>
      </c>
      <c r="F1071">
        <v>92</v>
      </c>
      <c r="G1071" s="17">
        <v>980</v>
      </c>
      <c r="H1071" s="28">
        <f>'VA pre'!P28</f>
        <v>26.160937500000003</v>
      </c>
      <c r="I1071" s="2">
        <v>5165.37</v>
      </c>
      <c r="J1071" s="17">
        <v>32</v>
      </c>
      <c r="K1071" s="27">
        <v>10000</v>
      </c>
      <c r="L1071" s="27">
        <v>1905</v>
      </c>
      <c r="M1071" s="27" t="s">
        <v>538</v>
      </c>
      <c r="N1071" s="1" t="s">
        <v>539</v>
      </c>
      <c r="O1071" s="27" t="s">
        <v>540</v>
      </c>
      <c r="P1071" s="27" t="s">
        <v>541</v>
      </c>
      <c r="Q1071" s="27" t="s">
        <v>542</v>
      </c>
      <c r="R1071" s="1" t="s">
        <v>543</v>
      </c>
      <c r="S1071" s="1" t="s">
        <v>544</v>
      </c>
      <c r="T1071" s="1" t="s">
        <v>545</v>
      </c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27" t="s">
        <v>1637</v>
      </c>
      <c r="B1072" s="27" t="str">
        <f t="shared" si="97"/>
        <v>Virginia</v>
      </c>
      <c r="C1072" s="27" t="str">
        <f t="shared" si="98"/>
        <v>Culpeper</v>
      </c>
      <c r="D1072" s="2">
        <v>1486</v>
      </c>
      <c r="E1072" s="2">
        <f>'VA pre'!I29</f>
        <v>81</v>
      </c>
      <c r="F1072">
        <v>121</v>
      </c>
      <c r="G1072" s="2">
        <v>2559</v>
      </c>
      <c r="H1072" s="28">
        <f>'VA pre'!P29</f>
        <v>25.5241975308642</v>
      </c>
      <c r="I1072" s="2">
        <v>17232.04</v>
      </c>
      <c r="J1072" s="17">
        <v>69</v>
      </c>
      <c r="K1072" s="27">
        <v>31187.72</v>
      </c>
      <c r="L1072" s="27">
        <v>1905</v>
      </c>
      <c r="M1072" s="27" t="s">
        <v>538</v>
      </c>
      <c r="N1072" s="1" t="s">
        <v>539</v>
      </c>
      <c r="O1072" s="27" t="s">
        <v>540</v>
      </c>
      <c r="P1072" s="27" t="s">
        <v>541</v>
      </c>
      <c r="Q1072" s="27" t="s">
        <v>542</v>
      </c>
      <c r="R1072" s="1" t="s">
        <v>543</v>
      </c>
      <c r="S1072" s="1" t="s">
        <v>544</v>
      </c>
      <c r="T1072" s="1" t="s">
        <v>545</v>
      </c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27" t="s">
        <v>1638</v>
      </c>
      <c r="B1073" s="27" t="str">
        <f t="shared" si="97"/>
        <v>Virginia</v>
      </c>
      <c r="C1073" s="27" t="str">
        <f t="shared" si="98"/>
        <v>Cumberland</v>
      </c>
      <c r="D1073">
        <v>815</v>
      </c>
      <c r="E1073" s="2">
        <f>'VA pre'!I30</f>
        <v>41</v>
      </c>
      <c r="F1073">
        <v>120</v>
      </c>
      <c r="G1073" s="2">
        <v>1537</v>
      </c>
      <c r="H1073" s="28">
        <f>'VA pre'!P30</f>
        <v>23.827317073170732</v>
      </c>
      <c r="I1073" s="2">
        <v>7196.81</v>
      </c>
      <c r="J1073" s="17">
        <v>43</v>
      </c>
      <c r="K1073" s="27">
        <v>12600</v>
      </c>
      <c r="L1073" s="27">
        <v>1905</v>
      </c>
      <c r="M1073" s="27" t="s">
        <v>538</v>
      </c>
      <c r="N1073" s="1" t="s">
        <v>539</v>
      </c>
      <c r="O1073" s="27" t="s">
        <v>540</v>
      </c>
      <c r="P1073" s="27" t="s">
        <v>541</v>
      </c>
      <c r="Q1073" s="27" t="s">
        <v>542</v>
      </c>
      <c r="R1073" s="1" t="s">
        <v>543</v>
      </c>
      <c r="S1073" s="1" t="s">
        <v>544</v>
      </c>
      <c r="T1073" s="1" t="s">
        <v>545</v>
      </c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27" t="s">
        <v>1726</v>
      </c>
      <c r="B1074" s="27" t="str">
        <f t="shared" si="97"/>
        <v>Virginia</v>
      </c>
      <c r="C1074" s="27" t="str">
        <f t="shared" si="98"/>
        <v>Danville</v>
      </c>
      <c r="D1074" s="2">
        <v>1858</v>
      </c>
      <c r="E1074" s="2">
        <f>'VA pre'!I31</f>
        <v>56</v>
      </c>
      <c r="F1074">
        <v>176</v>
      </c>
      <c r="G1074" s="2">
        <v>2627</v>
      </c>
      <c r="H1074" s="28">
        <f>'VA pre'!P31</f>
        <v>42.651964285714293</v>
      </c>
      <c r="I1074" s="2">
        <v>24643.77</v>
      </c>
      <c r="J1074" s="17">
        <v>5</v>
      </c>
      <c r="K1074" s="27">
        <v>49000</v>
      </c>
      <c r="L1074" s="27">
        <v>1905</v>
      </c>
      <c r="M1074" s="27" t="s">
        <v>538</v>
      </c>
      <c r="N1074" s="1" t="s">
        <v>539</v>
      </c>
      <c r="O1074" s="27" t="s">
        <v>540</v>
      </c>
      <c r="P1074" s="27" t="s">
        <v>541</v>
      </c>
      <c r="Q1074" s="27" t="s">
        <v>542</v>
      </c>
      <c r="R1074" s="1" t="s">
        <v>543</v>
      </c>
      <c r="S1074" s="1" t="s">
        <v>544</v>
      </c>
      <c r="T1074" s="1" t="s">
        <v>545</v>
      </c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27" t="s">
        <v>1639</v>
      </c>
      <c r="B1075" s="27" t="str">
        <f t="shared" si="97"/>
        <v>Virginia</v>
      </c>
      <c r="C1075" s="27" t="str">
        <f t="shared" si="98"/>
        <v>Dickenson</v>
      </c>
      <c r="D1075" s="2">
        <v>1118</v>
      </c>
      <c r="E1075" s="2">
        <f>'VA pre'!I32</f>
        <v>35</v>
      </c>
      <c r="F1075">
        <v>92</v>
      </c>
      <c r="G1075" s="2">
        <v>238</v>
      </c>
      <c r="H1075" s="28">
        <f>'VA pre'!P32</f>
        <v>34.819999999999993</v>
      </c>
      <c r="I1075" s="2">
        <v>6222.94</v>
      </c>
      <c r="J1075" s="17">
        <v>49</v>
      </c>
      <c r="K1075" s="27">
        <v>15400</v>
      </c>
      <c r="L1075" s="27">
        <v>1905</v>
      </c>
      <c r="M1075" s="27" t="s">
        <v>538</v>
      </c>
      <c r="N1075" s="1" t="s">
        <v>539</v>
      </c>
      <c r="O1075" s="27" t="s">
        <v>540</v>
      </c>
      <c r="P1075" s="27" t="s">
        <v>541</v>
      </c>
      <c r="Q1075" s="27" t="s">
        <v>542</v>
      </c>
      <c r="R1075" s="1" t="s">
        <v>543</v>
      </c>
      <c r="S1075" s="1" t="s">
        <v>544</v>
      </c>
      <c r="T1075" s="1" t="s">
        <v>545</v>
      </c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27" t="s">
        <v>1640</v>
      </c>
      <c r="B1076" s="27" t="str">
        <f t="shared" si="97"/>
        <v>Virginia</v>
      </c>
      <c r="C1076" s="27" t="str">
        <f t="shared" si="98"/>
        <v>Dinwiddie</v>
      </c>
      <c r="D1076" s="2">
        <v>1330</v>
      </c>
      <c r="E1076" s="2">
        <f>'VA pre'!I33</f>
        <v>79</v>
      </c>
      <c r="F1076">
        <v>122</v>
      </c>
      <c r="G1076" s="2">
        <v>2501</v>
      </c>
      <c r="H1076" s="28">
        <f>'VA pre'!P33</f>
        <v>26.182278481012659</v>
      </c>
      <c r="I1076" s="2">
        <v>13724.14</v>
      </c>
      <c r="J1076" s="17">
        <v>81</v>
      </c>
      <c r="K1076" s="27">
        <v>8200</v>
      </c>
      <c r="L1076" s="27">
        <v>1905</v>
      </c>
      <c r="M1076" s="27" t="s">
        <v>538</v>
      </c>
      <c r="N1076" s="1" t="s">
        <v>539</v>
      </c>
      <c r="O1076" s="27" t="s">
        <v>540</v>
      </c>
      <c r="P1076" s="27" t="s">
        <v>541</v>
      </c>
      <c r="Q1076" s="27" t="s">
        <v>542</v>
      </c>
      <c r="R1076" s="1" t="s">
        <v>543</v>
      </c>
      <c r="S1076" s="1" t="s">
        <v>544</v>
      </c>
      <c r="T1076" s="1" t="s">
        <v>545</v>
      </c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27" t="s">
        <v>1641</v>
      </c>
      <c r="B1077" s="27" t="str">
        <f t="shared" si="97"/>
        <v>Virginia</v>
      </c>
      <c r="C1077" s="27" t="str">
        <f t="shared" si="98"/>
        <v>Elizabeth City</v>
      </c>
      <c r="D1077" s="2">
        <v>1918</v>
      </c>
      <c r="E1077" s="2">
        <f>'VA pre'!I34</f>
        <v>63</v>
      </c>
      <c r="F1077">
        <v>159</v>
      </c>
      <c r="G1077" s="2">
        <v>2759</v>
      </c>
      <c r="H1077" s="28">
        <f>'VA pre'!P34</f>
        <v>32.060476190476187</v>
      </c>
      <c r="I1077" s="2">
        <v>30028.76</v>
      </c>
      <c r="J1077" s="17">
        <v>20</v>
      </c>
      <c r="K1077" s="27">
        <v>50000</v>
      </c>
      <c r="L1077" s="27">
        <v>1905</v>
      </c>
      <c r="M1077" s="27" t="s">
        <v>538</v>
      </c>
      <c r="N1077" s="1" t="s">
        <v>539</v>
      </c>
      <c r="O1077" s="27" t="s">
        <v>540</v>
      </c>
      <c r="P1077" s="27" t="s">
        <v>541</v>
      </c>
      <c r="Q1077" s="27" t="s">
        <v>542</v>
      </c>
      <c r="R1077" s="1" t="s">
        <v>543</v>
      </c>
      <c r="S1077" s="1" t="s">
        <v>544</v>
      </c>
      <c r="T1077" s="1" t="s">
        <v>545</v>
      </c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27" t="s">
        <v>1642</v>
      </c>
      <c r="B1078" s="27" t="str">
        <f t="shared" si="97"/>
        <v>Virginia</v>
      </c>
      <c r="C1078" s="27" t="str">
        <f t="shared" si="98"/>
        <v>Essex</v>
      </c>
      <c r="D1078" s="2">
        <v>1004</v>
      </c>
      <c r="E1078" s="2">
        <f>'VA pre'!I35</f>
        <v>51</v>
      </c>
      <c r="F1078">
        <v>120</v>
      </c>
      <c r="G1078" s="2">
        <v>1867</v>
      </c>
      <c r="H1078" s="28">
        <f>'VA pre'!P35</f>
        <v>27.833529411764705</v>
      </c>
      <c r="I1078" s="2">
        <v>9841.06</v>
      </c>
      <c r="J1078" s="17">
        <v>49</v>
      </c>
      <c r="K1078" s="27">
        <v>7983.31</v>
      </c>
      <c r="L1078" s="27">
        <v>1905</v>
      </c>
      <c r="M1078" s="27" t="s">
        <v>538</v>
      </c>
      <c r="N1078" s="1" t="s">
        <v>539</v>
      </c>
      <c r="O1078" s="27" t="s">
        <v>540</v>
      </c>
      <c r="P1078" s="27" t="s">
        <v>541</v>
      </c>
      <c r="Q1078" s="27" t="s">
        <v>542</v>
      </c>
      <c r="R1078" s="1" t="s">
        <v>543</v>
      </c>
      <c r="S1078" s="1" t="s">
        <v>544</v>
      </c>
      <c r="T1078" s="1" t="s">
        <v>545</v>
      </c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27" t="s">
        <v>1643</v>
      </c>
      <c r="B1079" s="27" t="str">
        <f t="shared" si="97"/>
        <v>Virginia</v>
      </c>
      <c r="C1079" s="27" t="str">
        <f t="shared" si="98"/>
        <v>Fairfax</v>
      </c>
      <c r="D1079" s="2">
        <v>2168</v>
      </c>
      <c r="E1079" s="2">
        <f>'VA pre'!I36</f>
        <v>96</v>
      </c>
      <c r="F1079">
        <v>129</v>
      </c>
      <c r="G1079" s="17">
        <v>3703</v>
      </c>
      <c r="H1079" s="28">
        <f>'VA pre'!P36</f>
        <v>32.790416666666665</v>
      </c>
      <c r="I1079" s="2">
        <v>23816.67</v>
      </c>
      <c r="J1079" s="17">
        <v>97</v>
      </c>
      <c r="K1079" s="27">
        <v>63950</v>
      </c>
      <c r="L1079" s="27">
        <v>1905</v>
      </c>
      <c r="M1079" s="27" t="s">
        <v>538</v>
      </c>
      <c r="N1079" s="1" t="s">
        <v>539</v>
      </c>
      <c r="O1079" s="27" t="s">
        <v>540</v>
      </c>
      <c r="P1079" s="27" t="s">
        <v>541</v>
      </c>
      <c r="Q1079" s="27" t="s">
        <v>542</v>
      </c>
      <c r="R1079" s="1" t="s">
        <v>543</v>
      </c>
      <c r="S1079" s="1" t="s">
        <v>544</v>
      </c>
      <c r="T1079" s="1" t="s">
        <v>545</v>
      </c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27" t="s">
        <v>1644</v>
      </c>
      <c r="B1080" s="27" t="str">
        <f t="shared" si="97"/>
        <v>Virginia</v>
      </c>
      <c r="C1080" s="27" t="str">
        <f t="shared" si="98"/>
        <v>Fauquier</v>
      </c>
      <c r="D1080" s="2">
        <v>2252</v>
      </c>
      <c r="E1080" s="2">
        <f>'VA pre'!I37</f>
        <v>109</v>
      </c>
      <c r="F1080">
        <v>133</v>
      </c>
      <c r="G1080" s="2">
        <v>4143</v>
      </c>
      <c r="H1080" s="28">
        <f>'VA pre'!P37</f>
        <v>28.495229357798166</v>
      </c>
      <c r="I1080" s="2">
        <v>26225.81</v>
      </c>
      <c r="J1080" s="17">
        <v>107</v>
      </c>
      <c r="K1080" s="27">
        <v>39020</v>
      </c>
      <c r="L1080" s="27">
        <v>1905</v>
      </c>
      <c r="M1080" s="27" t="s">
        <v>538</v>
      </c>
      <c r="N1080" s="1" t="s">
        <v>539</v>
      </c>
      <c r="O1080" s="27" t="s">
        <v>540</v>
      </c>
      <c r="P1080" s="27" t="s">
        <v>541</v>
      </c>
      <c r="Q1080" s="27" t="s">
        <v>542</v>
      </c>
      <c r="R1080" s="1" t="s">
        <v>543</v>
      </c>
      <c r="S1080" s="1" t="s">
        <v>544</v>
      </c>
      <c r="T1080" s="1" t="s">
        <v>545</v>
      </c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27" t="s">
        <v>1645</v>
      </c>
      <c r="B1081" s="27" t="str">
        <f t="shared" si="97"/>
        <v>Virginia</v>
      </c>
      <c r="C1081" s="27" t="str">
        <f t="shared" si="98"/>
        <v>Floyd</v>
      </c>
      <c r="D1081" s="2">
        <v>2490</v>
      </c>
      <c r="E1081" s="2">
        <f>'VA pre'!I38</f>
        <v>103</v>
      </c>
      <c r="F1081">
        <v>96</v>
      </c>
      <c r="G1081" s="2">
        <v>4021</v>
      </c>
      <c r="H1081" s="28">
        <f>'VA pre'!P38</f>
        <v>22.918155339805821</v>
      </c>
      <c r="I1081" s="2">
        <v>12952.35</v>
      </c>
      <c r="J1081" s="17">
        <v>107</v>
      </c>
      <c r="K1081" s="27">
        <v>31000</v>
      </c>
      <c r="L1081" s="27">
        <v>1905</v>
      </c>
      <c r="M1081" s="27" t="s">
        <v>538</v>
      </c>
      <c r="N1081" s="1" t="s">
        <v>539</v>
      </c>
      <c r="O1081" s="27" t="s">
        <v>540</v>
      </c>
      <c r="P1081" s="27" t="s">
        <v>541</v>
      </c>
      <c r="Q1081" s="27" t="s">
        <v>542</v>
      </c>
      <c r="R1081" s="1" t="s">
        <v>543</v>
      </c>
      <c r="S1081" s="1" t="s">
        <v>544</v>
      </c>
      <c r="T1081" s="1" t="s">
        <v>545</v>
      </c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27" t="s">
        <v>1646</v>
      </c>
      <c r="B1082" s="27" t="str">
        <f t="shared" si="97"/>
        <v>Virginia</v>
      </c>
      <c r="C1082" s="27" t="str">
        <f t="shared" si="98"/>
        <v>Fluvanna</v>
      </c>
      <c r="D1082">
        <v>8481</v>
      </c>
      <c r="E1082" s="2">
        <f>'VA pre'!I39</f>
        <v>52</v>
      </c>
      <c r="F1082">
        <v>100</v>
      </c>
      <c r="G1082" s="2">
        <v>1434</v>
      </c>
      <c r="H1082" s="28">
        <f>'VA pre'!P39</f>
        <v>23.85153846153846</v>
      </c>
      <c r="I1082" s="2">
        <v>7342.65</v>
      </c>
      <c r="J1082" s="17">
        <v>49</v>
      </c>
      <c r="K1082" s="27">
        <v>4550</v>
      </c>
      <c r="L1082" s="27">
        <v>1905</v>
      </c>
      <c r="M1082" s="27" t="s">
        <v>538</v>
      </c>
      <c r="N1082" s="1" t="s">
        <v>539</v>
      </c>
      <c r="O1082" s="27" t="s">
        <v>540</v>
      </c>
      <c r="P1082" s="27" t="s">
        <v>541</v>
      </c>
      <c r="Q1082" s="27" t="s">
        <v>542</v>
      </c>
      <c r="R1082" s="1" t="s">
        <v>543</v>
      </c>
      <c r="S1082" s="1" t="s">
        <v>544</v>
      </c>
      <c r="T1082" s="1" t="s">
        <v>545</v>
      </c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27" t="s">
        <v>1647</v>
      </c>
      <c r="B1083" s="27" t="str">
        <f t="shared" si="97"/>
        <v>Virginia</v>
      </c>
      <c r="C1083" s="27" t="str">
        <f t="shared" si="98"/>
        <v>Franklin</v>
      </c>
      <c r="D1083" s="2">
        <v>3341</v>
      </c>
      <c r="E1083" s="2">
        <f>'VA pre'!I40</f>
        <v>168</v>
      </c>
      <c r="F1083">
        <v>100</v>
      </c>
      <c r="G1083" s="17">
        <v>6557</v>
      </c>
      <c r="H1083" s="28">
        <f>'VA pre'!P40</f>
        <v>21.427083333333332</v>
      </c>
      <c r="I1083" s="2">
        <v>20461.330000000002</v>
      </c>
      <c r="J1083" s="17">
        <v>171</v>
      </c>
      <c r="K1083" s="27">
        <v>17951.5</v>
      </c>
      <c r="L1083" s="27">
        <v>1905</v>
      </c>
      <c r="M1083" s="27" t="s">
        <v>538</v>
      </c>
      <c r="N1083" s="1" t="s">
        <v>539</v>
      </c>
      <c r="O1083" s="27" t="s">
        <v>540</v>
      </c>
      <c r="P1083" s="27" t="s">
        <v>541</v>
      </c>
      <c r="Q1083" s="27" t="s">
        <v>542</v>
      </c>
      <c r="R1083" s="1" t="s">
        <v>543</v>
      </c>
      <c r="S1083" s="1" t="s">
        <v>544</v>
      </c>
      <c r="T1083" s="1" t="s">
        <v>545</v>
      </c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27" t="s">
        <v>1648</v>
      </c>
      <c r="B1084" s="27" t="str">
        <f t="shared" si="97"/>
        <v>Virginia</v>
      </c>
      <c r="C1084" s="27" t="str">
        <f t="shared" si="98"/>
        <v>Frederick</v>
      </c>
      <c r="D1084" s="2">
        <v>1539</v>
      </c>
      <c r="E1084" s="2">
        <f>'VA pre'!I41</f>
        <v>83</v>
      </c>
      <c r="F1084">
        <v>110</v>
      </c>
      <c r="G1084" s="2">
        <v>2535</v>
      </c>
      <c r="H1084" s="28">
        <f>'VA pre'!P41</f>
        <v>26.479879518072288</v>
      </c>
      <c r="I1084" s="2">
        <v>15495.48</v>
      </c>
      <c r="J1084" s="17">
        <v>88</v>
      </c>
      <c r="K1084" s="27">
        <v>24000</v>
      </c>
      <c r="L1084" s="27">
        <v>1905</v>
      </c>
      <c r="M1084" s="27" t="s">
        <v>538</v>
      </c>
      <c r="N1084" s="1" t="s">
        <v>539</v>
      </c>
      <c r="O1084" s="27" t="s">
        <v>540</v>
      </c>
      <c r="P1084" s="27" t="s">
        <v>541</v>
      </c>
      <c r="Q1084" s="27" t="s">
        <v>542</v>
      </c>
      <c r="R1084" s="1" t="s">
        <v>543</v>
      </c>
      <c r="S1084" s="1" t="s">
        <v>544</v>
      </c>
      <c r="T1084" s="1" t="s">
        <v>545</v>
      </c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27" t="s">
        <v>1727</v>
      </c>
      <c r="B1085" s="27" t="str">
        <f t="shared" si="97"/>
        <v>Virginia</v>
      </c>
      <c r="C1085" s="27" t="str">
        <f t="shared" si="98"/>
        <v>Fredericksburg</v>
      </c>
      <c r="D1085">
        <v>563</v>
      </c>
      <c r="E1085" s="2">
        <f>'VA pre'!I42</f>
        <v>13</v>
      </c>
      <c r="F1085">
        <v>181</v>
      </c>
      <c r="G1085" s="17">
        <v>735</v>
      </c>
      <c r="H1085" s="28">
        <f>'VA pre'!P42</f>
        <v>31.226923076923075</v>
      </c>
      <c r="I1085" s="2">
        <v>5479.88</v>
      </c>
      <c r="J1085" s="17">
        <v>4</v>
      </c>
      <c r="K1085" s="27">
        <v>12575</v>
      </c>
      <c r="L1085" s="27">
        <v>1905</v>
      </c>
      <c r="M1085" s="27" t="s">
        <v>538</v>
      </c>
      <c r="N1085" s="1" t="s">
        <v>539</v>
      </c>
      <c r="O1085" s="27" t="s">
        <v>540</v>
      </c>
      <c r="P1085" s="27" t="s">
        <v>541</v>
      </c>
      <c r="Q1085" s="27" t="s">
        <v>542</v>
      </c>
      <c r="R1085" s="1" t="s">
        <v>543</v>
      </c>
      <c r="S1085" s="1" t="s">
        <v>544</v>
      </c>
      <c r="T1085" s="1" t="s">
        <v>545</v>
      </c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27" t="s">
        <v>1649</v>
      </c>
      <c r="B1086" s="27" t="str">
        <f t="shared" si="97"/>
        <v>Virginia</v>
      </c>
      <c r="C1086" s="27" t="str">
        <f t="shared" si="98"/>
        <v>Giles</v>
      </c>
      <c r="D1086" s="2">
        <v>1616</v>
      </c>
      <c r="E1086" s="2">
        <f>'VA pre'!I43</f>
        <v>71</v>
      </c>
      <c r="F1086">
        <v>112</v>
      </c>
      <c r="G1086" s="2">
        <v>2676</v>
      </c>
      <c r="H1086" s="28">
        <f>'VA pre'!P43</f>
        <v>29.457887323943659</v>
      </c>
      <c r="I1086" s="2">
        <v>13454.99</v>
      </c>
      <c r="J1086" s="17">
        <v>64</v>
      </c>
      <c r="K1086" s="27">
        <v>21825</v>
      </c>
      <c r="L1086" s="27">
        <v>1905</v>
      </c>
      <c r="M1086" s="27" t="s">
        <v>538</v>
      </c>
      <c r="N1086" s="1" t="s">
        <v>539</v>
      </c>
      <c r="O1086" s="27" t="s">
        <v>540</v>
      </c>
      <c r="P1086" s="27" t="s">
        <v>541</v>
      </c>
      <c r="Q1086" s="27" t="s">
        <v>542</v>
      </c>
      <c r="R1086" s="1" t="s">
        <v>543</v>
      </c>
      <c r="S1086" s="1" t="s">
        <v>544</v>
      </c>
      <c r="T1086" s="1" t="s">
        <v>545</v>
      </c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27" t="s">
        <v>1650</v>
      </c>
      <c r="B1087" s="27" t="str">
        <f t="shared" si="97"/>
        <v>Virginia</v>
      </c>
      <c r="C1087" s="27" t="str">
        <f t="shared" si="98"/>
        <v>Gloucester</v>
      </c>
      <c r="D1087" s="2">
        <v>1456</v>
      </c>
      <c r="E1087" s="2">
        <f>'VA pre'!I44</f>
        <v>61</v>
      </c>
      <c r="F1087">
        <v>111</v>
      </c>
      <c r="G1087" s="2">
        <v>2319</v>
      </c>
      <c r="H1087" s="28">
        <f>'VA pre'!P44</f>
        <v>25.038524590163934</v>
      </c>
      <c r="I1087" s="2">
        <v>10483.94</v>
      </c>
      <c r="J1087" s="17">
        <v>51</v>
      </c>
      <c r="K1087" s="27">
        <v>14926</v>
      </c>
      <c r="L1087" s="27">
        <v>1905</v>
      </c>
      <c r="M1087" s="27" t="s">
        <v>538</v>
      </c>
      <c r="N1087" s="1" t="s">
        <v>539</v>
      </c>
      <c r="O1087" s="27" t="s">
        <v>540</v>
      </c>
      <c r="P1087" s="27" t="s">
        <v>541</v>
      </c>
      <c r="Q1087" s="27" t="s">
        <v>542</v>
      </c>
      <c r="R1087" s="1" t="s">
        <v>543</v>
      </c>
      <c r="S1087" s="1" t="s">
        <v>544</v>
      </c>
      <c r="T1087" s="1" t="s">
        <v>545</v>
      </c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27" t="s">
        <v>1651</v>
      </c>
      <c r="B1088" s="27" t="str">
        <f t="shared" si="97"/>
        <v>Virginia</v>
      </c>
      <c r="C1088" s="27" t="str">
        <f t="shared" si="98"/>
        <v>Goochland</v>
      </c>
      <c r="D1088">
        <v>990</v>
      </c>
      <c r="E1088" s="2">
        <f>'VA pre'!I45</f>
        <v>65</v>
      </c>
      <c r="F1088">
        <v>108</v>
      </c>
      <c r="G1088" s="2">
        <v>1980</v>
      </c>
      <c r="H1088" s="28">
        <f>'VA pre'!P45</f>
        <v>22.373538461538462</v>
      </c>
      <c r="I1088" s="2">
        <v>10515.3</v>
      </c>
      <c r="J1088" s="17">
        <v>60</v>
      </c>
      <c r="K1088" s="27">
        <v>10511.75</v>
      </c>
      <c r="L1088" s="27">
        <v>1905</v>
      </c>
      <c r="M1088" s="27" t="s">
        <v>538</v>
      </c>
      <c r="N1088" s="1" t="s">
        <v>539</v>
      </c>
      <c r="O1088" s="27" t="s">
        <v>540</v>
      </c>
      <c r="P1088" s="27" t="s">
        <v>541</v>
      </c>
      <c r="Q1088" s="27" t="s">
        <v>542</v>
      </c>
      <c r="R1088" s="1" t="s">
        <v>543</v>
      </c>
      <c r="S1088" s="1" t="s">
        <v>544</v>
      </c>
      <c r="T1088" s="1" t="s">
        <v>545</v>
      </c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27" t="s">
        <v>1652</v>
      </c>
      <c r="B1089" s="27" t="str">
        <f t="shared" si="97"/>
        <v>Virginia</v>
      </c>
      <c r="C1089" s="27" t="str">
        <f t="shared" si="98"/>
        <v>Grayson</v>
      </c>
      <c r="D1089" s="2">
        <v>3014</v>
      </c>
      <c r="E1089" s="2">
        <f>'VA pre'!I46</f>
        <v>103</v>
      </c>
      <c r="F1089">
        <v>94</v>
      </c>
      <c r="G1089" s="2">
        <v>4923</v>
      </c>
      <c r="H1089" s="28">
        <f>'VA pre'!P46</f>
        <v>22.691553398058254</v>
      </c>
      <c r="I1089" s="2">
        <v>12239.56</v>
      </c>
      <c r="J1089" s="17">
        <v>103</v>
      </c>
      <c r="K1089" s="27">
        <v>26000</v>
      </c>
      <c r="L1089" s="27">
        <v>1905</v>
      </c>
      <c r="M1089" s="27" t="s">
        <v>538</v>
      </c>
      <c r="N1089" s="1" t="s">
        <v>539</v>
      </c>
      <c r="O1089" s="27" t="s">
        <v>540</v>
      </c>
      <c r="P1089" s="27" t="s">
        <v>541</v>
      </c>
      <c r="Q1089" s="27" t="s">
        <v>542</v>
      </c>
      <c r="R1089" s="1" t="s">
        <v>543</v>
      </c>
      <c r="S1089" s="1" t="s">
        <v>544</v>
      </c>
      <c r="T1089" s="1" t="s">
        <v>545</v>
      </c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27" t="s">
        <v>1653</v>
      </c>
      <c r="B1090" s="27" t="str">
        <f t="shared" si="97"/>
        <v>Virginia</v>
      </c>
      <c r="C1090" s="27" t="str">
        <f t="shared" si="98"/>
        <v>Greene</v>
      </c>
      <c r="D1090" s="2">
        <v>666</v>
      </c>
      <c r="E1090" s="2">
        <f>'VA pre'!I47</f>
        <v>34</v>
      </c>
      <c r="F1090">
        <v>100</v>
      </c>
      <c r="G1090" s="2">
        <v>1241</v>
      </c>
      <c r="H1090" s="28">
        <f>'VA pre'!P47</f>
        <v>23.080588235294119</v>
      </c>
      <c r="I1090" s="2">
        <v>5214.63</v>
      </c>
      <c r="J1090" s="17">
        <v>33</v>
      </c>
      <c r="K1090" s="27">
        <v>4775</v>
      </c>
      <c r="L1090" s="27">
        <v>1905</v>
      </c>
      <c r="M1090" s="27" t="s">
        <v>538</v>
      </c>
      <c r="N1090" s="1" t="s">
        <v>539</v>
      </c>
      <c r="O1090" s="27" t="s">
        <v>540</v>
      </c>
      <c r="P1090" s="27" t="s">
        <v>541</v>
      </c>
      <c r="Q1090" s="27" t="s">
        <v>542</v>
      </c>
      <c r="R1090" s="1" t="s">
        <v>543</v>
      </c>
      <c r="S1090" s="1" t="s">
        <v>544</v>
      </c>
      <c r="T1090" s="1" t="s">
        <v>545</v>
      </c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27" t="s">
        <v>1654</v>
      </c>
      <c r="B1091" s="27" t="str">
        <f t="shared" si="97"/>
        <v>Virginia</v>
      </c>
      <c r="C1091" s="27" t="str">
        <f t="shared" si="98"/>
        <v>Greensville</v>
      </c>
      <c r="D1091" s="2">
        <v>690</v>
      </c>
      <c r="E1091" s="2">
        <f>'VA pre'!I48</f>
        <v>38</v>
      </c>
      <c r="F1091">
        <v>120</v>
      </c>
      <c r="G1091" s="2">
        <v>1340</v>
      </c>
      <c r="H1091" s="28">
        <f>'VA pre'!P48</f>
        <v>28.551578947368423</v>
      </c>
      <c r="I1091" s="2">
        <v>9490.34</v>
      </c>
      <c r="J1091" s="17">
        <v>35</v>
      </c>
      <c r="K1091" s="27">
        <v>6138.66</v>
      </c>
      <c r="L1091" s="27">
        <v>1905</v>
      </c>
      <c r="M1091" s="27" t="s">
        <v>538</v>
      </c>
      <c r="N1091" s="1" t="s">
        <v>539</v>
      </c>
      <c r="O1091" s="27" t="s">
        <v>540</v>
      </c>
      <c r="P1091" s="27" t="s">
        <v>541</v>
      </c>
      <c r="Q1091" s="27" t="s">
        <v>542</v>
      </c>
      <c r="R1091" s="1" t="s">
        <v>543</v>
      </c>
      <c r="S1091" s="1" t="s">
        <v>544</v>
      </c>
      <c r="T1091" s="1" t="s">
        <v>545</v>
      </c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27" t="s">
        <v>1655</v>
      </c>
      <c r="B1092" s="27" t="str">
        <f t="shared" si="97"/>
        <v>Virginia</v>
      </c>
      <c r="C1092" s="27" t="str">
        <f t="shared" si="98"/>
        <v>Halifax</v>
      </c>
      <c r="D1092" s="2">
        <v>4315</v>
      </c>
      <c r="E1092" s="2">
        <f>'VA pre'!I49</f>
        <v>201</v>
      </c>
      <c r="F1092">
        <v>104</v>
      </c>
      <c r="G1092" s="2">
        <v>7228</v>
      </c>
      <c r="H1092" s="28">
        <f>'VA pre'!P49</f>
        <v>27.902288557213932</v>
      </c>
      <c r="I1092" s="2">
        <v>30654.18</v>
      </c>
      <c r="J1092" s="17">
        <v>169</v>
      </c>
      <c r="K1092" s="27">
        <v>37525</v>
      </c>
      <c r="L1092" s="27">
        <v>1905</v>
      </c>
      <c r="M1092" s="27" t="s">
        <v>538</v>
      </c>
      <c r="N1092" s="1" t="s">
        <v>539</v>
      </c>
      <c r="O1092" s="27" t="s">
        <v>540</v>
      </c>
      <c r="P1092" s="27" t="s">
        <v>541</v>
      </c>
      <c r="Q1092" s="27" t="s">
        <v>542</v>
      </c>
      <c r="R1092" s="1" t="s">
        <v>543</v>
      </c>
      <c r="S1092" s="1" t="s">
        <v>544</v>
      </c>
      <c r="T1092" s="1" t="s">
        <v>545</v>
      </c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27" t="s">
        <v>1656</v>
      </c>
      <c r="B1093" s="27" t="str">
        <f t="shared" si="97"/>
        <v>Virginia</v>
      </c>
      <c r="C1093" s="27" t="str">
        <f t="shared" si="98"/>
        <v>Hanover</v>
      </c>
      <c r="D1093" s="2">
        <v>1585</v>
      </c>
      <c r="E1093" s="2">
        <f>'VA pre'!I50</f>
        <v>89</v>
      </c>
      <c r="F1093">
        <v>120</v>
      </c>
      <c r="G1093" s="2">
        <v>2919</v>
      </c>
      <c r="H1093" s="28">
        <f>'VA pre'!P50</f>
        <v>24.850337078651688</v>
      </c>
      <c r="I1093" s="2">
        <v>15379.55</v>
      </c>
      <c r="J1093" s="17">
        <v>85</v>
      </c>
      <c r="K1093" s="27">
        <v>15850</v>
      </c>
      <c r="L1093" s="27">
        <v>1905</v>
      </c>
      <c r="M1093" s="27" t="s">
        <v>538</v>
      </c>
      <c r="N1093" s="1" t="s">
        <v>539</v>
      </c>
      <c r="O1093" s="27" t="s">
        <v>540</v>
      </c>
      <c r="P1093" s="27" t="s">
        <v>541</v>
      </c>
      <c r="Q1093" s="27" t="s">
        <v>542</v>
      </c>
      <c r="R1093" s="1" t="s">
        <v>543</v>
      </c>
      <c r="S1093" s="1" t="s">
        <v>544</v>
      </c>
      <c r="T1093" s="1" t="s">
        <v>545</v>
      </c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27" t="s">
        <v>1657</v>
      </c>
      <c r="B1094" s="27" t="str">
        <f t="shared" si="97"/>
        <v>Virginia</v>
      </c>
      <c r="C1094" s="27" t="str">
        <f t="shared" si="98"/>
        <v>Henrico</v>
      </c>
      <c r="D1094" s="2">
        <v>3422</v>
      </c>
      <c r="E1094" s="2">
        <f>'VA pre'!I51</f>
        <v>123</v>
      </c>
      <c r="F1094">
        <v>168</v>
      </c>
      <c r="G1094" s="2">
        <v>4961</v>
      </c>
      <c r="H1094" s="28">
        <f>'VA pre'!P51</f>
        <v>33.367560975609756</v>
      </c>
      <c r="I1094" s="2">
        <v>50023.71</v>
      </c>
      <c r="J1094" s="17">
        <v>71</v>
      </c>
      <c r="K1094" s="27">
        <v>67350</v>
      </c>
      <c r="L1094" s="27">
        <v>1905</v>
      </c>
      <c r="M1094" s="27" t="s">
        <v>538</v>
      </c>
      <c r="N1094" s="1" t="s">
        <v>539</v>
      </c>
      <c r="O1094" s="27" t="s">
        <v>540</v>
      </c>
      <c r="P1094" s="27" t="s">
        <v>541</v>
      </c>
      <c r="Q1094" s="27" t="s">
        <v>542</v>
      </c>
      <c r="R1094" s="1" t="s">
        <v>543</v>
      </c>
      <c r="S1094" s="1" t="s">
        <v>544</v>
      </c>
      <c r="T1094" s="1" t="s">
        <v>545</v>
      </c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27" t="s">
        <v>1658</v>
      </c>
      <c r="B1095" s="27" t="str">
        <f t="shared" si="97"/>
        <v>Virginia</v>
      </c>
      <c r="C1095" s="27" t="str">
        <f t="shared" si="98"/>
        <v>Henry</v>
      </c>
      <c r="D1095" s="2">
        <v>2899</v>
      </c>
      <c r="E1095" s="2">
        <f>'VA pre'!I52</f>
        <v>110</v>
      </c>
      <c r="F1095">
        <v>104</v>
      </c>
      <c r="G1095" s="2">
        <v>4347</v>
      </c>
      <c r="H1095" s="28">
        <f>'VA pre'!P52</f>
        <v>27.057181818181817</v>
      </c>
      <c r="I1095" s="2">
        <v>16481.150000000001</v>
      </c>
      <c r="J1095" s="17">
        <v>90</v>
      </c>
      <c r="K1095" s="27">
        <v>10585</v>
      </c>
      <c r="L1095" s="27">
        <v>1905</v>
      </c>
      <c r="M1095" s="27" t="s">
        <v>538</v>
      </c>
      <c r="N1095" s="1" t="s">
        <v>539</v>
      </c>
      <c r="O1095" s="27" t="s">
        <v>540</v>
      </c>
      <c r="P1095" s="27" t="s">
        <v>541</v>
      </c>
      <c r="Q1095" s="27" t="s">
        <v>542</v>
      </c>
      <c r="R1095" s="1" t="s">
        <v>543</v>
      </c>
      <c r="S1095" s="1" t="s">
        <v>544</v>
      </c>
      <c r="T1095" s="1" t="s">
        <v>545</v>
      </c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27" t="s">
        <v>1659</v>
      </c>
      <c r="B1096" s="27" t="str">
        <f t="shared" si="97"/>
        <v>Virginia</v>
      </c>
      <c r="C1096" s="27" t="str">
        <f t="shared" si="98"/>
        <v>Highland</v>
      </c>
      <c r="D1096" s="2">
        <v>955</v>
      </c>
      <c r="E1096" s="2">
        <f>'VA pre'!I53</f>
        <v>44</v>
      </c>
      <c r="F1096">
        <v>88</v>
      </c>
      <c r="G1096" s="2">
        <v>1235</v>
      </c>
      <c r="H1096" s="28">
        <f>'VA pre'!P53</f>
        <v>27.00272727272727</v>
      </c>
      <c r="I1096" s="2">
        <v>5544.28</v>
      </c>
      <c r="J1096" s="17">
        <v>51</v>
      </c>
      <c r="K1096" s="27">
        <v>20610</v>
      </c>
      <c r="L1096" s="27">
        <v>1905</v>
      </c>
      <c r="M1096" s="27" t="s">
        <v>538</v>
      </c>
      <c r="N1096" s="1" t="s">
        <v>539</v>
      </c>
      <c r="O1096" s="27" t="s">
        <v>540</v>
      </c>
      <c r="P1096" s="27" t="s">
        <v>541</v>
      </c>
      <c r="Q1096" s="27" t="s">
        <v>542</v>
      </c>
      <c r="R1096" s="1" t="s">
        <v>543</v>
      </c>
      <c r="S1096" s="1" t="s">
        <v>544</v>
      </c>
      <c r="T1096" s="1" t="s">
        <v>545</v>
      </c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27" t="s">
        <v>1768</v>
      </c>
      <c r="B1097" s="27" t="str">
        <f t="shared" si="97"/>
        <v>Virginia</v>
      </c>
      <c r="C1097" s="27" t="str">
        <f t="shared" si="98"/>
        <v>Isle Of Wight</v>
      </c>
      <c r="D1097" s="2">
        <v>1382</v>
      </c>
      <c r="E1097" s="2">
        <f>'VA pre'!I54</f>
        <v>69</v>
      </c>
      <c r="F1097">
        <v>124</v>
      </c>
      <c r="G1097" s="2">
        <v>2588</v>
      </c>
      <c r="H1097" s="28">
        <f>'VA pre'!P54</f>
        <v>26.713333333333335</v>
      </c>
      <c r="I1097" s="2">
        <v>11110.65</v>
      </c>
      <c r="J1097" s="17">
        <v>66</v>
      </c>
      <c r="K1097" s="27">
        <v>5985.04</v>
      </c>
      <c r="L1097" s="27">
        <v>1905</v>
      </c>
      <c r="M1097" s="27" t="s">
        <v>538</v>
      </c>
      <c r="N1097" s="1" t="s">
        <v>539</v>
      </c>
      <c r="O1097" s="27" t="s">
        <v>540</v>
      </c>
      <c r="P1097" s="27" t="s">
        <v>541</v>
      </c>
      <c r="Q1097" s="27" t="s">
        <v>542</v>
      </c>
      <c r="R1097" s="1" t="s">
        <v>543</v>
      </c>
      <c r="S1097" s="1" t="s">
        <v>544</v>
      </c>
      <c r="T1097" s="1" t="s">
        <v>545</v>
      </c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27" t="s">
        <v>1661</v>
      </c>
      <c r="B1098" s="27" t="str">
        <f t="shared" si="97"/>
        <v>Virginia</v>
      </c>
      <c r="C1098" s="27" t="str">
        <f t="shared" si="98"/>
        <v>James City</v>
      </c>
      <c r="D1098" s="2">
        <v>296</v>
      </c>
      <c r="E1098" s="2">
        <f>'VA pre'!I55</f>
        <v>18</v>
      </c>
      <c r="F1098">
        <v>115</v>
      </c>
      <c r="G1098" s="2">
        <v>545</v>
      </c>
      <c r="H1098" s="28">
        <f>'VA pre'!P55</f>
        <v>26.637777777777778</v>
      </c>
      <c r="I1098" s="2">
        <v>3968</v>
      </c>
      <c r="J1098" s="17">
        <v>21</v>
      </c>
      <c r="K1098" s="27">
        <v>3000</v>
      </c>
      <c r="L1098" s="27">
        <v>1905</v>
      </c>
      <c r="M1098" s="27" t="s">
        <v>538</v>
      </c>
      <c r="N1098" s="1" t="s">
        <v>539</v>
      </c>
      <c r="O1098" s="27" t="s">
        <v>540</v>
      </c>
      <c r="P1098" s="27" t="s">
        <v>541</v>
      </c>
      <c r="Q1098" s="27" t="s">
        <v>542</v>
      </c>
      <c r="R1098" s="1" t="s">
        <v>543</v>
      </c>
      <c r="S1098" s="1" t="s">
        <v>544</v>
      </c>
      <c r="T1098" s="1" t="s">
        <v>545</v>
      </c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27" t="s">
        <v>1769</v>
      </c>
      <c r="B1099" s="27" t="str">
        <f t="shared" si="97"/>
        <v>Virginia</v>
      </c>
      <c r="C1099" s="27" t="str">
        <f t="shared" si="98"/>
        <v>King And Queen</v>
      </c>
      <c r="D1099" s="2">
        <v>944</v>
      </c>
      <c r="E1099" s="2">
        <f>'VA pre'!I56</f>
        <v>50</v>
      </c>
      <c r="F1099">
        <v>109</v>
      </c>
      <c r="G1099" s="2">
        <v>1827</v>
      </c>
      <c r="H1099" s="28">
        <f>'VA pre'!P56</f>
        <v>23.0702</v>
      </c>
      <c r="I1099" s="2">
        <v>6511.32</v>
      </c>
      <c r="J1099" s="17">
        <v>50</v>
      </c>
      <c r="K1099" s="27">
        <v>9233.75</v>
      </c>
      <c r="L1099" s="27">
        <v>1905</v>
      </c>
      <c r="M1099" s="27" t="s">
        <v>538</v>
      </c>
      <c r="N1099" s="1" t="s">
        <v>539</v>
      </c>
      <c r="O1099" s="27" t="s">
        <v>540</v>
      </c>
      <c r="P1099" s="27" t="s">
        <v>541</v>
      </c>
      <c r="Q1099" s="27" t="s">
        <v>542</v>
      </c>
      <c r="R1099" s="1" t="s">
        <v>543</v>
      </c>
      <c r="S1099" s="1" t="s">
        <v>544</v>
      </c>
      <c r="T1099" s="1" t="s">
        <v>545</v>
      </c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27" t="s">
        <v>1663</v>
      </c>
      <c r="B1100" s="27" t="str">
        <f t="shared" si="97"/>
        <v>Virginia</v>
      </c>
      <c r="C1100" s="27" t="str">
        <f t="shared" si="98"/>
        <v>King George</v>
      </c>
      <c r="D1100" s="2">
        <v>675</v>
      </c>
      <c r="E1100" s="2">
        <f>'VA pre'!I57</f>
        <v>34</v>
      </c>
      <c r="F1100">
        <v>129</v>
      </c>
      <c r="G1100" s="2">
        <v>1413</v>
      </c>
      <c r="H1100" s="28">
        <f>'VA pre'!P57</f>
        <v>24.412352941176469</v>
      </c>
      <c r="I1100" s="2">
        <v>5939.19</v>
      </c>
      <c r="J1100" s="17">
        <v>33</v>
      </c>
      <c r="K1100" s="27">
        <v>5700</v>
      </c>
      <c r="L1100" s="27">
        <v>1905</v>
      </c>
      <c r="M1100" s="27" t="s">
        <v>538</v>
      </c>
      <c r="N1100" s="1" t="s">
        <v>539</v>
      </c>
      <c r="O1100" s="27" t="s">
        <v>540</v>
      </c>
      <c r="P1100" s="27" t="s">
        <v>541</v>
      </c>
      <c r="Q1100" s="27" t="s">
        <v>542</v>
      </c>
      <c r="R1100" s="1" t="s">
        <v>543</v>
      </c>
      <c r="S1100" s="1" t="s">
        <v>544</v>
      </c>
      <c r="T1100" s="1" t="s">
        <v>545</v>
      </c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27" t="s">
        <v>1664</v>
      </c>
      <c r="B1101" s="27" t="str">
        <f t="shared" si="97"/>
        <v>Virginia</v>
      </c>
      <c r="C1101" s="27" t="str">
        <f t="shared" si="98"/>
        <v>King William</v>
      </c>
      <c r="D1101" s="2">
        <v>899</v>
      </c>
      <c r="E1101" s="2">
        <f>'VA pre'!I58</f>
        <v>43</v>
      </c>
      <c r="F1101">
        <v>130</v>
      </c>
      <c r="G1101" s="2">
        <v>1645</v>
      </c>
      <c r="H1101" s="28">
        <f>'VA pre'!P58</f>
        <v>24.193720930232555</v>
      </c>
      <c r="I1101" s="2">
        <v>8470.7900000000009</v>
      </c>
      <c r="J1101" s="17">
        <v>40</v>
      </c>
      <c r="K1101" s="27">
        <v>9000</v>
      </c>
      <c r="L1101" s="27">
        <v>1905</v>
      </c>
      <c r="M1101" s="27" t="s">
        <v>538</v>
      </c>
      <c r="N1101" s="1" t="s">
        <v>539</v>
      </c>
      <c r="O1101" s="27" t="s">
        <v>540</v>
      </c>
      <c r="P1101" s="27" t="s">
        <v>541</v>
      </c>
      <c r="Q1101" s="27" t="s">
        <v>542</v>
      </c>
      <c r="R1101" s="1" t="s">
        <v>543</v>
      </c>
      <c r="S1101" s="1" t="s">
        <v>544</v>
      </c>
      <c r="T1101" s="1" t="s">
        <v>545</v>
      </c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27" t="s">
        <v>1665</v>
      </c>
      <c r="B1102" s="27" t="str">
        <f t="shared" si="97"/>
        <v>Virginia</v>
      </c>
      <c r="C1102" s="27" t="str">
        <f t="shared" si="98"/>
        <v>Lancaster</v>
      </c>
      <c r="D1102" s="2">
        <v>939</v>
      </c>
      <c r="E1102" s="2">
        <f>'VA pre'!I59</f>
        <v>42</v>
      </c>
      <c r="F1102">
        <v>120</v>
      </c>
      <c r="G1102" s="2">
        <v>1735</v>
      </c>
      <c r="H1102" s="28">
        <f>'VA pre'!P59</f>
        <v>26.962857142857143</v>
      </c>
      <c r="I1102" s="2">
        <v>7296.84</v>
      </c>
      <c r="J1102" s="17">
        <v>34</v>
      </c>
      <c r="K1102" s="27">
        <v>8050</v>
      </c>
      <c r="L1102" s="27">
        <v>1905</v>
      </c>
      <c r="M1102" s="27" t="s">
        <v>538</v>
      </c>
      <c r="N1102" s="1" t="s">
        <v>539</v>
      </c>
      <c r="O1102" s="27" t="s">
        <v>540</v>
      </c>
      <c r="P1102" s="27" t="s">
        <v>541</v>
      </c>
      <c r="Q1102" s="27" t="s">
        <v>542</v>
      </c>
      <c r="R1102" s="1" t="s">
        <v>543</v>
      </c>
      <c r="S1102" s="1" t="s">
        <v>544</v>
      </c>
      <c r="T1102" s="1" t="s">
        <v>545</v>
      </c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27" t="s">
        <v>1666</v>
      </c>
      <c r="B1103" s="27" t="str">
        <f t="shared" si="97"/>
        <v>Virginia</v>
      </c>
      <c r="C1103" s="27" t="str">
        <f t="shared" si="98"/>
        <v>Lee</v>
      </c>
      <c r="D1103" s="2">
        <v>2608</v>
      </c>
      <c r="E1103" s="2">
        <f>'VA pre'!I60</f>
        <v>90</v>
      </c>
      <c r="F1103">
        <v>124</v>
      </c>
      <c r="G1103" s="2">
        <v>4925</v>
      </c>
      <c r="H1103" s="28">
        <f>'VA pre'!P60</f>
        <v>26.308888888888891</v>
      </c>
      <c r="I1103" s="2">
        <v>15398.69</v>
      </c>
      <c r="J1103" s="17">
        <v>79</v>
      </c>
      <c r="K1103" s="27">
        <v>27550</v>
      </c>
      <c r="L1103" s="27">
        <v>1905</v>
      </c>
      <c r="M1103" s="27" t="s">
        <v>538</v>
      </c>
      <c r="N1103" s="1" t="s">
        <v>539</v>
      </c>
      <c r="O1103" s="27" t="s">
        <v>540</v>
      </c>
      <c r="P1103" s="27" t="s">
        <v>541</v>
      </c>
      <c r="Q1103" s="27" t="s">
        <v>542</v>
      </c>
      <c r="R1103" s="1" t="s">
        <v>543</v>
      </c>
      <c r="S1103" s="1" t="s">
        <v>544</v>
      </c>
      <c r="T1103" s="1" t="s">
        <v>545</v>
      </c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27" t="s">
        <v>1667</v>
      </c>
      <c r="B1104" s="27" t="str">
        <f t="shared" si="97"/>
        <v>Virginia</v>
      </c>
      <c r="C1104" s="27" t="str">
        <f t="shared" si="98"/>
        <v>Loudoun</v>
      </c>
      <c r="D1104" s="2">
        <v>2300</v>
      </c>
      <c r="E1104" s="2">
        <f>'VA pre'!I61</f>
        <v>120</v>
      </c>
      <c r="F1104">
        <v>143</v>
      </c>
      <c r="G1104" s="2">
        <v>4064</v>
      </c>
      <c r="H1104" s="28">
        <f>'VA pre'!P61</f>
        <v>32.651166666666668</v>
      </c>
      <c r="I1104" s="2">
        <v>33597.49</v>
      </c>
      <c r="J1104" s="17">
        <v>95</v>
      </c>
      <c r="K1104" s="27">
        <v>55700</v>
      </c>
      <c r="L1104" s="27">
        <v>1905</v>
      </c>
      <c r="M1104" s="27" t="s">
        <v>538</v>
      </c>
      <c r="N1104" s="1" t="s">
        <v>539</v>
      </c>
      <c r="O1104" s="27" t="s">
        <v>540</v>
      </c>
      <c r="P1104" s="27" t="s">
        <v>541</v>
      </c>
      <c r="Q1104" s="27" t="s">
        <v>542</v>
      </c>
      <c r="R1104" s="1" t="s">
        <v>543</v>
      </c>
      <c r="S1104" s="1" t="s">
        <v>544</v>
      </c>
      <c r="T1104" s="1" t="s">
        <v>545</v>
      </c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27" t="s">
        <v>1668</v>
      </c>
      <c r="B1105" s="27" t="str">
        <f t="shared" si="97"/>
        <v>Virginia</v>
      </c>
      <c r="C1105" s="27" t="str">
        <f t="shared" si="98"/>
        <v>Louisa</v>
      </c>
      <c r="D1105" s="2">
        <v>1394</v>
      </c>
      <c r="E1105" s="2">
        <f>'VA pre'!I62</f>
        <v>104</v>
      </c>
      <c r="F1105">
        <v>117</v>
      </c>
      <c r="G1105" s="2">
        <v>2759</v>
      </c>
      <c r="H1105" s="28">
        <f>'VA pre'!P62</f>
        <v>20.201346153846153</v>
      </c>
      <c r="I1105" s="2">
        <v>12877.7</v>
      </c>
      <c r="J1105" s="17">
        <v>99</v>
      </c>
      <c r="K1105" s="27">
        <v>5400</v>
      </c>
      <c r="L1105" s="27">
        <v>1905</v>
      </c>
      <c r="M1105" s="27" t="s">
        <v>538</v>
      </c>
      <c r="N1105" s="1" t="s">
        <v>539</v>
      </c>
      <c r="O1105" s="27" t="s">
        <v>540</v>
      </c>
      <c r="P1105" s="27" t="s">
        <v>541</v>
      </c>
      <c r="Q1105" s="27" t="s">
        <v>542</v>
      </c>
      <c r="R1105" s="1" t="s">
        <v>543</v>
      </c>
      <c r="S1105" s="1" t="s">
        <v>544</v>
      </c>
      <c r="T1105" s="1" t="s">
        <v>545</v>
      </c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27" t="s">
        <v>1669</v>
      </c>
      <c r="B1106" s="27" t="str">
        <f t="shared" si="97"/>
        <v>Virginia</v>
      </c>
      <c r="C1106" s="27" t="str">
        <f t="shared" si="98"/>
        <v>Lunenburg</v>
      </c>
      <c r="D1106" s="2">
        <v>1227</v>
      </c>
      <c r="E1106" s="2">
        <f>'VA pre'!I63</f>
        <v>62</v>
      </c>
      <c r="F1106">
        <v>104</v>
      </c>
      <c r="G1106" s="2">
        <v>2378</v>
      </c>
      <c r="H1106" s="28">
        <f>'VA pre'!P63</f>
        <v>22.998225806451611</v>
      </c>
      <c r="I1106" s="2">
        <v>8624.91</v>
      </c>
      <c r="J1106" s="17">
        <v>58</v>
      </c>
      <c r="K1106" s="27">
        <v>4252.46</v>
      </c>
      <c r="L1106" s="27">
        <v>1905</v>
      </c>
      <c r="M1106" s="27" t="s">
        <v>538</v>
      </c>
      <c r="N1106" s="1" t="s">
        <v>539</v>
      </c>
      <c r="O1106" s="27" t="s">
        <v>540</v>
      </c>
      <c r="P1106" s="27" t="s">
        <v>541</v>
      </c>
      <c r="Q1106" s="27" t="s">
        <v>542</v>
      </c>
      <c r="R1106" s="1" t="s">
        <v>543</v>
      </c>
      <c r="S1106" s="1" t="s">
        <v>544</v>
      </c>
      <c r="T1106" s="1" t="s">
        <v>545</v>
      </c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27" t="s">
        <v>1731</v>
      </c>
      <c r="B1107" s="27" t="str">
        <f t="shared" si="97"/>
        <v>Virginia</v>
      </c>
      <c r="C1107" s="27" t="str">
        <f t="shared" si="98"/>
        <v>Lynchburg</v>
      </c>
      <c r="D1107" s="2">
        <v>2824</v>
      </c>
      <c r="E1107" s="2">
        <f>'VA pre'!I64</f>
        <v>77</v>
      </c>
      <c r="F1107">
        <v>185</v>
      </c>
      <c r="G1107" s="2">
        <v>3544</v>
      </c>
      <c r="H1107" s="28">
        <f>'VA pre'!P64</f>
        <v>51.309870129870127</v>
      </c>
      <c r="I1107" s="2">
        <v>46588.21</v>
      </c>
      <c r="J1107" s="17">
        <v>9</v>
      </c>
      <c r="K1107" s="27">
        <v>130000</v>
      </c>
      <c r="L1107" s="27">
        <v>1905</v>
      </c>
      <c r="M1107" s="27" t="s">
        <v>538</v>
      </c>
      <c r="N1107" s="1" t="s">
        <v>539</v>
      </c>
      <c r="O1107" s="27" t="s">
        <v>540</v>
      </c>
      <c r="P1107" s="27" t="s">
        <v>541</v>
      </c>
      <c r="Q1107" s="27" t="s">
        <v>542</v>
      </c>
      <c r="R1107" s="1" t="s">
        <v>543</v>
      </c>
      <c r="S1107" s="1" t="s">
        <v>544</v>
      </c>
      <c r="T1107" s="1" t="s">
        <v>545</v>
      </c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27" t="s">
        <v>1670</v>
      </c>
      <c r="B1108" s="27" t="str">
        <f t="shared" si="97"/>
        <v>Virginia</v>
      </c>
      <c r="C1108" s="27" t="str">
        <f t="shared" si="98"/>
        <v>Madison</v>
      </c>
      <c r="D1108" s="2">
        <v>1271</v>
      </c>
      <c r="E1108" s="2">
        <f>'VA pre'!I65</f>
        <v>68</v>
      </c>
      <c r="F1108">
        <v>100</v>
      </c>
      <c r="G1108" s="2">
        <v>2250</v>
      </c>
      <c r="H1108" s="28">
        <f>'VA pre'!P65</f>
        <v>20.445</v>
      </c>
      <c r="I1108" s="2">
        <v>8274.99</v>
      </c>
      <c r="J1108" s="17">
        <v>71</v>
      </c>
      <c r="K1108" s="27">
        <v>2600</v>
      </c>
      <c r="L1108" s="27">
        <v>1905</v>
      </c>
      <c r="M1108" s="27" t="s">
        <v>538</v>
      </c>
      <c r="N1108" s="1" t="s">
        <v>539</v>
      </c>
      <c r="O1108" s="27" t="s">
        <v>540</v>
      </c>
      <c r="P1108" s="27" t="s">
        <v>541</v>
      </c>
      <c r="Q1108" s="27" t="s">
        <v>542</v>
      </c>
      <c r="R1108" s="1" t="s">
        <v>543</v>
      </c>
      <c r="S1108" s="1" t="s">
        <v>544</v>
      </c>
      <c r="T1108" s="1" t="s">
        <v>545</v>
      </c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27" t="s">
        <v>1770</v>
      </c>
      <c r="B1109" s="27" t="str">
        <f t="shared" si="97"/>
        <v>Virginia</v>
      </c>
      <c r="C1109" s="27" t="str">
        <f t="shared" si="98"/>
        <v>Manchester</v>
      </c>
      <c r="D1109" s="2">
        <v>1158</v>
      </c>
      <c r="E1109" s="2">
        <f>'VA pre'!I66</f>
        <v>27</v>
      </c>
      <c r="F1109">
        <v>180</v>
      </c>
      <c r="G1109" s="2">
        <v>1502</v>
      </c>
      <c r="H1109" s="28">
        <f>'VA pre'!P66</f>
        <v>37.525925925925925</v>
      </c>
      <c r="I1109" s="2">
        <v>13201.65</v>
      </c>
      <c r="J1109" s="17">
        <v>3</v>
      </c>
      <c r="K1109" s="27">
        <v>41723</v>
      </c>
      <c r="L1109" s="27">
        <v>1905</v>
      </c>
      <c r="M1109" s="27" t="s">
        <v>538</v>
      </c>
      <c r="N1109" s="1" t="s">
        <v>539</v>
      </c>
      <c r="O1109" s="27" t="s">
        <v>540</v>
      </c>
      <c r="P1109" s="27" t="s">
        <v>541</v>
      </c>
      <c r="Q1109" s="27" t="s">
        <v>542</v>
      </c>
      <c r="R1109" s="1" t="s">
        <v>543</v>
      </c>
      <c r="S1109" s="1" t="s">
        <v>544</v>
      </c>
      <c r="T1109" s="1" t="s">
        <v>545</v>
      </c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27" t="s">
        <v>1671</v>
      </c>
      <c r="B1110" s="27" t="str">
        <f t="shared" si="97"/>
        <v>Virginia</v>
      </c>
      <c r="C1110" s="27" t="str">
        <f t="shared" si="98"/>
        <v>Mathews</v>
      </c>
      <c r="D1110" s="2">
        <v>900</v>
      </c>
      <c r="E1110" s="2">
        <f>'VA pre'!I67</f>
        <v>40</v>
      </c>
      <c r="F1110">
        <v>114</v>
      </c>
      <c r="G1110" s="2">
        <v>1523</v>
      </c>
      <c r="H1110" s="28">
        <f>'VA pre'!P67</f>
        <v>25.809249999999999</v>
      </c>
      <c r="I1110" s="2">
        <v>6483.79</v>
      </c>
      <c r="J1110" s="17">
        <v>29</v>
      </c>
      <c r="K1110" s="27">
        <v>10400</v>
      </c>
      <c r="L1110" s="27">
        <v>1905</v>
      </c>
      <c r="M1110" s="27" t="s">
        <v>538</v>
      </c>
      <c r="N1110" s="1" t="s">
        <v>539</v>
      </c>
      <c r="O1110" s="27" t="s">
        <v>540</v>
      </c>
      <c r="P1110" s="27" t="s">
        <v>541</v>
      </c>
      <c r="Q1110" s="27" t="s">
        <v>542</v>
      </c>
      <c r="R1110" s="1" t="s">
        <v>543</v>
      </c>
      <c r="S1110" s="1" t="s">
        <v>544</v>
      </c>
      <c r="T1110" s="1" t="s">
        <v>545</v>
      </c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27" t="s">
        <v>1771</v>
      </c>
      <c r="B1111" s="27" t="str">
        <f t="shared" si="97"/>
        <v>Virginia</v>
      </c>
      <c r="C1111" s="27" t="str">
        <f t="shared" si="98"/>
        <v>Mecklenburg</v>
      </c>
      <c r="D1111" s="2">
        <v>2732</v>
      </c>
      <c r="E1111" s="2">
        <f>'VA pre'!I68</f>
        <v>117</v>
      </c>
      <c r="F1111">
        <v>117</v>
      </c>
      <c r="G1111" s="2">
        <v>5403</v>
      </c>
      <c r="H1111" s="28">
        <f>'VA pre'!P68</f>
        <v>26.923589743589748</v>
      </c>
      <c r="I1111" s="2">
        <v>22068.19</v>
      </c>
      <c r="J1111" s="17">
        <v>100</v>
      </c>
      <c r="K1111" s="27">
        <v>28180</v>
      </c>
      <c r="L1111" s="27">
        <v>1905</v>
      </c>
      <c r="M1111" s="27" t="s">
        <v>538</v>
      </c>
      <c r="N1111" s="1" t="s">
        <v>539</v>
      </c>
      <c r="O1111" s="27" t="s">
        <v>540</v>
      </c>
      <c r="P1111" s="27" t="s">
        <v>541</v>
      </c>
      <c r="Q1111" s="27" t="s">
        <v>542</v>
      </c>
      <c r="R1111" s="1" t="s">
        <v>543</v>
      </c>
      <c r="S1111" s="1" t="s">
        <v>544</v>
      </c>
      <c r="T1111" s="1" t="s">
        <v>545</v>
      </c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27" t="s">
        <v>1672</v>
      </c>
      <c r="B1112" s="27" t="str">
        <f t="shared" si="97"/>
        <v>Virginia</v>
      </c>
      <c r="C1112" s="27" t="str">
        <f t="shared" si="98"/>
        <v>Middlesex</v>
      </c>
      <c r="D1112" s="2">
        <v>843</v>
      </c>
      <c r="E1112" s="2">
        <f>'VA pre'!I69</f>
        <v>36</v>
      </c>
      <c r="F1112">
        <v>130</v>
      </c>
      <c r="G1112" s="2">
        <v>1630</v>
      </c>
      <c r="H1112" s="28">
        <f>'VA pre'!P69</f>
        <v>24.293333333333337</v>
      </c>
      <c r="I1112" s="2">
        <v>6763.24</v>
      </c>
      <c r="J1112" s="17">
        <v>30</v>
      </c>
      <c r="K1112" s="27">
        <v>7100</v>
      </c>
      <c r="L1112" s="27">
        <v>1905</v>
      </c>
      <c r="M1112" s="27" t="s">
        <v>538</v>
      </c>
      <c r="N1112" s="1" t="s">
        <v>539</v>
      </c>
      <c r="O1112" s="27" t="s">
        <v>540</v>
      </c>
      <c r="P1112" s="27" t="s">
        <v>541</v>
      </c>
      <c r="Q1112" s="27" t="s">
        <v>542</v>
      </c>
      <c r="R1112" s="1" t="s">
        <v>543</v>
      </c>
      <c r="S1112" s="1" t="s">
        <v>544</v>
      </c>
      <c r="T1112" s="1" t="s">
        <v>545</v>
      </c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27" t="s">
        <v>1673</v>
      </c>
      <c r="B1113" s="27" t="str">
        <f t="shared" si="97"/>
        <v>Virginia</v>
      </c>
      <c r="C1113" s="27" t="str">
        <f t="shared" si="98"/>
        <v>Montgomery</v>
      </c>
      <c r="D1113" s="2">
        <v>2118</v>
      </c>
      <c r="E1113" s="2">
        <f>'VA pre'!I70</f>
        <v>89</v>
      </c>
      <c r="F1113">
        <v>116</v>
      </c>
      <c r="G1113" s="2">
        <v>3622</v>
      </c>
      <c r="H1113" s="28">
        <f>'VA pre'!P70</f>
        <v>30.379662921348313</v>
      </c>
      <c r="I1113" s="2">
        <v>18103.57</v>
      </c>
      <c r="J1113" s="17">
        <v>83</v>
      </c>
      <c r="K1113" s="27">
        <v>31250</v>
      </c>
      <c r="L1113" s="27">
        <v>1905</v>
      </c>
      <c r="M1113" s="27" t="s">
        <v>538</v>
      </c>
      <c r="N1113" s="1" t="s">
        <v>539</v>
      </c>
      <c r="O1113" s="27" t="s">
        <v>540</v>
      </c>
      <c r="P1113" s="27" t="s">
        <v>541</v>
      </c>
      <c r="Q1113" s="27" t="s">
        <v>542</v>
      </c>
      <c r="R1113" s="1" t="s">
        <v>543</v>
      </c>
      <c r="S1113" s="1" t="s">
        <v>544</v>
      </c>
      <c r="T1113" s="1" t="s">
        <v>545</v>
      </c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27" t="s">
        <v>1674</v>
      </c>
      <c r="B1114" s="27" t="str">
        <f t="shared" si="97"/>
        <v>Virginia</v>
      </c>
      <c r="C1114" s="27" t="str">
        <f t="shared" si="98"/>
        <v>Nansemond</v>
      </c>
      <c r="D1114" s="2">
        <v>2166</v>
      </c>
      <c r="E1114" s="2">
        <f>'VA pre'!I71</f>
        <v>90</v>
      </c>
      <c r="F1114">
        <v>125</v>
      </c>
      <c r="G1114" s="2">
        <v>3830</v>
      </c>
      <c r="H1114" s="28">
        <f>'VA pre'!P71</f>
        <v>30.265777777777778</v>
      </c>
      <c r="I1114" s="2">
        <v>20151.84</v>
      </c>
      <c r="J1114" s="17">
        <v>74</v>
      </c>
      <c r="K1114" s="27">
        <v>30050</v>
      </c>
      <c r="L1114" s="27">
        <v>1905</v>
      </c>
      <c r="M1114" s="27" t="s">
        <v>538</v>
      </c>
      <c r="N1114" s="1" t="s">
        <v>539</v>
      </c>
      <c r="O1114" s="27" t="s">
        <v>540</v>
      </c>
      <c r="P1114" s="27" t="s">
        <v>541</v>
      </c>
      <c r="Q1114" s="27" t="s">
        <v>542</v>
      </c>
      <c r="R1114" s="1" t="s">
        <v>543</v>
      </c>
      <c r="S1114" s="1" t="s">
        <v>544</v>
      </c>
      <c r="T1114" s="1" t="s">
        <v>545</v>
      </c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27" t="s">
        <v>1675</v>
      </c>
      <c r="B1115" s="27" t="str">
        <f t="shared" si="97"/>
        <v>Virginia</v>
      </c>
      <c r="C1115" s="27" t="str">
        <f t="shared" si="98"/>
        <v>Nelson</v>
      </c>
      <c r="D1115" s="2">
        <v>1610</v>
      </c>
      <c r="E1115" s="2">
        <f>'VA pre'!I72</f>
        <v>94</v>
      </c>
      <c r="F1115">
        <v>119</v>
      </c>
      <c r="G1115" s="2">
        <v>3116</v>
      </c>
      <c r="H1115" s="28">
        <f>'VA pre'!P72</f>
        <v>26.242234042553193</v>
      </c>
      <c r="I1115" s="2">
        <v>14809.3</v>
      </c>
      <c r="J1115" s="17">
        <v>99</v>
      </c>
      <c r="K1115" s="27">
        <v>10000</v>
      </c>
      <c r="L1115" s="27">
        <v>1905</v>
      </c>
      <c r="M1115" s="27" t="s">
        <v>538</v>
      </c>
      <c r="N1115" s="1" t="s">
        <v>539</v>
      </c>
      <c r="O1115" s="27" t="s">
        <v>540</v>
      </c>
      <c r="P1115" s="27" t="s">
        <v>541</v>
      </c>
      <c r="Q1115" s="27" t="s">
        <v>542</v>
      </c>
      <c r="R1115" s="1" t="s">
        <v>543</v>
      </c>
      <c r="S1115" s="1" t="s">
        <v>544</v>
      </c>
      <c r="T1115" s="1" t="s">
        <v>545</v>
      </c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27" t="s">
        <v>1676</v>
      </c>
      <c r="B1116" s="27" t="str">
        <f t="shared" si="97"/>
        <v>Virginia</v>
      </c>
      <c r="C1116" s="27" t="str">
        <f t="shared" si="98"/>
        <v>New Kent</v>
      </c>
      <c r="D1116" s="2">
        <v>461</v>
      </c>
      <c r="E1116" s="2">
        <f>'VA pre'!I73</f>
        <v>29</v>
      </c>
      <c r="F1116">
        <v>114</v>
      </c>
      <c r="G1116" s="2">
        <v>825</v>
      </c>
      <c r="H1116" s="28">
        <f>'VA pre'!P73</f>
        <v>22.831034482758621</v>
      </c>
      <c r="I1116" s="2">
        <v>5151.49</v>
      </c>
      <c r="J1116" s="17">
        <v>28</v>
      </c>
      <c r="K1116" s="27">
        <v>3150</v>
      </c>
      <c r="L1116" s="27">
        <v>1905</v>
      </c>
      <c r="M1116" s="27" t="s">
        <v>538</v>
      </c>
      <c r="N1116" s="1" t="s">
        <v>539</v>
      </c>
      <c r="O1116" s="27" t="s">
        <v>540</v>
      </c>
      <c r="P1116" s="27" t="s">
        <v>541</v>
      </c>
      <c r="Q1116" s="27" t="s">
        <v>542</v>
      </c>
      <c r="R1116" s="1" t="s">
        <v>543</v>
      </c>
      <c r="S1116" s="1" t="s">
        <v>544</v>
      </c>
      <c r="T1116" s="1" t="s">
        <v>545</v>
      </c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27" t="s">
        <v>1733</v>
      </c>
      <c r="B1117" s="27" t="str">
        <f t="shared" ref="B1117:B1180" si="99">LEFT(A1117,FIND(";",A1117)-1)</f>
        <v>Virginia</v>
      </c>
      <c r="C1117" s="27" t="str">
        <f t="shared" ref="C1117:C1180" si="100">MID(A1117,FIND(";",A1117)+1,100)</f>
        <v>Newport News</v>
      </c>
      <c r="D1117" s="2">
        <v>1860</v>
      </c>
      <c r="E1117" s="2">
        <f>'VA pre'!I74</f>
        <v>55</v>
      </c>
      <c r="F1117">
        <v>182</v>
      </c>
      <c r="G1117" s="2">
        <v>2568</v>
      </c>
      <c r="H1117" s="28">
        <f>'VA pre'!P74</f>
        <v>51.098909090909082</v>
      </c>
      <c r="I1117" s="2">
        <v>35535.69</v>
      </c>
      <c r="J1117" s="17">
        <v>11</v>
      </c>
      <c r="K1117" s="27">
        <v>125000</v>
      </c>
      <c r="L1117" s="27">
        <v>1905</v>
      </c>
      <c r="M1117" s="27" t="s">
        <v>538</v>
      </c>
      <c r="N1117" s="1" t="s">
        <v>539</v>
      </c>
      <c r="O1117" s="27" t="s">
        <v>540</v>
      </c>
      <c r="P1117" s="27" t="s">
        <v>541</v>
      </c>
      <c r="Q1117" s="27" t="s">
        <v>542</v>
      </c>
      <c r="R1117" s="1" t="s">
        <v>543</v>
      </c>
      <c r="S1117" s="1" t="s">
        <v>544</v>
      </c>
      <c r="T1117" s="1" t="s">
        <v>545</v>
      </c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27" t="s">
        <v>1734</v>
      </c>
      <c r="B1118" s="27" t="str">
        <f t="shared" si="99"/>
        <v>Virginia</v>
      </c>
      <c r="C1118" s="27" t="str">
        <f t="shared" si="100"/>
        <v>Norfolk City</v>
      </c>
      <c r="D1118" s="2">
        <v>440</v>
      </c>
      <c r="E1118" s="2">
        <f>'VA pre'!I75</f>
        <v>110</v>
      </c>
      <c r="F1118">
        <v>201</v>
      </c>
      <c r="G1118" s="2">
        <v>5268</v>
      </c>
      <c r="H1118" s="28">
        <f>'VA pre'!P75</f>
        <v>59.030727272727269</v>
      </c>
      <c r="I1118" s="2">
        <v>78621.600000000006</v>
      </c>
      <c r="J1118" s="17">
        <v>15</v>
      </c>
      <c r="K1118" s="27">
        <v>400000</v>
      </c>
      <c r="L1118" s="27">
        <v>1905</v>
      </c>
      <c r="M1118" s="27" t="s">
        <v>538</v>
      </c>
      <c r="N1118" s="1" t="s">
        <v>539</v>
      </c>
      <c r="O1118" s="27" t="s">
        <v>540</v>
      </c>
      <c r="P1118" s="27" t="s">
        <v>541</v>
      </c>
      <c r="Q1118" s="27" t="s">
        <v>542</v>
      </c>
      <c r="R1118" s="1" t="s">
        <v>543</v>
      </c>
      <c r="S1118" s="1" t="s">
        <v>544</v>
      </c>
      <c r="T1118" s="1" t="s">
        <v>545</v>
      </c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27" t="s">
        <v>1677</v>
      </c>
      <c r="B1119" s="27" t="str">
        <f t="shared" si="99"/>
        <v>Virginia</v>
      </c>
      <c r="C1119" s="27" t="str">
        <f t="shared" si="100"/>
        <v>Norfolk</v>
      </c>
      <c r="D1119" s="2">
        <v>4835</v>
      </c>
      <c r="E1119" s="2">
        <f>'VA pre'!I76</f>
        <v>146</v>
      </c>
      <c r="F1119">
        <v>176</v>
      </c>
      <c r="G1119" s="2">
        <v>8053</v>
      </c>
      <c r="H1119" s="28">
        <f>'VA pre'!P76</f>
        <v>38.069041095890412</v>
      </c>
      <c r="I1119" s="2">
        <v>71890.789999999994</v>
      </c>
      <c r="J1119" s="17">
        <v>80</v>
      </c>
      <c r="K1119" s="27">
        <v>145000</v>
      </c>
      <c r="L1119" s="27">
        <v>1905</v>
      </c>
      <c r="M1119" s="27" t="s">
        <v>538</v>
      </c>
      <c r="N1119" s="1" t="s">
        <v>539</v>
      </c>
      <c r="O1119" s="27" t="s">
        <v>540</v>
      </c>
      <c r="P1119" s="27" t="s">
        <v>541</v>
      </c>
      <c r="Q1119" s="27" t="s">
        <v>542</v>
      </c>
      <c r="R1119" s="1" t="s">
        <v>543</v>
      </c>
      <c r="S1119" s="1" t="s">
        <v>544</v>
      </c>
      <c r="T1119" s="1" t="s">
        <v>545</v>
      </c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27" t="s">
        <v>1678</v>
      </c>
      <c r="B1120" s="27" t="str">
        <f t="shared" si="99"/>
        <v>Virginia</v>
      </c>
      <c r="C1120" s="27" t="str">
        <f t="shared" si="100"/>
        <v>Northampton</v>
      </c>
      <c r="D1120" s="2">
        <v>1129</v>
      </c>
      <c r="E1120" s="2">
        <f>'VA pre'!I77</f>
        <v>54</v>
      </c>
      <c r="F1120">
        <v>141</v>
      </c>
      <c r="G1120" s="2">
        <v>2201</v>
      </c>
      <c r="H1120" s="28">
        <f>'VA pre'!P77</f>
        <v>30.105555555555558</v>
      </c>
      <c r="I1120" s="2">
        <v>14221.64</v>
      </c>
      <c r="J1120" s="17">
        <v>39</v>
      </c>
      <c r="K1120" s="27">
        <v>11100</v>
      </c>
      <c r="L1120" s="27">
        <v>1905</v>
      </c>
      <c r="M1120" s="27" t="s">
        <v>538</v>
      </c>
      <c r="N1120" s="1" t="s">
        <v>539</v>
      </c>
      <c r="O1120" s="27" t="s">
        <v>540</v>
      </c>
      <c r="P1120" s="27" t="s">
        <v>541</v>
      </c>
      <c r="Q1120" s="27" t="s">
        <v>542</v>
      </c>
      <c r="R1120" s="1" t="s">
        <v>543</v>
      </c>
      <c r="S1120" s="1" t="s">
        <v>544</v>
      </c>
      <c r="T1120" s="1" t="s">
        <v>545</v>
      </c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27" t="s">
        <v>1679</v>
      </c>
      <c r="B1121" s="27" t="str">
        <f t="shared" si="99"/>
        <v>Virginia</v>
      </c>
      <c r="C1121" s="27" t="str">
        <f t="shared" si="100"/>
        <v>Northumberland</v>
      </c>
      <c r="D1121" s="2">
        <v>1082</v>
      </c>
      <c r="E1121" s="2">
        <f>'VA pre'!I78</f>
        <v>51</v>
      </c>
      <c r="F1121">
        <v>109</v>
      </c>
      <c r="G1121" s="2">
        <v>1917</v>
      </c>
      <c r="H1121" s="28">
        <f>'VA pre'!P78</f>
        <v>25.377647058823531</v>
      </c>
      <c r="I1121" s="2">
        <v>11376.72</v>
      </c>
      <c r="J1121" s="17">
        <v>46</v>
      </c>
      <c r="K1121" s="27">
        <v>14483.66</v>
      </c>
      <c r="L1121" s="27">
        <v>1905</v>
      </c>
      <c r="M1121" s="27" t="s">
        <v>538</v>
      </c>
      <c r="N1121" s="1" t="s">
        <v>539</v>
      </c>
      <c r="O1121" s="27" t="s">
        <v>540</v>
      </c>
      <c r="P1121" s="27" t="s">
        <v>541</v>
      </c>
      <c r="Q1121" s="27" t="s">
        <v>542</v>
      </c>
      <c r="R1121" s="1" t="s">
        <v>543</v>
      </c>
      <c r="S1121" s="1" t="s">
        <v>544</v>
      </c>
      <c r="T1121" s="1" t="s">
        <v>545</v>
      </c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27" t="s">
        <v>1680</v>
      </c>
      <c r="B1122" s="27" t="str">
        <f t="shared" si="99"/>
        <v>Virginia</v>
      </c>
      <c r="C1122" s="27" t="str">
        <f t="shared" si="100"/>
        <v>Nottoway</v>
      </c>
      <c r="D1122" s="2">
        <v>1304</v>
      </c>
      <c r="E1122" s="2">
        <f>'VA pre'!I79</f>
        <v>62</v>
      </c>
      <c r="F1122">
        <v>127</v>
      </c>
      <c r="G1122" s="2">
        <v>2162</v>
      </c>
      <c r="H1122" s="28">
        <f>'VA pre'!P79</f>
        <v>23.488870967741935</v>
      </c>
      <c r="I1122" s="2">
        <v>11700.6</v>
      </c>
      <c r="J1122" s="17">
        <v>48</v>
      </c>
      <c r="K1122" s="27">
        <v>11750</v>
      </c>
      <c r="L1122" s="27">
        <v>1905</v>
      </c>
      <c r="M1122" s="27" t="s">
        <v>538</v>
      </c>
      <c r="N1122" s="1" t="s">
        <v>539</v>
      </c>
      <c r="O1122" s="27" t="s">
        <v>540</v>
      </c>
      <c r="P1122" s="27" t="s">
        <v>541</v>
      </c>
      <c r="Q1122" s="27" t="s">
        <v>542</v>
      </c>
      <c r="R1122" s="1" t="s">
        <v>543</v>
      </c>
      <c r="S1122" s="1" t="s">
        <v>544</v>
      </c>
      <c r="T1122" s="1" t="s">
        <v>545</v>
      </c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27" t="s">
        <v>1681</v>
      </c>
      <c r="B1123" s="27" t="str">
        <f t="shared" si="99"/>
        <v>Virginia</v>
      </c>
      <c r="C1123" s="27" t="str">
        <f t="shared" si="100"/>
        <v>Orange</v>
      </c>
      <c r="D1123" s="29">
        <v>2255</v>
      </c>
      <c r="E1123" s="2">
        <f>'VA pre'!I80</f>
        <v>78</v>
      </c>
      <c r="F1123" s="7">
        <v>114</v>
      </c>
      <c r="G1123" s="29">
        <v>3102</v>
      </c>
      <c r="H1123" s="28">
        <f>'VA pre'!P80</f>
        <v>25.133589743589738</v>
      </c>
      <c r="I1123" s="2">
        <v>12245.6</v>
      </c>
      <c r="J1123" s="17">
        <v>63</v>
      </c>
      <c r="K1123" s="27">
        <v>17750</v>
      </c>
      <c r="L1123" s="27">
        <v>1905</v>
      </c>
      <c r="M1123" s="27" t="s">
        <v>538</v>
      </c>
      <c r="N1123" s="1" t="s">
        <v>539</v>
      </c>
      <c r="O1123" s="27" t="s">
        <v>540</v>
      </c>
      <c r="P1123" s="27" t="s">
        <v>541</v>
      </c>
      <c r="Q1123" s="27" t="s">
        <v>542</v>
      </c>
      <c r="R1123" s="1" t="s">
        <v>543</v>
      </c>
      <c r="S1123" s="1" t="s">
        <v>544</v>
      </c>
      <c r="T1123" s="1" t="s">
        <v>545</v>
      </c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27" t="s">
        <v>1682</v>
      </c>
      <c r="B1124" s="27" t="str">
        <f t="shared" si="99"/>
        <v>Virginia</v>
      </c>
      <c r="C1124" s="27" t="str">
        <f t="shared" si="100"/>
        <v>Page</v>
      </c>
      <c r="D1124" s="29">
        <v>1848</v>
      </c>
      <c r="E1124" s="2">
        <f>'VA pre'!I81</f>
        <v>83</v>
      </c>
      <c r="F1124" s="7">
        <v>119</v>
      </c>
      <c r="G1124" s="29">
        <v>2788</v>
      </c>
      <c r="H1124" s="28">
        <f>'VA pre'!P81</f>
        <v>24.436506024096381</v>
      </c>
      <c r="I1124" s="2">
        <v>14965.85</v>
      </c>
      <c r="J1124" s="17">
        <v>73</v>
      </c>
      <c r="K1124" s="27">
        <v>22525</v>
      </c>
      <c r="L1124" s="27">
        <v>1905</v>
      </c>
      <c r="M1124" s="27" t="s">
        <v>538</v>
      </c>
      <c r="N1124" s="1" t="s">
        <v>539</v>
      </c>
      <c r="O1124" s="27" t="s">
        <v>540</v>
      </c>
      <c r="P1124" s="27" t="s">
        <v>541</v>
      </c>
      <c r="Q1124" s="27" t="s">
        <v>542</v>
      </c>
      <c r="R1124" s="1" t="s">
        <v>543</v>
      </c>
      <c r="S1124" s="1" t="s">
        <v>544</v>
      </c>
      <c r="T1124" s="1" t="s">
        <v>545</v>
      </c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27" t="s">
        <v>1683</v>
      </c>
      <c r="B1125" s="27" t="str">
        <f t="shared" si="99"/>
        <v>Virginia</v>
      </c>
      <c r="C1125" s="27" t="str">
        <f t="shared" si="100"/>
        <v>Patrick</v>
      </c>
      <c r="D1125" s="29">
        <v>2173</v>
      </c>
      <c r="E1125" s="2">
        <f>'VA pre'!I82</f>
        <v>102</v>
      </c>
      <c r="F1125" s="7">
        <v>100</v>
      </c>
      <c r="G1125" s="29">
        <v>4232</v>
      </c>
      <c r="H1125" s="28">
        <f>'VA pre'!P82</f>
        <v>20.457843137254901</v>
      </c>
      <c r="I1125" s="2">
        <v>11358.89</v>
      </c>
      <c r="J1125" s="17">
        <v>94</v>
      </c>
      <c r="K1125" s="27">
        <v>8650</v>
      </c>
      <c r="L1125" s="27">
        <v>1905</v>
      </c>
      <c r="M1125" s="27" t="s">
        <v>538</v>
      </c>
      <c r="N1125" s="1" t="s">
        <v>539</v>
      </c>
      <c r="O1125" s="27" t="s">
        <v>540</v>
      </c>
      <c r="P1125" s="27" t="s">
        <v>541</v>
      </c>
      <c r="Q1125" s="27" t="s">
        <v>542</v>
      </c>
      <c r="R1125" s="1" t="s">
        <v>543</v>
      </c>
      <c r="S1125" s="1" t="s">
        <v>544</v>
      </c>
      <c r="T1125" s="1" t="s">
        <v>545</v>
      </c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27" t="s">
        <v>1735</v>
      </c>
      <c r="B1126" s="27" t="str">
        <f t="shared" si="99"/>
        <v>Virginia</v>
      </c>
      <c r="C1126" s="27" t="str">
        <f t="shared" si="100"/>
        <v>Petersburg</v>
      </c>
      <c r="D1126" s="29">
        <v>2379</v>
      </c>
      <c r="E1126" s="2">
        <f>'VA pre'!I83</f>
        <v>54</v>
      </c>
      <c r="F1126" s="7">
        <v>180</v>
      </c>
      <c r="G1126" s="29">
        <v>3059</v>
      </c>
      <c r="H1126" s="28">
        <f>'VA pre'!P83</f>
        <v>37.775925925925925</v>
      </c>
      <c r="I1126" s="2">
        <v>24597.26</v>
      </c>
      <c r="J1126" s="17">
        <v>9</v>
      </c>
      <c r="K1126" s="27">
        <v>75000</v>
      </c>
      <c r="L1126" s="27">
        <v>1905</v>
      </c>
      <c r="M1126" s="27" t="s">
        <v>538</v>
      </c>
      <c r="N1126" s="1" t="s">
        <v>539</v>
      </c>
      <c r="O1126" s="27" t="s">
        <v>540</v>
      </c>
      <c r="P1126" s="27" t="s">
        <v>541</v>
      </c>
      <c r="Q1126" s="27" t="s">
        <v>542</v>
      </c>
      <c r="R1126" s="1" t="s">
        <v>543</v>
      </c>
      <c r="S1126" s="1" t="s">
        <v>544</v>
      </c>
      <c r="T1126" s="1" t="s">
        <v>545</v>
      </c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27" t="s">
        <v>1684</v>
      </c>
      <c r="B1127" s="27" t="str">
        <f t="shared" si="99"/>
        <v>Virginia</v>
      </c>
      <c r="C1127" s="27" t="str">
        <f t="shared" si="100"/>
        <v>Pittsylvania</v>
      </c>
      <c r="D1127" s="29">
        <v>5279</v>
      </c>
      <c r="E1127" s="2">
        <f>'VA pre'!I84</f>
        <v>249</v>
      </c>
      <c r="F1127" s="7">
        <v>103</v>
      </c>
      <c r="G1127" s="29">
        <v>9748</v>
      </c>
      <c r="H1127" s="28">
        <f>'VA pre'!P84</f>
        <v>24.934497991967866</v>
      </c>
      <c r="I1127" s="2">
        <v>38057.620000000003</v>
      </c>
      <c r="J1127" s="17">
        <v>214</v>
      </c>
      <c r="K1127" s="27">
        <v>50852</v>
      </c>
      <c r="L1127" s="27">
        <v>1905</v>
      </c>
      <c r="M1127" s="27" t="s">
        <v>538</v>
      </c>
      <c r="N1127" s="1" t="s">
        <v>539</v>
      </c>
      <c r="O1127" s="27" t="s">
        <v>540</v>
      </c>
      <c r="P1127" s="27" t="s">
        <v>541</v>
      </c>
      <c r="Q1127" s="27" t="s">
        <v>542</v>
      </c>
      <c r="R1127" s="1" t="s">
        <v>543</v>
      </c>
      <c r="S1127" s="1" t="s">
        <v>544</v>
      </c>
      <c r="T1127" s="1" t="s">
        <v>545</v>
      </c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27" t="s">
        <v>1736</v>
      </c>
      <c r="B1128" s="27" t="str">
        <f t="shared" si="99"/>
        <v>Virginia</v>
      </c>
      <c r="C1128" s="27" t="str">
        <f t="shared" si="100"/>
        <v>Portsmouth</v>
      </c>
      <c r="D1128" s="29">
        <v>1916</v>
      </c>
      <c r="E1128" s="2">
        <f>'VA pre'!I85</f>
        <v>41</v>
      </c>
      <c r="F1128" s="7">
        <v>188</v>
      </c>
      <c r="G1128" s="29">
        <v>2346</v>
      </c>
      <c r="H1128" s="28">
        <f>'VA pre'!P85</f>
        <v>48.196585365853664</v>
      </c>
      <c r="I1128" s="2">
        <v>22800.54</v>
      </c>
      <c r="J1128" s="17">
        <v>4</v>
      </c>
      <c r="K1128" s="27">
        <v>47000</v>
      </c>
      <c r="L1128" s="27">
        <v>1905</v>
      </c>
      <c r="M1128" s="27" t="s">
        <v>538</v>
      </c>
      <c r="N1128" s="1" t="s">
        <v>539</v>
      </c>
      <c r="O1128" s="27" t="s">
        <v>540</v>
      </c>
      <c r="P1128" s="27" t="s">
        <v>541</v>
      </c>
      <c r="Q1128" s="27" t="s">
        <v>542</v>
      </c>
      <c r="R1128" s="1" t="s">
        <v>543</v>
      </c>
      <c r="S1128" s="1" t="s">
        <v>544</v>
      </c>
      <c r="T1128" s="1" t="s">
        <v>545</v>
      </c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27" t="s">
        <v>1685</v>
      </c>
      <c r="B1129" s="27" t="str">
        <f t="shared" si="99"/>
        <v>Virginia</v>
      </c>
      <c r="C1129" s="27" t="str">
        <f t="shared" si="100"/>
        <v>Powhatan</v>
      </c>
      <c r="D1129" s="29">
        <v>679</v>
      </c>
      <c r="E1129" s="2">
        <f>'VA pre'!I86</f>
        <v>32</v>
      </c>
      <c r="F1129" s="7">
        <v>107</v>
      </c>
      <c r="G1129" s="29">
        <v>1204</v>
      </c>
      <c r="H1129" s="28">
        <f>'VA pre'!P86</f>
        <v>27.3125</v>
      </c>
      <c r="I1129" s="2">
        <v>5723.19</v>
      </c>
      <c r="J1129" s="17">
        <v>34</v>
      </c>
      <c r="K1129" s="27">
        <v>6243.55</v>
      </c>
      <c r="L1129" s="27">
        <v>1905</v>
      </c>
      <c r="M1129" s="27" t="s">
        <v>538</v>
      </c>
      <c r="N1129" s="1" t="s">
        <v>539</v>
      </c>
      <c r="O1129" s="27" t="s">
        <v>540</v>
      </c>
      <c r="P1129" s="27" t="s">
        <v>541</v>
      </c>
      <c r="Q1129" s="27" t="s">
        <v>542</v>
      </c>
      <c r="R1129" s="1" t="s">
        <v>543</v>
      </c>
      <c r="S1129" s="1" t="s">
        <v>544</v>
      </c>
      <c r="T1129" s="1" t="s">
        <v>545</v>
      </c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27" t="s">
        <v>1686</v>
      </c>
      <c r="B1130" s="27" t="str">
        <f t="shared" si="99"/>
        <v>Virginia</v>
      </c>
      <c r="C1130" s="27" t="str">
        <f t="shared" si="100"/>
        <v>Prince Edward</v>
      </c>
      <c r="D1130" s="29">
        <v>1562</v>
      </c>
      <c r="E1130" s="2">
        <f>'VA pre'!I87</f>
        <v>67</v>
      </c>
      <c r="F1130" s="7">
        <v>123</v>
      </c>
      <c r="G1130" s="29">
        <v>2787</v>
      </c>
      <c r="H1130" s="28">
        <f>'VA pre'!P87</f>
        <v>26.877014925373135</v>
      </c>
      <c r="I1130" s="2">
        <v>16023.19</v>
      </c>
      <c r="J1130" s="17">
        <v>75</v>
      </c>
      <c r="K1130" s="27">
        <v>10100</v>
      </c>
      <c r="L1130" s="27">
        <v>1905</v>
      </c>
      <c r="M1130" s="27" t="s">
        <v>538</v>
      </c>
      <c r="N1130" s="1" t="s">
        <v>539</v>
      </c>
      <c r="O1130" s="27" t="s">
        <v>540</v>
      </c>
      <c r="P1130" s="27" t="s">
        <v>541</v>
      </c>
      <c r="Q1130" s="27" t="s">
        <v>542</v>
      </c>
      <c r="R1130" s="1" t="s">
        <v>543</v>
      </c>
      <c r="S1130" s="1" t="s">
        <v>544</v>
      </c>
      <c r="T1130" s="1" t="s">
        <v>545</v>
      </c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27" t="s">
        <v>1687</v>
      </c>
      <c r="B1131" s="27" t="str">
        <f t="shared" si="99"/>
        <v>Virginia</v>
      </c>
      <c r="C1131" s="27" t="str">
        <f t="shared" si="100"/>
        <v>Prince George</v>
      </c>
      <c r="D1131" s="29">
        <v>627</v>
      </c>
      <c r="E1131" s="2">
        <f>'VA pre'!I88</f>
        <v>39</v>
      </c>
      <c r="F1131" s="7">
        <v>117</v>
      </c>
      <c r="G1131" s="29">
        <v>1424</v>
      </c>
      <c r="H1131" s="28">
        <f>'VA pre'!P88</f>
        <v>25.46153846153846</v>
      </c>
      <c r="I1131" s="2">
        <v>7294.86</v>
      </c>
      <c r="J1131" s="17">
        <v>39</v>
      </c>
      <c r="K1131" s="27">
        <v>6000</v>
      </c>
      <c r="L1131" s="27">
        <v>1905</v>
      </c>
      <c r="M1131" s="27" t="s">
        <v>538</v>
      </c>
      <c r="N1131" s="1" t="s">
        <v>539</v>
      </c>
      <c r="O1131" s="27" t="s">
        <v>540</v>
      </c>
      <c r="P1131" s="27" t="s">
        <v>541</v>
      </c>
      <c r="Q1131" s="27" t="s">
        <v>542</v>
      </c>
      <c r="R1131" s="1" t="s">
        <v>543</v>
      </c>
      <c r="S1131" s="1" t="s">
        <v>544</v>
      </c>
      <c r="T1131" s="1" t="s">
        <v>545</v>
      </c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27" t="s">
        <v>1688</v>
      </c>
      <c r="B1132" s="27" t="str">
        <f t="shared" si="99"/>
        <v>Virginia</v>
      </c>
      <c r="C1132" s="27" t="str">
        <f t="shared" si="100"/>
        <v>Princess Anne</v>
      </c>
      <c r="D1132" s="29">
        <v>1217</v>
      </c>
      <c r="E1132" s="2">
        <f>'VA pre'!I89</f>
        <v>47</v>
      </c>
      <c r="F1132" s="7">
        <v>140</v>
      </c>
      <c r="G1132" s="29">
        <v>1929</v>
      </c>
      <c r="H1132" s="28">
        <f>'VA pre'!P89</f>
        <v>29.07531914893617</v>
      </c>
      <c r="I1132" s="2">
        <v>10804.46</v>
      </c>
      <c r="J1132" s="17">
        <v>39</v>
      </c>
      <c r="K1132" s="27">
        <v>18000</v>
      </c>
      <c r="L1132" s="27">
        <v>1905</v>
      </c>
      <c r="M1132" s="27" t="s">
        <v>538</v>
      </c>
      <c r="N1132" s="1" t="s">
        <v>539</v>
      </c>
      <c r="O1132" s="27" t="s">
        <v>540</v>
      </c>
      <c r="P1132" s="27" t="s">
        <v>541</v>
      </c>
      <c r="Q1132" s="27" t="s">
        <v>542</v>
      </c>
      <c r="R1132" s="1" t="s">
        <v>543</v>
      </c>
      <c r="S1132" s="1" t="s">
        <v>544</v>
      </c>
      <c r="T1132" s="1" t="s">
        <v>545</v>
      </c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27" t="s">
        <v>1689</v>
      </c>
      <c r="B1133" s="27" t="str">
        <f t="shared" si="99"/>
        <v>Virginia</v>
      </c>
      <c r="C1133" s="27" t="str">
        <f t="shared" si="100"/>
        <v>Prince William</v>
      </c>
      <c r="D1133" s="29">
        <v>1210</v>
      </c>
      <c r="E1133" s="2">
        <f>'VA pre'!I90</f>
        <v>58</v>
      </c>
      <c r="F1133" s="7">
        <v>124</v>
      </c>
      <c r="G1133" s="29">
        <v>2222</v>
      </c>
      <c r="H1133" s="28">
        <f>'VA pre'!P90</f>
        <v>27.898793103448273</v>
      </c>
      <c r="I1133" s="2">
        <v>12137.3</v>
      </c>
      <c r="J1133" s="17">
        <v>54</v>
      </c>
      <c r="K1133" s="27">
        <v>17860</v>
      </c>
      <c r="L1133" s="27">
        <v>1905</v>
      </c>
      <c r="M1133" s="27" t="s">
        <v>538</v>
      </c>
      <c r="N1133" s="1" t="s">
        <v>539</v>
      </c>
      <c r="O1133" s="27" t="s">
        <v>540</v>
      </c>
      <c r="P1133" s="27" t="s">
        <v>541</v>
      </c>
      <c r="Q1133" s="27" t="s">
        <v>542</v>
      </c>
      <c r="R1133" s="1" t="s">
        <v>543</v>
      </c>
      <c r="S1133" s="1" t="s">
        <v>544</v>
      </c>
      <c r="T1133" s="1" t="s">
        <v>545</v>
      </c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27" t="s">
        <v>1690</v>
      </c>
      <c r="B1134" s="27" t="str">
        <f t="shared" si="99"/>
        <v>Virginia</v>
      </c>
      <c r="C1134" s="27" t="str">
        <f t="shared" si="100"/>
        <v>Pulaski</v>
      </c>
      <c r="D1134" s="29">
        <v>1876</v>
      </c>
      <c r="E1134" s="2">
        <f>'VA pre'!I91</f>
        <v>74</v>
      </c>
      <c r="F1134" s="7">
        <v>123</v>
      </c>
      <c r="G1134" s="29">
        <v>3060</v>
      </c>
      <c r="H1134" s="28">
        <f>'VA pre'!P91</f>
        <v>32.030810810810806</v>
      </c>
      <c r="I1134" s="2">
        <v>17002.23</v>
      </c>
      <c r="J1134" s="17">
        <v>55</v>
      </c>
      <c r="K1134" s="27">
        <v>49640</v>
      </c>
      <c r="L1134" s="27">
        <v>1905</v>
      </c>
      <c r="M1134" s="27" t="s">
        <v>538</v>
      </c>
      <c r="N1134" s="1" t="s">
        <v>539</v>
      </c>
      <c r="O1134" s="27" t="s">
        <v>540</v>
      </c>
      <c r="P1134" s="27" t="s">
        <v>541</v>
      </c>
      <c r="Q1134" s="27" t="s">
        <v>542</v>
      </c>
      <c r="R1134" s="1" t="s">
        <v>543</v>
      </c>
      <c r="S1134" s="1" t="s">
        <v>544</v>
      </c>
      <c r="T1134" s="1" t="s">
        <v>545</v>
      </c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27" t="s">
        <v>1737</v>
      </c>
      <c r="B1135" s="27" t="str">
        <f t="shared" si="99"/>
        <v>Virginia</v>
      </c>
      <c r="C1135" s="27" t="str">
        <f t="shared" si="100"/>
        <v>Radford</v>
      </c>
      <c r="D1135" s="29">
        <v>411</v>
      </c>
      <c r="E1135" s="2">
        <f>'VA pre'!I92</f>
        <v>12</v>
      </c>
      <c r="F1135" s="7">
        <v>151</v>
      </c>
      <c r="G1135" s="29">
        <v>678</v>
      </c>
      <c r="H1135" s="28">
        <f>'VA pre'!P92</f>
        <v>44.859999999999992</v>
      </c>
      <c r="I1135" s="2">
        <v>5120.75</v>
      </c>
      <c r="J1135" s="17">
        <v>3</v>
      </c>
      <c r="K1135" s="27">
        <v>10000</v>
      </c>
      <c r="L1135" s="27">
        <v>1905</v>
      </c>
      <c r="M1135" s="27" t="s">
        <v>538</v>
      </c>
      <c r="N1135" s="1" t="s">
        <v>539</v>
      </c>
      <c r="O1135" s="27" t="s">
        <v>540</v>
      </c>
      <c r="P1135" s="27" t="s">
        <v>541</v>
      </c>
      <c r="Q1135" s="27" t="s">
        <v>542</v>
      </c>
      <c r="R1135" s="1" t="s">
        <v>543</v>
      </c>
      <c r="S1135" s="1" t="s">
        <v>544</v>
      </c>
      <c r="T1135" s="1" t="s">
        <v>545</v>
      </c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27" t="s">
        <v>1691</v>
      </c>
      <c r="B1136" s="27" t="str">
        <f t="shared" si="99"/>
        <v>Virginia</v>
      </c>
      <c r="C1136" s="27" t="str">
        <f t="shared" si="100"/>
        <v>Rappahannock</v>
      </c>
      <c r="D1136" s="29">
        <v>849</v>
      </c>
      <c r="E1136" s="2">
        <f>'VA pre'!I93</f>
        <v>49</v>
      </c>
      <c r="F1136" s="7">
        <v>117</v>
      </c>
      <c r="G1136" s="29">
        <v>1625</v>
      </c>
      <c r="H1136" s="28">
        <f>'VA pre'!P93</f>
        <v>24.1869387755102</v>
      </c>
      <c r="I1136" s="2">
        <v>8677.49</v>
      </c>
      <c r="J1136" s="17">
        <v>49</v>
      </c>
      <c r="K1136" s="27">
        <v>9950</v>
      </c>
      <c r="L1136" s="27">
        <v>1905</v>
      </c>
      <c r="M1136" s="27" t="s">
        <v>538</v>
      </c>
      <c r="N1136" s="1" t="s">
        <v>539</v>
      </c>
      <c r="O1136" s="27" t="s">
        <v>540</v>
      </c>
      <c r="P1136" s="27" t="s">
        <v>541</v>
      </c>
      <c r="Q1136" s="27" t="s">
        <v>542</v>
      </c>
      <c r="R1136" s="1" t="s">
        <v>543</v>
      </c>
      <c r="S1136" s="1" t="s">
        <v>544</v>
      </c>
      <c r="T1136" s="1" t="s">
        <v>545</v>
      </c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27" t="s">
        <v>1738</v>
      </c>
      <c r="B1137" s="27" t="str">
        <f t="shared" si="99"/>
        <v>Virginia</v>
      </c>
      <c r="C1137" s="27" t="str">
        <f t="shared" si="100"/>
        <v>Richmond City</v>
      </c>
      <c r="D1137" s="29">
        <v>10121</v>
      </c>
      <c r="E1137" s="2">
        <f>'VA pre'!I94</f>
        <v>301</v>
      </c>
      <c r="F1137" s="7">
        <v>180</v>
      </c>
      <c r="G1137" s="29">
        <v>12481</v>
      </c>
      <c r="H1137" s="28">
        <f>'VA pre'!P94</f>
        <v>55.462624584717609</v>
      </c>
      <c r="I1137" s="2">
        <v>182986.18</v>
      </c>
      <c r="J1137" s="17">
        <v>19</v>
      </c>
      <c r="K1137" s="27">
        <v>510745.5</v>
      </c>
      <c r="L1137" s="27">
        <v>1905</v>
      </c>
      <c r="M1137" s="27" t="s">
        <v>538</v>
      </c>
      <c r="N1137" s="1" t="s">
        <v>539</v>
      </c>
      <c r="O1137" s="27" t="s">
        <v>540</v>
      </c>
      <c r="P1137" s="27" t="s">
        <v>541</v>
      </c>
      <c r="Q1137" s="27" t="s">
        <v>542</v>
      </c>
      <c r="R1137" s="1" t="s">
        <v>543</v>
      </c>
      <c r="S1137" s="1" t="s">
        <v>544</v>
      </c>
      <c r="T1137" s="1" t="s">
        <v>545</v>
      </c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27" t="s">
        <v>1692</v>
      </c>
      <c r="B1138" s="27" t="str">
        <f t="shared" si="99"/>
        <v>Virginia</v>
      </c>
      <c r="C1138" s="27" t="str">
        <f t="shared" si="100"/>
        <v>Richmond</v>
      </c>
      <c r="D1138" s="29">
        <v>719</v>
      </c>
      <c r="E1138" s="2">
        <f>'VA pre'!I95</f>
        <v>37</v>
      </c>
      <c r="F1138" s="7">
        <v>99</v>
      </c>
      <c r="G1138" s="29">
        <v>1374</v>
      </c>
      <c r="H1138" s="28">
        <f>'VA pre'!P95</f>
        <v>25.370540540540542</v>
      </c>
      <c r="I1138" s="2">
        <v>6276.94</v>
      </c>
      <c r="J1138" s="17">
        <v>34</v>
      </c>
      <c r="K1138" s="27">
        <v>7600</v>
      </c>
      <c r="L1138" s="27">
        <v>1905</v>
      </c>
      <c r="M1138" s="27" t="s">
        <v>538</v>
      </c>
      <c r="N1138" s="1" t="s">
        <v>539</v>
      </c>
      <c r="O1138" s="27" t="s">
        <v>540</v>
      </c>
      <c r="P1138" s="27" t="s">
        <v>541</v>
      </c>
      <c r="Q1138" s="27" t="s">
        <v>542</v>
      </c>
      <c r="R1138" s="1" t="s">
        <v>543</v>
      </c>
      <c r="S1138" s="1" t="s">
        <v>544</v>
      </c>
      <c r="T1138" s="1" t="s">
        <v>545</v>
      </c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27" t="s">
        <v>1739</v>
      </c>
      <c r="B1139" s="27" t="str">
        <f t="shared" si="99"/>
        <v>Virginia</v>
      </c>
      <c r="C1139" s="27" t="str">
        <f t="shared" si="100"/>
        <v>Roanoke City</v>
      </c>
      <c r="D1139" s="29">
        <v>2166</v>
      </c>
      <c r="E1139" s="2">
        <f>'VA pre'!I96</f>
        <v>80</v>
      </c>
      <c r="F1139" s="7">
        <v>174</v>
      </c>
      <c r="G1139" s="29">
        <v>4534</v>
      </c>
      <c r="H1139" s="28">
        <f>'VA pre'!P96</f>
        <v>50.574625000000005</v>
      </c>
      <c r="I1139" s="2">
        <v>42418.35</v>
      </c>
      <c r="J1139" s="17">
        <v>8</v>
      </c>
      <c r="K1139" s="27">
        <v>150000</v>
      </c>
      <c r="L1139" s="27">
        <v>1905</v>
      </c>
      <c r="M1139" s="27" t="s">
        <v>538</v>
      </c>
      <c r="N1139" s="1" t="s">
        <v>539</v>
      </c>
      <c r="O1139" s="27" t="s">
        <v>540</v>
      </c>
      <c r="P1139" s="27" t="s">
        <v>541</v>
      </c>
      <c r="Q1139" s="27" t="s">
        <v>542</v>
      </c>
      <c r="R1139" s="1" t="s">
        <v>543</v>
      </c>
      <c r="S1139" s="1" t="s">
        <v>544</v>
      </c>
      <c r="T1139" s="1" t="s">
        <v>545</v>
      </c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27" t="s">
        <v>1693</v>
      </c>
      <c r="B1140" s="27" t="str">
        <f t="shared" si="99"/>
        <v>Virginia</v>
      </c>
      <c r="C1140" s="27" t="str">
        <f t="shared" si="100"/>
        <v>Roanoke</v>
      </c>
      <c r="D1140" s="29">
        <v>2224</v>
      </c>
      <c r="E1140" s="2">
        <f>'VA pre'!I97</f>
        <v>89</v>
      </c>
      <c r="F1140" s="7">
        <v>116</v>
      </c>
      <c r="G1140" s="29">
        <v>3414</v>
      </c>
      <c r="H1140" s="28">
        <f>'VA pre'!P97</f>
        <v>32.088539325842696</v>
      </c>
      <c r="I1140" s="2">
        <v>22948.98</v>
      </c>
      <c r="J1140" s="17">
        <v>69</v>
      </c>
      <c r="K1140" s="27">
        <v>54100</v>
      </c>
      <c r="L1140" s="27">
        <v>1905</v>
      </c>
      <c r="M1140" s="27" t="s">
        <v>538</v>
      </c>
      <c r="N1140" s="1" t="s">
        <v>539</v>
      </c>
      <c r="O1140" s="27" t="s">
        <v>540</v>
      </c>
      <c r="P1140" s="27" t="s">
        <v>541</v>
      </c>
      <c r="Q1140" s="27" t="s">
        <v>542</v>
      </c>
      <c r="R1140" s="1" t="s">
        <v>543</v>
      </c>
      <c r="S1140" s="1" t="s">
        <v>544</v>
      </c>
      <c r="T1140" s="1" t="s">
        <v>545</v>
      </c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27" t="s">
        <v>1694</v>
      </c>
      <c r="B1141" s="27" t="str">
        <f t="shared" si="99"/>
        <v>Virginia</v>
      </c>
      <c r="C1141" s="27" t="str">
        <f t="shared" si="100"/>
        <v>Rockbridge</v>
      </c>
      <c r="D1141" s="29">
        <v>3069</v>
      </c>
      <c r="E1141" s="2">
        <f>'VA pre'!I98</f>
        <v>140</v>
      </c>
      <c r="F1141" s="7">
        <v>117</v>
      </c>
      <c r="G1141" s="29">
        <v>4494</v>
      </c>
      <c r="H1141" s="28">
        <f>'VA pre'!P98</f>
        <v>27.682714285714283</v>
      </c>
      <c r="I1141" s="2">
        <v>22629.8</v>
      </c>
      <c r="J1141" s="17">
        <v>118</v>
      </c>
      <c r="K1141" s="27">
        <v>39400</v>
      </c>
      <c r="L1141" s="27">
        <v>1905</v>
      </c>
      <c r="M1141" s="27" t="s">
        <v>538</v>
      </c>
      <c r="N1141" s="1" t="s">
        <v>539</v>
      </c>
      <c r="O1141" s="27" t="s">
        <v>540</v>
      </c>
      <c r="P1141" s="27" t="s">
        <v>541</v>
      </c>
      <c r="Q1141" s="27" t="s">
        <v>542</v>
      </c>
      <c r="R1141" s="1" t="s">
        <v>543</v>
      </c>
      <c r="S1141" s="1" t="s">
        <v>544</v>
      </c>
      <c r="T1141" s="1" t="s">
        <v>545</v>
      </c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27" t="s">
        <v>1695</v>
      </c>
      <c r="B1142" s="27" t="str">
        <f t="shared" si="99"/>
        <v>Virginia</v>
      </c>
      <c r="C1142" s="27" t="str">
        <f t="shared" si="100"/>
        <v>Rockingham</v>
      </c>
      <c r="D1142" s="29">
        <v>4855</v>
      </c>
      <c r="E1142" s="2">
        <f>'VA pre'!I99</f>
        <v>228</v>
      </c>
      <c r="F1142" s="7">
        <v>112</v>
      </c>
      <c r="G1142" s="29">
        <v>7639</v>
      </c>
      <c r="H1142" s="28">
        <f>'VA pre'!P99</f>
        <v>30.192456140350874</v>
      </c>
      <c r="I1142" s="2">
        <v>46857.56</v>
      </c>
      <c r="J1142" s="17">
        <v>173</v>
      </c>
      <c r="K1142" s="27">
        <v>103555.73</v>
      </c>
      <c r="L1142" s="27">
        <v>1905</v>
      </c>
      <c r="M1142" s="27" t="s">
        <v>538</v>
      </c>
      <c r="N1142" s="1" t="s">
        <v>539</v>
      </c>
      <c r="O1142" s="27" t="s">
        <v>540</v>
      </c>
      <c r="P1142" s="27" t="s">
        <v>541</v>
      </c>
      <c r="Q1142" s="27" t="s">
        <v>542</v>
      </c>
      <c r="R1142" s="1" t="s">
        <v>543</v>
      </c>
      <c r="S1142" s="1" t="s">
        <v>544</v>
      </c>
      <c r="T1142" s="1" t="s">
        <v>545</v>
      </c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27" t="s">
        <v>1696</v>
      </c>
      <c r="B1143" s="27" t="str">
        <f t="shared" si="99"/>
        <v>Virginia</v>
      </c>
      <c r="C1143" s="27" t="str">
        <f t="shared" si="100"/>
        <v>Russell</v>
      </c>
      <c r="D1143" s="29">
        <v>2830</v>
      </c>
      <c r="E1143" s="2">
        <f>'VA pre'!I100</f>
        <v>96</v>
      </c>
      <c r="F1143" s="7">
        <v>99</v>
      </c>
      <c r="G1143" s="29">
        <v>5222</v>
      </c>
      <c r="H1143" s="28">
        <f>'VA pre'!P100</f>
        <v>26.294270833333332</v>
      </c>
      <c r="I1143" s="2">
        <v>15280.07</v>
      </c>
      <c r="J1143" s="17">
        <v>89</v>
      </c>
      <c r="K1143" s="27">
        <v>30750</v>
      </c>
      <c r="L1143" s="27">
        <v>1905</v>
      </c>
      <c r="M1143" s="27" t="s">
        <v>538</v>
      </c>
      <c r="N1143" s="1" t="s">
        <v>539</v>
      </c>
      <c r="O1143" s="27" t="s">
        <v>540</v>
      </c>
      <c r="P1143" s="27" t="s">
        <v>541</v>
      </c>
      <c r="Q1143" s="27" t="s">
        <v>542</v>
      </c>
      <c r="R1143" s="1" t="s">
        <v>543</v>
      </c>
      <c r="S1143" s="1" t="s">
        <v>544</v>
      </c>
      <c r="T1143" s="1" t="s">
        <v>545</v>
      </c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27" t="s">
        <v>1697</v>
      </c>
      <c r="B1144" s="27" t="str">
        <f t="shared" si="99"/>
        <v>Virginia</v>
      </c>
      <c r="C1144" s="27" t="str">
        <f t="shared" si="100"/>
        <v>Scott</v>
      </c>
      <c r="D1144" s="29">
        <v>4250</v>
      </c>
      <c r="E1144" s="2">
        <f>'VA pre'!I101</f>
        <v>100</v>
      </c>
      <c r="F1144" s="7">
        <v>100</v>
      </c>
      <c r="G1144" s="29">
        <v>7410</v>
      </c>
      <c r="H1144" s="28">
        <f>'VA pre'!P101</f>
        <v>33.442399999999999</v>
      </c>
      <c r="I1144" s="2">
        <v>17576.64</v>
      </c>
      <c r="J1144" s="17">
        <v>100</v>
      </c>
      <c r="K1144" s="27">
        <v>74000</v>
      </c>
      <c r="L1144" s="27">
        <v>1905</v>
      </c>
      <c r="M1144" s="27" t="s">
        <v>538</v>
      </c>
      <c r="N1144" s="1" t="s">
        <v>539</v>
      </c>
      <c r="O1144" s="27" t="s">
        <v>540</v>
      </c>
      <c r="P1144" s="27" t="s">
        <v>541</v>
      </c>
      <c r="Q1144" s="27" t="s">
        <v>542</v>
      </c>
      <c r="R1144" s="1" t="s">
        <v>543</v>
      </c>
      <c r="S1144" s="1" t="s">
        <v>544</v>
      </c>
      <c r="T1144" s="1" t="s">
        <v>545</v>
      </c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27" t="s">
        <v>1698</v>
      </c>
      <c r="B1145" s="27" t="str">
        <f t="shared" si="99"/>
        <v>Virginia</v>
      </c>
      <c r="C1145" s="27" t="str">
        <f t="shared" si="100"/>
        <v>Shenandoah</v>
      </c>
      <c r="D1145" s="29">
        <v>2851</v>
      </c>
      <c r="E1145" s="2">
        <f>'VA pre'!I102</f>
        <v>122</v>
      </c>
      <c r="F1145" s="7">
        <v>100</v>
      </c>
      <c r="G1145" s="29">
        <v>4193</v>
      </c>
      <c r="H1145" s="28">
        <f>'VA pre'!P102</f>
        <v>25.556557377049181</v>
      </c>
      <c r="I1145" s="2">
        <v>17902.439999999999</v>
      </c>
      <c r="J1145" s="17">
        <v>105</v>
      </c>
      <c r="K1145" s="27">
        <v>52200</v>
      </c>
      <c r="L1145" s="27">
        <v>1905</v>
      </c>
      <c r="M1145" s="27" t="s">
        <v>538</v>
      </c>
      <c r="N1145" s="1" t="s">
        <v>539</v>
      </c>
      <c r="O1145" s="27" t="s">
        <v>540</v>
      </c>
      <c r="P1145" s="27" t="s">
        <v>541</v>
      </c>
      <c r="Q1145" s="27" t="s">
        <v>542</v>
      </c>
      <c r="R1145" s="1" t="s">
        <v>543</v>
      </c>
      <c r="S1145" s="1" t="s">
        <v>544</v>
      </c>
      <c r="T1145" s="1" t="s">
        <v>545</v>
      </c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27" t="s">
        <v>1699</v>
      </c>
      <c r="B1146" s="27" t="str">
        <f t="shared" si="99"/>
        <v>Virginia</v>
      </c>
      <c r="C1146" s="27" t="str">
        <f t="shared" si="100"/>
        <v>Smyth</v>
      </c>
      <c r="D1146" s="29">
        <v>2005</v>
      </c>
      <c r="E1146" s="2">
        <f>'VA pre'!I103</f>
        <v>82</v>
      </c>
      <c r="F1146" s="7">
        <v>123</v>
      </c>
      <c r="G1146" s="29">
        <v>3536</v>
      </c>
      <c r="H1146" s="28">
        <f>'VA pre'!P103</f>
        <v>28.982682926829266</v>
      </c>
      <c r="I1146" s="2">
        <v>14261.95</v>
      </c>
      <c r="J1146" s="17">
        <v>70</v>
      </c>
      <c r="K1146" s="27">
        <v>46161.26</v>
      </c>
      <c r="L1146" s="27">
        <v>1905</v>
      </c>
      <c r="M1146" s="27" t="s">
        <v>538</v>
      </c>
      <c r="N1146" s="1" t="s">
        <v>539</v>
      </c>
      <c r="O1146" s="27" t="s">
        <v>540</v>
      </c>
      <c r="P1146" s="27" t="s">
        <v>541</v>
      </c>
      <c r="Q1146" s="27" t="s">
        <v>542</v>
      </c>
      <c r="R1146" s="1" t="s">
        <v>543</v>
      </c>
      <c r="S1146" s="1" t="s">
        <v>544</v>
      </c>
      <c r="T1146" s="1" t="s">
        <v>545</v>
      </c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27" t="s">
        <v>1700</v>
      </c>
      <c r="B1147" s="27" t="str">
        <f t="shared" si="99"/>
        <v>Virginia</v>
      </c>
      <c r="C1147" s="27" t="str">
        <f t="shared" si="100"/>
        <v>Southampton</v>
      </c>
      <c r="D1147" s="29">
        <v>2333</v>
      </c>
      <c r="E1147" s="2">
        <f>'VA pre'!I104</f>
        <v>114</v>
      </c>
      <c r="F1147" s="7">
        <v>120</v>
      </c>
      <c r="G1147" s="29">
        <v>4752</v>
      </c>
      <c r="H1147" s="28">
        <f>'VA pre'!P104</f>
        <v>30.100350877192984</v>
      </c>
      <c r="I1147" s="2">
        <v>22398.93</v>
      </c>
      <c r="J1147" s="17">
        <v>102</v>
      </c>
      <c r="K1147" s="27">
        <v>19200</v>
      </c>
      <c r="L1147" s="27">
        <v>1905</v>
      </c>
      <c r="M1147" s="27" t="s">
        <v>538</v>
      </c>
      <c r="N1147" s="1" t="s">
        <v>539</v>
      </c>
      <c r="O1147" s="27" t="s">
        <v>540</v>
      </c>
      <c r="P1147" s="27" t="s">
        <v>541</v>
      </c>
      <c r="Q1147" s="27" t="s">
        <v>542</v>
      </c>
      <c r="R1147" s="1" t="s">
        <v>543</v>
      </c>
      <c r="S1147" s="1" t="s">
        <v>544</v>
      </c>
      <c r="T1147" s="1" t="s">
        <v>545</v>
      </c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27" t="s">
        <v>1701</v>
      </c>
      <c r="B1148" s="27" t="str">
        <f t="shared" si="99"/>
        <v>Virginia</v>
      </c>
      <c r="C1148" s="27" t="str">
        <f t="shared" si="100"/>
        <v>Spotsylvania</v>
      </c>
      <c r="D1148" s="29">
        <v>858</v>
      </c>
      <c r="E1148" s="2">
        <f>'VA pre'!I105</f>
        <v>55</v>
      </c>
      <c r="F1148" s="7">
        <v>99</v>
      </c>
      <c r="G1148" s="29">
        <v>1605</v>
      </c>
      <c r="H1148" s="28">
        <f>'VA pre'!P105</f>
        <v>20.983454545454549</v>
      </c>
      <c r="I1148" s="2">
        <v>7435.8</v>
      </c>
      <c r="J1148" s="17">
        <v>52</v>
      </c>
      <c r="K1148" s="27">
        <v>1625</v>
      </c>
      <c r="L1148" s="27">
        <v>1905</v>
      </c>
      <c r="M1148" s="27" t="s">
        <v>538</v>
      </c>
      <c r="N1148" s="1" t="s">
        <v>539</v>
      </c>
      <c r="O1148" s="27" t="s">
        <v>540</v>
      </c>
      <c r="P1148" s="27" t="s">
        <v>541</v>
      </c>
      <c r="Q1148" s="27" t="s">
        <v>542</v>
      </c>
      <c r="R1148" s="1" t="s">
        <v>543</v>
      </c>
      <c r="S1148" s="1" t="s">
        <v>544</v>
      </c>
      <c r="T1148" s="1" t="s">
        <v>545</v>
      </c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27" t="s">
        <v>1702</v>
      </c>
      <c r="B1149" s="27" t="str">
        <f t="shared" si="99"/>
        <v>Virginia</v>
      </c>
      <c r="C1149" s="27" t="str">
        <f t="shared" si="100"/>
        <v>Stafford</v>
      </c>
      <c r="D1149" s="29">
        <v>754</v>
      </c>
      <c r="E1149" s="2">
        <f>'VA pre'!I106</f>
        <v>41</v>
      </c>
      <c r="F1149" s="7">
        <v>114</v>
      </c>
      <c r="G1149" s="29">
        <v>1471</v>
      </c>
      <c r="H1149" s="28">
        <f>'VA pre'!P106</f>
        <v>24.091951219512193</v>
      </c>
      <c r="I1149" s="2">
        <v>7017.72</v>
      </c>
      <c r="J1149" s="17">
        <v>41</v>
      </c>
      <c r="K1149" s="27">
        <v>9123</v>
      </c>
      <c r="L1149" s="27">
        <v>1905</v>
      </c>
      <c r="M1149" s="27" t="s">
        <v>538</v>
      </c>
      <c r="N1149" s="1" t="s">
        <v>539</v>
      </c>
      <c r="O1149" s="27" t="s">
        <v>540</v>
      </c>
      <c r="P1149" s="27" t="s">
        <v>541</v>
      </c>
      <c r="Q1149" s="27" t="s">
        <v>542</v>
      </c>
      <c r="R1149" s="1" t="s">
        <v>543</v>
      </c>
      <c r="S1149" s="1" t="s">
        <v>544</v>
      </c>
      <c r="T1149" s="1" t="s">
        <v>545</v>
      </c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27" t="s">
        <v>1741</v>
      </c>
      <c r="B1150" s="27" t="str">
        <f t="shared" si="99"/>
        <v>Virginia</v>
      </c>
      <c r="C1150" s="27" t="str">
        <f t="shared" si="100"/>
        <v>Staunton</v>
      </c>
      <c r="D1150" s="29">
        <v>763</v>
      </c>
      <c r="E1150" s="2">
        <f>'VA pre'!I107</f>
        <v>26</v>
      </c>
      <c r="F1150" s="7">
        <v>182</v>
      </c>
      <c r="G1150" s="29">
        <v>919</v>
      </c>
      <c r="H1150" s="28">
        <f>'VA pre'!P107</f>
        <v>40.985384615384611</v>
      </c>
      <c r="I1150" s="2">
        <v>12133.7</v>
      </c>
      <c r="J1150" s="17">
        <v>3</v>
      </c>
      <c r="K1150" s="27">
        <v>57200</v>
      </c>
      <c r="L1150" s="27">
        <v>1905</v>
      </c>
      <c r="M1150" s="27" t="s">
        <v>538</v>
      </c>
      <c r="N1150" s="1" t="s">
        <v>539</v>
      </c>
      <c r="O1150" s="27" t="s">
        <v>540</v>
      </c>
      <c r="P1150" s="27" t="s">
        <v>541</v>
      </c>
      <c r="Q1150" s="27" t="s">
        <v>542</v>
      </c>
      <c r="R1150" s="1" t="s">
        <v>543</v>
      </c>
      <c r="S1150" s="1" t="s">
        <v>544</v>
      </c>
      <c r="T1150" s="1" t="s">
        <v>545</v>
      </c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27" t="s">
        <v>1703</v>
      </c>
      <c r="B1151" s="27" t="str">
        <f t="shared" si="99"/>
        <v>Virginia</v>
      </c>
      <c r="C1151" s="27" t="str">
        <f t="shared" si="100"/>
        <v>Surry</v>
      </c>
      <c r="D1151" s="29">
        <v>717</v>
      </c>
      <c r="E1151" s="2">
        <f>'VA pre'!I108</f>
        <v>38</v>
      </c>
      <c r="F1151" s="7">
        <v>109</v>
      </c>
      <c r="G1151" s="29">
        <v>1425</v>
      </c>
      <c r="H1151" s="28">
        <f>'VA pre'!P108</f>
        <v>27.164473684210527</v>
      </c>
      <c r="I1151" s="2">
        <v>7257.65</v>
      </c>
      <c r="J1151" s="17">
        <v>39</v>
      </c>
      <c r="K1151" s="27">
        <v>11797</v>
      </c>
      <c r="L1151" s="27">
        <v>1905</v>
      </c>
      <c r="M1151" s="27" t="s">
        <v>538</v>
      </c>
      <c r="N1151" s="1" t="s">
        <v>539</v>
      </c>
      <c r="O1151" s="27" t="s">
        <v>540</v>
      </c>
      <c r="P1151" s="27" t="s">
        <v>541</v>
      </c>
      <c r="Q1151" s="27" t="s">
        <v>542</v>
      </c>
      <c r="R1151" s="1" t="s">
        <v>543</v>
      </c>
      <c r="S1151" s="1" t="s">
        <v>544</v>
      </c>
      <c r="T1151" s="1" t="s">
        <v>545</v>
      </c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27" t="s">
        <v>1704</v>
      </c>
      <c r="B1152" s="27" t="str">
        <f t="shared" si="99"/>
        <v>Virginia</v>
      </c>
      <c r="C1152" s="27" t="str">
        <f t="shared" si="100"/>
        <v>Sussex</v>
      </c>
      <c r="D1152" s="29">
        <v>951</v>
      </c>
      <c r="E1152" s="2">
        <f>'VA pre'!I109</f>
        <v>57</v>
      </c>
      <c r="F1152" s="7">
        <v>117</v>
      </c>
      <c r="G1152" s="29">
        <v>2206</v>
      </c>
      <c r="H1152" s="28">
        <f>'VA pre'!P109</f>
        <v>26.085789473684208</v>
      </c>
      <c r="I1152" s="2">
        <v>10371.26</v>
      </c>
      <c r="J1152" s="17">
        <v>51</v>
      </c>
      <c r="K1152" s="27">
        <v>14200</v>
      </c>
      <c r="L1152" s="27">
        <v>1905</v>
      </c>
      <c r="M1152" s="27" t="s">
        <v>538</v>
      </c>
      <c r="N1152" s="1" t="s">
        <v>539</v>
      </c>
      <c r="O1152" s="27" t="s">
        <v>540</v>
      </c>
      <c r="P1152" s="27" t="s">
        <v>541</v>
      </c>
      <c r="Q1152" s="27" t="s">
        <v>542</v>
      </c>
      <c r="R1152" s="1" t="s">
        <v>543</v>
      </c>
      <c r="S1152" s="1" t="s">
        <v>544</v>
      </c>
      <c r="T1152" s="1" t="s">
        <v>545</v>
      </c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27" t="s">
        <v>1705</v>
      </c>
      <c r="B1153" s="27" t="str">
        <f t="shared" si="99"/>
        <v>Virginia</v>
      </c>
      <c r="C1153" s="27" t="str">
        <f t="shared" si="100"/>
        <v>Tazewell</v>
      </c>
      <c r="D1153" s="29">
        <v>2931</v>
      </c>
      <c r="E1153" s="2">
        <f>'VA pre'!I110</f>
        <v>126</v>
      </c>
      <c r="F1153" s="7">
        <v>110</v>
      </c>
      <c r="G1153" s="29">
        <v>5085</v>
      </c>
      <c r="H1153" s="28">
        <f>'VA pre'!P110</f>
        <v>28.866587301587298</v>
      </c>
      <c r="I1153" s="2">
        <v>20228.27</v>
      </c>
      <c r="J1153" s="17">
        <v>111</v>
      </c>
      <c r="K1153" s="27">
        <v>52669</v>
      </c>
      <c r="L1153" s="27">
        <v>1905</v>
      </c>
      <c r="M1153" s="27" t="s">
        <v>538</v>
      </c>
      <c r="N1153" s="1" t="s">
        <v>539</v>
      </c>
      <c r="O1153" s="27" t="s">
        <v>540</v>
      </c>
      <c r="P1153" s="27" t="s">
        <v>541</v>
      </c>
      <c r="Q1153" s="27" t="s">
        <v>542</v>
      </c>
      <c r="R1153" s="1" t="s">
        <v>543</v>
      </c>
      <c r="S1153" s="1" t="s">
        <v>544</v>
      </c>
      <c r="T1153" s="1" t="s">
        <v>545</v>
      </c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27" t="s">
        <v>1706</v>
      </c>
      <c r="B1154" s="27" t="str">
        <f t="shared" si="99"/>
        <v>Virginia</v>
      </c>
      <c r="C1154" s="27" t="str">
        <f t="shared" si="100"/>
        <v>Warren</v>
      </c>
      <c r="D1154" s="29">
        <v>1145</v>
      </c>
      <c r="E1154" s="2">
        <f>'VA pre'!I111</f>
        <v>53</v>
      </c>
      <c r="F1154" s="7">
        <v>119</v>
      </c>
      <c r="G1154" s="29">
        <v>1871</v>
      </c>
      <c r="H1154" s="28">
        <f>'VA pre'!P111</f>
        <v>26.194150943396231</v>
      </c>
      <c r="I1154" s="2">
        <v>11310.41</v>
      </c>
      <c r="J1154" s="17">
        <v>42</v>
      </c>
      <c r="K1154" s="27">
        <v>20150</v>
      </c>
      <c r="L1154" s="27">
        <v>1905</v>
      </c>
      <c r="M1154" s="27" t="s">
        <v>538</v>
      </c>
      <c r="N1154" s="1" t="s">
        <v>539</v>
      </c>
      <c r="O1154" s="27" t="s">
        <v>540</v>
      </c>
      <c r="P1154" s="27" t="s">
        <v>541</v>
      </c>
      <c r="Q1154" s="27" t="s">
        <v>542</v>
      </c>
      <c r="R1154" s="1" t="s">
        <v>543</v>
      </c>
      <c r="S1154" s="1" t="s">
        <v>544</v>
      </c>
      <c r="T1154" s="1" t="s">
        <v>545</v>
      </c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27" t="s">
        <v>1707</v>
      </c>
      <c r="B1155" s="27" t="str">
        <f t="shared" si="99"/>
        <v>Virginia</v>
      </c>
      <c r="C1155" s="27" t="str">
        <f t="shared" si="100"/>
        <v>Warwick</v>
      </c>
      <c r="D1155" s="29">
        <v>413</v>
      </c>
      <c r="E1155" s="2">
        <f>'VA pre'!I112</f>
        <v>25</v>
      </c>
      <c r="F1155" s="7">
        <v>128</v>
      </c>
      <c r="G1155" s="29">
        <v>754</v>
      </c>
      <c r="H1155" s="28">
        <f>'VA pre'!P112</f>
        <v>29.896000000000004</v>
      </c>
      <c r="I1155" s="2">
        <v>6729.01</v>
      </c>
      <c r="J1155" s="17">
        <v>21</v>
      </c>
      <c r="K1155" s="27">
        <v>4500</v>
      </c>
      <c r="L1155" s="27">
        <v>1905</v>
      </c>
      <c r="M1155" s="27" t="s">
        <v>538</v>
      </c>
      <c r="N1155" s="1" t="s">
        <v>539</v>
      </c>
      <c r="O1155" s="27" t="s">
        <v>540</v>
      </c>
      <c r="P1155" s="27" t="s">
        <v>541</v>
      </c>
      <c r="Q1155" s="27" t="s">
        <v>542</v>
      </c>
      <c r="R1155" s="1" t="s">
        <v>543</v>
      </c>
      <c r="S1155" s="1" t="s">
        <v>544</v>
      </c>
      <c r="T1155" s="1" t="s">
        <v>545</v>
      </c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27" t="s">
        <v>1708</v>
      </c>
      <c r="B1156" s="27" t="str">
        <f t="shared" si="99"/>
        <v>Virginia</v>
      </c>
      <c r="C1156" s="27" t="str">
        <f t="shared" si="100"/>
        <v>Washington</v>
      </c>
      <c r="D1156" s="29">
        <v>3537</v>
      </c>
      <c r="E1156" s="2">
        <f>'VA pre'!I113</f>
        <v>138</v>
      </c>
      <c r="F1156" s="7">
        <v>114</v>
      </c>
      <c r="G1156" s="29">
        <v>6505</v>
      </c>
      <c r="H1156" s="28">
        <f>'VA pre'!P113</f>
        <v>28.457101449275363</v>
      </c>
      <c r="I1156" s="2">
        <v>26995.96</v>
      </c>
      <c r="J1156" s="17">
        <v>136</v>
      </c>
      <c r="K1156" s="27">
        <v>62200</v>
      </c>
      <c r="L1156" s="27">
        <v>1905</v>
      </c>
      <c r="M1156" s="27" t="s">
        <v>538</v>
      </c>
      <c r="N1156" s="1" t="s">
        <v>539</v>
      </c>
      <c r="O1156" s="27" t="s">
        <v>540</v>
      </c>
      <c r="P1156" s="27" t="s">
        <v>541</v>
      </c>
      <c r="Q1156" s="27" t="s">
        <v>542</v>
      </c>
      <c r="R1156" s="1" t="s">
        <v>543</v>
      </c>
      <c r="S1156" s="1" t="s">
        <v>544</v>
      </c>
      <c r="T1156" s="1" t="s">
        <v>545</v>
      </c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27" t="s">
        <v>1709</v>
      </c>
      <c r="B1157" s="27" t="str">
        <f t="shared" si="99"/>
        <v>Virginia</v>
      </c>
      <c r="C1157" s="27" t="str">
        <f t="shared" si="100"/>
        <v>Westmoreland</v>
      </c>
      <c r="D1157" s="29">
        <v>795</v>
      </c>
      <c r="E1157" s="2">
        <f>'VA pre'!I114</f>
        <v>45</v>
      </c>
      <c r="F1157" s="30">
        <v>123</v>
      </c>
      <c r="G1157" s="29">
        <v>1645</v>
      </c>
      <c r="H1157" s="28">
        <f>'VA pre'!P114</f>
        <v>24.46466666666667</v>
      </c>
      <c r="I1157" s="2">
        <v>7831.21</v>
      </c>
      <c r="J1157" s="17">
        <v>45</v>
      </c>
      <c r="K1157" s="27">
        <v>6793</v>
      </c>
      <c r="L1157" s="27">
        <v>1905</v>
      </c>
      <c r="M1157" s="27" t="s">
        <v>538</v>
      </c>
      <c r="N1157" s="1" t="s">
        <v>539</v>
      </c>
      <c r="O1157" s="27" t="s">
        <v>540</v>
      </c>
      <c r="P1157" s="27" t="s">
        <v>541</v>
      </c>
      <c r="Q1157" s="27" t="s">
        <v>542</v>
      </c>
      <c r="R1157" s="1" t="s">
        <v>543</v>
      </c>
      <c r="S1157" s="1" t="s">
        <v>544</v>
      </c>
      <c r="T1157" s="1" t="s">
        <v>545</v>
      </c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27" t="s">
        <v>1743</v>
      </c>
      <c r="B1158" s="27" t="str">
        <f t="shared" si="99"/>
        <v>Virginia</v>
      </c>
      <c r="C1158" s="27" t="str">
        <f t="shared" si="100"/>
        <v>Williamsburg City</v>
      </c>
      <c r="D1158" s="29">
        <v>202</v>
      </c>
      <c r="E1158" s="2">
        <f>'VA pre'!I115</f>
        <v>10</v>
      </c>
      <c r="F1158" s="30">
        <v>166</v>
      </c>
      <c r="G1158" s="29">
        <v>269</v>
      </c>
      <c r="H1158" s="28">
        <f>'VA pre'!P115</f>
        <v>38.46</v>
      </c>
      <c r="I1158" s="2">
        <v>2372.98</v>
      </c>
      <c r="J1158" s="17">
        <v>2</v>
      </c>
      <c r="K1158" s="27">
        <v>5500</v>
      </c>
      <c r="L1158" s="27">
        <v>1905</v>
      </c>
      <c r="M1158" s="27" t="s">
        <v>538</v>
      </c>
      <c r="N1158" s="1" t="s">
        <v>539</v>
      </c>
      <c r="O1158" s="27" t="s">
        <v>540</v>
      </c>
      <c r="P1158" s="27" t="s">
        <v>541</v>
      </c>
      <c r="Q1158" s="27" t="s">
        <v>542</v>
      </c>
      <c r="R1158" s="1" t="s">
        <v>543</v>
      </c>
      <c r="S1158" s="1" t="s">
        <v>544</v>
      </c>
      <c r="T1158" s="1" t="s">
        <v>545</v>
      </c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27" t="s">
        <v>1744</v>
      </c>
      <c r="B1159" s="27" t="str">
        <f t="shared" si="99"/>
        <v>Virginia</v>
      </c>
      <c r="C1159" s="27" t="str">
        <f t="shared" si="100"/>
        <v>Winchester</v>
      </c>
      <c r="D1159" s="29">
        <v>590</v>
      </c>
      <c r="E1159" s="2">
        <f>'VA pre'!I116</f>
        <v>14</v>
      </c>
      <c r="F1159" s="30">
        <v>190</v>
      </c>
      <c r="G1159" s="29">
        <v>774</v>
      </c>
      <c r="H1159" s="28">
        <f>'VA pre'!P116</f>
        <v>41.268571428571427</v>
      </c>
      <c r="I1159" s="2">
        <v>7640</v>
      </c>
      <c r="J1159" s="17">
        <v>2</v>
      </c>
      <c r="K1159" s="27">
        <v>16600</v>
      </c>
      <c r="L1159" s="27">
        <v>1905</v>
      </c>
      <c r="M1159" s="27" t="s">
        <v>538</v>
      </c>
      <c r="N1159" s="1" t="s">
        <v>539</v>
      </c>
      <c r="O1159" s="27" t="s">
        <v>540</v>
      </c>
      <c r="P1159" s="27" t="s">
        <v>541</v>
      </c>
      <c r="Q1159" s="27" t="s">
        <v>542</v>
      </c>
      <c r="R1159" s="1" t="s">
        <v>543</v>
      </c>
      <c r="S1159" s="1" t="s">
        <v>544</v>
      </c>
      <c r="T1159" s="1" t="s">
        <v>545</v>
      </c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27" t="s">
        <v>1710</v>
      </c>
      <c r="B1160" s="27" t="str">
        <f t="shared" si="99"/>
        <v>Virginia</v>
      </c>
      <c r="C1160" s="27" t="str">
        <f t="shared" si="100"/>
        <v>Wise</v>
      </c>
      <c r="D1160" s="29">
        <v>3382</v>
      </c>
      <c r="E1160" s="2">
        <f>'VA pre'!I117</f>
        <v>115</v>
      </c>
      <c r="F1160" s="30">
        <v>116</v>
      </c>
      <c r="G1160" s="29">
        <v>6774</v>
      </c>
      <c r="H1160" s="28">
        <f>'VA pre'!P117</f>
        <v>37.924782608695658</v>
      </c>
      <c r="I1160" s="2">
        <v>41167.67</v>
      </c>
      <c r="J1160" s="17">
        <v>76</v>
      </c>
      <c r="K1160" s="27">
        <v>59500</v>
      </c>
      <c r="L1160" s="27">
        <v>1905</v>
      </c>
      <c r="M1160" s="27" t="s">
        <v>538</v>
      </c>
      <c r="N1160" s="1" t="s">
        <v>539</v>
      </c>
      <c r="O1160" s="27" t="s">
        <v>540</v>
      </c>
      <c r="P1160" s="27" t="s">
        <v>541</v>
      </c>
      <c r="Q1160" s="27" t="s">
        <v>542</v>
      </c>
      <c r="R1160" s="1" t="s">
        <v>543</v>
      </c>
      <c r="S1160" s="1" t="s">
        <v>544</v>
      </c>
      <c r="T1160" s="1" t="s">
        <v>545</v>
      </c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27" t="s">
        <v>1711</v>
      </c>
      <c r="B1161" s="27" t="str">
        <f t="shared" si="99"/>
        <v>Virginia</v>
      </c>
      <c r="C1161" s="27" t="str">
        <f t="shared" si="100"/>
        <v>Wythe</v>
      </c>
      <c r="D1161" s="29">
        <v>2526</v>
      </c>
      <c r="E1161" s="2">
        <f>'VA pre'!I118</f>
        <v>99</v>
      </c>
      <c r="F1161" s="30">
        <v>128</v>
      </c>
      <c r="G1161" s="29">
        <v>4155</v>
      </c>
      <c r="H1161" s="28">
        <f>'VA pre'!P118</f>
        <v>30.201414141414141</v>
      </c>
      <c r="I1161" s="2">
        <v>20543.43</v>
      </c>
      <c r="J1161" s="17">
        <v>87</v>
      </c>
      <c r="K1161" s="27">
        <v>48050</v>
      </c>
      <c r="L1161" s="27">
        <v>1905</v>
      </c>
      <c r="M1161" s="27" t="s">
        <v>538</v>
      </c>
      <c r="N1161" s="1" t="s">
        <v>539</v>
      </c>
      <c r="O1161" s="27" t="s">
        <v>540</v>
      </c>
      <c r="P1161" s="27" t="s">
        <v>541</v>
      </c>
      <c r="Q1161" s="27" t="s">
        <v>542</v>
      </c>
      <c r="R1161" s="1" t="s">
        <v>543</v>
      </c>
      <c r="S1161" s="1" t="s">
        <v>544</v>
      </c>
      <c r="T1161" s="1" t="s">
        <v>545</v>
      </c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27" t="s">
        <v>1712</v>
      </c>
      <c r="B1162" s="27" t="str">
        <f t="shared" si="99"/>
        <v>Virginia</v>
      </c>
      <c r="C1162" s="27" t="str">
        <f t="shared" si="100"/>
        <v>York</v>
      </c>
      <c r="D1162" s="29">
        <v>771</v>
      </c>
      <c r="E1162" s="2">
        <f>'VA pre'!I119</f>
        <v>35</v>
      </c>
      <c r="F1162" s="30">
        <v>108</v>
      </c>
      <c r="G1162" s="29">
        <v>1346</v>
      </c>
      <c r="H1162" s="28">
        <f>'VA pre'!P119</f>
        <v>25.965999999999998</v>
      </c>
      <c r="I1162" s="2">
        <v>6321.31</v>
      </c>
      <c r="J1162" s="17">
        <v>34</v>
      </c>
      <c r="K1162" s="27">
        <v>4500</v>
      </c>
      <c r="L1162" s="27">
        <v>1905</v>
      </c>
      <c r="M1162" s="27" t="s">
        <v>538</v>
      </c>
      <c r="N1162" s="1" t="s">
        <v>539</v>
      </c>
      <c r="O1162" s="27" t="s">
        <v>540</v>
      </c>
      <c r="P1162" s="27" t="s">
        <v>541</v>
      </c>
      <c r="Q1162" s="27" t="s">
        <v>542</v>
      </c>
      <c r="R1162" s="1" t="s">
        <v>543</v>
      </c>
      <c r="S1162" s="1" t="s">
        <v>544</v>
      </c>
      <c r="T1162" s="1" t="s">
        <v>545</v>
      </c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27" t="s">
        <v>1367</v>
      </c>
      <c r="B1163" s="27" t="str">
        <f t="shared" si="99"/>
        <v/>
      </c>
      <c r="C1163" s="27" t="str">
        <f t="shared" si="100"/>
        <v/>
      </c>
      <c r="D1163" s="29">
        <f>SUM(D1045:D1162)</f>
        <v>223948</v>
      </c>
      <c r="E1163" s="27"/>
      <c r="F1163" s="7"/>
      <c r="G1163" s="29">
        <f>SUM(G1045:G1162)</f>
        <v>359639</v>
      </c>
    </row>
    <row r="1164" spans="1:28" x14ac:dyDescent="0.25">
      <c r="A1164" s="27" t="s">
        <v>1367</v>
      </c>
      <c r="B1164" s="27" t="str">
        <f t="shared" si="99"/>
        <v/>
      </c>
      <c r="C1164" s="27" t="str">
        <f t="shared" si="100"/>
        <v/>
      </c>
      <c r="D1164">
        <v>215205</v>
      </c>
      <c r="E1164" s="27"/>
      <c r="G1164" s="17">
        <v>361772</v>
      </c>
    </row>
    <row r="1165" spans="1:28" x14ac:dyDescent="0.25">
      <c r="A1165" s="27" t="s">
        <v>1367</v>
      </c>
      <c r="B1165" s="27" t="str">
        <f t="shared" si="99"/>
        <v/>
      </c>
      <c r="C1165" s="27" t="str">
        <f t="shared" si="100"/>
        <v/>
      </c>
      <c r="E1165" s="27"/>
    </row>
    <row r="1166" spans="1:28" x14ac:dyDescent="0.25">
      <c r="A1166" s="27" t="s">
        <v>1367</v>
      </c>
      <c r="B1166" s="27" t="str">
        <f t="shared" si="99"/>
        <v/>
      </c>
      <c r="C1166" s="27" t="str">
        <f t="shared" si="100"/>
        <v/>
      </c>
      <c r="E1166" s="27"/>
    </row>
    <row r="1167" spans="1:28" x14ac:dyDescent="0.25">
      <c r="A1167" s="27" t="s">
        <v>1367</v>
      </c>
      <c r="B1167" s="27" t="str">
        <f t="shared" si="99"/>
        <v/>
      </c>
      <c r="C1167" s="27" t="str">
        <f t="shared" si="100"/>
        <v/>
      </c>
      <c r="E1167" s="27"/>
    </row>
    <row r="1168" spans="1:28" x14ac:dyDescent="0.25">
      <c r="A1168" s="27" t="s">
        <v>1367</v>
      </c>
      <c r="B1168" s="27" t="str">
        <f t="shared" si="99"/>
        <v/>
      </c>
      <c r="C1168" s="27" t="str">
        <f t="shared" si="100"/>
        <v/>
      </c>
      <c r="E1168" s="27"/>
    </row>
    <row r="1169" spans="1:5" x14ac:dyDescent="0.25">
      <c r="A1169" s="27" t="s">
        <v>1367</v>
      </c>
      <c r="B1169" s="27" t="str">
        <f t="shared" si="99"/>
        <v/>
      </c>
      <c r="C1169" s="27" t="str">
        <f t="shared" si="100"/>
        <v/>
      </c>
      <c r="E1169" s="27"/>
    </row>
    <row r="1170" spans="1:5" x14ac:dyDescent="0.25">
      <c r="A1170" s="27" t="s">
        <v>1367</v>
      </c>
      <c r="B1170" s="27" t="str">
        <f t="shared" si="99"/>
        <v/>
      </c>
      <c r="C1170" s="27" t="str">
        <f t="shared" si="100"/>
        <v/>
      </c>
      <c r="E1170" s="27"/>
    </row>
    <row r="1171" spans="1:5" x14ac:dyDescent="0.25">
      <c r="A1171" s="27" t="s">
        <v>1367</v>
      </c>
      <c r="B1171" s="27" t="str">
        <f t="shared" si="99"/>
        <v/>
      </c>
      <c r="C1171" s="27" t="str">
        <f t="shared" si="100"/>
        <v/>
      </c>
      <c r="E1171" s="27"/>
    </row>
    <row r="1172" spans="1:5" x14ac:dyDescent="0.25">
      <c r="A1172" s="27" t="s">
        <v>1367</v>
      </c>
      <c r="B1172" s="27" t="str">
        <f t="shared" si="99"/>
        <v/>
      </c>
      <c r="C1172" s="27" t="str">
        <f t="shared" si="100"/>
        <v/>
      </c>
      <c r="E1172" s="27"/>
    </row>
    <row r="1173" spans="1:5" x14ac:dyDescent="0.25">
      <c r="A1173" s="27" t="s">
        <v>1367</v>
      </c>
      <c r="B1173" s="27" t="str">
        <f t="shared" si="99"/>
        <v/>
      </c>
      <c r="C1173" s="27" t="str">
        <f t="shared" si="100"/>
        <v/>
      </c>
      <c r="E1173" s="27"/>
    </row>
    <row r="1174" spans="1:5" x14ac:dyDescent="0.25">
      <c r="A1174" s="27" t="s">
        <v>1367</v>
      </c>
      <c r="B1174" s="27" t="str">
        <f t="shared" si="99"/>
        <v/>
      </c>
      <c r="C1174" s="27" t="str">
        <f t="shared" si="100"/>
        <v/>
      </c>
      <c r="E1174" s="27"/>
    </row>
    <row r="1175" spans="1:5" x14ac:dyDescent="0.25">
      <c r="A1175" s="27" t="s">
        <v>1367</v>
      </c>
      <c r="B1175" s="27" t="str">
        <f t="shared" si="99"/>
        <v/>
      </c>
      <c r="C1175" s="27" t="str">
        <f t="shared" si="100"/>
        <v/>
      </c>
      <c r="E1175" s="27"/>
    </row>
    <row r="1176" spans="1:5" x14ac:dyDescent="0.25">
      <c r="A1176" s="27" t="s">
        <v>1367</v>
      </c>
      <c r="B1176" s="27" t="str">
        <f t="shared" si="99"/>
        <v/>
      </c>
      <c r="C1176" s="27" t="str">
        <f t="shared" si="100"/>
        <v/>
      </c>
      <c r="E1176" s="27"/>
    </row>
    <row r="1177" spans="1:5" x14ac:dyDescent="0.25">
      <c r="A1177" s="27" t="s">
        <v>1367</v>
      </c>
      <c r="B1177" s="27" t="str">
        <f t="shared" si="99"/>
        <v/>
      </c>
      <c r="C1177" s="27" t="str">
        <f t="shared" si="100"/>
        <v/>
      </c>
      <c r="E1177" s="27"/>
    </row>
    <row r="1178" spans="1:5" x14ac:dyDescent="0.25">
      <c r="A1178" s="27" t="s">
        <v>1367</v>
      </c>
      <c r="B1178" s="27" t="str">
        <f t="shared" si="99"/>
        <v/>
      </c>
      <c r="C1178" s="27" t="str">
        <f t="shared" si="100"/>
        <v/>
      </c>
      <c r="E1178" s="27"/>
    </row>
    <row r="1179" spans="1:5" x14ac:dyDescent="0.25">
      <c r="A1179" s="27" t="s">
        <v>1367</v>
      </c>
      <c r="B1179" s="27" t="str">
        <f t="shared" si="99"/>
        <v/>
      </c>
      <c r="C1179" s="27" t="str">
        <f t="shared" si="100"/>
        <v/>
      </c>
      <c r="E1179" s="27"/>
    </row>
    <row r="1180" spans="1:5" x14ac:dyDescent="0.25">
      <c r="A1180" s="27" t="s">
        <v>1367</v>
      </c>
      <c r="B1180" s="27" t="str">
        <f t="shared" si="99"/>
        <v/>
      </c>
      <c r="C1180" s="27" t="str">
        <f t="shared" si="100"/>
        <v/>
      </c>
      <c r="E1180" s="27"/>
    </row>
    <row r="1181" spans="1:5" x14ac:dyDescent="0.25">
      <c r="A1181" s="27" t="s">
        <v>1367</v>
      </c>
      <c r="B1181" s="27" t="str">
        <f t="shared" ref="B1181:B1244" si="101">LEFT(A1181,FIND(";",A1181)-1)</f>
        <v/>
      </c>
      <c r="C1181" s="27" t="str">
        <f t="shared" ref="C1181:C1244" si="102">MID(A1181,FIND(";",A1181)+1,100)</f>
        <v/>
      </c>
      <c r="E1181" s="27"/>
    </row>
    <row r="1182" spans="1:5" x14ac:dyDescent="0.25">
      <c r="A1182" s="27" t="s">
        <v>1367</v>
      </c>
      <c r="B1182" s="27" t="str">
        <f t="shared" si="101"/>
        <v/>
      </c>
      <c r="C1182" s="27" t="str">
        <f t="shared" si="102"/>
        <v/>
      </c>
      <c r="E1182" s="27"/>
    </row>
    <row r="1183" spans="1:5" x14ac:dyDescent="0.25">
      <c r="A1183" s="27" t="s">
        <v>1367</v>
      </c>
      <c r="B1183" s="27" t="str">
        <f t="shared" si="101"/>
        <v/>
      </c>
      <c r="C1183" s="27" t="str">
        <f t="shared" si="102"/>
        <v/>
      </c>
      <c r="E1183" s="27"/>
    </row>
    <row r="1184" spans="1:5" x14ac:dyDescent="0.25">
      <c r="A1184" s="27" t="s">
        <v>1367</v>
      </c>
      <c r="B1184" s="27" t="str">
        <f t="shared" si="101"/>
        <v/>
      </c>
      <c r="C1184" s="27" t="str">
        <f t="shared" si="102"/>
        <v/>
      </c>
      <c r="E1184" s="27"/>
    </row>
    <row r="1185" spans="1:5" x14ac:dyDescent="0.25">
      <c r="A1185" s="27" t="s">
        <v>1367</v>
      </c>
      <c r="B1185" s="27" t="str">
        <f t="shared" si="101"/>
        <v/>
      </c>
      <c r="C1185" s="27" t="str">
        <f t="shared" si="102"/>
        <v/>
      </c>
      <c r="E1185" s="27"/>
    </row>
    <row r="1186" spans="1:5" x14ac:dyDescent="0.25">
      <c r="A1186" s="27" t="s">
        <v>1367</v>
      </c>
      <c r="B1186" s="27" t="str">
        <f t="shared" si="101"/>
        <v/>
      </c>
      <c r="C1186" s="27" t="str">
        <f t="shared" si="102"/>
        <v/>
      </c>
      <c r="E1186" s="27"/>
    </row>
    <row r="1187" spans="1:5" x14ac:dyDescent="0.25">
      <c r="A1187" s="27" t="s">
        <v>1367</v>
      </c>
      <c r="B1187" s="27" t="str">
        <f t="shared" si="101"/>
        <v/>
      </c>
      <c r="C1187" s="27" t="str">
        <f t="shared" si="102"/>
        <v/>
      </c>
      <c r="E1187" s="27"/>
    </row>
    <row r="1188" spans="1:5" x14ac:dyDescent="0.25">
      <c r="A1188" s="27" t="s">
        <v>1367</v>
      </c>
      <c r="B1188" s="27" t="str">
        <f t="shared" si="101"/>
        <v/>
      </c>
      <c r="C1188" s="27" t="str">
        <f t="shared" si="102"/>
        <v/>
      </c>
      <c r="E1188" s="27"/>
    </row>
    <row r="1189" spans="1:5" x14ac:dyDescent="0.25">
      <c r="A1189" s="27" t="s">
        <v>1367</v>
      </c>
      <c r="B1189" s="27" t="str">
        <f t="shared" si="101"/>
        <v/>
      </c>
      <c r="C1189" s="27" t="str">
        <f t="shared" si="102"/>
        <v/>
      </c>
      <c r="E1189" s="27"/>
    </row>
    <row r="1190" spans="1:5" x14ac:dyDescent="0.25">
      <c r="A1190" s="27" t="s">
        <v>1367</v>
      </c>
      <c r="B1190" s="27" t="str">
        <f t="shared" si="101"/>
        <v/>
      </c>
      <c r="C1190" s="27" t="str">
        <f t="shared" si="102"/>
        <v/>
      </c>
      <c r="E1190" s="27"/>
    </row>
    <row r="1191" spans="1:5" x14ac:dyDescent="0.25">
      <c r="A1191" s="27" t="s">
        <v>1367</v>
      </c>
      <c r="B1191" s="27" t="str">
        <f t="shared" si="101"/>
        <v/>
      </c>
      <c r="C1191" s="27" t="str">
        <f t="shared" si="102"/>
        <v/>
      </c>
      <c r="E1191" s="27"/>
    </row>
    <row r="1192" spans="1:5" x14ac:dyDescent="0.25">
      <c r="A1192" s="27" t="s">
        <v>1367</v>
      </c>
      <c r="B1192" s="27" t="str">
        <f t="shared" si="101"/>
        <v/>
      </c>
      <c r="C1192" s="27" t="str">
        <f t="shared" si="102"/>
        <v/>
      </c>
      <c r="E1192" s="27"/>
    </row>
    <row r="1193" spans="1:5" x14ac:dyDescent="0.25">
      <c r="A1193" s="27" t="s">
        <v>1367</v>
      </c>
      <c r="B1193" s="27" t="str">
        <f t="shared" si="101"/>
        <v/>
      </c>
      <c r="C1193" s="27" t="str">
        <f t="shared" si="102"/>
        <v/>
      </c>
      <c r="E1193" s="27"/>
    </row>
    <row r="1194" spans="1:5" x14ac:dyDescent="0.25">
      <c r="A1194" s="27" t="s">
        <v>1367</v>
      </c>
      <c r="B1194" s="27" t="str">
        <f t="shared" si="101"/>
        <v/>
      </c>
      <c r="C1194" s="27" t="str">
        <f t="shared" si="102"/>
        <v/>
      </c>
      <c r="E1194" s="27"/>
    </row>
    <row r="1195" spans="1:5" x14ac:dyDescent="0.25">
      <c r="A1195" s="27" t="s">
        <v>1367</v>
      </c>
      <c r="B1195" s="27" t="str">
        <f t="shared" si="101"/>
        <v/>
      </c>
      <c r="C1195" s="27" t="str">
        <f t="shared" si="102"/>
        <v/>
      </c>
      <c r="E1195" s="27"/>
    </row>
    <row r="1196" spans="1:5" x14ac:dyDescent="0.25">
      <c r="A1196" s="27" t="s">
        <v>1367</v>
      </c>
      <c r="B1196" s="27" t="str">
        <f t="shared" si="101"/>
        <v/>
      </c>
      <c r="C1196" s="27" t="str">
        <f t="shared" si="102"/>
        <v/>
      </c>
      <c r="E1196" s="27"/>
    </row>
    <row r="1197" spans="1:5" x14ac:dyDescent="0.25">
      <c r="A1197" s="27" t="s">
        <v>1367</v>
      </c>
      <c r="B1197" s="27" t="str">
        <f t="shared" si="101"/>
        <v/>
      </c>
      <c r="C1197" s="27" t="str">
        <f t="shared" si="102"/>
        <v/>
      </c>
      <c r="E1197" s="27"/>
    </row>
    <row r="1198" spans="1:5" x14ac:dyDescent="0.25">
      <c r="A1198" s="27" t="s">
        <v>1367</v>
      </c>
      <c r="B1198" s="27" t="str">
        <f t="shared" si="101"/>
        <v/>
      </c>
      <c r="C1198" s="27" t="str">
        <f t="shared" si="102"/>
        <v/>
      </c>
      <c r="E1198" s="27"/>
    </row>
    <row r="1199" spans="1:5" x14ac:dyDescent="0.25">
      <c r="A1199" s="27" t="s">
        <v>1367</v>
      </c>
      <c r="B1199" s="27" t="str">
        <f t="shared" si="101"/>
        <v/>
      </c>
      <c r="C1199" s="27" t="str">
        <f t="shared" si="102"/>
        <v/>
      </c>
      <c r="E1199" s="27"/>
    </row>
    <row r="1200" spans="1:5" x14ac:dyDescent="0.25">
      <c r="A1200" s="27" t="s">
        <v>1367</v>
      </c>
      <c r="B1200" s="27" t="str">
        <f t="shared" si="101"/>
        <v/>
      </c>
      <c r="C1200" s="27" t="str">
        <f t="shared" si="102"/>
        <v/>
      </c>
      <c r="E1200" s="27"/>
    </row>
    <row r="1201" spans="1:5" x14ac:dyDescent="0.25">
      <c r="A1201" s="27" t="s">
        <v>1367</v>
      </c>
      <c r="B1201" s="27" t="str">
        <f t="shared" si="101"/>
        <v/>
      </c>
      <c r="C1201" s="27" t="str">
        <f t="shared" si="102"/>
        <v/>
      </c>
      <c r="E1201" s="27"/>
    </row>
    <row r="1202" spans="1:5" x14ac:dyDescent="0.25">
      <c r="A1202" s="27" t="s">
        <v>1367</v>
      </c>
      <c r="B1202" s="27" t="str">
        <f t="shared" si="101"/>
        <v/>
      </c>
      <c r="C1202" s="27" t="str">
        <f t="shared" si="102"/>
        <v/>
      </c>
      <c r="E1202" s="27"/>
    </row>
    <row r="1203" spans="1:5" x14ac:dyDescent="0.25">
      <c r="A1203" s="27" t="s">
        <v>1367</v>
      </c>
      <c r="B1203" s="27" t="str">
        <f t="shared" si="101"/>
        <v/>
      </c>
      <c r="C1203" s="27" t="str">
        <f t="shared" si="102"/>
        <v/>
      </c>
      <c r="E1203" s="27"/>
    </row>
    <row r="1204" spans="1:5" x14ac:dyDescent="0.25">
      <c r="A1204" s="27" t="s">
        <v>1367</v>
      </c>
      <c r="B1204" s="27" t="str">
        <f t="shared" si="101"/>
        <v/>
      </c>
      <c r="C1204" s="27" t="str">
        <f t="shared" si="102"/>
        <v/>
      </c>
      <c r="E1204" s="27"/>
    </row>
    <row r="1205" spans="1:5" x14ac:dyDescent="0.25">
      <c r="A1205" s="27" t="s">
        <v>1367</v>
      </c>
      <c r="B1205" s="27" t="str">
        <f t="shared" si="101"/>
        <v/>
      </c>
      <c r="C1205" s="27" t="str">
        <f t="shared" si="102"/>
        <v/>
      </c>
      <c r="E1205" s="27"/>
    </row>
    <row r="1206" spans="1:5" x14ac:dyDescent="0.25">
      <c r="A1206" s="27" t="s">
        <v>1367</v>
      </c>
      <c r="B1206" s="27" t="str">
        <f t="shared" si="101"/>
        <v/>
      </c>
      <c r="C1206" s="27" t="str">
        <f t="shared" si="102"/>
        <v/>
      </c>
      <c r="E1206" s="27"/>
    </row>
    <row r="1207" spans="1:5" x14ac:dyDescent="0.25">
      <c r="A1207" s="27" t="s">
        <v>1367</v>
      </c>
      <c r="B1207" s="27" t="str">
        <f t="shared" si="101"/>
        <v/>
      </c>
      <c r="C1207" s="27" t="str">
        <f t="shared" si="102"/>
        <v/>
      </c>
      <c r="E1207" s="27"/>
    </row>
    <row r="1208" spans="1:5" x14ac:dyDescent="0.25">
      <c r="A1208" s="27" t="s">
        <v>1367</v>
      </c>
      <c r="B1208" s="27" t="str">
        <f t="shared" si="101"/>
        <v/>
      </c>
      <c r="C1208" s="27" t="str">
        <f t="shared" si="102"/>
        <v/>
      </c>
      <c r="E1208" s="27"/>
    </row>
    <row r="1209" spans="1:5" x14ac:dyDescent="0.25">
      <c r="A1209" s="27" t="s">
        <v>1367</v>
      </c>
      <c r="B1209" s="27" t="str">
        <f t="shared" si="101"/>
        <v/>
      </c>
      <c r="C1209" s="27" t="str">
        <f t="shared" si="102"/>
        <v/>
      </c>
      <c r="E1209" s="27"/>
    </row>
    <row r="1210" spans="1:5" x14ac:dyDescent="0.25">
      <c r="A1210" s="27" t="s">
        <v>1367</v>
      </c>
      <c r="B1210" s="27" t="str">
        <f t="shared" si="101"/>
        <v/>
      </c>
      <c r="C1210" s="27" t="str">
        <f t="shared" si="102"/>
        <v/>
      </c>
      <c r="E1210" s="27"/>
    </row>
    <row r="1211" spans="1:5" x14ac:dyDescent="0.25">
      <c r="A1211" s="27" t="s">
        <v>1367</v>
      </c>
      <c r="B1211" s="27" t="str">
        <f t="shared" si="101"/>
        <v/>
      </c>
      <c r="C1211" s="27" t="str">
        <f t="shared" si="102"/>
        <v/>
      </c>
      <c r="E1211" s="27"/>
    </row>
    <row r="1212" spans="1:5" x14ac:dyDescent="0.25">
      <c r="A1212" s="27" t="s">
        <v>1367</v>
      </c>
      <c r="B1212" s="27" t="str">
        <f t="shared" si="101"/>
        <v/>
      </c>
      <c r="C1212" s="27" t="str">
        <f t="shared" si="102"/>
        <v/>
      </c>
      <c r="E1212" s="27"/>
    </row>
    <row r="1213" spans="1:5" x14ac:dyDescent="0.25">
      <c r="A1213" s="27" t="s">
        <v>1367</v>
      </c>
      <c r="B1213" s="27" t="str">
        <f t="shared" si="101"/>
        <v/>
      </c>
      <c r="C1213" s="27" t="str">
        <f t="shared" si="102"/>
        <v/>
      </c>
      <c r="E1213" s="27"/>
    </row>
    <row r="1214" spans="1:5" x14ac:dyDescent="0.25">
      <c r="A1214" s="27" t="s">
        <v>1367</v>
      </c>
      <c r="B1214" s="27" t="str">
        <f t="shared" si="101"/>
        <v/>
      </c>
      <c r="C1214" s="27" t="str">
        <f t="shared" si="102"/>
        <v/>
      </c>
      <c r="E1214" s="27"/>
    </row>
    <row r="1215" spans="1:5" x14ac:dyDescent="0.25">
      <c r="A1215" s="27" t="s">
        <v>1367</v>
      </c>
      <c r="B1215" s="27" t="str">
        <f t="shared" si="101"/>
        <v/>
      </c>
      <c r="C1215" s="27" t="str">
        <f t="shared" si="102"/>
        <v/>
      </c>
      <c r="E1215" s="27"/>
    </row>
    <row r="1216" spans="1:5" x14ac:dyDescent="0.25">
      <c r="A1216" s="27" t="s">
        <v>1367</v>
      </c>
      <c r="B1216" s="27" t="str">
        <f t="shared" si="101"/>
        <v/>
      </c>
      <c r="C1216" s="27" t="str">
        <f t="shared" si="102"/>
        <v/>
      </c>
      <c r="E1216" s="27"/>
    </row>
    <row r="1217" spans="1:5" x14ac:dyDescent="0.25">
      <c r="A1217" s="27" t="s">
        <v>1367</v>
      </c>
      <c r="B1217" s="27" t="str">
        <f t="shared" si="101"/>
        <v/>
      </c>
      <c r="C1217" s="27" t="str">
        <f t="shared" si="102"/>
        <v/>
      </c>
      <c r="E1217" s="27"/>
    </row>
    <row r="1218" spans="1:5" x14ac:dyDescent="0.25">
      <c r="A1218" s="27" t="s">
        <v>1367</v>
      </c>
      <c r="B1218" s="27" t="str">
        <f t="shared" si="101"/>
        <v/>
      </c>
      <c r="C1218" s="27" t="str">
        <f t="shared" si="102"/>
        <v/>
      </c>
      <c r="E1218" s="27"/>
    </row>
    <row r="1219" spans="1:5" x14ac:dyDescent="0.25">
      <c r="A1219" s="27" t="s">
        <v>1367</v>
      </c>
      <c r="B1219" s="27" t="str">
        <f t="shared" si="101"/>
        <v/>
      </c>
      <c r="C1219" s="27" t="str">
        <f t="shared" si="102"/>
        <v/>
      </c>
      <c r="E1219" s="27"/>
    </row>
    <row r="1220" spans="1:5" x14ac:dyDescent="0.25">
      <c r="A1220" s="27" t="s">
        <v>1367</v>
      </c>
      <c r="B1220" s="27" t="str">
        <f t="shared" si="101"/>
        <v/>
      </c>
      <c r="C1220" s="27" t="str">
        <f t="shared" si="102"/>
        <v/>
      </c>
      <c r="E1220" s="27"/>
    </row>
    <row r="1221" spans="1:5" x14ac:dyDescent="0.25">
      <c r="A1221" s="27" t="s">
        <v>1367</v>
      </c>
      <c r="B1221" s="27" t="str">
        <f t="shared" si="101"/>
        <v/>
      </c>
      <c r="C1221" s="27" t="str">
        <f t="shared" si="102"/>
        <v/>
      </c>
      <c r="E1221" s="27"/>
    </row>
    <row r="1222" spans="1:5" x14ac:dyDescent="0.25">
      <c r="A1222" s="27" t="s">
        <v>1367</v>
      </c>
      <c r="B1222" s="27" t="str">
        <f t="shared" si="101"/>
        <v/>
      </c>
      <c r="C1222" s="27" t="str">
        <f t="shared" si="102"/>
        <v/>
      </c>
      <c r="E1222" s="27"/>
    </row>
    <row r="1223" spans="1:5" x14ac:dyDescent="0.25">
      <c r="A1223" s="27" t="s">
        <v>1367</v>
      </c>
      <c r="B1223" s="27" t="str">
        <f t="shared" si="101"/>
        <v/>
      </c>
      <c r="C1223" s="27" t="str">
        <f t="shared" si="102"/>
        <v/>
      </c>
      <c r="E1223" s="27"/>
    </row>
    <row r="1224" spans="1:5" x14ac:dyDescent="0.25">
      <c r="A1224" s="27" t="s">
        <v>1367</v>
      </c>
      <c r="B1224" s="27" t="str">
        <f t="shared" si="101"/>
        <v/>
      </c>
      <c r="C1224" s="27" t="str">
        <f t="shared" si="102"/>
        <v/>
      </c>
      <c r="E1224" s="27"/>
    </row>
    <row r="1225" spans="1:5" x14ac:dyDescent="0.25">
      <c r="A1225" s="27" t="s">
        <v>1367</v>
      </c>
      <c r="B1225" s="27" t="str">
        <f t="shared" si="101"/>
        <v/>
      </c>
      <c r="C1225" s="27" t="str">
        <f t="shared" si="102"/>
        <v/>
      </c>
      <c r="E1225" s="27"/>
    </row>
    <row r="1226" spans="1:5" x14ac:dyDescent="0.25">
      <c r="A1226" s="27" t="s">
        <v>1367</v>
      </c>
      <c r="B1226" s="27" t="str">
        <f t="shared" si="101"/>
        <v/>
      </c>
      <c r="C1226" s="27" t="str">
        <f t="shared" si="102"/>
        <v/>
      </c>
      <c r="E1226" s="27"/>
    </row>
    <row r="1227" spans="1:5" x14ac:dyDescent="0.25">
      <c r="A1227" s="27" t="s">
        <v>1367</v>
      </c>
      <c r="B1227" s="27" t="str">
        <f t="shared" si="101"/>
        <v/>
      </c>
      <c r="C1227" s="27" t="str">
        <f t="shared" si="102"/>
        <v/>
      </c>
      <c r="E1227" s="27"/>
    </row>
    <row r="1228" spans="1:5" x14ac:dyDescent="0.25">
      <c r="A1228" s="27" t="s">
        <v>1367</v>
      </c>
      <c r="B1228" s="27" t="str">
        <f t="shared" si="101"/>
        <v/>
      </c>
      <c r="C1228" s="27" t="str">
        <f t="shared" si="102"/>
        <v/>
      </c>
    </row>
    <row r="1229" spans="1:5" x14ac:dyDescent="0.25">
      <c r="A1229" s="27" t="s">
        <v>1367</v>
      </c>
      <c r="B1229" s="27" t="str">
        <f t="shared" si="101"/>
        <v/>
      </c>
      <c r="C1229" s="27" t="str">
        <f t="shared" si="102"/>
        <v/>
      </c>
    </row>
    <row r="1230" spans="1:5" x14ac:dyDescent="0.25">
      <c r="A1230" s="27" t="s">
        <v>1367</v>
      </c>
      <c r="B1230" s="27" t="str">
        <f t="shared" si="101"/>
        <v/>
      </c>
      <c r="C1230" s="27" t="str">
        <f t="shared" si="102"/>
        <v/>
      </c>
    </row>
    <row r="1231" spans="1:5" x14ac:dyDescent="0.25">
      <c r="A1231" s="27" t="s">
        <v>1367</v>
      </c>
      <c r="B1231" s="27" t="str">
        <f t="shared" si="101"/>
        <v/>
      </c>
      <c r="C1231" s="27" t="str">
        <f t="shared" si="102"/>
        <v/>
      </c>
    </row>
    <row r="1232" spans="1:5" x14ac:dyDescent="0.25">
      <c r="A1232" s="27" t="s">
        <v>1367</v>
      </c>
      <c r="B1232" s="27" t="str">
        <f t="shared" si="101"/>
        <v/>
      </c>
      <c r="C1232" s="27" t="str">
        <f t="shared" si="102"/>
        <v/>
      </c>
    </row>
    <row r="1233" spans="1:3" x14ac:dyDescent="0.25">
      <c r="A1233" s="27" t="s">
        <v>1367</v>
      </c>
      <c r="B1233" s="27" t="str">
        <f t="shared" si="101"/>
        <v/>
      </c>
      <c r="C1233" s="27" t="str">
        <f t="shared" si="102"/>
        <v/>
      </c>
    </row>
    <row r="1234" spans="1:3" x14ac:dyDescent="0.25">
      <c r="A1234" s="27" t="s">
        <v>1367</v>
      </c>
      <c r="B1234" s="27" t="str">
        <f t="shared" si="101"/>
        <v/>
      </c>
      <c r="C1234" s="27" t="str">
        <f t="shared" si="102"/>
        <v/>
      </c>
    </row>
    <row r="1235" spans="1:3" x14ac:dyDescent="0.25">
      <c r="A1235" s="27" t="s">
        <v>1367</v>
      </c>
      <c r="B1235" s="27" t="str">
        <f t="shared" si="101"/>
        <v/>
      </c>
      <c r="C1235" s="27" t="str">
        <f t="shared" si="102"/>
        <v/>
      </c>
    </row>
    <row r="1236" spans="1:3" x14ac:dyDescent="0.25">
      <c r="A1236" s="27" t="s">
        <v>1367</v>
      </c>
      <c r="B1236" s="27" t="str">
        <f t="shared" si="101"/>
        <v/>
      </c>
      <c r="C1236" s="27" t="str">
        <f t="shared" si="102"/>
        <v/>
      </c>
    </row>
    <row r="1237" spans="1:3" x14ac:dyDescent="0.25">
      <c r="A1237" s="27" t="s">
        <v>1367</v>
      </c>
      <c r="B1237" s="27" t="str">
        <f t="shared" si="101"/>
        <v/>
      </c>
      <c r="C1237" s="27" t="str">
        <f t="shared" si="102"/>
        <v/>
      </c>
    </row>
    <row r="1238" spans="1:3" x14ac:dyDescent="0.25">
      <c r="A1238" s="27" t="s">
        <v>1367</v>
      </c>
      <c r="B1238" s="27" t="str">
        <f t="shared" si="101"/>
        <v/>
      </c>
      <c r="C1238" s="27" t="str">
        <f t="shared" si="102"/>
        <v/>
      </c>
    </row>
    <row r="1239" spans="1:3" x14ac:dyDescent="0.25">
      <c r="A1239" s="27" t="s">
        <v>1367</v>
      </c>
      <c r="B1239" s="27" t="str">
        <f t="shared" si="101"/>
        <v/>
      </c>
      <c r="C1239" s="27" t="str">
        <f t="shared" si="102"/>
        <v/>
      </c>
    </row>
    <row r="1240" spans="1:3" x14ac:dyDescent="0.25">
      <c r="A1240" s="27" t="s">
        <v>1367</v>
      </c>
      <c r="B1240" s="27" t="str">
        <f t="shared" si="101"/>
        <v/>
      </c>
      <c r="C1240" s="27" t="str">
        <f t="shared" si="102"/>
        <v/>
      </c>
    </row>
    <row r="1241" spans="1:3" x14ac:dyDescent="0.25">
      <c r="A1241" s="27" t="s">
        <v>1367</v>
      </c>
      <c r="B1241" s="27" t="str">
        <f t="shared" si="101"/>
        <v/>
      </c>
      <c r="C1241" s="27" t="str">
        <f t="shared" si="102"/>
        <v/>
      </c>
    </row>
    <row r="1242" spans="1:3" x14ac:dyDescent="0.25">
      <c r="A1242" s="27" t="s">
        <v>1367</v>
      </c>
      <c r="B1242" s="27" t="str">
        <f t="shared" si="101"/>
        <v/>
      </c>
      <c r="C1242" s="27" t="str">
        <f t="shared" si="102"/>
        <v/>
      </c>
    </row>
    <row r="1243" spans="1:3" x14ac:dyDescent="0.25">
      <c r="A1243" s="27" t="s">
        <v>1367</v>
      </c>
      <c r="B1243" s="27" t="str">
        <f t="shared" si="101"/>
        <v/>
      </c>
      <c r="C1243" s="27" t="str">
        <f t="shared" si="102"/>
        <v/>
      </c>
    </row>
    <row r="1244" spans="1:3" x14ac:dyDescent="0.25">
      <c r="A1244" s="27" t="s">
        <v>1367</v>
      </c>
      <c r="B1244" s="27" t="str">
        <f t="shared" si="101"/>
        <v/>
      </c>
      <c r="C1244" s="27" t="str">
        <f t="shared" si="102"/>
        <v/>
      </c>
    </row>
    <row r="1245" spans="1:3" x14ac:dyDescent="0.25">
      <c r="A1245" s="27" t="s">
        <v>1367</v>
      </c>
      <c r="B1245" s="27" t="str">
        <f t="shared" ref="B1245:B1308" si="103">LEFT(A1245,FIND(";",A1245)-1)</f>
        <v/>
      </c>
      <c r="C1245" s="27" t="str">
        <f t="shared" ref="C1245:C1308" si="104">MID(A1245,FIND(";",A1245)+1,100)</f>
        <v/>
      </c>
    </row>
    <row r="1246" spans="1:3" x14ac:dyDescent="0.25">
      <c r="A1246" s="27" t="s">
        <v>1367</v>
      </c>
      <c r="B1246" s="27" t="str">
        <f t="shared" si="103"/>
        <v/>
      </c>
      <c r="C1246" s="27" t="str">
        <f t="shared" si="104"/>
        <v/>
      </c>
    </row>
    <row r="1247" spans="1:3" x14ac:dyDescent="0.25">
      <c r="A1247" s="27" t="s">
        <v>1367</v>
      </c>
      <c r="B1247" s="27" t="str">
        <f t="shared" si="103"/>
        <v/>
      </c>
      <c r="C1247" s="27" t="str">
        <f t="shared" si="104"/>
        <v/>
      </c>
    </row>
    <row r="1248" spans="1:3" x14ac:dyDescent="0.25">
      <c r="A1248" s="27" t="s">
        <v>1367</v>
      </c>
      <c r="B1248" s="27" t="str">
        <f t="shared" si="103"/>
        <v/>
      </c>
      <c r="C1248" s="27" t="str">
        <f t="shared" si="104"/>
        <v/>
      </c>
    </row>
    <row r="1249" spans="1:3" x14ac:dyDescent="0.25">
      <c r="A1249" s="27" t="s">
        <v>1367</v>
      </c>
      <c r="B1249" s="27" t="str">
        <f t="shared" si="103"/>
        <v/>
      </c>
      <c r="C1249" s="27" t="str">
        <f t="shared" si="104"/>
        <v/>
      </c>
    </row>
    <row r="1250" spans="1:3" x14ac:dyDescent="0.25">
      <c r="A1250" s="27" t="s">
        <v>1367</v>
      </c>
      <c r="B1250" s="27" t="str">
        <f t="shared" si="103"/>
        <v/>
      </c>
      <c r="C1250" s="27" t="str">
        <f t="shared" si="104"/>
        <v/>
      </c>
    </row>
    <row r="1251" spans="1:3" x14ac:dyDescent="0.25">
      <c r="A1251" s="27" t="s">
        <v>1367</v>
      </c>
      <c r="B1251" s="27" t="str">
        <f t="shared" si="103"/>
        <v/>
      </c>
      <c r="C1251" s="27" t="str">
        <f t="shared" si="104"/>
        <v/>
      </c>
    </row>
    <row r="1252" spans="1:3" x14ac:dyDescent="0.25">
      <c r="A1252" s="27" t="s">
        <v>1367</v>
      </c>
      <c r="B1252" s="27" t="str">
        <f t="shared" si="103"/>
        <v/>
      </c>
      <c r="C1252" s="27" t="str">
        <f t="shared" si="104"/>
        <v/>
      </c>
    </row>
    <row r="1253" spans="1:3" x14ac:dyDescent="0.25">
      <c r="A1253" s="27" t="s">
        <v>1367</v>
      </c>
      <c r="B1253" s="27" t="str">
        <f t="shared" si="103"/>
        <v/>
      </c>
      <c r="C1253" s="27" t="str">
        <f t="shared" si="104"/>
        <v/>
      </c>
    </row>
    <row r="1254" spans="1:3" x14ac:dyDescent="0.25">
      <c r="A1254" s="27" t="s">
        <v>1367</v>
      </c>
      <c r="B1254" s="27" t="str">
        <f t="shared" si="103"/>
        <v/>
      </c>
      <c r="C1254" s="27" t="str">
        <f t="shared" si="104"/>
        <v/>
      </c>
    </row>
    <row r="1255" spans="1:3" x14ac:dyDescent="0.25">
      <c r="A1255" s="27" t="s">
        <v>1367</v>
      </c>
      <c r="B1255" s="27" t="str">
        <f t="shared" si="103"/>
        <v/>
      </c>
      <c r="C1255" s="27" t="str">
        <f t="shared" si="104"/>
        <v/>
      </c>
    </row>
    <row r="1256" spans="1:3" x14ac:dyDescent="0.25">
      <c r="A1256" s="27" t="s">
        <v>1367</v>
      </c>
      <c r="B1256" s="27" t="str">
        <f t="shared" si="103"/>
        <v/>
      </c>
      <c r="C1256" s="27" t="str">
        <f t="shared" si="104"/>
        <v/>
      </c>
    </row>
    <row r="1257" spans="1:3" x14ac:dyDescent="0.25">
      <c r="A1257" s="27" t="s">
        <v>1367</v>
      </c>
      <c r="B1257" s="27" t="str">
        <f t="shared" si="103"/>
        <v/>
      </c>
      <c r="C1257" s="27" t="str">
        <f t="shared" si="104"/>
        <v/>
      </c>
    </row>
    <row r="1258" spans="1:3" x14ac:dyDescent="0.25">
      <c r="A1258" s="27" t="s">
        <v>1367</v>
      </c>
      <c r="B1258" s="27" t="str">
        <f t="shared" si="103"/>
        <v/>
      </c>
      <c r="C1258" s="27" t="str">
        <f t="shared" si="104"/>
        <v/>
      </c>
    </row>
    <row r="1259" spans="1:3" x14ac:dyDescent="0.25">
      <c r="A1259" s="27" t="s">
        <v>1367</v>
      </c>
      <c r="B1259" s="27" t="str">
        <f t="shared" si="103"/>
        <v/>
      </c>
      <c r="C1259" s="27" t="str">
        <f t="shared" si="104"/>
        <v/>
      </c>
    </row>
    <row r="1260" spans="1:3" x14ac:dyDescent="0.25">
      <c r="A1260" s="27" t="s">
        <v>1367</v>
      </c>
      <c r="B1260" s="27" t="str">
        <f t="shared" si="103"/>
        <v/>
      </c>
      <c r="C1260" s="27" t="str">
        <f t="shared" si="104"/>
        <v/>
      </c>
    </row>
    <row r="1261" spans="1:3" x14ac:dyDescent="0.25">
      <c r="A1261" s="27" t="s">
        <v>1367</v>
      </c>
      <c r="B1261" s="27" t="str">
        <f t="shared" si="103"/>
        <v/>
      </c>
      <c r="C1261" s="27" t="str">
        <f t="shared" si="104"/>
        <v/>
      </c>
    </row>
    <row r="1262" spans="1:3" x14ac:dyDescent="0.25">
      <c r="A1262" s="27" t="s">
        <v>1367</v>
      </c>
      <c r="B1262" s="27" t="str">
        <f t="shared" si="103"/>
        <v/>
      </c>
      <c r="C1262" s="27" t="str">
        <f t="shared" si="104"/>
        <v/>
      </c>
    </row>
    <row r="1263" spans="1:3" x14ac:dyDescent="0.25">
      <c r="A1263" s="27" t="s">
        <v>1367</v>
      </c>
      <c r="B1263" s="27" t="str">
        <f t="shared" si="103"/>
        <v/>
      </c>
      <c r="C1263" s="27" t="str">
        <f t="shared" si="104"/>
        <v/>
      </c>
    </row>
    <row r="1264" spans="1:3" x14ac:dyDescent="0.25">
      <c r="A1264" s="27" t="s">
        <v>1367</v>
      </c>
      <c r="B1264" s="27" t="str">
        <f t="shared" si="103"/>
        <v/>
      </c>
      <c r="C1264" s="27" t="str">
        <f t="shared" si="104"/>
        <v/>
      </c>
    </row>
    <row r="1265" spans="1:3" x14ac:dyDescent="0.25">
      <c r="A1265" s="27" t="s">
        <v>1367</v>
      </c>
      <c r="B1265" s="27" t="str">
        <f t="shared" si="103"/>
        <v/>
      </c>
      <c r="C1265" s="27" t="str">
        <f t="shared" si="104"/>
        <v/>
      </c>
    </row>
    <row r="1266" spans="1:3" x14ac:dyDescent="0.25">
      <c r="A1266" s="27" t="s">
        <v>1367</v>
      </c>
      <c r="B1266" s="27" t="str">
        <f t="shared" si="103"/>
        <v/>
      </c>
      <c r="C1266" s="27" t="str">
        <f t="shared" si="104"/>
        <v/>
      </c>
    </row>
    <row r="1267" spans="1:3" x14ac:dyDescent="0.25">
      <c r="A1267" s="27" t="s">
        <v>1367</v>
      </c>
      <c r="B1267" s="27" t="str">
        <f t="shared" si="103"/>
        <v/>
      </c>
      <c r="C1267" s="27" t="str">
        <f t="shared" si="104"/>
        <v/>
      </c>
    </row>
    <row r="1268" spans="1:3" x14ac:dyDescent="0.25">
      <c r="A1268" s="27" t="s">
        <v>1367</v>
      </c>
      <c r="B1268" s="27" t="str">
        <f t="shared" si="103"/>
        <v/>
      </c>
      <c r="C1268" s="27" t="str">
        <f t="shared" si="104"/>
        <v/>
      </c>
    </row>
    <row r="1269" spans="1:3" x14ac:dyDescent="0.25">
      <c r="A1269" s="27" t="s">
        <v>1367</v>
      </c>
      <c r="B1269" s="27" t="str">
        <f t="shared" si="103"/>
        <v/>
      </c>
      <c r="C1269" s="27" t="str">
        <f t="shared" si="104"/>
        <v/>
      </c>
    </row>
    <row r="1270" spans="1:3" x14ac:dyDescent="0.25">
      <c r="A1270" s="27" t="s">
        <v>1367</v>
      </c>
      <c r="B1270" s="27" t="str">
        <f t="shared" si="103"/>
        <v/>
      </c>
      <c r="C1270" s="27" t="str">
        <f t="shared" si="104"/>
        <v/>
      </c>
    </row>
    <row r="1271" spans="1:3" x14ac:dyDescent="0.25">
      <c r="A1271" s="27" t="s">
        <v>1367</v>
      </c>
      <c r="B1271" s="27" t="str">
        <f t="shared" si="103"/>
        <v/>
      </c>
      <c r="C1271" s="27" t="str">
        <f t="shared" si="104"/>
        <v/>
      </c>
    </row>
    <row r="1272" spans="1:3" x14ac:dyDescent="0.25">
      <c r="A1272" s="27" t="s">
        <v>1367</v>
      </c>
      <c r="B1272" s="27" t="str">
        <f t="shared" si="103"/>
        <v/>
      </c>
      <c r="C1272" s="27" t="str">
        <f t="shared" si="104"/>
        <v/>
      </c>
    </row>
    <row r="1273" spans="1:3" x14ac:dyDescent="0.25">
      <c r="A1273" s="27" t="s">
        <v>1367</v>
      </c>
      <c r="B1273" s="27" t="str">
        <f t="shared" si="103"/>
        <v/>
      </c>
      <c r="C1273" s="27" t="str">
        <f t="shared" si="104"/>
        <v/>
      </c>
    </row>
    <row r="1274" spans="1:3" x14ac:dyDescent="0.25">
      <c r="A1274" s="27" t="s">
        <v>1367</v>
      </c>
      <c r="B1274" s="27" t="str">
        <f t="shared" si="103"/>
        <v/>
      </c>
      <c r="C1274" s="27" t="str">
        <f t="shared" si="104"/>
        <v/>
      </c>
    </row>
    <row r="1275" spans="1:3" x14ac:dyDescent="0.25">
      <c r="A1275" s="27" t="s">
        <v>1367</v>
      </c>
      <c r="B1275" s="27" t="str">
        <f t="shared" si="103"/>
        <v/>
      </c>
      <c r="C1275" s="27" t="str">
        <f t="shared" si="104"/>
        <v/>
      </c>
    </row>
    <row r="1276" spans="1:3" x14ac:dyDescent="0.25">
      <c r="A1276" s="27" t="s">
        <v>1367</v>
      </c>
      <c r="B1276" s="27" t="str">
        <f t="shared" si="103"/>
        <v/>
      </c>
      <c r="C1276" s="27" t="str">
        <f t="shared" si="104"/>
        <v/>
      </c>
    </row>
    <row r="1277" spans="1:3" x14ac:dyDescent="0.25">
      <c r="A1277" s="27" t="s">
        <v>1367</v>
      </c>
      <c r="B1277" s="27" t="str">
        <f t="shared" si="103"/>
        <v/>
      </c>
      <c r="C1277" s="27" t="str">
        <f t="shared" si="104"/>
        <v/>
      </c>
    </row>
    <row r="1278" spans="1:3" x14ac:dyDescent="0.25">
      <c r="A1278" s="27" t="s">
        <v>1367</v>
      </c>
      <c r="B1278" s="27" t="str">
        <f t="shared" si="103"/>
        <v/>
      </c>
      <c r="C1278" s="27" t="str">
        <f t="shared" si="104"/>
        <v/>
      </c>
    </row>
    <row r="1279" spans="1:3" x14ac:dyDescent="0.25">
      <c r="A1279" s="27" t="s">
        <v>1367</v>
      </c>
      <c r="B1279" s="27" t="str">
        <f t="shared" si="103"/>
        <v/>
      </c>
      <c r="C1279" s="27" t="str">
        <f t="shared" si="104"/>
        <v/>
      </c>
    </row>
    <row r="1280" spans="1:3" x14ac:dyDescent="0.25">
      <c r="A1280" s="27" t="s">
        <v>1367</v>
      </c>
      <c r="B1280" s="27" t="str">
        <f t="shared" si="103"/>
        <v/>
      </c>
      <c r="C1280" s="27" t="str">
        <f t="shared" si="104"/>
        <v/>
      </c>
    </row>
    <row r="1281" spans="1:3" x14ac:dyDescent="0.25">
      <c r="A1281" s="27" t="s">
        <v>1367</v>
      </c>
      <c r="B1281" s="27" t="str">
        <f t="shared" si="103"/>
        <v/>
      </c>
      <c r="C1281" s="27" t="str">
        <f t="shared" si="104"/>
        <v/>
      </c>
    </row>
    <row r="1282" spans="1:3" x14ac:dyDescent="0.25">
      <c r="A1282" s="27" t="s">
        <v>1367</v>
      </c>
      <c r="B1282" s="27" t="str">
        <f t="shared" si="103"/>
        <v/>
      </c>
      <c r="C1282" s="27" t="str">
        <f t="shared" si="104"/>
        <v/>
      </c>
    </row>
    <row r="1283" spans="1:3" x14ac:dyDescent="0.25">
      <c r="A1283" s="27" t="s">
        <v>1367</v>
      </c>
      <c r="B1283" s="27" t="str">
        <f t="shared" si="103"/>
        <v/>
      </c>
      <c r="C1283" s="27" t="str">
        <f t="shared" si="104"/>
        <v/>
      </c>
    </row>
    <row r="1284" spans="1:3" x14ac:dyDescent="0.25">
      <c r="A1284" s="27" t="s">
        <v>1367</v>
      </c>
      <c r="B1284" s="27" t="str">
        <f t="shared" si="103"/>
        <v/>
      </c>
      <c r="C1284" s="27" t="str">
        <f t="shared" si="104"/>
        <v/>
      </c>
    </row>
    <row r="1285" spans="1:3" x14ac:dyDescent="0.25">
      <c r="A1285" s="27" t="s">
        <v>1367</v>
      </c>
      <c r="B1285" s="27" t="str">
        <f t="shared" si="103"/>
        <v/>
      </c>
      <c r="C1285" s="27" t="str">
        <f t="shared" si="104"/>
        <v/>
      </c>
    </row>
    <row r="1286" spans="1:3" x14ac:dyDescent="0.25">
      <c r="A1286" s="27" t="s">
        <v>1367</v>
      </c>
      <c r="B1286" s="27" t="str">
        <f t="shared" si="103"/>
        <v/>
      </c>
      <c r="C1286" s="27" t="str">
        <f t="shared" si="104"/>
        <v/>
      </c>
    </row>
    <row r="1287" spans="1:3" x14ac:dyDescent="0.25">
      <c r="A1287" s="27" t="s">
        <v>1367</v>
      </c>
      <c r="B1287" s="27" t="str">
        <f t="shared" si="103"/>
        <v/>
      </c>
      <c r="C1287" s="27" t="str">
        <f t="shared" si="104"/>
        <v/>
      </c>
    </row>
    <row r="1288" spans="1:3" x14ac:dyDescent="0.25">
      <c r="A1288" s="27" t="s">
        <v>1367</v>
      </c>
      <c r="B1288" s="27" t="str">
        <f t="shared" si="103"/>
        <v/>
      </c>
      <c r="C1288" s="27" t="str">
        <f t="shared" si="104"/>
        <v/>
      </c>
    </row>
    <row r="1289" spans="1:3" x14ac:dyDescent="0.25">
      <c r="A1289" s="27" t="s">
        <v>1367</v>
      </c>
      <c r="B1289" s="27" t="str">
        <f t="shared" si="103"/>
        <v/>
      </c>
      <c r="C1289" s="27" t="str">
        <f t="shared" si="104"/>
        <v/>
      </c>
    </row>
    <row r="1290" spans="1:3" x14ac:dyDescent="0.25">
      <c r="A1290" s="27" t="s">
        <v>1367</v>
      </c>
      <c r="B1290" s="27" t="str">
        <f t="shared" si="103"/>
        <v/>
      </c>
      <c r="C1290" s="27" t="str">
        <f t="shared" si="104"/>
        <v/>
      </c>
    </row>
    <row r="1291" spans="1:3" x14ac:dyDescent="0.25">
      <c r="A1291" s="27" t="s">
        <v>1367</v>
      </c>
      <c r="B1291" s="27" t="str">
        <f t="shared" si="103"/>
        <v/>
      </c>
      <c r="C1291" s="27" t="str">
        <f t="shared" si="104"/>
        <v/>
      </c>
    </row>
    <row r="1292" spans="1:3" x14ac:dyDescent="0.25">
      <c r="A1292" s="27" t="s">
        <v>1367</v>
      </c>
      <c r="B1292" s="27" t="str">
        <f t="shared" si="103"/>
        <v/>
      </c>
      <c r="C1292" s="27" t="str">
        <f t="shared" si="104"/>
        <v/>
      </c>
    </row>
    <row r="1293" spans="1:3" x14ac:dyDescent="0.25">
      <c r="A1293" s="27" t="s">
        <v>1367</v>
      </c>
      <c r="B1293" s="27" t="str">
        <f t="shared" si="103"/>
        <v/>
      </c>
      <c r="C1293" s="27" t="str">
        <f t="shared" si="104"/>
        <v/>
      </c>
    </row>
    <row r="1294" spans="1:3" x14ac:dyDescent="0.25">
      <c r="A1294" s="27" t="s">
        <v>1367</v>
      </c>
      <c r="B1294" s="27" t="str">
        <f t="shared" si="103"/>
        <v/>
      </c>
      <c r="C1294" s="27" t="str">
        <f t="shared" si="104"/>
        <v/>
      </c>
    </row>
    <row r="1295" spans="1:3" x14ac:dyDescent="0.25">
      <c r="A1295" s="27" t="s">
        <v>1367</v>
      </c>
      <c r="B1295" s="27" t="str">
        <f t="shared" si="103"/>
        <v/>
      </c>
      <c r="C1295" s="27" t="str">
        <f t="shared" si="104"/>
        <v/>
      </c>
    </row>
    <row r="1296" spans="1:3" x14ac:dyDescent="0.25">
      <c r="A1296" s="27" t="s">
        <v>1367</v>
      </c>
      <c r="B1296" s="27" t="str">
        <f t="shared" si="103"/>
        <v/>
      </c>
      <c r="C1296" s="27" t="str">
        <f t="shared" si="104"/>
        <v/>
      </c>
    </row>
    <row r="1297" spans="1:3" x14ac:dyDescent="0.25">
      <c r="A1297" s="27" t="s">
        <v>1367</v>
      </c>
      <c r="B1297" s="27" t="str">
        <f t="shared" si="103"/>
        <v/>
      </c>
      <c r="C1297" s="27" t="str">
        <f t="shared" si="104"/>
        <v/>
      </c>
    </row>
    <row r="1298" spans="1:3" x14ac:dyDescent="0.25">
      <c r="A1298" s="27" t="s">
        <v>1367</v>
      </c>
      <c r="B1298" s="27" t="str">
        <f t="shared" si="103"/>
        <v/>
      </c>
      <c r="C1298" s="27" t="str">
        <f t="shared" si="104"/>
        <v/>
      </c>
    </row>
    <row r="1299" spans="1:3" x14ac:dyDescent="0.25">
      <c r="A1299" s="27" t="s">
        <v>1367</v>
      </c>
      <c r="B1299" s="27" t="str">
        <f t="shared" si="103"/>
        <v/>
      </c>
      <c r="C1299" s="27" t="str">
        <f t="shared" si="104"/>
        <v/>
      </c>
    </row>
    <row r="1300" spans="1:3" x14ac:dyDescent="0.25">
      <c r="A1300" s="27" t="s">
        <v>1367</v>
      </c>
      <c r="B1300" s="27" t="str">
        <f t="shared" si="103"/>
        <v/>
      </c>
      <c r="C1300" s="27" t="str">
        <f t="shared" si="104"/>
        <v/>
      </c>
    </row>
    <row r="1301" spans="1:3" x14ac:dyDescent="0.25">
      <c r="A1301" s="27" t="s">
        <v>1367</v>
      </c>
      <c r="B1301" s="27" t="str">
        <f t="shared" si="103"/>
        <v/>
      </c>
      <c r="C1301" s="27" t="str">
        <f t="shared" si="104"/>
        <v/>
      </c>
    </row>
    <row r="1302" spans="1:3" x14ac:dyDescent="0.25">
      <c r="A1302" s="27" t="s">
        <v>1367</v>
      </c>
      <c r="B1302" s="27" t="str">
        <f t="shared" si="103"/>
        <v/>
      </c>
      <c r="C1302" s="27" t="str">
        <f t="shared" si="104"/>
        <v/>
      </c>
    </row>
    <row r="1303" spans="1:3" x14ac:dyDescent="0.25">
      <c r="A1303" s="27" t="s">
        <v>1367</v>
      </c>
      <c r="B1303" s="27" t="str">
        <f t="shared" si="103"/>
        <v/>
      </c>
      <c r="C1303" s="27" t="str">
        <f t="shared" si="104"/>
        <v/>
      </c>
    </row>
    <row r="1304" spans="1:3" x14ac:dyDescent="0.25">
      <c r="A1304" s="27" t="s">
        <v>1367</v>
      </c>
      <c r="B1304" s="27" t="str">
        <f t="shared" si="103"/>
        <v/>
      </c>
      <c r="C1304" s="27" t="str">
        <f t="shared" si="104"/>
        <v/>
      </c>
    </row>
    <row r="1305" spans="1:3" x14ac:dyDescent="0.25">
      <c r="A1305" s="27" t="s">
        <v>1367</v>
      </c>
      <c r="B1305" s="27" t="str">
        <f t="shared" si="103"/>
        <v/>
      </c>
      <c r="C1305" s="27" t="str">
        <f t="shared" si="104"/>
        <v/>
      </c>
    </row>
    <row r="1306" spans="1:3" x14ac:dyDescent="0.25">
      <c r="A1306" s="27" t="s">
        <v>1367</v>
      </c>
      <c r="B1306" s="27" t="str">
        <f t="shared" si="103"/>
        <v/>
      </c>
      <c r="C1306" s="27" t="str">
        <f t="shared" si="104"/>
        <v/>
      </c>
    </row>
    <row r="1307" spans="1:3" x14ac:dyDescent="0.25">
      <c r="A1307" s="27" t="s">
        <v>1367</v>
      </c>
      <c r="B1307" s="27" t="str">
        <f t="shared" si="103"/>
        <v/>
      </c>
      <c r="C1307" s="27" t="str">
        <f t="shared" si="104"/>
        <v/>
      </c>
    </row>
    <row r="1308" spans="1:3" x14ac:dyDescent="0.25">
      <c r="A1308" s="27" t="s">
        <v>1367</v>
      </c>
      <c r="B1308" s="27" t="str">
        <f t="shared" si="103"/>
        <v/>
      </c>
      <c r="C1308" s="27" t="str">
        <f t="shared" si="104"/>
        <v/>
      </c>
    </row>
    <row r="1309" spans="1:3" x14ac:dyDescent="0.25">
      <c r="A1309" s="27" t="s">
        <v>1367</v>
      </c>
      <c r="B1309" s="27" t="str">
        <f t="shared" ref="B1309:B1372" si="105">LEFT(A1309,FIND(";",A1309)-1)</f>
        <v/>
      </c>
      <c r="C1309" s="27" t="str">
        <f t="shared" ref="C1309:C1372" si="106">MID(A1309,FIND(";",A1309)+1,100)</f>
        <v/>
      </c>
    </row>
    <row r="1310" spans="1:3" x14ac:dyDescent="0.25">
      <c r="A1310" s="27" t="s">
        <v>1367</v>
      </c>
      <c r="B1310" s="27" t="str">
        <f t="shared" si="105"/>
        <v/>
      </c>
      <c r="C1310" s="27" t="str">
        <f t="shared" si="106"/>
        <v/>
      </c>
    </row>
    <row r="1311" spans="1:3" x14ac:dyDescent="0.25">
      <c r="A1311" s="27" t="s">
        <v>1367</v>
      </c>
      <c r="B1311" s="27" t="str">
        <f t="shared" si="105"/>
        <v/>
      </c>
      <c r="C1311" s="27" t="str">
        <f t="shared" si="106"/>
        <v/>
      </c>
    </row>
    <row r="1312" spans="1:3" x14ac:dyDescent="0.25">
      <c r="A1312" s="27" t="s">
        <v>1367</v>
      </c>
      <c r="B1312" s="27" t="str">
        <f t="shared" si="105"/>
        <v/>
      </c>
      <c r="C1312" s="27" t="str">
        <f t="shared" si="106"/>
        <v/>
      </c>
    </row>
    <row r="1313" spans="1:3" x14ac:dyDescent="0.25">
      <c r="A1313" s="27" t="s">
        <v>1367</v>
      </c>
      <c r="B1313" s="27" t="str">
        <f t="shared" si="105"/>
        <v/>
      </c>
      <c r="C1313" s="27" t="str">
        <f t="shared" si="106"/>
        <v/>
      </c>
    </row>
    <row r="1314" spans="1:3" x14ac:dyDescent="0.25">
      <c r="A1314" s="27" t="s">
        <v>1367</v>
      </c>
      <c r="B1314" s="27" t="str">
        <f t="shared" si="105"/>
        <v/>
      </c>
      <c r="C1314" s="27" t="str">
        <f t="shared" si="106"/>
        <v/>
      </c>
    </row>
    <row r="1315" spans="1:3" x14ac:dyDescent="0.25">
      <c r="A1315" s="27" t="s">
        <v>1367</v>
      </c>
      <c r="B1315" s="27" t="str">
        <f t="shared" si="105"/>
        <v/>
      </c>
      <c r="C1315" s="27" t="str">
        <f t="shared" si="106"/>
        <v/>
      </c>
    </row>
    <row r="1316" spans="1:3" x14ac:dyDescent="0.25">
      <c r="A1316" s="27" t="s">
        <v>1367</v>
      </c>
      <c r="B1316" s="27" t="str">
        <f t="shared" si="105"/>
        <v/>
      </c>
      <c r="C1316" s="27" t="str">
        <f t="shared" si="106"/>
        <v/>
      </c>
    </row>
    <row r="1317" spans="1:3" x14ac:dyDescent="0.25">
      <c r="A1317" s="27" t="s">
        <v>1367</v>
      </c>
      <c r="B1317" s="27" t="str">
        <f t="shared" si="105"/>
        <v/>
      </c>
      <c r="C1317" s="27" t="str">
        <f t="shared" si="106"/>
        <v/>
      </c>
    </row>
    <row r="1318" spans="1:3" x14ac:dyDescent="0.25">
      <c r="A1318" s="27" t="s">
        <v>1367</v>
      </c>
      <c r="B1318" s="27" t="str">
        <f t="shared" si="105"/>
        <v/>
      </c>
      <c r="C1318" s="27" t="str">
        <f t="shared" si="106"/>
        <v/>
      </c>
    </row>
    <row r="1319" spans="1:3" x14ac:dyDescent="0.25">
      <c r="A1319" s="27" t="s">
        <v>1367</v>
      </c>
      <c r="B1319" s="27" t="str">
        <f t="shared" si="105"/>
        <v/>
      </c>
      <c r="C1319" s="27" t="str">
        <f t="shared" si="106"/>
        <v/>
      </c>
    </row>
    <row r="1320" spans="1:3" x14ac:dyDescent="0.25">
      <c r="A1320" s="27" t="s">
        <v>1367</v>
      </c>
      <c r="B1320" s="27" t="str">
        <f t="shared" si="105"/>
        <v/>
      </c>
      <c r="C1320" s="27" t="str">
        <f t="shared" si="106"/>
        <v/>
      </c>
    </row>
    <row r="1321" spans="1:3" x14ac:dyDescent="0.25">
      <c r="A1321" s="27" t="s">
        <v>1367</v>
      </c>
      <c r="B1321" s="27" t="str">
        <f t="shared" si="105"/>
        <v/>
      </c>
      <c r="C1321" s="27" t="str">
        <f t="shared" si="106"/>
        <v/>
      </c>
    </row>
    <row r="1322" spans="1:3" x14ac:dyDescent="0.25">
      <c r="A1322" s="27" t="s">
        <v>1367</v>
      </c>
      <c r="B1322" s="27" t="str">
        <f t="shared" si="105"/>
        <v/>
      </c>
      <c r="C1322" s="27" t="str">
        <f t="shared" si="106"/>
        <v/>
      </c>
    </row>
    <row r="1323" spans="1:3" x14ac:dyDescent="0.25">
      <c r="A1323" s="27" t="s">
        <v>1367</v>
      </c>
      <c r="B1323" s="27" t="str">
        <f t="shared" si="105"/>
        <v/>
      </c>
      <c r="C1323" s="27" t="str">
        <f t="shared" si="106"/>
        <v/>
      </c>
    </row>
    <row r="1324" spans="1:3" x14ac:dyDescent="0.25">
      <c r="A1324" s="27" t="s">
        <v>1367</v>
      </c>
      <c r="B1324" s="27" t="str">
        <f t="shared" si="105"/>
        <v/>
      </c>
      <c r="C1324" s="27" t="str">
        <f t="shared" si="106"/>
        <v/>
      </c>
    </row>
    <row r="1325" spans="1:3" x14ac:dyDescent="0.25">
      <c r="A1325" s="27" t="s">
        <v>1367</v>
      </c>
      <c r="B1325" s="27" t="str">
        <f t="shared" si="105"/>
        <v/>
      </c>
      <c r="C1325" s="27" t="str">
        <f t="shared" si="106"/>
        <v/>
      </c>
    </row>
    <row r="1326" spans="1:3" x14ac:dyDescent="0.25">
      <c r="A1326" s="27" t="s">
        <v>1367</v>
      </c>
      <c r="B1326" s="27" t="str">
        <f t="shared" si="105"/>
        <v/>
      </c>
      <c r="C1326" s="27" t="str">
        <f t="shared" si="106"/>
        <v/>
      </c>
    </row>
    <row r="1327" spans="1:3" x14ac:dyDescent="0.25">
      <c r="A1327" s="27" t="s">
        <v>1367</v>
      </c>
      <c r="B1327" s="27" t="str">
        <f t="shared" si="105"/>
        <v/>
      </c>
      <c r="C1327" s="27" t="str">
        <f t="shared" si="106"/>
        <v/>
      </c>
    </row>
    <row r="1328" spans="1:3" x14ac:dyDescent="0.25">
      <c r="A1328" s="27" t="s">
        <v>1367</v>
      </c>
      <c r="B1328" s="27" t="str">
        <f t="shared" si="105"/>
        <v/>
      </c>
      <c r="C1328" s="27" t="str">
        <f t="shared" si="106"/>
        <v/>
      </c>
    </row>
    <row r="1329" spans="1:3" x14ac:dyDescent="0.25">
      <c r="A1329" s="27" t="s">
        <v>1367</v>
      </c>
      <c r="B1329" s="27" t="str">
        <f t="shared" si="105"/>
        <v/>
      </c>
      <c r="C1329" s="27" t="str">
        <f t="shared" si="106"/>
        <v/>
      </c>
    </row>
    <row r="1330" spans="1:3" x14ac:dyDescent="0.25">
      <c r="A1330" s="27" t="s">
        <v>1367</v>
      </c>
      <c r="B1330" s="27" t="str">
        <f t="shared" si="105"/>
        <v/>
      </c>
      <c r="C1330" s="27" t="str">
        <f t="shared" si="106"/>
        <v/>
      </c>
    </row>
    <row r="1331" spans="1:3" x14ac:dyDescent="0.25">
      <c r="A1331" s="27" t="s">
        <v>1367</v>
      </c>
      <c r="B1331" s="27" t="str">
        <f t="shared" si="105"/>
        <v/>
      </c>
      <c r="C1331" s="27" t="str">
        <f t="shared" si="106"/>
        <v/>
      </c>
    </row>
    <row r="1332" spans="1:3" x14ac:dyDescent="0.25">
      <c r="A1332" s="27" t="s">
        <v>1367</v>
      </c>
      <c r="B1332" s="27" t="str">
        <f t="shared" si="105"/>
        <v/>
      </c>
      <c r="C1332" s="27" t="str">
        <f t="shared" si="106"/>
        <v/>
      </c>
    </row>
    <row r="1333" spans="1:3" x14ac:dyDescent="0.25">
      <c r="A1333" s="27" t="s">
        <v>1367</v>
      </c>
      <c r="B1333" s="27" t="str">
        <f t="shared" si="105"/>
        <v/>
      </c>
      <c r="C1333" s="27" t="str">
        <f t="shared" si="106"/>
        <v/>
      </c>
    </row>
    <row r="1334" spans="1:3" x14ac:dyDescent="0.25">
      <c r="A1334" s="27" t="s">
        <v>1367</v>
      </c>
      <c r="B1334" s="27" t="str">
        <f t="shared" si="105"/>
        <v/>
      </c>
      <c r="C1334" s="27" t="str">
        <f t="shared" si="106"/>
        <v/>
      </c>
    </row>
    <row r="1335" spans="1:3" x14ac:dyDescent="0.25">
      <c r="A1335" s="27" t="s">
        <v>1367</v>
      </c>
      <c r="B1335" s="27" t="str">
        <f t="shared" si="105"/>
        <v/>
      </c>
      <c r="C1335" s="27" t="str">
        <f t="shared" si="106"/>
        <v/>
      </c>
    </row>
    <row r="1336" spans="1:3" x14ac:dyDescent="0.25">
      <c r="A1336" s="27" t="s">
        <v>1367</v>
      </c>
      <c r="B1336" s="27" t="str">
        <f t="shared" si="105"/>
        <v/>
      </c>
      <c r="C1336" s="27" t="str">
        <f t="shared" si="106"/>
        <v/>
      </c>
    </row>
    <row r="1337" spans="1:3" x14ac:dyDescent="0.25">
      <c r="A1337" s="27" t="s">
        <v>1367</v>
      </c>
      <c r="B1337" s="27" t="str">
        <f t="shared" si="105"/>
        <v/>
      </c>
      <c r="C1337" s="27" t="str">
        <f t="shared" si="106"/>
        <v/>
      </c>
    </row>
    <row r="1338" spans="1:3" x14ac:dyDescent="0.25">
      <c r="A1338" s="27" t="s">
        <v>1367</v>
      </c>
      <c r="B1338" s="27" t="str">
        <f t="shared" si="105"/>
        <v/>
      </c>
      <c r="C1338" s="27" t="str">
        <f t="shared" si="106"/>
        <v/>
      </c>
    </row>
    <row r="1339" spans="1:3" x14ac:dyDescent="0.25">
      <c r="A1339" s="27" t="s">
        <v>1367</v>
      </c>
      <c r="B1339" s="27" t="str">
        <f t="shared" si="105"/>
        <v/>
      </c>
      <c r="C1339" s="27" t="str">
        <f t="shared" si="106"/>
        <v/>
      </c>
    </row>
    <row r="1340" spans="1:3" x14ac:dyDescent="0.25">
      <c r="A1340" s="27" t="s">
        <v>1367</v>
      </c>
      <c r="B1340" s="27" t="str">
        <f t="shared" si="105"/>
        <v/>
      </c>
      <c r="C1340" s="27" t="str">
        <f t="shared" si="106"/>
        <v/>
      </c>
    </row>
    <row r="1341" spans="1:3" x14ac:dyDescent="0.25">
      <c r="A1341" s="27" t="s">
        <v>1367</v>
      </c>
      <c r="B1341" s="27" t="str">
        <f t="shared" si="105"/>
        <v/>
      </c>
      <c r="C1341" s="27" t="str">
        <f t="shared" si="106"/>
        <v/>
      </c>
    </row>
    <row r="1342" spans="1:3" x14ac:dyDescent="0.25">
      <c r="A1342" s="27" t="s">
        <v>1367</v>
      </c>
      <c r="B1342" s="27" t="str">
        <f t="shared" si="105"/>
        <v/>
      </c>
      <c r="C1342" s="27" t="str">
        <f t="shared" si="106"/>
        <v/>
      </c>
    </row>
    <row r="1343" spans="1:3" x14ac:dyDescent="0.25">
      <c r="A1343" s="27" t="s">
        <v>1367</v>
      </c>
      <c r="B1343" s="27" t="str">
        <f t="shared" si="105"/>
        <v/>
      </c>
      <c r="C1343" s="27" t="str">
        <f t="shared" si="106"/>
        <v/>
      </c>
    </row>
    <row r="1344" spans="1:3" x14ac:dyDescent="0.25">
      <c r="A1344" s="27" t="s">
        <v>1367</v>
      </c>
      <c r="B1344" s="27" t="str">
        <f t="shared" si="105"/>
        <v/>
      </c>
      <c r="C1344" s="27" t="str">
        <f t="shared" si="106"/>
        <v/>
      </c>
    </row>
    <row r="1345" spans="1:3" x14ac:dyDescent="0.25">
      <c r="A1345" s="27" t="s">
        <v>1367</v>
      </c>
      <c r="B1345" s="27" t="str">
        <f t="shared" si="105"/>
        <v/>
      </c>
      <c r="C1345" s="27" t="str">
        <f t="shared" si="106"/>
        <v/>
      </c>
    </row>
    <row r="1346" spans="1:3" x14ac:dyDescent="0.25">
      <c r="A1346" s="27" t="s">
        <v>1367</v>
      </c>
      <c r="B1346" s="27" t="str">
        <f t="shared" si="105"/>
        <v/>
      </c>
      <c r="C1346" s="27" t="str">
        <f t="shared" si="106"/>
        <v/>
      </c>
    </row>
    <row r="1347" spans="1:3" x14ac:dyDescent="0.25">
      <c r="A1347" s="27" t="s">
        <v>1367</v>
      </c>
      <c r="B1347" s="27" t="str">
        <f t="shared" si="105"/>
        <v/>
      </c>
      <c r="C1347" s="27" t="str">
        <f t="shared" si="106"/>
        <v/>
      </c>
    </row>
    <row r="1348" spans="1:3" x14ac:dyDescent="0.25">
      <c r="A1348" s="27" t="s">
        <v>1367</v>
      </c>
      <c r="B1348" s="27" t="str">
        <f t="shared" si="105"/>
        <v/>
      </c>
      <c r="C1348" s="27" t="str">
        <f t="shared" si="106"/>
        <v/>
      </c>
    </row>
    <row r="1349" spans="1:3" x14ac:dyDescent="0.25">
      <c r="A1349" s="27" t="s">
        <v>1367</v>
      </c>
      <c r="B1349" s="27" t="str">
        <f t="shared" si="105"/>
        <v/>
      </c>
      <c r="C1349" s="27" t="str">
        <f t="shared" si="106"/>
        <v/>
      </c>
    </row>
    <row r="1350" spans="1:3" x14ac:dyDescent="0.25">
      <c r="A1350" s="27" t="s">
        <v>1367</v>
      </c>
      <c r="B1350" s="27" t="str">
        <f t="shared" si="105"/>
        <v/>
      </c>
      <c r="C1350" s="27" t="str">
        <f t="shared" si="106"/>
        <v/>
      </c>
    </row>
    <row r="1351" spans="1:3" x14ac:dyDescent="0.25">
      <c r="A1351" s="27" t="s">
        <v>1367</v>
      </c>
      <c r="B1351" s="27" t="str">
        <f t="shared" si="105"/>
        <v/>
      </c>
      <c r="C1351" s="27" t="str">
        <f t="shared" si="106"/>
        <v/>
      </c>
    </row>
    <row r="1352" spans="1:3" x14ac:dyDescent="0.25">
      <c r="A1352" s="27" t="s">
        <v>1367</v>
      </c>
      <c r="B1352" s="27" t="str">
        <f t="shared" si="105"/>
        <v/>
      </c>
      <c r="C1352" s="27" t="str">
        <f t="shared" si="106"/>
        <v/>
      </c>
    </row>
    <row r="1353" spans="1:3" x14ac:dyDescent="0.25">
      <c r="A1353" s="27" t="s">
        <v>1367</v>
      </c>
      <c r="B1353" s="27" t="str">
        <f t="shared" si="105"/>
        <v/>
      </c>
      <c r="C1353" s="27" t="str">
        <f t="shared" si="106"/>
        <v/>
      </c>
    </row>
    <row r="1354" spans="1:3" x14ac:dyDescent="0.25">
      <c r="A1354" s="27" t="s">
        <v>1367</v>
      </c>
      <c r="B1354" s="27" t="str">
        <f t="shared" si="105"/>
        <v/>
      </c>
      <c r="C1354" s="27" t="str">
        <f t="shared" si="106"/>
        <v/>
      </c>
    </row>
    <row r="1355" spans="1:3" x14ac:dyDescent="0.25">
      <c r="A1355" s="27" t="s">
        <v>1367</v>
      </c>
      <c r="B1355" s="27" t="str">
        <f t="shared" si="105"/>
        <v/>
      </c>
      <c r="C1355" s="27" t="str">
        <f t="shared" si="106"/>
        <v/>
      </c>
    </row>
    <row r="1356" spans="1:3" x14ac:dyDescent="0.25">
      <c r="A1356" s="27" t="s">
        <v>1367</v>
      </c>
      <c r="B1356" s="27" t="str">
        <f t="shared" si="105"/>
        <v/>
      </c>
      <c r="C1356" s="27" t="str">
        <f t="shared" si="106"/>
        <v/>
      </c>
    </row>
    <row r="1357" spans="1:3" x14ac:dyDescent="0.25">
      <c r="A1357" s="27" t="s">
        <v>1367</v>
      </c>
      <c r="B1357" s="27" t="str">
        <f t="shared" si="105"/>
        <v/>
      </c>
      <c r="C1357" s="27" t="str">
        <f t="shared" si="106"/>
        <v/>
      </c>
    </row>
    <row r="1358" spans="1:3" x14ac:dyDescent="0.25">
      <c r="A1358" s="27" t="s">
        <v>1367</v>
      </c>
      <c r="B1358" s="27" t="str">
        <f t="shared" si="105"/>
        <v/>
      </c>
      <c r="C1358" s="27" t="str">
        <f t="shared" si="106"/>
        <v/>
      </c>
    </row>
    <row r="1359" spans="1:3" x14ac:dyDescent="0.25">
      <c r="A1359" s="27" t="s">
        <v>1367</v>
      </c>
      <c r="B1359" s="27" t="str">
        <f t="shared" si="105"/>
        <v/>
      </c>
      <c r="C1359" s="27" t="str">
        <f t="shared" si="106"/>
        <v/>
      </c>
    </row>
    <row r="1360" spans="1:3" x14ac:dyDescent="0.25">
      <c r="A1360" s="27" t="s">
        <v>1367</v>
      </c>
      <c r="B1360" s="27" t="str">
        <f t="shared" si="105"/>
        <v/>
      </c>
      <c r="C1360" s="27" t="str">
        <f t="shared" si="106"/>
        <v/>
      </c>
    </row>
    <row r="1361" spans="1:3" x14ac:dyDescent="0.25">
      <c r="A1361" s="27" t="s">
        <v>1367</v>
      </c>
      <c r="B1361" s="27" t="str">
        <f t="shared" si="105"/>
        <v/>
      </c>
      <c r="C1361" s="27" t="str">
        <f t="shared" si="106"/>
        <v/>
      </c>
    </row>
    <row r="1362" spans="1:3" x14ac:dyDescent="0.25">
      <c r="A1362" s="27" t="s">
        <v>1367</v>
      </c>
      <c r="B1362" s="27" t="str">
        <f t="shared" si="105"/>
        <v/>
      </c>
      <c r="C1362" s="27" t="str">
        <f t="shared" si="106"/>
        <v/>
      </c>
    </row>
    <row r="1363" spans="1:3" x14ac:dyDescent="0.25">
      <c r="A1363" s="27" t="s">
        <v>1367</v>
      </c>
      <c r="B1363" s="27" t="str">
        <f t="shared" si="105"/>
        <v/>
      </c>
      <c r="C1363" s="27" t="str">
        <f t="shared" si="106"/>
        <v/>
      </c>
    </row>
    <row r="1364" spans="1:3" x14ac:dyDescent="0.25">
      <c r="A1364" s="27" t="s">
        <v>1367</v>
      </c>
      <c r="B1364" s="27" t="str">
        <f t="shared" si="105"/>
        <v/>
      </c>
      <c r="C1364" s="27" t="str">
        <f t="shared" si="106"/>
        <v/>
      </c>
    </row>
    <row r="1365" spans="1:3" x14ac:dyDescent="0.25">
      <c r="A1365" s="27" t="s">
        <v>1367</v>
      </c>
      <c r="B1365" s="27" t="str">
        <f t="shared" si="105"/>
        <v/>
      </c>
      <c r="C1365" s="27" t="str">
        <f t="shared" si="106"/>
        <v/>
      </c>
    </row>
    <row r="1366" spans="1:3" x14ac:dyDescent="0.25">
      <c r="A1366" s="27" t="s">
        <v>1367</v>
      </c>
      <c r="B1366" s="27" t="str">
        <f t="shared" si="105"/>
        <v/>
      </c>
      <c r="C1366" s="27" t="str">
        <f t="shared" si="106"/>
        <v/>
      </c>
    </row>
    <row r="1367" spans="1:3" x14ac:dyDescent="0.25">
      <c r="A1367" s="27" t="s">
        <v>1367</v>
      </c>
      <c r="B1367" s="27" t="str">
        <f t="shared" si="105"/>
        <v/>
      </c>
      <c r="C1367" s="27" t="str">
        <f t="shared" si="106"/>
        <v/>
      </c>
    </row>
    <row r="1368" spans="1:3" x14ac:dyDescent="0.25">
      <c r="A1368" s="27" t="s">
        <v>1367</v>
      </c>
      <c r="B1368" s="27" t="str">
        <f t="shared" si="105"/>
        <v/>
      </c>
      <c r="C1368" s="27" t="str">
        <f t="shared" si="106"/>
        <v/>
      </c>
    </row>
    <row r="1369" spans="1:3" x14ac:dyDescent="0.25">
      <c r="A1369" s="27" t="s">
        <v>1367</v>
      </c>
      <c r="B1369" s="27" t="str">
        <f t="shared" si="105"/>
        <v/>
      </c>
      <c r="C1369" s="27" t="str">
        <f t="shared" si="106"/>
        <v/>
      </c>
    </row>
    <row r="1370" spans="1:3" x14ac:dyDescent="0.25">
      <c r="A1370" s="27" t="s">
        <v>1367</v>
      </c>
      <c r="B1370" s="27" t="str">
        <f t="shared" si="105"/>
        <v/>
      </c>
      <c r="C1370" s="27" t="str">
        <f t="shared" si="106"/>
        <v/>
      </c>
    </row>
    <row r="1371" spans="1:3" x14ac:dyDescent="0.25">
      <c r="A1371" s="27" t="s">
        <v>1367</v>
      </c>
      <c r="B1371" s="27" t="str">
        <f t="shared" si="105"/>
        <v/>
      </c>
      <c r="C1371" s="27" t="str">
        <f t="shared" si="106"/>
        <v/>
      </c>
    </row>
    <row r="1372" spans="1:3" x14ac:dyDescent="0.25">
      <c r="A1372" s="27" t="s">
        <v>1367</v>
      </c>
      <c r="B1372" s="27" t="str">
        <f t="shared" si="105"/>
        <v/>
      </c>
      <c r="C1372" s="27" t="str">
        <f t="shared" si="106"/>
        <v/>
      </c>
    </row>
    <row r="1373" spans="1:3" x14ac:dyDescent="0.25">
      <c r="A1373" s="27" t="s">
        <v>1367</v>
      </c>
      <c r="B1373" s="27" t="str">
        <f t="shared" ref="B1373:B1436" si="107">LEFT(A1373,FIND(";",A1373)-1)</f>
        <v/>
      </c>
      <c r="C1373" s="27" t="str">
        <f t="shared" ref="C1373:C1436" si="108">MID(A1373,FIND(";",A1373)+1,100)</f>
        <v/>
      </c>
    </row>
    <row r="1374" spans="1:3" x14ac:dyDescent="0.25">
      <c r="A1374" s="27" t="s">
        <v>1367</v>
      </c>
      <c r="B1374" s="27" t="str">
        <f t="shared" si="107"/>
        <v/>
      </c>
      <c r="C1374" s="27" t="str">
        <f t="shared" si="108"/>
        <v/>
      </c>
    </row>
    <row r="1375" spans="1:3" x14ac:dyDescent="0.25">
      <c r="A1375" s="27" t="s">
        <v>1367</v>
      </c>
      <c r="B1375" s="27" t="str">
        <f t="shared" si="107"/>
        <v/>
      </c>
      <c r="C1375" s="27" t="str">
        <f t="shared" si="108"/>
        <v/>
      </c>
    </row>
    <row r="1376" spans="1:3" x14ac:dyDescent="0.25">
      <c r="A1376" s="27" t="s">
        <v>1367</v>
      </c>
      <c r="B1376" s="27" t="str">
        <f t="shared" si="107"/>
        <v/>
      </c>
      <c r="C1376" s="27" t="str">
        <f t="shared" si="108"/>
        <v/>
      </c>
    </row>
    <row r="1377" spans="1:3" x14ac:dyDescent="0.25">
      <c r="A1377" s="27" t="s">
        <v>1367</v>
      </c>
      <c r="B1377" s="27" t="str">
        <f t="shared" si="107"/>
        <v/>
      </c>
      <c r="C1377" s="27" t="str">
        <f t="shared" si="108"/>
        <v/>
      </c>
    </row>
    <row r="1378" spans="1:3" x14ac:dyDescent="0.25">
      <c r="A1378" s="27" t="s">
        <v>1367</v>
      </c>
      <c r="B1378" s="27" t="str">
        <f t="shared" si="107"/>
        <v/>
      </c>
      <c r="C1378" s="27" t="str">
        <f t="shared" si="108"/>
        <v/>
      </c>
    </row>
    <row r="1379" spans="1:3" x14ac:dyDescent="0.25">
      <c r="A1379" s="27" t="s">
        <v>1367</v>
      </c>
      <c r="B1379" s="27" t="str">
        <f t="shared" si="107"/>
        <v/>
      </c>
      <c r="C1379" s="27" t="str">
        <f t="shared" si="108"/>
        <v/>
      </c>
    </row>
    <row r="1380" spans="1:3" x14ac:dyDescent="0.25">
      <c r="A1380" s="27" t="s">
        <v>1367</v>
      </c>
      <c r="B1380" s="27" t="str">
        <f t="shared" si="107"/>
        <v/>
      </c>
      <c r="C1380" s="27" t="str">
        <f t="shared" si="108"/>
        <v/>
      </c>
    </row>
    <row r="1381" spans="1:3" x14ac:dyDescent="0.25">
      <c r="A1381" s="27" t="s">
        <v>1367</v>
      </c>
      <c r="B1381" s="27" t="str">
        <f t="shared" si="107"/>
        <v/>
      </c>
      <c r="C1381" s="27" t="str">
        <f t="shared" si="108"/>
        <v/>
      </c>
    </row>
    <row r="1382" spans="1:3" x14ac:dyDescent="0.25">
      <c r="A1382" s="27" t="s">
        <v>1367</v>
      </c>
      <c r="B1382" s="27" t="str">
        <f t="shared" si="107"/>
        <v/>
      </c>
      <c r="C1382" s="27" t="str">
        <f t="shared" si="108"/>
        <v/>
      </c>
    </row>
    <row r="1383" spans="1:3" x14ac:dyDescent="0.25">
      <c r="A1383" s="27" t="s">
        <v>1367</v>
      </c>
      <c r="B1383" s="27" t="str">
        <f t="shared" si="107"/>
        <v/>
      </c>
      <c r="C1383" s="27" t="str">
        <f t="shared" si="108"/>
        <v/>
      </c>
    </row>
    <row r="1384" spans="1:3" x14ac:dyDescent="0.25">
      <c r="A1384" s="27" t="s">
        <v>1367</v>
      </c>
      <c r="B1384" s="27" t="str">
        <f t="shared" si="107"/>
        <v/>
      </c>
      <c r="C1384" s="27" t="str">
        <f t="shared" si="108"/>
        <v/>
      </c>
    </row>
    <row r="1385" spans="1:3" x14ac:dyDescent="0.25">
      <c r="A1385" s="27" t="s">
        <v>1367</v>
      </c>
      <c r="B1385" s="27" t="str">
        <f t="shared" si="107"/>
        <v/>
      </c>
      <c r="C1385" s="27" t="str">
        <f t="shared" si="108"/>
        <v/>
      </c>
    </row>
    <row r="1386" spans="1:3" x14ac:dyDescent="0.25">
      <c r="A1386" s="27" t="s">
        <v>1367</v>
      </c>
      <c r="B1386" s="27" t="str">
        <f t="shared" si="107"/>
        <v/>
      </c>
      <c r="C1386" s="27" t="str">
        <f t="shared" si="108"/>
        <v/>
      </c>
    </row>
    <row r="1387" spans="1:3" x14ac:dyDescent="0.25">
      <c r="A1387" s="27" t="s">
        <v>1367</v>
      </c>
      <c r="B1387" s="27" t="str">
        <f t="shared" si="107"/>
        <v/>
      </c>
      <c r="C1387" s="27" t="str">
        <f t="shared" si="108"/>
        <v/>
      </c>
    </row>
    <row r="1388" spans="1:3" x14ac:dyDescent="0.25">
      <c r="A1388" s="27" t="s">
        <v>1367</v>
      </c>
      <c r="B1388" s="27" t="str">
        <f t="shared" si="107"/>
        <v/>
      </c>
      <c r="C1388" s="27" t="str">
        <f t="shared" si="108"/>
        <v/>
      </c>
    </row>
    <row r="1389" spans="1:3" x14ac:dyDescent="0.25">
      <c r="A1389" s="27" t="s">
        <v>1367</v>
      </c>
      <c r="B1389" s="27" t="str">
        <f t="shared" si="107"/>
        <v/>
      </c>
      <c r="C1389" s="27" t="str">
        <f t="shared" si="108"/>
        <v/>
      </c>
    </row>
    <row r="1390" spans="1:3" x14ac:dyDescent="0.25">
      <c r="A1390" s="27" t="s">
        <v>1367</v>
      </c>
      <c r="B1390" s="27" t="str">
        <f t="shared" si="107"/>
        <v/>
      </c>
      <c r="C1390" s="27" t="str">
        <f t="shared" si="108"/>
        <v/>
      </c>
    </row>
    <row r="1391" spans="1:3" x14ac:dyDescent="0.25">
      <c r="A1391" s="27" t="s">
        <v>1367</v>
      </c>
      <c r="B1391" s="27" t="str">
        <f t="shared" si="107"/>
        <v/>
      </c>
      <c r="C1391" s="27" t="str">
        <f t="shared" si="108"/>
        <v/>
      </c>
    </row>
    <row r="1392" spans="1:3" x14ac:dyDescent="0.25">
      <c r="A1392" s="27" t="s">
        <v>1367</v>
      </c>
      <c r="B1392" s="27" t="str">
        <f t="shared" si="107"/>
        <v/>
      </c>
      <c r="C1392" s="27" t="str">
        <f t="shared" si="108"/>
        <v/>
      </c>
    </row>
    <row r="1393" spans="1:3" x14ac:dyDescent="0.25">
      <c r="A1393" s="27" t="s">
        <v>1367</v>
      </c>
      <c r="B1393" s="27" t="str">
        <f t="shared" si="107"/>
        <v/>
      </c>
      <c r="C1393" s="27" t="str">
        <f t="shared" si="108"/>
        <v/>
      </c>
    </row>
    <row r="1394" spans="1:3" x14ac:dyDescent="0.25">
      <c r="A1394" s="27" t="s">
        <v>1367</v>
      </c>
      <c r="B1394" s="27" t="str">
        <f t="shared" si="107"/>
        <v/>
      </c>
      <c r="C1394" s="27" t="str">
        <f t="shared" si="108"/>
        <v/>
      </c>
    </row>
    <row r="1395" spans="1:3" x14ac:dyDescent="0.25">
      <c r="A1395" s="27" t="s">
        <v>1367</v>
      </c>
      <c r="B1395" s="27" t="str">
        <f t="shared" si="107"/>
        <v/>
      </c>
      <c r="C1395" s="27" t="str">
        <f t="shared" si="108"/>
        <v/>
      </c>
    </row>
    <row r="1396" spans="1:3" x14ac:dyDescent="0.25">
      <c r="A1396" s="27" t="s">
        <v>1367</v>
      </c>
      <c r="B1396" s="27" t="str">
        <f t="shared" si="107"/>
        <v/>
      </c>
      <c r="C1396" s="27" t="str">
        <f t="shared" si="108"/>
        <v/>
      </c>
    </row>
    <row r="1397" spans="1:3" x14ac:dyDescent="0.25">
      <c r="A1397" s="27" t="s">
        <v>1367</v>
      </c>
      <c r="B1397" s="27" t="str">
        <f t="shared" si="107"/>
        <v/>
      </c>
      <c r="C1397" s="27" t="str">
        <f t="shared" si="108"/>
        <v/>
      </c>
    </row>
    <row r="1398" spans="1:3" x14ac:dyDescent="0.25">
      <c r="A1398" s="27" t="s">
        <v>1367</v>
      </c>
      <c r="B1398" s="27" t="str">
        <f t="shared" si="107"/>
        <v/>
      </c>
      <c r="C1398" s="27" t="str">
        <f t="shared" si="108"/>
        <v/>
      </c>
    </row>
    <row r="1399" spans="1:3" x14ac:dyDescent="0.25">
      <c r="A1399" s="27" t="s">
        <v>1367</v>
      </c>
      <c r="B1399" s="27" t="str">
        <f t="shared" si="107"/>
        <v/>
      </c>
      <c r="C1399" s="27" t="str">
        <f t="shared" si="108"/>
        <v/>
      </c>
    </row>
    <row r="1400" spans="1:3" x14ac:dyDescent="0.25">
      <c r="A1400" s="27" t="s">
        <v>1367</v>
      </c>
      <c r="B1400" s="27" t="str">
        <f t="shared" si="107"/>
        <v/>
      </c>
      <c r="C1400" s="27" t="str">
        <f t="shared" si="108"/>
        <v/>
      </c>
    </row>
    <row r="1401" spans="1:3" x14ac:dyDescent="0.25">
      <c r="A1401" s="27" t="s">
        <v>1367</v>
      </c>
      <c r="B1401" s="27" t="str">
        <f t="shared" si="107"/>
        <v/>
      </c>
      <c r="C1401" s="27" t="str">
        <f t="shared" si="108"/>
        <v/>
      </c>
    </row>
    <row r="1402" spans="1:3" x14ac:dyDescent="0.25">
      <c r="A1402" s="27" t="s">
        <v>1367</v>
      </c>
      <c r="B1402" s="27" t="str">
        <f t="shared" si="107"/>
        <v/>
      </c>
      <c r="C1402" s="27" t="str">
        <f t="shared" si="108"/>
        <v/>
      </c>
    </row>
    <row r="1403" spans="1:3" x14ac:dyDescent="0.25">
      <c r="A1403" s="27" t="s">
        <v>1367</v>
      </c>
      <c r="B1403" s="27" t="str">
        <f t="shared" si="107"/>
        <v/>
      </c>
      <c r="C1403" s="27" t="str">
        <f t="shared" si="108"/>
        <v/>
      </c>
    </row>
    <row r="1404" spans="1:3" x14ac:dyDescent="0.25">
      <c r="A1404" s="27" t="s">
        <v>1367</v>
      </c>
      <c r="B1404" s="27" t="str">
        <f t="shared" si="107"/>
        <v/>
      </c>
      <c r="C1404" s="27" t="str">
        <f t="shared" si="108"/>
        <v/>
      </c>
    </row>
    <row r="1405" spans="1:3" x14ac:dyDescent="0.25">
      <c r="A1405" s="27" t="s">
        <v>1367</v>
      </c>
      <c r="B1405" s="27" t="str">
        <f t="shared" si="107"/>
        <v/>
      </c>
      <c r="C1405" s="27" t="str">
        <f t="shared" si="108"/>
        <v/>
      </c>
    </row>
    <row r="1406" spans="1:3" x14ac:dyDescent="0.25">
      <c r="A1406" s="27" t="s">
        <v>1367</v>
      </c>
      <c r="B1406" s="27" t="str">
        <f t="shared" si="107"/>
        <v/>
      </c>
      <c r="C1406" s="27" t="str">
        <f t="shared" si="108"/>
        <v/>
      </c>
    </row>
    <row r="1407" spans="1:3" x14ac:dyDescent="0.25">
      <c r="A1407" s="27" t="s">
        <v>1367</v>
      </c>
      <c r="B1407" s="27" t="str">
        <f t="shared" si="107"/>
        <v/>
      </c>
      <c r="C1407" s="27" t="str">
        <f t="shared" si="108"/>
        <v/>
      </c>
    </row>
    <row r="1408" spans="1:3" x14ac:dyDescent="0.25">
      <c r="A1408" s="27" t="s">
        <v>1367</v>
      </c>
      <c r="B1408" s="27" t="str">
        <f t="shared" si="107"/>
        <v/>
      </c>
      <c r="C1408" s="27" t="str">
        <f t="shared" si="108"/>
        <v/>
      </c>
    </row>
    <row r="1409" spans="1:3" x14ac:dyDescent="0.25">
      <c r="A1409" s="27" t="s">
        <v>1367</v>
      </c>
      <c r="B1409" s="27" t="str">
        <f t="shared" si="107"/>
        <v/>
      </c>
      <c r="C1409" s="27" t="str">
        <f t="shared" si="108"/>
        <v/>
      </c>
    </row>
    <row r="1410" spans="1:3" x14ac:dyDescent="0.25">
      <c r="A1410" s="27" t="s">
        <v>1367</v>
      </c>
      <c r="B1410" s="27" t="str">
        <f t="shared" si="107"/>
        <v/>
      </c>
      <c r="C1410" s="27" t="str">
        <f t="shared" si="108"/>
        <v/>
      </c>
    </row>
    <row r="1411" spans="1:3" x14ac:dyDescent="0.25">
      <c r="A1411" s="27" t="s">
        <v>1367</v>
      </c>
      <c r="B1411" s="27" t="str">
        <f t="shared" si="107"/>
        <v/>
      </c>
      <c r="C1411" s="27" t="str">
        <f t="shared" si="108"/>
        <v/>
      </c>
    </row>
    <row r="1412" spans="1:3" x14ac:dyDescent="0.25">
      <c r="A1412" s="27" t="s">
        <v>1367</v>
      </c>
      <c r="B1412" s="27" t="str">
        <f t="shared" si="107"/>
        <v/>
      </c>
      <c r="C1412" s="27" t="str">
        <f t="shared" si="108"/>
        <v/>
      </c>
    </row>
    <row r="1413" spans="1:3" x14ac:dyDescent="0.25">
      <c r="A1413" s="27" t="s">
        <v>1367</v>
      </c>
      <c r="B1413" s="27" t="str">
        <f t="shared" si="107"/>
        <v/>
      </c>
      <c r="C1413" s="27" t="str">
        <f t="shared" si="108"/>
        <v/>
      </c>
    </row>
    <row r="1414" spans="1:3" x14ac:dyDescent="0.25">
      <c r="A1414" s="27" t="s">
        <v>1367</v>
      </c>
      <c r="B1414" s="27" t="str">
        <f t="shared" si="107"/>
        <v/>
      </c>
      <c r="C1414" s="27" t="str">
        <f t="shared" si="108"/>
        <v/>
      </c>
    </row>
    <row r="1415" spans="1:3" x14ac:dyDescent="0.25">
      <c r="A1415" s="27" t="s">
        <v>1367</v>
      </c>
      <c r="B1415" s="27" t="str">
        <f t="shared" si="107"/>
        <v/>
      </c>
      <c r="C1415" s="27" t="str">
        <f t="shared" si="108"/>
        <v/>
      </c>
    </row>
    <row r="1416" spans="1:3" x14ac:dyDescent="0.25">
      <c r="A1416" s="27" t="s">
        <v>1367</v>
      </c>
      <c r="B1416" s="27" t="str">
        <f t="shared" si="107"/>
        <v/>
      </c>
      <c r="C1416" s="27" t="str">
        <f t="shared" si="108"/>
        <v/>
      </c>
    </row>
    <row r="1417" spans="1:3" x14ac:dyDescent="0.25">
      <c r="A1417" s="27" t="s">
        <v>1367</v>
      </c>
      <c r="B1417" s="27" t="str">
        <f t="shared" si="107"/>
        <v/>
      </c>
      <c r="C1417" s="27" t="str">
        <f t="shared" si="108"/>
        <v/>
      </c>
    </row>
    <row r="1418" spans="1:3" x14ac:dyDescent="0.25">
      <c r="A1418" s="27" t="s">
        <v>1367</v>
      </c>
      <c r="B1418" s="27" t="str">
        <f t="shared" si="107"/>
        <v/>
      </c>
      <c r="C1418" s="27" t="str">
        <f t="shared" si="108"/>
        <v/>
      </c>
    </row>
    <row r="1419" spans="1:3" x14ac:dyDescent="0.25">
      <c r="A1419" s="27" t="s">
        <v>1367</v>
      </c>
      <c r="B1419" s="27" t="str">
        <f t="shared" si="107"/>
        <v/>
      </c>
      <c r="C1419" s="27" t="str">
        <f t="shared" si="108"/>
        <v/>
      </c>
    </row>
    <row r="1420" spans="1:3" x14ac:dyDescent="0.25">
      <c r="A1420" s="27" t="s">
        <v>1367</v>
      </c>
      <c r="B1420" s="27" t="str">
        <f t="shared" si="107"/>
        <v/>
      </c>
      <c r="C1420" s="27" t="str">
        <f t="shared" si="108"/>
        <v/>
      </c>
    </row>
    <row r="1421" spans="1:3" x14ac:dyDescent="0.25">
      <c r="A1421" s="27" t="s">
        <v>1367</v>
      </c>
      <c r="B1421" s="27" t="str">
        <f t="shared" si="107"/>
        <v/>
      </c>
      <c r="C1421" s="27" t="str">
        <f t="shared" si="108"/>
        <v/>
      </c>
    </row>
    <row r="1422" spans="1:3" x14ac:dyDescent="0.25">
      <c r="A1422" s="27" t="s">
        <v>1367</v>
      </c>
      <c r="B1422" s="27" t="str">
        <f t="shared" si="107"/>
        <v/>
      </c>
      <c r="C1422" s="27" t="str">
        <f t="shared" si="108"/>
        <v/>
      </c>
    </row>
    <row r="1423" spans="1:3" x14ac:dyDescent="0.25">
      <c r="A1423" s="27" t="s">
        <v>1367</v>
      </c>
      <c r="B1423" s="27" t="str">
        <f t="shared" si="107"/>
        <v/>
      </c>
      <c r="C1423" s="27" t="str">
        <f t="shared" si="108"/>
        <v/>
      </c>
    </row>
    <row r="1424" spans="1:3" x14ac:dyDescent="0.25">
      <c r="A1424" s="27" t="s">
        <v>1367</v>
      </c>
      <c r="B1424" s="27" t="str">
        <f t="shared" si="107"/>
        <v/>
      </c>
      <c r="C1424" s="27" t="str">
        <f t="shared" si="108"/>
        <v/>
      </c>
    </row>
    <row r="1425" spans="1:3" x14ac:dyDescent="0.25">
      <c r="A1425" s="27" t="s">
        <v>1367</v>
      </c>
      <c r="B1425" s="27" t="str">
        <f t="shared" si="107"/>
        <v/>
      </c>
      <c r="C1425" s="27" t="str">
        <f t="shared" si="108"/>
        <v/>
      </c>
    </row>
    <row r="1426" spans="1:3" x14ac:dyDescent="0.25">
      <c r="A1426" s="27" t="s">
        <v>1367</v>
      </c>
      <c r="B1426" s="27" t="str">
        <f t="shared" si="107"/>
        <v/>
      </c>
      <c r="C1426" s="27" t="str">
        <f t="shared" si="108"/>
        <v/>
      </c>
    </row>
    <row r="1427" spans="1:3" x14ac:dyDescent="0.25">
      <c r="A1427" s="27" t="s">
        <v>1367</v>
      </c>
      <c r="B1427" s="27" t="str">
        <f t="shared" si="107"/>
        <v/>
      </c>
      <c r="C1427" s="27" t="str">
        <f t="shared" si="108"/>
        <v/>
      </c>
    </row>
    <row r="1428" spans="1:3" x14ac:dyDescent="0.25">
      <c r="A1428" s="27" t="s">
        <v>1367</v>
      </c>
      <c r="B1428" s="27" t="str">
        <f t="shared" si="107"/>
        <v/>
      </c>
      <c r="C1428" s="27" t="str">
        <f t="shared" si="108"/>
        <v/>
      </c>
    </row>
    <row r="1429" spans="1:3" x14ac:dyDescent="0.25">
      <c r="A1429" s="27" t="s">
        <v>1367</v>
      </c>
      <c r="B1429" s="27" t="str">
        <f t="shared" si="107"/>
        <v/>
      </c>
      <c r="C1429" s="27" t="str">
        <f t="shared" si="108"/>
        <v/>
      </c>
    </row>
    <row r="1430" spans="1:3" x14ac:dyDescent="0.25">
      <c r="A1430" s="27" t="s">
        <v>1367</v>
      </c>
      <c r="B1430" s="27" t="str">
        <f t="shared" si="107"/>
        <v/>
      </c>
      <c r="C1430" s="27" t="str">
        <f t="shared" si="108"/>
        <v/>
      </c>
    </row>
    <row r="1431" spans="1:3" x14ac:dyDescent="0.25">
      <c r="A1431" s="27" t="s">
        <v>1367</v>
      </c>
      <c r="B1431" s="27" t="str">
        <f t="shared" si="107"/>
        <v/>
      </c>
      <c r="C1431" s="27" t="str">
        <f t="shared" si="108"/>
        <v/>
      </c>
    </row>
    <row r="1432" spans="1:3" x14ac:dyDescent="0.25">
      <c r="A1432" s="27" t="s">
        <v>1367</v>
      </c>
      <c r="B1432" s="27" t="str">
        <f t="shared" si="107"/>
        <v/>
      </c>
      <c r="C1432" s="27" t="str">
        <f t="shared" si="108"/>
        <v/>
      </c>
    </row>
    <row r="1433" spans="1:3" x14ac:dyDescent="0.25">
      <c r="A1433" s="27" t="s">
        <v>1367</v>
      </c>
      <c r="B1433" s="27" t="str">
        <f t="shared" si="107"/>
        <v/>
      </c>
      <c r="C1433" s="27" t="str">
        <f t="shared" si="108"/>
        <v/>
      </c>
    </row>
    <row r="1434" spans="1:3" x14ac:dyDescent="0.25">
      <c r="A1434" s="27" t="s">
        <v>1367</v>
      </c>
      <c r="B1434" s="27" t="str">
        <f t="shared" si="107"/>
        <v/>
      </c>
      <c r="C1434" s="27" t="str">
        <f t="shared" si="108"/>
        <v/>
      </c>
    </row>
    <row r="1435" spans="1:3" x14ac:dyDescent="0.25">
      <c r="A1435" s="27" t="s">
        <v>1367</v>
      </c>
      <c r="B1435" s="27" t="str">
        <f t="shared" si="107"/>
        <v/>
      </c>
      <c r="C1435" s="27" t="str">
        <f t="shared" si="108"/>
        <v/>
      </c>
    </row>
    <row r="1436" spans="1:3" x14ac:dyDescent="0.25">
      <c r="A1436" s="27" t="s">
        <v>1367</v>
      </c>
      <c r="B1436" s="27" t="str">
        <f t="shared" si="107"/>
        <v/>
      </c>
      <c r="C1436" s="27" t="str">
        <f t="shared" si="108"/>
        <v/>
      </c>
    </row>
    <row r="1437" spans="1:3" x14ac:dyDescent="0.25">
      <c r="A1437" s="27" t="s">
        <v>1367</v>
      </c>
      <c r="B1437" s="27" t="str">
        <f t="shared" ref="B1437:B1500" si="109">LEFT(A1437,FIND(";",A1437)-1)</f>
        <v/>
      </c>
      <c r="C1437" s="27" t="str">
        <f t="shared" ref="C1437:C1500" si="110">MID(A1437,FIND(";",A1437)+1,100)</f>
        <v/>
      </c>
    </row>
    <row r="1438" spans="1:3" x14ac:dyDescent="0.25">
      <c r="A1438" s="27" t="s">
        <v>1367</v>
      </c>
      <c r="B1438" s="27" t="str">
        <f t="shared" si="109"/>
        <v/>
      </c>
      <c r="C1438" s="27" t="str">
        <f t="shared" si="110"/>
        <v/>
      </c>
    </row>
    <row r="1439" spans="1:3" x14ac:dyDescent="0.25">
      <c r="A1439" s="27" t="s">
        <v>1367</v>
      </c>
      <c r="B1439" s="27" t="str">
        <f t="shared" si="109"/>
        <v/>
      </c>
      <c r="C1439" s="27" t="str">
        <f t="shared" si="110"/>
        <v/>
      </c>
    </row>
    <row r="1440" spans="1:3" x14ac:dyDescent="0.25">
      <c r="A1440" s="27" t="s">
        <v>1367</v>
      </c>
      <c r="B1440" s="27" t="str">
        <f t="shared" si="109"/>
        <v/>
      </c>
      <c r="C1440" s="27" t="str">
        <f t="shared" si="110"/>
        <v/>
      </c>
    </row>
    <row r="1441" spans="1:3" x14ac:dyDescent="0.25">
      <c r="A1441" s="27" t="s">
        <v>1367</v>
      </c>
      <c r="B1441" s="27" t="str">
        <f t="shared" si="109"/>
        <v/>
      </c>
      <c r="C1441" s="27" t="str">
        <f t="shared" si="110"/>
        <v/>
      </c>
    </row>
    <row r="1442" spans="1:3" x14ac:dyDescent="0.25">
      <c r="A1442" s="27" t="s">
        <v>1367</v>
      </c>
      <c r="B1442" s="27" t="str">
        <f t="shared" si="109"/>
        <v/>
      </c>
      <c r="C1442" s="27" t="str">
        <f t="shared" si="110"/>
        <v/>
      </c>
    </row>
    <row r="1443" spans="1:3" x14ac:dyDescent="0.25">
      <c r="A1443" s="27" t="s">
        <v>1367</v>
      </c>
      <c r="B1443" s="27" t="str">
        <f t="shared" si="109"/>
        <v/>
      </c>
      <c r="C1443" s="27" t="str">
        <f t="shared" si="110"/>
        <v/>
      </c>
    </row>
    <row r="1444" spans="1:3" x14ac:dyDescent="0.25">
      <c r="A1444" s="27" t="s">
        <v>1367</v>
      </c>
      <c r="B1444" s="27" t="str">
        <f t="shared" si="109"/>
        <v/>
      </c>
      <c r="C1444" s="27" t="str">
        <f t="shared" si="110"/>
        <v/>
      </c>
    </row>
    <row r="1445" spans="1:3" x14ac:dyDescent="0.25">
      <c r="A1445" s="27" t="s">
        <v>1367</v>
      </c>
      <c r="B1445" s="27" t="str">
        <f t="shared" si="109"/>
        <v/>
      </c>
      <c r="C1445" s="27" t="str">
        <f t="shared" si="110"/>
        <v/>
      </c>
    </row>
    <row r="1446" spans="1:3" x14ac:dyDescent="0.25">
      <c r="A1446" s="27" t="s">
        <v>1367</v>
      </c>
      <c r="B1446" s="27" t="str">
        <f t="shared" si="109"/>
        <v/>
      </c>
      <c r="C1446" s="27" t="str">
        <f t="shared" si="110"/>
        <v/>
      </c>
    </row>
    <row r="1447" spans="1:3" x14ac:dyDescent="0.25">
      <c r="A1447" s="27" t="s">
        <v>1367</v>
      </c>
      <c r="B1447" s="27" t="str">
        <f t="shared" si="109"/>
        <v/>
      </c>
      <c r="C1447" s="27" t="str">
        <f t="shared" si="110"/>
        <v/>
      </c>
    </row>
    <row r="1448" spans="1:3" x14ac:dyDescent="0.25">
      <c r="A1448" s="27" t="s">
        <v>1367</v>
      </c>
      <c r="B1448" s="27" t="str">
        <f t="shared" si="109"/>
        <v/>
      </c>
      <c r="C1448" s="27" t="str">
        <f t="shared" si="110"/>
        <v/>
      </c>
    </row>
    <row r="1449" spans="1:3" x14ac:dyDescent="0.25">
      <c r="A1449" s="27" t="s">
        <v>1367</v>
      </c>
      <c r="B1449" s="27" t="str">
        <f t="shared" si="109"/>
        <v/>
      </c>
      <c r="C1449" s="27" t="str">
        <f t="shared" si="110"/>
        <v/>
      </c>
    </row>
    <row r="1450" spans="1:3" x14ac:dyDescent="0.25">
      <c r="A1450" s="27" t="s">
        <v>1367</v>
      </c>
      <c r="B1450" s="27" t="str">
        <f t="shared" si="109"/>
        <v/>
      </c>
      <c r="C1450" s="27" t="str">
        <f t="shared" si="110"/>
        <v/>
      </c>
    </row>
    <row r="1451" spans="1:3" x14ac:dyDescent="0.25">
      <c r="A1451" s="27" t="s">
        <v>1367</v>
      </c>
      <c r="B1451" s="27" t="str">
        <f t="shared" si="109"/>
        <v/>
      </c>
      <c r="C1451" s="27" t="str">
        <f t="shared" si="110"/>
        <v/>
      </c>
    </row>
    <row r="1452" spans="1:3" x14ac:dyDescent="0.25">
      <c r="A1452" s="27" t="s">
        <v>1367</v>
      </c>
      <c r="B1452" s="27" t="str">
        <f t="shared" si="109"/>
        <v/>
      </c>
      <c r="C1452" s="27" t="str">
        <f t="shared" si="110"/>
        <v/>
      </c>
    </row>
    <row r="1453" spans="1:3" x14ac:dyDescent="0.25">
      <c r="A1453" s="27" t="s">
        <v>1367</v>
      </c>
      <c r="B1453" s="27" t="str">
        <f t="shared" si="109"/>
        <v/>
      </c>
      <c r="C1453" s="27" t="str">
        <f t="shared" si="110"/>
        <v/>
      </c>
    </row>
    <row r="1454" spans="1:3" x14ac:dyDescent="0.25">
      <c r="A1454" s="27" t="s">
        <v>1367</v>
      </c>
      <c r="B1454" s="27" t="str">
        <f t="shared" si="109"/>
        <v/>
      </c>
      <c r="C1454" s="27" t="str">
        <f t="shared" si="110"/>
        <v/>
      </c>
    </row>
    <row r="1455" spans="1:3" x14ac:dyDescent="0.25">
      <c r="A1455" s="27" t="s">
        <v>1367</v>
      </c>
      <c r="B1455" s="27" t="str">
        <f t="shared" si="109"/>
        <v/>
      </c>
      <c r="C1455" s="27" t="str">
        <f t="shared" si="110"/>
        <v/>
      </c>
    </row>
    <row r="1456" spans="1:3" x14ac:dyDescent="0.25">
      <c r="A1456" s="27" t="s">
        <v>1367</v>
      </c>
      <c r="B1456" s="27" t="str">
        <f t="shared" si="109"/>
        <v/>
      </c>
      <c r="C1456" s="27" t="str">
        <f t="shared" si="110"/>
        <v/>
      </c>
    </row>
    <row r="1457" spans="1:3" x14ac:dyDescent="0.25">
      <c r="A1457" s="27" t="s">
        <v>1367</v>
      </c>
      <c r="B1457" s="27" t="str">
        <f t="shared" si="109"/>
        <v/>
      </c>
      <c r="C1457" s="27" t="str">
        <f t="shared" si="110"/>
        <v/>
      </c>
    </row>
    <row r="1458" spans="1:3" x14ac:dyDescent="0.25">
      <c r="A1458" s="27" t="s">
        <v>1367</v>
      </c>
      <c r="B1458" s="27" t="str">
        <f t="shared" si="109"/>
        <v/>
      </c>
      <c r="C1458" s="27" t="str">
        <f t="shared" si="110"/>
        <v/>
      </c>
    </row>
    <row r="1459" spans="1:3" x14ac:dyDescent="0.25">
      <c r="A1459" s="27" t="s">
        <v>1367</v>
      </c>
      <c r="B1459" s="27" t="str">
        <f t="shared" si="109"/>
        <v/>
      </c>
      <c r="C1459" s="27" t="str">
        <f t="shared" si="110"/>
        <v/>
      </c>
    </row>
    <row r="1460" spans="1:3" x14ac:dyDescent="0.25">
      <c r="A1460" s="27" t="s">
        <v>1367</v>
      </c>
      <c r="B1460" s="27" t="str">
        <f t="shared" si="109"/>
        <v/>
      </c>
      <c r="C1460" s="27" t="str">
        <f t="shared" si="110"/>
        <v/>
      </c>
    </row>
    <row r="1461" spans="1:3" x14ac:dyDescent="0.25">
      <c r="A1461" s="27" t="s">
        <v>1367</v>
      </c>
      <c r="B1461" s="27" t="str">
        <f t="shared" si="109"/>
        <v/>
      </c>
      <c r="C1461" s="27" t="str">
        <f t="shared" si="110"/>
        <v/>
      </c>
    </row>
    <row r="1462" spans="1:3" x14ac:dyDescent="0.25">
      <c r="A1462" s="27" t="s">
        <v>1367</v>
      </c>
      <c r="B1462" s="27" t="str">
        <f t="shared" si="109"/>
        <v/>
      </c>
      <c r="C1462" s="27" t="str">
        <f t="shared" si="110"/>
        <v/>
      </c>
    </row>
    <row r="1463" spans="1:3" x14ac:dyDescent="0.25">
      <c r="A1463" s="27" t="s">
        <v>1367</v>
      </c>
      <c r="B1463" s="27" t="str">
        <f t="shared" si="109"/>
        <v/>
      </c>
      <c r="C1463" s="27" t="str">
        <f t="shared" si="110"/>
        <v/>
      </c>
    </row>
    <row r="1464" spans="1:3" x14ac:dyDescent="0.25">
      <c r="A1464" s="27" t="s">
        <v>1367</v>
      </c>
      <c r="B1464" s="27" t="str">
        <f t="shared" si="109"/>
        <v/>
      </c>
      <c r="C1464" s="27" t="str">
        <f t="shared" si="110"/>
        <v/>
      </c>
    </row>
    <row r="1465" spans="1:3" x14ac:dyDescent="0.25">
      <c r="A1465" s="27" t="s">
        <v>1367</v>
      </c>
      <c r="B1465" s="27" t="str">
        <f t="shared" si="109"/>
        <v/>
      </c>
      <c r="C1465" s="27" t="str">
        <f t="shared" si="110"/>
        <v/>
      </c>
    </row>
    <row r="1466" spans="1:3" x14ac:dyDescent="0.25">
      <c r="A1466" s="27" t="s">
        <v>1367</v>
      </c>
      <c r="B1466" s="27" t="str">
        <f t="shared" si="109"/>
        <v/>
      </c>
      <c r="C1466" s="27" t="str">
        <f t="shared" si="110"/>
        <v/>
      </c>
    </row>
    <row r="1467" spans="1:3" x14ac:dyDescent="0.25">
      <c r="A1467" s="27" t="s">
        <v>1367</v>
      </c>
      <c r="B1467" s="27" t="str">
        <f t="shared" si="109"/>
        <v/>
      </c>
      <c r="C1467" s="27" t="str">
        <f t="shared" si="110"/>
        <v/>
      </c>
    </row>
    <row r="1468" spans="1:3" x14ac:dyDescent="0.25">
      <c r="A1468" s="27" t="s">
        <v>1367</v>
      </c>
      <c r="B1468" s="27" t="str">
        <f t="shared" si="109"/>
        <v/>
      </c>
      <c r="C1468" s="27" t="str">
        <f t="shared" si="110"/>
        <v/>
      </c>
    </row>
    <row r="1469" spans="1:3" x14ac:dyDescent="0.25">
      <c r="A1469" s="27" t="s">
        <v>1367</v>
      </c>
      <c r="B1469" s="27" t="str">
        <f t="shared" si="109"/>
        <v/>
      </c>
      <c r="C1469" s="27" t="str">
        <f t="shared" si="110"/>
        <v/>
      </c>
    </row>
    <row r="1470" spans="1:3" x14ac:dyDescent="0.25">
      <c r="A1470" s="27" t="s">
        <v>1367</v>
      </c>
      <c r="B1470" s="27" t="str">
        <f t="shared" si="109"/>
        <v/>
      </c>
      <c r="C1470" s="27" t="str">
        <f t="shared" si="110"/>
        <v/>
      </c>
    </row>
    <row r="1471" spans="1:3" x14ac:dyDescent="0.25">
      <c r="A1471" s="27" t="s">
        <v>1367</v>
      </c>
      <c r="B1471" s="27" t="str">
        <f t="shared" si="109"/>
        <v/>
      </c>
      <c r="C1471" s="27" t="str">
        <f t="shared" si="110"/>
        <v/>
      </c>
    </row>
    <row r="1472" spans="1:3" x14ac:dyDescent="0.25">
      <c r="A1472" s="27" t="s">
        <v>1367</v>
      </c>
      <c r="B1472" s="27" t="str">
        <f t="shared" si="109"/>
        <v/>
      </c>
      <c r="C1472" s="27" t="str">
        <f t="shared" si="110"/>
        <v/>
      </c>
    </row>
    <row r="1473" spans="1:3" x14ac:dyDescent="0.25">
      <c r="A1473" s="27" t="s">
        <v>1367</v>
      </c>
      <c r="B1473" s="27" t="str">
        <f t="shared" si="109"/>
        <v/>
      </c>
      <c r="C1473" s="27" t="str">
        <f t="shared" si="110"/>
        <v/>
      </c>
    </row>
    <row r="1474" spans="1:3" x14ac:dyDescent="0.25">
      <c r="A1474" s="27" t="s">
        <v>1367</v>
      </c>
      <c r="B1474" s="27" t="str">
        <f t="shared" si="109"/>
        <v/>
      </c>
      <c r="C1474" s="27" t="str">
        <f t="shared" si="110"/>
        <v/>
      </c>
    </row>
    <row r="1475" spans="1:3" x14ac:dyDescent="0.25">
      <c r="A1475" s="27" t="s">
        <v>1367</v>
      </c>
      <c r="B1475" s="27" t="str">
        <f t="shared" si="109"/>
        <v/>
      </c>
      <c r="C1475" s="27" t="str">
        <f t="shared" si="110"/>
        <v/>
      </c>
    </row>
    <row r="1476" spans="1:3" x14ac:dyDescent="0.25">
      <c r="A1476" s="27" t="s">
        <v>1367</v>
      </c>
      <c r="B1476" s="27" t="str">
        <f t="shared" si="109"/>
        <v/>
      </c>
      <c r="C1476" s="27" t="str">
        <f t="shared" si="110"/>
        <v/>
      </c>
    </row>
    <row r="1477" spans="1:3" x14ac:dyDescent="0.25">
      <c r="A1477" s="27" t="s">
        <v>1367</v>
      </c>
      <c r="B1477" s="27" t="str">
        <f t="shared" si="109"/>
        <v/>
      </c>
      <c r="C1477" s="27" t="str">
        <f t="shared" si="110"/>
        <v/>
      </c>
    </row>
    <row r="1478" spans="1:3" x14ac:dyDescent="0.25">
      <c r="A1478" s="27" t="s">
        <v>1367</v>
      </c>
      <c r="B1478" s="27" t="str">
        <f t="shared" si="109"/>
        <v/>
      </c>
      <c r="C1478" s="27" t="str">
        <f t="shared" si="110"/>
        <v/>
      </c>
    </row>
    <row r="1479" spans="1:3" x14ac:dyDescent="0.25">
      <c r="A1479" s="27" t="s">
        <v>1367</v>
      </c>
      <c r="B1479" s="27" t="str">
        <f t="shared" si="109"/>
        <v/>
      </c>
      <c r="C1479" s="27" t="str">
        <f t="shared" si="110"/>
        <v/>
      </c>
    </row>
    <row r="1480" spans="1:3" x14ac:dyDescent="0.25">
      <c r="A1480" s="27" t="s">
        <v>1367</v>
      </c>
      <c r="B1480" s="27" t="str">
        <f t="shared" si="109"/>
        <v/>
      </c>
      <c r="C1480" s="27" t="str">
        <f t="shared" si="110"/>
        <v/>
      </c>
    </row>
    <row r="1481" spans="1:3" x14ac:dyDescent="0.25">
      <c r="A1481" s="27" t="s">
        <v>1367</v>
      </c>
      <c r="B1481" s="27" t="str">
        <f t="shared" si="109"/>
        <v/>
      </c>
      <c r="C1481" s="27" t="str">
        <f t="shared" si="110"/>
        <v/>
      </c>
    </row>
    <row r="1482" spans="1:3" x14ac:dyDescent="0.25">
      <c r="A1482" s="27" t="s">
        <v>1367</v>
      </c>
      <c r="B1482" s="27" t="str">
        <f t="shared" si="109"/>
        <v/>
      </c>
      <c r="C1482" s="27" t="str">
        <f t="shared" si="110"/>
        <v/>
      </c>
    </row>
    <row r="1483" spans="1:3" x14ac:dyDescent="0.25">
      <c r="A1483" s="27" t="s">
        <v>1367</v>
      </c>
      <c r="B1483" s="27" t="str">
        <f t="shared" si="109"/>
        <v/>
      </c>
      <c r="C1483" s="27" t="str">
        <f t="shared" si="110"/>
        <v/>
      </c>
    </row>
    <row r="1484" spans="1:3" x14ac:dyDescent="0.25">
      <c r="A1484" s="27" t="s">
        <v>1367</v>
      </c>
      <c r="B1484" s="27" t="str">
        <f t="shared" si="109"/>
        <v/>
      </c>
      <c r="C1484" s="27" t="str">
        <f t="shared" si="110"/>
        <v/>
      </c>
    </row>
    <row r="1485" spans="1:3" x14ac:dyDescent="0.25">
      <c r="A1485" s="27" t="s">
        <v>1367</v>
      </c>
      <c r="B1485" s="27" t="str">
        <f t="shared" si="109"/>
        <v/>
      </c>
      <c r="C1485" s="27" t="str">
        <f t="shared" si="110"/>
        <v/>
      </c>
    </row>
    <row r="1486" spans="1:3" x14ac:dyDescent="0.25">
      <c r="A1486" s="27" t="s">
        <v>1367</v>
      </c>
      <c r="B1486" s="27" t="str">
        <f t="shared" si="109"/>
        <v/>
      </c>
      <c r="C1486" s="27" t="str">
        <f t="shared" si="110"/>
        <v/>
      </c>
    </row>
    <row r="1487" spans="1:3" x14ac:dyDescent="0.25">
      <c r="A1487" s="27" t="s">
        <v>1367</v>
      </c>
      <c r="B1487" s="27" t="str">
        <f t="shared" si="109"/>
        <v/>
      </c>
      <c r="C1487" s="27" t="str">
        <f t="shared" si="110"/>
        <v/>
      </c>
    </row>
    <row r="1488" spans="1:3" x14ac:dyDescent="0.25">
      <c r="A1488" s="27" t="s">
        <v>1367</v>
      </c>
      <c r="B1488" s="27" t="str">
        <f t="shared" si="109"/>
        <v/>
      </c>
      <c r="C1488" s="27" t="str">
        <f t="shared" si="110"/>
        <v/>
      </c>
    </row>
    <row r="1489" spans="1:3" x14ac:dyDescent="0.25">
      <c r="A1489" s="27" t="s">
        <v>1367</v>
      </c>
      <c r="B1489" s="27" t="str">
        <f t="shared" si="109"/>
        <v/>
      </c>
      <c r="C1489" s="27" t="str">
        <f t="shared" si="110"/>
        <v/>
      </c>
    </row>
    <row r="1490" spans="1:3" x14ac:dyDescent="0.25">
      <c r="A1490" s="27" t="s">
        <v>1367</v>
      </c>
      <c r="B1490" s="27" t="str">
        <f t="shared" si="109"/>
        <v/>
      </c>
      <c r="C1490" s="27" t="str">
        <f t="shared" si="110"/>
        <v/>
      </c>
    </row>
    <row r="1491" spans="1:3" x14ac:dyDescent="0.25">
      <c r="A1491" s="27" t="s">
        <v>1367</v>
      </c>
      <c r="B1491" s="27" t="str">
        <f t="shared" si="109"/>
        <v/>
      </c>
      <c r="C1491" s="27" t="str">
        <f t="shared" si="110"/>
        <v/>
      </c>
    </row>
    <row r="1492" spans="1:3" x14ac:dyDescent="0.25">
      <c r="A1492" s="27" t="s">
        <v>1367</v>
      </c>
      <c r="B1492" s="27" t="str">
        <f t="shared" si="109"/>
        <v/>
      </c>
      <c r="C1492" s="27" t="str">
        <f t="shared" si="110"/>
        <v/>
      </c>
    </row>
    <row r="1493" spans="1:3" x14ac:dyDescent="0.25">
      <c r="A1493" s="27" t="s">
        <v>1367</v>
      </c>
      <c r="B1493" s="27" t="str">
        <f t="shared" si="109"/>
        <v/>
      </c>
      <c r="C1493" s="27" t="str">
        <f t="shared" si="110"/>
        <v/>
      </c>
    </row>
    <row r="1494" spans="1:3" x14ac:dyDescent="0.25">
      <c r="A1494" s="27" t="s">
        <v>1367</v>
      </c>
      <c r="B1494" s="27" t="str">
        <f t="shared" si="109"/>
        <v/>
      </c>
      <c r="C1494" s="27" t="str">
        <f t="shared" si="110"/>
        <v/>
      </c>
    </row>
    <row r="1495" spans="1:3" x14ac:dyDescent="0.25">
      <c r="A1495" s="27" t="s">
        <v>1367</v>
      </c>
      <c r="B1495" s="27" t="str">
        <f t="shared" si="109"/>
        <v/>
      </c>
      <c r="C1495" s="27" t="str">
        <f t="shared" si="110"/>
        <v/>
      </c>
    </row>
    <row r="1496" spans="1:3" x14ac:dyDescent="0.25">
      <c r="A1496" s="27" t="s">
        <v>1367</v>
      </c>
      <c r="B1496" s="27" t="str">
        <f t="shared" si="109"/>
        <v/>
      </c>
      <c r="C1496" s="27" t="str">
        <f t="shared" si="110"/>
        <v/>
      </c>
    </row>
    <row r="1497" spans="1:3" x14ac:dyDescent="0.25">
      <c r="A1497" s="27" t="s">
        <v>1367</v>
      </c>
      <c r="B1497" s="27" t="str">
        <f t="shared" si="109"/>
        <v/>
      </c>
      <c r="C1497" s="27" t="str">
        <f t="shared" si="110"/>
        <v/>
      </c>
    </row>
    <row r="1498" spans="1:3" x14ac:dyDescent="0.25">
      <c r="A1498" s="27" t="s">
        <v>1367</v>
      </c>
      <c r="B1498" s="27" t="str">
        <f t="shared" si="109"/>
        <v/>
      </c>
      <c r="C1498" s="27" t="str">
        <f t="shared" si="110"/>
        <v/>
      </c>
    </row>
    <row r="1499" spans="1:3" x14ac:dyDescent="0.25">
      <c r="A1499" s="27" t="s">
        <v>1367</v>
      </c>
      <c r="B1499" s="27" t="str">
        <f t="shared" si="109"/>
        <v/>
      </c>
      <c r="C1499" s="27" t="str">
        <f t="shared" si="110"/>
        <v/>
      </c>
    </row>
    <row r="1500" spans="1:3" x14ac:dyDescent="0.25">
      <c r="A1500" s="27" t="s">
        <v>1367</v>
      </c>
      <c r="B1500" s="27" t="str">
        <f t="shared" si="109"/>
        <v/>
      </c>
      <c r="C1500" s="27" t="str">
        <f t="shared" si="110"/>
        <v/>
      </c>
    </row>
    <row r="1501" spans="1:3" x14ac:dyDescent="0.25">
      <c r="A1501" s="27" t="s">
        <v>1367</v>
      </c>
      <c r="B1501" s="27" t="str">
        <f t="shared" ref="B1501:B1564" si="111">LEFT(A1501,FIND(";",A1501)-1)</f>
        <v/>
      </c>
      <c r="C1501" s="27" t="str">
        <f t="shared" ref="C1501:C1564" si="112">MID(A1501,FIND(";",A1501)+1,100)</f>
        <v/>
      </c>
    </row>
    <row r="1502" spans="1:3" x14ac:dyDescent="0.25">
      <c r="A1502" s="27" t="s">
        <v>1367</v>
      </c>
      <c r="B1502" s="27" t="str">
        <f t="shared" si="111"/>
        <v/>
      </c>
      <c r="C1502" s="27" t="str">
        <f t="shared" si="112"/>
        <v/>
      </c>
    </row>
    <row r="1503" spans="1:3" x14ac:dyDescent="0.25">
      <c r="A1503" s="27" t="s">
        <v>1367</v>
      </c>
      <c r="B1503" s="27" t="str">
        <f t="shared" si="111"/>
        <v/>
      </c>
      <c r="C1503" s="27" t="str">
        <f t="shared" si="112"/>
        <v/>
      </c>
    </row>
    <row r="1504" spans="1:3" x14ac:dyDescent="0.25">
      <c r="A1504" s="27" t="s">
        <v>1367</v>
      </c>
      <c r="B1504" s="27" t="str">
        <f t="shared" si="111"/>
        <v/>
      </c>
      <c r="C1504" s="27" t="str">
        <f t="shared" si="112"/>
        <v/>
      </c>
    </row>
    <row r="1505" spans="1:3" x14ac:dyDescent="0.25">
      <c r="A1505" s="27" t="s">
        <v>1367</v>
      </c>
      <c r="B1505" s="27" t="str">
        <f t="shared" si="111"/>
        <v/>
      </c>
      <c r="C1505" s="27" t="str">
        <f t="shared" si="112"/>
        <v/>
      </c>
    </row>
    <row r="1506" spans="1:3" x14ac:dyDescent="0.25">
      <c r="A1506" s="27" t="s">
        <v>1367</v>
      </c>
      <c r="B1506" s="27" t="str">
        <f t="shared" si="111"/>
        <v/>
      </c>
      <c r="C1506" s="27" t="str">
        <f t="shared" si="112"/>
        <v/>
      </c>
    </row>
    <row r="1507" spans="1:3" x14ac:dyDescent="0.25">
      <c r="A1507" s="27" t="s">
        <v>1367</v>
      </c>
      <c r="B1507" s="27" t="str">
        <f t="shared" si="111"/>
        <v/>
      </c>
      <c r="C1507" s="27" t="str">
        <f t="shared" si="112"/>
        <v/>
      </c>
    </row>
    <row r="1508" spans="1:3" x14ac:dyDescent="0.25">
      <c r="A1508" s="27" t="s">
        <v>1367</v>
      </c>
      <c r="B1508" s="27" t="str">
        <f t="shared" si="111"/>
        <v/>
      </c>
      <c r="C1508" s="27" t="str">
        <f t="shared" si="112"/>
        <v/>
      </c>
    </row>
    <row r="1509" spans="1:3" x14ac:dyDescent="0.25">
      <c r="A1509" s="27" t="s">
        <v>1367</v>
      </c>
      <c r="B1509" s="27" t="str">
        <f t="shared" si="111"/>
        <v/>
      </c>
      <c r="C1509" s="27" t="str">
        <f t="shared" si="112"/>
        <v/>
      </c>
    </row>
    <row r="1510" spans="1:3" x14ac:dyDescent="0.25">
      <c r="A1510" s="27" t="s">
        <v>1367</v>
      </c>
      <c r="B1510" s="27" t="str">
        <f t="shared" si="111"/>
        <v/>
      </c>
      <c r="C1510" s="27" t="str">
        <f t="shared" si="112"/>
        <v/>
      </c>
    </row>
    <row r="1511" spans="1:3" x14ac:dyDescent="0.25">
      <c r="A1511" s="27" t="s">
        <v>1367</v>
      </c>
      <c r="B1511" s="27" t="str">
        <f t="shared" si="111"/>
        <v/>
      </c>
      <c r="C1511" s="27" t="str">
        <f t="shared" si="112"/>
        <v/>
      </c>
    </row>
    <row r="1512" spans="1:3" x14ac:dyDescent="0.25">
      <c r="A1512" s="27" t="s">
        <v>1367</v>
      </c>
      <c r="B1512" s="27" t="str">
        <f t="shared" si="111"/>
        <v/>
      </c>
      <c r="C1512" s="27" t="str">
        <f t="shared" si="112"/>
        <v/>
      </c>
    </row>
    <row r="1513" spans="1:3" x14ac:dyDescent="0.25">
      <c r="A1513" s="27" t="s">
        <v>1367</v>
      </c>
      <c r="B1513" s="27" t="str">
        <f t="shared" si="111"/>
        <v/>
      </c>
      <c r="C1513" s="27" t="str">
        <f t="shared" si="112"/>
        <v/>
      </c>
    </row>
    <row r="1514" spans="1:3" x14ac:dyDescent="0.25">
      <c r="A1514" s="27" t="s">
        <v>1367</v>
      </c>
      <c r="B1514" s="27" t="str">
        <f t="shared" si="111"/>
        <v/>
      </c>
      <c r="C1514" s="27" t="str">
        <f t="shared" si="112"/>
        <v/>
      </c>
    </row>
    <row r="1515" spans="1:3" x14ac:dyDescent="0.25">
      <c r="A1515" s="27" t="s">
        <v>1367</v>
      </c>
      <c r="B1515" s="27" t="str">
        <f t="shared" si="111"/>
        <v/>
      </c>
      <c r="C1515" s="27" t="str">
        <f t="shared" si="112"/>
        <v/>
      </c>
    </row>
    <row r="1516" spans="1:3" x14ac:dyDescent="0.25">
      <c r="A1516" s="27" t="s">
        <v>1367</v>
      </c>
      <c r="B1516" s="27" t="str">
        <f t="shared" si="111"/>
        <v/>
      </c>
      <c r="C1516" s="27" t="str">
        <f t="shared" si="112"/>
        <v/>
      </c>
    </row>
    <row r="1517" spans="1:3" x14ac:dyDescent="0.25">
      <c r="A1517" s="27" t="s">
        <v>1367</v>
      </c>
      <c r="B1517" s="27" t="str">
        <f t="shared" si="111"/>
        <v/>
      </c>
      <c r="C1517" s="27" t="str">
        <f t="shared" si="112"/>
        <v/>
      </c>
    </row>
    <row r="1518" spans="1:3" x14ac:dyDescent="0.25">
      <c r="A1518" s="27" t="s">
        <v>1367</v>
      </c>
      <c r="B1518" s="27" t="str">
        <f t="shared" si="111"/>
        <v/>
      </c>
      <c r="C1518" s="27" t="str">
        <f t="shared" si="112"/>
        <v/>
      </c>
    </row>
    <row r="1519" spans="1:3" x14ac:dyDescent="0.25">
      <c r="A1519" s="27" t="s">
        <v>1367</v>
      </c>
      <c r="B1519" s="27" t="str">
        <f t="shared" si="111"/>
        <v/>
      </c>
      <c r="C1519" s="27" t="str">
        <f t="shared" si="112"/>
        <v/>
      </c>
    </row>
    <row r="1520" spans="1:3" x14ac:dyDescent="0.25">
      <c r="A1520" s="27" t="s">
        <v>1367</v>
      </c>
      <c r="B1520" s="27" t="str">
        <f t="shared" si="111"/>
        <v/>
      </c>
      <c r="C1520" s="27" t="str">
        <f t="shared" si="112"/>
        <v/>
      </c>
    </row>
    <row r="1521" spans="1:3" x14ac:dyDescent="0.25">
      <c r="A1521" s="27" t="s">
        <v>1367</v>
      </c>
      <c r="B1521" s="27" t="str">
        <f t="shared" si="111"/>
        <v/>
      </c>
      <c r="C1521" s="27" t="str">
        <f t="shared" si="112"/>
        <v/>
      </c>
    </row>
    <row r="1522" spans="1:3" x14ac:dyDescent="0.25">
      <c r="A1522" s="27" t="s">
        <v>1367</v>
      </c>
      <c r="B1522" s="27" t="str">
        <f t="shared" si="111"/>
        <v/>
      </c>
      <c r="C1522" s="27" t="str">
        <f t="shared" si="112"/>
        <v/>
      </c>
    </row>
    <row r="1523" spans="1:3" x14ac:dyDescent="0.25">
      <c r="A1523" s="27" t="s">
        <v>1367</v>
      </c>
      <c r="B1523" s="27" t="str">
        <f t="shared" si="111"/>
        <v/>
      </c>
      <c r="C1523" s="27" t="str">
        <f t="shared" si="112"/>
        <v/>
      </c>
    </row>
    <row r="1524" spans="1:3" x14ac:dyDescent="0.25">
      <c r="A1524" s="27" t="s">
        <v>1367</v>
      </c>
      <c r="B1524" s="27" t="str">
        <f t="shared" si="111"/>
        <v/>
      </c>
      <c r="C1524" s="27" t="str">
        <f t="shared" si="112"/>
        <v/>
      </c>
    </row>
    <row r="1525" spans="1:3" x14ac:dyDescent="0.25">
      <c r="A1525" s="27" t="s">
        <v>1367</v>
      </c>
      <c r="B1525" s="27" t="str">
        <f t="shared" si="111"/>
        <v/>
      </c>
      <c r="C1525" s="27" t="str">
        <f t="shared" si="112"/>
        <v/>
      </c>
    </row>
    <row r="1526" spans="1:3" x14ac:dyDescent="0.25">
      <c r="A1526" s="27" t="s">
        <v>1367</v>
      </c>
      <c r="B1526" s="27" t="str">
        <f t="shared" si="111"/>
        <v/>
      </c>
      <c r="C1526" s="27" t="str">
        <f t="shared" si="112"/>
        <v/>
      </c>
    </row>
    <row r="1527" spans="1:3" x14ac:dyDescent="0.25">
      <c r="A1527" s="27" t="s">
        <v>1367</v>
      </c>
      <c r="B1527" s="27" t="str">
        <f t="shared" si="111"/>
        <v/>
      </c>
      <c r="C1527" s="27" t="str">
        <f t="shared" si="112"/>
        <v/>
      </c>
    </row>
    <row r="1528" spans="1:3" x14ac:dyDescent="0.25">
      <c r="A1528" s="27" t="s">
        <v>1367</v>
      </c>
      <c r="B1528" s="27" t="str">
        <f t="shared" si="111"/>
        <v/>
      </c>
      <c r="C1528" s="27" t="str">
        <f t="shared" si="112"/>
        <v/>
      </c>
    </row>
    <row r="1529" spans="1:3" x14ac:dyDescent="0.25">
      <c r="A1529" s="27" t="s">
        <v>1367</v>
      </c>
      <c r="B1529" s="27" t="str">
        <f t="shared" si="111"/>
        <v/>
      </c>
      <c r="C1529" s="27" t="str">
        <f t="shared" si="112"/>
        <v/>
      </c>
    </row>
    <row r="1530" spans="1:3" x14ac:dyDescent="0.25">
      <c r="A1530" s="27" t="s">
        <v>1367</v>
      </c>
      <c r="B1530" s="27" t="str">
        <f t="shared" si="111"/>
        <v/>
      </c>
      <c r="C1530" s="27" t="str">
        <f t="shared" si="112"/>
        <v/>
      </c>
    </row>
    <row r="1531" spans="1:3" x14ac:dyDescent="0.25">
      <c r="A1531" s="27" t="s">
        <v>1367</v>
      </c>
      <c r="B1531" s="27" t="str">
        <f t="shared" si="111"/>
        <v/>
      </c>
      <c r="C1531" s="27" t="str">
        <f t="shared" si="112"/>
        <v/>
      </c>
    </row>
    <row r="1532" spans="1:3" x14ac:dyDescent="0.25">
      <c r="A1532" s="27" t="s">
        <v>1367</v>
      </c>
      <c r="B1532" s="27" t="str">
        <f t="shared" si="111"/>
        <v/>
      </c>
      <c r="C1532" s="27" t="str">
        <f t="shared" si="112"/>
        <v/>
      </c>
    </row>
    <row r="1533" spans="1:3" x14ac:dyDescent="0.25">
      <c r="A1533" s="27" t="s">
        <v>1367</v>
      </c>
      <c r="B1533" s="27" t="str">
        <f t="shared" si="111"/>
        <v/>
      </c>
      <c r="C1533" s="27" t="str">
        <f t="shared" si="112"/>
        <v/>
      </c>
    </row>
    <row r="1534" spans="1:3" x14ac:dyDescent="0.25">
      <c r="A1534" s="27" t="s">
        <v>1367</v>
      </c>
      <c r="B1534" s="27" t="str">
        <f t="shared" si="111"/>
        <v/>
      </c>
      <c r="C1534" s="27" t="str">
        <f t="shared" si="112"/>
        <v/>
      </c>
    </row>
    <row r="1535" spans="1:3" x14ac:dyDescent="0.25">
      <c r="A1535" s="27" t="s">
        <v>1367</v>
      </c>
      <c r="B1535" s="27" t="str">
        <f t="shared" si="111"/>
        <v/>
      </c>
      <c r="C1535" s="27" t="str">
        <f t="shared" si="112"/>
        <v/>
      </c>
    </row>
    <row r="1536" spans="1:3" x14ac:dyDescent="0.25">
      <c r="A1536" s="27" t="s">
        <v>1367</v>
      </c>
      <c r="B1536" s="27" t="str">
        <f t="shared" si="111"/>
        <v/>
      </c>
      <c r="C1536" s="27" t="str">
        <f t="shared" si="112"/>
        <v/>
      </c>
    </row>
    <row r="1537" spans="1:3" x14ac:dyDescent="0.25">
      <c r="A1537" s="27" t="s">
        <v>1367</v>
      </c>
      <c r="B1537" s="27" t="str">
        <f t="shared" si="111"/>
        <v/>
      </c>
      <c r="C1537" s="27" t="str">
        <f t="shared" si="112"/>
        <v/>
      </c>
    </row>
    <row r="1538" spans="1:3" x14ac:dyDescent="0.25">
      <c r="A1538" s="27" t="s">
        <v>1367</v>
      </c>
      <c r="B1538" s="27" t="str">
        <f t="shared" si="111"/>
        <v/>
      </c>
      <c r="C1538" s="27" t="str">
        <f t="shared" si="112"/>
        <v/>
      </c>
    </row>
    <row r="1539" spans="1:3" x14ac:dyDescent="0.25">
      <c r="A1539" s="27" t="s">
        <v>1367</v>
      </c>
      <c r="B1539" s="27" t="str">
        <f t="shared" si="111"/>
        <v/>
      </c>
      <c r="C1539" s="27" t="str">
        <f t="shared" si="112"/>
        <v/>
      </c>
    </row>
    <row r="1540" spans="1:3" x14ac:dyDescent="0.25">
      <c r="A1540" s="27" t="s">
        <v>1367</v>
      </c>
      <c r="B1540" s="27" t="str">
        <f t="shared" si="111"/>
        <v/>
      </c>
      <c r="C1540" s="27" t="str">
        <f t="shared" si="112"/>
        <v/>
      </c>
    </row>
    <row r="1541" spans="1:3" x14ac:dyDescent="0.25">
      <c r="A1541" s="27" t="s">
        <v>1367</v>
      </c>
      <c r="B1541" s="27" t="str">
        <f t="shared" si="111"/>
        <v/>
      </c>
      <c r="C1541" s="27" t="str">
        <f t="shared" si="112"/>
        <v/>
      </c>
    </row>
    <row r="1542" spans="1:3" x14ac:dyDescent="0.25">
      <c r="A1542" s="27" t="s">
        <v>1367</v>
      </c>
      <c r="B1542" s="27" t="str">
        <f t="shared" si="111"/>
        <v/>
      </c>
      <c r="C1542" s="27" t="str">
        <f t="shared" si="112"/>
        <v/>
      </c>
    </row>
    <row r="1543" spans="1:3" x14ac:dyDescent="0.25">
      <c r="A1543" s="27" t="s">
        <v>1367</v>
      </c>
      <c r="B1543" s="27" t="str">
        <f t="shared" si="111"/>
        <v/>
      </c>
      <c r="C1543" s="27" t="str">
        <f t="shared" si="112"/>
        <v/>
      </c>
    </row>
    <row r="1544" spans="1:3" x14ac:dyDescent="0.25">
      <c r="A1544" s="27" t="s">
        <v>1367</v>
      </c>
      <c r="B1544" s="27" t="str">
        <f t="shared" si="111"/>
        <v/>
      </c>
      <c r="C1544" s="27" t="str">
        <f t="shared" si="112"/>
        <v/>
      </c>
    </row>
    <row r="1545" spans="1:3" x14ac:dyDescent="0.25">
      <c r="A1545" s="27" t="s">
        <v>1367</v>
      </c>
      <c r="B1545" s="27" t="str">
        <f t="shared" si="111"/>
        <v/>
      </c>
      <c r="C1545" s="27" t="str">
        <f t="shared" si="112"/>
        <v/>
      </c>
    </row>
    <row r="1546" spans="1:3" x14ac:dyDescent="0.25">
      <c r="A1546" s="27" t="s">
        <v>1367</v>
      </c>
      <c r="B1546" s="27" t="str">
        <f t="shared" si="111"/>
        <v/>
      </c>
      <c r="C1546" s="27" t="str">
        <f t="shared" si="112"/>
        <v/>
      </c>
    </row>
    <row r="1547" spans="1:3" x14ac:dyDescent="0.25">
      <c r="A1547" s="27" t="s">
        <v>1367</v>
      </c>
      <c r="B1547" s="27" t="str">
        <f t="shared" si="111"/>
        <v/>
      </c>
      <c r="C1547" s="27" t="str">
        <f t="shared" si="112"/>
        <v/>
      </c>
    </row>
    <row r="1548" spans="1:3" x14ac:dyDescent="0.25">
      <c r="A1548" s="27" t="s">
        <v>1367</v>
      </c>
      <c r="B1548" s="27" t="str">
        <f t="shared" si="111"/>
        <v/>
      </c>
      <c r="C1548" s="27" t="str">
        <f t="shared" si="112"/>
        <v/>
      </c>
    </row>
    <row r="1549" spans="1:3" x14ac:dyDescent="0.25">
      <c r="A1549" s="27" t="s">
        <v>1367</v>
      </c>
      <c r="B1549" s="27" t="str">
        <f t="shared" si="111"/>
        <v/>
      </c>
      <c r="C1549" s="27" t="str">
        <f t="shared" si="112"/>
        <v/>
      </c>
    </row>
    <row r="1550" spans="1:3" x14ac:dyDescent="0.25">
      <c r="A1550" s="27" t="s">
        <v>1367</v>
      </c>
      <c r="B1550" s="27" t="str">
        <f t="shared" si="111"/>
        <v/>
      </c>
      <c r="C1550" s="27" t="str">
        <f t="shared" si="112"/>
        <v/>
      </c>
    </row>
    <row r="1551" spans="1:3" x14ac:dyDescent="0.25">
      <c r="A1551" s="27" t="s">
        <v>1367</v>
      </c>
      <c r="B1551" s="27" t="str">
        <f t="shared" si="111"/>
        <v/>
      </c>
      <c r="C1551" s="27" t="str">
        <f t="shared" si="112"/>
        <v/>
      </c>
    </row>
    <row r="1552" spans="1:3" x14ac:dyDescent="0.25">
      <c r="A1552" s="27" t="s">
        <v>1367</v>
      </c>
      <c r="B1552" s="27" t="str">
        <f t="shared" si="111"/>
        <v/>
      </c>
      <c r="C1552" s="27" t="str">
        <f t="shared" si="112"/>
        <v/>
      </c>
    </row>
    <row r="1553" spans="1:3" x14ac:dyDescent="0.25">
      <c r="A1553" s="27" t="s">
        <v>1367</v>
      </c>
      <c r="B1553" s="27" t="str">
        <f t="shared" si="111"/>
        <v/>
      </c>
      <c r="C1553" s="27" t="str">
        <f t="shared" si="112"/>
        <v/>
      </c>
    </row>
    <row r="1554" spans="1:3" x14ac:dyDescent="0.25">
      <c r="A1554" s="27" t="s">
        <v>1367</v>
      </c>
      <c r="B1554" s="27" t="str">
        <f t="shared" si="111"/>
        <v/>
      </c>
      <c r="C1554" s="27" t="str">
        <f t="shared" si="112"/>
        <v/>
      </c>
    </row>
    <row r="1555" spans="1:3" x14ac:dyDescent="0.25">
      <c r="A1555" s="27" t="s">
        <v>1367</v>
      </c>
      <c r="B1555" s="27" t="str">
        <f t="shared" si="111"/>
        <v/>
      </c>
      <c r="C1555" s="27" t="str">
        <f t="shared" si="112"/>
        <v/>
      </c>
    </row>
    <row r="1556" spans="1:3" x14ac:dyDescent="0.25">
      <c r="A1556" s="27" t="s">
        <v>1367</v>
      </c>
      <c r="B1556" s="27" t="str">
        <f t="shared" si="111"/>
        <v/>
      </c>
      <c r="C1556" s="27" t="str">
        <f t="shared" si="112"/>
        <v/>
      </c>
    </row>
    <row r="1557" spans="1:3" x14ac:dyDescent="0.25">
      <c r="A1557" s="27" t="s">
        <v>1367</v>
      </c>
      <c r="B1557" s="27" t="str">
        <f t="shared" si="111"/>
        <v/>
      </c>
      <c r="C1557" s="27" t="str">
        <f t="shared" si="112"/>
        <v/>
      </c>
    </row>
    <row r="1558" spans="1:3" x14ac:dyDescent="0.25">
      <c r="A1558" s="27" t="s">
        <v>1367</v>
      </c>
      <c r="B1558" s="27" t="str">
        <f t="shared" si="111"/>
        <v/>
      </c>
      <c r="C1558" s="27" t="str">
        <f t="shared" si="112"/>
        <v/>
      </c>
    </row>
    <row r="1559" spans="1:3" x14ac:dyDescent="0.25">
      <c r="A1559" s="27" t="s">
        <v>1367</v>
      </c>
      <c r="B1559" s="27" t="str">
        <f t="shared" si="111"/>
        <v/>
      </c>
      <c r="C1559" s="27" t="str">
        <f t="shared" si="112"/>
        <v/>
      </c>
    </row>
    <row r="1560" spans="1:3" x14ac:dyDescent="0.25">
      <c r="A1560" s="27" t="s">
        <v>1367</v>
      </c>
      <c r="B1560" s="27" t="str">
        <f t="shared" si="111"/>
        <v/>
      </c>
      <c r="C1560" s="27" t="str">
        <f t="shared" si="112"/>
        <v/>
      </c>
    </row>
    <row r="1561" spans="1:3" x14ac:dyDescent="0.25">
      <c r="A1561" s="27" t="s">
        <v>1367</v>
      </c>
      <c r="B1561" s="27" t="str">
        <f t="shared" si="111"/>
        <v/>
      </c>
      <c r="C1561" s="27" t="str">
        <f t="shared" si="112"/>
        <v/>
      </c>
    </row>
    <row r="1562" spans="1:3" x14ac:dyDescent="0.25">
      <c r="A1562" s="27" t="s">
        <v>1367</v>
      </c>
      <c r="B1562" s="27" t="str">
        <f t="shared" si="111"/>
        <v/>
      </c>
      <c r="C1562" s="27" t="str">
        <f t="shared" si="112"/>
        <v/>
      </c>
    </row>
    <row r="1563" spans="1:3" x14ac:dyDescent="0.25">
      <c r="A1563" s="27" t="s">
        <v>1367</v>
      </c>
      <c r="B1563" s="27" t="str">
        <f t="shared" si="111"/>
        <v/>
      </c>
      <c r="C1563" s="27" t="str">
        <f t="shared" si="112"/>
        <v/>
      </c>
    </row>
    <row r="1564" spans="1:3" x14ac:dyDescent="0.25">
      <c r="A1564" s="27" t="s">
        <v>1367</v>
      </c>
      <c r="B1564" s="27" t="str">
        <f t="shared" si="111"/>
        <v/>
      </c>
      <c r="C1564" s="27" t="str">
        <f t="shared" si="112"/>
        <v/>
      </c>
    </row>
    <row r="1565" spans="1:3" x14ac:dyDescent="0.25">
      <c r="A1565" s="27" t="s">
        <v>1367</v>
      </c>
      <c r="B1565" s="27" t="str">
        <f t="shared" ref="B1565:B1628" si="113">LEFT(A1565,FIND(";",A1565)-1)</f>
        <v/>
      </c>
      <c r="C1565" s="27" t="str">
        <f t="shared" ref="C1565:C1628" si="114">MID(A1565,FIND(";",A1565)+1,100)</f>
        <v/>
      </c>
    </row>
    <row r="1566" spans="1:3" x14ac:dyDescent="0.25">
      <c r="A1566" s="27" t="s">
        <v>1367</v>
      </c>
      <c r="B1566" s="27" t="str">
        <f t="shared" si="113"/>
        <v/>
      </c>
      <c r="C1566" s="27" t="str">
        <f t="shared" si="114"/>
        <v/>
      </c>
    </row>
    <row r="1567" spans="1:3" x14ac:dyDescent="0.25">
      <c r="A1567" s="27" t="s">
        <v>1367</v>
      </c>
      <c r="B1567" s="27" t="str">
        <f t="shared" si="113"/>
        <v/>
      </c>
      <c r="C1567" s="27" t="str">
        <f t="shared" si="114"/>
        <v/>
      </c>
    </row>
    <row r="1568" spans="1:3" x14ac:dyDescent="0.25">
      <c r="A1568" s="27" t="s">
        <v>1367</v>
      </c>
      <c r="B1568" s="27" t="str">
        <f t="shared" si="113"/>
        <v/>
      </c>
      <c r="C1568" s="27" t="str">
        <f t="shared" si="114"/>
        <v/>
      </c>
    </row>
    <row r="1569" spans="1:3" x14ac:dyDescent="0.25">
      <c r="A1569" s="27" t="s">
        <v>1367</v>
      </c>
      <c r="B1569" s="27" t="str">
        <f t="shared" si="113"/>
        <v/>
      </c>
      <c r="C1569" s="27" t="str">
        <f t="shared" si="114"/>
        <v/>
      </c>
    </row>
    <row r="1570" spans="1:3" x14ac:dyDescent="0.25">
      <c r="A1570" s="27" t="s">
        <v>1367</v>
      </c>
      <c r="B1570" s="27" t="str">
        <f t="shared" si="113"/>
        <v/>
      </c>
      <c r="C1570" s="27" t="str">
        <f t="shared" si="114"/>
        <v/>
      </c>
    </row>
    <row r="1571" spans="1:3" x14ac:dyDescent="0.25">
      <c r="A1571" s="27" t="s">
        <v>1367</v>
      </c>
      <c r="B1571" s="27" t="str">
        <f t="shared" si="113"/>
        <v/>
      </c>
      <c r="C1571" s="27" t="str">
        <f t="shared" si="114"/>
        <v/>
      </c>
    </row>
    <row r="1572" spans="1:3" x14ac:dyDescent="0.25">
      <c r="A1572" s="27" t="s">
        <v>1367</v>
      </c>
      <c r="B1572" s="27" t="str">
        <f t="shared" si="113"/>
        <v/>
      </c>
      <c r="C1572" s="27" t="str">
        <f t="shared" si="114"/>
        <v/>
      </c>
    </row>
    <row r="1573" spans="1:3" x14ac:dyDescent="0.25">
      <c r="A1573" s="27" t="s">
        <v>1367</v>
      </c>
      <c r="B1573" s="27" t="str">
        <f t="shared" si="113"/>
        <v/>
      </c>
      <c r="C1573" s="27" t="str">
        <f t="shared" si="114"/>
        <v/>
      </c>
    </row>
    <row r="1574" spans="1:3" x14ac:dyDescent="0.25">
      <c r="A1574" s="27" t="s">
        <v>1367</v>
      </c>
      <c r="B1574" s="27" t="str">
        <f t="shared" si="113"/>
        <v/>
      </c>
      <c r="C1574" s="27" t="str">
        <f t="shared" si="114"/>
        <v/>
      </c>
    </row>
    <row r="1575" spans="1:3" x14ac:dyDescent="0.25">
      <c r="A1575" s="27" t="s">
        <v>1367</v>
      </c>
      <c r="B1575" s="27" t="str">
        <f t="shared" si="113"/>
        <v/>
      </c>
      <c r="C1575" s="27" t="str">
        <f t="shared" si="114"/>
        <v/>
      </c>
    </row>
    <row r="1576" spans="1:3" x14ac:dyDescent="0.25">
      <c r="A1576" s="27" t="s">
        <v>1367</v>
      </c>
      <c r="B1576" s="27" t="str">
        <f t="shared" si="113"/>
        <v/>
      </c>
      <c r="C1576" s="27" t="str">
        <f t="shared" si="114"/>
        <v/>
      </c>
    </row>
    <row r="1577" spans="1:3" x14ac:dyDescent="0.25">
      <c r="A1577" s="27" t="s">
        <v>1367</v>
      </c>
      <c r="B1577" s="27" t="str">
        <f t="shared" si="113"/>
        <v/>
      </c>
      <c r="C1577" s="27" t="str">
        <f t="shared" si="114"/>
        <v/>
      </c>
    </row>
    <row r="1578" spans="1:3" x14ac:dyDescent="0.25">
      <c r="A1578" s="27" t="s">
        <v>1367</v>
      </c>
      <c r="B1578" s="27" t="str">
        <f t="shared" si="113"/>
        <v/>
      </c>
      <c r="C1578" s="27" t="str">
        <f t="shared" si="114"/>
        <v/>
      </c>
    </row>
    <row r="1579" spans="1:3" x14ac:dyDescent="0.25">
      <c r="A1579" s="27" t="s">
        <v>1367</v>
      </c>
      <c r="B1579" s="27" t="str">
        <f t="shared" si="113"/>
        <v/>
      </c>
      <c r="C1579" s="27" t="str">
        <f t="shared" si="114"/>
        <v/>
      </c>
    </row>
    <row r="1580" spans="1:3" x14ac:dyDescent="0.25">
      <c r="A1580" s="27" t="s">
        <v>1367</v>
      </c>
      <c r="B1580" s="27" t="str">
        <f t="shared" si="113"/>
        <v/>
      </c>
      <c r="C1580" s="27" t="str">
        <f t="shared" si="114"/>
        <v/>
      </c>
    </row>
    <row r="1581" spans="1:3" x14ac:dyDescent="0.25">
      <c r="A1581" s="27" t="s">
        <v>1367</v>
      </c>
      <c r="B1581" s="27" t="str">
        <f t="shared" si="113"/>
        <v/>
      </c>
      <c r="C1581" s="27" t="str">
        <f t="shared" si="114"/>
        <v/>
      </c>
    </row>
    <row r="1582" spans="1:3" x14ac:dyDescent="0.25">
      <c r="A1582" s="27" t="s">
        <v>1367</v>
      </c>
      <c r="B1582" s="27" t="str">
        <f t="shared" si="113"/>
        <v/>
      </c>
      <c r="C1582" s="27" t="str">
        <f t="shared" si="114"/>
        <v/>
      </c>
    </row>
    <row r="1583" spans="1:3" x14ac:dyDescent="0.25">
      <c r="A1583" s="27" t="s">
        <v>1367</v>
      </c>
      <c r="B1583" s="27" t="str">
        <f t="shared" si="113"/>
        <v/>
      </c>
      <c r="C1583" s="27" t="str">
        <f t="shared" si="114"/>
        <v/>
      </c>
    </row>
    <row r="1584" spans="1:3" x14ac:dyDescent="0.25">
      <c r="A1584" s="27" t="s">
        <v>1367</v>
      </c>
      <c r="B1584" s="27" t="str">
        <f t="shared" si="113"/>
        <v/>
      </c>
      <c r="C1584" s="27" t="str">
        <f t="shared" si="114"/>
        <v/>
      </c>
    </row>
    <row r="1585" spans="1:3" x14ac:dyDescent="0.25">
      <c r="A1585" s="27" t="s">
        <v>1367</v>
      </c>
      <c r="B1585" s="27" t="str">
        <f t="shared" si="113"/>
        <v/>
      </c>
      <c r="C1585" s="27" t="str">
        <f t="shared" si="114"/>
        <v/>
      </c>
    </row>
    <row r="1586" spans="1:3" x14ac:dyDescent="0.25">
      <c r="A1586" s="27" t="s">
        <v>1367</v>
      </c>
      <c r="B1586" s="27" t="str">
        <f t="shared" si="113"/>
        <v/>
      </c>
      <c r="C1586" s="27" t="str">
        <f t="shared" si="114"/>
        <v/>
      </c>
    </row>
    <row r="1587" spans="1:3" x14ac:dyDescent="0.25">
      <c r="A1587" s="27" t="s">
        <v>1367</v>
      </c>
      <c r="B1587" s="27" t="str">
        <f t="shared" si="113"/>
        <v/>
      </c>
      <c r="C1587" s="27" t="str">
        <f t="shared" si="114"/>
        <v/>
      </c>
    </row>
    <row r="1588" spans="1:3" x14ac:dyDescent="0.25">
      <c r="A1588" s="27" t="s">
        <v>1367</v>
      </c>
      <c r="B1588" s="27" t="str">
        <f t="shared" si="113"/>
        <v/>
      </c>
      <c r="C1588" s="27" t="str">
        <f t="shared" si="114"/>
        <v/>
      </c>
    </row>
    <row r="1589" spans="1:3" x14ac:dyDescent="0.25">
      <c r="A1589" s="27" t="s">
        <v>1367</v>
      </c>
      <c r="B1589" s="27" t="str">
        <f t="shared" si="113"/>
        <v/>
      </c>
      <c r="C1589" s="27" t="str">
        <f t="shared" si="114"/>
        <v/>
      </c>
    </row>
    <row r="1590" spans="1:3" x14ac:dyDescent="0.25">
      <c r="A1590" s="27" t="s">
        <v>1367</v>
      </c>
      <c r="B1590" s="27" t="str">
        <f t="shared" si="113"/>
        <v/>
      </c>
      <c r="C1590" s="27" t="str">
        <f t="shared" si="114"/>
        <v/>
      </c>
    </row>
    <row r="1591" spans="1:3" x14ac:dyDescent="0.25">
      <c r="A1591" s="27" t="s">
        <v>1367</v>
      </c>
      <c r="B1591" s="27" t="str">
        <f t="shared" si="113"/>
        <v/>
      </c>
      <c r="C1591" s="27" t="str">
        <f t="shared" si="114"/>
        <v/>
      </c>
    </row>
    <row r="1592" spans="1:3" x14ac:dyDescent="0.25">
      <c r="A1592" s="27" t="s">
        <v>1367</v>
      </c>
      <c r="B1592" s="27" t="str">
        <f t="shared" si="113"/>
        <v/>
      </c>
      <c r="C1592" s="27" t="str">
        <f t="shared" si="114"/>
        <v/>
      </c>
    </row>
    <row r="1593" spans="1:3" x14ac:dyDescent="0.25">
      <c r="A1593" s="27" t="s">
        <v>1367</v>
      </c>
      <c r="B1593" s="27" t="str">
        <f t="shared" si="113"/>
        <v/>
      </c>
      <c r="C1593" s="27" t="str">
        <f t="shared" si="114"/>
        <v/>
      </c>
    </row>
    <row r="1594" spans="1:3" x14ac:dyDescent="0.25">
      <c r="A1594" s="27" t="s">
        <v>1367</v>
      </c>
      <c r="B1594" s="27" t="str">
        <f t="shared" si="113"/>
        <v/>
      </c>
      <c r="C1594" s="27" t="str">
        <f t="shared" si="114"/>
        <v/>
      </c>
    </row>
    <row r="1595" spans="1:3" x14ac:dyDescent="0.25">
      <c r="A1595" s="27" t="s">
        <v>1367</v>
      </c>
      <c r="B1595" s="27" t="str">
        <f t="shared" si="113"/>
        <v/>
      </c>
      <c r="C1595" s="27" t="str">
        <f t="shared" si="114"/>
        <v/>
      </c>
    </row>
    <row r="1596" spans="1:3" x14ac:dyDescent="0.25">
      <c r="A1596" s="27" t="s">
        <v>1367</v>
      </c>
      <c r="B1596" s="27" t="str">
        <f t="shared" si="113"/>
        <v/>
      </c>
      <c r="C1596" s="27" t="str">
        <f t="shared" si="114"/>
        <v/>
      </c>
    </row>
    <row r="1597" spans="1:3" x14ac:dyDescent="0.25">
      <c r="A1597" s="27" t="s">
        <v>1367</v>
      </c>
      <c r="B1597" s="27" t="str">
        <f t="shared" si="113"/>
        <v/>
      </c>
      <c r="C1597" s="27" t="str">
        <f t="shared" si="114"/>
        <v/>
      </c>
    </row>
    <row r="1598" spans="1:3" x14ac:dyDescent="0.25">
      <c r="A1598" s="27" t="s">
        <v>1367</v>
      </c>
      <c r="B1598" s="27" t="str">
        <f t="shared" si="113"/>
        <v/>
      </c>
      <c r="C1598" s="27" t="str">
        <f t="shared" si="114"/>
        <v/>
      </c>
    </row>
    <row r="1599" spans="1:3" x14ac:dyDescent="0.25">
      <c r="A1599" s="27" t="s">
        <v>1367</v>
      </c>
      <c r="B1599" s="27" t="str">
        <f t="shared" si="113"/>
        <v/>
      </c>
      <c r="C1599" s="27" t="str">
        <f t="shared" si="114"/>
        <v/>
      </c>
    </row>
    <row r="1600" spans="1:3" x14ac:dyDescent="0.25">
      <c r="A1600" s="27" t="s">
        <v>1367</v>
      </c>
      <c r="B1600" s="27" t="str">
        <f t="shared" si="113"/>
        <v/>
      </c>
      <c r="C1600" s="27" t="str">
        <f t="shared" si="114"/>
        <v/>
      </c>
    </row>
    <row r="1601" spans="1:3" x14ac:dyDescent="0.25">
      <c r="A1601" s="27" t="s">
        <v>1367</v>
      </c>
      <c r="B1601" s="27" t="str">
        <f t="shared" si="113"/>
        <v/>
      </c>
      <c r="C1601" s="27" t="str">
        <f t="shared" si="114"/>
        <v/>
      </c>
    </row>
    <row r="1602" spans="1:3" x14ac:dyDescent="0.25">
      <c r="A1602" s="27" t="s">
        <v>1367</v>
      </c>
      <c r="B1602" s="27" t="str">
        <f t="shared" si="113"/>
        <v/>
      </c>
      <c r="C1602" s="27" t="str">
        <f t="shared" si="114"/>
        <v/>
      </c>
    </row>
    <row r="1603" spans="1:3" x14ac:dyDescent="0.25">
      <c r="A1603" s="27" t="s">
        <v>1367</v>
      </c>
      <c r="B1603" s="27" t="str">
        <f t="shared" si="113"/>
        <v/>
      </c>
      <c r="C1603" s="27" t="str">
        <f t="shared" si="114"/>
        <v/>
      </c>
    </row>
    <row r="1604" spans="1:3" x14ac:dyDescent="0.25">
      <c r="A1604" s="27" t="s">
        <v>1367</v>
      </c>
      <c r="B1604" s="27" t="str">
        <f t="shared" si="113"/>
        <v/>
      </c>
      <c r="C1604" s="27" t="str">
        <f t="shared" si="114"/>
        <v/>
      </c>
    </row>
    <row r="1605" spans="1:3" x14ac:dyDescent="0.25">
      <c r="A1605" s="27" t="s">
        <v>1367</v>
      </c>
      <c r="B1605" s="27" t="str">
        <f t="shared" si="113"/>
        <v/>
      </c>
      <c r="C1605" s="27" t="str">
        <f t="shared" si="114"/>
        <v/>
      </c>
    </row>
    <row r="1606" spans="1:3" x14ac:dyDescent="0.25">
      <c r="A1606" s="27" t="s">
        <v>1367</v>
      </c>
      <c r="B1606" s="27" t="str">
        <f t="shared" si="113"/>
        <v/>
      </c>
      <c r="C1606" s="27" t="str">
        <f t="shared" si="114"/>
        <v/>
      </c>
    </row>
    <row r="1607" spans="1:3" x14ac:dyDescent="0.25">
      <c r="A1607" s="27" t="s">
        <v>1367</v>
      </c>
      <c r="B1607" s="27" t="str">
        <f t="shared" si="113"/>
        <v/>
      </c>
      <c r="C1607" s="27" t="str">
        <f t="shared" si="114"/>
        <v/>
      </c>
    </row>
    <row r="1608" spans="1:3" x14ac:dyDescent="0.25">
      <c r="A1608" s="27" t="s">
        <v>1367</v>
      </c>
      <c r="B1608" s="27" t="str">
        <f t="shared" si="113"/>
        <v/>
      </c>
      <c r="C1608" s="27" t="str">
        <f t="shared" si="114"/>
        <v/>
      </c>
    </row>
    <row r="1609" spans="1:3" x14ac:dyDescent="0.25">
      <c r="A1609" s="27" t="s">
        <v>1367</v>
      </c>
      <c r="B1609" s="27" t="str">
        <f t="shared" si="113"/>
        <v/>
      </c>
      <c r="C1609" s="27" t="str">
        <f t="shared" si="114"/>
        <v/>
      </c>
    </row>
    <row r="1610" spans="1:3" x14ac:dyDescent="0.25">
      <c r="A1610" s="27" t="s">
        <v>1367</v>
      </c>
      <c r="B1610" s="27" t="str">
        <f t="shared" si="113"/>
        <v/>
      </c>
      <c r="C1610" s="27" t="str">
        <f t="shared" si="114"/>
        <v/>
      </c>
    </row>
    <row r="1611" spans="1:3" x14ac:dyDescent="0.25">
      <c r="A1611" s="27" t="s">
        <v>1367</v>
      </c>
      <c r="B1611" s="27" t="str">
        <f t="shared" si="113"/>
        <v/>
      </c>
      <c r="C1611" s="27" t="str">
        <f t="shared" si="114"/>
        <v/>
      </c>
    </row>
    <row r="1612" spans="1:3" x14ac:dyDescent="0.25">
      <c r="A1612" s="27" t="s">
        <v>1367</v>
      </c>
      <c r="B1612" s="27" t="str">
        <f t="shared" si="113"/>
        <v/>
      </c>
      <c r="C1612" s="27" t="str">
        <f t="shared" si="114"/>
        <v/>
      </c>
    </row>
    <row r="1613" spans="1:3" x14ac:dyDescent="0.25">
      <c r="A1613" s="27" t="s">
        <v>1367</v>
      </c>
      <c r="B1613" s="27" t="str">
        <f t="shared" si="113"/>
        <v/>
      </c>
      <c r="C1613" s="27" t="str">
        <f t="shared" si="114"/>
        <v/>
      </c>
    </row>
    <row r="1614" spans="1:3" x14ac:dyDescent="0.25">
      <c r="A1614" s="27" t="s">
        <v>1367</v>
      </c>
      <c r="B1614" s="27" t="str">
        <f t="shared" si="113"/>
        <v/>
      </c>
      <c r="C1614" s="27" t="str">
        <f t="shared" si="114"/>
        <v/>
      </c>
    </row>
    <row r="1615" spans="1:3" x14ac:dyDescent="0.25">
      <c r="A1615" s="27" t="s">
        <v>1367</v>
      </c>
      <c r="B1615" s="27" t="str">
        <f t="shared" si="113"/>
        <v/>
      </c>
      <c r="C1615" s="27" t="str">
        <f t="shared" si="114"/>
        <v/>
      </c>
    </row>
    <row r="1616" spans="1:3" x14ac:dyDescent="0.25">
      <c r="A1616" s="27" t="s">
        <v>1367</v>
      </c>
      <c r="B1616" s="27" t="str">
        <f t="shared" si="113"/>
        <v/>
      </c>
      <c r="C1616" s="27" t="str">
        <f t="shared" si="114"/>
        <v/>
      </c>
    </row>
    <row r="1617" spans="1:3" x14ac:dyDescent="0.25">
      <c r="A1617" s="27" t="s">
        <v>1367</v>
      </c>
      <c r="B1617" s="27" t="str">
        <f t="shared" si="113"/>
        <v/>
      </c>
      <c r="C1617" s="27" t="str">
        <f t="shared" si="114"/>
        <v/>
      </c>
    </row>
    <row r="1618" spans="1:3" x14ac:dyDescent="0.25">
      <c r="A1618" s="27" t="s">
        <v>1367</v>
      </c>
      <c r="B1618" s="27" t="str">
        <f t="shared" si="113"/>
        <v/>
      </c>
      <c r="C1618" s="27" t="str">
        <f t="shared" si="114"/>
        <v/>
      </c>
    </row>
    <row r="1619" spans="1:3" x14ac:dyDescent="0.25">
      <c r="A1619" s="27" t="s">
        <v>1367</v>
      </c>
      <c r="B1619" s="27" t="str">
        <f t="shared" si="113"/>
        <v/>
      </c>
      <c r="C1619" s="27" t="str">
        <f t="shared" si="114"/>
        <v/>
      </c>
    </row>
    <row r="1620" spans="1:3" x14ac:dyDescent="0.25">
      <c r="A1620" s="27" t="s">
        <v>1367</v>
      </c>
      <c r="B1620" s="27" t="str">
        <f t="shared" si="113"/>
        <v/>
      </c>
      <c r="C1620" s="27" t="str">
        <f t="shared" si="114"/>
        <v/>
      </c>
    </row>
    <row r="1621" spans="1:3" x14ac:dyDescent="0.25">
      <c r="A1621" s="27" t="s">
        <v>1367</v>
      </c>
      <c r="B1621" s="27" t="str">
        <f t="shared" si="113"/>
        <v/>
      </c>
      <c r="C1621" s="27" t="str">
        <f t="shared" si="114"/>
        <v/>
      </c>
    </row>
    <row r="1622" spans="1:3" x14ac:dyDescent="0.25">
      <c r="A1622" s="27" t="s">
        <v>1367</v>
      </c>
      <c r="B1622" s="27" t="str">
        <f t="shared" si="113"/>
        <v/>
      </c>
      <c r="C1622" s="27" t="str">
        <f t="shared" si="114"/>
        <v/>
      </c>
    </row>
    <row r="1623" spans="1:3" x14ac:dyDescent="0.25">
      <c r="A1623" s="27" t="s">
        <v>1367</v>
      </c>
      <c r="B1623" s="27" t="str">
        <f t="shared" si="113"/>
        <v/>
      </c>
      <c r="C1623" s="27" t="str">
        <f t="shared" si="114"/>
        <v/>
      </c>
    </row>
    <row r="1624" spans="1:3" x14ac:dyDescent="0.25">
      <c r="A1624" s="27" t="s">
        <v>1367</v>
      </c>
      <c r="B1624" s="27" t="str">
        <f t="shared" si="113"/>
        <v/>
      </c>
      <c r="C1624" s="27" t="str">
        <f t="shared" si="114"/>
        <v/>
      </c>
    </row>
    <row r="1625" spans="1:3" x14ac:dyDescent="0.25">
      <c r="A1625" s="27" t="s">
        <v>1367</v>
      </c>
      <c r="B1625" s="27" t="str">
        <f t="shared" si="113"/>
        <v/>
      </c>
      <c r="C1625" s="27" t="str">
        <f t="shared" si="114"/>
        <v/>
      </c>
    </row>
    <row r="1626" spans="1:3" x14ac:dyDescent="0.25">
      <c r="A1626" s="27" t="s">
        <v>1367</v>
      </c>
      <c r="B1626" s="27" t="str">
        <f t="shared" si="113"/>
        <v/>
      </c>
      <c r="C1626" s="27" t="str">
        <f t="shared" si="114"/>
        <v/>
      </c>
    </row>
    <row r="1627" spans="1:3" x14ac:dyDescent="0.25">
      <c r="A1627" s="27" t="s">
        <v>1367</v>
      </c>
      <c r="B1627" s="27" t="str">
        <f t="shared" si="113"/>
        <v/>
      </c>
      <c r="C1627" s="27" t="str">
        <f t="shared" si="114"/>
        <v/>
      </c>
    </row>
    <row r="1628" spans="1:3" x14ac:dyDescent="0.25">
      <c r="A1628" s="27" t="s">
        <v>1367</v>
      </c>
      <c r="B1628" s="27" t="str">
        <f t="shared" si="113"/>
        <v/>
      </c>
      <c r="C1628" s="27" t="str">
        <f t="shared" si="114"/>
        <v/>
      </c>
    </row>
    <row r="1629" spans="1:3" x14ac:dyDescent="0.25">
      <c r="A1629" s="27" t="s">
        <v>1367</v>
      </c>
      <c r="B1629" s="27" t="str">
        <f t="shared" ref="B1629:B1635" si="115">LEFT(A1629,FIND(";",A1629)-1)</f>
        <v/>
      </c>
      <c r="C1629" s="27" t="str">
        <f t="shared" ref="C1629:C1635" si="116">MID(A1629,FIND(";",A1629)+1,100)</f>
        <v/>
      </c>
    </row>
    <row r="1630" spans="1:3" x14ac:dyDescent="0.25">
      <c r="A1630" s="27" t="s">
        <v>1367</v>
      </c>
      <c r="B1630" s="27" t="str">
        <f t="shared" si="115"/>
        <v/>
      </c>
      <c r="C1630" s="27" t="str">
        <f t="shared" si="116"/>
        <v/>
      </c>
    </row>
    <row r="1631" spans="1:3" x14ac:dyDescent="0.25">
      <c r="A1631" s="27" t="s">
        <v>1367</v>
      </c>
      <c r="B1631" s="27" t="str">
        <f t="shared" si="115"/>
        <v/>
      </c>
      <c r="C1631" s="27" t="str">
        <f t="shared" si="116"/>
        <v/>
      </c>
    </row>
    <row r="1632" spans="1:3" x14ac:dyDescent="0.25">
      <c r="A1632" s="27" t="s">
        <v>1367</v>
      </c>
      <c r="B1632" s="27" t="str">
        <f t="shared" si="115"/>
        <v/>
      </c>
      <c r="C1632" s="27" t="str">
        <f t="shared" si="116"/>
        <v/>
      </c>
    </row>
    <row r="1633" spans="1:3" x14ac:dyDescent="0.25">
      <c r="A1633" s="27" t="s">
        <v>1367</v>
      </c>
      <c r="B1633" s="27" t="str">
        <f t="shared" si="115"/>
        <v/>
      </c>
      <c r="C1633" s="27" t="str">
        <f t="shared" si="116"/>
        <v/>
      </c>
    </row>
    <row r="1634" spans="1:3" x14ac:dyDescent="0.25">
      <c r="A1634" s="27" t="s">
        <v>1367</v>
      </c>
      <c r="B1634" s="27" t="str">
        <f t="shared" si="115"/>
        <v/>
      </c>
      <c r="C1634" s="27" t="str">
        <f t="shared" si="116"/>
        <v/>
      </c>
    </row>
    <row r="1635" spans="1:3" x14ac:dyDescent="0.25">
      <c r="A1635" s="27" t="s">
        <v>1367</v>
      </c>
      <c r="B1635" s="27" t="str">
        <f t="shared" si="115"/>
        <v/>
      </c>
      <c r="C1635" s="27" t="str">
        <f t="shared" si="116"/>
        <v/>
      </c>
    </row>
  </sheetData>
  <autoFilter ref="B1:B1164"/>
  <hyperlinks>
    <hyperlink ref="M3" r:id="rId1"/>
    <hyperlink ref="M4" r:id="rId2"/>
    <hyperlink ref="M5" r:id="rId3"/>
    <hyperlink ref="M6" r:id="rId4"/>
    <hyperlink ref="M7" r:id="rId5"/>
    <hyperlink ref="M15" r:id="rId6"/>
    <hyperlink ref="M14" r:id="rId7"/>
    <hyperlink ref="M13" r:id="rId8"/>
    <hyperlink ref="M12" r:id="rId9"/>
    <hyperlink ref="M11" r:id="rId10"/>
    <hyperlink ref="M10" r:id="rId11"/>
    <hyperlink ref="M9" r:id="rId12"/>
    <hyperlink ref="M8" r:id="rId13"/>
    <hyperlink ref="M16" r:id="rId14"/>
    <hyperlink ref="M17" r:id="rId15"/>
    <hyperlink ref="M18" r:id="rId16"/>
    <hyperlink ref="M19" r:id="rId17"/>
    <hyperlink ref="M20" r:id="rId18"/>
    <hyperlink ref="M21" r:id="rId19"/>
    <hyperlink ref="M22" r:id="rId20"/>
    <hyperlink ref="M23" r:id="rId21"/>
    <hyperlink ref="M24" r:id="rId22"/>
    <hyperlink ref="M25" r:id="rId23"/>
    <hyperlink ref="M26" r:id="rId24"/>
    <hyperlink ref="M27" r:id="rId25"/>
    <hyperlink ref="M28" r:id="rId26"/>
    <hyperlink ref="M29" r:id="rId27"/>
    <hyperlink ref="M30" r:id="rId28"/>
    <hyperlink ref="M31" r:id="rId29"/>
    <hyperlink ref="M32" r:id="rId30"/>
    <hyperlink ref="M33" r:id="rId31"/>
    <hyperlink ref="M34" r:id="rId32"/>
    <hyperlink ref="M35" r:id="rId33"/>
    <hyperlink ref="M36" r:id="rId34"/>
    <hyperlink ref="M37" r:id="rId35"/>
    <hyperlink ref="M38" r:id="rId36"/>
    <hyperlink ref="M39" r:id="rId37"/>
    <hyperlink ref="M40" r:id="rId38"/>
    <hyperlink ref="M41" r:id="rId39"/>
    <hyperlink ref="M42" r:id="rId40"/>
    <hyperlink ref="M43" r:id="rId41"/>
    <hyperlink ref="M44" r:id="rId42"/>
    <hyperlink ref="M45" r:id="rId43"/>
    <hyperlink ref="M46" r:id="rId44"/>
    <hyperlink ref="M47" r:id="rId45"/>
    <hyperlink ref="M48" r:id="rId46"/>
    <hyperlink ref="M49" r:id="rId47"/>
    <hyperlink ref="M50" r:id="rId48"/>
    <hyperlink ref="M51" r:id="rId49"/>
    <hyperlink ref="M52" r:id="rId50"/>
    <hyperlink ref="M53" r:id="rId51"/>
    <hyperlink ref="M54" r:id="rId52"/>
    <hyperlink ref="M55" r:id="rId53"/>
    <hyperlink ref="M56" r:id="rId54"/>
    <hyperlink ref="M57" r:id="rId55"/>
    <hyperlink ref="M58" r:id="rId56"/>
    <hyperlink ref="M59" r:id="rId57"/>
    <hyperlink ref="M60" r:id="rId58"/>
    <hyperlink ref="M61" r:id="rId59"/>
    <hyperlink ref="M62" r:id="rId60"/>
    <hyperlink ref="M63" r:id="rId61"/>
    <hyperlink ref="M64" r:id="rId62"/>
    <hyperlink ref="M65" r:id="rId63"/>
    <hyperlink ref="M66" r:id="rId64"/>
    <hyperlink ref="M67" r:id="rId65"/>
    <hyperlink ref="M68" r:id="rId66"/>
    <hyperlink ref="M69" r:id="rId67"/>
    <hyperlink ref="S3" r:id="rId68"/>
    <hyperlink ref="S4" r:id="rId69"/>
    <hyperlink ref="S5" r:id="rId70"/>
    <hyperlink ref="S6" r:id="rId71"/>
    <hyperlink ref="S7" r:id="rId72"/>
    <hyperlink ref="S15" r:id="rId73"/>
    <hyperlink ref="S14" r:id="rId74"/>
    <hyperlink ref="S13" r:id="rId75"/>
    <hyperlink ref="S12" r:id="rId76"/>
    <hyperlink ref="S11" r:id="rId77"/>
    <hyperlink ref="S10" r:id="rId78"/>
    <hyperlink ref="S9" r:id="rId79"/>
    <hyperlink ref="S8" r:id="rId80"/>
    <hyperlink ref="S16" r:id="rId81"/>
    <hyperlink ref="S17" r:id="rId82"/>
    <hyperlink ref="S18" r:id="rId83"/>
    <hyperlink ref="S19" r:id="rId84"/>
    <hyperlink ref="S20" r:id="rId85"/>
    <hyperlink ref="S21" r:id="rId86"/>
    <hyperlink ref="S22" r:id="rId87"/>
    <hyperlink ref="S23" r:id="rId88"/>
    <hyperlink ref="S24" r:id="rId89"/>
    <hyperlink ref="S25" r:id="rId90"/>
    <hyperlink ref="S26" r:id="rId91"/>
    <hyperlink ref="S27" r:id="rId92"/>
    <hyperlink ref="S28" r:id="rId93"/>
    <hyperlink ref="S29" r:id="rId94"/>
    <hyperlink ref="S30" r:id="rId95"/>
    <hyperlink ref="S31" r:id="rId96"/>
    <hyperlink ref="S32" r:id="rId97"/>
    <hyperlink ref="S33" r:id="rId98"/>
    <hyperlink ref="S34" r:id="rId99"/>
    <hyperlink ref="S35" r:id="rId100"/>
    <hyperlink ref="S36" r:id="rId101"/>
    <hyperlink ref="S37" r:id="rId102"/>
    <hyperlink ref="S38" r:id="rId103"/>
    <hyperlink ref="S39" r:id="rId104"/>
    <hyperlink ref="S40" r:id="rId105"/>
    <hyperlink ref="S41" r:id="rId106"/>
    <hyperlink ref="S42" r:id="rId107"/>
    <hyperlink ref="S43" r:id="rId108"/>
    <hyperlink ref="S44" r:id="rId109"/>
    <hyperlink ref="S45" r:id="rId110"/>
    <hyperlink ref="S46" r:id="rId111"/>
    <hyperlink ref="S47" r:id="rId112"/>
    <hyperlink ref="S48" r:id="rId113"/>
    <hyperlink ref="S49" r:id="rId114"/>
    <hyperlink ref="S50" r:id="rId115"/>
    <hyperlink ref="S51" r:id="rId116"/>
    <hyperlink ref="S52" r:id="rId117"/>
    <hyperlink ref="S53" r:id="rId118"/>
    <hyperlink ref="S54" r:id="rId119"/>
    <hyperlink ref="S55" r:id="rId120"/>
    <hyperlink ref="S56" r:id="rId121"/>
    <hyperlink ref="S57" r:id="rId122"/>
    <hyperlink ref="S58" r:id="rId123"/>
    <hyperlink ref="S59" r:id="rId124"/>
    <hyperlink ref="S60" r:id="rId125"/>
    <hyperlink ref="S61" r:id="rId126"/>
    <hyperlink ref="S62" r:id="rId127"/>
    <hyperlink ref="S63" r:id="rId128"/>
    <hyperlink ref="S64" r:id="rId129"/>
    <hyperlink ref="S65" r:id="rId130"/>
    <hyperlink ref="S66" r:id="rId131"/>
    <hyperlink ref="S67" r:id="rId132"/>
    <hyperlink ref="S68" r:id="rId133"/>
    <hyperlink ref="S69" r:id="rId134"/>
    <hyperlink ref="P3" r:id="rId135"/>
    <hyperlink ref="P4" r:id="rId136"/>
    <hyperlink ref="P5" r:id="rId137"/>
    <hyperlink ref="P6" r:id="rId138"/>
    <hyperlink ref="P7" r:id="rId139"/>
    <hyperlink ref="P15" r:id="rId140"/>
    <hyperlink ref="P14" r:id="rId141"/>
    <hyperlink ref="P13" r:id="rId142"/>
    <hyperlink ref="P12" r:id="rId143"/>
    <hyperlink ref="P11" r:id="rId144"/>
    <hyperlink ref="P10" r:id="rId145"/>
    <hyperlink ref="P9" r:id="rId146"/>
    <hyperlink ref="P8" r:id="rId147"/>
    <hyperlink ref="P16" r:id="rId148"/>
    <hyperlink ref="P17" r:id="rId149"/>
    <hyperlink ref="P18" r:id="rId150"/>
    <hyperlink ref="P19" r:id="rId151"/>
    <hyperlink ref="P20" r:id="rId152"/>
    <hyperlink ref="P21" r:id="rId153"/>
    <hyperlink ref="P22" r:id="rId154"/>
    <hyperlink ref="P23" r:id="rId155"/>
    <hyperlink ref="P24" r:id="rId156"/>
    <hyperlink ref="P25" r:id="rId157"/>
    <hyperlink ref="P26" r:id="rId158"/>
    <hyperlink ref="P27" r:id="rId159"/>
    <hyperlink ref="P28" r:id="rId160"/>
    <hyperlink ref="P29" r:id="rId161"/>
    <hyperlink ref="P30" r:id="rId162"/>
    <hyperlink ref="P31" r:id="rId163"/>
    <hyperlink ref="P32" r:id="rId164"/>
    <hyperlink ref="P33" r:id="rId165"/>
    <hyperlink ref="P34" r:id="rId166"/>
    <hyperlink ref="P35" r:id="rId167"/>
    <hyperlink ref="P36" r:id="rId168"/>
    <hyperlink ref="P37" r:id="rId169"/>
    <hyperlink ref="P38" r:id="rId170"/>
    <hyperlink ref="P39" r:id="rId171"/>
    <hyperlink ref="P40" r:id="rId172"/>
    <hyperlink ref="P41" r:id="rId173"/>
    <hyperlink ref="P42" r:id="rId174"/>
    <hyperlink ref="P43" r:id="rId175"/>
    <hyperlink ref="P44" r:id="rId176"/>
    <hyperlink ref="P45" r:id="rId177"/>
    <hyperlink ref="P46" r:id="rId178"/>
    <hyperlink ref="P47" r:id="rId179"/>
    <hyperlink ref="P48" r:id="rId180"/>
    <hyperlink ref="P49" r:id="rId181"/>
    <hyperlink ref="P50" r:id="rId182"/>
    <hyperlink ref="P51" r:id="rId183"/>
    <hyperlink ref="P52" r:id="rId184"/>
    <hyperlink ref="P53" r:id="rId185"/>
    <hyperlink ref="P54" r:id="rId186"/>
    <hyperlink ref="P55" r:id="rId187"/>
    <hyperlink ref="P56" r:id="rId188"/>
    <hyperlink ref="P57" r:id="rId189"/>
    <hyperlink ref="P58" r:id="rId190"/>
    <hyperlink ref="P59" r:id="rId191"/>
    <hyperlink ref="P60" r:id="rId192"/>
    <hyperlink ref="P61" r:id="rId193"/>
    <hyperlink ref="P62" r:id="rId194"/>
    <hyperlink ref="P63" r:id="rId195"/>
    <hyperlink ref="P64" r:id="rId196"/>
    <hyperlink ref="P65" r:id="rId197"/>
    <hyperlink ref="P66" r:id="rId198"/>
    <hyperlink ref="P67" r:id="rId199"/>
    <hyperlink ref="P68" r:id="rId200"/>
    <hyperlink ref="P69" r:id="rId201"/>
    <hyperlink ref="R16" r:id="rId202"/>
    <hyperlink ref="R41" r:id="rId203"/>
    <hyperlink ref="R54" r:id="rId204"/>
    <hyperlink ref="T3" r:id="rId205"/>
    <hyperlink ref="Q286" r:id="rId206" location="page=382"/>
    <hyperlink ref="T291" r:id="rId207" location="page=340"/>
    <hyperlink ref="T290" r:id="rId208" location="page=340"/>
    <hyperlink ref="T289" r:id="rId209" location="page=340"/>
    <hyperlink ref="T288" r:id="rId210" location="page=340"/>
    <hyperlink ref="T287" r:id="rId211" location="page=340"/>
    <hyperlink ref="T286" r:id="rId212" location="page=340"/>
  </hyperlinks>
  <pageMargins left="0.7" right="0.7" top="0.75" bottom="0.75" header="0.3" footer="0.3"/>
  <pageSetup orientation="portrait"/>
  <legacyDrawing r:id="rId21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I68"/>
  <sheetViews>
    <sheetView workbookViewId="0"/>
  </sheetViews>
  <sheetFormatPr defaultColWidth="11.42578125" defaultRowHeight="15" x14ac:dyDescent="0.25"/>
  <cols>
    <col min="1" max="1" width="14.42578125" customWidth="1"/>
    <col min="12" max="15" width="11.42578125" style="27"/>
    <col min="22" max="22" width="12.7109375" customWidth="1"/>
    <col min="23" max="23" width="12.7109375" style="27" customWidth="1"/>
    <col min="24" max="24" width="11.42578125" style="27"/>
  </cols>
  <sheetData>
    <row r="1" spans="1:35" ht="75" x14ac:dyDescent="0.25">
      <c r="A1" s="20"/>
      <c r="B1" s="20" t="s">
        <v>2</v>
      </c>
      <c r="C1" s="20" t="s">
        <v>0</v>
      </c>
      <c r="D1" s="20" t="s">
        <v>2361</v>
      </c>
      <c r="E1" s="20" t="s">
        <v>2362</v>
      </c>
      <c r="F1" s="92" t="s">
        <v>1956</v>
      </c>
      <c r="G1" s="84" t="s">
        <v>2044</v>
      </c>
      <c r="H1" s="84" t="s">
        <v>2045</v>
      </c>
      <c r="I1" s="92" t="s">
        <v>372</v>
      </c>
      <c r="J1" s="20" t="s">
        <v>2030</v>
      </c>
      <c r="K1" s="20" t="s">
        <v>2363</v>
      </c>
      <c r="L1" s="20" t="s">
        <v>2613</v>
      </c>
      <c r="M1" s="20" t="s">
        <v>2614</v>
      </c>
      <c r="N1" s="20" t="s">
        <v>2615</v>
      </c>
      <c r="O1" s="20" t="s">
        <v>2619</v>
      </c>
      <c r="P1" s="94" t="s">
        <v>357</v>
      </c>
      <c r="Q1" s="94" t="s">
        <v>377</v>
      </c>
      <c r="R1" s="83" t="s">
        <v>2364</v>
      </c>
      <c r="S1" s="83" t="s">
        <v>2365</v>
      </c>
      <c r="T1" s="92" t="s">
        <v>358</v>
      </c>
      <c r="U1" s="93" t="s">
        <v>360</v>
      </c>
      <c r="V1" s="92" t="s">
        <v>374</v>
      </c>
      <c r="W1" s="92" t="s">
        <v>2529</v>
      </c>
      <c r="X1" s="125" t="s">
        <v>2528</v>
      </c>
      <c r="Y1" s="125" t="s">
        <v>375</v>
      </c>
      <c r="Z1" s="20" t="s">
        <v>1</v>
      </c>
      <c r="AA1" s="20" t="s">
        <v>1957</v>
      </c>
      <c r="AB1" s="20" t="s">
        <v>1949</v>
      </c>
      <c r="AC1" s="20" t="s">
        <v>1955</v>
      </c>
      <c r="AD1" s="20" t="s">
        <v>1950</v>
      </c>
      <c r="AE1" s="20" t="s">
        <v>1951</v>
      </c>
      <c r="AF1" s="20" t="s">
        <v>1952</v>
      </c>
      <c r="AG1" s="20" t="s">
        <v>1953</v>
      </c>
      <c r="AH1" s="20" t="s">
        <v>1948</v>
      </c>
      <c r="AI1" s="20" t="s">
        <v>2620</v>
      </c>
    </row>
    <row r="2" spans="1:35" x14ac:dyDescent="0.25">
      <c r="A2" s="27" t="s">
        <v>586</v>
      </c>
      <c r="B2" s="27" t="str">
        <f>LEFT(A2,FIND(";",A2)-1)</f>
        <v>Alabama</v>
      </c>
      <c r="C2" s="27" t="str">
        <f>MID(A2,FIND(";",A2)+1,100)</f>
        <v>Autauga</v>
      </c>
      <c r="D2" s="20">
        <v>1611</v>
      </c>
      <c r="E2" s="20">
        <v>1120</v>
      </c>
      <c r="F2" s="27">
        <f>D2+E2</f>
        <v>2731</v>
      </c>
      <c r="G2" s="27">
        <v>38</v>
      </c>
      <c r="H2" s="27">
        <v>18</v>
      </c>
      <c r="I2" s="27">
        <f>G2+H2</f>
        <v>56</v>
      </c>
      <c r="J2" s="27">
        <v>85</v>
      </c>
      <c r="K2" s="27">
        <v>80</v>
      </c>
      <c r="L2" s="27">
        <v>5</v>
      </c>
      <c r="M2" s="27">
        <v>2</v>
      </c>
      <c r="N2" s="27">
        <v>33</v>
      </c>
      <c r="O2" s="28">
        <f>L2/SUM(L2:N2)</f>
        <v>0.125</v>
      </c>
      <c r="P2" s="26">
        <f t="shared" ref="P2:P33" si="0">((D2*J2)+(E2*K2))/F2</f>
        <v>82.949469058952758</v>
      </c>
      <c r="Q2" s="2">
        <v>5450</v>
      </c>
      <c r="R2" s="12">
        <v>42.5</v>
      </c>
      <c r="S2" s="12">
        <v>18.5</v>
      </c>
      <c r="T2" s="28">
        <f t="shared" ref="T2:T33" si="1">((G2*R2)+(H2*S2))/I2</f>
        <v>34.785714285714285</v>
      </c>
      <c r="U2" s="2">
        <v>17793.54</v>
      </c>
      <c r="V2" s="27">
        <v>78</v>
      </c>
      <c r="X2" s="27">
        <v>1250</v>
      </c>
      <c r="Y2" s="27">
        <f>X2-W2</f>
        <v>1250</v>
      </c>
      <c r="Z2" s="27">
        <v>1905</v>
      </c>
      <c r="AA2" s="4" t="s">
        <v>475</v>
      </c>
      <c r="AB2" s="27" t="s">
        <v>469</v>
      </c>
      <c r="AC2" s="27" t="s">
        <v>2553</v>
      </c>
      <c r="AD2" s="4" t="s">
        <v>475</v>
      </c>
      <c r="AE2" s="27" t="str">
        <f>AC2</f>
        <v>https://babel.hathitrust.org/cgi/pt?id=mdp.39015049037735;view=1up;seq=146</v>
      </c>
      <c r="AF2" s="27" t="s">
        <v>2549</v>
      </c>
      <c r="AG2" s="4" t="s">
        <v>475</v>
      </c>
      <c r="AH2" s="4" t="s">
        <v>470</v>
      </c>
      <c r="AI2" t="s">
        <v>2553</v>
      </c>
    </row>
    <row r="3" spans="1:35" x14ac:dyDescent="0.25">
      <c r="A3" s="27" t="s">
        <v>587</v>
      </c>
      <c r="B3" s="27" t="str">
        <f t="shared" ref="B3:B66" si="2">LEFT(A3,FIND(";",A3)-1)</f>
        <v>Alabama</v>
      </c>
      <c r="C3" s="27" t="str">
        <f t="shared" ref="C3:C66" si="3">MID(A3,FIND(";",A3)+1,100)</f>
        <v>Baldwin</v>
      </c>
      <c r="D3" s="27">
        <v>1245</v>
      </c>
      <c r="E3" s="27">
        <v>413</v>
      </c>
      <c r="F3" s="27">
        <f t="shared" ref="F3:F66" si="4">D3+E3</f>
        <v>1658</v>
      </c>
      <c r="G3" s="27">
        <v>51</v>
      </c>
      <c r="H3" s="27">
        <v>9</v>
      </c>
      <c r="I3" s="27">
        <f t="shared" ref="I3:I66" si="5">G3+H3</f>
        <v>60</v>
      </c>
      <c r="J3" s="27">
        <v>104</v>
      </c>
      <c r="K3" s="27">
        <v>93</v>
      </c>
      <c r="L3" s="27">
        <v>26</v>
      </c>
      <c r="M3" s="27">
        <v>12</v>
      </c>
      <c r="N3" s="27">
        <v>25</v>
      </c>
      <c r="O3" s="28">
        <f t="shared" ref="O3:O66" si="6">L3/SUM(L3:N3)</f>
        <v>0.41269841269841268</v>
      </c>
      <c r="P3" s="26">
        <f t="shared" si="0"/>
        <v>101.25995174909529</v>
      </c>
      <c r="Q3" s="2">
        <v>5289</v>
      </c>
      <c r="R3" s="12">
        <v>38</v>
      </c>
      <c r="S3" s="12">
        <v>30.38</v>
      </c>
      <c r="T3" s="28">
        <f t="shared" si="1"/>
        <v>36.856999999999999</v>
      </c>
      <c r="U3" s="2">
        <v>26820.38</v>
      </c>
      <c r="V3" s="27">
        <v>63</v>
      </c>
      <c r="X3" s="27">
        <v>14000</v>
      </c>
      <c r="Y3" s="27">
        <f t="shared" ref="Y3:Y66" si="7">X3-W3</f>
        <v>14000</v>
      </c>
      <c r="Z3" s="27">
        <v>1905</v>
      </c>
      <c r="AA3" s="4" t="s">
        <v>475</v>
      </c>
      <c r="AB3" s="27" t="s">
        <v>469</v>
      </c>
      <c r="AC3" s="27" t="str">
        <f>AC2</f>
        <v>https://babel.hathitrust.org/cgi/pt?id=mdp.39015049037735;view=1up;seq=146</v>
      </c>
      <c r="AD3" s="4" t="s">
        <v>475</v>
      </c>
      <c r="AE3" s="27" t="str">
        <f t="shared" ref="AE3:AE66" si="8">AC3</f>
        <v>https://babel.hathitrust.org/cgi/pt?id=mdp.39015049037735;view=1up;seq=146</v>
      </c>
      <c r="AF3" s="27" t="s">
        <v>2549</v>
      </c>
      <c r="AG3" s="4" t="s">
        <v>475</v>
      </c>
      <c r="AH3" s="27" t="s">
        <v>470</v>
      </c>
      <c r="AI3" t="str">
        <f>AI2</f>
        <v>https://babel.hathitrust.org/cgi/pt?id=mdp.39015049037735;view=1up;seq=146</v>
      </c>
    </row>
    <row r="4" spans="1:35" x14ac:dyDescent="0.25">
      <c r="A4" s="27" t="s">
        <v>588</v>
      </c>
      <c r="B4" s="27" t="str">
        <f t="shared" si="2"/>
        <v>Alabama</v>
      </c>
      <c r="C4" s="27" t="str">
        <f t="shared" si="3"/>
        <v>Barbour</v>
      </c>
      <c r="D4" s="27">
        <v>2000</v>
      </c>
      <c r="E4" s="27">
        <v>1800</v>
      </c>
      <c r="F4" s="27">
        <f t="shared" si="4"/>
        <v>3800</v>
      </c>
      <c r="G4" s="27">
        <v>60</v>
      </c>
      <c r="H4" s="27">
        <v>63</v>
      </c>
      <c r="I4" s="27">
        <f t="shared" si="5"/>
        <v>123</v>
      </c>
      <c r="J4" s="27">
        <v>110</v>
      </c>
      <c r="K4" s="27">
        <v>85</v>
      </c>
      <c r="L4" s="27">
        <v>10</v>
      </c>
      <c r="M4" s="27">
        <v>90</v>
      </c>
      <c r="N4" s="27">
        <v>17</v>
      </c>
      <c r="O4" s="28">
        <f t="shared" si="6"/>
        <v>8.5470085470085472E-2</v>
      </c>
      <c r="P4" s="26">
        <f t="shared" si="0"/>
        <v>98.15789473684211</v>
      </c>
      <c r="Q4" s="2">
        <v>10777</v>
      </c>
      <c r="R4" s="12">
        <v>30</v>
      </c>
      <c r="S4" s="12">
        <v>18</v>
      </c>
      <c r="T4" s="28">
        <f t="shared" si="1"/>
        <v>23.853658536585368</v>
      </c>
      <c r="U4" s="2">
        <v>27103.45</v>
      </c>
      <c r="V4" s="27">
        <v>117</v>
      </c>
      <c r="W4" s="27">
        <v>10000</v>
      </c>
      <c r="X4" s="27">
        <v>23000</v>
      </c>
      <c r="Y4" s="27">
        <f t="shared" si="7"/>
        <v>13000</v>
      </c>
      <c r="Z4" s="27">
        <v>1905</v>
      </c>
      <c r="AA4" s="4" t="s">
        <v>475</v>
      </c>
      <c r="AB4" s="27" t="s">
        <v>469</v>
      </c>
      <c r="AC4" s="27" t="str">
        <f t="shared" ref="AC4:AC67" si="9">AC3</f>
        <v>https://babel.hathitrust.org/cgi/pt?id=mdp.39015049037735;view=1up;seq=146</v>
      </c>
      <c r="AD4" s="4" t="s">
        <v>475</v>
      </c>
      <c r="AE4" s="27" t="str">
        <f t="shared" si="8"/>
        <v>https://babel.hathitrust.org/cgi/pt?id=mdp.39015049037735;view=1up;seq=146</v>
      </c>
      <c r="AF4" s="27" t="s">
        <v>2549</v>
      </c>
      <c r="AG4" s="4" t="s">
        <v>475</v>
      </c>
      <c r="AH4" s="27" t="s">
        <v>470</v>
      </c>
      <c r="AI4" s="27" t="str">
        <f t="shared" ref="AI4:AI67" si="10">AI3</f>
        <v>https://babel.hathitrust.org/cgi/pt?id=mdp.39015049037735;view=1up;seq=146</v>
      </c>
    </row>
    <row r="5" spans="1:35" x14ac:dyDescent="0.25">
      <c r="A5" s="27" t="s">
        <v>589</v>
      </c>
      <c r="B5" s="27" t="str">
        <f t="shared" si="2"/>
        <v>Alabama</v>
      </c>
      <c r="C5" s="27" t="str">
        <f t="shared" si="3"/>
        <v>Bibb</v>
      </c>
      <c r="D5" s="27">
        <v>3770</v>
      </c>
      <c r="E5" s="27">
        <v>1390</v>
      </c>
      <c r="F5" s="27">
        <f t="shared" si="4"/>
        <v>5160</v>
      </c>
      <c r="G5" s="27">
        <v>74</v>
      </c>
      <c r="H5" s="27">
        <v>21</v>
      </c>
      <c r="I5" s="27">
        <f t="shared" si="5"/>
        <v>95</v>
      </c>
      <c r="J5" s="27">
        <v>156</v>
      </c>
      <c r="K5" s="27">
        <v>100</v>
      </c>
      <c r="L5" s="27">
        <v>10</v>
      </c>
      <c r="M5" s="27">
        <v>49</v>
      </c>
      <c r="N5" s="27">
        <v>18</v>
      </c>
      <c r="O5" s="28">
        <f t="shared" si="6"/>
        <v>0.12987012987012986</v>
      </c>
      <c r="P5" s="26">
        <f t="shared" si="0"/>
        <v>140.91472868217053</v>
      </c>
      <c r="Q5" s="2">
        <v>6651</v>
      </c>
      <c r="R5" s="12">
        <v>40</v>
      </c>
      <c r="S5" s="12">
        <v>20</v>
      </c>
      <c r="T5" s="28">
        <f t="shared" si="1"/>
        <v>35.578947368421055</v>
      </c>
      <c r="U5" s="2">
        <v>28830.41</v>
      </c>
      <c r="V5" s="27">
        <v>74</v>
      </c>
      <c r="X5" s="27">
        <v>27850</v>
      </c>
      <c r="Y5" s="27">
        <f t="shared" si="7"/>
        <v>27850</v>
      </c>
      <c r="Z5" s="27">
        <v>1905</v>
      </c>
      <c r="AA5" s="4" t="s">
        <v>475</v>
      </c>
      <c r="AB5" s="27" t="s">
        <v>469</v>
      </c>
      <c r="AC5" s="27" t="str">
        <f t="shared" si="9"/>
        <v>https://babel.hathitrust.org/cgi/pt?id=mdp.39015049037735;view=1up;seq=146</v>
      </c>
      <c r="AD5" s="4" t="s">
        <v>475</v>
      </c>
      <c r="AE5" s="27" t="str">
        <f t="shared" si="8"/>
        <v>https://babel.hathitrust.org/cgi/pt?id=mdp.39015049037735;view=1up;seq=146</v>
      </c>
      <c r="AF5" s="27" t="s">
        <v>2549</v>
      </c>
      <c r="AG5" s="4" t="s">
        <v>475</v>
      </c>
      <c r="AH5" s="27" t="s">
        <v>470</v>
      </c>
      <c r="AI5" s="27" t="str">
        <f t="shared" si="10"/>
        <v>https://babel.hathitrust.org/cgi/pt?id=mdp.39015049037735;view=1up;seq=146</v>
      </c>
    </row>
    <row r="6" spans="1:35" x14ac:dyDescent="0.25">
      <c r="A6" s="27" t="s">
        <v>590</v>
      </c>
      <c r="B6" s="27" t="str">
        <f t="shared" si="2"/>
        <v>Alabama</v>
      </c>
      <c r="C6" s="27" t="str">
        <f t="shared" si="3"/>
        <v>Blount</v>
      </c>
      <c r="D6" s="27">
        <v>2283</v>
      </c>
      <c r="E6" s="27">
        <v>15</v>
      </c>
      <c r="F6" s="27">
        <f t="shared" si="4"/>
        <v>2298</v>
      </c>
      <c r="G6" s="27">
        <v>66</v>
      </c>
      <c r="H6" s="27">
        <v>2</v>
      </c>
      <c r="I6" s="27">
        <f t="shared" si="5"/>
        <v>68</v>
      </c>
      <c r="J6" s="27">
        <v>100</v>
      </c>
      <c r="K6" s="27">
        <v>100</v>
      </c>
      <c r="L6" s="27">
        <v>11</v>
      </c>
      <c r="M6" s="27">
        <v>33</v>
      </c>
      <c r="N6" s="27">
        <v>23</v>
      </c>
      <c r="O6" s="28">
        <f t="shared" si="6"/>
        <v>0.16417910447761194</v>
      </c>
      <c r="P6" s="26">
        <f t="shared" si="0"/>
        <v>100</v>
      </c>
      <c r="Q6" s="2">
        <v>7216</v>
      </c>
      <c r="R6" s="12">
        <v>34.4</v>
      </c>
      <c r="S6" s="12">
        <v>23</v>
      </c>
      <c r="T6" s="28">
        <f t="shared" si="1"/>
        <v>34.064705882352939</v>
      </c>
      <c r="U6" s="2">
        <v>20829.02</v>
      </c>
      <c r="V6" s="27">
        <v>68</v>
      </c>
      <c r="W6" s="27">
        <v>5000</v>
      </c>
      <c r="X6" s="27">
        <v>31500</v>
      </c>
      <c r="Y6" s="27">
        <f t="shared" si="7"/>
        <v>26500</v>
      </c>
      <c r="Z6" s="27">
        <v>1905</v>
      </c>
      <c r="AA6" s="4" t="s">
        <v>475</v>
      </c>
      <c r="AB6" s="27" t="s">
        <v>469</v>
      </c>
      <c r="AC6" s="27" t="str">
        <f t="shared" si="9"/>
        <v>https://babel.hathitrust.org/cgi/pt?id=mdp.39015049037735;view=1up;seq=146</v>
      </c>
      <c r="AD6" s="4" t="s">
        <v>475</v>
      </c>
      <c r="AE6" s="27" t="str">
        <f t="shared" si="8"/>
        <v>https://babel.hathitrust.org/cgi/pt?id=mdp.39015049037735;view=1up;seq=146</v>
      </c>
      <c r="AF6" s="27" t="s">
        <v>2549</v>
      </c>
      <c r="AG6" s="4" t="s">
        <v>475</v>
      </c>
      <c r="AH6" s="27" t="s">
        <v>470</v>
      </c>
      <c r="AI6" s="27" t="str">
        <f t="shared" si="10"/>
        <v>https://babel.hathitrust.org/cgi/pt?id=mdp.39015049037735;view=1up;seq=146</v>
      </c>
    </row>
    <row r="7" spans="1:35" x14ac:dyDescent="0.25">
      <c r="A7" s="27" t="s">
        <v>591</v>
      </c>
      <c r="B7" s="27" t="str">
        <f t="shared" si="2"/>
        <v>Alabama</v>
      </c>
      <c r="C7" s="27" t="str">
        <f t="shared" si="3"/>
        <v>Bullock</v>
      </c>
      <c r="D7" s="27">
        <v>874</v>
      </c>
      <c r="E7" s="27">
        <v>2547</v>
      </c>
      <c r="F7" s="27">
        <f t="shared" si="4"/>
        <v>3421</v>
      </c>
      <c r="G7" s="27">
        <v>47</v>
      </c>
      <c r="H7" s="27">
        <v>47</v>
      </c>
      <c r="I7" s="27">
        <f t="shared" si="5"/>
        <v>94</v>
      </c>
      <c r="J7" s="27">
        <v>121</v>
      </c>
      <c r="K7" s="27">
        <v>88</v>
      </c>
      <c r="L7" s="27">
        <v>16</v>
      </c>
      <c r="M7" s="27">
        <v>23</v>
      </c>
      <c r="N7" s="27">
        <v>37</v>
      </c>
      <c r="O7" s="28">
        <f t="shared" si="6"/>
        <v>0.21052631578947367</v>
      </c>
      <c r="P7" s="26">
        <f t="shared" si="0"/>
        <v>96.430868167202576</v>
      </c>
      <c r="Q7" s="2">
        <v>12626</v>
      </c>
      <c r="R7" s="12">
        <v>35.6</v>
      </c>
      <c r="S7" s="12">
        <v>25.51</v>
      </c>
      <c r="T7" s="28">
        <f t="shared" si="1"/>
        <v>30.555</v>
      </c>
      <c r="U7" s="2">
        <v>24404.959999999999</v>
      </c>
      <c r="V7" s="27">
        <v>76</v>
      </c>
      <c r="X7" s="27">
        <v>47020</v>
      </c>
      <c r="Y7" s="27">
        <f t="shared" si="7"/>
        <v>47020</v>
      </c>
      <c r="Z7" s="27">
        <v>1905</v>
      </c>
      <c r="AA7" s="4" t="s">
        <v>475</v>
      </c>
      <c r="AB7" s="27" t="s">
        <v>469</v>
      </c>
      <c r="AC7" s="27" t="str">
        <f t="shared" si="9"/>
        <v>https://babel.hathitrust.org/cgi/pt?id=mdp.39015049037735;view=1up;seq=146</v>
      </c>
      <c r="AD7" s="4" t="s">
        <v>475</v>
      </c>
      <c r="AE7" s="27" t="str">
        <f t="shared" si="8"/>
        <v>https://babel.hathitrust.org/cgi/pt?id=mdp.39015049037735;view=1up;seq=146</v>
      </c>
      <c r="AF7" s="27" t="s">
        <v>2549</v>
      </c>
      <c r="AG7" s="4" t="s">
        <v>475</v>
      </c>
      <c r="AH7" s="27" t="s">
        <v>470</v>
      </c>
      <c r="AI7" s="27" t="str">
        <f t="shared" si="10"/>
        <v>https://babel.hathitrust.org/cgi/pt?id=mdp.39015049037735;view=1up;seq=146</v>
      </c>
    </row>
    <row r="8" spans="1:35" x14ac:dyDescent="0.25">
      <c r="A8" s="27" t="s">
        <v>592</v>
      </c>
      <c r="B8" s="27" t="str">
        <f t="shared" si="2"/>
        <v>Alabama</v>
      </c>
      <c r="C8" s="27" t="str">
        <f t="shared" si="3"/>
        <v>Butler</v>
      </c>
      <c r="D8" s="27">
        <v>1892</v>
      </c>
      <c r="E8" s="27">
        <v>1346</v>
      </c>
      <c r="F8" s="27">
        <f t="shared" si="4"/>
        <v>3238</v>
      </c>
      <c r="G8" s="27">
        <v>64</v>
      </c>
      <c r="H8" s="27">
        <v>26</v>
      </c>
      <c r="I8" s="27">
        <f t="shared" si="5"/>
        <v>90</v>
      </c>
      <c r="J8" s="27">
        <v>112</v>
      </c>
      <c r="K8" s="27">
        <v>88</v>
      </c>
      <c r="L8" s="27">
        <v>22</v>
      </c>
      <c r="M8" s="27">
        <v>28</v>
      </c>
      <c r="N8" s="27">
        <v>44</v>
      </c>
      <c r="O8" s="28">
        <f t="shared" si="6"/>
        <v>0.23404255319148937</v>
      </c>
      <c r="P8" s="26">
        <f t="shared" si="0"/>
        <v>102.02347127856702</v>
      </c>
      <c r="Q8" s="2">
        <v>9803</v>
      </c>
      <c r="R8" s="12">
        <v>41</v>
      </c>
      <c r="S8" s="12">
        <v>27</v>
      </c>
      <c r="T8" s="28">
        <f t="shared" si="1"/>
        <v>36.955555555555556</v>
      </c>
      <c r="U8" s="2">
        <v>30500</v>
      </c>
      <c r="V8" s="27">
        <v>92</v>
      </c>
      <c r="X8" s="27">
        <v>5000</v>
      </c>
      <c r="Y8" s="27">
        <f t="shared" si="7"/>
        <v>5000</v>
      </c>
      <c r="Z8" s="27">
        <v>1905</v>
      </c>
      <c r="AA8" s="4" t="s">
        <v>475</v>
      </c>
      <c r="AB8" s="27" t="s">
        <v>469</v>
      </c>
      <c r="AC8" s="27" t="str">
        <f t="shared" si="9"/>
        <v>https://babel.hathitrust.org/cgi/pt?id=mdp.39015049037735;view=1up;seq=146</v>
      </c>
      <c r="AD8" s="4" t="s">
        <v>475</v>
      </c>
      <c r="AE8" s="27" t="str">
        <f t="shared" si="8"/>
        <v>https://babel.hathitrust.org/cgi/pt?id=mdp.39015049037735;view=1up;seq=146</v>
      </c>
      <c r="AF8" s="27" t="s">
        <v>2549</v>
      </c>
      <c r="AG8" s="4" t="s">
        <v>475</v>
      </c>
      <c r="AH8" s="27" t="s">
        <v>470</v>
      </c>
      <c r="AI8" s="27" t="str">
        <f t="shared" si="10"/>
        <v>https://babel.hathitrust.org/cgi/pt?id=mdp.39015049037735;view=1up;seq=146</v>
      </c>
    </row>
    <row r="9" spans="1:35" x14ac:dyDescent="0.25">
      <c r="A9" s="27" t="s">
        <v>593</v>
      </c>
      <c r="B9" s="27" t="str">
        <f t="shared" si="2"/>
        <v>Alabama</v>
      </c>
      <c r="C9" s="27" t="str">
        <f t="shared" si="3"/>
        <v>Calhoun/Benton</v>
      </c>
      <c r="D9" s="27">
        <v>1986</v>
      </c>
      <c r="E9" s="27">
        <v>351</v>
      </c>
      <c r="F9" s="27">
        <f t="shared" si="4"/>
        <v>2337</v>
      </c>
      <c r="G9" s="27">
        <v>66</v>
      </c>
      <c r="H9" s="27">
        <v>8</v>
      </c>
      <c r="I9" s="27">
        <f t="shared" si="5"/>
        <v>74</v>
      </c>
      <c r="J9" s="27">
        <v>108</v>
      </c>
      <c r="K9" s="27">
        <v>83</v>
      </c>
      <c r="L9" s="27">
        <v>20</v>
      </c>
      <c r="M9" s="27">
        <v>23</v>
      </c>
      <c r="N9" s="27">
        <v>23</v>
      </c>
      <c r="O9" s="28">
        <f t="shared" si="6"/>
        <v>0.30303030303030304</v>
      </c>
      <c r="P9" s="26">
        <f t="shared" si="0"/>
        <v>104.24518613607189</v>
      </c>
      <c r="Q9" s="2">
        <v>9025</v>
      </c>
      <c r="R9" s="12">
        <v>40.72</v>
      </c>
      <c r="S9" s="12">
        <v>27.5</v>
      </c>
      <c r="T9" s="28">
        <f t="shared" si="1"/>
        <v>39.290810810810811</v>
      </c>
      <c r="U9" s="2">
        <v>49407.68</v>
      </c>
      <c r="V9" s="27">
        <v>66</v>
      </c>
      <c r="X9" s="27">
        <v>23200</v>
      </c>
      <c r="Y9" s="27">
        <f t="shared" si="7"/>
        <v>23200</v>
      </c>
      <c r="Z9" s="27">
        <v>1905</v>
      </c>
      <c r="AA9" s="4" t="s">
        <v>475</v>
      </c>
      <c r="AB9" s="27" t="s">
        <v>469</v>
      </c>
      <c r="AC9" s="27" t="str">
        <f t="shared" si="9"/>
        <v>https://babel.hathitrust.org/cgi/pt?id=mdp.39015049037735;view=1up;seq=146</v>
      </c>
      <c r="AD9" s="4" t="s">
        <v>475</v>
      </c>
      <c r="AE9" s="27" t="str">
        <f t="shared" si="8"/>
        <v>https://babel.hathitrust.org/cgi/pt?id=mdp.39015049037735;view=1up;seq=146</v>
      </c>
      <c r="AF9" s="27" t="s">
        <v>2549</v>
      </c>
      <c r="AG9" s="4" t="s">
        <v>475</v>
      </c>
      <c r="AH9" s="27" t="s">
        <v>470</v>
      </c>
      <c r="AI9" s="27" t="str">
        <f t="shared" si="10"/>
        <v>https://babel.hathitrust.org/cgi/pt?id=mdp.39015049037735;view=1up;seq=146</v>
      </c>
    </row>
    <row r="10" spans="1:35" x14ac:dyDescent="0.25">
      <c r="A10" s="27" t="s">
        <v>594</v>
      </c>
      <c r="B10" s="27" t="str">
        <f t="shared" si="2"/>
        <v>Alabama</v>
      </c>
      <c r="C10" s="27" t="str">
        <f t="shared" si="3"/>
        <v>Chambers</v>
      </c>
      <c r="D10" s="27">
        <v>3257</v>
      </c>
      <c r="E10" s="27">
        <v>1416</v>
      </c>
      <c r="F10" s="27">
        <f t="shared" si="4"/>
        <v>4673</v>
      </c>
      <c r="G10" s="27">
        <v>72</v>
      </c>
      <c r="H10" s="27">
        <v>25</v>
      </c>
      <c r="I10" s="27">
        <f t="shared" si="5"/>
        <v>97</v>
      </c>
      <c r="J10" s="27">
        <v>120</v>
      </c>
      <c r="K10" s="27">
        <v>90</v>
      </c>
      <c r="L10" s="27">
        <v>69</v>
      </c>
      <c r="M10" s="27">
        <v>21</v>
      </c>
      <c r="N10" s="27">
        <v>7</v>
      </c>
      <c r="O10" s="28">
        <f t="shared" si="6"/>
        <v>0.71134020618556704</v>
      </c>
      <c r="P10" s="26">
        <f t="shared" si="0"/>
        <v>110.90947999144019</v>
      </c>
      <c r="Q10" s="2">
        <v>11584</v>
      </c>
      <c r="R10" s="12">
        <v>42</v>
      </c>
      <c r="S10" s="12">
        <v>25</v>
      </c>
      <c r="T10" s="28">
        <f t="shared" si="1"/>
        <v>37.618556701030926</v>
      </c>
      <c r="U10" s="2">
        <v>34563.089999999997</v>
      </c>
      <c r="V10" s="27">
        <v>80</v>
      </c>
      <c r="W10" s="27">
        <v>17000</v>
      </c>
      <c r="X10" s="27">
        <v>55000</v>
      </c>
      <c r="Y10" s="27">
        <f t="shared" si="7"/>
        <v>38000</v>
      </c>
      <c r="Z10" s="27">
        <v>1905</v>
      </c>
      <c r="AA10" s="4" t="s">
        <v>475</v>
      </c>
      <c r="AB10" s="27" t="s">
        <v>469</v>
      </c>
      <c r="AC10" s="27" t="str">
        <f t="shared" si="9"/>
        <v>https://babel.hathitrust.org/cgi/pt?id=mdp.39015049037735;view=1up;seq=146</v>
      </c>
      <c r="AD10" s="4" t="s">
        <v>475</v>
      </c>
      <c r="AE10" s="27" t="str">
        <f t="shared" si="8"/>
        <v>https://babel.hathitrust.org/cgi/pt?id=mdp.39015049037735;view=1up;seq=146</v>
      </c>
      <c r="AF10" s="27" t="s">
        <v>2549</v>
      </c>
      <c r="AG10" s="4" t="s">
        <v>475</v>
      </c>
      <c r="AH10" s="27" t="s">
        <v>470</v>
      </c>
      <c r="AI10" s="27" t="str">
        <f t="shared" si="10"/>
        <v>https://babel.hathitrust.org/cgi/pt?id=mdp.39015049037735;view=1up;seq=146</v>
      </c>
    </row>
    <row r="11" spans="1:35" x14ac:dyDescent="0.25">
      <c r="A11" s="27" t="s">
        <v>595</v>
      </c>
      <c r="B11" s="27" t="str">
        <f t="shared" si="2"/>
        <v>Alabama</v>
      </c>
      <c r="C11" s="27" t="str">
        <f t="shared" si="3"/>
        <v>Cherokee</v>
      </c>
      <c r="D11" s="27">
        <v>1631</v>
      </c>
      <c r="E11" s="27">
        <v>100</v>
      </c>
      <c r="F11" s="27">
        <f t="shared" si="4"/>
        <v>1731</v>
      </c>
      <c r="G11" s="27">
        <v>58</v>
      </c>
      <c r="H11" s="27">
        <v>2</v>
      </c>
      <c r="I11" s="27">
        <f t="shared" si="5"/>
        <v>60</v>
      </c>
      <c r="J11" s="27">
        <v>100</v>
      </c>
      <c r="K11" s="27">
        <v>90</v>
      </c>
      <c r="M11" s="27">
        <v>58</v>
      </c>
      <c r="O11" s="28">
        <f t="shared" si="6"/>
        <v>0</v>
      </c>
      <c r="P11" s="26">
        <f t="shared" si="0"/>
        <v>99.42229924898902</v>
      </c>
      <c r="Q11" s="2">
        <v>6586</v>
      </c>
      <c r="R11" s="12">
        <v>40</v>
      </c>
      <c r="S11" s="12">
        <v>20</v>
      </c>
      <c r="T11" s="28">
        <f t="shared" si="1"/>
        <v>39.333333333333336</v>
      </c>
      <c r="U11" s="2">
        <v>14228.06</v>
      </c>
      <c r="V11" s="27">
        <v>59</v>
      </c>
      <c r="X11" s="27">
        <v>24000</v>
      </c>
      <c r="Y11" s="27">
        <f t="shared" si="7"/>
        <v>24000</v>
      </c>
      <c r="Z11" s="27">
        <v>1905</v>
      </c>
      <c r="AA11" s="4" t="s">
        <v>475</v>
      </c>
      <c r="AB11" s="27" t="s">
        <v>469</v>
      </c>
      <c r="AC11" s="27" t="str">
        <f t="shared" si="9"/>
        <v>https://babel.hathitrust.org/cgi/pt?id=mdp.39015049037735;view=1up;seq=146</v>
      </c>
      <c r="AD11" s="4" t="s">
        <v>475</v>
      </c>
      <c r="AE11" s="27" t="str">
        <f t="shared" si="8"/>
        <v>https://babel.hathitrust.org/cgi/pt?id=mdp.39015049037735;view=1up;seq=146</v>
      </c>
      <c r="AF11" s="27" t="s">
        <v>2549</v>
      </c>
      <c r="AG11" s="4" t="s">
        <v>475</v>
      </c>
      <c r="AH11" s="27" t="s">
        <v>470</v>
      </c>
      <c r="AI11" s="27" t="str">
        <f t="shared" si="10"/>
        <v>https://babel.hathitrust.org/cgi/pt?id=mdp.39015049037735;view=1up;seq=146</v>
      </c>
    </row>
    <row r="12" spans="1:35" x14ac:dyDescent="0.25">
      <c r="A12" s="27" t="s">
        <v>596</v>
      </c>
      <c r="B12" s="27" t="str">
        <f t="shared" si="2"/>
        <v>Alabama</v>
      </c>
      <c r="C12" s="27" t="str">
        <f t="shared" si="3"/>
        <v>Chilton/Baker</v>
      </c>
      <c r="D12" s="27">
        <v>2023</v>
      </c>
      <c r="E12" s="27">
        <v>345</v>
      </c>
      <c r="F12" s="27">
        <f t="shared" si="4"/>
        <v>2368</v>
      </c>
      <c r="G12" s="27">
        <v>66</v>
      </c>
      <c r="H12" s="27">
        <v>10</v>
      </c>
      <c r="I12" s="27">
        <f t="shared" si="5"/>
        <v>76</v>
      </c>
      <c r="J12" s="27">
        <v>94</v>
      </c>
      <c r="K12" s="27">
        <v>87</v>
      </c>
      <c r="L12" s="27">
        <v>4</v>
      </c>
      <c r="M12" s="27">
        <v>38</v>
      </c>
      <c r="N12" s="27">
        <v>28</v>
      </c>
      <c r="O12" s="28">
        <f t="shared" si="6"/>
        <v>5.7142857142857141E-2</v>
      </c>
      <c r="P12" s="26">
        <f t="shared" si="0"/>
        <v>92.980152027027032</v>
      </c>
      <c r="Q12" s="2">
        <v>6513</v>
      </c>
      <c r="R12" s="12">
        <v>32.340000000000003</v>
      </c>
      <c r="S12" s="12">
        <v>18.68</v>
      </c>
      <c r="T12" s="28">
        <f t="shared" si="1"/>
        <v>30.542631578947372</v>
      </c>
      <c r="U12" s="2">
        <v>22043.05</v>
      </c>
      <c r="V12" s="27">
        <v>70</v>
      </c>
      <c r="W12" s="27">
        <v>5000</v>
      </c>
      <c r="X12" s="27">
        <v>48935</v>
      </c>
      <c r="Y12" s="27">
        <f t="shared" si="7"/>
        <v>43935</v>
      </c>
      <c r="Z12" s="27">
        <v>1905</v>
      </c>
      <c r="AA12" s="4" t="s">
        <v>475</v>
      </c>
      <c r="AB12" s="27" t="s">
        <v>469</v>
      </c>
      <c r="AC12" s="27" t="str">
        <f t="shared" si="9"/>
        <v>https://babel.hathitrust.org/cgi/pt?id=mdp.39015049037735;view=1up;seq=146</v>
      </c>
      <c r="AD12" s="4" t="s">
        <v>475</v>
      </c>
      <c r="AE12" s="27" t="str">
        <f t="shared" si="8"/>
        <v>https://babel.hathitrust.org/cgi/pt?id=mdp.39015049037735;view=1up;seq=146</v>
      </c>
      <c r="AF12" s="27" t="s">
        <v>2549</v>
      </c>
      <c r="AG12" s="4" t="s">
        <v>475</v>
      </c>
      <c r="AH12" s="27" t="s">
        <v>470</v>
      </c>
      <c r="AI12" s="27" t="str">
        <f t="shared" si="10"/>
        <v>https://babel.hathitrust.org/cgi/pt?id=mdp.39015049037735;view=1up;seq=146</v>
      </c>
    </row>
    <row r="13" spans="1:35" x14ac:dyDescent="0.25">
      <c r="A13" s="27" t="s">
        <v>597</v>
      </c>
      <c r="B13" s="27" t="str">
        <f t="shared" si="2"/>
        <v>Alabama</v>
      </c>
      <c r="C13" s="27" t="str">
        <f t="shared" si="3"/>
        <v>Choctaw</v>
      </c>
      <c r="D13" s="27">
        <v>1232</v>
      </c>
      <c r="E13" s="27">
        <v>965</v>
      </c>
      <c r="F13" s="27">
        <f t="shared" si="4"/>
        <v>2197</v>
      </c>
      <c r="G13" s="27">
        <v>33</v>
      </c>
      <c r="H13" s="27">
        <v>20</v>
      </c>
      <c r="I13" s="27">
        <f t="shared" si="5"/>
        <v>53</v>
      </c>
      <c r="J13" s="27">
        <v>95</v>
      </c>
      <c r="K13" s="27">
        <v>85</v>
      </c>
      <c r="L13" s="27">
        <v>13</v>
      </c>
      <c r="M13" s="27">
        <v>13</v>
      </c>
      <c r="N13" s="27">
        <v>33</v>
      </c>
      <c r="O13" s="28">
        <f t="shared" si="6"/>
        <v>0.22033898305084745</v>
      </c>
      <c r="P13" s="26">
        <f t="shared" si="0"/>
        <v>90.60764679107875</v>
      </c>
      <c r="Q13" s="2">
        <v>6383</v>
      </c>
      <c r="R13" s="12">
        <v>37.5</v>
      </c>
      <c r="S13" s="12">
        <v>18.75</v>
      </c>
      <c r="T13" s="28">
        <f t="shared" si="1"/>
        <v>30.424528301886792</v>
      </c>
      <c r="U13" s="2">
        <v>17128.68</v>
      </c>
      <c r="V13" s="27">
        <v>62</v>
      </c>
      <c r="Y13" s="27"/>
      <c r="Z13" s="27">
        <v>1905</v>
      </c>
      <c r="AA13" s="4" t="s">
        <v>475</v>
      </c>
      <c r="AB13" s="27" t="s">
        <v>469</v>
      </c>
      <c r="AC13" s="27" t="str">
        <f t="shared" si="9"/>
        <v>https://babel.hathitrust.org/cgi/pt?id=mdp.39015049037735;view=1up;seq=146</v>
      </c>
      <c r="AD13" s="4" t="s">
        <v>475</v>
      </c>
      <c r="AE13" s="27" t="str">
        <f t="shared" si="8"/>
        <v>https://babel.hathitrust.org/cgi/pt?id=mdp.39015049037735;view=1up;seq=146</v>
      </c>
      <c r="AF13" s="27" t="s">
        <v>2549</v>
      </c>
      <c r="AG13" s="4" t="s">
        <v>475</v>
      </c>
      <c r="AH13" s="27" t="s">
        <v>470</v>
      </c>
      <c r="AI13" s="27" t="str">
        <f t="shared" si="10"/>
        <v>https://babel.hathitrust.org/cgi/pt?id=mdp.39015049037735;view=1up;seq=146</v>
      </c>
    </row>
    <row r="14" spans="1:35" x14ac:dyDescent="0.25">
      <c r="A14" s="27" t="s">
        <v>598</v>
      </c>
      <c r="B14" s="27" t="str">
        <f t="shared" si="2"/>
        <v>Alabama</v>
      </c>
      <c r="C14" s="27" t="str">
        <f t="shared" si="3"/>
        <v>Clarke</v>
      </c>
      <c r="D14" s="27">
        <v>1872</v>
      </c>
      <c r="E14" s="27">
        <v>918</v>
      </c>
      <c r="F14" s="27">
        <f t="shared" si="4"/>
        <v>2790</v>
      </c>
      <c r="G14" s="27">
        <v>61</v>
      </c>
      <c r="H14" s="27">
        <v>19</v>
      </c>
      <c r="I14" s="27">
        <f t="shared" si="5"/>
        <v>80</v>
      </c>
      <c r="J14" s="27">
        <v>110</v>
      </c>
      <c r="K14" s="27">
        <v>100</v>
      </c>
      <c r="L14" s="27">
        <v>26</v>
      </c>
      <c r="M14" s="27">
        <v>40</v>
      </c>
      <c r="N14" s="27">
        <v>11</v>
      </c>
      <c r="O14" s="28">
        <f t="shared" si="6"/>
        <v>0.33766233766233766</v>
      </c>
      <c r="P14" s="26">
        <f t="shared" si="0"/>
        <v>106.70967741935483</v>
      </c>
      <c r="Q14" s="2">
        <v>9132</v>
      </c>
      <c r="R14" s="12">
        <v>35</v>
      </c>
      <c r="S14" s="12">
        <v>22</v>
      </c>
      <c r="T14" s="28">
        <f t="shared" si="1"/>
        <v>31.912500000000001</v>
      </c>
      <c r="U14" s="2">
        <v>25468.07</v>
      </c>
      <c r="V14" s="27">
        <v>99</v>
      </c>
      <c r="W14" s="27">
        <v>5000</v>
      </c>
      <c r="X14" s="27">
        <v>38000</v>
      </c>
      <c r="Y14" s="27">
        <f t="shared" si="7"/>
        <v>33000</v>
      </c>
      <c r="Z14" s="27">
        <v>1905</v>
      </c>
      <c r="AA14" s="4" t="s">
        <v>475</v>
      </c>
      <c r="AB14" s="27" t="s">
        <v>469</v>
      </c>
      <c r="AC14" s="27" t="str">
        <f t="shared" si="9"/>
        <v>https://babel.hathitrust.org/cgi/pt?id=mdp.39015049037735;view=1up;seq=146</v>
      </c>
      <c r="AD14" s="4" t="s">
        <v>475</v>
      </c>
      <c r="AE14" s="27" t="str">
        <f t="shared" si="8"/>
        <v>https://babel.hathitrust.org/cgi/pt?id=mdp.39015049037735;view=1up;seq=146</v>
      </c>
      <c r="AF14" s="27" t="s">
        <v>2549</v>
      </c>
      <c r="AG14" s="4" t="s">
        <v>475</v>
      </c>
      <c r="AH14" s="27" t="s">
        <v>470</v>
      </c>
      <c r="AI14" s="27" t="str">
        <f t="shared" si="10"/>
        <v>https://babel.hathitrust.org/cgi/pt?id=mdp.39015049037735;view=1up;seq=146</v>
      </c>
    </row>
    <row r="15" spans="1:35" x14ac:dyDescent="0.25">
      <c r="A15" s="27" t="s">
        <v>599</v>
      </c>
      <c r="B15" s="27" t="str">
        <f t="shared" si="2"/>
        <v>Alabama</v>
      </c>
      <c r="C15" s="27" t="str">
        <f t="shared" si="3"/>
        <v>Clay</v>
      </c>
      <c r="D15" s="27">
        <v>1830</v>
      </c>
      <c r="E15" s="27">
        <v>68</v>
      </c>
      <c r="F15" s="27">
        <f t="shared" si="4"/>
        <v>1898</v>
      </c>
      <c r="G15" s="27">
        <v>68</v>
      </c>
      <c r="H15" s="27">
        <v>4</v>
      </c>
      <c r="I15" s="27">
        <f t="shared" si="5"/>
        <v>72</v>
      </c>
      <c r="J15" s="27">
        <v>126</v>
      </c>
      <c r="K15" s="27">
        <v>98</v>
      </c>
      <c r="M15" s="27">
        <v>59</v>
      </c>
      <c r="N15" s="27">
        <v>6</v>
      </c>
      <c r="O15" s="28">
        <f t="shared" si="6"/>
        <v>0</v>
      </c>
      <c r="P15" s="26">
        <f t="shared" si="0"/>
        <v>124.9968387776607</v>
      </c>
      <c r="Q15" s="2">
        <v>6446</v>
      </c>
      <c r="R15" s="12">
        <v>26</v>
      </c>
      <c r="S15" s="12">
        <v>20</v>
      </c>
      <c r="T15" s="28">
        <f t="shared" si="1"/>
        <v>25.666666666666668</v>
      </c>
      <c r="U15" s="2">
        <v>16695.900000000001</v>
      </c>
      <c r="V15" s="27">
        <v>65</v>
      </c>
      <c r="W15" s="27">
        <v>5000</v>
      </c>
      <c r="X15" s="27">
        <v>38000</v>
      </c>
      <c r="Y15" s="27">
        <f t="shared" si="7"/>
        <v>33000</v>
      </c>
      <c r="Z15" s="27">
        <v>1905</v>
      </c>
      <c r="AA15" s="4" t="s">
        <v>2546</v>
      </c>
      <c r="AB15" s="27" t="s">
        <v>469</v>
      </c>
      <c r="AC15" s="27" t="str">
        <f t="shared" si="9"/>
        <v>https://babel.hathitrust.org/cgi/pt?id=mdp.39015049037735;view=1up;seq=146</v>
      </c>
      <c r="AD15" s="4" t="s">
        <v>2546</v>
      </c>
      <c r="AE15" s="27" t="str">
        <f t="shared" si="8"/>
        <v>https://babel.hathitrust.org/cgi/pt?id=mdp.39015049037735;view=1up;seq=146</v>
      </c>
      <c r="AF15" s="4" t="s">
        <v>2550</v>
      </c>
      <c r="AG15" s="4" t="s">
        <v>2546</v>
      </c>
      <c r="AH15" s="27" t="s">
        <v>471</v>
      </c>
      <c r="AI15" s="27" t="str">
        <f t="shared" si="10"/>
        <v>https://babel.hathitrust.org/cgi/pt?id=mdp.39015049037735;view=1up;seq=146</v>
      </c>
    </row>
    <row r="16" spans="1:35" x14ac:dyDescent="0.25">
      <c r="A16" s="27" t="s">
        <v>600</v>
      </c>
      <c r="B16" s="27" t="str">
        <f t="shared" si="2"/>
        <v>Alabama</v>
      </c>
      <c r="C16" s="27" t="str">
        <f t="shared" si="3"/>
        <v>Cleburne</v>
      </c>
      <c r="D16" s="27">
        <v>1693</v>
      </c>
      <c r="E16" s="27">
        <v>72</v>
      </c>
      <c r="F16" s="27">
        <f t="shared" si="4"/>
        <v>1765</v>
      </c>
      <c r="G16" s="27">
        <v>54</v>
      </c>
      <c r="H16" s="27">
        <v>3</v>
      </c>
      <c r="I16" s="27">
        <f t="shared" si="5"/>
        <v>57</v>
      </c>
      <c r="J16" s="27">
        <v>105</v>
      </c>
      <c r="K16" s="27">
        <v>105</v>
      </c>
      <c r="L16" s="27">
        <v>8</v>
      </c>
      <c r="M16" s="27">
        <v>33</v>
      </c>
      <c r="N16" s="27">
        <v>3</v>
      </c>
      <c r="O16" s="28">
        <f t="shared" si="6"/>
        <v>0.18181818181818182</v>
      </c>
      <c r="P16" s="26">
        <f t="shared" si="0"/>
        <v>105</v>
      </c>
      <c r="Q16" s="2">
        <v>4757</v>
      </c>
      <c r="R16" s="12">
        <v>40</v>
      </c>
      <c r="S16" s="12">
        <v>30</v>
      </c>
      <c r="T16" s="28">
        <f t="shared" si="1"/>
        <v>39.473684210526315</v>
      </c>
      <c r="U16" s="2">
        <v>11088.09</v>
      </c>
      <c r="V16" s="27">
        <v>46</v>
      </c>
      <c r="X16" s="27">
        <v>22200</v>
      </c>
      <c r="Y16" s="27">
        <f t="shared" si="7"/>
        <v>22200</v>
      </c>
      <c r="Z16" s="27">
        <v>1905</v>
      </c>
      <c r="AA16" s="4" t="s">
        <v>2546</v>
      </c>
      <c r="AB16" s="27" t="s">
        <v>472</v>
      </c>
      <c r="AC16" s="27" t="str">
        <f t="shared" si="9"/>
        <v>https://babel.hathitrust.org/cgi/pt?id=mdp.39015049037735;view=1up;seq=146</v>
      </c>
      <c r="AD16" s="4" t="s">
        <v>2546</v>
      </c>
      <c r="AE16" s="27" t="str">
        <f t="shared" si="8"/>
        <v>https://babel.hathitrust.org/cgi/pt?id=mdp.39015049037735;view=1up;seq=146</v>
      </c>
      <c r="AF16" s="27" t="s">
        <v>2550</v>
      </c>
      <c r="AG16" s="4" t="s">
        <v>2546</v>
      </c>
      <c r="AH16" s="27" t="s">
        <v>471</v>
      </c>
      <c r="AI16" s="27" t="str">
        <f t="shared" si="10"/>
        <v>https://babel.hathitrust.org/cgi/pt?id=mdp.39015049037735;view=1up;seq=146</v>
      </c>
    </row>
    <row r="17" spans="1:35" x14ac:dyDescent="0.25">
      <c r="A17" s="27" t="s">
        <v>601</v>
      </c>
      <c r="B17" s="27" t="str">
        <f t="shared" si="2"/>
        <v>Alabama</v>
      </c>
      <c r="C17" s="27" t="str">
        <f t="shared" si="3"/>
        <v>Coffee</v>
      </c>
      <c r="D17" s="27">
        <v>2376</v>
      </c>
      <c r="E17" s="27">
        <v>294</v>
      </c>
      <c r="F17" s="27">
        <f t="shared" si="4"/>
        <v>2670</v>
      </c>
      <c r="G17" s="27">
        <v>76</v>
      </c>
      <c r="H17" s="27">
        <v>14</v>
      </c>
      <c r="I17" s="27">
        <f t="shared" si="5"/>
        <v>90</v>
      </c>
      <c r="J17" s="27">
        <v>81</v>
      </c>
      <c r="K17" s="27">
        <v>65</v>
      </c>
      <c r="L17" s="27">
        <v>10</v>
      </c>
      <c r="M17" s="27">
        <v>20</v>
      </c>
      <c r="N17" s="27">
        <v>36</v>
      </c>
      <c r="O17" s="28">
        <f t="shared" si="6"/>
        <v>0.15151515151515152</v>
      </c>
      <c r="P17" s="26">
        <f t="shared" si="0"/>
        <v>79.238202247191012</v>
      </c>
      <c r="Q17" s="2">
        <v>9018</v>
      </c>
      <c r="R17" s="12">
        <v>44.72</v>
      </c>
      <c r="S17" s="12">
        <v>22</v>
      </c>
      <c r="T17" s="28">
        <f t="shared" si="1"/>
        <v>41.185777777777773</v>
      </c>
      <c r="U17" s="2">
        <v>25206</v>
      </c>
      <c r="V17" s="27">
        <v>80</v>
      </c>
      <c r="X17" s="27">
        <v>14800</v>
      </c>
      <c r="Y17" s="27">
        <f t="shared" si="7"/>
        <v>14800</v>
      </c>
      <c r="Z17" s="27">
        <v>1905</v>
      </c>
      <c r="AA17" s="4" t="s">
        <v>2546</v>
      </c>
      <c r="AB17" s="27" t="s">
        <v>472</v>
      </c>
      <c r="AC17" s="27" t="str">
        <f t="shared" si="9"/>
        <v>https://babel.hathitrust.org/cgi/pt?id=mdp.39015049037735;view=1up;seq=146</v>
      </c>
      <c r="AD17" s="4" t="s">
        <v>2546</v>
      </c>
      <c r="AE17" s="27" t="str">
        <f t="shared" si="8"/>
        <v>https://babel.hathitrust.org/cgi/pt?id=mdp.39015049037735;view=1up;seq=146</v>
      </c>
      <c r="AF17" s="27" t="s">
        <v>2550</v>
      </c>
      <c r="AG17" s="4" t="s">
        <v>2546</v>
      </c>
      <c r="AH17" s="27" t="s">
        <v>471</v>
      </c>
      <c r="AI17" s="27" t="str">
        <f t="shared" si="10"/>
        <v>https://babel.hathitrust.org/cgi/pt?id=mdp.39015049037735;view=1up;seq=146</v>
      </c>
    </row>
    <row r="18" spans="1:35" x14ac:dyDescent="0.25">
      <c r="A18" s="27" t="s">
        <v>602</v>
      </c>
      <c r="B18" s="27" t="str">
        <f t="shared" si="2"/>
        <v>Alabama</v>
      </c>
      <c r="C18" s="27" t="str">
        <f t="shared" si="3"/>
        <v>Colbert</v>
      </c>
      <c r="D18" s="27">
        <v>692</v>
      </c>
      <c r="E18" s="27">
        <v>476</v>
      </c>
      <c r="F18" s="27">
        <f t="shared" si="4"/>
        <v>1168</v>
      </c>
      <c r="G18" s="27">
        <v>34</v>
      </c>
      <c r="H18" s="27">
        <v>17</v>
      </c>
      <c r="I18" s="27">
        <f t="shared" si="5"/>
        <v>51</v>
      </c>
      <c r="J18" s="27">
        <v>96</v>
      </c>
      <c r="K18" s="27">
        <v>96</v>
      </c>
      <c r="L18" s="27">
        <v>3</v>
      </c>
      <c r="M18" s="27">
        <v>8</v>
      </c>
      <c r="N18" s="27">
        <v>26</v>
      </c>
      <c r="O18" s="28">
        <f t="shared" si="6"/>
        <v>8.1081081081081086E-2</v>
      </c>
      <c r="P18" s="26">
        <f t="shared" si="0"/>
        <v>96</v>
      </c>
      <c r="Q18" s="2">
        <v>4958</v>
      </c>
      <c r="R18" s="12">
        <v>28.98</v>
      </c>
      <c r="S18" s="12">
        <v>22.65</v>
      </c>
      <c r="T18" s="28">
        <f t="shared" si="1"/>
        <v>26.869999999999997</v>
      </c>
      <c r="U18" s="2">
        <v>32899.07</v>
      </c>
      <c r="V18" s="27">
        <v>51</v>
      </c>
      <c r="X18" s="27">
        <v>34000</v>
      </c>
      <c r="Y18" s="27">
        <f t="shared" si="7"/>
        <v>34000</v>
      </c>
      <c r="Z18" s="27">
        <v>1905</v>
      </c>
      <c r="AA18" s="4" t="s">
        <v>2546</v>
      </c>
      <c r="AB18" s="27" t="s">
        <v>472</v>
      </c>
      <c r="AC18" s="27" t="str">
        <f t="shared" si="9"/>
        <v>https://babel.hathitrust.org/cgi/pt?id=mdp.39015049037735;view=1up;seq=146</v>
      </c>
      <c r="AD18" s="4" t="s">
        <v>2546</v>
      </c>
      <c r="AE18" s="27" t="str">
        <f t="shared" si="8"/>
        <v>https://babel.hathitrust.org/cgi/pt?id=mdp.39015049037735;view=1up;seq=146</v>
      </c>
      <c r="AF18" s="27" t="s">
        <v>2550</v>
      </c>
      <c r="AG18" s="4" t="s">
        <v>2546</v>
      </c>
      <c r="AH18" s="27" t="s">
        <v>471</v>
      </c>
      <c r="AI18" s="27" t="str">
        <f t="shared" si="10"/>
        <v>https://babel.hathitrust.org/cgi/pt?id=mdp.39015049037735;view=1up;seq=146</v>
      </c>
    </row>
    <row r="19" spans="1:35" x14ac:dyDescent="0.25">
      <c r="A19" s="27" t="s">
        <v>603</v>
      </c>
      <c r="B19" s="27" t="str">
        <f t="shared" si="2"/>
        <v>Alabama</v>
      </c>
      <c r="C19" s="27" t="str">
        <f t="shared" si="3"/>
        <v>Conecuh</v>
      </c>
      <c r="D19" s="27">
        <v>1566</v>
      </c>
      <c r="E19" s="27">
        <v>800</v>
      </c>
      <c r="F19" s="27">
        <f t="shared" si="4"/>
        <v>2366</v>
      </c>
      <c r="G19" s="27">
        <v>58</v>
      </c>
      <c r="H19" s="27">
        <v>20</v>
      </c>
      <c r="I19" s="27">
        <f t="shared" si="5"/>
        <v>78</v>
      </c>
      <c r="J19" s="27">
        <v>85</v>
      </c>
      <c r="K19" s="27">
        <v>80</v>
      </c>
      <c r="L19" s="27">
        <v>3</v>
      </c>
      <c r="M19" s="27">
        <v>6</v>
      </c>
      <c r="N19" s="27">
        <v>69</v>
      </c>
      <c r="O19" s="28">
        <f t="shared" si="6"/>
        <v>3.8461538461538464E-2</v>
      </c>
      <c r="P19" s="26">
        <f t="shared" si="0"/>
        <v>83.309382924767547</v>
      </c>
      <c r="Q19" s="2">
        <v>6670</v>
      </c>
      <c r="R19" s="12">
        <v>32.619999999999997</v>
      </c>
      <c r="S19" s="12">
        <v>23.01</v>
      </c>
      <c r="T19" s="28">
        <f t="shared" si="1"/>
        <v>30.155897435897433</v>
      </c>
      <c r="U19" s="2">
        <v>14460.73</v>
      </c>
      <c r="V19" s="27">
        <v>78</v>
      </c>
      <c r="X19" s="27">
        <v>77500</v>
      </c>
      <c r="Y19" s="27">
        <f t="shared" si="7"/>
        <v>77500</v>
      </c>
      <c r="Z19" s="27">
        <v>1905</v>
      </c>
      <c r="AA19" s="4" t="s">
        <v>2546</v>
      </c>
      <c r="AB19" s="27" t="s">
        <v>472</v>
      </c>
      <c r="AC19" s="27" t="str">
        <f t="shared" si="9"/>
        <v>https://babel.hathitrust.org/cgi/pt?id=mdp.39015049037735;view=1up;seq=146</v>
      </c>
      <c r="AD19" s="4" t="s">
        <v>2546</v>
      </c>
      <c r="AE19" s="27" t="str">
        <f t="shared" si="8"/>
        <v>https://babel.hathitrust.org/cgi/pt?id=mdp.39015049037735;view=1up;seq=146</v>
      </c>
      <c r="AF19" s="27" t="s">
        <v>2550</v>
      </c>
      <c r="AG19" s="4" t="s">
        <v>2546</v>
      </c>
      <c r="AH19" s="27" t="s">
        <v>471</v>
      </c>
      <c r="AI19" s="27" t="str">
        <f t="shared" si="10"/>
        <v>https://babel.hathitrust.org/cgi/pt?id=mdp.39015049037735;view=1up;seq=146</v>
      </c>
    </row>
    <row r="20" spans="1:35" x14ac:dyDescent="0.25">
      <c r="A20" s="27" t="s">
        <v>604</v>
      </c>
      <c r="B20" s="27" t="str">
        <f t="shared" si="2"/>
        <v>Alabama</v>
      </c>
      <c r="C20" s="27" t="str">
        <f t="shared" si="3"/>
        <v>Coosa</v>
      </c>
      <c r="D20" s="27">
        <v>1585</v>
      </c>
      <c r="E20" s="27">
        <v>525</v>
      </c>
      <c r="F20" s="27">
        <f t="shared" si="4"/>
        <v>2110</v>
      </c>
      <c r="G20" s="27">
        <v>53</v>
      </c>
      <c r="H20" s="27">
        <v>14</v>
      </c>
      <c r="I20" s="27">
        <f t="shared" si="5"/>
        <v>67</v>
      </c>
      <c r="J20" s="27">
        <v>104</v>
      </c>
      <c r="K20" s="27">
        <v>86</v>
      </c>
      <c r="L20" s="27">
        <v>15</v>
      </c>
      <c r="M20" s="27">
        <v>20</v>
      </c>
      <c r="N20" s="27">
        <v>10</v>
      </c>
      <c r="O20" s="28">
        <f t="shared" si="6"/>
        <v>0.33333333333333331</v>
      </c>
      <c r="P20" s="26">
        <f t="shared" si="0"/>
        <v>99.521327014218016</v>
      </c>
      <c r="Q20" s="2">
        <v>6000</v>
      </c>
      <c r="R20" s="12">
        <v>31.85</v>
      </c>
      <c r="S20" s="12">
        <v>16.329999999999998</v>
      </c>
      <c r="T20" s="28">
        <f t="shared" si="1"/>
        <v>28.607014925373136</v>
      </c>
      <c r="U20" s="2">
        <v>15557.01</v>
      </c>
      <c r="V20" s="27">
        <v>57</v>
      </c>
      <c r="W20" s="27">
        <v>15000</v>
      </c>
      <c r="X20" s="27">
        <v>26000</v>
      </c>
      <c r="Y20" s="27">
        <f t="shared" si="7"/>
        <v>11000</v>
      </c>
      <c r="Z20" s="27">
        <v>1905</v>
      </c>
      <c r="AA20" s="4" t="s">
        <v>2546</v>
      </c>
      <c r="AB20" s="27" t="s">
        <v>472</v>
      </c>
      <c r="AC20" s="27" t="str">
        <f t="shared" si="9"/>
        <v>https://babel.hathitrust.org/cgi/pt?id=mdp.39015049037735;view=1up;seq=146</v>
      </c>
      <c r="AD20" s="4" t="s">
        <v>2546</v>
      </c>
      <c r="AE20" s="27" t="str">
        <f t="shared" si="8"/>
        <v>https://babel.hathitrust.org/cgi/pt?id=mdp.39015049037735;view=1up;seq=146</v>
      </c>
      <c r="AF20" s="27" t="s">
        <v>2550</v>
      </c>
      <c r="AG20" s="4" t="s">
        <v>2546</v>
      </c>
      <c r="AH20" s="27" t="s">
        <v>471</v>
      </c>
      <c r="AI20" s="27" t="str">
        <f t="shared" si="10"/>
        <v>https://babel.hathitrust.org/cgi/pt?id=mdp.39015049037735;view=1up;seq=146</v>
      </c>
    </row>
    <row r="21" spans="1:35" x14ac:dyDescent="0.25">
      <c r="A21" s="27" t="s">
        <v>605</v>
      </c>
      <c r="B21" s="27" t="str">
        <f t="shared" si="2"/>
        <v>Alabama</v>
      </c>
      <c r="C21" s="27" t="str">
        <f t="shared" si="3"/>
        <v>Covington</v>
      </c>
      <c r="D21" s="27">
        <v>1968</v>
      </c>
      <c r="E21" s="27">
        <v>74</v>
      </c>
      <c r="F21" s="27">
        <f t="shared" si="4"/>
        <v>2042</v>
      </c>
      <c r="G21" s="27">
        <v>70</v>
      </c>
      <c r="H21" s="27">
        <v>3</v>
      </c>
      <c r="I21" s="27">
        <f t="shared" si="5"/>
        <v>73</v>
      </c>
      <c r="J21" s="27">
        <v>89</v>
      </c>
      <c r="K21" s="27">
        <v>87</v>
      </c>
      <c r="L21" s="27">
        <v>5</v>
      </c>
      <c r="M21" s="27">
        <v>30</v>
      </c>
      <c r="N21" s="27">
        <v>26</v>
      </c>
      <c r="O21" s="28">
        <f t="shared" si="6"/>
        <v>8.1967213114754092E-2</v>
      </c>
      <c r="P21" s="26">
        <f t="shared" si="0"/>
        <v>88.927522037218409</v>
      </c>
      <c r="Q21" s="2">
        <v>7483</v>
      </c>
      <c r="R21" s="12">
        <v>37.5</v>
      </c>
      <c r="S21" s="12">
        <v>15.75</v>
      </c>
      <c r="T21" s="28">
        <f t="shared" si="1"/>
        <v>36.606164383561641</v>
      </c>
      <c r="U21" s="2">
        <v>18798.55</v>
      </c>
      <c r="V21" s="27">
        <v>61</v>
      </c>
      <c r="X21" s="27">
        <v>13200</v>
      </c>
      <c r="Y21" s="27">
        <f t="shared" si="7"/>
        <v>13200</v>
      </c>
      <c r="Z21" s="27">
        <v>1905</v>
      </c>
      <c r="AA21" s="4" t="s">
        <v>2546</v>
      </c>
      <c r="AB21" s="27" t="s">
        <v>472</v>
      </c>
      <c r="AC21" s="27" t="str">
        <f t="shared" si="9"/>
        <v>https://babel.hathitrust.org/cgi/pt?id=mdp.39015049037735;view=1up;seq=146</v>
      </c>
      <c r="AD21" s="4" t="s">
        <v>2546</v>
      </c>
      <c r="AE21" s="27" t="str">
        <f t="shared" si="8"/>
        <v>https://babel.hathitrust.org/cgi/pt?id=mdp.39015049037735;view=1up;seq=146</v>
      </c>
      <c r="AF21" s="27" t="s">
        <v>2550</v>
      </c>
      <c r="AG21" s="4" t="s">
        <v>2546</v>
      </c>
      <c r="AH21" s="27" t="s">
        <v>471</v>
      </c>
      <c r="AI21" s="27" t="str">
        <f t="shared" si="10"/>
        <v>https://babel.hathitrust.org/cgi/pt?id=mdp.39015049037735;view=1up;seq=146</v>
      </c>
    </row>
    <row r="22" spans="1:35" x14ac:dyDescent="0.25">
      <c r="A22" s="27" t="s">
        <v>606</v>
      </c>
      <c r="B22" s="27" t="str">
        <f t="shared" si="2"/>
        <v>Alabama</v>
      </c>
      <c r="C22" s="27" t="str">
        <f t="shared" si="3"/>
        <v>Crenshaw</v>
      </c>
      <c r="D22" s="27">
        <v>2265</v>
      </c>
      <c r="E22" s="27">
        <v>378</v>
      </c>
      <c r="F22" s="27">
        <f t="shared" si="4"/>
        <v>2643</v>
      </c>
      <c r="G22" s="27">
        <v>80</v>
      </c>
      <c r="H22" s="27">
        <v>16</v>
      </c>
      <c r="I22" s="27">
        <f t="shared" si="5"/>
        <v>96</v>
      </c>
      <c r="J22" s="27">
        <v>100</v>
      </c>
      <c r="K22" s="27">
        <v>81</v>
      </c>
      <c r="L22" s="27">
        <v>7</v>
      </c>
      <c r="M22" s="27">
        <v>30</v>
      </c>
      <c r="N22" s="27">
        <v>35</v>
      </c>
      <c r="O22" s="28">
        <f t="shared" si="6"/>
        <v>9.7222222222222224E-2</v>
      </c>
      <c r="P22" s="26">
        <f t="shared" si="0"/>
        <v>97.282633371169126</v>
      </c>
      <c r="Q22" s="2">
        <v>7349</v>
      </c>
      <c r="R22" s="12">
        <v>32</v>
      </c>
      <c r="S22" s="12">
        <v>14.25</v>
      </c>
      <c r="T22" s="28">
        <f t="shared" si="1"/>
        <v>29.041666666666668</v>
      </c>
      <c r="U22" s="2">
        <v>27074.09</v>
      </c>
      <c r="V22" s="27">
        <v>72</v>
      </c>
      <c r="X22" s="27">
        <v>29000</v>
      </c>
      <c r="Y22" s="27">
        <f t="shared" si="7"/>
        <v>29000</v>
      </c>
      <c r="Z22" s="27">
        <v>1905</v>
      </c>
      <c r="AA22" s="4" t="s">
        <v>2546</v>
      </c>
      <c r="AB22" s="27" t="s">
        <v>472</v>
      </c>
      <c r="AC22" s="27" t="str">
        <f t="shared" si="9"/>
        <v>https://babel.hathitrust.org/cgi/pt?id=mdp.39015049037735;view=1up;seq=146</v>
      </c>
      <c r="AD22" s="4" t="s">
        <v>2546</v>
      </c>
      <c r="AE22" s="27" t="str">
        <f t="shared" si="8"/>
        <v>https://babel.hathitrust.org/cgi/pt?id=mdp.39015049037735;view=1up;seq=146</v>
      </c>
      <c r="AF22" s="27" t="s">
        <v>2550</v>
      </c>
      <c r="AG22" s="4" t="s">
        <v>2546</v>
      </c>
      <c r="AH22" s="27" t="s">
        <v>471</v>
      </c>
      <c r="AI22" s="27" t="str">
        <f t="shared" si="10"/>
        <v>https://babel.hathitrust.org/cgi/pt?id=mdp.39015049037735;view=1up;seq=146</v>
      </c>
    </row>
    <row r="23" spans="1:35" x14ac:dyDescent="0.25">
      <c r="A23" s="27" t="s">
        <v>607</v>
      </c>
      <c r="B23" s="27" t="str">
        <f t="shared" si="2"/>
        <v>Alabama</v>
      </c>
      <c r="C23" s="27" t="str">
        <f t="shared" si="3"/>
        <v>Cullman</v>
      </c>
      <c r="D23" s="27">
        <v>2405</v>
      </c>
      <c r="E23" s="27">
        <v>0</v>
      </c>
      <c r="F23" s="27">
        <f t="shared" si="4"/>
        <v>2405</v>
      </c>
      <c r="G23" s="27">
        <v>70</v>
      </c>
      <c r="H23" s="27">
        <v>0</v>
      </c>
      <c r="I23" s="27">
        <f t="shared" si="5"/>
        <v>70</v>
      </c>
      <c r="J23" s="27">
        <v>90</v>
      </c>
      <c r="K23" s="27">
        <v>0</v>
      </c>
      <c r="L23" s="27">
        <v>9</v>
      </c>
      <c r="M23" s="27">
        <v>21</v>
      </c>
      <c r="N23" s="27">
        <v>22</v>
      </c>
      <c r="O23" s="28">
        <f t="shared" si="6"/>
        <v>0.17307692307692307</v>
      </c>
      <c r="P23" s="26">
        <f t="shared" si="0"/>
        <v>90</v>
      </c>
      <c r="Q23" s="2">
        <v>8240</v>
      </c>
      <c r="R23" s="12">
        <v>37.5</v>
      </c>
      <c r="S23" s="12">
        <v>0</v>
      </c>
      <c r="T23" s="28">
        <f t="shared" si="1"/>
        <v>37.5</v>
      </c>
      <c r="U23" s="2">
        <v>26362.55</v>
      </c>
      <c r="V23" s="27">
        <v>67</v>
      </c>
      <c r="W23" s="27">
        <v>8000</v>
      </c>
      <c r="X23" s="27">
        <v>31500</v>
      </c>
      <c r="Y23" s="27">
        <f t="shared" si="7"/>
        <v>23500</v>
      </c>
      <c r="Z23" s="27">
        <v>1905</v>
      </c>
      <c r="AA23" s="4" t="s">
        <v>2546</v>
      </c>
      <c r="AB23" s="27" t="s">
        <v>472</v>
      </c>
      <c r="AC23" s="27" t="str">
        <f t="shared" si="9"/>
        <v>https://babel.hathitrust.org/cgi/pt?id=mdp.39015049037735;view=1up;seq=146</v>
      </c>
      <c r="AD23" s="4" t="s">
        <v>2546</v>
      </c>
      <c r="AE23" s="27" t="str">
        <f t="shared" si="8"/>
        <v>https://babel.hathitrust.org/cgi/pt?id=mdp.39015049037735;view=1up;seq=146</v>
      </c>
      <c r="AF23" s="27" t="s">
        <v>2550</v>
      </c>
      <c r="AG23" s="4" t="s">
        <v>2546</v>
      </c>
      <c r="AH23" s="27" t="s">
        <v>471</v>
      </c>
      <c r="AI23" s="27" t="str">
        <f t="shared" si="10"/>
        <v>https://babel.hathitrust.org/cgi/pt?id=mdp.39015049037735;view=1up;seq=146</v>
      </c>
    </row>
    <row r="24" spans="1:35" x14ac:dyDescent="0.25">
      <c r="A24" s="27" t="s">
        <v>608</v>
      </c>
      <c r="B24" s="27" t="str">
        <f t="shared" si="2"/>
        <v>Alabama</v>
      </c>
      <c r="C24" s="27" t="str">
        <f t="shared" si="3"/>
        <v>Dale</v>
      </c>
      <c r="D24" s="27">
        <v>1380</v>
      </c>
      <c r="E24" s="27">
        <v>240</v>
      </c>
      <c r="F24" s="27">
        <f t="shared" si="4"/>
        <v>1620</v>
      </c>
      <c r="G24" s="27">
        <v>67</v>
      </c>
      <c r="H24" s="27">
        <v>14</v>
      </c>
      <c r="I24" s="27">
        <f t="shared" si="5"/>
        <v>81</v>
      </c>
      <c r="J24" s="27">
        <v>88</v>
      </c>
      <c r="K24" s="27">
        <v>81</v>
      </c>
      <c r="L24" s="27">
        <v>14</v>
      </c>
      <c r="M24" s="27">
        <v>14</v>
      </c>
      <c r="N24" s="27">
        <v>48</v>
      </c>
      <c r="O24" s="28">
        <f t="shared" si="6"/>
        <v>0.18421052631578946</v>
      </c>
      <c r="P24" s="26">
        <f t="shared" si="0"/>
        <v>86.962962962962962</v>
      </c>
      <c r="Q24" s="2">
        <v>7005</v>
      </c>
      <c r="R24" s="12">
        <v>38.22</v>
      </c>
      <c r="S24" s="12">
        <v>28</v>
      </c>
      <c r="T24" s="28">
        <f t="shared" si="1"/>
        <v>36.453580246913575</v>
      </c>
      <c r="U24" s="2">
        <v>18195.57</v>
      </c>
      <c r="V24" s="27">
        <v>76</v>
      </c>
      <c r="W24" s="27">
        <v>100000</v>
      </c>
      <c r="X24" s="27">
        <v>123200</v>
      </c>
      <c r="Y24" s="27">
        <f t="shared" si="7"/>
        <v>23200</v>
      </c>
      <c r="Z24" s="27">
        <v>1905</v>
      </c>
      <c r="AA24" s="4" t="s">
        <v>2546</v>
      </c>
      <c r="AB24" s="27" t="s">
        <v>472</v>
      </c>
      <c r="AC24" s="27" t="str">
        <f t="shared" si="9"/>
        <v>https://babel.hathitrust.org/cgi/pt?id=mdp.39015049037735;view=1up;seq=146</v>
      </c>
      <c r="AD24" s="4" t="s">
        <v>2546</v>
      </c>
      <c r="AE24" s="27" t="str">
        <f t="shared" si="8"/>
        <v>https://babel.hathitrust.org/cgi/pt?id=mdp.39015049037735;view=1up;seq=146</v>
      </c>
      <c r="AF24" s="27" t="s">
        <v>2550</v>
      </c>
      <c r="AG24" s="4" t="s">
        <v>2546</v>
      </c>
      <c r="AH24" s="27" t="s">
        <v>471</v>
      </c>
      <c r="AI24" s="27" t="str">
        <f t="shared" si="10"/>
        <v>https://babel.hathitrust.org/cgi/pt?id=mdp.39015049037735;view=1up;seq=146</v>
      </c>
    </row>
    <row r="25" spans="1:35" x14ac:dyDescent="0.25">
      <c r="A25" s="27" t="s">
        <v>609</v>
      </c>
      <c r="B25" s="27" t="str">
        <f t="shared" si="2"/>
        <v>Alabama</v>
      </c>
      <c r="C25" s="27" t="str">
        <f t="shared" si="3"/>
        <v>Dallas</v>
      </c>
      <c r="D25" s="27">
        <v>756</v>
      </c>
      <c r="E25" s="27">
        <v>2620</v>
      </c>
      <c r="F25" s="27">
        <f t="shared" si="4"/>
        <v>3376</v>
      </c>
      <c r="G25" s="27">
        <v>45</v>
      </c>
      <c r="H25" s="27">
        <v>80</v>
      </c>
      <c r="I25" s="27">
        <f t="shared" si="5"/>
        <v>125</v>
      </c>
      <c r="J25" s="27">
        <v>135</v>
      </c>
      <c r="K25" s="27">
        <v>101</v>
      </c>
      <c r="L25" s="27">
        <v>34</v>
      </c>
      <c r="M25" s="27">
        <v>64</v>
      </c>
      <c r="N25" s="27">
        <v>24</v>
      </c>
      <c r="O25" s="28">
        <f t="shared" si="6"/>
        <v>0.27868852459016391</v>
      </c>
      <c r="P25" s="26">
        <f t="shared" si="0"/>
        <v>108.61374407582939</v>
      </c>
      <c r="Q25" s="2">
        <v>15867</v>
      </c>
      <c r="R25" s="12">
        <v>42</v>
      </c>
      <c r="S25" s="12">
        <v>22.5</v>
      </c>
      <c r="T25" s="28">
        <f t="shared" si="1"/>
        <v>29.52</v>
      </c>
      <c r="U25" s="2">
        <v>48817.49</v>
      </c>
      <c r="V25" s="27">
        <v>122</v>
      </c>
      <c r="W25" s="27">
        <v>4000</v>
      </c>
      <c r="X25" s="27">
        <v>20200</v>
      </c>
      <c r="Y25" s="27">
        <f t="shared" si="7"/>
        <v>16200</v>
      </c>
      <c r="Z25" s="27">
        <v>1905</v>
      </c>
      <c r="AA25" s="4" t="s">
        <v>2546</v>
      </c>
      <c r="AB25" s="27" t="s">
        <v>472</v>
      </c>
      <c r="AC25" s="27" t="str">
        <f t="shared" si="9"/>
        <v>https://babel.hathitrust.org/cgi/pt?id=mdp.39015049037735;view=1up;seq=146</v>
      </c>
      <c r="AD25" s="4" t="s">
        <v>2546</v>
      </c>
      <c r="AE25" s="27" t="str">
        <f t="shared" si="8"/>
        <v>https://babel.hathitrust.org/cgi/pt?id=mdp.39015049037735;view=1up;seq=146</v>
      </c>
      <c r="AF25" s="27" t="s">
        <v>2550</v>
      </c>
      <c r="AG25" s="4" t="s">
        <v>2546</v>
      </c>
      <c r="AH25" s="27" t="s">
        <v>471</v>
      </c>
      <c r="AI25" s="27" t="str">
        <f t="shared" si="10"/>
        <v>https://babel.hathitrust.org/cgi/pt?id=mdp.39015049037735;view=1up;seq=146</v>
      </c>
    </row>
    <row r="26" spans="1:35" x14ac:dyDescent="0.25">
      <c r="A26" s="27" t="s">
        <v>610</v>
      </c>
      <c r="B26" s="27" t="str">
        <f t="shared" si="2"/>
        <v>Alabama</v>
      </c>
      <c r="C26" s="27" t="str">
        <f t="shared" si="3"/>
        <v>DeKalb</v>
      </c>
      <c r="D26" s="27">
        <v>2956</v>
      </c>
      <c r="E26" s="27">
        <v>80</v>
      </c>
      <c r="F26" s="27">
        <f t="shared" si="4"/>
        <v>3036</v>
      </c>
      <c r="G26" s="27">
        <v>99</v>
      </c>
      <c r="H26" s="27">
        <v>2</v>
      </c>
      <c r="I26" s="27">
        <f t="shared" si="5"/>
        <v>101</v>
      </c>
      <c r="J26" s="27">
        <v>95</v>
      </c>
      <c r="K26" s="27">
        <v>80</v>
      </c>
      <c r="L26" s="27">
        <v>21</v>
      </c>
      <c r="M26" s="27">
        <v>12</v>
      </c>
      <c r="N26" s="27">
        <v>58</v>
      </c>
      <c r="O26" s="28">
        <f t="shared" si="6"/>
        <v>0.23076923076923078</v>
      </c>
      <c r="P26" s="26">
        <f t="shared" si="0"/>
        <v>94.604743083003953</v>
      </c>
      <c r="Q26" s="2">
        <v>8810</v>
      </c>
      <c r="R26" s="12">
        <v>35</v>
      </c>
      <c r="S26" s="12">
        <v>20</v>
      </c>
      <c r="T26" s="28">
        <f t="shared" si="1"/>
        <v>34.702970297029701</v>
      </c>
      <c r="U26" s="2">
        <v>21443.07</v>
      </c>
      <c r="V26" s="27">
        <v>93</v>
      </c>
      <c r="Y26" s="27"/>
      <c r="Z26" s="27">
        <v>1905</v>
      </c>
      <c r="AA26" s="4" t="s">
        <v>2546</v>
      </c>
      <c r="AB26" s="27" t="s">
        <v>472</v>
      </c>
      <c r="AC26" s="27" t="str">
        <f t="shared" si="9"/>
        <v>https://babel.hathitrust.org/cgi/pt?id=mdp.39015049037735;view=1up;seq=146</v>
      </c>
      <c r="AD26" s="4" t="s">
        <v>2546</v>
      </c>
      <c r="AE26" s="27" t="str">
        <f t="shared" si="8"/>
        <v>https://babel.hathitrust.org/cgi/pt?id=mdp.39015049037735;view=1up;seq=146</v>
      </c>
      <c r="AF26" s="27" t="s">
        <v>2550</v>
      </c>
      <c r="AG26" s="4" t="s">
        <v>2546</v>
      </c>
      <c r="AH26" s="27" t="s">
        <v>473</v>
      </c>
      <c r="AI26" s="27" t="str">
        <f t="shared" si="10"/>
        <v>https://babel.hathitrust.org/cgi/pt?id=mdp.39015049037735;view=1up;seq=146</v>
      </c>
    </row>
    <row r="27" spans="1:35" x14ac:dyDescent="0.25">
      <c r="A27" s="27" t="s">
        <v>611</v>
      </c>
      <c r="B27" s="27" t="str">
        <f t="shared" si="2"/>
        <v>Alabama</v>
      </c>
      <c r="C27" s="27" t="str">
        <f t="shared" si="3"/>
        <v>Elmore</v>
      </c>
      <c r="D27" s="27">
        <v>2060</v>
      </c>
      <c r="E27" s="27">
        <v>1140</v>
      </c>
      <c r="F27" s="27">
        <f t="shared" si="4"/>
        <v>3200</v>
      </c>
      <c r="G27" s="27">
        <v>58</v>
      </c>
      <c r="H27" s="27">
        <v>17</v>
      </c>
      <c r="I27" s="27">
        <f t="shared" si="5"/>
        <v>75</v>
      </c>
      <c r="J27" s="27">
        <v>130</v>
      </c>
      <c r="K27" s="27">
        <v>80</v>
      </c>
      <c r="L27" s="27">
        <v>18</v>
      </c>
      <c r="M27" s="27">
        <v>25</v>
      </c>
      <c r="N27" s="27">
        <v>14</v>
      </c>
      <c r="O27" s="28">
        <f t="shared" si="6"/>
        <v>0.31578947368421051</v>
      </c>
      <c r="P27" s="26">
        <f t="shared" si="0"/>
        <v>112.1875</v>
      </c>
      <c r="Q27" s="2">
        <v>7795</v>
      </c>
      <c r="R27" s="12">
        <v>27.35</v>
      </c>
      <c r="S27" s="12">
        <v>20.18</v>
      </c>
      <c r="T27" s="28">
        <f t="shared" si="1"/>
        <v>25.724800000000002</v>
      </c>
      <c r="U27" s="2">
        <v>24236.41</v>
      </c>
      <c r="V27" s="27">
        <v>68</v>
      </c>
      <c r="X27" s="27">
        <v>21750</v>
      </c>
      <c r="Y27" s="27">
        <f t="shared" si="7"/>
        <v>21750</v>
      </c>
      <c r="Z27" s="27">
        <v>1905</v>
      </c>
      <c r="AA27" s="4" t="s">
        <v>2546</v>
      </c>
      <c r="AB27" s="27" t="s">
        <v>472</v>
      </c>
      <c r="AC27" s="27" t="str">
        <f t="shared" si="9"/>
        <v>https://babel.hathitrust.org/cgi/pt?id=mdp.39015049037735;view=1up;seq=146</v>
      </c>
      <c r="AD27" s="4" t="s">
        <v>2546</v>
      </c>
      <c r="AE27" s="27" t="str">
        <f t="shared" si="8"/>
        <v>https://babel.hathitrust.org/cgi/pt?id=mdp.39015049037735;view=1up;seq=146</v>
      </c>
      <c r="AF27" s="27" t="s">
        <v>2550</v>
      </c>
      <c r="AG27" s="4" t="s">
        <v>2546</v>
      </c>
      <c r="AH27" s="27" t="s">
        <v>473</v>
      </c>
      <c r="AI27" s="27" t="str">
        <f t="shared" si="10"/>
        <v>https://babel.hathitrust.org/cgi/pt?id=mdp.39015049037735;view=1up;seq=146</v>
      </c>
    </row>
    <row r="28" spans="1:35" x14ac:dyDescent="0.25">
      <c r="A28" s="27" t="s">
        <v>612</v>
      </c>
      <c r="B28" s="27" t="str">
        <f t="shared" si="2"/>
        <v>Alabama</v>
      </c>
      <c r="C28" s="27" t="str">
        <f t="shared" si="3"/>
        <v>Escambia</v>
      </c>
      <c r="D28" s="27">
        <v>2580</v>
      </c>
      <c r="E28" s="27">
        <v>950</v>
      </c>
      <c r="F28" s="27">
        <f t="shared" si="4"/>
        <v>3530</v>
      </c>
      <c r="G28" s="27">
        <v>77</v>
      </c>
      <c r="H28" s="27">
        <v>13</v>
      </c>
      <c r="I28" s="27">
        <f t="shared" si="5"/>
        <v>90</v>
      </c>
      <c r="J28" s="27">
        <v>120</v>
      </c>
      <c r="K28" s="27">
        <v>80</v>
      </c>
      <c r="L28" s="27">
        <v>22</v>
      </c>
      <c r="M28" s="27">
        <v>23</v>
      </c>
      <c r="N28" s="27">
        <v>45</v>
      </c>
      <c r="O28" s="28">
        <f t="shared" si="6"/>
        <v>0.24444444444444444</v>
      </c>
      <c r="P28" s="26">
        <f t="shared" si="0"/>
        <v>109.23512747875354</v>
      </c>
      <c r="Q28" s="2">
        <v>6337</v>
      </c>
      <c r="R28" s="12">
        <v>38</v>
      </c>
      <c r="S28" s="12">
        <v>20</v>
      </c>
      <c r="T28" s="28">
        <f t="shared" si="1"/>
        <v>35.4</v>
      </c>
      <c r="U28" s="2">
        <v>30160.46</v>
      </c>
      <c r="V28" s="27">
        <v>82</v>
      </c>
      <c r="X28" s="27">
        <v>26900</v>
      </c>
      <c r="Y28" s="27">
        <f t="shared" si="7"/>
        <v>26900</v>
      </c>
      <c r="Z28" s="27">
        <v>1905</v>
      </c>
      <c r="AA28" s="4" t="s">
        <v>2546</v>
      </c>
      <c r="AB28" s="27" t="s">
        <v>472</v>
      </c>
      <c r="AC28" s="27" t="str">
        <f t="shared" si="9"/>
        <v>https://babel.hathitrust.org/cgi/pt?id=mdp.39015049037735;view=1up;seq=146</v>
      </c>
      <c r="AD28" s="4" t="s">
        <v>2546</v>
      </c>
      <c r="AE28" s="27" t="str">
        <f t="shared" si="8"/>
        <v>https://babel.hathitrust.org/cgi/pt?id=mdp.39015049037735;view=1up;seq=146</v>
      </c>
      <c r="AF28" s="27" t="s">
        <v>2550</v>
      </c>
      <c r="AG28" s="4" t="s">
        <v>2546</v>
      </c>
      <c r="AH28" s="27" t="s">
        <v>473</v>
      </c>
      <c r="AI28" s="27" t="str">
        <f t="shared" si="10"/>
        <v>https://babel.hathitrust.org/cgi/pt?id=mdp.39015049037735;view=1up;seq=146</v>
      </c>
    </row>
    <row r="29" spans="1:35" x14ac:dyDescent="0.25">
      <c r="A29" s="27" t="s">
        <v>613</v>
      </c>
      <c r="B29" s="27" t="str">
        <f t="shared" si="2"/>
        <v>Alabama</v>
      </c>
      <c r="C29" s="27" t="str">
        <f t="shared" si="3"/>
        <v>Etowah</v>
      </c>
      <c r="D29" s="27">
        <v>2240</v>
      </c>
      <c r="E29" s="27">
        <v>110</v>
      </c>
      <c r="F29" s="27">
        <f t="shared" si="4"/>
        <v>2350</v>
      </c>
      <c r="G29" s="27">
        <v>56</v>
      </c>
      <c r="H29" s="27">
        <v>5</v>
      </c>
      <c r="I29" s="27">
        <f t="shared" si="5"/>
        <v>61</v>
      </c>
      <c r="J29" s="27">
        <v>100</v>
      </c>
      <c r="K29" s="27">
        <v>80</v>
      </c>
      <c r="L29" s="27">
        <v>5</v>
      </c>
      <c r="M29" s="27">
        <v>41</v>
      </c>
      <c r="N29" s="27">
        <v>10</v>
      </c>
      <c r="O29" s="28">
        <f t="shared" si="6"/>
        <v>8.9285714285714288E-2</v>
      </c>
      <c r="P29" s="26">
        <f t="shared" si="0"/>
        <v>99.063829787234042</v>
      </c>
      <c r="Q29" s="2">
        <v>7007</v>
      </c>
      <c r="R29" s="12">
        <v>40</v>
      </c>
      <c r="S29" s="12">
        <v>20</v>
      </c>
      <c r="T29" s="28">
        <f t="shared" si="1"/>
        <v>38.360655737704917</v>
      </c>
      <c r="U29" s="2">
        <v>34070.480000000003</v>
      </c>
      <c r="V29" s="27">
        <v>61</v>
      </c>
      <c r="W29" s="27">
        <v>15000</v>
      </c>
      <c r="X29" s="27">
        <v>45000</v>
      </c>
      <c r="Y29" s="27">
        <f t="shared" si="7"/>
        <v>30000</v>
      </c>
      <c r="Z29" s="27">
        <v>1905</v>
      </c>
      <c r="AA29" s="4" t="s">
        <v>2546</v>
      </c>
      <c r="AB29" s="27" t="s">
        <v>472</v>
      </c>
      <c r="AC29" s="27" t="str">
        <f t="shared" si="9"/>
        <v>https://babel.hathitrust.org/cgi/pt?id=mdp.39015049037735;view=1up;seq=146</v>
      </c>
      <c r="AD29" s="4" t="s">
        <v>2546</v>
      </c>
      <c r="AE29" s="27" t="str">
        <f t="shared" si="8"/>
        <v>https://babel.hathitrust.org/cgi/pt?id=mdp.39015049037735;view=1up;seq=146</v>
      </c>
      <c r="AF29" s="27" t="s">
        <v>2550</v>
      </c>
      <c r="AG29" s="4" t="s">
        <v>2546</v>
      </c>
      <c r="AH29" s="27" t="s">
        <v>473</v>
      </c>
      <c r="AI29" s="27" t="str">
        <f t="shared" si="10"/>
        <v>https://babel.hathitrust.org/cgi/pt?id=mdp.39015049037735;view=1up;seq=146</v>
      </c>
    </row>
    <row r="30" spans="1:35" x14ac:dyDescent="0.25">
      <c r="A30" s="27" t="s">
        <v>614</v>
      </c>
      <c r="B30" s="27" t="str">
        <f t="shared" si="2"/>
        <v>Alabama</v>
      </c>
      <c r="C30" s="27" t="str">
        <f t="shared" si="3"/>
        <v>Fayette</v>
      </c>
      <c r="D30" s="27">
        <v>1792</v>
      </c>
      <c r="E30" s="27">
        <v>140</v>
      </c>
      <c r="F30" s="27">
        <f t="shared" si="4"/>
        <v>1932</v>
      </c>
      <c r="G30" s="27">
        <v>56</v>
      </c>
      <c r="H30" s="27">
        <v>4</v>
      </c>
      <c r="I30" s="27">
        <f t="shared" si="5"/>
        <v>60</v>
      </c>
      <c r="J30" s="27">
        <v>76</v>
      </c>
      <c r="K30" s="27">
        <v>80</v>
      </c>
      <c r="M30" s="27">
        <v>9</v>
      </c>
      <c r="N30" s="27">
        <v>22</v>
      </c>
      <c r="O30" s="28">
        <f t="shared" si="6"/>
        <v>0</v>
      </c>
      <c r="P30" s="26">
        <f t="shared" si="0"/>
        <v>76.289855072463766</v>
      </c>
      <c r="Q30" s="2">
        <v>4961</v>
      </c>
      <c r="R30" s="12">
        <v>45</v>
      </c>
      <c r="S30" s="12">
        <v>30</v>
      </c>
      <c r="T30" s="28">
        <f t="shared" si="1"/>
        <v>44</v>
      </c>
      <c r="U30" s="2">
        <v>15180.67</v>
      </c>
      <c r="V30" s="27">
        <v>61</v>
      </c>
      <c r="X30" s="27">
        <v>7500</v>
      </c>
      <c r="Y30" s="27">
        <f t="shared" si="7"/>
        <v>7500</v>
      </c>
      <c r="Z30" s="27">
        <v>1905</v>
      </c>
      <c r="AA30" s="4" t="s">
        <v>2546</v>
      </c>
      <c r="AB30" s="27" t="s">
        <v>472</v>
      </c>
      <c r="AC30" s="27" t="str">
        <f t="shared" si="9"/>
        <v>https://babel.hathitrust.org/cgi/pt?id=mdp.39015049037735;view=1up;seq=146</v>
      </c>
      <c r="AD30" s="4" t="s">
        <v>2546</v>
      </c>
      <c r="AE30" s="27" t="str">
        <f t="shared" si="8"/>
        <v>https://babel.hathitrust.org/cgi/pt?id=mdp.39015049037735;view=1up;seq=146</v>
      </c>
      <c r="AF30" s="27" t="s">
        <v>2550</v>
      </c>
      <c r="AG30" s="4" t="s">
        <v>2546</v>
      </c>
      <c r="AH30" s="27" t="s">
        <v>473</v>
      </c>
      <c r="AI30" s="27" t="str">
        <f t="shared" si="10"/>
        <v>https://babel.hathitrust.org/cgi/pt?id=mdp.39015049037735;view=1up;seq=146</v>
      </c>
    </row>
    <row r="31" spans="1:35" x14ac:dyDescent="0.25">
      <c r="A31" s="27" t="s">
        <v>615</v>
      </c>
      <c r="B31" s="27" t="str">
        <f t="shared" si="2"/>
        <v>Alabama</v>
      </c>
      <c r="C31" s="27" t="str">
        <f t="shared" si="3"/>
        <v>Franklin</v>
      </c>
      <c r="D31" s="27">
        <v>2000</v>
      </c>
      <c r="E31" s="27">
        <v>140</v>
      </c>
      <c r="F31" s="27">
        <f t="shared" si="4"/>
        <v>2140</v>
      </c>
      <c r="G31" s="27">
        <v>53</v>
      </c>
      <c r="H31" s="27">
        <v>1</v>
      </c>
      <c r="I31" s="27">
        <f t="shared" si="5"/>
        <v>54</v>
      </c>
      <c r="J31" s="27">
        <v>90</v>
      </c>
      <c r="K31" s="27">
        <v>80</v>
      </c>
      <c r="L31" s="27">
        <v>10</v>
      </c>
      <c r="M31" s="27">
        <v>8</v>
      </c>
      <c r="N31" s="27">
        <v>35</v>
      </c>
      <c r="O31" s="28">
        <f t="shared" si="6"/>
        <v>0.18867924528301888</v>
      </c>
      <c r="P31" s="26">
        <f t="shared" si="0"/>
        <v>89.345794392523359</v>
      </c>
      <c r="Q31" s="2">
        <v>5144</v>
      </c>
      <c r="R31" s="12">
        <v>38</v>
      </c>
      <c r="S31" s="12">
        <v>35</v>
      </c>
      <c r="T31" s="28">
        <f t="shared" si="1"/>
        <v>37.944444444444443</v>
      </c>
      <c r="U31" s="2">
        <v>17903.900000000001</v>
      </c>
      <c r="V31" s="27">
        <v>55</v>
      </c>
      <c r="X31" s="27">
        <v>11500</v>
      </c>
      <c r="Y31" s="27">
        <f t="shared" si="7"/>
        <v>11500</v>
      </c>
      <c r="Z31" s="27">
        <v>1905</v>
      </c>
      <c r="AA31" s="4" t="s">
        <v>2546</v>
      </c>
      <c r="AB31" s="27" t="s">
        <v>472</v>
      </c>
      <c r="AC31" s="27" t="str">
        <f t="shared" si="9"/>
        <v>https://babel.hathitrust.org/cgi/pt?id=mdp.39015049037735;view=1up;seq=146</v>
      </c>
      <c r="AD31" s="4" t="s">
        <v>2546</v>
      </c>
      <c r="AE31" s="27" t="str">
        <f t="shared" si="8"/>
        <v>https://babel.hathitrust.org/cgi/pt?id=mdp.39015049037735;view=1up;seq=146</v>
      </c>
      <c r="AF31" s="27" t="s">
        <v>2550</v>
      </c>
      <c r="AG31" s="4" t="s">
        <v>2546</v>
      </c>
      <c r="AH31" s="27" t="s">
        <v>473</v>
      </c>
      <c r="AI31" s="27" t="str">
        <f t="shared" si="10"/>
        <v>https://babel.hathitrust.org/cgi/pt?id=mdp.39015049037735;view=1up;seq=146</v>
      </c>
    </row>
    <row r="32" spans="1:35" x14ac:dyDescent="0.25">
      <c r="A32" s="27" t="s">
        <v>616</v>
      </c>
      <c r="B32" s="27" t="str">
        <f t="shared" si="2"/>
        <v>Alabama</v>
      </c>
      <c r="C32" s="27" t="str">
        <f t="shared" si="3"/>
        <v>Geneva</v>
      </c>
      <c r="D32" s="27">
        <v>2323</v>
      </c>
      <c r="E32" s="27">
        <v>174</v>
      </c>
      <c r="F32" s="27">
        <f t="shared" si="4"/>
        <v>2497</v>
      </c>
      <c r="G32" s="27">
        <v>80</v>
      </c>
      <c r="H32" s="27">
        <v>7</v>
      </c>
      <c r="I32" s="27">
        <f t="shared" si="5"/>
        <v>87</v>
      </c>
      <c r="J32" s="27">
        <v>100</v>
      </c>
      <c r="K32" s="27">
        <v>90</v>
      </c>
      <c r="L32" s="27">
        <v>11</v>
      </c>
      <c r="M32" s="27">
        <v>10</v>
      </c>
      <c r="N32" s="27">
        <v>33</v>
      </c>
      <c r="O32" s="28">
        <f t="shared" si="6"/>
        <v>0.20370370370370369</v>
      </c>
      <c r="P32" s="26">
        <f t="shared" si="0"/>
        <v>99.303163796555864</v>
      </c>
      <c r="Q32" s="2">
        <v>6986</v>
      </c>
      <c r="R32" s="12">
        <v>40.5</v>
      </c>
      <c r="S32" s="12">
        <v>31.5</v>
      </c>
      <c r="T32" s="28">
        <f t="shared" si="1"/>
        <v>39.775862068965516</v>
      </c>
      <c r="U32" s="2">
        <v>18877.86</v>
      </c>
      <c r="V32" s="27">
        <v>60</v>
      </c>
      <c r="X32" s="27">
        <v>4200</v>
      </c>
      <c r="Y32" s="27">
        <f t="shared" si="7"/>
        <v>4200</v>
      </c>
      <c r="Z32" s="27">
        <v>1905</v>
      </c>
      <c r="AA32" s="4" t="s">
        <v>2546</v>
      </c>
      <c r="AB32" s="27" t="s">
        <v>472</v>
      </c>
      <c r="AC32" s="27" t="str">
        <f t="shared" si="9"/>
        <v>https://babel.hathitrust.org/cgi/pt?id=mdp.39015049037735;view=1up;seq=146</v>
      </c>
      <c r="AD32" s="4" t="s">
        <v>2546</v>
      </c>
      <c r="AE32" s="27" t="str">
        <f t="shared" si="8"/>
        <v>https://babel.hathitrust.org/cgi/pt?id=mdp.39015049037735;view=1up;seq=146</v>
      </c>
      <c r="AF32" s="27" t="s">
        <v>2550</v>
      </c>
      <c r="AG32" s="4" t="s">
        <v>2546</v>
      </c>
      <c r="AH32" s="27" t="s">
        <v>473</v>
      </c>
      <c r="AI32" s="27" t="str">
        <f t="shared" si="10"/>
        <v>https://babel.hathitrust.org/cgi/pt?id=mdp.39015049037735;view=1up;seq=146</v>
      </c>
    </row>
    <row r="33" spans="1:35" x14ac:dyDescent="0.25">
      <c r="A33" s="27" t="s">
        <v>617</v>
      </c>
      <c r="B33" s="27" t="str">
        <f t="shared" si="2"/>
        <v>Alabama</v>
      </c>
      <c r="C33" s="27" t="str">
        <f t="shared" si="3"/>
        <v>Greene</v>
      </c>
      <c r="D33" s="27">
        <v>314</v>
      </c>
      <c r="E33" s="27">
        <v>1542</v>
      </c>
      <c r="F33" s="27">
        <f t="shared" si="4"/>
        <v>1856</v>
      </c>
      <c r="G33" s="27">
        <v>25</v>
      </c>
      <c r="H33" s="27">
        <v>42</v>
      </c>
      <c r="I33" s="27">
        <f t="shared" si="5"/>
        <v>67</v>
      </c>
      <c r="J33" s="27">
        <v>135</v>
      </c>
      <c r="K33" s="27">
        <v>110</v>
      </c>
      <c r="L33" s="27">
        <v>30</v>
      </c>
      <c r="M33" s="27">
        <v>30</v>
      </c>
      <c r="N33" s="27">
        <v>3</v>
      </c>
      <c r="O33" s="28">
        <f t="shared" si="6"/>
        <v>0.47619047619047616</v>
      </c>
      <c r="P33" s="26">
        <f t="shared" si="0"/>
        <v>114.22952586206897</v>
      </c>
      <c r="Q33" s="2">
        <v>7233</v>
      </c>
      <c r="R33" s="12">
        <v>37.5</v>
      </c>
      <c r="S33" s="12">
        <v>24</v>
      </c>
      <c r="T33" s="28">
        <f t="shared" si="1"/>
        <v>29.03731343283582</v>
      </c>
      <c r="U33" s="2">
        <v>17485</v>
      </c>
      <c r="V33" s="27">
        <v>63</v>
      </c>
      <c r="X33" s="27">
        <v>28450</v>
      </c>
      <c r="Y33" s="27">
        <f t="shared" si="7"/>
        <v>28450</v>
      </c>
      <c r="Z33" s="27">
        <v>1905</v>
      </c>
      <c r="AA33" s="4" t="s">
        <v>2546</v>
      </c>
      <c r="AB33" s="27" t="s">
        <v>472</v>
      </c>
      <c r="AC33" s="27" t="str">
        <f t="shared" si="9"/>
        <v>https://babel.hathitrust.org/cgi/pt?id=mdp.39015049037735;view=1up;seq=146</v>
      </c>
      <c r="AD33" s="4" t="s">
        <v>2546</v>
      </c>
      <c r="AE33" s="27" t="str">
        <f t="shared" si="8"/>
        <v>https://babel.hathitrust.org/cgi/pt?id=mdp.39015049037735;view=1up;seq=146</v>
      </c>
      <c r="AF33" s="27" t="s">
        <v>2550</v>
      </c>
      <c r="AG33" s="4" t="s">
        <v>2546</v>
      </c>
      <c r="AH33" s="27" t="s">
        <v>473</v>
      </c>
      <c r="AI33" s="27" t="str">
        <f t="shared" si="10"/>
        <v>https://babel.hathitrust.org/cgi/pt?id=mdp.39015049037735;view=1up;seq=146</v>
      </c>
    </row>
    <row r="34" spans="1:35" x14ac:dyDescent="0.25">
      <c r="A34" s="27" t="s">
        <v>618</v>
      </c>
      <c r="B34" s="27" t="str">
        <f t="shared" si="2"/>
        <v>Alabama</v>
      </c>
      <c r="C34" s="27" t="str">
        <f t="shared" si="3"/>
        <v>Hale</v>
      </c>
      <c r="D34" s="27">
        <v>850</v>
      </c>
      <c r="E34" s="27">
        <v>1810</v>
      </c>
      <c r="F34" s="27">
        <f t="shared" si="4"/>
        <v>2660</v>
      </c>
      <c r="G34" s="27">
        <v>27</v>
      </c>
      <c r="H34" s="27">
        <v>32</v>
      </c>
      <c r="I34" s="27">
        <f t="shared" si="5"/>
        <v>59</v>
      </c>
      <c r="J34" s="27">
        <v>121</v>
      </c>
      <c r="K34" s="27">
        <v>108</v>
      </c>
      <c r="L34" s="27">
        <v>20</v>
      </c>
      <c r="M34" s="27">
        <v>43</v>
      </c>
      <c r="N34" s="27">
        <v>7</v>
      </c>
      <c r="O34" s="28">
        <f t="shared" si="6"/>
        <v>0.2857142857142857</v>
      </c>
      <c r="P34" s="26">
        <f t="shared" ref="P34:P65" si="11">((D34*J34)+(E34*K34))/F34</f>
        <v>112.15413533834587</v>
      </c>
      <c r="Q34" s="2">
        <v>9861</v>
      </c>
      <c r="R34" s="12">
        <v>41.66</v>
      </c>
      <c r="S34" s="12">
        <v>24.15</v>
      </c>
      <c r="T34" s="28">
        <f t="shared" ref="T34:T65" si="12">((G34*R34)+(H34*S34))/I34</f>
        <v>32.163050847457626</v>
      </c>
      <c r="U34" s="2">
        <v>24112.31</v>
      </c>
      <c r="V34" s="27">
        <v>70</v>
      </c>
      <c r="W34" s="27">
        <v>5000</v>
      </c>
      <c r="X34" s="27">
        <v>16600</v>
      </c>
      <c r="Y34" s="27">
        <f t="shared" si="7"/>
        <v>11600</v>
      </c>
      <c r="Z34" s="27">
        <v>1905</v>
      </c>
      <c r="AA34" s="4" t="s">
        <v>2546</v>
      </c>
      <c r="AB34" s="27" t="s">
        <v>472</v>
      </c>
      <c r="AC34" s="27" t="str">
        <f t="shared" si="9"/>
        <v>https://babel.hathitrust.org/cgi/pt?id=mdp.39015049037735;view=1up;seq=146</v>
      </c>
      <c r="AD34" s="4" t="s">
        <v>2546</v>
      </c>
      <c r="AE34" s="27" t="str">
        <f t="shared" si="8"/>
        <v>https://babel.hathitrust.org/cgi/pt?id=mdp.39015049037735;view=1up;seq=146</v>
      </c>
      <c r="AF34" s="27" t="s">
        <v>2550</v>
      </c>
      <c r="AG34" s="4" t="s">
        <v>2546</v>
      </c>
      <c r="AH34" s="27" t="s">
        <v>473</v>
      </c>
      <c r="AI34" s="27" t="str">
        <f t="shared" si="10"/>
        <v>https://babel.hathitrust.org/cgi/pt?id=mdp.39015049037735;view=1up;seq=146</v>
      </c>
    </row>
    <row r="35" spans="1:35" x14ac:dyDescent="0.25">
      <c r="A35" s="27" t="s">
        <v>619</v>
      </c>
      <c r="B35" s="27" t="str">
        <f t="shared" si="2"/>
        <v>Alabama</v>
      </c>
      <c r="C35" s="27" t="str">
        <f t="shared" si="3"/>
        <v>Henry</v>
      </c>
      <c r="D35" s="27">
        <v>961</v>
      </c>
      <c r="E35" s="27">
        <v>490</v>
      </c>
      <c r="F35" s="27">
        <f t="shared" si="4"/>
        <v>1451</v>
      </c>
      <c r="G35" s="27">
        <v>46</v>
      </c>
      <c r="H35" s="27">
        <v>14</v>
      </c>
      <c r="I35" s="27">
        <f t="shared" si="5"/>
        <v>60</v>
      </c>
      <c r="J35" s="27">
        <v>102</v>
      </c>
      <c r="K35" s="27">
        <v>82</v>
      </c>
      <c r="L35" s="27">
        <v>8</v>
      </c>
      <c r="M35" s="27">
        <v>16</v>
      </c>
      <c r="N35" s="27">
        <v>7</v>
      </c>
      <c r="O35" s="28">
        <f t="shared" si="6"/>
        <v>0.25806451612903225</v>
      </c>
      <c r="P35" s="26">
        <f t="shared" si="11"/>
        <v>95.246037215713301</v>
      </c>
      <c r="Q35" s="2">
        <v>6397</v>
      </c>
      <c r="R35" s="12">
        <v>39.630000000000003</v>
      </c>
      <c r="S35" s="12">
        <v>25.89</v>
      </c>
      <c r="T35" s="28">
        <f t="shared" si="12"/>
        <v>36.423999999999999</v>
      </c>
      <c r="U35" s="2">
        <v>13779.79</v>
      </c>
      <c r="V35" s="27">
        <v>45</v>
      </c>
      <c r="W35" s="27">
        <v>75000</v>
      </c>
      <c r="X35" s="27">
        <v>95000</v>
      </c>
      <c r="Y35" s="27">
        <f t="shared" si="7"/>
        <v>20000</v>
      </c>
      <c r="Z35" s="27">
        <v>1905</v>
      </c>
      <c r="AA35" s="4" t="s">
        <v>2546</v>
      </c>
      <c r="AB35" s="27" t="s">
        <v>472</v>
      </c>
      <c r="AC35" s="27" t="str">
        <f t="shared" si="9"/>
        <v>https://babel.hathitrust.org/cgi/pt?id=mdp.39015049037735;view=1up;seq=146</v>
      </c>
      <c r="AD35" s="4" t="s">
        <v>2546</v>
      </c>
      <c r="AE35" s="27" t="str">
        <f t="shared" si="8"/>
        <v>https://babel.hathitrust.org/cgi/pt?id=mdp.39015049037735;view=1up;seq=146</v>
      </c>
      <c r="AF35" s="27" t="s">
        <v>2550</v>
      </c>
      <c r="AG35" s="4" t="s">
        <v>2546</v>
      </c>
      <c r="AH35" s="27" t="s">
        <v>473</v>
      </c>
      <c r="AI35" s="27" t="str">
        <f t="shared" si="10"/>
        <v>https://babel.hathitrust.org/cgi/pt?id=mdp.39015049037735;view=1up;seq=146</v>
      </c>
    </row>
    <row r="36" spans="1:35" x14ac:dyDescent="0.25">
      <c r="A36" s="27" t="s">
        <v>620</v>
      </c>
      <c r="B36" s="27" t="str">
        <f t="shared" si="2"/>
        <v>Alabama</v>
      </c>
      <c r="C36" s="27" t="str">
        <f t="shared" si="3"/>
        <v>Houston</v>
      </c>
      <c r="D36" s="27">
        <v>2855</v>
      </c>
      <c r="E36" s="27">
        <v>418</v>
      </c>
      <c r="F36" s="27">
        <f t="shared" si="4"/>
        <v>3273</v>
      </c>
      <c r="G36" s="27">
        <v>86</v>
      </c>
      <c r="H36" s="27">
        <v>14</v>
      </c>
      <c r="I36" s="27">
        <f t="shared" si="5"/>
        <v>100</v>
      </c>
      <c r="J36" s="27">
        <v>99</v>
      </c>
      <c r="K36" s="27">
        <v>100</v>
      </c>
      <c r="L36" s="27">
        <v>6</v>
      </c>
      <c r="M36" s="27">
        <v>57</v>
      </c>
      <c r="N36" s="27">
        <v>9</v>
      </c>
      <c r="O36" s="28">
        <f t="shared" si="6"/>
        <v>8.3333333333333329E-2</v>
      </c>
      <c r="P36" s="26">
        <f t="shared" si="11"/>
        <v>99.127711579590596</v>
      </c>
      <c r="Q36" s="2">
        <v>9685</v>
      </c>
      <c r="R36" s="12">
        <v>35</v>
      </c>
      <c r="S36" s="12">
        <v>25</v>
      </c>
      <c r="T36" s="28">
        <f t="shared" si="12"/>
        <v>33.6</v>
      </c>
      <c r="U36" s="2">
        <v>21554.15</v>
      </c>
      <c r="V36" s="27">
        <v>72</v>
      </c>
      <c r="W36" s="27">
        <v>18000</v>
      </c>
      <c r="X36" s="27">
        <v>28850</v>
      </c>
      <c r="Y36" s="27">
        <f t="shared" si="7"/>
        <v>10850</v>
      </c>
      <c r="Z36" s="27">
        <v>1905</v>
      </c>
      <c r="AA36" s="4" t="s">
        <v>2546</v>
      </c>
      <c r="AB36" s="27" t="s">
        <v>472</v>
      </c>
      <c r="AC36" s="27" t="str">
        <f t="shared" si="9"/>
        <v>https://babel.hathitrust.org/cgi/pt?id=mdp.39015049037735;view=1up;seq=146</v>
      </c>
      <c r="AD36" s="4" t="s">
        <v>2546</v>
      </c>
      <c r="AE36" s="27" t="str">
        <f t="shared" si="8"/>
        <v>https://babel.hathitrust.org/cgi/pt?id=mdp.39015049037735;view=1up;seq=146</v>
      </c>
      <c r="AF36" s="27" t="s">
        <v>2550</v>
      </c>
      <c r="AG36" s="4" t="s">
        <v>2546</v>
      </c>
      <c r="AH36" s="27" t="s">
        <v>473</v>
      </c>
      <c r="AI36" s="27" t="str">
        <f t="shared" si="10"/>
        <v>https://babel.hathitrust.org/cgi/pt?id=mdp.39015049037735;view=1up;seq=146</v>
      </c>
    </row>
    <row r="37" spans="1:35" x14ac:dyDescent="0.25">
      <c r="A37" s="27" t="s">
        <v>621</v>
      </c>
      <c r="B37" s="27" t="str">
        <f t="shared" si="2"/>
        <v>Alabama</v>
      </c>
      <c r="C37" s="27" t="str">
        <f t="shared" si="3"/>
        <v>Jackson</v>
      </c>
      <c r="D37" s="27">
        <v>2289</v>
      </c>
      <c r="E37" s="27">
        <v>152</v>
      </c>
      <c r="F37" s="27">
        <f t="shared" si="4"/>
        <v>2441</v>
      </c>
      <c r="G37" s="27">
        <v>68</v>
      </c>
      <c r="H37" s="27">
        <v>5</v>
      </c>
      <c r="I37" s="27">
        <f t="shared" si="5"/>
        <v>73</v>
      </c>
      <c r="J37" s="27">
        <v>93</v>
      </c>
      <c r="K37" s="27">
        <v>95</v>
      </c>
      <c r="L37" s="27">
        <v>21</v>
      </c>
      <c r="M37" s="27">
        <v>25</v>
      </c>
      <c r="N37" s="27">
        <v>44</v>
      </c>
      <c r="O37" s="28">
        <f t="shared" si="6"/>
        <v>0.23333333333333334</v>
      </c>
      <c r="P37" s="26">
        <f t="shared" si="11"/>
        <v>93.124539123310115</v>
      </c>
      <c r="Q37" s="2">
        <v>10466</v>
      </c>
      <c r="R37" s="12">
        <v>40</v>
      </c>
      <c r="S37" s="12">
        <v>40</v>
      </c>
      <c r="T37" s="28">
        <f t="shared" si="12"/>
        <v>40</v>
      </c>
      <c r="U37" s="2">
        <v>23878.959999999999</v>
      </c>
      <c r="V37" s="27">
        <v>88</v>
      </c>
      <c r="X37" s="27">
        <v>108000</v>
      </c>
      <c r="Y37" s="27">
        <f t="shared" si="7"/>
        <v>108000</v>
      </c>
      <c r="Z37" s="27">
        <v>1905</v>
      </c>
      <c r="AA37" s="4" t="s">
        <v>2546</v>
      </c>
      <c r="AB37" s="27" t="s">
        <v>472</v>
      </c>
      <c r="AC37" s="27" t="str">
        <f t="shared" si="9"/>
        <v>https://babel.hathitrust.org/cgi/pt?id=mdp.39015049037735;view=1up;seq=146</v>
      </c>
      <c r="AD37" s="4" t="s">
        <v>2546</v>
      </c>
      <c r="AE37" s="27" t="str">
        <f t="shared" si="8"/>
        <v>https://babel.hathitrust.org/cgi/pt?id=mdp.39015049037735;view=1up;seq=146</v>
      </c>
      <c r="AF37" s="27" t="s">
        <v>2550</v>
      </c>
      <c r="AG37" s="4" t="s">
        <v>2546</v>
      </c>
      <c r="AH37" s="27" t="s">
        <v>473</v>
      </c>
      <c r="AI37" s="27" t="str">
        <f t="shared" si="10"/>
        <v>https://babel.hathitrust.org/cgi/pt?id=mdp.39015049037735;view=1up;seq=146</v>
      </c>
    </row>
    <row r="38" spans="1:35" x14ac:dyDescent="0.25">
      <c r="A38" s="27" t="s">
        <v>622</v>
      </c>
      <c r="B38" s="27" t="str">
        <f t="shared" si="2"/>
        <v>Alabama</v>
      </c>
      <c r="C38" s="27" t="str">
        <f t="shared" si="3"/>
        <v>Jefferson</v>
      </c>
      <c r="D38" s="27">
        <v>7902</v>
      </c>
      <c r="E38" s="27">
        <v>2892</v>
      </c>
      <c r="F38" s="27">
        <f t="shared" si="4"/>
        <v>10794</v>
      </c>
      <c r="G38" s="27">
        <v>266</v>
      </c>
      <c r="H38" s="27">
        <v>72</v>
      </c>
      <c r="I38" s="27">
        <f t="shared" si="5"/>
        <v>338</v>
      </c>
      <c r="J38" s="27">
        <v>138</v>
      </c>
      <c r="K38" s="27">
        <v>144</v>
      </c>
      <c r="L38" s="27">
        <v>146</v>
      </c>
      <c r="M38" s="27">
        <v>56</v>
      </c>
      <c r="N38" s="27">
        <v>18</v>
      </c>
      <c r="O38" s="28">
        <f t="shared" si="6"/>
        <v>0.66363636363636369</v>
      </c>
      <c r="P38" s="26">
        <f t="shared" si="11"/>
        <v>139.60755975541969</v>
      </c>
      <c r="Q38" s="2">
        <v>33319</v>
      </c>
      <c r="R38" s="12">
        <v>42.6</v>
      </c>
      <c r="S38" s="12">
        <v>28.02</v>
      </c>
      <c r="T38" s="28">
        <f t="shared" si="12"/>
        <v>39.494201183431954</v>
      </c>
      <c r="U38" s="2">
        <v>296588.46999999997</v>
      </c>
      <c r="V38" s="27">
        <v>217</v>
      </c>
      <c r="W38" s="27">
        <v>26000</v>
      </c>
      <c r="X38" s="27">
        <v>45500</v>
      </c>
      <c r="Y38" s="27">
        <f t="shared" si="7"/>
        <v>19500</v>
      </c>
      <c r="Z38" s="27">
        <v>1905</v>
      </c>
      <c r="AA38" s="4" t="s">
        <v>2546</v>
      </c>
      <c r="AB38" s="27" t="s">
        <v>472</v>
      </c>
      <c r="AC38" s="27" t="str">
        <f t="shared" si="9"/>
        <v>https://babel.hathitrust.org/cgi/pt?id=mdp.39015049037735;view=1up;seq=146</v>
      </c>
      <c r="AD38" s="4" t="s">
        <v>2546</v>
      </c>
      <c r="AE38" s="27" t="str">
        <f t="shared" si="8"/>
        <v>https://babel.hathitrust.org/cgi/pt?id=mdp.39015049037735;view=1up;seq=146</v>
      </c>
      <c r="AF38" s="27" t="s">
        <v>2550</v>
      </c>
      <c r="AG38" s="4" t="s">
        <v>2546</v>
      </c>
      <c r="AH38" s="27" t="s">
        <v>473</v>
      </c>
      <c r="AI38" s="27" t="str">
        <f t="shared" si="10"/>
        <v>https://babel.hathitrust.org/cgi/pt?id=mdp.39015049037735;view=1up;seq=146</v>
      </c>
    </row>
    <row r="39" spans="1:35" x14ac:dyDescent="0.25">
      <c r="A39" s="27" t="s">
        <v>623</v>
      </c>
      <c r="B39" s="27" t="str">
        <f t="shared" si="2"/>
        <v>Alabama</v>
      </c>
      <c r="C39" s="27" t="str">
        <f t="shared" si="3"/>
        <v>Lamar/Sanford</v>
      </c>
      <c r="D39" s="27">
        <v>1890</v>
      </c>
      <c r="E39" s="27">
        <v>189</v>
      </c>
      <c r="F39" s="27">
        <f t="shared" si="4"/>
        <v>2079</v>
      </c>
      <c r="G39" s="27">
        <v>63</v>
      </c>
      <c r="H39" s="27">
        <v>9</v>
      </c>
      <c r="I39" s="27">
        <f t="shared" si="5"/>
        <v>72</v>
      </c>
      <c r="J39" s="27">
        <v>80</v>
      </c>
      <c r="K39" s="27">
        <v>80</v>
      </c>
      <c r="L39" s="27">
        <v>5</v>
      </c>
      <c r="M39" s="27">
        <v>12</v>
      </c>
      <c r="N39" s="27">
        <v>46</v>
      </c>
      <c r="O39" s="28">
        <f t="shared" si="6"/>
        <v>7.9365079365079361E-2</v>
      </c>
      <c r="P39" s="26">
        <f t="shared" si="11"/>
        <v>80</v>
      </c>
      <c r="Q39" s="2">
        <v>5246</v>
      </c>
      <c r="R39" s="12">
        <v>36</v>
      </c>
      <c r="S39" s="12">
        <v>28</v>
      </c>
      <c r="T39" s="28">
        <f t="shared" si="12"/>
        <v>35</v>
      </c>
      <c r="U39" s="2">
        <v>14993.26</v>
      </c>
      <c r="V39" s="27">
        <v>63</v>
      </c>
      <c r="W39" s="27">
        <v>290000</v>
      </c>
      <c r="X39" s="27">
        <v>450000</v>
      </c>
      <c r="Y39" s="27">
        <f t="shared" si="7"/>
        <v>160000</v>
      </c>
      <c r="Z39" s="27">
        <v>1905</v>
      </c>
      <c r="AA39" s="4" t="s">
        <v>2546</v>
      </c>
      <c r="AB39" s="27" t="s">
        <v>472</v>
      </c>
      <c r="AC39" s="27" t="str">
        <f t="shared" si="9"/>
        <v>https://babel.hathitrust.org/cgi/pt?id=mdp.39015049037735;view=1up;seq=146</v>
      </c>
      <c r="AD39" s="4" t="s">
        <v>2546</v>
      </c>
      <c r="AE39" s="27" t="str">
        <f t="shared" si="8"/>
        <v>https://babel.hathitrust.org/cgi/pt?id=mdp.39015049037735;view=1up;seq=146</v>
      </c>
      <c r="AF39" s="27" t="s">
        <v>2550</v>
      </c>
      <c r="AG39" s="4" t="s">
        <v>2546</v>
      </c>
      <c r="AH39" s="27" t="s">
        <v>473</v>
      </c>
      <c r="AI39" s="27" t="str">
        <f t="shared" si="10"/>
        <v>https://babel.hathitrust.org/cgi/pt?id=mdp.39015049037735;view=1up;seq=146</v>
      </c>
    </row>
    <row r="40" spans="1:35" x14ac:dyDescent="0.25">
      <c r="A40" s="27" t="s">
        <v>624</v>
      </c>
      <c r="B40" s="27" t="str">
        <f t="shared" si="2"/>
        <v>Alabama</v>
      </c>
      <c r="C40" s="27" t="str">
        <f t="shared" si="3"/>
        <v>Lauderdale</v>
      </c>
      <c r="D40" s="27">
        <v>1826</v>
      </c>
      <c r="E40" s="27">
        <v>350</v>
      </c>
      <c r="F40" s="27">
        <f t="shared" si="4"/>
        <v>2176</v>
      </c>
      <c r="G40" s="27">
        <v>70</v>
      </c>
      <c r="H40" s="27">
        <v>11</v>
      </c>
      <c r="I40" s="27">
        <f t="shared" si="5"/>
        <v>81</v>
      </c>
      <c r="J40" s="27">
        <v>95</v>
      </c>
      <c r="K40" s="27">
        <v>80</v>
      </c>
      <c r="M40" s="27">
        <v>60</v>
      </c>
      <c r="N40" s="27">
        <v>21</v>
      </c>
      <c r="O40" s="28">
        <f t="shared" si="6"/>
        <v>0</v>
      </c>
      <c r="P40" s="26">
        <f t="shared" si="11"/>
        <v>92.587316176470594</v>
      </c>
      <c r="Q40" s="2">
        <v>6831</v>
      </c>
      <c r="R40" s="12">
        <v>30</v>
      </c>
      <c r="S40" s="12">
        <v>22</v>
      </c>
      <c r="T40" s="28">
        <f t="shared" si="12"/>
        <v>28.913580246913579</v>
      </c>
      <c r="U40" s="2">
        <v>24953.09</v>
      </c>
      <c r="V40" s="27">
        <v>81</v>
      </c>
      <c r="X40" s="27">
        <v>6000</v>
      </c>
      <c r="Y40" s="27">
        <f t="shared" si="7"/>
        <v>6000</v>
      </c>
      <c r="Z40" s="27">
        <v>1905</v>
      </c>
      <c r="AA40" s="4" t="s">
        <v>2546</v>
      </c>
      <c r="AB40" s="27" t="s">
        <v>472</v>
      </c>
      <c r="AC40" s="27" t="str">
        <f t="shared" si="9"/>
        <v>https://babel.hathitrust.org/cgi/pt?id=mdp.39015049037735;view=1up;seq=146</v>
      </c>
      <c r="AD40" s="4" t="s">
        <v>2546</v>
      </c>
      <c r="AE40" s="27" t="str">
        <f t="shared" si="8"/>
        <v>https://babel.hathitrust.org/cgi/pt?id=mdp.39015049037735;view=1up;seq=146</v>
      </c>
      <c r="AF40" s="4" t="s">
        <v>2551</v>
      </c>
      <c r="AG40" s="4" t="s">
        <v>2546</v>
      </c>
      <c r="AH40" s="27" t="s">
        <v>473</v>
      </c>
      <c r="AI40" s="27" t="str">
        <f t="shared" si="10"/>
        <v>https://babel.hathitrust.org/cgi/pt?id=mdp.39015049037735;view=1up;seq=146</v>
      </c>
    </row>
    <row r="41" spans="1:35" x14ac:dyDescent="0.25">
      <c r="A41" s="27" t="s">
        <v>625</v>
      </c>
      <c r="B41" s="27" t="str">
        <f t="shared" si="2"/>
        <v>Alabama</v>
      </c>
      <c r="C41" s="27" t="str">
        <f t="shared" si="3"/>
        <v>Lawrence</v>
      </c>
      <c r="D41" s="27">
        <v>1542</v>
      </c>
      <c r="E41" s="27">
        <v>384</v>
      </c>
      <c r="F41" s="27">
        <f t="shared" si="4"/>
        <v>1926</v>
      </c>
      <c r="G41" s="27">
        <v>48</v>
      </c>
      <c r="H41" s="27">
        <v>9</v>
      </c>
      <c r="I41" s="27">
        <f t="shared" si="5"/>
        <v>57</v>
      </c>
      <c r="J41" s="27">
        <v>86</v>
      </c>
      <c r="K41" s="27">
        <v>76</v>
      </c>
      <c r="L41" s="27">
        <v>6</v>
      </c>
      <c r="M41" s="27">
        <v>6</v>
      </c>
      <c r="N41" s="27">
        <v>22</v>
      </c>
      <c r="O41" s="28">
        <f t="shared" si="6"/>
        <v>0.17647058823529413</v>
      </c>
      <c r="P41" s="26">
        <f t="shared" si="11"/>
        <v>84.006230529595015</v>
      </c>
      <c r="Q41" s="2">
        <v>6631</v>
      </c>
      <c r="R41" s="12">
        <v>30.72</v>
      </c>
      <c r="S41" s="12">
        <v>26.08</v>
      </c>
      <c r="T41" s="28">
        <f t="shared" si="12"/>
        <v>29.987368421052633</v>
      </c>
      <c r="U41" s="2">
        <v>15171.17</v>
      </c>
      <c r="V41" s="27">
        <v>48</v>
      </c>
      <c r="X41" s="27">
        <v>1200</v>
      </c>
      <c r="Y41" s="27">
        <f t="shared" si="7"/>
        <v>1200</v>
      </c>
      <c r="Z41" s="27">
        <v>1905</v>
      </c>
      <c r="AA41" s="4" t="s">
        <v>2546</v>
      </c>
      <c r="AB41" s="27" t="s">
        <v>472</v>
      </c>
      <c r="AC41" s="27" t="str">
        <f t="shared" si="9"/>
        <v>https://babel.hathitrust.org/cgi/pt?id=mdp.39015049037735;view=1up;seq=146</v>
      </c>
      <c r="AD41" s="4" t="s">
        <v>2546</v>
      </c>
      <c r="AE41" s="27" t="str">
        <f t="shared" si="8"/>
        <v>https://babel.hathitrust.org/cgi/pt?id=mdp.39015049037735;view=1up;seq=146</v>
      </c>
      <c r="AF41" s="27" t="s">
        <v>2551</v>
      </c>
      <c r="AG41" s="4" t="s">
        <v>2546</v>
      </c>
      <c r="AH41" s="27" t="s">
        <v>473</v>
      </c>
      <c r="AI41" s="27" t="str">
        <f t="shared" si="10"/>
        <v>https://babel.hathitrust.org/cgi/pt?id=mdp.39015049037735;view=1up;seq=146</v>
      </c>
    </row>
    <row r="42" spans="1:35" x14ac:dyDescent="0.25">
      <c r="A42" s="27" t="s">
        <v>626</v>
      </c>
      <c r="B42" s="27" t="str">
        <f t="shared" si="2"/>
        <v>Alabama</v>
      </c>
      <c r="C42" s="27" t="str">
        <f t="shared" si="3"/>
        <v>Lee</v>
      </c>
      <c r="D42" s="27">
        <v>669</v>
      </c>
      <c r="E42" s="27">
        <v>374</v>
      </c>
      <c r="F42" s="27">
        <f t="shared" si="4"/>
        <v>1043</v>
      </c>
      <c r="G42" s="27">
        <v>34</v>
      </c>
      <c r="H42" s="27">
        <v>21</v>
      </c>
      <c r="I42" s="27">
        <f t="shared" si="5"/>
        <v>55</v>
      </c>
      <c r="J42" s="27">
        <v>109</v>
      </c>
      <c r="K42" s="27">
        <v>82</v>
      </c>
      <c r="L42" s="27">
        <v>14</v>
      </c>
      <c r="M42" s="27">
        <v>18</v>
      </c>
      <c r="N42" s="27">
        <v>23</v>
      </c>
      <c r="O42" s="28">
        <f t="shared" si="6"/>
        <v>0.25454545454545452</v>
      </c>
      <c r="P42" s="26">
        <f t="shared" si="11"/>
        <v>99.318312559923299</v>
      </c>
      <c r="Q42" s="2">
        <v>7832</v>
      </c>
      <c r="R42" s="12">
        <v>37.71</v>
      </c>
      <c r="S42" s="12">
        <v>18.510000000000002</v>
      </c>
      <c r="T42" s="28">
        <f t="shared" si="12"/>
        <v>30.379090909090912</v>
      </c>
      <c r="U42" s="2">
        <v>26552.95</v>
      </c>
      <c r="V42" s="27">
        <v>55</v>
      </c>
      <c r="X42" s="27">
        <v>15000</v>
      </c>
      <c r="Y42" s="27">
        <f t="shared" si="7"/>
        <v>15000</v>
      </c>
      <c r="Z42" s="27">
        <v>1905</v>
      </c>
      <c r="AA42" s="4" t="s">
        <v>2547</v>
      </c>
      <c r="AB42" s="27" t="s">
        <v>472</v>
      </c>
      <c r="AC42" s="27" t="str">
        <f t="shared" si="9"/>
        <v>https://babel.hathitrust.org/cgi/pt?id=mdp.39015049037735;view=1up;seq=146</v>
      </c>
      <c r="AD42" s="4" t="s">
        <v>2547</v>
      </c>
      <c r="AE42" s="27" t="str">
        <f t="shared" si="8"/>
        <v>https://babel.hathitrust.org/cgi/pt?id=mdp.39015049037735;view=1up;seq=146</v>
      </c>
      <c r="AF42" s="27" t="s">
        <v>2551</v>
      </c>
      <c r="AG42" s="4" t="s">
        <v>2547</v>
      </c>
      <c r="AH42" s="27" t="s">
        <v>473</v>
      </c>
      <c r="AI42" s="27" t="str">
        <f t="shared" si="10"/>
        <v>https://babel.hathitrust.org/cgi/pt?id=mdp.39015049037735;view=1up;seq=146</v>
      </c>
    </row>
    <row r="43" spans="1:35" x14ac:dyDescent="0.25">
      <c r="A43" s="27" t="s">
        <v>627</v>
      </c>
      <c r="B43" s="27" t="str">
        <f t="shared" si="2"/>
        <v>Alabama</v>
      </c>
      <c r="C43" s="27" t="str">
        <f t="shared" si="3"/>
        <v>Limestone</v>
      </c>
      <c r="D43" s="27">
        <v>1964</v>
      </c>
      <c r="E43" s="27">
        <v>321</v>
      </c>
      <c r="F43" s="27">
        <f t="shared" si="4"/>
        <v>2285</v>
      </c>
      <c r="G43" s="27">
        <v>54</v>
      </c>
      <c r="H43" s="27">
        <v>8</v>
      </c>
      <c r="I43" s="27">
        <f t="shared" si="5"/>
        <v>62</v>
      </c>
      <c r="J43" s="27">
        <v>101</v>
      </c>
      <c r="K43" s="27">
        <v>81</v>
      </c>
      <c r="L43" s="27">
        <v>16</v>
      </c>
      <c r="M43" s="27">
        <v>24</v>
      </c>
      <c r="N43" s="27">
        <v>14</v>
      </c>
      <c r="O43" s="28">
        <f t="shared" si="6"/>
        <v>0.29629629629629628</v>
      </c>
      <c r="P43" s="26">
        <f t="shared" si="11"/>
        <v>98.190371991247261</v>
      </c>
      <c r="Q43" s="2">
        <v>7607</v>
      </c>
      <c r="R43" s="12">
        <v>41</v>
      </c>
      <c r="S43" s="12">
        <v>23.2</v>
      </c>
      <c r="T43" s="28">
        <f t="shared" si="12"/>
        <v>38.703225806451613</v>
      </c>
      <c r="U43" s="2">
        <v>19027.21</v>
      </c>
      <c r="V43" s="27">
        <v>70</v>
      </c>
      <c r="X43" s="27">
        <v>8005</v>
      </c>
      <c r="Y43" s="27">
        <f t="shared" si="7"/>
        <v>8005</v>
      </c>
      <c r="Z43" s="27">
        <v>1905</v>
      </c>
      <c r="AA43" s="4" t="s">
        <v>2547</v>
      </c>
      <c r="AB43" s="27" t="s">
        <v>474</v>
      </c>
      <c r="AC43" s="27" t="str">
        <f t="shared" si="9"/>
        <v>https://babel.hathitrust.org/cgi/pt?id=mdp.39015049037735;view=1up;seq=146</v>
      </c>
      <c r="AD43" s="4" t="s">
        <v>2547</v>
      </c>
      <c r="AE43" s="27" t="str">
        <f t="shared" si="8"/>
        <v>https://babel.hathitrust.org/cgi/pt?id=mdp.39015049037735;view=1up;seq=146</v>
      </c>
      <c r="AF43" s="27" t="s">
        <v>2551</v>
      </c>
      <c r="AG43" s="4" t="s">
        <v>2547</v>
      </c>
      <c r="AH43" s="27" t="s">
        <v>473</v>
      </c>
      <c r="AI43" s="27" t="str">
        <f t="shared" si="10"/>
        <v>https://babel.hathitrust.org/cgi/pt?id=mdp.39015049037735;view=1up;seq=146</v>
      </c>
    </row>
    <row r="44" spans="1:35" x14ac:dyDescent="0.25">
      <c r="A44" s="27" t="s">
        <v>628</v>
      </c>
      <c r="B44" s="27" t="str">
        <f t="shared" si="2"/>
        <v>Alabama</v>
      </c>
      <c r="C44" s="27" t="str">
        <f t="shared" si="3"/>
        <v>Lowndes</v>
      </c>
      <c r="D44" s="27">
        <v>1100</v>
      </c>
      <c r="E44" s="27">
        <v>3500</v>
      </c>
      <c r="F44" s="27">
        <f t="shared" si="4"/>
        <v>4600</v>
      </c>
      <c r="G44" s="27">
        <v>62</v>
      </c>
      <c r="H44" s="27">
        <v>52</v>
      </c>
      <c r="I44" s="27">
        <f t="shared" si="5"/>
        <v>114</v>
      </c>
      <c r="J44" s="27">
        <v>140</v>
      </c>
      <c r="K44" s="27">
        <v>100</v>
      </c>
      <c r="L44" s="27">
        <v>30</v>
      </c>
      <c r="M44" s="27">
        <v>61</v>
      </c>
      <c r="N44" s="27">
        <v>2</v>
      </c>
      <c r="O44" s="28">
        <f t="shared" si="6"/>
        <v>0.32258064516129031</v>
      </c>
      <c r="P44" s="26">
        <f t="shared" si="11"/>
        <v>109.56521739130434</v>
      </c>
      <c r="Q44" s="2">
        <v>17783</v>
      </c>
      <c r="R44" s="12">
        <v>50</v>
      </c>
      <c r="S44" s="12">
        <v>25</v>
      </c>
      <c r="T44" s="28">
        <f t="shared" si="12"/>
        <v>38.596491228070178</v>
      </c>
      <c r="U44" s="2">
        <v>38340.94</v>
      </c>
      <c r="V44" s="27">
        <v>93</v>
      </c>
      <c r="W44" s="27">
        <v>35000</v>
      </c>
      <c r="X44" s="27">
        <v>46750</v>
      </c>
      <c r="Y44" s="27">
        <f t="shared" si="7"/>
        <v>11750</v>
      </c>
      <c r="Z44" s="27">
        <v>1905</v>
      </c>
      <c r="AA44" s="4" t="s">
        <v>2547</v>
      </c>
      <c r="AB44" s="27" t="s">
        <v>474</v>
      </c>
      <c r="AC44" s="27" t="str">
        <f t="shared" si="9"/>
        <v>https://babel.hathitrust.org/cgi/pt?id=mdp.39015049037735;view=1up;seq=146</v>
      </c>
      <c r="AD44" s="4" t="s">
        <v>2547</v>
      </c>
      <c r="AE44" s="27" t="str">
        <f t="shared" si="8"/>
        <v>https://babel.hathitrust.org/cgi/pt?id=mdp.39015049037735;view=1up;seq=146</v>
      </c>
      <c r="AF44" s="27" t="s">
        <v>2551</v>
      </c>
      <c r="AG44" s="4" t="s">
        <v>2547</v>
      </c>
      <c r="AH44" s="27" t="s">
        <v>473</v>
      </c>
      <c r="AI44" s="27" t="str">
        <f t="shared" si="10"/>
        <v>https://babel.hathitrust.org/cgi/pt?id=mdp.39015049037735;view=1up;seq=146</v>
      </c>
    </row>
    <row r="45" spans="1:35" x14ac:dyDescent="0.25">
      <c r="A45" s="27" t="s">
        <v>629</v>
      </c>
      <c r="B45" s="27" t="str">
        <f t="shared" si="2"/>
        <v>Alabama</v>
      </c>
      <c r="C45" s="27" t="str">
        <f t="shared" si="3"/>
        <v>Macon</v>
      </c>
      <c r="D45" s="27">
        <v>726</v>
      </c>
      <c r="E45" s="27">
        <v>2218</v>
      </c>
      <c r="F45" s="27">
        <f t="shared" si="4"/>
        <v>2944</v>
      </c>
      <c r="G45" s="27">
        <v>34</v>
      </c>
      <c r="H45" s="27">
        <v>47</v>
      </c>
      <c r="I45" s="27">
        <f t="shared" si="5"/>
        <v>81</v>
      </c>
      <c r="J45" s="27">
        <v>140</v>
      </c>
      <c r="K45" s="27">
        <v>100</v>
      </c>
      <c r="L45" s="27">
        <v>32</v>
      </c>
      <c r="M45" s="27">
        <v>75</v>
      </c>
      <c r="O45" s="28">
        <f t="shared" si="6"/>
        <v>0.29906542056074764</v>
      </c>
      <c r="P45" s="26">
        <f t="shared" si="11"/>
        <v>109.86413043478261</v>
      </c>
      <c r="Q45" s="2">
        <v>8351</v>
      </c>
      <c r="R45" s="12">
        <v>45.58</v>
      </c>
      <c r="S45" s="12">
        <v>22.31</v>
      </c>
      <c r="T45" s="28">
        <f t="shared" si="12"/>
        <v>32.077654320987655</v>
      </c>
      <c r="U45" s="2">
        <v>22382.63</v>
      </c>
      <c r="V45" s="27">
        <v>75</v>
      </c>
      <c r="X45" s="27">
        <v>57500</v>
      </c>
      <c r="Y45" s="27">
        <f t="shared" si="7"/>
        <v>57500</v>
      </c>
      <c r="Z45" s="27">
        <v>1905</v>
      </c>
      <c r="AA45" s="4" t="s">
        <v>2547</v>
      </c>
      <c r="AB45" s="27" t="s">
        <v>474</v>
      </c>
      <c r="AC45" s="27" t="str">
        <f t="shared" si="9"/>
        <v>https://babel.hathitrust.org/cgi/pt?id=mdp.39015049037735;view=1up;seq=146</v>
      </c>
      <c r="AD45" s="4" t="s">
        <v>2547</v>
      </c>
      <c r="AE45" s="27" t="str">
        <f t="shared" si="8"/>
        <v>https://babel.hathitrust.org/cgi/pt?id=mdp.39015049037735;view=1up;seq=146</v>
      </c>
      <c r="AF45" s="27" t="s">
        <v>2551</v>
      </c>
      <c r="AG45" s="4" t="s">
        <v>2547</v>
      </c>
      <c r="AH45" s="27" t="s">
        <v>473</v>
      </c>
      <c r="AI45" s="27" t="str">
        <f t="shared" si="10"/>
        <v>https://babel.hathitrust.org/cgi/pt?id=mdp.39015049037735;view=1up;seq=146</v>
      </c>
    </row>
    <row r="46" spans="1:35" x14ac:dyDescent="0.25">
      <c r="A46" s="27" t="s">
        <v>630</v>
      </c>
      <c r="B46" s="27" t="str">
        <f t="shared" si="2"/>
        <v>Alabama</v>
      </c>
      <c r="C46" s="27" t="str">
        <f t="shared" si="3"/>
        <v>Madison</v>
      </c>
      <c r="D46" s="27">
        <v>3200</v>
      </c>
      <c r="E46" s="27">
        <v>1300</v>
      </c>
      <c r="F46" s="27">
        <f t="shared" si="4"/>
        <v>4500</v>
      </c>
      <c r="G46" s="27">
        <v>77</v>
      </c>
      <c r="H46" s="27">
        <v>27</v>
      </c>
      <c r="I46" s="27">
        <f t="shared" si="5"/>
        <v>104</v>
      </c>
      <c r="J46" s="27">
        <v>119</v>
      </c>
      <c r="K46" s="27">
        <v>85</v>
      </c>
      <c r="L46" s="27">
        <v>26</v>
      </c>
      <c r="M46" s="27">
        <v>52</v>
      </c>
      <c r="N46" s="27">
        <v>9</v>
      </c>
      <c r="O46" s="28">
        <f t="shared" si="6"/>
        <v>0.2988505747126437</v>
      </c>
      <c r="P46" s="26">
        <f t="shared" si="11"/>
        <v>109.17777777777778</v>
      </c>
      <c r="Q46" s="2">
        <v>13421</v>
      </c>
      <c r="R46" s="12">
        <v>44.25</v>
      </c>
      <c r="S46" s="12">
        <v>20</v>
      </c>
      <c r="T46" s="28">
        <f t="shared" si="12"/>
        <v>37.95432692307692</v>
      </c>
      <c r="U46" s="2">
        <v>50665.75</v>
      </c>
      <c r="V46" s="27">
        <v>92</v>
      </c>
      <c r="W46" s="27">
        <v>110000</v>
      </c>
      <c r="X46" s="27">
        <v>119000</v>
      </c>
      <c r="Y46" s="27">
        <f t="shared" si="7"/>
        <v>9000</v>
      </c>
      <c r="Z46" s="27">
        <v>1905</v>
      </c>
      <c r="AA46" s="4" t="s">
        <v>2547</v>
      </c>
      <c r="AB46" s="27" t="s">
        <v>474</v>
      </c>
      <c r="AC46" s="27" t="str">
        <f t="shared" si="9"/>
        <v>https://babel.hathitrust.org/cgi/pt?id=mdp.39015049037735;view=1up;seq=146</v>
      </c>
      <c r="AD46" s="4" t="s">
        <v>2547</v>
      </c>
      <c r="AE46" s="27" t="str">
        <f t="shared" si="8"/>
        <v>https://babel.hathitrust.org/cgi/pt?id=mdp.39015049037735;view=1up;seq=146</v>
      </c>
      <c r="AF46" s="27" t="s">
        <v>2551</v>
      </c>
      <c r="AG46" s="4" t="s">
        <v>2547</v>
      </c>
      <c r="AH46" s="27" t="s">
        <v>473</v>
      </c>
      <c r="AI46" s="27" t="str">
        <f t="shared" si="10"/>
        <v>https://babel.hathitrust.org/cgi/pt?id=mdp.39015049037735;view=1up;seq=146</v>
      </c>
    </row>
    <row r="47" spans="1:35" x14ac:dyDescent="0.25">
      <c r="A47" s="27" t="s">
        <v>631</v>
      </c>
      <c r="B47" s="27" t="str">
        <f t="shared" si="2"/>
        <v>Alabama</v>
      </c>
      <c r="C47" s="27" t="str">
        <f t="shared" si="3"/>
        <v>Marengo</v>
      </c>
      <c r="D47" s="27">
        <v>1437</v>
      </c>
      <c r="E47" s="27">
        <v>585</v>
      </c>
      <c r="F47" s="27">
        <f>D47+E47</f>
        <v>2022</v>
      </c>
      <c r="G47" s="27">
        <v>62</v>
      </c>
      <c r="H47" s="27">
        <v>43</v>
      </c>
      <c r="I47" s="27">
        <f t="shared" si="5"/>
        <v>105</v>
      </c>
      <c r="J47" s="27">
        <v>99</v>
      </c>
      <c r="K47" s="27">
        <v>91</v>
      </c>
      <c r="L47" s="27">
        <v>6</v>
      </c>
      <c r="M47" s="27">
        <v>57</v>
      </c>
      <c r="N47" s="27">
        <v>30</v>
      </c>
      <c r="O47" s="28">
        <f t="shared" si="6"/>
        <v>6.4516129032258063E-2</v>
      </c>
      <c r="P47" s="26">
        <f t="shared" si="11"/>
        <v>96.685459940652819</v>
      </c>
      <c r="Q47" s="2">
        <v>12459</v>
      </c>
      <c r="R47" s="12">
        <v>36</v>
      </c>
      <c r="S47" s="12">
        <v>22</v>
      </c>
      <c r="T47" s="28">
        <f t="shared" si="12"/>
        <v>30.266666666666666</v>
      </c>
      <c r="U47" s="2">
        <v>47953.05</v>
      </c>
      <c r="V47" s="27">
        <v>93</v>
      </c>
      <c r="X47" s="27">
        <v>44500</v>
      </c>
      <c r="Y47" s="27">
        <f t="shared" si="7"/>
        <v>44500</v>
      </c>
      <c r="Z47" s="27">
        <v>1905</v>
      </c>
      <c r="AA47" s="4" t="s">
        <v>2547</v>
      </c>
      <c r="AB47" s="27" t="s">
        <v>474</v>
      </c>
      <c r="AC47" s="27" t="str">
        <f t="shared" si="9"/>
        <v>https://babel.hathitrust.org/cgi/pt?id=mdp.39015049037735;view=1up;seq=146</v>
      </c>
      <c r="AD47" s="4" t="s">
        <v>2547</v>
      </c>
      <c r="AE47" s="27" t="str">
        <f t="shared" si="8"/>
        <v>https://babel.hathitrust.org/cgi/pt?id=mdp.39015049037735;view=1up;seq=146</v>
      </c>
      <c r="AF47" s="27" t="s">
        <v>2551</v>
      </c>
      <c r="AG47" s="4" t="s">
        <v>2547</v>
      </c>
      <c r="AH47" s="27" t="s">
        <v>473</v>
      </c>
      <c r="AI47" s="27" t="str">
        <f t="shared" si="10"/>
        <v>https://babel.hathitrust.org/cgi/pt?id=mdp.39015049037735;view=1up;seq=146</v>
      </c>
    </row>
    <row r="48" spans="1:35" x14ac:dyDescent="0.25">
      <c r="A48" s="27" t="s">
        <v>632</v>
      </c>
      <c r="B48" s="27" t="str">
        <f t="shared" si="2"/>
        <v>Alabama</v>
      </c>
      <c r="C48" s="27" t="str">
        <f t="shared" si="3"/>
        <v>Marion</v>
      </c>
      <c r="D48" s="27">
        <v>2367</v>
      </c>
      <c r="E48" s="27">
        <v>78</v>
      </c>
      <c r="F48" s="27">
        <f t="shared" si="4"/>
        <v>2445</v>
      </c>
      <c r="G48" s="27">
        <v>75</v>
      </c>
      <c r="H48" s="27">
        <v>1</v>
      </c>
      <c r="I48" s="27">
        <f t="shared" si="5"/>
        <v>76</v>
      </c>
      <c r="J48" s="27">
        <v>78</v>
      </c>
      <c r="K48" s="27">
        <v>60</v>
      </c>
      <c r="L48" s="27">
        <v>5</v>
      </c>
      <c r="M48" s="27">
        <v>12</v>
      </c>
      <c r="N48" s="27">
        <v>55</v>
      </c>
      <c r="O48" s="28">
        <f t="shared" si="6"/>
        <v>6.9444444444444448E-2</v>
      </c>
      <c r="P48" s="26">
        <f t="shared" si="11"/>
        <v>77.425766871165649</v>
      </c>
      <c r="Q48" s="2">
        <v>5790</v>
      </c>
      <c r="R48" s="12">
        <v>34.57</v>
      </c>
      <c r="S48" s="12">
        <v>26.48</v>
      </c>
      <c r="T48" s="28">
        <f t="shared" si="12"/>
        <v>34.463552631578949</v>
      </c>
      <c r="U48" s="2">
        <v>17039.82</v>
      </c>
      <c r="V48" s="27">
        <v>72</v>
      </c>
      <c r="X48" s="27">
        <v>31372</v>
      </c>
      <c r="Y48" s="27">
        <f t="shared" si="7"/>
        <v>31372</v>
      </c>
      <c r="Z48" s="27">
        <v>1905</v>
      </c>
      <c r="AA48" s="4" t="s">
        <v>2547</v>
      </c>
      <c r="AB48" s="27" t="s">
        <v>474</v>
      </c>
      <c r="AC48" s="27" t="str">
        <f t="shared" si="9"/>
        <v>https://babel.hathitrust.org/cgi/pt?id=mdp.39015049037735;view=1up;seq=146</v>
      </c>
      <c r="AD48" s="4" t="s">
        <v>2547</v>
      </c>
      <c r="AE48" s="27" t="str">
        <f t="shared" si="8"/>
        <v>https://babel.hathitrust.org/cgi/pt?id=mdp.39015049037735;view=1up;seq=146</v>
      </c>
      <c r="AF48" s="27" t="s">
        <v>2551</v>
      </c>
      <c r="AG48" s="4" t="s">
        <v>2547</v>
      </c>
      <c r="AH48" s="27" t="s">
        <v>473</v>
      </c>
      <c r="AI48" s="27" t="str">
        <f t="shared" si="10"/>
        <v>https://babel.hathitrust.org/cgi/pt?id=mdp.39015049037735;view=1up;seq=146</v>
      </c>
    </row>
    <row r="49" spans="1:35" x14ac:dyDescent="0.25">
      <c r="A49" s="27" t="s">
        <v>633</v>
      </c>
      <c r="B49" s="27" t="str">
        <f t="shared" si="2"/>
        <v>Alabama</v>
      </c>
      <c r="C49" s="27" t="str">
        <f t="shared" si="3"/>
        <v>Marshall</v>
      </c>
      <c r="D49" s="27">
        <v>3721</v>
      </c>
      <c r="E49" s="27">
        <v>53</v>
      </c>
      <c r="F49" s="27">
        <f t="shared" si="4"/>
        <v>3774</v>
      </c>
      <c r="G49" s="27">
        <v>71</v>
      </c>
      <c r="H49" s="27">
        <v>1</v>
      </c>
      <c r="I49" s="27">
        <f t="shared" si="5"/>
        <v>72</v>
      </c>
      <c r="J49" s="27">
        <v>103</v>
      </c>
      <c r="K49" s="27">
        <v>80</v>
      </c>
      <c r="L49" s="27">
        <v>31</v>
      </c>
      <c r="M49" s="27">
        <v>28</v>
      </c>
      <c r="N49" s="27">
        <v>7</v>
      </c>
      <c r="O49" s="28">
        <f t="shared" si="6"/>
        <v>0.46969696969696972</v>
      </c>
      <c r="P49" s="26">
        <f t="shared" si="11"/>
        <v>102.67700052994171</v>
      </c>
      <c r="Q49" s="2">
        <v>7998</v>
      </c>
      <c r="R49" s="12">
        <v>35</v>
      </c>
      <c r="S49" s="12">
        <v>20</v>
      </c>
      <c r="T49" s="28">
        <f t="shared" si="12"/>
        <v>34.791666666666664</v>
      </c>
      <c r="U49" s="2">
        <v>24516.85</v>
      </c>
      <c r="V49" s="27">
        <v>66</v>
      </c>
      <c r="W49" s="27">
        <v>4000</v>
      </c>
      <c r="X49" s="27">
        <v>14500</v>
      </c>
      <c r="Y49" s="27">
        <f t="shared" si="7"/>
        <v>10500</v>
      </c>
      <c r="Z49" s="27">
        <v>1905</v>
      </c>
      <c r="AA49" s="4" t="s">
        <v>2547</v>
      </c>
      <c r="AB49" s="27" t="s">
        <v>474</v>
      </c>
      <c r="AC49" s="27" t="str">
        <f t="shared" si="9"/>
        <v>https://babel.hathitrust.org/cgi/pt?id=mdp.39015049037735;view=1up;seq=146</v>
      </c>
      <c r="AD49" s="4" t="s">
        <v>2547</v>
      </c>
      <c r="AE49" s="27" t="str">
        <f t="shared" si="8"/>
        <v>https://babel.hathitrust.org/cgi/pt?id=mdp.39015049037735;view=1up;seq=146</v>
      </c>
      <c r="AF49" s="27" t="s">
        <v>2551</v>
      </c>
      <c r="AG49" s="4" t="s">
        <v>2547</v>
      </c>
      <c r="AH49" s="27" t="s">
        <v>473</v>
      </c>
      <c r="AI49" s="27" t="str">
        <f t="shared" si="10"/>
        <v>https://babel.hathitrust.org/cgi/pt?id=mdp.39015049037735;view=1up;seq=146</v>
      </c>
    </row>
    <row r="50" spans="1:35" x14ac:dyDescent="0.25">
      <c r="A50" s="27" t="s">
        <v>634</v>
      </c>
      <c r="B50" s="27" t="str">
        <f t="shared" si="2"/>
        <v>Alabama</v>
      </c>
      <c r="C50" s="27" t="str">
        <f t="shared" si="3"/>
        <v>Mobile</v>
      </c>
      <c r="D50" s="27">
        <v>4403</v>
      </c>
      <c r="E50" s="27">
        <v>2399</v>
      </c>
      <c r="F50" s="27">
        <f t="shared" si="4"/>
        <v>6802</v>
      </c>
      <c r="G50" s="27">
        <v>173</v>
      </c>
      <c r="H50" s="27">
        <v>61</v>
      </c>
      <c r="I50" s="27">
        <f t="shared" si="5"/>
        <v>234</v>
      </c>
      <c r="J50" s="27">
        <v>146</v>
      </c>
      <c r="K50" s="27">
        <v>129</v>
      </c>
      <c r="L50" s="27">
        <v>101</v>
      </c>
      <c r="M50" s="27">
        <v>18</v>
      </c>
      <c r="N50" s="27">
        <v>3</v>
      </c>
      <c r="O50" s="28">
        <f t="shared" si="6"/>
        <v>0.82786885245901642</v>
      </c>
      <c r="P50" s="26">
        <f t="shared" si="11"/>
        <v>140.00426345192591</v>
      </c>
      <c r="Q50" s="2">
        <v>20276</v>
      </c>
      <c r="R50" s="12">
        <v>56.09</v>
      </c>
      <c r="S50" s="12">
        <v>37.46</v>
      </c>
      <c r="T50" s="28">
        <f t="shared" si="12"/>
        <v>51.233461538461533</v>
      </c>
      <c r="U50" s="2">
        <v>161094.19</v>
      </c>
      <c r="V50" s="27">
        <v>122</v>
      </c>
      <c r="W50" s="27">
        <v>10000</v>
      </c>
      <c r="X50" s="27">
        <v>31000</v>
      </c>
      <c r="Y50" s="27">
        <f t="shared" si="7"/>
        <v>21000</v>
      </c>
      <c r="Z50" s="27">
        <v>1905</v>
      </c>
      <c r="AA50" s="4" t="s">
        <v>2547</v>
      </c>
      <c r="AB50" s="27" t="s">
        <v>474</v>
      </c>
      <c r="AC50" s="27" t="str">
        <f t="shared" si="9"/>
        <v>https://babel.hathitrust.org/cgi/pt?id=mdp.39015049037735;view=1up;seq=146</v>
      </c>
      <c r="AD50" s="4" t="s">
        <v>2547</v>
      </c>
      <c r="AE50" s="27" t="str">
        <f t="shared" si="8"/>
        <v>https://babel.hathitrust.org/cgi/pt?id=mdp.39015049037735;view=1up;seq=146</v>
      </c>
      <c r="AF50" s="27" t="s">
        <v>2551</v>
      </c>
      <c r="AG50" s="4" t="s">
        <v>2547</v>
      </c>
      <c r="AH50" s="27" t="s">
        <v>473</v>
      </c>
      <c r="AI50" s="27" t="str">
        <f t="shared" si="10"/>
        <v>https://babel.hathitrust.org/cgi/pt?id=mdp.39015049037735;view=1up;seq=146</v>
      </c>
    </row>
    <row r="51" spans="1:35" x14ac:dyDescent="0.25">
      <c r="A51" s="27" t="s">
        <v>635</v>
      </c>
      <c r="B51" s="27" t="str">
        <f t="shared" si="2"/>
        <v>Alabama</v>
      </c>
      <c r="C51" s="27" t="str">
        <f t="shared" si="3"/>
        <v>Monroe</v>
      </c>
      <c r="D51" s="27">
        <v>3000</v>
      </c>
      <c r="E51" s="27">
        <v>2000</v>
      </c>
      <c r="F51" s="27">
        <f t="shared" si="4"/>
        <v>5000</v>
      </c>
      <c r="G51" s="27">
        <v>68</v>
      </c>
      <c r="H51" s="27">
        <v>34</v>
      </c>
      <c r="I51" s="27">
        <f t="shared" si="5"/>
        <v>102</v>
      </c>
      <c r="J51" s="27">
        <v>90</v>
      </c>
      <c r="K51" s="27">
        <v>80</v>
      </c>
      <c r="M51" s="27">
        <v>50</v>
      </c>
      <c r="N51" s="27">
        <v>50</v>
      </c>
      <c r="O51" s="28">
        <f t="shared" si="6"/>
        <v>0</v>
      </c>
      <c r="P51" s="26">
        <f t="shared" si="11"/>
        <v>86</v>
      </c>
      <c r="Q51" s="2">
        <v>8631</v>
      </c>
      <c r="R51" s="12">
        <v>32</v>
      </c>
      <c r="S51" s="12">
        <v>22</v>
      </c>
      <c r="T51" s="28">
        <f t="shared" si="12"/>
        <v>28.666666666666668</v>
      </c>
      <c r="U51" s="2">
        <v>22064.22</v>
      </c>
      <c r="V51" s="27">
        <v>100</v>
      </c>
      <c r="W51" s="27">
        <v>150000</v>
      </c>
      <c r="X51" s="27">
        <v>315000</v>
      </c>
      <c r="Y51" s="27">
        <f t="shared" si="7"/>
        <v>165000</v>
      </c>
      <c r="Z51" s="27">
        <v>1905</v>
      </c>
      <c r="AA51" s="4" t="s">
        <v>2547</v>
      </c>
      <c r="AB51" s="27" t="s">
        <v>474</v>
      </c>
      <c r="AC51" s="27" t="str">
        <f t="shared" si="9"/>
        <v>https://babel.hathitrust.org/cgi/pt?id=mdp.39015049037735;view=1up;seq=146</v>
      </c>
      <c r="AD51" s="4" t="s">
        <v>2547</v>
      </c>
      <c r="AE51" s="27" t="str">
        <f t="shared" si="8"/>
        <v>https://babel.hathitrust.org/cgi/pt?id=mdp.39015049037735;view=1up;seq=146</v>
      </c>
      <c r="AF51" s="27" t="s">
        <v>2551</v>
      </c>
      <c r="AG51" s="4" t="s">
        <v>2547</v>
      </c>
      <c r="AH51" s="27" t="s">
        <v>473</v>
      </c>
      <c r="AI51" s="27" t="str">
        <f t="shared" si="10"/>
        <v>https://babel.hathitrust.org/cgi/pt?id=mdp.39015049037735;view=1up;seq=146</v>
      </c>
    </row>
    <row r="52" spans="1:35" x14ac:dyDescent="0.25">
      <c r="A52" s="27" t="s">
        <v>636</v>
      </c>
      <c r="B52" s="27" t="str">
        <f t="shared" si="2"/>
        <v>Alabama</v>
      </c>
      <c r="C52" s="27" t="str">
        <f t="shared" si="3"/>
        <v>Montgomery</v>
      </c>
      <c r="D52" s="27">
        <v>1380</v>
      </c>
      <c r="E52" s="27">
        <v>5472</v>
      </c>
      <c r="F52" s="27">
        <f t="shared" si="4"/>
        <v>6852</v>
      </c>
      <c r="G52" s="27">
        <v>48</v>
      </c>
      <c r="H52" s="27">
        <v>76</v>
      </c>
      <c r="I52" s="27">
        <f t="shared" si="5"/>
        <v>124</v>
      </c>
      <c r="J52" s="27">
        <v>140</v>
      </c>
      <c r="K52" s="27">
        <v>104</v>
      </c>
      <c r="L52" s="27">
        <v>56</v>
      </c>
      <c r="M52" s="27">
        <v>60</v>
      </c>
      <c r="N52" s="27">
        <v>6</v>
      </c>
      <c r="O52" s="28">
        <f t="shared" si="6"/>
        <v>0.45901639344262296</v>
      </c>
      <c r="P52" s="26">
        <f t="shared" si="11"/>
        <v>111.25043782837128</v>
      </c>
      <c r="Q52" s="2">
        <v>16159</v>
      </c>
      <c r="R52" s="12">
        <v>51</v>
      </c>
      <c r="S52" s="12">
        <v>21.25</v>
      </c>
      <c r="T52" s="28">
        <f t="shared" si="12"/>
        <v>32.766129032258064</v>
      </c>
      <c r="U52" s="2">
        <v>95973.55</v>
      </c>
      <c r="V52" s="27">
        <v>122</v>
      </c>
      <c r="X52" s="27">
        <v>42000</v>
      </c>
      <c r="Y52" s="27">
        <f t="shared" si="7"/>
        <v>42000</v>
      </c>
      <c r="Z52" s="27">
        <v>1905</v>
      </c>
      <c r="AA52" s="4" t="s">
        <v>2547</v>
      </c>
      <c r="AB52" s="27" t="s">
        <v>474</v>
      </c>
      <c r="AC52" s="27" t="str">
        <f t="shared" si="9"/>
        <v>https://babel.hathitrust.org/cgi/pt?id=mdp.39015049037735;view=1up;seq=146</v>
      </c>
      <c r="AD52" s="4" t="s">
        <v>2547</v>
      </c>
      <c r="AE52" s="27" t="str">
        <f t="shared" si="8"/>
        <v>https://babel.hathitrust.org/cgi/pt?id=mdp.39015049037735;view=1up;seq=146</v>
      </c>
      <c r="AF52" s="27" t="s">
        <v>2551</v>
      </c>
      <c r="AG52" s="4" t="s">
        <v>2547</v>
      </c>
      <c r="AH52" s="27" t="s">
        <v>473</v>
      </c>
      <c r="AI52" s="27" t="str">
        <f t="shared" si="10"/>
        <v>https://babel.hathitrust.org/cgi/pt?id=mdp.39015049037735;view=1up;seq=146</v>
      </c>
    </row>
    <row r="53" spans="1:35" x14ac:dyDescent="0.25">
      <c r="A53" s="27" t="s">
        <v>1775</v>
      </c>
      <c r="B53" s="27" t="str">
        <f t="shared" si="2"/>
        <v>Alabama</v>
      </c>
      <c r="C53" s="27" t="str">
        <f t="shared" si="3"/>
        <v>Morgan/Cotaco</v>
      </c>
      <c r="D53" s="27">
        <v>2498</v>
      </c>
      <c r="E53" s="27">
        <v>463</v>
      </c>
      <c r="F53" s="27">
        <f t="shared" si="4"/>
        <v>2961</v>
      </c>
      <c r="G53" s="27">
        <v>76</v>
      </c>
      <c r="H53" s="27">
        <v>18</v>
      </c>
      <c r="I53" s="27">
        <f t="shared" si="5"/>
        <v>94</v>
      </c>
      <c r="J53" s="27">
        <v>87</v>
      </c>
      <c r="K53" s="27">
        <v>87</v>
      </c>
      <c r="L53" s="27">
        <v>8</v>
      </c>
      <c r="M53" s="27">
        <v>8</v>
      </c>
      <c r="N53" s="27">
        <v>50</v>
      </c>
      <c r="O53" s="28">
        <f t="shared" si="6"/>
        <v>0.12121212121212122</v>
      </c>
      <c r="P53" s="26">
        <f t="shared" si="11"/>
        <v>87</v>
      </c>
      <c r="Q53" s="2">
        <v>9398</v>
      </c>
      <c r="R53" s="12">
        <v>40.590000000000003</v>
      </c>
      <c r="S53" s="12">
        <v>25.38</v>
      </c>
      <c r="T53" s="28">
        <f t="shared" si="12"/>
        <v>37.677446808510645</v>
      </c>
      <c r="U53" s="2">
        <v>36834.949999999997</v>
      </c>
      <c r="V53" s="27">
        <v>81</v>
      </c>
      <c r="X53" s="27">
        <v>59775</v>
      </c>
      <c r="Y53" s="27">
        <f t="shared" si="7"/>
        <v>59775</v>
      </c>
      <c r="Z53" s="27">
        <v>1905</v>
      </c>
      <c r="AA53" s="4" t="s">
        <v>2547</v>
      </c>
      <c r="AB53" s="27" t="s">
        <v>476</v>
      </c>
      <c r="AC53" s="27" t="str">
        <f t="shared" si="9"/>
        <v>https://babel.hathitrust.org/cgi/pt?id=mdp.39015049037735;view=1up;seq=146</v>
      </c>
      <c r="AD53" s="4" t="s">
        <v>2547</v>
      </c>
      <c r="AE53" s="27" t="str">
        <f t="shared" si="8"/>
        <v>https://babel.hathitrust.org/cgi/pt?id=mdp.39015049037735;view=1up;seq=146</v>
      </c>
      <c r="AF53" s="4" t="s">
        <v>2552</v>
      </c>
      <c r="AG53" s="4" t="s">
        <v>2547</v>
      </c>
      <c r="AH53" s="27" t="s">
        <v>477</v>
      </c>
      <c r="AI53" s="27" t="str">
        <f t="shared" si="10"/>
        <v>https://babel.hathitrust.org/cgi/pt?id=mdp.39015049037735;view=1up;seq=146</v>
      </c>
    </row>
    <row r="54" spans="1:35" x14ac:dyDescent="0.25">
      <c r="A54" s="27" t="s">
        <v>637</v>
      </c>
      <c r="B54" s="27" t="str">
        <f t="shared" si="2"/>
        <v>Alabama</v>
      </c>
      <c r="C54" s="27" t="str">
        <f t="shared" si="3"/>
        <v>Perry</v>
      </c>
      <c r="D54" s="27">
        <v>845</v>
      </c>
      <c r="E54" s="27">
        <v>715</v>
      </c>
      <c r="F54" s="27">
        <f t="shared" si="4"/>
        <v>1560</v>
      </c>
      <c r="G54" s="27">
        <v>38</v>
      </c>
      <c r="H54" s="27">
        <v>17</v>
      </c>
      <c r="I54" s="27">
        <f t="shared" si="5"/>
        <v>55</v>
      </c>
      <c r="J54" s="27">
        <v>113</v>
      </c>
      <c r="K54" s="27">
        <v>76</v>
      </c>
      <c r="L54" s="27">
        <v>32</v>
      </c>
      <c r="M54" s="27">
        <v>16</v>
      </c>
      <c r="N54" s="27">
        <v>7</v>
      </c>
      <c r="O54" s="28">
        <f t="shared" si="6"/>
        <v>0.58181818181818179</v>
      </c>
      <c r="P54" s="26">
        <f t="shared" si="11"/>
        <v>96.041666666666671</v>
      </c>
      <c r="Q54" s="2">
        <v>9238</v>
      </c>
      <c r="R54" s="12">
        <v>33.700000000000003</v>
      </c>
      <c r="S54" s="12">
        <v>16.850000000000001</v>
      </c>
      <c r="T54" s="28">
        <f t="shared" si="12"/>
        <v>28.491818181818186</v>
      </c>
      <c r="U54" s="2">
        <v>33278.5</v>
      </c>
      <c r="V54" s="27">
        <v>64</v>
      </c>
      <c r="W54" s="27">
        <v>325000</v>
      </c>
      <c r="X54" s="27">
        <v>358320</v>
      </c>
      <c r="Y54" s="27">
        <f t="shared" si="7"/>
        <v>33320</v>
      </c>
      <c r="Z54" s="27">
        <v>1905</v>
      </c>
      <c r="AA54" s="4" t="s">
        <v>2547</v>
      </c>
      <c r="AB54" s="27" t="s">
        <v>476</v>
      </c>
      <c r="AC54" s="27" t="str">
        <f t="shared" si="9"/>
        <v>https://babel.hathitrust.org/cgi/pt?id=mdp.39015049037735;view=1up;seq=146</v>
      </c>
      <c r="AD54" s="4" t="s">
        <v>2547</v>
      </c>
      <c r="AE54" s="27" t="str">
        <f t="shared" si="8"/>
        <v>https://babel.hathitrust.org/cgi/pt?id=mdp.39015049037735;view=1up;seq=146</v>
      </c>
      <c r="AF54" s="27" t="s">
        <v>2552</v>
      </c>
      <c r="AG54" s="4" t="s">
        <v>2547</v>
      </c>
      <c r="AH54" s="27" t="s">
        <v>477</v>
      </c>
      <c r="AI54" s="27" t="str">
        <f t="shared" si="10"/>
        <v>https://babel.hathitrust.org/cgi/pt?id=mdp.39015049037735;view=1up;seq=146</v>
      </c>
    </row>
    <row r="55" spans="1:35" x14ac:dyDescent="0.25">
      <c r="A55" s="27" t="s">
        <v>638</v>
      </c>
      <c r="B55" s="27" t="str">
        <f t="shared" si="2"/>
        <v>Alabama</v>
      </c>
      <c r="C55" s="27" t="str">
        <f t="shared" si="3"/>
        <v>Pickens</v>
      </c>
      <c r="D55" s="27">
        <v>1348</v>
      </c>
      <c r="E55" s="27">
        <v>955</v>
      </c>
      <c r="F55" s="27">
        <f t="shared" si="4"/>
        <v>2303</v>
      </c>
      <c r="G55" s="27">
        <v>50</v>
      </c>
      <c r="H55" s="27">
        <v>28</v>
      </c>
      <c r="I55" s="27">
        <f t="shared" si="5"/>
        <v>78</v>
      </c>
      <c r="J55" s="27">
        <v>90</v>
      </c>
      <c r="K55" s="27">
        <v>80</v>
      </c>
      <c r="L55" s="27">
        <v>3</v>
      </c>
      <c r="M55" s="27">
        <v>18</v>
      </c>
      <c r="N55" s="27">
        <v>57</v>
      </c>
      <c r="O55" s="28">
        <f t="shared" si="6"/>
        <v>3.8461538461538464E-2</v>
      </c>
      <c r="P55" s="26">
        <f t="shared" si="11"/>
        <v>85.853234910985677</v>
      </c>
      <c r="Q55" s="2">
        <v>7589</v>
      </c>
      <c r="R55" s="12">
        <v>38</v>
      </c>
      <c r="S55" s="12">
        <v>19</v>
      </c>
      <c r="T55" s="28">
        <f t="shared" si="12"/>
        <v>31.179487179487179</v>
      </c>
      <c r="U55" s="2">
        <v>22547.26</v>
      </c>
      <c r="V55" s="27">
        <v>88</v>
      </c>
      <c r="X55" s="27">
        <v>10000</v>
      </c>
      <c r="Y55" s="27">
        <f t="shared" si="7"/>
        <v>10000</v>
      </c>
      <c r="Z55" s="27">
        <v>1905</v>
      </c>
      <c r="AA55" s="4" t="s">
        <v>2547</v>
      </c>
      <c r="AB55" s="27" t="s">
        <v>476</v>
      </c>
      <c r="AC55" s="27" t="str">
        <f t="shared" si="9"/>
        <v>https://babel.hathitrust.org/cgi/pt?id=mdp.39015049037735;view=1up;seq=146</v>
      </c>
      <c r="AD55" s="4" t="s">
        <v>2547</v>
      </c>
      <c r="AE55" s="27" t="str">
        <f t="shared" si="8"/>
        <v>https://babel.hathitrust.org/cgi/pt?id=mdp.39015049037735;view=1up;seq=146</v>
      </c>
      <c r="AF55" s="27" t="s">
        <v>2552</v>
      </c>
      <c r="AG55" s="4" t="s">
        <v>2547</v>
      </c>
      <c r="AH55" s="27" t="s">
        <v>477</v>
      </c>
      <c r="AI55" s="27" t="str">
        <f t="shared" si="10"/>
        <v>https://babel.hathitrust.org/cgi/pt?id=mdp.39015049037735;view=1up;seq=146</v>
      </c>
    </row>
    <row r="56" spans="1:35" x14ac:dyDescent="0.25">
      <c r="A56" s="27" t="s">
        <v>639</v>
      </c>
      <c r="B56" s="27" t="str">
        <f t="shared" si="2"/>
        <v>Alabama</v>
      </c>
      <c r="C56" s="27" t="str">
        <f t="shared" si="3"/>
        <v>Pike</v>
      </c>
      <c r="D56" s="27">
        <v>2224</v>
      </c>
      <c r="E56" s="27">
        <v>1080</v>
      </c>
      <c r="F56" s="27">
        <f t="shared" si="4"/>
        <v>3304</v>
      </c>
      <c r="G56" s="27">
        <v>68</v>
      </c>
      <c r="H56" s="27">
        <v>24</v>
      </c>
      <c r="I56" s="27">
        <f t="shared" si="5"/>
        <v>92</v>
      </c>
      <c r="J56" s="27">
        <v>100</v>
      </c>
      <c r="K56" s="27">
        <v>100</v>
      </c>
      <c r="L56" s="27">
        <v>12</v>
      </c>
      <c r="M56" s="27">
        <v>50</v>
      </c>
      <c r="N56" s="27">
        <v>30</v>
      </c>
      <c r="O56" s="28">
        <f t="shared" si="6"/>
        <v>0.13043478260869565</v>
      </c>
      <c r="P56" s="26">
        <f t="shared" si="11"/>
        <v>100</v>
      </c>
      <c r="Q56" s="2">
        <v>9037</v>
      </c>
      <c r="R56" s="12">
        <v>41</v>
      </c>
      <c r="S56" s="12">
        <v>28</v>
      </c>
      <c r="T56" s="28">
        <f t="shared" si="12"/>
        <v>37.608695652173914</v>
      </c>
      <c r="U56" s="2">
        <v>27296.32</v>
      </c>
      <c r="V56" s="27">
        <v>82</v>
      </c>
      <c r="X56" s="27">
        <v>65300</v>
      </c>
      <c r="Y56" s="27">
        <f t="shared" si="7"/>
        <v>65300</v>
      </c>
      <c r="Z56" s="27">
        <v>1905</v>
      </c>
      <c r="AA56" s="4" t="s">
        <v>2548</v>
      </c>
      <c r="AB56" s="27" t="s">
        <v>476</v>
      </c>
      <c r="AC56" s="27" t="str">
        <f t="shared" si="9"/>
        <v>https://babel.hathitrust.org/cgi/pt?id=mdp.39015049037735;view=1up;seq=146</v>
      </c>
      <c r="AD56" s="4" t="s">
        <v>2548</v>
      </c>
      <c r="AE56" s="27" t="str">
        <f t="shared" si="8"/>
        <v>https://babel.hathitrust.org/cgi/pt?id=mdp.39015049037735;view=1up;seq=146</v>
      </c>
      <c r="AF56" s="27" t="s">
        <v>2552</v>
      </c>
      <c r="AG56" s="4" t="s">
        <v>2548</v>
      </c>
      <c r="AH56" s="27" t="s">
        <v>477</v>
      </c>
      <c r="AI56" s="27" t="str">
        <f t="shared" si="10"/>
        <v>https://babel.hathitrust.org/cgi/pt?id=mdp.39015049037735;view=1up;seq=146</v>
      </c>
    </row>
    <row r="57" spans="1:35" x14ac:dyDescent="0.25">
      <c r="A57" s="27" t="s">
        <v>640</v>
      </c>
      <c r="B57" s="27" t="str">
        <f t="shared" si="2"/>
        <v>Alabama</v>
      </c>
      <c r="C57" s="27" t="str">
        <f t="shared" si="3"/>
        <v>Randolph</v>
      </c>
      <c r="D57" s="27">
        <v>1849</v>
      </c>
      <c r="E57" s="27">
        <v>104</v>
      </c>
      <c r="F57" s="27">
        <f t="shared" si="4"/>
        <v>1953</v>
      </c>
      <c r="G57" s="27">
        <v>66</v>
      </c>
      <c r="H57" s="27">
        <v>7</v>
      </c>
      <c r="I57" s="27">
        <f t="shared" si="5"/>
        <v>73</v>
      </c>
      <c r="J57" s="27">
        <v>117</v>
      </c>
      <c r="K57" s="27">
        <v>81</v>
      </c>
      <c r="L57" s="27">
        <v>10</v>
      </c>
      <c r="M57" s="27">
        <v>40</v>
      </c>
      <c r="N57" s="27">
        <v>14</v>
      </c>
      <c r="O57" s="28">
        <f t="shared" si="6"/>
        <v>0.15625</v>
      </c>
      <c r="P57" s="26">
        <f t="shared" si="11"/>
        <v>115.08294930875576</v>
      </c>
      <c r="Q57" s="2">
        <v>7848</v>
      </c>
      <c r="R57" s="12">
        <v>40</v>
      </c>
      <c r="S57" s="12">
        <v>30</v>
      </c>
      <c r="T57" s="28">
        <f t="shared" si="12"/>
        <v>39.041095890410958</v>
      </c>
      <c r="U57" s="2">
        <v>18424.45</v>
      </c>
      <c r="V57" s="27">
        <v>64</v>
      </c>
      <c r="W57" s="27">
        <v>15000</v>
      </c>
      <c r="X57" s="27">
        <v>50000</v>
      </c>
      <c r="Y57" s="27">
        <f t="shared" si="7"/>
        <v>35000</v>
      </c>
      <c r="Z57" s="27">
        <v>1905</v>
      </c>
      <c r="AA57" s="4" t="s">
        <v>2548</v>
      </c>
      <c r="AB57" s="27" t="s">
        <v>476</v>
      </c>
      <c r="AC57" s="27" t="str">
        <f t="shared" si="9"/>
        <v>https://babel.hathitrust.org/cgi/pt?id=mdp.39015049037735;view=1up;seq=146</v>
      </c>
      <c r="AD57" s="4" t="s">
        <v>2548</v>
      </c>
      <c r="AE57" s="27" t="str">
        <f t="shared" si="8"/>
        <v>https://babel.hathitrust.org/cgi/pt?id=mdp.39015049037735;view=1up;seq=146</v>
      </c>
      <c r="AF57" s="27" t="s">
        <v>2552</v>
      </c>
      <c r="AG57" s="4" t="s">
        <v>2548</v>
      </c>
      <c r="AH57" s="27" t="s">
        <v>477</v>
      </c>
      <c r="AI57" s="27" t="str">
        <f t="shared" si="10"/>
        <v>https://babel.hathitrust.org/cgi/pt?id=mdp.39015049037735;view=1up;seq=146</v>
      </c>
    </row>
    <row r="58" spans="1:35" x14ac:dyDescent="0.25">
      <c r="A58" s="27" t="s">
        <v>641</v>
      </c>
      <c r="B58" s="27" t="str">
        <f t="shared" si="2"/>
        <v>Alabama</v>
      </c>
      <c r="C58" s="27" t="str">
        <f t="shared" si="3"/>
        <v>Russell</v>
      </c>
      <c r="D58" s="27">
        <v>723</v>
      </c>
      <c r="E58" s="27">
        <v>2064</v>
      </c>
      <c r="F58" s="27">
        <f t="shared" si="4"/>
        <v>2787</v>
      </c>
      <c r="G58" s="27">
        <v>30</v>
      </c>
      <c r="H58" s="27">
        <v>45</v>
      </c>
      <c r="I58" s="27">
        <f t="shared" si="5"/>
        <v>75</v>
      </c>
      <c r="J58" s="27">
        <v>113</v>
      </c>
      <c r="K58" s="27">
        <v>102</v>
      </c>
      <c r="L58" s="27">
        <v>21</v>
      </c>
      <c r="M58" s="27">
        <v>48</v>
      </c>
      <c r="N58" s="27">
        <v>1</v>
      </c>
      <c r="O58" s="28">
        <f t="shared" si="6"/>
        <v>0.3</v>
      </c>
      <c r="P58" s="26">
        <f t="shared" si="11"/>
        <v>104.85360602798708</v>
      </c>
      <c r="Q58" s="2">
        <v>9955</v>
      </c>
      <c r="R58" s="12">
        <v>41.97</v>
      </c>
      <c r="S58" s="12">
        <v>23.68</v>
      </c>
      <c r="T58" s="28">
        <f t="shared" si="12"/>
        <v>30.995999999999999</v>
      </c>
      <c r="U58" s="2">
        <v>22513.4</v>
      </c>
      <c r="V58" s="27">
        <v>70</v>
      </c>
      <c r="X58" s="27">
        <v>11300</v>
      </c>
      <c r="Y58" s="27">
        <f t="shared" si="7"/>
        <v>11300</v>
      </c>
      <c r="Z58" s="27">
        <v>1905</v>
      </c>
      <c r="AA58" s="4" t="s">
        <v>2548</v>
      </c>
      <c r="AB58" s="27" t="s">
        <v>476</v>
      </c>
      <c r="AC58" s="27" t="str">
        <f t="shared" si="9"/>
        <v>https://babel.hathitrust.org/cgi/pt?id=mdp.39015049037735;view=1up;seq=146</v>
      </c>
      <c r="AD58" s="4" t="s">
        <v>2548</v>
      </c>
      <c r="AE58" s="27" t="str">
        <f t="shared" si="8"/>
        <v>https://babel.hathitrust.org/cgi/pt?id=mdp.39015049037735;view=1up;seq=146</v>
      </c>
      <c r="AF58" s="27" t="s">
        <v>2552</v>
      </c>
      <c r="AG58" s="4" t="s">
        <v>2548</v>
      </c>
      <c r="AH58" s="27" t="s">
        <v>477</v>
      </c>
      <c r="AI58" s="27" t="str">
        <f t="shared" si="10"/>
        <v>https://babel.hathitrust.org/cgi/pt?id=mdp.39015049037735;view=1up;seq=146</v>
      </c>
    </row>
    <row r="59" spans="1:35" x14ac:dyDescent="0.25">
      <c r="A59" s="27" t="s">
        <v>642</v>
      </c>
      <c r="B59" s="27" t="str">
        <f t="shared" si="2"/>
        <v>Alabama</v>
      </c>
      <c r="C59" s="27" t="str">
        <f t="shared" si="3"/>
        <v>Shelby</v>
      </c>
      <c r="D59" s="27">
        <v>1863</v>
      </c>
      <c r="E59" s="27">
        <v>182</v>
      </c>
      <c r="F59" s="27">
        <f t="shared" si="4"/>
        <v>2045</v>
      </c>
      <c r="G59" s="27">
        <v>64</v>
      </c>
      <c r="H59" s="27">
        <v>8</v>
      </c>
      <c r="I59" s="27">
        <f t="shared" si="5"/>
        <v>72</v>
      </c>
      <c r="J59" s="27">
        <v>95</v>
      </c>
      <c r="K59" s="27">
        <v>83</v>
      </c>
      <c r="L59" s="27">
        <v>12</v>
      </c>
      <c r="M59" s="27">
        <v>24</v>
      </c>
      <c r="N59" s="27">
        <v>31</v>
      </c>
      <c r="O59" s="28">
        <f t="shared" si="6"/>
        <v>0.17910447761194029</v>
      </c>
      <c r="P59" s="26">
        <f t="shared" si="11"/>
        <v>93.932029339853301</v>
      </c>
      <c r="Q59" s="2">
        <v>6914</v>
      </c>
      <c r="R59" s="12">
        <v>33.5</v>
      </c>
      <c r="S59" s="12">
        <v>22.75</v>
      </c>
      <c r="T59" s="28">
        <f t="shared" si="12"/>
        <v>32.305555555555557</v>
      </c>
      <c r="U59" s="2">
        <v>29608.560000000001</v>
      </c>
      <c r="V59" s="27">
        <v>82</v>
      </c>
      <c r="X59" s="27">
        <v>23365</v>
      </c>
      <c r="Y59" s="27">
        <f t="shared" si="7"/>
        <v>23365</v>
      </c>
      <c r="Z59" s="27">
        <v>1905</v>
      </c>
      <c r="AA59" s="4" t="s">
        <v>2548</v>
      </c>
      <c r="AB59" s="27" t="s">
        <v>476</v>
      </c>
      <c r="AC59" s="27" t="str">
        <f t="shared" si="9"/>
        <v>https://babel.hathitrust.org/cgi/pt?id=mdp.39015049037735;view=1up;seq=146</v>
      </c>
      <c r="AD59" s="4" t="s">
        <v>2548</v>
      </c>
      <c r="AE59" s="27" t="str">
        <f t="shared" si="8"/>
        <v>https://babel.hathitrust.org/cgi/pt?id=mdp.39015049037735;view=1up;seq=146</v>
      </c>
      <c r="AF59" s="27" t="s">
        <v>2552</v>
      </c>
      <c r="AG59" s="4" t="s">
        <v>2548</v>
      </c>
      <c r="AH59" s="27" t="s">
        <v>477</v>
      </c>
      <c r="AI59" s="27" t="str">
        <f t="shared" si="10"/>
        <v>https://babel.hathitrust.org/cgi/pt?id=mdp.39015049037735;view=1up;seq=146</v>
      </c>
    </row>
    <row r="60" spans="1:35" x14ac:dyDescent="0.25">
      <c r="A60" s="27" t="s">
        <v>1745</v>
      </c>
      <c r="B60" s="27" t="str">
        <f t="shared" si="2"/>
        <v>Alabama</v>
      </c>
      <c r="C60" s="27" t="str">
        <f t="shared" si="3"/>
        <v>St Clair</v>
      </c>
      <c r="D60" s="27">
        <v>2250</v>
      </c>
      <c r="E60" s="27">
        <v>275</v>
      </c>
      <c r="F60" s="27">
        <f t="shared" si="4"/>
        <v>2525</v>
      </c>
      <c r="G60" s="27">
        <v>67</v>
      </c>
      <c r="H60" s="27">
        <v>10</v>
      </c>
      <c r="I60" s="27">
        <f t="shared" si="5"/>
        <v>77</v>
      </c>
      <c r="J60" s="27">
        <v>93</v>
      </c>
      <c r="K60" s="27">
        <v>90</v>
      </c>
      <c r="L60" s="27">
        <v>9</v>
      </c>
      <c r="M60" s="27">
        <v>13</v>
      </c>
      <c r="N60" s="27">
        <v>45</v>
      </c>
      <c r="O60" s="28">
        <f t="shared" si="6"/>
        <v>0.13432835820895522</v>
      </c>
      <c r="P60" s="26">
        <f t="shared" si="11"/>
        <v>92.67326732673267</v>
      </c>
      <c r="Q60" s="2">
        <v>7454</v>
      </c>
      <c r="R60" s="12">
        <v>32</v>
      </c>
      <c r="S60" s="12">
        <v>25</v>
      </c>
      <c r="T60" s="28">
        <f t="shared" si="12"/>
        <v>31.09090909090909</v>
      </c>
      <c r="U60" s="2">
        <v>2954.43</v>
      </c>
      <c r="V60" s="27">
        <v>67</v>
      </c>
      <c r="X60" s="27">
        <v>30000</v>
      </c>
      <c r="Y60" s="27">
        <f t="shared" si="7"/>
        <v>30000</v>
      </c>
      <c r="Z60" s="27">
        <v>1905</v>
      </c>
      <c r="AA60" s="4" t="s">
        <v>2548</v>
      </c>
      <c r="AB60" s="27" t="s">
        <v>476</v>
      </c>
      <c r="AC60" s="27" t="str">
        <f t="shared" si="9"/>
        <v>https://babel.hathitrust.org/cgi/pt?id=mdp.39015049037735;view=1up;seq=146</v>
      </c>
      <c r="AD60" s="4" t="s">
        <v>2548</v>
      </c>
      <c r="AE60" s="27" t="str">
        <f t="shared" si="8"/>
        <v>https://babel.hathitrust.org/cgi/pt?id=mdp.39015049037735;view=1up;seq=146</v>
      </c>
      <c r="AF60" s="27" t="s">
        <v>2552</v>
      </c>
      <c r="AG60" s="4" t="s">
        <v>2548</v>
      </c>
      <c r="AH60" s="27" t="s">
        <v>477</v>
      </c>
      <c r="AI60" s="27" t="str">
        <f t="shared" si="10"/>
        <v>https://babel.hathitrust.org/cgi/pt?id=mdp.39015049037735;view=1up;seq=146</v>
      </c>
    </row>
    <row r="61" spans="1:35" x14ac:dyDescent="0.25">
      <c r="A61" s="27" t="s">
        <v>643</v>
      </c>
      <c r="B61" s="27" t="str">
        <f t="shared" si="2"/>
        <v>Alabama</v>
      </c>
      <c r="C61" s="27" t="str">
        <f t="shared" si="3"/>
        <v>Sumter</v>
      </c>
      <c r="D61" s="27">
        <v>1127</v>
      </c>
      <c r="E61" s="27">
        <v>875</v>
      </c>
      <c r="F61" s="27">
        <f t="shared" si="4"/>
        <v>2002</v>
      </c>
      <c r="G61" s="27">
        <v>46</v>
      </c>
      <c r="H61" s="27">
        <v>26</v>
      </c>
      <c r="I61" s="27">
        <f t="shared" si="5"/>
        <v>72</v>
      </c>
      <c r="J61" s="27">
        <v>137</v>
      </c>
      <c r="K61" s="27">
        <v>117</v>
      </c>
      <c r="L61" s="27">
        <v>39</v>
      </c>
      <c r="M61" s="27">
        <v>13</v>
      </c>
      <c r="N61" s="27">
        <v>6</v>
      </c>
      <c r="O61" s="28">
        <f t="shared" si="6"/>
        <v>0.67241379310344829</v>
      </c>
      <c r="P61" s="26">
        <f t="shared" si="11"/>
        <v>128.25874125874125</v>
      </c>
      <c r="Q61" s="2">
        <v>12298</v>
      </c>
      <c r="R61" s="12">
        <v>54</v>
      </c>
      <c r="S61" s="12">
        <v>22</v>
      </c>
      <c r="T61" s="28">
        <f t="shared" si="12"/>
        <v>42.444444444444443</v>
      </c>
      <c r="U61" s="2">
        <v>26483.1</v>
      </c>
      <c r="V61" s="27">
        <v>58</v>
      </c>
      <c r="W61" s="27">
        <v>5000</v>
      </c>
      <c r="X61" s="27">
        <v>15900</v>
      </c>
      <c r="Y61" s="27">
        <f t="shared" si="7"/>
        <v>10900</v>
      </c>
      <c r="Z61" s="27">
        <v>1905</v>
      </c>
      <c r="AA61" s="4" t="s">
        <v>2548</v>
      </c>
      <c r="AB61" s="27" t="s">
        <v>476</v>
      </c>
      <c r="AC61" s="27" t="str">
        <f t="shared" si="9"/>
        <v>https://babel.hathitrust.org/cgi/pt?id=mdp.39015049037735;view=1up;seq=146</v>
      </c>
      <c r="AD61" s="4" t="s">
        <v>2548</v>
      </c>
      <c r="AE61" s="27" t="str">
        <f t="shared" si="8"/>
        <v>https://babel.hathitrust.org/cgi/pt?id=mdp.39015049037735;view=1up;seq=146</v>
      </c>
      <c r="AF61" s="27" t="s">
        <v>2552</v>
      </c>
      <c r="AG61" s="4" t="s">
        <v>2548</v>
      </c>
      <c r="AH61" s="27" t="s">
        <v>477</v>
      </c>
      <c r="AI61" s="27" t="str">
        <f t="shared" si="10"/>
        <v>https://babel.hathitrust.org/cgi/pt?id=mdp.39015049037735;view=1up;seq=146</v>
      </c>
    </row>
    <row r="62" spans="1:35" x14ac:dyDescent="0.25">
      <c r="A62" s="27" t="s">
        <v>644</v>
      </c>
      <c r="B62" s="27" t="str">
        <f t="shared" si="2"/>
        <v>Alabama</v>
      </c>
      <c r="C62" s="27" t="str">
        <f t="shared" si="3"/>
        <v>Talladega</v>
      </c>
      <c r="D62" s="27">
        <v>2428</v>
      </c>
      <c r="E62" s="27">
        <v>1963</v>
      </c>
      <c r="F62" s="27">
        <f t="shared" si="4"/>
        <v>4391</v>
      </c>
      <c r="G62" s="27">
        <v>74</v>
      </c>
      <c r="H62" s="27">
        <v>52</v>
      </c>
      <c r="I62" s="27">
        <f t="shared" si="5"/>
        <v>126</v>
      </c>
      <c r="J62" s="27">
        <v>158</v>
      </c>
      <c r="K62" s="27">
        <v>112</v>
      </c>
      <c r="L62" s="27">
        <v>74</v>
      </c>
      <c r="M62" s="27">
        <v>13</v>
      </c>
      <c r="N62" s="27">
        <v>7</v>
      </c>
      <c r="O62" s="28">
        <f t="shared" si="6"/>
        <v>0.78723404255319152</v>
      </c>
      <c r="P62" s="26">
        <f t="shared" si="11"/>
        <v>137.43566385789114</v>
      </c>
      <c r="Q62" s="2">
        <v>11789</v>
      </c>
      <c r="R62" s="12">
        <v>33.53</v>
      </c>
      <c r="S62" s="12">
        <v>23.96</v>
      </c>
      <c r="T62" s="28">
        <f t="shared" si="12"/>
        <v>29.580476190476194</v>
      </c>
      <c r="U62" s="2">
        <v>33301.480000000003</v>
      </c>
      <c r="V62" s="27">
        <v>94</v>
      </c>
      <c r="W62" s="27">
        <v>420000</v>
      </c>
      <c r="X62" s="27">
        <v>505680</v>
      </c>
      <c r="Y62" s="27">
        <f t="shared" si="7"/>
        <v>85680</v>
      </c>
      <c r="Z62" s="27">
        <v>1905</v>
      </c>
      <c r="AA62" s="4" t="s">
        <v>2548</v>
      </c>
      <c r="AB62" s="27" t="s">
        <v>476</v>
      </c>
      <c r="AC62" s="27" t="str">
        <f t="shared" si="9"/>
        <v>https://babel.hathitrust.org/cgi/pt?id=mdp.39015049037735;view=1up;seq=146</v>
      </c>
      <c r="AD62" s="4" t="s">
        <v>2548</v>
      </c>
      <c r="AE62" s="27" t="str">
        <f t="shared" si="8"/>
        <v>https://babel.hathitrust.org/cgi/pt?id=mdp.39015049037735;view=1up;seq=146</v>
      </c>
      <c r="AF62" s="27" t="s">
        <v>2552</v>
      </c>
      <c r="AG62" s="4" t="s">
        <v>2548</v>
      </c>
      <c r="AH62" s="27" t="s">
        <v>477</v>
      </c>
      <c r="AI62" s="27" t="str">
        <f t="shared" si="10"/>
        <v>https://babel.hathitrust.org/cgi/pt?id=mdp.39015049037735;view=1up;seq=146</v>
      </c>
    </row>
    <row r="63" spans="1:35" x14ac:dyDescent="0.25">
      <c r="A63" s="27" t="s">
        <v>645</v>
      </c>
      <c r="B63" s="27" t="str">
        <f t="shared" si="2"/>
        <v>Alabama</v>
      </c>
      <c r="C63" s="27" t="str">
        <f t="shared" si="3"/>
        <v>Tallapoosa</v>
      </c>
      <c r="D63" s="27">
        <v>2942</v>
      </c>
      <c r="E63" s="27">
        <v>775</v>
      </c>
      <c r="F63" s="27">
        <f t="shared" si="4"/>
        <v>3717</v>
      </c>
      <c r="G63" s="27">
        <v>81</v>
      </c>
      <c r="H63" s="27">
        <v>19</v>
      </c>
      <c r="I63" s="27">
        <f t="shared" si="5"/>
        <v>100</v>
      </c>
      <c r="J63" s="27">
        <v>121</v>
      </c>
      <c r="K63" s="27">
        <v>90</v>
      </c>
      <c r="L63" s="27">
        <v>24</v>
      </c>
      <c r="M63" s="27">
        <v>57</v>
      </c>
      <c r="N63" s="27">
        <v>12</v>
      </c>
      <c r="O63" s="28">
        <f t="shared" si="6"/>
        <v>0.25806451612903225</v>
      </c>
      <c r="P63" s="26">
        <f t="shared" si="11"/>
        <v>114.53645412967447</v>
      </c>
      <c r="Q63" s="2">
        <v>10556</v>
      </c>
      <c r="R63" s="12">
        <v>37.5</v>
      </c>
      <c r="S63" s="12">
        <v>25</v>
      </c>
      <c r="T63" s="28">
        <f t="shared" si="12"/>
        <v>35.125</v>
      </c>
      <c r="U63" s="2">
        <v>34875.61</v>
      </c>
      <c r="V63" s="27">
        <v>93</v>
      </c>
      <c r="W63" s="27">
        <v>4000</v>
      </c>
      <c r="X63" s="27">
        <v>50200</v>
      </c>
      <c r="Y63" s="27">
        <f t="shared" si="7"/>
        <v>46200</v>
      </c>
      <c r="Z63" s="27">
        <v>1905</v>
      </c>
      <c r="AA63" s="4" t="s">
        <v>2548</v>
      </c>
      <c r="AB63" s="27" t="s">
        <v>476</v>
      </c>
      <c r="AC63" s="27" t="str">
        <f t="shared" si="9"/>
        <v>https://babel.hathitrust.org/cgi/pt?id=mdp.39015049037735;view=1up;seq=146</v>
      </c>
      <c r="AD63" s="4" t="s">
        <v>2548</v>
      </c>
      <c r="AE63" s="27" t="str">
        <f t="shared" si="8"/>
        <v>https://babel.hathitrust.org/cgi/pt?id=mdp.39015049037735;view=1up;seq=146</v>
      </c>
      <c r="AF63" s="27" t="s">
        <v>2552</v>
      </c>
      <c r="AG63" s="4" t="s">
        <v>2548</v>
      </c>
      <c r="AH63" s="27" t="s">
        <v>477</v>
      </c>
      <c r="AI63" s="27" t="str">
        <f t="shared" si="10"/>
        <v>https://babel.hathitrust.org/cgi/pt?id=mdp.39015049037735;view=1up;seq=146</v>
      </c>
    </row>
    <row r="64" spans="1:35" x14ac:dyDescent="0.25">
      <c r="A64" s="27" t="s">
        <v>646</v>
      </c>
      <c r="B64" s="27" t="str">
        <f t="shared" si="2"/>
        <v>Alabama</v>
      </c>
      <c r="C64" s="27" t="str">
        <f t="shared" si="3"/>
        <v>Tuscaloosa</v>
      </c>
      <c r="D64" s="27">
        <v>2025</v>
      </c>
      <c r="E64" s="27">
        <v>611</v>
      </c>
      <c r="F64" s="27">
        <f t="shared" si="4"/>
        <v>2636</v>
      </c>
      <c r="G64" s="27">
        <v>87</v>
      </c>
      <c r="H64" s="27">
        <v>23</v>
      </c>
      <c r="I64" s="27">
        <f t="shared" si="5"/>
        <v>110</v>
      </c>
      <c r="J64" s="27">
        <v>85</v>
      </c>
      <c r="K64" s="27">
        <v>82</v>
      </c>
      <c r="L64" s="27">
        <v>10</v>
      </c>
      <c r="M64" s="27">
        <v>29</v>
      </c>
      <c r="N64" s="27">
        <v>65</v>
      </c>
      <c r="O64" s="28">
        <f t="shared" si="6"/>
        <v>9.6153846153846159E-2</v>
      </c>
      <c r="P64" s="26">
        <f t="shared" si="11"/>
        <v>84.3046282245827</v>
      </c>
      <c r="Q64" s="2">
        <v>9435</v>
      </c>
      <c r="R64" s="12">
        <v>44.64</v>
      </c>
      <c r="S64" s="12">
        <v>18</v>
      </c>
      <c r="T64" s="28">
        <f t="shared" si="12"/>
        <v>39.069818181818185</v>
      </c>
      <c r="U64" s="2">
        <v>48212.05</v>
      </c>
      <c r="V64" s="27">
        <v>104</v>
      </c>
      <c r="X64" s="27">
        <v>35500</v>
      </c>
      <c r="Y64" s="27">
        <f t="shared" si="7"/>
        <v>35500</v>
      </c>
      <c r="Z64" s="27">
        <v>1905</v>
      </c>
      <c r="AA64" s="4" t="s">
        <v>2548</v>
      </c>
      <c r="AB64" s="27" t="s">
        <v>476</v>
      </c>
      <c r="AC64" s="27" t="str">
        <f t="shared" si="9"/>
        <v>https://babel.hathitrust.org/cgi/pt?id=mdp.39015049037735;view=1up;seq=146</v>
      </c>
      <c r="AD64" s="4" t="s">
        <v>2548</v>
      </c>
      <c r="AE64" s="27" t="str">
        <f t="shared" si="8"/>
        <v>https://babel.hathitrust.org/cgi/pt?id=mdp.39015049037735;view=1up;seq=146</v>
      </c>
      <c r="AF64" s="27" t="s">
        <v>2552</v>
      </c>
      <c r="AG64" s="4" t="s">
        <v>2548</v>
      </c>
      <c r="AH64" s="27" t="s">
        <v>477</v>
      </c>
      <c r="AI64" s="27" t="str">
        <f t="shared" si="10"/>
        <v>https://babel.hathitrust.org/cgi/pt?id=mdp.39015049037735;view=1up;seq=146</v>
      </c>
    </row>
    <row r="65" spans="1:35" x14ac:dyDescent="0.25">
      <c r="A65" s="27" t="s">
        <v>647</v>
      </c>
      <c r="B65" s="27" t="str">
        <f t="shared" si="2"/>
        <v>Alabama</v>
      </c>
      <c r="C65" s="27" t="str">
        <f t="shared" si="3"/>
        <v>Walker</v>
      </c>
      <c r="D65" s="27">
        <v>2786</v>
      </c>
      <c r="E65" s="27">
        <v>359</v>
      </c>
      <c r="F65" s="27">
        <f t="shared" si="4"/>
        <v>3145</v>
      </c>
      <c r="G65" s="27">
        <v>74</v>
      </c>
      <c r="H65" s="27">
        <v>12</v>
      </c>
      <c r="I65" s="27">
        <f t="shared" si="5"/>
        <v>86</v>
      </c>
      <c r="J65" s="27">
        <v>106</v>
      </c>
      <c r="K65" s="27">
        <v>88</v>
      </c>
      <c r="L65" s="27">
        <v>35</v>
      </c>
      <c r="M65" s="27">
        <v>24</v>
      </c>
      <c r="N65" s="27">
        <v>32</v>
      </c>
      <c r="O65" s="28">
        <f t="shared" si="6"/>
        <v>0.38461538461538464</v>
      </c>
      <c r="P65" s="26">
        <f t="shared" si="11"/>
        <v>103.94531001589826</v>
      </c>
      <c r="Q65" s="2">
        <v>8709</v>
      </c>
      <c r="R65" s="12">
        <v>45.45</v>
      </c>
      <c r="S65" s="12">
        <v>23.25</v>
      </c>
      <c r="T65" s="28">
        <f t="shared" si="12"/>
        <v>42.352325581395348</v>
      </c>
      <c r="U65" s="2">
        <v>55166.79</v>
      </c>
      <c r="V65" s="27">
        <v>91</v>
      </c>
      <c r="X65" s="27">
        <v>59225</v>
      </c>
      <c r="Y65" s="27">
        <f t="shared" si="7"/>
        <v>59225</v>
      </c>
      <c r="Z65" s="27">
        <v>1905</v>
      </c>
      <c r="AA65" s="4" t="s">
        <v>2548</v>
      </c>
      <c r="AB65" s="27" t="s">
        <v>476</v>
      </c>
      <c r="AC65" s="27" t="str">
        <f t="shared" si="9"/>
        <v>https://babel.hathitrust.org/cgi/pt?id=mdp.39015049037735;view=1up;seq=146</v>
      </c>
      <c r="AD65" s="4" t="s">
        <v>2548</v>
      </c>
      <c r="AE65" s="27" t="str">
        <f t="shared" si="8"/>
        <v>https://babel.hathitrust.org/cgi/pt?id=mdp.39015049037735;view=1up;seq=146</v>
      </c>
      <c r="AF65" s="27" t="s">
        <v>2552</v>
      </c>
      <c r="AG65" s="4" t="s">
        <v>2548</v>
      </c>
      <c r="AH65" s="27" t="s">
        <v>477</v>
      </c>
      <c r="AI65" s="27" t="str">
        <f t="shared" si="10"/>
        <v>https://babel.hathitrust.org/cgi/pt?id=mdp.39015049037735;view=1up;seq=146</v>
      </c>
    </row>
    <row r="66" spans="1:35" x14ac:dyDescent="0.25">
      <c r="A66" s="27" t="s">
        <v>648</v>
      </c>
      <c r="B66" s="27" t="str">
        <f t="shared" si="2"/>
        <v>Alabama</v>
      </c>
      <c r="C66" s="27" t="str">
        <f t="shared" si="3"/>
        <v>Washington</v>
      </c>
      <c r="D66" s="27">
        <v>650</v>
      </c>
      <c r="E66" s="27">
        <v>175</v>
      </c>
      <c r="F66" s="27">
        <f t="shared" si="4"/>
        <v>825</v>
      </c>
      <c r="G66" s="27">
        <v>26</v>
      </c>
      <c r="H66" s="27">
        <v>5</v>
      </c>
      <c r="I66" s="27">
        <f t="shared" si="5"/>
        <v>31</v>
      </c>
      <c r="J66" s="27">
        <v>120</v>
      </c>
      <c r="K66" s="27">
        <v>120</v>
      </c>
      <c r="L66" s="27">
        <v>3</v>
      </c>
      <c r="M66" s="27">
        <v>7</v>
      </c>
      <c r="N66" s="27">
        <v>16</v>
      </c>
      <c r="O66" s="28">
        <f t="shared" si="6"/>
        <v>0.11538461538461539</v>
      </c>
      <c r="P66" s="26">
        <f t="shared" ref="P66:P68" si="13">((D66*J66)+(E66*K66))/F66</f>
        <v>120</v>
      </c>
      <c r="Q66" s="2">
        <v>4211</v>
      </c>
      <c r="R66" s="12">
        <v>32.5</v>
      </c>
      <c r="S66" s="12">
        <v>25</v>
      </c>
      <c r="T66" s="28">
        <f t="shared" ref="T66:T68" si="14">((G66*R66)+(H66*S66))/I66</f>
        <v>31.29032258064516</v>
      </c>
      <c r="U66" s="2">
        <v>12249.39</v>
      </c>
      <c r="V66" s="27">
        <v>31</v>
      </c>
      <c r="X66" s="27">
        <v>1100</v>
      </c>
      <c r="Y66" s="27">
        <f t="shared" si="7"/>
        <v>1100</v>
      </c>
      <c r="Z66" s="27">
        <v>1905</v>
      </c>
      <c r="AA66" s="4" t="s">
        <v>2548</v>
      </c>
      <c r="AB66" s="27" t="s">
        <v>476</v>
      </c>
      <c r="AC66" s="27" t="str">
        <f t="shared" si="9"/>
        <v>https://babel.hathitrust.org/cgi/pt?id=mdp.39015049037735;view=1up;seq=146</v>
      </c>
      <c r="AD66" s="4" t="s">
        <v>2548</v>
      </c>
      <c r="AE66" s="27" t="str">
        <f t="shared" si="8"/>
        <v>https://babel.hathitrust.org/cgi/pt?id=mdp.39015049037735;view=1up;seq=146</v>
      </c>
      <c r="AF66" s="27" t="s">
        <v>2552</v>
      </c>
      <c r="AG66" s="4" t="s">
        <v>2548</v>
      </c>
      <c r="AH66" s="27" t="s">
        <v>477</v>
      </c>
      <c r="AI66" s="27" t="str">
        <f t="shared" si="10"/>
        <v>https://babel.hathitrust.org/cgi/pt?id=mdp.39015049037735;view=1up;seq=146</v>
      </c>
    </row>
    <row r="67" spans="1:35" x14ac:dyDescent="0.25">
      <c r="A67" s="27" t="s">
        <v>649</v>
      </c>
      <c r="B67" s="27" t="str">
        <f>LEFT(A67,FIND(";",A67)-1)</f>
        <v>Alabama</v>
      </c>
      <c r="C67" s="27" t="str">
        <f>MID(A67,FIND(";",A67)+1,100)</f>
        <v>Wilcox</v>
      </c>
      <c r="D67" s="27">
        <v>1500</v>
      </c>
      <c r="E67" s="27">
        <v>6000</v>
      </c>
      <c r="F67" s="27">
        <f>D67+E67</f>
        <v>7500</v>
      </c>
      <c r="G67" s="27">
        <v>60</v>
      </c>
      <c r="H67" s="27">
        <v>40</v>
      </c>
      <c r="I67" s="27">
        <f>G67+H67</f>
        <v>100</v>
      </c>
      <c r="J67" s="27">
        <v>100</v>
      </c>
      <c r="K67" s="27">
        <v>100</v>
      </c>
      <c r="L67" s="27">
        <v>20</v>
      </c>
      <c r="M67" s="27">
        <v>70</v>
      </c>
      <c r="N67" s="27">
        <v>10</v>
      </c>
      <c r="O67" s="28">
        <f t="shared" ref="O67:O68" si="15">L67/SUM(L67:N67)</f>
        <v>0.2</v>
      </c>
      <c r="P67" s="26">
        <f t="shared" si="13"/>
        <v>100</v>
      </c>
      <c r="Q67" s="2">
        <v>13121</v>
      </c>
      <c r="R67" s="12">
        <v>50</v>
      </c>
      <c r="S67" s="12">
        <v>18</v>
      </c>
      <c r="T67" s="28">
        <f t="shared" si="14"/>
        <v>37.200000000000003</v>
      </c>
      <c r="U67" s="2">
        <v>28108.18</v>
      </c>
      <c r="V67" s="27">
        <v>100</v>
      </c>
      <c r="X67" s="27">
        <v>66050</v>
      </c>
      <c r="Y67" s="27">
        <f t="shared" ref="Y67:Y68" si="16">X67-W67</f>
        <v>66050</v>
      </c>
      <c r="Z67" s="27">
        <v>1905</v>
      </c>
      <c r="AA67" s="4" t="s">
        <v>2548</v>
      </c>
      <c r="AB67" s="27" t="s">
        <v>476</v>
      </c>
      <c r="AC67" s="27" t="str">
        <f t="shared" si="9"/>
        <v>https://babel.hathitrust.org/cgi/pt?id=mdp.39015049037735;view=1up;seq=146</v>
      </c>
      <c r="AD67" s="4" t="s">
        <v>2548</v>
      </c>
      <c r="AE67" s="27" t="str">
        <f t="shared" ref="AE67:AE68" si="17">AC67</f>
        <v>https://babel.hathitrust.org/cgi/pt?id=mdp.39015049037735;view=1up;seq=146</v>
      </c>
      <c r="AF67" s="27" t="s">
        <v>2552</v>
      </c>
      <c r="AG67" s="4" t="s">
        <v>2548</v>
      </c>
      <c r="AH67" s="27" t="s">
        <v>477</v>
      </c>
      <c r="AI67" s="27" t="str">
        <f t="shared" si="10"/>
        <v>https://babel.hathitrust.org/cgi/pt?id=mdp.39015049037735;view=1up;seq=146</v>
      </c>
    </row>
    <row r="68" spans="1:35" x14ac:dyDescent="0.25">
      <c r="A68" s="27" t="s">
        <v>1776</v>
      </c>
      <c r="B68" s="27" t="str">
        <f>LEFT(A68,FIND(";",A68)-1)</f>
        <v>Alabama</v>
      </c>
      <c r="C68" s="27" t="str">
        <f>MID(A68,FIND(";",A68)+1,100)</f>
        <v>Winston/Hancock</v>
      </c>
      <c r="D68" s="27">
        <v>1300</v>
      </c>
      <c r="E68" s="27">
        <v>0</v>
      </c>
      <c r="F68" s="27">
        <f>D68+E68</f>
        <v>1300</v>
      </c>
      <c r="G68" s="27">
        <v>31</v>
      </c>
      <c r="H68" s="27">
        <v>0</v>
      </c>
      <c r="I68" s="27">
        <f>G68+H68</f>
        <v>31</v>
      </c>
      <c r="J68" s="27">
        <v>82</v>
      </c>
      <c r="K68" s="27">
        <v>0</v>
      </c>
      <c r="L68" s="27">
        <v>4</v>
      </c>
      <c r="M68" s="27">
        <v>5</v>
      </c>
      <c r="N68" s="27">
        <v>20</v>
      </c>
      <c r="O68" s="28">
        <f t="shared" si="15"/>
        <v>0.13793103448275862</v>
      </c>
      <c r="P68" s="26">
        <f t="shared" si="13"/>
        <v>82</v>
      </c>
      <c r="Q68" s="2">
        <v>3702</v>
      </c>
      <c r="R68" s="12">
        <v>33</v>
      </c>
      <c r="S68" s="12">
        <v>0</v>
      </c>
      <c r="T68" s="28">
        <f t="shared" si="14"/>
        <v>33</v>
      </c>
      <c r="U68" s="2">
        <v>12868.91</v>
      </c>
      <c r="V68" s="27">
        <v>39</v>
      </c>
      <c r="X68" s="27">
        <v>11200</v>
      </c>
      <c r="Y68" s="27">
        <f t="shared" si="16"/>
        <v>11200</v>
      </c>
      <c r="Z68" s="27">
        <v>1905</v>
      </c>
      <c r="AA68" s="4" t="s">
        <v>2548</v>
      </c>
      <c r="AB68" s="27" t="s">
        <v>476</v>
      </c>
      <c r="AC68" s="27" t="str">
        <f t="shared" ref="AC68" si="18">AC67</f>
        <v>https://babel.hathitrust.org/cgi/pt?id=mdp.39015049037735;view=1up;seq=146</v>
      </c>
      <c r="AD68" s="4" t="s">
        <v>2548</v>
      </c>
      <c r="AE68" s="27" t="str">
        <f t="shared" si="17"/>
        <v>https://babel.hathitrust.org/cgi/pt?id=mdp.39015049037735;view=1up;seq=146</v>
      </c>
      <c r="AF68" s="27" t="s">
        <v>2552</v>
      </c>
      <c r="AG68" s="4" t="s">
        <v>2548</v>
      </c>
      <c r="AH68" s="27" t="s">
        <v>477</v>
      </c>
      <c r="AI68" s="27" t="str">
        <f t="shared" ref="AI68" si="19">AI67</f>
        <v>https://babel.hathitrust.org/cgi/pt?id=mdp.39015049037735;view=1up;seq=146</v>
      </c>
    </row>
  </sheetData>
  <hyperlinks>
    <hyperlink ref="AA2" r:id="rId1"/>
    <hyperlink ref="AA3" r:id="rId2"/>
    <hyperlink ref="AA4" r:id="rId3"/>
    <hyperlink ref="AA5" r:id="rId4"/>
    <hyperlink ref="AA6" r:id="rId5"/>
    <hyperlink ref="AA14" r:id="rId6"/>
    <hyperlink ref="AA13" r:id="rId7"/>
    <hyperlink ref="AA12" r:id="rId8"/>
    <hyperlink ref="AA11" r:id="rId9"/>
    <hyperlink ref="AA10" r:id="rId10"/>
    <hyperlink ref="AA9" r:id="rId11"/>
    <hyperlink ref="AA8" r:id="rId12"/>
    <hyperlink ref="AA7" r:id="rId13"/>
    <hyperlink ref="AA15" r:id="rId14"/>
    <hyperlink ref="AA16" r:id="rId15"/>
    <hyperlink ref="AA17" r:id="rId16"/>
    <hyperlink ref="AA18" r:id="rId17"/>
    <hyperlink ref="AA19" r:id="rId18"/>
    <hyperlink ref="AA20" r:id="rId19"/>
    <hyperlink ref="AA21" r:id="rId20"/>
    <hyperlink ref="AA22" r:id="rId21"/>
    <hyperlink ref="AA23" r:id="rId22"/>
    <hyperlink ref="AA24" r:id="rId23"/>
    <hyperlink ref="AA25" r:id="rId24"/>
    <hyperlink ref="AA26" r:id="rId25"/>
    <hyperlink ref="AA27" r:id="rId26"/>
    <hyperlink ref="AA28" r:id="rId27"/>
    <hyperlink ref="AA29" r:id="rId28"/>
    <hyperlink ref="AA30" r:id="rId29"/>
    <hyperlink ref="AA31" r:id="rId30"/>
    <hyperlink ref="AA32" r:id="rId31"/>
    <hyperlink ref="AA33" r:id="rId32"/>
    <hyperlink ref="AA34" r:id="rId33"/>
    <hyperlink ref="AA35" r:id="rId34"/>
    <hyperlink ref="AA36" r:id="rId35"/>
    <hyperlink ref="AA37" r:id="rId36"/>
    <hyperlink ref="AA38" r:id="rId37"/>
    <hyperlink ref="AA39" r:id="rId38"/>
    <hyperlink ref="AA40" r:id="rId39"/>
    <hyperlink ref="AA41" r:id="rId40"/>
    <hyperlink ref="AA42" r:id="rId41"/>
    <hyperlink ref="AA43" r:id="rId42"/>
    <hyperlink ref="AA44" r:id="rId43"/>
    <hyperlink ref="AA45" r:id="rId44"/>
    <hyperlink ref="AA46" r:id="rId45"/>
    <hyperlink ref="AA47" r:id="rId46"/>
    <hyperlink ref="AA48" r:id="rId47"/>
    <hyperlink ref="AA49" r:id="rId48"/>
    <hyperlink ref="AA50" r:id="rId49"/>
    <hyperlink ref="AA51" r:id="rId50"/>
    <hyperlink ref="AA52" r:id="rId51"/>
    <hyperlink ref="AA53" r:id="rId52"/>
    <hyperlink ref="AA54" r:id="rId53"/>
    <hyperlink ref="AA55" r:id="rId54"/>
    <hyperlink ref="AA56" r:id="rId55"/>
    <hyperlink ref="AA57" r:id="rId56"/>
    <hyperlink ref="AA58" r:id="rId57"/>
    <hyperlink ref="AA59" r:id="rId58"/>
    <hyperlink ref="AA60" r:id="rId59"/>
    <hyperlink ref="AA61" r:id="rId60"/>
    <hyperlink ref="AA62" r:id="rId61"/>
    <hyperlink ref="AA63" r:id="rId62"/>
    <hyperlink ref="AA64" r:id="rId63"/>
    <hyperlink ref="AA65" r:id="rId64"/>
    <hyperlink ref="AA66" r:id="rId65"/>
    <hyperlink ref="AA67" r:id="rId66"/>
    <hyperlink ref="AA68" r:id="rId67"/>
    <hyperlink ref="AG2" r:id="rId68"/>
    <hyperlink ref="AG3" r:id="rId69"/>
    <hyperlink ref="AG4" r:id="rId70"/>
    <hyperlink ref="AG5" r:id="rId71"/>
    <hyperlink ref="AG6" r:id="rId72"/>
    <hyperlink ref="AG14" r:id="rId73"/>
    <hyperlink ref="AG13" r:id="rId74"/>
    <hyperlink ref="AG12" r:id="rId75"/>
    <hyperlink ref="AG11" r:id="rId76"/>
    <hyperlink ref="AG10" r:id="rId77"/>
    <hyperlink ref="AG9" r:id="rId78"/>
    <hyperlink ref="AG8" r:id="rId79"/>
    <hyperlink ref="AG7" r:id="rId80"/>
    <hyperlink ref="AG15" r:id="rId81"/>
    <hyperlink ref="AG16" r:id="rId82"/>
    <hyperlink ref="AG17" r:id="rId83"/>
    <hyperlink ref="AG18" r:id="rId84"/>
    <hyperlink ref="AG19" r:id="rId85"/>
    <hyperlink ref="AG20" r:id="rId86"/>
    <hyperlink ref="AG21" r:id="rId87"/>
    <hyperlink ref="AG22" r:id="rId88"/>
    <hyperlink ref="AG23" r:id="rId89"/>
    <hyperlink ref="AG24" r:id="rId90"/>
    <hyperlink ref="AG25" r:id="rId91"/>
    <hyperlink ref="AG26" r:id="rId92"/>
    <hyperlink ref="AG27" r:id="rId93"/>
    <hyperlink ref="AG28" r:id="rId94"/>
    <hyperlink ref="AG29" r:id="rId95"/>
    <hyperlink ref="AG30" r:id="rId96"/>
    <hyperlink ref="AG31" r:id="rId97"/>
    <hyperlink ref="AG32" r:id="rId98"/>
    <hyperlink ref="AG33" r:id="rId99"/>
    <hyperlink ref="AG34" r:id="rId100"/>
    <hyperlink ref="AG35" r:id="rId101"/>
    <hyperlink ref="AG36" r:id="rId102"/>
    <hyperlink ref="AG37" r:id="rId103"/>
    <hyperlink ref="AG38" r:id="rId104"/>
    <hyperlink ref="AG39" r:id="rId105"/>
    <hyperlink ref="AG40" r:id="rId106"/>
    <hyperlink ref="AG41" r:id="rId107"/>
    <hyperlink ref="AG42" r:id="rId108"/>
    <hyperlink ref="AG43" r:id="rId109"/>
    <hyperlink ref="AG44" r:id="rId110"/>
    <hyperlink ref="AG45" r:id="rId111"/>
    <hyperlink ref="AG46" r:id="rId112"/>
    <hyperlink ref="AG47" r:id="rId113"/>
    <hyperlink ref="AG48" r:id="rId114"/>
    <hyperlink ref="AG49" r:id="rId115"/>
    <hyperlink ref="AG50" r:id="rId116"/>
    <hyperlink ref="AG51" r:id="rId117"/>
    <hyperlink ref="AG52" r:id="rId118"/>
    <hyperlink ref="AG53" r:id="rId119"/>
    <hyperlink ref="AG54" r:id="rId120"/>
    <hyperlink ref="AG55" r:id="rId121"/>
    <hyperlink ref="AG56" r:id="rId122"/>
    <hyperlink ref="AG57" r:id="rId123"/>
    <hyperlink ref="AG58" r:id="rId124"/>
    <hyperlink ref="AG59" r:id="rId125"/>
    <hyperlink ref="AG60" r:id="rId126"/>
    <hyperlink ref="AG61" r:id="rId127"/>
    <hyperlink ref="AG62" r:id="rId128"/>
    <hyperlink ref="AG63" r:id="rId129"/>
    <hyperlink ref="AG64" r:id="rId130"/>
    <hyperlink ref="AG65" r:id="rId131"/>
    <hyperlink ref="AG66" r:id="rId132"/>
    <hyperlink ref="AG67" r:id="rId133"/>
    <hyperlink ref="AG68" r:id="rId134"/>
    <hyperlink ref="AD2" r:id="rId135"/>
    <hyperlink ref="AD3" r:id="rId136"/>
    <hyperlink ref="AD4" r:id="rId137"/>
    <hyperlink ref="AD5" r:id="rId138"/>
    <hyperlink ref="AD6" r:id="rId139"/>
    <hyperlink ref="AD14" r:id="rId140"/>
    <hyperlink ref="AD13" r:id="rId141"/>
    <hyperlink ref="AD12" r:id="rId142"/>
    <hyperlink ref="AD11" r:id="rId143"/>
    <hyperlink ref="AD10" r:id="rId144"/>
    <hyperlink ref="AD9" r:id="rId145"/>
    <hyperlink ref="AD8" r:id="rId146"/>
    <hyperlink ref="AD7" r:id="rId147"/>
    <hyperlink ref="AD15" r:id="rId148"/>
    <hyperlink ref="AD16" r:id="rId149"/>
    <hyperlink ref="AD17" r:id="rId150"/>
    <hyperlink ref="AD18" r:id="rId151"/>
    <hyperlink ref="AD19" r:id="rId152"/>
    <hyperlink ref="AD20" r:id="rId153"/>
    <hyperlink ref="AD21" r:id="rId154"/>
    <hyperlink ref="AD22" r:id="rId155"/>
    <hyperlink ref="AD23" r:id="rId156"/>
    <hyperlink ref="AD24" r:id="rId157"/>
    <hyperlink ref="AD25" r:id="rId158"/>
    <hyperlink ref="AD26" r:id="rId159"/>
    <hyperlink ref="AD27" r:id="rId160"/>
    <hyperlink ref="AD28" r:id="rId161"/>
    <hyperlink ref="AD29" r:id="rId162"/>
    <hyperlink ref="AD30" r:id="rId163"/>
    <hyperlink ref="AD31" r:id="rId164"/>
    <hyperlink ref="AD32" r:id="rId165"/>
    <hyperlink ref="AD33" r:id="rId166"/>
    <hyperlink ref="AD34" r:id="rId167"/>
    <hyperlink ref="AD35" r:id="rId168"/>
    <hyperlink ref="AD36" r:id="rId169"/>
    <hyperlink ref="AD37" r:id="rId170"/>
    <hyperlink ref="AD38" r:id="rId171"/>
    <hyperlink ref="AD39" r:id="rId172"/>
    <hyperlink ref="AD40" r:id="rId173"/>
    <hyperlink ref="AD41" r:id="rId174"/>
    <hyperlink ref="AD42" r:id="rId175"/>
    <hyperlink ref="AD43" r:id="rId176"/>
    <hyperlink ref="AD44" r:id="rId177"/>
    <hyperlink ref="AD45" r:id="rId178"/>
    <hyperlink ref="AD46" r:id="rId179"/>
    <hyperlink ref="AD47" r:id="rId180"/>
    <hyperlink ref="AD48" r:id="rId181"/>
    <hyperlink ref="AD49" r:id="rId182"/>
    <hyperlink ref="AD50" r:id="rId183"/>
    <hyperlink ref="AD51" r:id="rId184"/>
    <hyperlink ref="AD52" r:id="rId185"/>
    <hyperlink ref="AD53" r:id="rId186"/>
    <hyperlink ref="AD54" r:id="rId187"/>
    <hyperlink ref="AD55" r:id="rId188"/>
    <hyperlink ref="AD56" r:id="rId189"/>
    <hyperlink ref="AD57" r:id="rId190"/>
    <hyperlink ref="AD58" r:id="rId191"/>
    <hyperlink ref="AD59" r:id="rId192"/>
    <hyperlink ref="AD60" r:id="rId193"/>
    <hyperlink ref="AD61" r:id="rId194"/>
    <hyperlink ref="AD62" r:id="rId195"/>
    <hyperlink ref="AD63" r:id="rId196"/>
    <hyperlink ref="AD64" r:id="rId197"/>
    <hyperlink ref="AD65" r:id="rId198"/>
    <hyperlink ref="AD66" r:id="rId199"/>
    <hyperlink ref="AD67" r:id="rId200"/>
    <hyperlink ref="AD68" r:id="rId201"/>
    <hyperlink ref="AF15" r:id="rId202"/>
    <hyperlink ref="AF40" r:id="rId203"/>
    <hyperlink ref="AF53" r:id="rId204"/>
    <hyperlink ref="AH2" r:id="rId205"/>
  </hyperlinks>
  <pageMargins left="0.75" right="0.75" top="1" bottom="1" header="0.5" footer="0.5"/>
  <pageSetup orientation="portrait" horizontalDpi="4294967292" verticalDpi="4294967292"/>
  <legacyDrawing r:id="rId206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G76"/>
  <sheetViews>
    <sheetView workbookViewId="0"/>
  </sheetViews>
  <sheetFormatPr defaultColWidth="11.42578125" defaultRowHeight="15" x14ac:dyDescent="0.25"/>
  <cols>
    <col min="1" max="1" width="17.7109375" customWidth="1"/>
    <col min="5" max="11" width="11.42578125" style="27"/>
    <col min="23" max="23" width="11.42578125" customWidth="1"/>
  </cols>
  <sheetData>
    <row r="1" spans="1:33" ht="75" x14ac:dyDescent="0.25">
      <c r="A1" s="20"/>
      <c r="B1" s="20" t="s">
        <v>2</v>
      </c>
      <c r="C1" s="20" t="s">
        <v>0</v>
      </c>
      <c r="D1" s="92" t="s">
        <v>1956</v>
      </c>
      <c r="E1" s="83" t="s">
        <v>2372</v>
      </c>
      <c r="F1" s="83" t="s">
        <v>2373</v>
      </c>
      <c r="G1" s="83" t="s">
        <v>2374</v>
      </c>
      <c r="H1" s="83" t="s">
        <v>2375</v>
      </c>
      <c r="I1" s="83" t="s">
        <v>2376</v>
      </c>
      <c r="J1" s="83" t="s">
        <v>2377</v>
      </c>
      <c r="K1" s="83"/>
      <c r="L1" s="92" t="s">
        <v>372</v>
      </c>
      <c r="M1" s="94" t="s">
        <v>357</v>
      </c>
      <c r="N1" s="94" t="s">
        <v>377</v>
      </c>
      <c r="O1" s="83" t="s">
        <v>2366</v>
      </c>
      <c r="P1" s="83" t="s">
        <v>2367</v>
      </c>
      <c r="Q1" s="83" t="s">
        <v>2368</v>
      </c>
      <c r="R1" s="83" t="s">
        <v>2369</v>
      </c>
      <c r="S1" s="83" t="s">
        <v>2370</v>
      </c>
      <c r="T1" s="83" t="s">
        <v>2371</v>
      </c>
      <c r="U1" s="92" t="s">
        <v>358</v>
      </c>
      <c r="V1" s="93" t="s">
        <v>360</v>
      </c>
      <c r="W1" s="92" t="s">
        <v>374</v>
      </c>
      <c r="X1" s="125" t="s">
        <v>375</v>
      </c>
      <c r="Y1" s="20" t="s">
        <v>1</v>
      </c>
      <c r="Z1" s="20" t="s">
        <v>1957</v>
      </c>
      <c r="AA1" s="20" t="s">
        <v>1949</v>
      </c>
      <c r="AB1" s="20" t="s">
        <v>1955</v>
      </c>
      <c r="AC1" s="20" t="s">
        <v>1950</v>
      </c>
      <c r="AD1" s="20" t="s">
        <v>1951</v>
      </c>
      <c r="AE1" s="20" t="s">
        <v>1952</v>
      </c>
      <c r="AF1" s="20" t="s">
        <v>1953</v>
      </c>
      <c r="AG1" s="20" t="s">
        <v>1948</v>
      </c>
    </row>
    <row r="2" spans="1:33" x14ac:dyDescent="0.25">
      <c r="A2" s="27" t="s">
        <v>652</v>
      </c>
      <c r="B2" s="27" t="str">
        <f t="shared" ref="B2:B65" si="0">LEFT(A2,FIND(";",A2)-1)</f>
        <v>Arkansas</v>
      </c>
      <c r="C2" s="27" t="str">
        <f t="shared" ref="C2:C65" si="1">MID(A2,FIND(";",A2)+1,100)</f>
        <v>Arkansas</v>
      </c>
      <c r="D2" s="27">
        <v>2314</v>
      </c>
      <c r="E2" s="2">
        <v>24</v>
      </c>
      <c r="F2" s="2">
        <v>16</v>
      </c>
      <c r="G2" s="2">
        <v>21</v>
      </c>
      <c r="H2" s="2">
        <v>37</v>
      </c>
      <c r="I2" s="2">
        <v>3</v>
      </c>
      <c r="J2" s="2">
        <v>13</v>
      </c>
      <c r="K2" s="2">
        <f>SUM(E2:J2)</f>
        <v>114</v>
      </c>
      <c r="L2" s="2">
        <v>114</v>
      </c>
      <c r="M2" s="27">
        <v>105</v>
      </c>
      <c r="N2" s="2">
        <v>3522</v>
      </c>
      <c r="O2" s="12">
        <v>44.49</v>
      </c>
      <c r="P2" s="12">
        <v>37.68</v>
      </c>
      <c r="Q2" s="12">
        <v>39</v>
      </c>
      <c r="R2" s="12">
        <v>31.17</v>
      </c>
      <c r="S2" s="12">
        <v>31.66</v>
      </c>
      <c r="T2" s="12">
        <v>27.8</v>
      </c>
      <c r="U2" s="12">
        <f>((O2*E2)+(P2*F2)+(Q2*G2)+(R2*H2)+(S2*I2)+(T2*J2))/L2</f>
        <v>35.9588596491228</v>
      </c>
      <c r="V2" s="2">
        <v>22319.53</v>
      </c>
      <c r="W2" s="27">
        <v>73</v>
      </c>
      <c r="X2" s="27">
        <v>36045</v>
      </c>
      <c r="Y2" s="27">
        <v>1905</v>
      </c>
      <c r="Z2" s="27" t="s">
        <v>478</v>
      </c>
      <c r="AA2" s="27" t="s">
        <v>479</v>
      </c>
      <c r="AB2" s="27" t="s">
        <v>383</v>
      </c>
      <c r="AC2" s="27" t="s">
        <v>480</v>
      </c>
      <c r="AD2" s="27" t="s">
        <v>383</v>
      </c>
      <c r="AE2" s="27" t="s">
        <v>481</v>
      </c>
      <c r="AF2" s="31" t="s">
        <v>383</v>
      </c>
      <c r="AG2" s="27" t="s">
        <v>482</v>
      </c>
    </row>
    <row r="3" spans="1:33" x14ac:dyDescent="0.25">
      <c r="A3" s="27" t="s">
        <v>653</v>
      </c>
      <c r="B3" s="27" t="str">
        <f t="shared" si="0"/>
        <v>Arkansas</v>
      </c>
      <c r="C3" s="27" t="str">
        <f t="shared" si="1"/>
        <v>Ashley</v>
      </c>
      <c r="D3" s="27">
        <v>3317</v>
      </c>
      <c r="E3" s="2">
        <v>31</v>
      </c>
      <c r="F3" s="2">
        <v>19</v>
      </c>
      <c r="G3" s="2">
        <v>6</v>
      </c>
      <c r="H3" s="2">
        <v>24</v>
      </c>
      <c r="I3" s="2">
        <v>22</v>
      </c>
      <c r="J3" s="2">
        <v>34</v>
      </c>
      <c r="K3" s="2">
        <f t="shared" ref="K3:K66" si="2">SUM(E3:J3)</f>
        <v>136</v>
      </c>
      <c r="L3" s="2">
        <v>136</v>
      </c>
      <c r="M3" s="27">
        <v>93</v>
      </c>
      <c r="N3" s="2">
        <v>5256</v>
      </c>
      <c r="O3" s="12">
        <v>40.96</v>
      </c>
      <c r="P3" s="12">
        <v>27.24</v>
      </c>
      <c r="Q3" s="12">
        <v>30.84</v>
      </c>
      <c r="R3" s="12">
        <v>28.85</v>
      </c>
      <c r="S3" s="12">
        <v>24.6</v>
      </c>
      <c r="T3" s="12">
        <v>23.42</v>
      </c>
      <c r="U3" s="12">
        <f t="shared" ref="U3:U66" si="3">((O3*E3)+(P3*F3)+(Q3*G3)+(R3*H3)+(S3*I3)+(T3*J3))/L3</f>
        <v>29.428235294117648</v>
      </c>
      <c r="V3" s="2">
        <v>28027.56</v>
      </c>
      <c r="W3" s="27">
        <v>83</v>
      </c>
      <c r="X3" s="27">
        <v>41370</v>
      </c>
      <c r="Y3" s="27">
        <v>1905</v>
      </c>
      <c r="Z3" s="27" t="s">
        <v>478</v>
      </c>
      <c r="AA3" s="27" t="s">
        <v>479</v>
      </c>
      <c r="AB3" s="27" t="s">
        <v>383</v>
      </c>
      <c r="AC3" s="27" t="s">
        <v>480</v>
      </c>
      <c r="AD3" s="27" t="s">
        <v>383</v>
      </c>
      <c r="AE3" s="27" t="s">
        <v>481</v>
      </c>
      <c r="AF3" s="27" t="s">
        <v>383</v>
      </c>
      <c r="AG3" s="27" t="s">
        <v>482</v>
      </c>
    </row>
    <row r="4" spans="1:33" x14ac:dyDescent="0.25">
      <c r="A4" s="27" t="s">
        <v>654</v>
      </c>
      <c r="B4" s="27" t="str">
        <f t="shared" si="0"/>
        <v>Arkansas</v>
      </c>
      <c r="C4" s="27" t="str">
        <f t="shared" si="1"/>
        <v>Baxter</v>
      </c>
      <c r="D4" s="27">
        <v>1584</v>
      </c>
      <c r="E4" s="2">
        <v>9</v>
      </c>
      <c r="F4" s="2">
        <v>4</v>
      </c>
      <c r="G4" s="2">
        <v>13</v>
      </c>
      <c r="H4" s="2">
        <v>11</v>
      </c>
      <c r="I4" s="2">
        <v>6</v>
      </c>
      <c r="J4" s="2">
        <v>22</v>
      </c>
      <c r="K4" s="2">
        <f t="shared" si="2"/>
        <v>65</v>
      </c>
      <c r="L4" s="2">
        <v>66</v>
      </c>
      <c r="M4" s="27">
        <v>63</v>
      </c>
      <c r="N4" s="2">
        <v>2580</v>
      </c>
      <c r="O4" s="12">
        <v>44</v>
      </c>
      <c r="P4" s="12">
        <v>30</v>
      </c>
      <c r="Q4" s="12">
        <v>30.5</v>
      </c>
      <c r="R4" s="12">
        <v>27.33</v>
      </c>
      <c r="S4" s="12">
        <v>43.4</v>
      </c>
      <c r="T4" s="12">
        <v>21.65</v>
      </c>
      <c r="U4" s="12">
        <f t="shared" si="3"/>
        <v>29.542878787878792</v>
      </c>
      <c r="V4" s="2">
        <v>9130.3700000000008</v>
      </c>
      <c r="W4" s="27">
        <v>42</v>
      </c>
      <c r="X4" s="27">
        <v>11093.65</v>
      </c>
      <c r="Y4" s="27">
        <v>1905</v>
      </c>
      <c r="Z4" s="27" t="s">
        <v>478</v>
      </c>
      <c r="AA4" s="27" t="s">
        <v>479</v>
      </c>
      <c r="AB4" s="27" t="s">
        <v>383</v>
      </c>
      <c r="AC4" s="27" t="s">
        <v>480</v>
      </c>
      <c r="AD4" s="27" t="s">
        <v>383</v>
      </c>
      <c r="AE4" s="27" t="s">
        <v>481</v>
      </c>
      <c r="AF4" s="27" t="s">
        <v>383</v>
      </c>
      <c r="AG4" s="27" t="s">
        <v>482</v>
      </c>
    </row>
    <row r="5" spans="1:33" x14ac:dyDescent="0.25">
      <c r="A5" s="27" t="s">
        <v>655</v>
      </c>
      <c r="B5" s="27" t="str">
        <f t="shared" si="0"/>
        <v>Arkansas</v>
      </c>
      <c r="C5" s="27" t="str">
        <f t="shared" si="1"/>
        <v>Benton</v>
      </c>
      <c r="D5" s="27">
        <v>4236</v>
      </c>
      <c r="E5" s="2">
        <v>23</v>
      </c>
      <c r="F5" s="2">
        <v>38</v>
      </c>
      <c r="G5" s="2">
        <v>20</v>
      </c>
      <c r="H5" s="2">
        <v>21</v>
      </c>
      <c r="I5" s="2">
        <v>1</v>
      </c>
      <c r="J5" s="2">
        <v>15</v>
      </c>
      <c r="K5" s="2">
        <f t="shared" si="2"/>
        <v>118</v>
      </c>
      <c r="L5" s="2">
        <v>119</v>
      </c>
      <c r="M5" s="27">
        <v>54</v>
      </c>
      <c r="N5" s="2">
        <v>7597</v>
      </c>
      <c r="O5" s="12">
        <v>35</v>
      </c>
      <c r="P5" s="12">
        <v>30</v>
      </c>
      <c r="Q5" s="12">
        <v>31</v>
      </c>
      <c r="R5" s="12">
        <v>27</v>
      </c>
      <c r="S5" s="12">
        <v>25</v>
      </c>
      <c r="T5" s="12">
        <v>22.5</v>
      </c>
      <c r="U5" s="12">
        <f t="shared" si="3"/>
        <v>29.365546218487395</v>
      </c>
      <c r="V5" s="2">
        <v>43008.03</v>
      </c>
      <c r="W5" s="27">
        <v>140</v>
      </c>
      <c r="X5" s="27">
        <v>62194</v>
      </c>
      <c r="Y5" s="27">
        <v>1905</v>
      </c>
      <c r="Z5" s="27" t="s">
        <v>478</v>
      </c>
      <c r="AA5" s="27" t="s">
        <v>479</v>
      </c>
      <c r="AB5" s="27" t="s">
        <v>383</v>
      </c>
      <c r="AC5" s="27" t="s">
        <v>480</v>
      </c>
      <c r="AD5" s="27" t="s">
        <v>383</v>
      </c>
      <c r="AE5" s="27" t="s">
        <v>481</v>
      </c>
      <c r="AF5" s="27" t="s">
        <v>383</v>
      </c>
      <c r="AG5" s="27" t="s">
        <v>482</v>
      </c>
    </row>
    <row r="6" spans="1:33" x14ac:dyDescent="0.25">
      <c r="A6" s="27" t="s">
        <v>656</v>
      </c>
      <c r="B6" s="27" t="str">
        <f t="shared" si="0"/>
        <v>Arkansas</v>
      </c>
      <c r="C6" s="27" t="str">
        <f t="shared" si="1"/>
        <v>Boone</v>
      </c>
      <c r="D6" s="27">
        <v>3044</v>
      </c>
      <c r="E6" s="2">
        <v>23</v>
      </c>
      <c r="F6" s="2">
        <v>10</v>
      </c>
      <c r="G6" s="2">
        <v>19</v>
      </c>
      <c r="H6" s="2">
        <v>23</v>
      </c>
      <c r="I6" s="2">
        <v>13</v>
      </c>
      <c r="J6" s="2">
        <v>24</v>
      </c>
      <c r="K6" s="2">
        <f t="shared" si="2"/>
        <v>112</v>
      </c>
      <c r="L6" s="2">
        <v>113</v>
      </c>
      <c r="M6" s="27">
        <v>82</v>
      </c>
      <c r="N6" s="2">
        <v>4706</v>
      </c>
      <c r="O6" s="12">
        <v>40.75</v>
      </c>
      <c r="P6" s="12">
        <v>31.5</v>
      </c>
      <c r="Q6" s="12">
        <v>33</v>
      </c>
      <c r="R6" s="12">
        <v>26.25</v>
      </c>
      <c r="S6" s="12">
        <v>29</v>
      </c>
      <c r="T6" s="12">
        <v>25.08</v>
      </c>
      <c r="U6" s="12">
        <f t="shared" si="3"/>
        <v>30.63646017699115</v>
      </c>
      <c r="V6" s="2">
        <v>12514.53</v>
      </c>
      <c r="W6" s="27">
        <v>87</v>
      </c>
      <c r="X6" s="27">
        <v>40480</v>
      </c>
      <c r="Y6" s="27">
        <v>1905</v>
      </c>
      <c r="Z6" s="27" t="s">
        <v>478</v>
      </c>
      <c r="AA6" s="27" t="s">
        <v>479</v>
      </c>
      <c r="AB6" s="27" t="s">
        <v>383</v>
      </c>
      <c r="AC6" s="27" t="s">
        <v>480</v>
      </c>
      <c r="AD6" s="27" t="s">
        <v>383</v>
      </c>
      <c r="AE6" s="27" t="s">
        <v>481</v>
      </c>
      <c r="AF6" s="27" t="s">
        <v>383</v>
      </c>
      <c r="AG6" s="27" t="s">
        <v>482</v>
      </c>
    </row>
    <row r="7" spans="1:33" x14ac:dyDescent="0.25">
      <c r="A7" s="27" t="s">
        <v>657</v>
      </c>
      <c r="B7" s="27" t="str">
        <f t="shared" si="0"/>
        <v>Arkansas</v>
      </c>
      <c r="C7" s="27" t="str">
        <f t="shared" si="1"/>
        <v>Bradley</v>
      </c>
      <c r="D7" s="27">
        <v>1281</v>
      </c>
      <c r="E7" s="2">
        <v>16</v>
      </c>
      <c r="F7" s="2">
        <v>11</v>
      </c>
      <c r="G7" s="2">
        <v>11</v>
      </c>
      <c r="H7" s="2">
        <v>11</v>
      </c>
      <c r="I7" s="2">
        <v>6</v>
      </c>
      <c r="J7" s="2">
        <v>7</v>
      </c>
      <c r="K7" s="2">
        <f t="shared" si="2"/>
        <v>62</v>
      </c>
      <c r="L7" s="2">
        <v>62</v>
      </c>
      <c r="M7" s="27">
        <v>70</v>
      </c>
      <c r="N7" s="2">
        <v>2487</v>
      </c>
      <c r="O7" s="12">
        <v>53</v>
      </c>
      <c r="P7" s="12">
        <v>41</v>
      </c>
      <c r="Q7" s="12">
        <v>45</v>
      </c>
      <c r="R7" s="12">
        <v>36.35</v>
      </c>
      <c r="S7" s="12">
        <v>33.5</v>
      </c>
      <c r="T7" s="12">
        <v>31.5</v>
      </c>
      <c r="U7" s="12">
        <f t="shared" si="3"/>
        <v>42.183064516129029</v>
      </c>
      <c r="V7" s="2">
        <v>19545.43</v>
      </c>
      <c r="W7" s="27">
        <v>52</v>
      </c>
      <c r="X7" s="27">
        <v>21609.5</v>
      </c>
      <c r="Y7" s="27">
        <v>1905</v>
      </c>
      <c r="Z7" s="27" t="s">
        <v>478</v>
      </c>
      <c r="AA7" s="27" t="s">
        <v>479</v>
      </c>
      <c r="AB7" s="27" t="s">
        <v>383</v>
      </c>
      <c r="AC7" s="27" t="s">
        <v>480</v>
      </c>
      <c r="AD7" s="27" t="s">
        <v>383</v>
      </c>
      <c r="AE7" s="27" t="s">
        <v>481</v>
      </c>
      <c r="AF7" s="27" t="s">
        <v>383</v>
      </c>
      <c r="AG7" s="27" t="s">
        <v>482</v>
      </c>
    </row>
    <row r="8" spans="1:33" x14ac:dyDescent="0.25">
      <c r="A8" s="27" t="s">
        <v>658</v>
      </c>
      <c r="B8" s="27" t="str">
        <f t="shared" si="0"/>
        <v>Arkansas</v>
      </c>
      <c r="C8" s="27" t="str">
        <f t="shared" si="1"/>
        <v>Calhoun</v>
      </c>
      <c r="D8" s="27">
        <v>1139</v>
      </c>
      <c r="E8" s="2">
        <v>30</v>
      </c>
      <c r="F8" s="2">
        <v>5</v>
      </c>
      <c r="G8" s="2">
        <v>17</v>
      </c>
      <c r="H8" s="2">
        <v>7</v>
      </c>
      <c r="I8" s="2">
        <v>3</v>
      </c>
      <c r="J8" s="2">
        <v>5</v>
      </c>
      <c r="K8" s="2">
        <f t="shared" si="2"/>
        <v>67</v>
      </c>
      <c r="L8" s="2">
        <v>69</v>
      </c>
      <c r="M8" s="27">
        <v>60</v>
      </c>
      <c r="N8" s="2">
        <v>2156</v>
      </c>
      <c r="O8" s="12">
        <v>40</v>
      </c>
      <c r="P8" s="12">
        <v>40</v>
      </c>
      <c r="Q8" s="12"/>
      <c r="R8" s="12"/>
      <c r="S8" s="12"/>
      <c r="T8" s="12"/>
      <c r="U8" s="12">
        <f t="shared" si="3"/>
        <v>20.289855072463769</v>
      </c>
      <c r="V8" s="2">
        <v>12373.91</v>
      </c>
      <c r="W8" s="27">
        <v>44</v>
      </c>
      <c r="X8" s="27">
        <v>6903</v>
      </c>
      <c r="Y8" s="27">
        <v>1905</v>
      </c>
      <c r="Z8" s="27" t="s">
        <v>478</v>
      </c>
      <c r="AA8" s="27" t="s">
        <v>479</v>
      </c>
      <c r="AB8" s="27" t="s">
        <v>383</v>
      </c>
      <c r="AC8" s="27" t="s">
        <v>480</v>
      </c>
      <c r="AD8" s="27" t="s">
        <v>383</v>
      </c>
      <c r="AE8" s="27" t="s">
        <v>481</v>
      </c>
      <c r="AF8" s="27" t="s">
        <v>383</v>
      </c>
      <c r="AG8" s="27" t="s">
        <v>482</v>
      </c>
    </row>
    <row r="9" spans="1:33" x14ac:dyDescent="0.25">
      <c r="A9" s="27" t="s">
        <v>659</v>
      </c>
      <c r="B9" s="27" t="str">
        <f t="shared" si="0"/>
        <v>Arkansas</v>
      </c>
      <c r="C9" s="27" t="str">
        <f t="shared" si="1"/>
        <v>Carroll</v>
      </c>
      <c r="D9" s="27">
        <v>2673</v>
      </c>
      <c r="E9" s="2">
        <v>19</v>
      </c>
      <c r="F9" s="2">
        <v>21</v>
      </c>
      <c r="G9" s="2">
        <v>11</v>
      </c>
      <c r="H9" s="2">
        <v>19</v>
      </c>
      <c r="I9" s="2">
        <v>12</v>
      </c>
      <c r="J9" s="2">
        <v>11</v>
      </c>
      <c r="K9" s="2">
        <f t="shared" si="2"/>
        <v>93</v>
      </c>
      <c r="L9" s="2">
        <v>92</v>
      </c>
      <c r="M9" s="27">
        <v>72</v>
      </c>
      <c r="N9" s="2">
        <v>4161</v>
      </c>
      <c r="O9" s="12">
        <v>41</v>
      </c>
      <c r="P9" s="12">
        <v>28.25</v>
      </c>
      <c r="Q9" s="12">
        <v>29.21</v>
      </c>
      <c r="R9" s="12">
        <v>23.9</v>
      </c>
      <c r="S9" s="12">
        <v>24.27</v>
      </c>
      <c r="T9" s="12">
        <v>24.2</v>
      </c>
      <c r="U9" s="12">
        <f t="shared" si="3"/>
        <v>29.403260869565212</v>
      </c>
      <c r="V9" s="2">
        <v>20574.560000000001</v>
      </c>
      <c r="W9" s="27">
        <v>86</v>
      </c>
      <c r="X9" s="27">
        <v>38610</v>
      </c>
      <c r="Y9" s="27">
        <v>1905</v>
      </c>
      <c r="Z9" s="27" t="s">
        <v>478</v>
      </c>
      <c r="AA9" s="27" t="s">
        <v>479</v>
      </c>
      <c r="AB9" s="27" t="s">
        <v>383</v>
      </c>
      <c r="AC9" s="27" t="s">
        <v>480</v>
      </c>
      <c r="AD9" s="27" t="s">
        <v>383</v>
      </c>
      <c r="AE9" s="27" t="s">
        <v>481</v>
      </c>
      <c r="AF9" s="27" t="s">
        <v>383</v>
      </c>
      <c r="AG9" s="27" t="s">
        <v>482</v>
      </c>
    </row>
    <row r="10" spans="1:33" x14ac:dyDescent="0.25">
      <c r="A10" s="27" t="s">
        <v>660</v>
      </c>
      <c r="B10" s="27" t="str">
        <f t="shared" si="0"/>
        <v>Arkansas</v>
      </c>
      <c r="C10" s="27" t="str">
        <f t="shared" si="1"/>
        <v>Chicot</v>
      </c>
      <c r="D10" s="27">
        <v>1386</v>
      </c>
      <c r="E10" s="2">
        <v>19</v>
      </c>
      <c r="F10" s="2">
        <v>27</v>
      </c>
      <c r="G10" s="2">
        <v>3</v>
      </c>
      <c r="H10" s="2">
        <v>21</v>
      </c>
      <c r="I10" s="2"/>
      <c r="J10" s="2"/>
      <c r="K10" s="2">
        <f t="shared" si="2"/>
        <v>70</v>
      </c>
      <c r="L10" s="2">
        <v>70</v>
      </c>
      <c r="M10" s="27">
        <v>97</v>
      </c>
      <c r="N10" s="2">
        <v>2978</v>
      </c>
      <c r="O10" s="12">
        <v>45</v>
      </c>
      <c r="P10" s="12">
        <v>40</v>
      </c>
      <c r="Q10" s="12">
        <v>35</v>
      </c>
      <c r="R10" s="12">
        <v>30</v>
      </c>
      <c r="S10" s="12">
        <v>25</v>
      </c>
      <c r="T10" s="12">
        <v>15</v>
      </c>
      <c r="U10" s="12">
        <f t="shared" si="3"/>
        <v>38.142857142857146</v>
      </c>
      <c r="V10" s="2">
        <v>23015.37</v>
      </c>
      <c r="W10" s="27">
        <v>29</v>
      </c>
      <c r="X10" s="27">
        <v>8658</v>
      </c>
      <c r="Y10" s="27">
        <v>1905</v>
      </c>
      <c r="Z10" s="27" t="s">
        <v>478</v>
      </c>
      <c r="AA10" s="27" t="s">
        <v>479</v>
      </c>
      <c r="AB10" s="27" t="s">
        <v>383</v>
      </c>
      <c r="AC10" s="27" t="s">
        <v>480</v>
      </c>
      <c r="AD10" s="27" t="s">
        <v>383</v>
      </c>
      <c r="AE10" s="27" t="s">
        <v>481</v>
      </c>
      <c r="AF10" s="27" t="s">
        <v>383</v>
      </c>
      <c r="AG10" s="27" t="s">
        <v>482</v>
      </c>
    </row>
    <row r="11" spans="1:33" x14ac:dyDescent="0.25">
      <c r="A11" s="27" t="s">
        <v>661</v>
      </c>
      <c r="B11" s="27" t="str">
        <f t="shared" si="0"/>
        <v>Arkansas</v>
      </c>
      <c r="C11" s="27" t="str">
        <f t="shared" si="1"/>
        <v>Clark</v>
      </c>
      <c r="D11" s="27">
        <v>4070</v>
      </c>
      <c r="E11" s="2">
        <v>13</v>
      </c>
      <c r="F11" s="2">
        <v>27</v>
      </c>
      <c r="G11" s="2">
        <v>16</v>
      </c>
      <c r="H11" s="2">
        <v>16</v>
      </c>
      <c r="I11" s="2">
        <v>22</v>
      </c>
      <c r="J11" s="2">
        <v>20</v>
      </c>
      <c r="K11" s="2">
        <f t="shared" si="2"/>
        <v>114</v>
      </c>
      <c r="L11" s="2">
        <v>114</v>
      </c>
      <c r="M11" s="27">
        <v>103</v>
      </c>
      <c r="N11" s="2">
        <v>6291</v>
      </c>
      <c r="O11" s="12">
        <v>51.25</v>
      </c>
      <c r="P11" s="12">
        <v>40</v>
      </c>
      <c r="Q11" s="12">
        <v>36.22</v>
      </c>
      <c r="R11" s="12">
        <v>33.72</v>
      </c>
      <c r="S11" s="12">
        <v>32.65</v>
      </c>
      <c r="T11" s="12">
        <v>30.06</v>
      </c>
      <c r="U11" s="12">
        <f t="shared" si="3"/>
        <v>36.708684210526314</v>
      </c>
      <c r="V11" s="2">
        <v>32318.25</v>
      </c>
      <c r="W11" s="27">
        <v>100</v>
      </c>
      <c r="X11" s="27">
        <v>35705</v>
      </c>
      <c r="Y11" s="27">
        <v>1905</v>
      </c>
      <c r="Z11" s="27" t="s">
        <v>478</v>
      </c>
      <c r="AA11" s="27" t="s">
        <v>479</v>
      </c>
      <c r="AB11" s="27" t="s">
        <v>383</v>
      </c>
      <c r="AC11" s="27" t="s">
        <v>480</v>
      </c>
      <c r="AD11" s="27" t="s">
        <v>383</v>
      </c>
      <c r="AE11" s="27" t="s">
        <v>481</v>
      </c>
      <c r="AF11" s="27" t="s">
        <v>383</v>
      </c>
      <c r="AG11" s="27" t="s">
        <v>482</v>
      </c>
    </row>
    <row r="12" spans="1:33" x14ac:dyDescent="0.25">
      <c r="A12" s="27" t="s">
        <v>662</v>
      </c>
      <c r="B12" s="27" t="str">
        <f t="shared" si="0"/>
        <v>Arkansas</v>
      </c>
      <c r="C12" s="27" t="str">
        <f t="shared" si="1"/>
        <v>Clay</v>
      </c>
      <c r="D12" s="27">
        <v>2353</v>
      </c>
      <c r="E12" s="2">
        <v>22</v>
      </c>
      <c r="F12" s="2">
        <v>16</v>
      </c>
      <c r="G12" s="2">
        <v>16</v>
      </c>
      <c r="H12" s="2">
        <v>20</v>
      </c>
      <c r="I12" s="2">
        <v>13</v>
      </c>
      <c r="J12" s="2">
        <v>9</v>
      </c>
      <c r="K12" s="2">
        <f t="shared" si="2"/>
        <v>96</v>
      </c>
      <c r="L12" s="2">
        <v>136</v>
      </c>
      <c r="M12" s="27">
        <v>73</v>
      </c>
      <c r="N12" s="2">
        <v>4580</v>
      </c>
      <c r="O12" s="12">
        <v>46.66</v>
      </c>
      <c r="P12" s="12">
        <v>39.840000000000003</v>
      </c>
      <c r="Q12" s="12">
        <v>39.840000000000003</v>
      </c>
      <c r="R12" s="12">
        <v>37</v>
      </c>
      <c r="S12" s="12">
        <v>36</v>
      </c>
      <c r="T12" s="12">
        <v>33.06</v>
      </c>
      <c r="U12" s="12">
        <f t="shared" si="3"/>
        <v>27.992205882352941</v>
      </c>
      <c r="V12" s="2">
        <v>19090.41</v>
      </c>
      <c r="W12" s="27">
        <v>80</v>
      </c>
      <c r="X12" s="27">
        <v>32484.62</v>
      </c>
      <c r="Y12" s="27">
        <v>1905</v>
      </c>
      <c r="Z12" s="27" t="s">
        <v>478</v>
      </c>
      <c r="AA12" s="27" t="s">
        <v>479</v>
      </c>
      <c r="AB12" s="27" t="s">
        <v>383</v>
      </c>
      <c r="AC12" s="27" t="s">
        <v>480</v>
      </c>
      <c r="AD12" s="27" t="s">
        <v>383</v>
      </c>
      <c r="AE12" s="27" t="s">
        <v>481</v>
      </c>
      <c r="AF12" s="27" t="s">
        <v>383</v>
      </c>
      <c r="AG12" s="27" t="s">
        <v>482</v>
      </c>
    </row>
    <row r="13" spans="1:33" x14ac:dyDescent="0.25">
      <c r="A13" s="27" t="s">
        <v>663</v>
      </c>
      <c r="B13" s="27" t="str">
        <f t="shared" si="0"/>
        <v>Arkansas</v>
      </c>
      <c r="C13" s="27" t="str">
        <f t="shared" si="1"/>
        <v>Cleburne</v>
      </c>
      <c r="D13" s="27">
        <v>1128</v>
      </c>
      <c r="E13" s="2">
        <v>10</v>
      </c>
      <c r="F13" s="2">
        <v>16</v>
      </c>
      <c r="G13" s="2">
        <v>16</v>
      </c>
      <c r="H13" s="2">
        <v>10</v>
      </c>
      <c r="I13" s="2">
        <v>5</v>
      </c>
      <c r="J13" s="2">
        <v>9</v>
      </c>
      <c r="K13" s="2">
        <f t="shared" si="2"/>
        <v>66</v>
      </c>
      <c r="L13" s="2">
        <v>66</v>
      </c>
      <c r="M13" s="27">
        <v>70</v>
      </c>
      <c r="N13" s="2">
        <v>2077</v>
      </c>
      <c r="O13" s="12">
        <v>35</v>
      </c>
      <c r="P13" s="12">
        <v>33.33</v>
      </c>
      <c r="Q13" s="12">
        <v>30</v>
      </c>
      <c r="R13" s="12">
        <v>25</v>
      </c>
      <c r="S13" s="12">
        <v>25</v>
      </c>
      <c r="T13" s="12">
        <v>22.5</v>
      </c>
      <c r="U13" s="12">
        <f t="shared" si="3"/>
        <v>29.405757575757576</v>
      </c>
      <c r="V13" s="2">
        <v>9722.52</v>
      </c>
      <c r="W13" s="27">
        <v>55</v>
      </c>
      <c r="X13" s="27">
        <v>9792</v>
      </c>
      <c r="Y13" s="27">
        <v>1905</v>
      </c>
      <c r="Z13" s="27" t="s">
        <v>478</v>
      </c>
      <c r="AA13" s="27" t="s">
        <v>479</v>
      </c>
      <c r="AB13" s="27" t="s">
        <v>383</v>
      </c>
      <c r="AC13" s="27" t="s">
        <v>480</v>
      </c>
      <c r="AD13" s="27" t="s">
        <v>383</v>
      </c>
      <c r="AE13" s="27" t="s">
        <v>481</v>
      </c>
      <c r="AF13" s="27" t="s">
        <v>383</v>
      </c>
      <c r="AG13" s="27" t="s">
        <v>482</v>
      </c>
    </row>
    <row r="14" spans="1:33" x14ac:dyDescent="0.25">
      <c r="A14" s="27" t="s">
        <v>1777</v>
      </c>
      <c r="B14" s="27" t="str">
        <f t="shared" si="0"/>
        <v>Arkansas</v>
      </c>
      <c r="C14" s="27" t="str">
        <f t="shared" si="1"/>
        <v>Cleveland/Dorsey</v>
      </c>
      <c r="D14" s="27">
        <v>1611</v>
      </c>
      <c r="E14" s="2">
        <v>26</v>
      </c>
      <c r="F14" s="2">
        <v>30</v>
      </c>
      <c r="G14" s="2">
        <v>4</v>
      </c>
      <c r="H14" s="2">
        <v>10</v>
      </c>
      <c r="I14" s="2">
        <v>1</v>
      </c>
      <c r="J14" s="2">
        <v>8</v>
      </c>
      <c r="K14" s="2">
        <f t="shared" si="2"/>
        <v>79</v>
      </c>
      <c r="L14" s="2">
        <v>79</v>
      </c>
      <c r="M14" s="27">
        <v>83</v>
      </c>
      <c r="N14" s="2">
        <v>3055</v>
      </c>
      <c r="O14" s="12">
        <v>41.95</v>
      </c>
      <c r="P14" s="12">
        <v>32.020000000000003</v>
      </c>
      <c r="Q14" s="12">
        <v>35.85</v>
      </c>
      <c r="R14" s="12">
        <v>30.57</v>
      </c>
      <c r="S14" s="12">
        <v>30</v>
      </c>
      <c r="T14" s="12">
        <v>23.14</v>
      </c>
      <c r="U14" s="12">
        <f t="shared" si="3"/>
        <v>34.373670886075949</v>
      </c>
      <c r="V14" s="2">
        <v>14485.82</v>
      </c>
      <c r="W14" s="27">
        <v>68</v>
      </c>
      <c r="X14" s="27">
        <v>14435</v>
      </c>
      <c r="Y14" s="27">
        <v>1905</v>
      </c>
      <c r="Z14" s="27" t="s">
        <v>478</v>
      </c>
      <c r="AA14" s="27" t="s">
        <v>479</v>
      </c>
      <c r="AB14" s="27" t="s">
        <v>383</v>
      </c>
      <c r="AC14" s="27" t="s">
        <v>480</v>
      </c>
      <c r="AD14" s="27" t="s">
        <v>383</v>
      </c>
      <c r="AE14" s="27" t="s">
        <v>481</v>
      </c>
      <c r="AF14" s="27" t="s">
        <v>383</v>
      </c>
      <c r="AG14" s="27" t="s">
        <v>482</v>
      </c>
    </row>
    <row r="15" spans="1:33" x14ac:dyDescent="0.25">
      <c r="A15" s="27" t="s">
        <v>664</v>
      </c>
      <c r="B15" s="27" t="str">
        <f t="shared" si="0"/>
        <v>Arkansas</v>
      </c>
      <c r="C15" s="27" t="str">
        <f t="shared" si="1"/>
        <v>Columbia</v>
      </c>
      <c r="D15" s="27">
        <v>3830</v>
      </c>
      <c r="E15" s="2">
        <v>43</v>
      </c>
      <c r="F15" s="2">
        <v>13</v>
      </c>
      <c r="G15" s="2">
        <v>23</v>
      </c>
      <c r="H15" s="2">
        <v>9</v>
      </c>
      <c r="I15" s="2">
        <v>32</v>
      </c>
      <c r="J15" s="2">
        <v>24</v>
      </c>
      <c r="K15" s="2">
        <f t="shared" si="2"/>
        <v>144</v>
      </c>
      <c r="L15" s="2">
        <v>144</v>
      </c>
      <c r="M15" s="27">
        <v>79</v>
      </c>
      <c r="N15" s="2">
        <v>6027</v>
      </c>
      <c r="O15" s="12">
        <v>68.72</v>
      </c>
      <c r="P15" s="12">
        <v>34.159999999999997</v>
      </c>
      <c r="Q15" s="12">
        <v>41.38</v>
      </c>
      <c r="R15" s="12">
        <v>36.25</v>
      </c>
      <c r="S15" s="12">
        <v>34.28</v>
      </c>
      <c r="T15" s="12">
        <v>29.65</v>
      </c>
      <c r="U15" s="12">
        <f t="shared" si="3"/>
        <v>45.038819444444442</v>
      </c>
      <c r="V15" s="2">
        <v>24441.9</v>
      </c>
      <c r="W15" s="27">
        <v>74</v>
      </c>
      <c r="X15" s="27">
        <v>55711.95</v>
      </c>
      <c r="Y15" s="27">
        <v>1905</v>
      </c>
      <c r="Z15" s="27" t="s">
        <v>478</v>
      </c>
      <c r="AA15" s="27" t="s">
        <v>479</v>
      </c>
      <c r="AB15" s="27" t="s">
        <v>383</v>
      </c>
      <c r="AC15" s="27" t="s">
        <v>480</v>
      </c>
      <c r="AD15" s="27" t="s">
        <v>383</v>
      </c>
      <c r="AE15" s="27" t="s">
        <v>481</v>
      </c>
      <c r="AF15" s="27" t="s">
        <v>383</v>
      </c>
      <c r="AG15" s="27" t="s">
        <v>482</v>
      </c>
    </row>
    <row r="16" spans="1:33" x14ac:dyDescent="0.25">
      <c r="A16" s="27" t="s">
        <v>665</v>
      </c>
      <c r="B16" s="27" t="str">
        <f t="shared" si="0"/>
        <v>Arkansas</v>
      </c>
      <c r="C16" s="27" t="str">
        <f t="shared" si="1"/>
        <v>Conway</v>
      </c>
      <c r="D16" s="27">
        <v>3449</v>
      </c>
      <c r="E16" s="2">
        <v>29</v>
      </c>
      <c r="F16" s="2">
        <v>20</v>
      </c>
      <c r="G16" s="2">
        <v>38</v>
      </c>
      <c r="H16" s="2">
        <v>31</v>
      </c>
      <c r="I16" s="2">
        <v>28</v>
      </c>
      <c r="J16" s="2">
        <v>13</v>
      </c>
      <c r="K16" s="2">
        <f t="shared" si="2"/>
        <v>159</v>
      </c>
      <c r="L16" s="2">
        <v>159</v>
      </c>
      <c r="M16" s="27">
        <v>77</v>
      </c>
      <c r="N16" s="2">
        <v>6159</v>
      </c>
      <c r="O16" s="12">
        <v>40</v>
      </c>
      <c r="P16" s="12">
        <v>36.1</v>
      </c>
      <c r="Q16" s="12">
        <v>35.75</v>
      </c>
      <c r="R16" s="12">
        <v>33.61</v>
      </c>
      <c r="S16" s="12">
        <v>29.8</v>
      </c>
      <c r="T16" s="12">
        <v>29.61</v>
      </c>
      <c r="U16" s="12">
        <f t="shared" si="3"/>
        <v>34.602138364779876</v>
      </c>
      <c r="V16" s="2">
        <v>23963.63</v>
      </c>
      <c r="W16" s="27">
        <v>86</v>
      </c>
      <c r="X16" s="27">
        <v>36455</v>
      </c>
      <c r="Y16" s="27">
        <v>1905</v>
      </c>
      <c r="Z16" s="27" t="s">
        <v>478</v>
      </c>
      <c r="AA16" s="27" t="s">
        <v>479</v>
      </c>
      <c r="AB16" s="27" t="s">
        <v>383</v>
      </c>
      <c r="AC16" s="27" t="s">
        <v>480</v>
      </c>
      <c r="AD16" s="27" t="s">
        <v>383</v>
      </c>
      <c r="AE16" s="27" t="s">
        <v>481</v>
      </c>
      <c r="AF16" s="27" t="s">
        <v>383</v>
      </c>
      <c r="AG16" s="27" t="s">
        <v>482</v>
      </c>
    </row>
    <row r="17" spans="1:33" x14ac:dyDescent="0.25">
      <c r="A17" s="27" t="s">
        <v>666</v>
      </c>
      <c r="B17" s="27" t="str">
        <f t="shared" si="0"/>
        <v>Arkansas</v>
      </c>
      <c r="C17" s="27" t="str">
        <f t="shared" si="1"/>
        <v>Craighead</v>
      </c>
      <c r="D17" s="27">
        <v>3217</v>
      </c>
      <c r="E17" s="2">
        <v>14</v>
      </c>
      <c r="F17" s="2">
        <v>16</v>
      </c>
      <c r="G17" s="2">
        <v>27</v>
      </c>
      <c r="H17" s="2">
        <v>11</v>
      </c>
      <c r="I17" s="2">
        <v>16</v>
      </c>
      <c r="J17" s="2">
        <v>13</v>
      </c>
      <c r="K17" s="2">
        <f t="shared" si="2"/>
        <v>97</v>
      </c>
      <c r="L17" s="2">
        <v>104</v>
      </c>
      <c r="M17" s="27">
        <v>114</v>
      </c>
      <c r="N17" s="2">
        <v>5976</v>
      </c>
      <c r="O17" s="12">
        <v>47</v>
      </c>
      <c r="P17" s="12">
        <v>47</v>
      </c>
      <c r="Q17" s="12">
        <v>45</v>
      </c>
      <c r="R17" s="12">
        <v>40</v>
      </c>
      <c r="S17" s="12">
        <v>40</v>
      </c>
      <c r="T17" s="12">
        <v>35</v>
      </c>
      <c r="U17" s="12">
        <f t="shared" si="3"/>
        <v>40</v>
      </c>
      <c r="V17" s="2">
        <v>38895.67</v>
      </c>
      <c r="W17" s="27">
        <v>78</v>
      </c>
      <c r="X17" s="27">
        <v>76478</v>
      </c>
      <c r="Y17" s="27">
        <v>1905</v>
      </c>
      <c r="Z17" s="27" t="s">
        <v>478</v>
      </c>
      <c r="AA17" s="27" t="s">
        <v>479</v>
      </c>
      <c r="AB17" s="27" t="s">
        <v>383</v>
      </c>
      <c r="AC17" s="27" t="s">
        <v>480</v>
      </c>
      <c r="AD17" s="27" t="s">
        <v>383</v>
      </c>
      <c r="AE17" s="27" t="s">
        <v>481</v>
      </c>
      <c r="AF17" s="27" t="s">
        <v>383</v>
      </c>
      <c r="AG17" s="27" t="s">
        <v>482</v>
      </c>
    </row>
    <row r="18" spans="1:33" x14ac:dyDescent="0.25">
      <c r="A18" s="27" t="s">
        <v>667</v>
      </c>
      <c r="B18" s="27" t="str">
        <f t="shared" si="0"/>
        <v>Arkansas</v>
      </c>
      <c r="C18" s="27" t="str">
        <f t="shared" si="1"/>
        <v>Crawford</v>
      </c>
      <c r="D18" s="27">
        <v>3145</v>
      </c>
      <c r="E18" s="2">
        <v>32</v>
      </c>
      <c r="F18" s="2">
        <v>27</v>
      </c>
      <c r="G18" s="2">
        <v>26</v>
      </c>
      <c r="H18" s="2">
        <v>10</v>
      </c>
      <c r="I18" s="2">
        <v>8</v>
      </c>
      <c r="J18" s="2">
        <v>8</v>
      </c>
      <c r="K18" s="2">
        <f t="shared" si="2"/>
        <v>111</v>
      </c>
      <c r="L18" s="2">
        <v>117</v>
      </c>
      <c r="M18" s="27">
        <v>94</v>
      </c>
      <c r="N18" s="2">
        <v>5013</v>
      </c>
      <c r="O18" s="12">
        <v>41</v>
      </c>
      <c r="P18" s="12">
        <v>39</v>
      </c>
      <c r="Q18" s="12">
        <v>32</v>
      </c>
      <c r="R18" s="12">
        <v>29</v>
      </c>
      <c r="S18" s="12">
        <v>26</v>
      </c>
      <c r="T18" s="12">
        <v>28</v>
      </c>
      <c r="U18" s="12">
        <f t="shared" si="3"/>
        <v>33.495726495726494</v>
      </c>
      <c r="V18" s="2">
        <v>27205.42</v>
      </c>
      <c r="W18" s="27">
        <v>97</v>
      </c>
      <c r="X18" s="27">
        <v>74779</v>
      </c>
      <c r="Y18" s="27">
        <v>1905</v>
      </c>
      <c r="Z18" s="27" t="s">
        <v>478</v>
      </c>
      <c r="AA18" s="27" t="s">
        <v>479</v>
      </c>
      <c r="AB18" s="27" t="s">
        <v>383</v>
      </c>
      <c r="AC18" s="27" t="s">
        <v>480</v>
      </c>
      <c r="AD18" s="27" t="s">
        <v>383</v>
      </c>
      <c r="AE18" s="27" t="s">
        <v>481</v>
      </c>
      <c r="AF18" s="27" t="s">
        <v>383</v>
      </c>
      <c r="AG18" s="27" t="s">
        <v>482</v>
      </c>
    </row>
    <row r="19" spans="1:33" x14ac:dyDescent="0.25">
      <c r="A19" s="27" t="s">
        <v>668</v>
      </c>
      <c r="B19" s="27" t="str">
        <f t="shared" si="0"/>
        <v>Arkansas</v>
      </c>
      <c r="C19" s="27" t="str">
        <f t="shared" si="1"/>
        <v>Crittenden</v>
      </c>
      <c r="D19" s="27">
        <v>992</v>
      </c>
      <c r="E19" s="2">
        <v>3</v>
      </c>
      <c r="F19" s="2">
        <v>12</v>
      </c>
      <c r="G19" s="2">
        <v>4</v>
      </c>
      <c r="H19" s="2">
        <v>7</v>
      </c>
      <c r="I19" s="2">
        <v>23</v>
      </c>
      <c r="J19" s="2">
        <v>29</v>
      </c>
      <c r="K19" s="2">
        <f t="shared" si="2"/>
        <v>78</v>
      </c>
      <c r="L19" s="2">
        <v>78</v>
      </c>
      <c r="M19" s="27">
        <v>80</v>
      </c>
      <c r="N19" s="2">
        <v>2257</v>
      </c>
      <c r="O19" s="12">
        <v>48.57</v>
      </c>
      <c r="P19" s="12">
        <v>49.5</v>
      </c>
      <c r="Q19" s="12">
        <v>37.5</v>
      </c>
      <c r="R19" s="12">
        <v>40</v>
      </c>
      <c r="S19" s="12">
        <v>35</v>
      </c>
      <c r="T19" s="12">
        <v>33.840000000000003</v>
      </c>
      <c r="U19" s="12">
        <f t="shared" si="3"/>
        <v>37.898333333333333</v>
      </c>
      <c r="V19" s="2">
        <v>25025.79</v>
      </c>
      <c r="W19" s="27">
        <v>47</v>
      </c>
      <c r="X19" s="27">
        <v>22528</v>
      </c>
      <c r="Y19" s="27">
        <v>1905</v>
      </c>
      <c r="Z19" s="27" t="s">
        <v>478</v>
      </c>
      <c r="AA19" s="27" t="s">
        <v>479</v>
      </c>
      <c r="AB19" s="27" t="s">
        <v>383</v>
      </c>
      <c r="AC19" s="27" t="s">
        <v>480</v>
      </c>
      <c r="AD19" s="27" t="s">
        <v>383</v>
      </c>
      <c r="AE19" s="27" t="s">
        <v>481</v>
      </c>
      <c r="AF19" s="27" t="s">
        <v>383</v>
      </c>
      <c r="AG19" s="27" t="s">
        <v>482</v>
      </c>
    </row>
    <row r="20" spans="1:33" x14ac:dyDescent="0.25">
      <c r="A20" s="27" t="s">
        <v>669</v>
      </c>
      <c r="B20" s="27" t="str">
        <f t="shared" si="0"/>
        <v>Arkansas</v>
      </c>
      <c r="C20" s="27" t="str">
        <f t="shared" si="1"/>
        <v>Cross</v>
      </c>
      <c r="D20" s="27">
        <v>1563</v>
      </c>
      <c r="E20" s="2">
        <v>27</v>
      </c>
      <c r="F20" s="2">
        <v>28</v>
      </c>
      <c r="G20" s="2">
        <v>6</v>
      </c>
      <c r="H20" s="2">
        <v>17</v>
      </c>
      <c r="I20" s="2"/>
      <c r="J20" s="2">
        <v>1</v>
      </c>
      <c r="K20" s="2">
        <f t="shared" si="2"/>
        <v>79</v>
      </c>
      <c r="L20" s="2">
        <v>79</v>
      </c>
      <c r="M20" s="27">
        <v>88</v>
      </c>
      <c r="N20" s="2">
        <v>2959</v>
      </c>
      <c r="O20" s="12">
        <v>48.83</v>
      </c>
      <c r="P20" s="12">
        <v>43.33</v>
      </c>
      <c r="Q20" s="12">
        <v>30</v>
      </c>
      <c r="R20" s="12">
        <v>31</v>
      </c>
      <c r="S20" s="12">
        <v>25</v>
      </c>
      <c r="T20" s="12">
        <v>22</v>
      </c>
      <c r="U20" s="12">
        <f t="shared" si="3"/>
        <v>41.27405063291139</v>
      </c>
      <c r="V20" s="2">
        <v>18980.810000000001</v>
      </c>
      <c r="W20" s="27">
        <v>52</v>
      </c>
      <c r="X20" s="27">
        <v>35760</v>
      </c>
      <c r="Y20" s="27">
        <v>1905</v>
      </c>
      <c r="Z20" s="27" t="s">
        <v>478</v>
      </c>
      <c r="AA20" s="27" t="s">
        <v>479</v>
      </c>
      <c r="AB20" s="27" t="s">
        <v>383</v>
      </c>
      <c r="AC20" s="27" t="s">
        <v>480</v>
      </c>
      <c r="AD20" s="27" t="s">
        <v>383</v>
      </c>
      <c r="AE20" s="27" t="s">
        <v>481</v>
      </c>
      <c r="AF20" s="27" t="s">
        <v>383</v>
      </c>
      <c r="AG20" s="27" t="s">
        <v>482</v>
      </c>
    </row>
    <row r="21" spans="1:33" x14ac:dyDescent="0.25">
      <c r="A21" s="27" t="s">
        <v>670</v>
      </c>
      <c r="B21" s="27" t="str">
        <f t="shared" si="0"/>
        <v>Arkansas</v>
      </c>
      <c r="C21" s="27" t="str">
        <f t="shared" si="1"/>
        <v>Dallas</v>
      </c>
      <c r="D21" s="27">
        <v>2204</v>
      </c>
      <c r="E21" s="2">
        <v>28</v>
      </c>
      <c r="F21" s="2">
        <v>21</v>
      </c>
      <c r="G21" s="2">
        <v>8</v>
      </c>
      <c r="H21" s="2">
        <v>10</v>
      </c>
      <c r="I21" s="2">
        <v>9</v>
      </c>
      <c r="J21" s="2">
        <v>8</v>
      </c>
      <c r="K21" s="2">
        <f t="shared" si="2"/>
        <v>84</v>
      </c>
      <c r="L21" s="2">
        <v>87</v>
      </c>
      <c r="M21" s="27">
        <v>69</v>
      </c>
      <c r="N21" s="2">
        <v>2990</v>
      </c>
      <c r="O21" s="12">
        <v>60.5</v>
      </c>
      <c r="P21" s="12">
        <v>41</v>
      </c>
      <c r="Q21" s="12">
        <v>37</v>
      </c>
      <c r="R21" s="12">
        <v>36</v>
      </c>
      <c r="S21" s="12">
        <v>30</v>
      </c>
      <c r="T21" s="12">
        <v>15</v>
      </c>
      <c r="U21" s="12">
        <f t="shared" si="3"/>
        <v>41.390804597701148</v>
      </c>
      <c r="V21" s="2">
        <v>13875.92</v>
      </c>
      <c r="W21" s="27">
        <v>60</v>
      </c>
      <c r="X21" s="27">
        <v>21470</v>
      </c>
      <c r="Y21" s="27">
        <v>1905</v>
      </c>
      <c r="Z21" s="27" t="s">
        <v>478</v>
      </c>
      <c r="AA21" s="27" t="s">
        <v>479</v>
      </c>
      <c r="AB21" s="27" t="s">
        <v>383</v>
      </c>
      <c r="AC21" s="27" t="s">
        <v>480</v>
      </c>
      <c r="AD21" s="27" t="s">
        <v>383</v>
      </c>
      <c r="AE21" s="27" t="s">
        <v>481</v>
      </c>
      <c r="AF21" s="27" t="s">
        <v>383</v>
      </c>
      <c r="AG21" s="27" t="s">
        <v>482</v>
      </c>
    </row>
    <row r="22" spans="1:33" x14ac:dyDescent="0.25">
      <c r="A22" s="27" t="s">
        <v>671</v>
      </c>
      <c r="B22" s="27" t="str">
        <f t="shared" si="0"/>
        <v>Arkansas</v>
      </c>
      <c r="C22" s="27" t="str">
        <f t="shared" si="1"/>
        <v>Desha</v>
      </c>
      <c r="D22" s="27">
        <v>1661</v>
      </c>
      <c r="E22" s="2">
        <v>3</v>
      </c>
      <c r="F22" s="2">
        <v>8</v>
      </c>
      <c r="G22" s="2">
        <v>5</v>
      </c>
      <c r="H22" s="2">
        <v>12</v>
      </c>
      <c r="I22" s="2">
        <v>5</v>
      </c>
      <c r="J22" s="2">
        <v>12</v>
      </c>
      <c r="K22" s="2">
        <f t="shared" si="2"/>
        <v>45</v>
      </c>
      <c r="L22" s="2">
        <v>36</v>
      </c>
      <c r="M22" s="27">
        <v>70</v>
      </c>
      <c r="N22" s="2">
        <v>2442</v>
      </c>
      <c r="O22" s="12">
        <v>50</v>
      </c>
      <c r="P22" s="12">
        <v>45</v>
      </c>
      <c r="Q22" s="12">
        <v>45</v>
      </c>
      <c r="R22" s="12">
        <v>40</v>
      </c>
      <c r="S22" s="12"/>
      <c r="T22" s="12">
        <v>37.5</v>
      </c>
      <c r="U22" s="12">
        <f t="shared" si="3"/>
        <v>46.25</v>
      </c>
      <c r="V22" s="2">
        <v>12380.65</v>
      </c>
      <c r="W22" s="27">
        <v>51</v>
      </c>
      <c r="X22" s="27">
        <v>5500</v>
      </c>
      <c r="Y22" s="27">
        <v>1905</v>
      </c>
      <c r="Z22" s="27" t="s">
        <v>478</v>
      </c>
      <c r="AA22" s="27" t="s">
        <v>479</v>
      </c>
      <c r="AB22" s="27" t="s">
        <v>383</v>
      </c>
      <c r="AC22" s="27" t="s">
        <v>480</v>
      </c>
      <c r="AD22" s="27" t="s">
        <v>383</v>
      </c>
      <c r="AE22" s="27" t="s">
        <v>481</v>
      </c>
      <c r="AF22" s="27" t="s">
        <v>383</v>
      </c>
      <c r="AG22" s="27" t="s">
        <v>482</v>
      </c>
    </row>
    <row r="23" spans="1:33" x14ac:dyDescent="0.25">
      <c r="A23" s="27" t="s">
        <v>672</v>
      </c>
      <c r="B23" s="27" t="str">
        <f t="shared" si="0"/>
        <v>Arkansas</v>
      </c>
      <c r="C23" s="27" t="str">
        <f t="shared" si="1"/>
        <v>Drew</v>
      </c>
      <c r="D23" s="27">
        <v>3222</v>
      </c>
      <c r="E23" s="2">
        <v>30</v>
      </c>
      <c r="F23" s="2">
        <v>26</v>
      </c>
      <c r="G23" s="2">
        <v>13</v>
      </c>
      <c r="H23" s="2">
        <v>13</v>
      </c>
      <c r="I23" s="2">
        <v>19</v>
      </c>
      <c r="J23" s="2">
        <v>35</v>
      </c>
      <c r="K23" s="2">
        <f t="shared" si="2"/>
        <v>136</v>
      </c>
      <c r="L23" s="2">
        <v>139</v>
      </c>
      <c r="M23" s="27">
        <v>89</v>
      </c>
      <c r="N23" s="2">
        <v>5141</v>
      </c>
      <c r="O23" s="12">
        <v>50</v>
      </c>
      <c r="P23" s="12">
        <v>40</v>
      </c>
      <c r="Q23" s="12">
        <v>42</v>
      </c>
      <c r="R23" s="12">
        <v>33</v>
      </c>
      <c r="S23" s="12">
        <v>26.5</v>
      </c>
      <c r="T23" s="12">
        <v>21</v>
      </c>
      <c r="U23" s="12">
        <f t="shared" si="3"/>
        <v>34.197841726618705</v>
      </c>
      <c r="V23" s="2">
        <v>24876.31</v>
      </c>
      <c r="W23" s="27">
        <v>94</v>
      </c>
      <c r="X23" s="27">
        <v>33700</v>
      </c>
      <c r="Y23" s="27">
        <v>1905</v>
      </c>
      <c r="Z23" s="27" t="s">
        <v>478</v>
      </c>
      <c r="AA23" s="27" t="s">
        <v>479</v>
      </c>
      <c r="AB23" s="27" t="s">
        <v>383</v>
      </c>
      <c r="AC23" s="27" t="s">
        <v>480</v>
      </c>
      <c r="AD23" s="27" t="s">
        <v>383</v>
      </c>
      <c r="AE23" s="27" t="s">
        <v>481</v>
      </c>
      <c r="AF23" s="27" t="s">
        <v>383</v>
      </c>
      <c r="AG23" s="27" t="s">
        <v>482</v>
      </c>
    </row>
    <row r="24" spans="1:33" x14ac:dyDescent="0.25">
      <c r="A24" s="27" t="s">
        <v>1746</v>
      </c>
      <c r="B24" s="27" t="str">
        <f t="shared" si="0"/>
        <v>Arkansas</v>
      </c>
      <c r="C24" s="27" t="str">
        <f t="shared" si="1"/>
        <v>Faulkner</v>
      </c>
      <c r="D24" s="27">
        <v>3841</v>
      </c>
      <c r="E24" s="2">
        <v>27</v>
      </c>
      <c r="F24" s="2">
        <v>28</v>
      </c>
      <c r="G24" s="2">
        <v>35</v>
      </c>
      <c r="H24" s="2">
        <v>19</v>
      </c>
      <c r="I24" s="2">
        <v>20</v>
      </c>
      <c r="J24" s="2">
        <v>15</v>
      </c>
      <c r="K24" s="2">
        <f t="shared" si="2"/>
        <v>144</v>
      </c>
      <c r="L24" s="2">
        <v>148</v>
      </c>
      <c r="M24" s="27">
        <v>81</v>
      </c>
      <c r="N24" s="2">
        <v>6050</v>
      </c>
      <c r="O24" s="12">
        <v>43</v>
      </c>
      <c r="P24" s="12">
        <v>36.56</v>
      </c>
      <c r="Q24" s="12">
        <v>35.5</v>
      </c>
      <c r="R24" s="12">
        <v>31</v>
      </c>
      <c r="S24" s="12">
        <v>31.55</v>
      </c>
      <c r="T24" s="12">
        <v>24.66</v>
      </c>
      <c r="U24" s="12">
        <f t="shared" si="3"/>
        <v>33.899189189189187</v>
      </c>
      <c r="V24" s="2">
        <v>25822.47</v>
      </c>
      <c r="W24" s="27">
        <v>91</v>
      </c>
      <c r="X24" s="27">
        <v>28070</v>
      </c>
      <c r="Y24" s="27">
        <v>1905</v>
      </c>
      <c r="Z24" s="27" t="s">
        <v>478</v>
      </c>
      <c r="AA24" s="27" t="s">
        <v>479</v>
      </c>
      <c r="AB24" s="27" t="s">
        <v>383</v>
      </c>
      <c r="AC24" s="27" t="s">
        <v>480</v>
      </c>
      <c r="AD24" s="27" t="s">
        <v>383</v>
      </c>
      <c r="AE24" s="27" t="s">
        <v>481</v>
      </c>
      <c r="AF24" s="27" t="s">
        <v>383</v>
      </c>
      <c r="AG24" s="27" t="s">
        <v>482</v>
      </c>
    </row>
    <row r="25" spans="1:33" x14ac:dyDescent="0.25">
      <c r="A25" s="27" t="s">
        <v>673</v>
      </c>
      <c r="B25" s="27" t="str">
        <f t="shared" si="0"/>
        <v>Arkansas</v>
      </c>
      <c r="C25" s="27" t="str">
        <f t="shared" si="1"/>
        <v>Franklin</v>
      </c>
      <c r="D25" s="27">
        <v>3077</v>
      </c>
      <c r="E25" s="2">
        <v>54</v>
      </c>
      <c r="F25" s="2">
        <v>15</v>
      </c>
      <c r="G25" s="2">
        <v>32</v>
      </c>
      <c r="H25" s="2">
        <v>18</v>
      </c>
      <c r="I25" s="2">
        <v>8</v>
      </c>
      <c r="J25" s="2">
        <v>9</v>
      </c>
      <c r="K25" s="2">
        <f t="shared" si="2"/>
        <v>136</v>
      </c>
      <c r="L25" s="2">
        <v>131</v>
      </c>
      <c r="M25" s="27">
        <v>103</v>
      </c>
      <c r="N25" s="2">
        <v>5155</v>
      </c>
      <c r="O25" s="12">
        <v>43.44</v>
      </c>
      <c r="P25" s="12">
        <v>36.46</v>
      </c>
      <c r="Q25" s="12">
        <v>38.51</v>
      </c>
      <c r="R25" s="12">
        <v>30.97</v>
      </c>
      <c r="S25" s="12">
        <v>32.909999999999997</v>
      </c>
      <c r="T25" s="12">
        <v>30.85</v>
      </c>
      <c r="U25" s="12">
        <f t="shared" si="3"/>
        <v>39.873053435114493</v>
      </c>
      <c r="V25" s="2">
        <v>21124.39</v>
      </c>
      <c r="W25" s="27">
        <v>91</v>
      </c>
      <c r="X25" s="27">
        <v>36857</v>
      </c>
      <c r="Y25" s="27">
        <v>1905</v>
      </c>
      <c r="Z25" s="27" t="s">
        <v>478</v>
      </c>
      <c r="AA25" s="27" t="s">
        <v>479</v>
      </c>
      <c r="AB25" s="27" t="s">
        <v>383</v>
      </c>
      <c r="AC25" s="27" t="s">
        <v>480</v>
      </c>
      <c r="AD25" s="27" t="s">
        <v>383</v>
      </c>
      <c r="AE25" s="27" t="s">
        <v>481</v>
      </c>
      <c r="AF25" s="27" t="s">
        <v>383</v>
      </c>
      <c r="AG25" s="27" t="s">
        <v>482</v>
      </c>
    </row>
    <row r="26" spans="1:33" x14ac:dyDescent="0.25">
      <c r="A26" s="27" t="s">
        <v>674</v>
      </c>
      <c r="B26" s="27" t="str">
        <f t="shared" si="0"/>
        <v>Arkansas</v>
      </c>
      <c r="C26" s="27" t="str">
        <f t="shared" si="1"/>
        <v>Fulton</v>
      </c>
      <c r="D26" s="27">
        <v>1987</v>
      </c>
      <c r="E26" s="2">
        <v>20</v>
      </c>
      <c r="F26" s="2">
        <v>16</v>
      </c>
      <c r="G26" s="2">
        <v>18</v>
      </c>
      <c r="H26" s="2">
        <v>17</v>
      </c>
      <c r="I26" s="2">
        <v>4</v>
      </c>
      <c r="J26" s="2">
        <v>5</v>
      </c>
      <c r="K26" s="2">
        <f t="shared" si="2"/>
        <v>80</v>
      </c>
      <c r="L26" s="2">
        <v>81</v>
      </c>
      <c r="M26" s="27">
        <v>71</v>
      </c>
      <c r="N26" s="2">
        <v>3342</v>
      </c>
      <c r="O26" s="12">
        <v>30</v>
      </c>
      <c r="P26" s="12">
        <v>28</v>
      </c>
      <c r="Q26" s="12">
        <v>28</v>
      </c>
      <c r="R26" s="12">
        <v>26</v>
      </c>
      <c r="S26" s="12">
        <v>25</v>
      </c>
      <c r="T26" s="12">
        <v>23</v>
      </c>
      <c r="U26" s="12">
        <f t="shared" si="3"/>
        <v>27.271604938271604</v>
      </c>
      <c r="V26" s="2">
        <v>11204.15</v>
      </c>
      <c r="W26" s="27">
        <v>72</v>
      </c>
      <c r="X26" s="27">
        <v>21507</v>
      </c>
      <c r="Y26" s="27">
        <v>1905</v>
      </c>
      <c r="Z26" s="27" t="s">
        <v>478</v>
      </c>
      <c r="AA26" s="27" t="s">
        <v>479</v>
      </c>
      <c r="AB26" s="27" t="s">
        <v>383</v>
      </c>
      <c r="AC26" s="27" t="s">
        <v>480</v>
      </c>
      <c r="AD26" s="27" t="s">
        <v>383</v>
      </c>
      <c r="AE26" s="27" t="s">
        <v>481</v>
      </c>
      <c r="AF26" s="27" t="s">
        <v>383</v>
      </c>
      <c r="AG26" s="27" t="s">
        <v>482</v>
      </c>
    </row>
    <row r="27" spans="1:33" x14ac:dyDescent="0.25">
      <c r="A27" s="27" t="s">
        <v>675</v>
      </c>
      <c r="B27" s="27" t="str">
        <f t="shared" si="0"/>
        <v>Arkansas</v>
      </c>
      <c r="C27" s="27" t="str">
        <f t="shared" si="1"/>
        <v>Garland</v>
      </c>
      <c r="D27" s="27"/>
      <c r="E27" s="2"/>
      <c r="F27" s="2"/>
      <c r="G27" s="2"/>
      <c r="H27" s="2"/>
      <c r="I27" s="2"/>
      <c r="J27" s="2"/>
      <c r="K27" s="2">
        <f t="shared" si="2"/>
        <v>0</v>
      </c>
      <c r="L27" s="22"/>
      <c r="M27" s="27"/>
      <c r="N27" s="27"/>
      <c r="O27" s="12"/>
      <c r="P27" s="12"/>
      <c r="Q27" s="12"/>
      <c r="R27" s="12"/>
      <c r="S27" s="12"/>
      <c r="T27" s="12"/>
      <c r="U27" s="12" t="e">
        <f t="shared" si="3"/>
        <v>#DIV/0!</v>
      </c>
      <c r="V27" s="2">
        <v>49033.73</v>
      </c>
      <c r="W27" s="27"/>
      <c r="X27" s="27"/>
      <c r="Y27" s="27">
        <v>1905</v>
      </c>
      <c r="Z27" s="27" t="s">
        <v>478</v>
      </c>
      <c r="AA27" s="27" t="s">
        <v>479</v>
      </c>
      <c r="AB27" s="27" t="s">
        <v>383</v>
      </c>
      <c r="AC27" s="27" t="s">
        <v>480</v>
      </c>
      <c r="AD27" s="27" t="s">
        <v>383</v>
      </c>
      <c r="AE27" s="27" t="s">
        <v>481</v>
      </c>
      <c r="AF27" s="27" t="s">
        <v>383</v>
      </c>
      <c r="AG27" s="27" t="s">
        <v>482</v>
      </c>
    </row>
    <row r="28" spans="1:33" x14ac:dyDescent="0.25">
      <c r="A28" s="27" t="s">
        <v>676</v>
      </c>
      <c r="B28" s="27" t="str">
        <f t="shared" si="0"/>
        <v>Arkansas</v>
      </c>
      <c r="C28" s="27" t="str">
        <f t="shared" si="1"/>
        <v>Grant</v>
      </c>
      <c r="D28" s="27">
        <v>1337</v>
      </c>
      <c r="E28" s="2">
        <v>20</v>
      </c>
      <c r="F28" s="2">
        <v>9</v>
      </c>
      <c r="G28" s="2">
        <v>29</v>
      </c>
      <c r="H28" s="2">
        <v>3</v>
      </c>
      <c r="I28" s="2">
        <v>1</v>
      </c>
      <c r="J28" s="2"/>
      <c r="K28" s="2">
        <f t="shared" si="2"/>
        <v>62</v>
      </c>
      <c r="L28" s="2">
        <v>63</v>
      </c>
      <c r="M28" s="27">
        <v>74</v>
      </c>
      <c r="N28" s="2">
        <v>2283</v>
      </c>
      <c r="O28" s="12">
        <v>47.66</v>
      </c>
      <c r="P28" s="12">
        <v>37.5</v>
      </c>
      <c r="Q28" s="12">
        <v>37</v>
      </c>
      <c r="R28" s="12">
        <v>28.33</v>
      </c>
      <c r="S28" s="12">
        <v>22.5</v>
      </c>
      <c r="T28" s="12"/>
      <c r="U28" s="12">
        <f t="shared" si="3"/>
        <v>39.22523809523809</v>
      </c>
      <c r="V28" s="2">
        <v>10011.73</v>
      </c>
      <c r="W28" s="27">
        <v>52</v>
      </c>
      <c r="X28" s="27">
        <v>12214</v>
      </c>
      <c r="Y28" s="27">
        <v>1905</v>
      </c>
      <c r="Z28" s="27" t="s">
        <v>478</v>
      </c>
      <c r="AA28" s="27" t="s">
        <v>479</v>
      </c>
      <c r="AB28" s="27" t="s">
        <v>383</v>
      </c>
      <c r="AC28" s="27" t="s">
        <v>480</v>
      </c>
      <c r="AD28" s="27" t="s">
        <v>383</v>
      </c>
      <c r="AE28" s="27" t="s">
        <v>483</v>
      </c>
      <c r="AF28" s="27" t="s">
        <v>383</v>
      </c>
      <c r="AG28" s="27" t="s">
        <v>482</v>
      </c>
    </row>
    <row r="29" spans="1:33" x14ac:dyDescent="0.25">
      <c r="A29" s="27" t="s">
        <v>677</v>
      </c>
      <c r="B29" s="27" t="str">
        <f t="shared" si="0"/>
        <v>Arkansas</v>
      </c>
      <c r="C29" s="27" t="str">
        <f t="shared" si="1"/>
        <v>Greene</v>
      </c>
      <c r="D29" s="27">
        <v>2947</v>
      </c>
      <c r="E29" s="2">
        <v>20</v>
      </c>
      <c r="F29" s="2">
        <v>15</v>
      </c>
      <c r="G29" s="2">
        <v>28</v>
      </c>
      <c r="H29" s="2">
        <v>14</v>
      </c>
      <c r="I29" s="2">
        <v>14</v>
      </c>
      <c r="J29" s="2">
        <v>4</v>
      </c>
      <c r="K29" s="2">
        <f t="shared" si="2"/>
        <v>95</v>
      </c>
      <c r="L29" s="2">
        <v>116</v>
      </c>
      <c r="M29" s="27">
        <v>102</v>
      </c>
      <c r="N29" s="2">
        <v>4844</v>
      </c>
      <c r="O29" s="12">
        <v>46.75</v>
      </c>
      <c r="P29" s="12">
        <v>39.39</v>
      </c>
      <c r="Q29" s="12">
        <v>36.11</v>
      </c>
      <c r="R29" s="12">
        <v>35.770000000000003</v>
      </c>
      <c r="S29" s="12">
        <v>34.17</v>
      </c>
      <c r="T29" s="12">
        <v>33.33</v>
      </c>
      <c r="U29" s="12">
        <f t="shared" si="3"/>
        <v>31.46043103448276</v>
      </c>
      <c r="V29" s="2">
        <v>25678.81</v>
      </c>
      <c r="W29" s="27">
        <v>77</v>
      </c>
      <c r="X29" s="27">
        <v>35682</v>
      </c>
      <c r="Y29" s="27">
        <v>1905</v>
      </c>
      <c r="Z29" s="27" t="s">
        <v>478</v>
      </c>
      <c r="AA29" s="27" t="s">
        <v>479</v>
      </c>
      <c r="AB29" s="27" t="s">
        <v>383</v>
      </c>
      <c r="AC29" s="27" t="s">
        <v>480</v>
      </c>
      <c r="AD29" s="27" t="s">
        <v>383</v>
      </c>
      <c r="AE29" s="27" t="s">
        <v>483</v>
      </c>
      <c r="AF29" s="27" t="s">
        <v>383</v>
      </c>
      <c r="AG29" s="27" t="s">
        <v>482</v>
      </c>
    </row>
    <row r="30" spans="1:33" x14ac:dyDescent="0.25">
      <c r="A30" s="27" t="s">
        <v>678</v>
      </c>
      <c r="B30" s="27" t="str">
        <f t="shared" si="0"/>
        <v>Arkansas</v>
      </c>
      <c r="C30" s="27" t="str">
        <f t="shared" si="1"/>
        <v>Hempstead</v>
      </c>
      <c r="D30" s="27">
        <v>4484</v>
      </c>
      <c r="E30" s="2">
        <v>20</v>
      </c>
      <c r="F30" s="2">
        <v>25</v>
      </c>
      <c r="G30" s="2">
        <v>17</v>
      </c>
      <c r="H30" s="2">
        <v>26</v>
      </c>
      <c r="I30" s="2">
        <v>36</v>
      </c>
      <c r="J30" s="2">
        <v>37</v>
      </c>
      <c r="K30" s="2">
        <f t="shared" si="2"/>
        <v>161</v>
      </c>
      <c r="L30" s="2">
        <v>164</v>
      </c>
      <c r="M30" s="27">
        <v>87</v>
      </c>
      <c r="N30" s="2">
        <v>7315</v>
      </c>
      <c r="O30" s="12">
        <v>57.25</v>
      </c>
      <c r="P30" s="12">
        <v>44.75</v>
      </c>
      <c r="Q30" s="12">
        <v>40.6</v>
      </c>
      <c r="R30" s="12">
        <v>37.5</v>
      </c>
      <c r="S30" s="12">
        <v>35.5</v>
      </c>
      <c r="T30" s="12">
        <v>33.33</v>
      </c>
      <c r="U30" s="12">
        <f t="shared" si="3"/>
        <v>39.269268292682924</v>
      </c>
      <c r="V30" s="2">
        <v>36968.339999999997</v>
      </c>
      <c r="W30" s="27">
        <v>101</v>
      </c>
      <c r="X30" s="27">
        <v>37581</v>
      </c>
      <c r="Y30" s="27">
        <v>1905</v>
      </c>
      <c r="Z30" s="27" t="s">
        <v>484</v>
      </c>
      <c r="AA30" s="27" t="s">
        <v>479</v>
      </c>
      <c r="AB30" s="27" t="s">
        <v>383</v>
      </c>
      <c r="AC30" s="27" t="s">
        <v>485</v>
      </c>
      <c r="AD30" s="27" t="s">
        <v>383</v>
      </c>
      <c r="AE30" s="27" t="s">
        <v>483</v>
      </c>
      <c r="AF30" s="27" t="s">
        <v>383</v>
      </c>
      <c r="AG30" s="27" t="s">
        <v>482</v>
      </c>
    </row>
    <row r="31" spans="1:33" x14ac:dyDescent="0.25">
      <c r="A31" s="27" t="s">
        <v>679</v>
      </c>
      <c r="B31" s="27" t="str">
        <f t="shared" si="0"/>
        <v>Arkansas</v>
      </c>
      <c r="C31" s="27" t="str">
        <f t="shared" si="1"/>
        <v>Hot Spring</v>
      </c>
      <c r="D31" s="27">
        <v>2410</v>
      </c>
      <c r="E31" s="2">
        <v>45</v>
      </c>
      <c r="F31" s="2">
        <v>17</v>
      </c>
      <c r="G31" s="2">
        <v>19</v>
      </c>
      <c r="H31" s="2">
        <v>13</v>
      </c>
      <c r="I31" s="2">
        <v>8</v>
      </c>
      <c r="J31" s="2">
        <v>2</v>
      </c>
      <c r="K31" s="2">
        <f t="shared" si="2"/>
        <v>104</v>
      </c>
      <c r="L31" s="2">
        <v>74</v>
      </c>
      <c r="M31" s="27">
        <v>80</v>
      </c>
      <c r="N31" s="2">
        <v>3705</v>
      </c>
      <c r="O31" s="12">
        <v>50</v>
      </c>
      <c r="P31" s="12">
        <v>40</v>
      </c>
      <c r="Q31" s="12">
        <v>35</v>
      </c>
      <c r="R31" s="12">
        <v>30</v>
      </c>
      <c r="S31" s="12">
        <v>30</v>
      </c>
      <c r="T31" s="12">
        <v>28</v>
      </c>
      <c r="U31" s="12">
        <f t="shared" si="3"/>
        <v>57.851351351351354</v>
      </c>
      <c r="V31" s="2">
        <v>20027.12</v>
      </c>
      <c r="W31" s="27">
        <v>69</v>
      </c>
      <c r="X31" s="27">
        <v>20801.150000000001</v>
      </c>
      <c r="Y31" s="27">
        <v>1905</v>
      </c>
      <c r="Z31" s="27" t="s">
        <v>484</v>
      </c>
      <c r="AA31" s="27" t="s">
        <v>479</v>
      </c>
      <c r="AB31" s="27" t="s">
        <v>383</v>
      </c>
      <c r="AC31" s="27" t="s">
        <v>485</v>
      </c>
      <c r="AD31" s="27" t="s">
        <v>383</v>
      </c>
      <c r="AE31" s="27" t="s">
        <v>483</v>
      </c>
      <c r="AF31" s="27" t="s">
        <v>383</v>
      </c>
      <c r="AG31" s="27" t="s">
        <v>486</v>
      </c>
    </row>
    <row r="32" spans="1:33" x14ac:dyDescent="0.25">
      <c r="A32" s="27" t="s">
        <v>680</v>
      </c>
      <c r="B32" s="27" t="str">
        <f t="shared" si="0"/>
        <v>Arkansas</v>
      </c>
      <c r="C32" s="27" t="str">
        <f t="shared" si="1"/>
        <v>Howard</v>
      </c>
      <c r="D32" s="27">
        <v>2532</v>
      </c>
      <c r="E32" s="2">
        <v>17</v>
      </c>
      <c r="F32" s="2">
        <v>12</v>
      </c>
      <c r="G32" s="2">
        <v>32</v>
      </c>
      <c r="H32" s="2">
        <v>7</v>
      </c>
      <c r="I32" s="2">
        <v>17</v>
      </c>
      <c r="J32" s="2">
        <v>14</v>
      </c>
      <c r="K32" s="2">
        <f t="shared" si="2"/>
        <v>99</v>
      </c>
      <c r="L32" s="2">
        <v>102</v>
      </c>
      <c r="M32" s="27">
        <v>70</v>
      </c>
      <c r="N32" s="2">
        <v>4129</v>
      </c>
      <c r="O32" s="12">
        <v>51</v>
      </c>
      <c r="P32" s="12">
        <v>41.25</v>
      </c>
      <c r="Q32" s="12">
        <v>43.65</v>
      </c>
      <c r="R32" s="12">
        <v>36</v>
      </c>
      <c r="S32" s="12">
        <v>38</v>
      </c>
      <c r="T32" s="12">
        <v>31.5</v>
      </c>
      <c r="U32" s="12">
        <f t="shared" si="3"/>
        <v>40.174509803921573</v>
      </c>
      <c r="V32" s="2">
        <v>16700.650000000001</v>
      </c>
      <c r="W32" s="27">
        <v>67</v>
      </c>
      <c r="X32" s="27">
        <v>20064.599999999999</v>
      </c>
      <c r="Y32" s="27">
        <v>1905</v>
      </c>
      <c r="Z32" s="27" t="s">
        <v>484</v>
      </c>
      <c r="AA32" s="27" t="s">
        <v>479</v>
      </c>
      <c r="AB32" s="27" t="s">
        <v>383</v>
      </c>
      <c r="AC32" s="27" t="s">
        <v>485</v>
      </c>
      <c r="AD32" s="27" t="s">
        <v>383</v>
      </c>
      <c r="AE32" s="27" t="s">
        <v>483</v>
      </c>
      <c r="AF32" s="27" t="s">
        <v>383</v>
      </c>
      <c r="AG32" s="27" t="s">
        <v>486</v>
      </c>
    </row>
    <row r="33" spans="1:33" x14ac:dyDescent="0.25">
      <c r="A33" s="27" t="s">
        <v>681</v>
      </c>
      <c r="B33" s="27" t="str">
        <f t="shared" si="0"/>
        <v>Arkansas</v>
      </c>
      <c r="C33" s="27" t="str">
        <f t="shared" si="1"/>
        <v>Independence</v>
      </c>
      <c r="D33" s="27">
        <v>3115</v>
      </c>
      <c r="E33" s="2">
        <v>20</v>
      </c>
      <c r="F33" s="2">
        <v>17</v>
      </c>
      <c r="G33" s="2">
        <v>22</v>
      </c>
      <c r="H33" s="2">
        <v>22</v>
      </c>
      <c r="I33" s="2">
        <v>23</v>
      </c>
      <c r="J33" s="2">
        <v>11</v>
      </c>
      <c r="K33" s="2">
        <f t="shared" si="2"/>
        <v>115</v>
      </c>
      <c r="L33" s="2">
        <v>124</v>
      </c>
      <c r="M33" s="27">
        <v>96</v>
      </c>
      <c r="N33" s="2">
        <v>5745</v>
      </c>
      <c r="O33" s="12">
        <v>43</v>
      </c>
      <c r="P33" s="12">
        <v>36</v>
      </c>
      <c r="Q33" s="12">
        <v>37</v>
      </c>
      <c r="R33" s="12">
        <v>31</v>
      </c>
      <c r="S33" s="12">
        <v>31</v>
      </c>
      <c r="T33" s="12">
        <v>29</v>
      </c>
      <c r="U33" s="12">
        <f t="shared" si="3"/>
        <v>32.258064516129032</v>
      </c>
      <c r="V33" s="2">
        <v>25424.86</v>
      </c>
      <c r="W33" s="27">
        <v>95</v>
      </c>
      <c r="X33" s="27">
        <v>44740</v>
      </c>
      <c r="Y33" s="27">
        <v>1905</v>
      </c>
      <c r="Z33" s="27" t="s">
        <v>484</v>
      </c>
      <c r="AA33" s="27" t="s">
        <v>479</v>
      </c>
      <c r="AB33" s="27" t="s">
        <v>383</v>
      </c>
      <c r="AC33" s="27" t="s">
        <v>485</v>
      </c>
      <c r="AD33" s="27" t="s">
        <v>383</v>
      </c>
      <c r="AE33" s="27" t="s">
        <v>483</v>
      </c>
      <c r="AF33" s="27" t="s">
        <v>383</v>
      </c>
      <c r="AG33" s="27" t="s">
        <v>486</v>
      </c>
    </row>
    <row r="34" spans="1:33" x14ac:dyDescent="0.25">
      <c r="A34" s="27" t="s">
        <v>682</v>
      </c>
      <c r="B34" s="27" t="str">
        <f t="shared" si="0"/>
        <v>Arkansas</v>
      </c>
      <c r="C34" s="27" t="str">
        <f t="shared" si="1"/>
        <v>Izard</v>
      </c>
      <c r="D34" s="27">
        <v>2238</v>
      </c>
      <c r="E34" s="2">
        <v>33</v>
      </c>
      <c r="F34" s="2">
        <v>3</v>
      </c>
      <c r="G34" s="2">
        <v>27</v>
      </c>
      <c r="H34" s="2">
        <v>10</v>
      </c>
      <c r="I34" s="2">
        <v>10</v>
      </c>
      <c r="J34" s="2">
        <v>14</v>
      </c>
      <c r="K34" s="2">
        <f t="shared" si="2"/>
        <v>97</v>
      </c>
      <c r="L34" s="2">
        <v>101</v>
      </c>
      <c r="M34" s="27">
        <v>74</v>
      </c>
      <c r="N34" s="2">
        <v>3767</v>
      </c>
      <c r="O34" s="12">
        <v>36.03</v>
      </c>
      <c r="P34" s="12">
        <v>25</v>
      </c>
      <c r="Q34" s="12">
        <v>31.04</v>
      </c>
      <c r="R34" s="12">
        <v>26.7</v>
      </c>
      <c r="S34" s="12">
        <v>25</v>
      </c>
      <c r="T34" s="12">
        <v>26.21</v>
      </c>
      <c r="U34" s="12">
        <f t="shared" si="3"/>
        <v>29.564455445544553</v>
      </c>
      <c r="V34" s="2">
        <v>13635.52</v>
      </c>
      <c r="W34" s="27">
        <v>84</v>
      </c>
      <c r="X34" s="27">
        <v>18223</v>
      </c>
      <c r="Y34" s="27">
        <v>1905</v>
      </c>
      <c r="Z34" s="27" t="s">
        <v>484</v>
      </c>
      <c r="AA34" s="27" t="s">
        <v>479</v>
      </c>
      <c r="AB34" s="27" t="s">
        <v>383</v>
      </c>
      <c r="AC34" s="27" t="s">
        <v>485</v>
      </c>
      <c r="AD34" s="27" t="s">
        <v>383</v>
      </c>
      <c r="AE34" s="27" t="s">
        <v>483</v>
      </c>
      <c r="AF34" s="27" t="s">
        <v>383</v>
      </c>
      <c r="AG34" s="27" t="s">
        <v>486</v>
      </c>
    </row>
    <row r="35" spans="1:33" x14ac:dyDescent="0.25">
      <c r="A35" s="27" t="s">
        <v>683</v>
      </c>
      <c r="B35" s="27" t="str">
        <f t="shared" si="0"/>
        <v>Arkansas</v>
      </c>
      <c r="C35" s="27" t="str">
        <f t="shared" si="1"/>
        <v>Jackson</v>
      </c>
      <c r="D35" s="27">
        <v>2488</v>
      </c>
      <c r="E35" s="2">
        <v>42</v>
      </c>
      <c r="F35" s="2">
        <v>24</v>
      </c>
      <c r="G35" s="2">
        <v>10</v>
      </c>
      <c r="H35" s="2">
        <v>18</v>
      </c>
      <c r="I35" s="2">
        <v>9</v>
      </c>
      <c r="J35" s="2">
        <v>15</v>
      </c>
      <c r="K35" s="2">
        <f t="shared" si="2"/>
        <v>118</v>
      </c>
      <c r="L35" s="2">
        <v>118</v>
      </c>
      <c r="M35" s="27">
        <v>102</v>
      </c>
      <c r="N35" s="2">
        <v>5023</v>
      </c>
      <c r="O35" s="12">
        <v>46.9</v>
      </c>
      <c r="P35" s="12">
        <v>44</v>
      </c>
      <c r="Q35" s="12">
        <v>40.14</v>
      </c>
      <c r="R35" s="12">
        <v>39</v>
      </c>
      <c r="S35" s="12">
        <v>34.549999999999997</v>
      </c>
      <c r="T35" s="12">
        <v>32.700000000000003</v>
      </c>
      <c r="U35" s="12">
        <f t="shared" si="3"/>
        <v>41.78516949152543</v>
      </c>
      <c r="V35" s="2">
        <v>30627.55</v>
      </c>
      <c r="W35" s="27">
        <v>76</v>
      </c>
      <c r="X35" s="27"/>
      <c r="Y35" s="27">
        <v>1905</v>
      </c>
      <c r="Z35" s="27" t="s">
        <v>484</v>
      </c>
      <c r="AA35" s="27" t="s">
        <v>479</v>
      </c>
      <c r="AB35" s="27" t="s">
        <v>383</v>
      </c>
      <c r="AC35" s="27" t="s">
        <v>485</v>
      </c>
      <c r="AD35" s="27" t="s">
        <v>383</v>
      </c>
      <c r="AE35" s="27" t="s">
        <v>483</v>
      </c>
      <c r="AF35" s="27" t="s">
        <v>383</v>
      </c>
      <c r="AG35" s="27" t="s">
        <v>486</v>
      </c>
    </row>
    <row r="36" spans="1:33" x14ac:dyDescent="0.25">
      <c r="A36" s="27" t="s">
        <v>684</v>
      </c>
      <c r="B36" s="27" t="str">
        <f t="shared" si="0"/>
        <v>Arkansas</v>
      </c>
      <c r="C36" s="27" t="str">
        <f t="shared" si="1"/>
        <v>Jefferson</v>
      </c>
      <c r="D36" s="27">
        <v>7131</v>
      </c>
      <c r="E36" s="2">
        <v>29</v>
      </c>
      <c r="F36" s="2">
        <v>40</v>
      </c>
      <c r="G36" s="2">
        <v>29</v>
      </c>
      <c r="H36" s="2">
        <v>53</v>
      </c>
      <c r="I36" s="2">
        <v>18</v>
      </c>
      <c r="J36" s="2">
        <v>47</v>
      </c>
      <c r="K36" s="2">
        <f t="shared" si="2"/>
        <v>216</v>
      </c>
      <c r="L36" s="2">
        <v>221</v>
      </c>
      <c r="M36" s="27">
        <v>115</v>
      </c>
      <c r="N36" s="2">
        <v>11235</v>
      </c>
      <c r="O36" s="12">
        <v>45</v>
      </c>
      <c r="P36" s="12">
        <v>38</v>
      </c>
      <c r="Q36" s="12">
        <v>39</v>
      </c>
      <c r="R36" s="12">
        <v>36</v>
      </c>
      <c r="S36" s="12">
        <v>35</v>
      </c>
      <c r="T36" s="12">
        <v>34</v>
      </c>
      <c r="U36" s="12">
        <f t="shared" si="3"/>
        <v>36.615384615384613</v>
      </c>
      <c r="V36" s="2">
        <v>78609.56</v>
      </c>
      <c r="W36" s="27">
        <v>116</v>
      </c>
      <c r="X36" s="27">
        <v>143969.29999999999</v>
      </c>
      <c r="Y36" s="27">
        <v>1905</v>
      </c>
      <c r="Z36" s="27" t="s">
        <v>484</v>
      </c>
      <c r="AA36" s="27" t="s">
        <v>479</v>
      </c>
      <c r="AB36" s="27" t="s">
        <v>383</v>
      </c>
      <c r="AC36" s="27" t="s">
        <v>485</v>
      </c>
      <c r="AD36" s="27" t="s">
        <v>383</v>
      </c>
      <c r="AE36" s="27" t="s">
        <v>483</v>
      </c>
      <c r="AF36" s="27" t="s">
        <v>383</v>
      </c>
      <c r="AG36" s="27" t="s">
        <v>486</v>
      </c>
    </row>
    <row r="37" spans="1:33" x14ac:dyDescent="0.25">
      <c r="A37" s="27" t="s">
        <v>685</v>
      </c>
      <c r="B37" s="27" t="str">
        <f t="shared" si="0"/>
        <v>Arkansas</v>
      </c>
      <c r="C37" s="27" t="str">
        <f t="shared" si="1"/>
        <v>Johnson</v>
      </c>
      <c r="D37" s="27">
        <v>3276</v>
      </c>
      <c r="E37" s="2">
        <v>39</v>
      </c>
      <c r="F37" s="2">
        <v>31</v>
      </c>
      <c r="G37" s="2">
        <v>11</v>
      </c>
      <c r="H37" s="2">
        <v>16</v>
      </c>
      <c r="I37" s="2">
        <v>12</v>
      </c>
      <c r="J37" s="2">
        <v>16</v>
      </c>
      <c r="K37" s="2">
        <f t="shared" si="2"/>
        <v>125</v>
      </c>
      <c r="L37" s="2">
        <v>125</v>
      </c>
      <c r="M37" s="27">
        <v>91</v>
      </c>
      <c r="N37" s="2">
        <v>5066</v>
      </c>
      <c r="O37" s="12">
        <v>47.5</v>
      </c>
      <c r="P37" s="12">
        <v>45</v>
      </c>
      <c r="Q37" s="12">
        <v>45</v>
      </c>
      <c r="R37" s="12">
        <v>40</v>
      </c>
      <c r="S37" s="12">
        <v>37.5</v>
      </c>
      <c r="T37" s="12">
        <v>35</v>
      </c>
      <c r="U37" s="12">
        <f t="shared" si="3"/>
        <v>43.14</v>
      </c>
      <c r="V37" s="2">
        <v>22260.240000000002</v>
      </c>
      <c r="W37" s="27">
        <v>82</v>
      </c>
      <c r="X37" s="27">
        <v>43979.5</v>
      </c>
      <c r="Y37" s="27">
        <v>1905</v>
      </c>
      <c r="Z37" s="27" t="s">
        <v>484</v>
      </c>
      <c r="AA37" s="27" t="s">
        <v>479</v>
      </c>
      <c r="AB37" s="27" t="s">
        <v>383</v>
      </c>
      <c r="AC37" s="27" t="s">
        <v>485</v>
      </c>
      <c r="AD37" s="27" t="s">
        <v>383</v>
      </c>
      <c r="AE37" s="27" t="s">
        <v>483</v>
      </c>
      <c r="AF37" s="27" t="s">
        <v>383</v>
      </c>
      <c r="AG37" s="27" t="s">
        <v>486</v>
      </c>
    </row>
    <row r="38" spans="1:33" x14ac:dyDescent="0.25">
      <c r="A38" s="27" t="s">
        <v>686</v>
      </c>
      <c r="B38" s="27" t="str">
        <f t="shared" si="0"/>
        <v>Arkansas</v>
      </c>
      <c r="C38" s="27" t="str">
        <f t="shared" si="1"/>
        <v>Lafayette</v>
      </c>
      <c r="D38" s="27">
        <v>1872</v>
      </c>
      <c r="E38" s="2">
        <v>11</v>
      </c>
      <c r="F38" s="2">
        <v>20</v>
      </c>
      <c r="G38" s="2">
        <v>11</v>
      </c>
      <c r="H38" s="2">
        <v>12</v>
      </c>
      <c r="I38" s="2">
        <v>5</v>
      </c>
      <c r="J38" s="2">
        <v>9</v>
      </c>
      <c r="K38" s="2">
        <f t="shared" si="2"/>
        <v>68</v>
      </c>
      <c r="L38" s="2">
        <v>68</v>
      </c>
      <c r="M38" s="27">
        <v>79</v>
      </c>
      <c r="N38" s="2">
        <v>3074</v>
      </c>
      <c r="O38" s="12">
        <v>52</v>
      </c>
      <c r="P38" s="12">
        <v>51</v>
      </c>
      <c r="Q38" s="12">
        <v>40</v>
      </c>
      <c r="R38" s="12">
        <v>42</v>
      </c>
      <c r="S38" s="12">
        <v>38</v>
      </c>
      <c r="T38" s="12">
        <v>30</v>
      </c>
      <c r="U38" s="12">
        <f t="shared" si="3"/>
        <v>44.058823529411768</v>
      </c>
      <c r="V38" s="2">
        <v>17632.34</v>
      </c>
      <c r="W38" s="27">
        <v>45</v>
      </c>
      <c r="X38" s="27">
        <v>30305</v>
      </c>
      <c r="Y38" s="27">
        <v>1905</v>
      </c>
      <c r="Z38" s="27" t="s">
        <v>484</v>
      </c>
      <c r="AA38" s="27" t="s">
        <v>479</v>
      </c>
      <c r="AB38" s="27" t="s">
        <v>383</v>
      </c>
      <c r="AC38" s="27" t="s">
        <v>485</v>
      </c>
      <c r="AD38" s="27" t="s">
        <v>383</v>
      </c>
      <c r="AE38" s="27" t="s">
        <v>483</v>
      </c>
      <c r="AF38" s="27" t="s">
        <v>383</v>
      </c>
      <c r="AG38" s="27" t="s">
        <v>486</v>
      </c>
    </row>
    <row r="39" spans="1:33" x14ac:dyDescent="0.25">
      <c r="A39" s="27" t="s">
        <v>687</v>
      </c>
      <c r="B39" s="27" t="str">
        <f t="shared" si="0"/>
        <v>Arkansas</v>
      </c>
      <c r="C39" s="27" t="str">
        <f t="shared" si="1"/>
        <v>Lawrence</v>
      </c>
      <c r="D39" s="27">
        <v>2452</v>
      </c>
      <c r="E39" s="2">
        <v>33</v>
      </c>
      <c r="F39" s="2">
        <v>20</v>
      </c>
      <c r="G39" s="2">
        <v>27</v>
      </c>
      <c r="H39" s="2">
        <v>9</v>
      </c>
      <c r="I39" s="2">
        <v>10</v>
      </c>
      <c r="J39" s="2">
        <v>12</v>
      </c>
      <c r="K39" s="2">
        <f t="shared" si="2"/>
        <v>111</v>
      </c>
      <c r="L39" s="2">
        <v>111</v>
      </c>
      <c r="M39" s="27">
        <v>91</v>
      </c>
      <c r="N39" s="2">
        <v>4171</v>
      </c>
      <c r="O39" s="12">
        <v>46.91</v>
      </c>
      <c r="P39" s="12">
        <v>38.97</v>
      </c>
      <c r="Q39" s="12">
        <v>39.880000000000003</v>
      </c>
      <c r="R39" s="12">
        <v>36.17</v>
      </c>
      <c r="S39" s="12">
        <v>35.78</v>
      </c>
      <c r="T39" s="12">
        <v>30.68</v>
      </c>
      <c r="U39" s="12">
        <f t="shared" si="3"/>
        <v>40.141261261261263</v>
      </c>
      <c r="V39" s="2">
        <v>25964.83</v>
      </c>
      <c r="W39" s="27">
        <v>69</v>
      </c>
      <c r="X39" s="27">
        <v>37246</v>
      </c>
      <c r="Y39" s="27">
        <v>1905</v>
      </c>
      <c r="Z39" s="27" t="s">
        <v>484</v>
      </c>
      <c r="AA39" s="27" t="s">
        <v>479</v>
      </c>
      <c r="AB39" s="27" t="s">
        <v>383</v>
      </c>
      <c r="AC39" s="27" t="s">
        <v>485</v>
      </c>
      <c r="AD39" s="27" t="s">
        <v>383</v>
      </c>
      <c r="AE39" s="27" t="s">
        <v>483</v>
      </c>
      <c r="AF39" s="27" t="s">
        <v>383</v>
      </c>
      <c r="AG39" s="27" t="s">
        <v>486</v>
      </c>
    </row>
    <row r="40" spans="1:33" x14ac:dyDescent="0.25">
      <c r="A40" s="27" t="s">
        <v>688</v>
      </c>
      <c r="B40" s="27" t="str">
        <f t="shared" si="0"/>
        <v>Arkansas</v>
      </c>
      <c r="C40" s="27" t="str">
        <f t="shared" si="1"/>
        <v>Lee</v>
      </c>
      <c r="D40" s="27">
        <v>5770</v>
      </c>
      <c r="E40" s="2">
        <v>19</v>
      </c>
      <c r="F40" s="2">
        <v>36</v>
      </c>
      <c r="G40" s="2">
        <v>27</v>
      </c>
      <c r="H40" s="2">
        <v>22</v>
      </c>
      <c r="I40" s="2">
        <v>2</v>
      </c>
      <c r="J40" s="2">
        <v>5</v>
      </c>
      <c r="K40" s="2">
        <f t="shared" si="2"/>
        <v>111</v>
      </c>
      <c r="L40" s="2">
        <v>111</v>
      </c>
      <c r="M40" s="27">
        <v>135</v>
      </c>
      <c r="N40" s="2">
        <v>7302</v>
      </c>
      <c r="O40" s="12">
        <v>50</v>
      </c>
      <c r="P40" s="12">
        <v>50</v>
      </c>
      <c r="Q40" s="12">
        <v>45</v>
      </c>
      <c r="R40" s="12">
        <v>45</v>
      </c>
      <c r="S40" s="12">
        <v>35</v>
      </c>
      <c r="T40" s="12">
        <v>35</v>
      </c>
      <c r="U40" s="12">
        <f t="shared" si="3"/>
        <v>46.846846846846844</v>
      </c>
      <c r="V40" s="2">
        <v>26766.28</v>
      </c>
      <c r="W40" s="27">
        <v>99</v>
      </c>
      <c r="X40" s="27">
        <v>55382</v>
      </c>
      <c r="Y40" s="27">
        <v>1905</v>
      </c>
      <c r="Z40" s="27" t="s">
        <v>484</v>
      </c>
      <c r="AA40" s="27" t="s">
        <v>479</v>
      </c>
      <c r="AB40" s="27" t="s">
        <v>383</v>
      </c>
      <c r="AC40" s="27" t="s">
        <v>485</v>
      </c>
      <c r="AD40" s="27" t="s">
        <v>383</v>
      </c>
      <c r="AE40" s="27" t="s">
        <v>483</v>
      </c>
      <c r="AF40" s="27" t="s">
        <v>383</v>
      </c>
      <c r="AG40" s="27" t="s">
        <v>486</v>
      </c>
    </row>
    <row r="41" spans="1:33" x14ac:dyDescent="0.25">
      <c r="A41" s="27" t="s">
        <v>689</v>
      </c>
      <c r="B41" s="27" t="str">
        <f t="shared" si="0"/>
        <v>Arkansas</v>
      </c>
      <c r="C41" s="27" t="str">
        <f t="shared" si="1"/>
        <v>Lincoln</v>
      </c>
      <c r="D41" s="27">
        <v>2159</v>
      </c>
      <c r="E41" s="2">
        <v>11</v>
      </c>
      <c r="F41" s="2">
        <v>11</v>
      </c>
      <c r="G41" s="2">
        <v>19</v>
      </c>
      <c r="H41" s="2">
        <v>16</v>
      </c>
      <c r="I41" s="2">
        <v>3</v>
      </c>
      <c r="J41" s="2">
        <v>14</v>
      </c>
      <c r="K41" s="2">
        <f t="shared" si="2"/>
        <v>74</v>
      </c>
      <c r="L41" s="2">
        <v>77</v>
      </c>
      <c r="M41" s="27">
        <v>82</v>
      </c>
      <c r="N41" s="2">
        <v>3285</v>
      </c>
      <c r="O41" s="12">
        <v>43.75</v>
      </c>
      <c r="P41" s="12">
        <v>37</v>
      </c>
      <c r="Q41" s="12">
        <v>34.83</v>
      </c>
      <c r="R41" s="12">
        <v>36.21</v>
      </c>
      <c r="S41" s="12">
        <v>30</v>
      </c>
      <c r="T41" s="12">
        <v>27.5</v>
      </c>
      <c r="U41" s="12">
        <f t="shared" si="3"/>
        <v>33.823116883116882</v>
      </c>
      <c r="V41" s="2">
        <v>9268.26</v>
      </c>
      <c r="W41" s="27">
        <v>63</v>
      </c>
      <c r="X41" s="27">
        <v>15680</v>
      </c>
      <c r="Y41" s="27">
        <v>1905</v>
      </c>
      <c r="Z41" s="27" t="s">
        <v>484</v>
      </c>
      <c r="AA41" s="27" t="s">
        <v>479</v>
      </c>
      <c r="AB41" s="27" t="s">
        <v>383</v>
      </c>
      <c r="AC41" s="27" t="s">
        <v>485</v>
      </c>
      <c r="AD41" s="27" t="s">
        <v>383</v>
      </c>
      <c r="AE41" s="27" t="s">
        <v>483</v>
      </c>
      <c r="AF41" s="27" t="s">
        <v>383</v>
      </c>
      <c r="AG41" s="27" t="s">
        <v>486</v>
      </c>
    </row>
    <row r="42" spans="1:33" x14ac:dyDescent="0.25">
      <c r="A42" s="27" t="s">
        <v>690</v>
      </c>
      <c r="B42" s="27" t="str">
        <f t="shared" si="0"/>
        <v>Arkansas</v>
      </c>
      <c r="C42" s="27" t="str">
        <f t="shared" si="1"/>
        <v>Little River</v>
      </c>
      <c r="D42" s="27">
        <v>2306</v>
      </c>
      <c r="E42" s="2">
        <v>17</v>
      </c>
      <c r="F42" s="2">
        <v>16</v>
      </c>
      <c r="G42" s="2">
        <v>24</v>
      </c>
      <c r="H42" s="2">
        <v>7</v>
      </c>
      <c r="I42" s="2">
        <v>4</v>
      </c>
      <c r="J42" s="2">
        <v>9</v>
      </c>
      <c r="K42" s="2">
        <f t="shared" si="2"/>
        <v>77</v>
      </c>
      <c r="L42" s="2">
        <v>69</v>
      </c>
      <c r="M42" s="27">
        <v>78</v>
      </c>
      <c r="N42" s="2">
        <v>3679</v>
      </c>
      <c r="O42" s="12">
        <v>66</v>
      </c>
      <c r="P42" s="12">
        <v>48.5</v>
      </c>
      <c r="Q42" s="12">
        <v>42</v>
      </c>
      <c r="R42" s="12">
        <v>42</v>
      </c>
      <c r="S42" s="12">
        <v>36</v>
      </c>
      <c r="T42" s="12">
        <v>35</v>
      </c>
      <c r="U42" s="12">
        <f t="shared" si="3"/>
        <v>53.028985507246375</v>
      </c>
      <c r="V42" s="2">
        <v>17279.669999999998</v>
      </c>
      <c r="W42" s="27">
        <v>49</v>
      </c>
      <c r="X42" s="27">
        <v>28320</v>
      </c>
      <c r="Y42" s="27">
        <v>1905</v>
      </c>
      <c r="Z42" s="27" t="s">
        <v>484</v>
      </c>
      <c r="AA42" s="27" t="s">
        <v>479</v>
      </c>
      <c r="AB42" s="27" t="s">
        <v>383</v>
      </c>
      <c r="AC42" s="27" t="s">
        <v>485</v>
      </c>
      <c r="AD42" s="27" t="s">
        <v>383</v>
      </c>
      <c r="AE42" s="27" t="s">
        <v>483</v>
      </c>
      <c r="AF42" s="27" t="s">
        <v>383</v>
      </c>
      <c r="AG42" s="27" t="s">
        <v>486</v>
      </c>
    </row>
    <row r="43" spans="1:33" x14ac:dyDescent="0.25">
      <c r="A43" s="27" t="s">
        <v>691</v>
      </c>
      <c r="B43" s="27" t="str">
        <f t="shared" si="0"/>
        <v>Arkansas</v>
      </c>
      <c r="C43" s="27" t="str">
        <f t="shared" si="1"/>
        <v>Logan</v>
      </c>
      <c r="D43" s="27">
        <v>3564</v>
      </c>
      <c r="E43" s="2">
        <v>32</v>
      </c>
      <c r="F43" s="2">
        <v>16</v>
      </c>
      <c r="G43" s="2">
        <v>28</v>
      </c>
      <c r="H43" s="2">
        <v>15</v>
      </c>
      <c r="I43" s="2">
        <v>6</v>
      </c>
      <c r="J43" s="2">
        <v>6</v>
      </c>
      <c r="K43" s="2">
        <f t="shared" si="2"/>
        <v>103</v>
      </c>
      <c r="L43" s="2">
        <v>133</v>
      </c>
      <c r="M43" s="27">
        <v>84</v>
      </c>
      <c r="N43" s="2">
        <v>6208</v>
      </c>
      <c r="O43" s="12">
        <v>43.17</v>
      </c>
      <c r="P43" s="12">
        <v>35.950000000000003</v>
      </c>
      <c r="Q43" s="12">
        <v>33.200000000000003</v>
      </c>
      <c r="R43" s="12">
        <v>33.11</v>
      </c>
      <c r="S43" s="12">
        <v>34.33</v>
      </c>
      <c r="T43" s="12">
        <v>30</v>
      </c>
      <c r="U43" s="12">
        <f t="shared" si="3"/>
        <v>28.337368421052634</v>
      </c>
      <c r="V43" s="2">
        <v>28840.31</v>
      </c>
      <c r="W43" s="27">
        <v>96</v>
      </c>
      <c r="X43" s="27">
        <v>42470.45</v>
      </c>
      <c r="Y43" s="27">
        <v>1905</v>
      </c>
      <c r="Z43" s="27" t="s">
        <v>484</v>
      </c>
      <c r="AA43" s="27" t="s">
        <v>479</v>
      </c>
      <c r="AB43" s="27" t="s">
        <v>383</v>
      </c>
      <c r="AC43" s="27" t="s">
        <v>485</v>
      </c>
      <c r="AD43" s="27" t="s">
        <v>383</v>
      </c>
      <c r="AE43" s="27" t="s">
        <v>483</v>
      </c>
      <c r="AF43" s="27" t="s">
        <v>383</v>
      </c>
      <c r="AG43" s="27" t="s">
        <v>486</v>
      </c>
    </row>
    <row r="44" spans="1:33" x14ac:dyDescent="0.25">
      <c r="A44" s="27" t="s">
        <v>692</v>
      </c>
      <c r="B44" s="27" t="str">
        <f t="shared" si="0"/>
        <v>Arkansas</v>
      </c>
      <c r="C44" s="27" t="str">
        <f t="shared" si="1"/>
        <v>Lonoke</v>
      </c>
      <c r="D44" s="27">
        <v>4366</v>
      </c>
      <c r="E44" s="2">
        <v>27</v>
      </c>
      <c r="F44" s="2">
        <v>52</v>
      </c>
      <c r="G44" s="2">
        <v>30</v>
      </c>
      <c r="H44" s="2">
        <v>40</v>
      </c>
      <c r="I44" s="2">
        <v>12</v>
      </c>
      <c r="J44" s="2">
        <v>12</v>
      </c>
      <c r="K44" s="2">
        <f t="shared" si="2"/>
        <v>173</v>
      </c>
      <c r="L44" s="2">
        <v>176</v>
      </c>
      <c r="M44" s="27">
        <v>106</v>
      </c>
      <c r="N44" s="2">
        <v>6408</v>
      </c>
      <c r="O44" s="12">
        <v>46</v>
      </c>
      <c r="P44" s="12">
        <v>36</v>
      </c>
      <c r="Q44" s="12">
        <v>45</v>
      </c>
      <c r="R44" s="12">
        <v>33</v>
      </c>
      <c r="S44" s="12">
        <v>31</v>
      </c>
      <c r="T44" s="12">
        <v>29</v>
      </c>
      <c r="U44" s="12">
        <f t="shared" si="3"/>
        <v>36.954545454545453</v>
      </c>
      <c r="V44" s="2">
        <v>35201</v>
      </c>
      <c r="W44" s="27">
        <v>109</v>
      </c>
      <c r="X44" s="27">
        <v>58825</v>
      </c>
      <c r="Y44" s="27">
        <v>1905</v>
      </c>
      <c r="Z44" s="27" t="s">
        <v>484</v>
      </c>
      <c r="AA44" s="27" t="s">
        <v>479</v>
      </c>
      <c r="AB44" s="27" t="s">
        <v>383</v>
      </c>
      <c r="AC44" s="27" t="s">
        <v>485</v>
      </c>
      <c r="AD44" s="27" t="s">
        <v>383</v>
      </c>
      <c r="AE44" s="27" t="s">
        <v>483</v>
      </c>
      <c r="AF44" s="27" t="s">
        <v>383</v>
      </c>
      <c r="AG44" s="27" t="s">
        <v>486</v>
      </c>
    </row>
    <row r="45" spans="1:33" x14ac:dyDescent="0.25">
      <c r="A45" s="27" t="s">
        <v>693</v>
      </c>
      <c r="B45" s="27" t="str">
        <f t="shared" si="0"/>
        <v>Arkansas</v>
      </c>
      <c r="C45" s="27" t="str">
        <f t="shared" si="1"/>
        <v>Madison</v>
      </c>
      <c r="D45" s="27">
        <v>3661</v>
      </c>
      <c r="E45" s="2">
        <v>20</v>
      </c>
      <c r="F45" s="2">
        <v>10</v>
      </c>
      <c r="G45" s="2">
        <v>30</v>
      </c>
      <c r="H45" s="2">
        <v>15</v>
      </c>
      <c r="I45" s="2">
        <v>18</v>
      </c>
      <c r="J45" s="2">
        <v>11</v>
      </c>
      <c r="K45" s="2">
        <f t="shared" si="2"/>
        <v>104</v>
      </c>
      <c r="L45" s="2">
        <v>105</v>
      </c>
      <c r="M45" s="27"/>
      <c r="N45" s="2">
        <v>5509</v>
      </c>
      <c r="O45" s="12">
        <v>40</v>
      </c>
      <c r="P45" s="12">
        <v>30</v>
      </c>
      <c r="Q45" s="12">
        <v>30</v>
      </c>
      <c r="R45" s="12">
        <v>27.5</v>
      </c>
      <c r="S45" s="12">
        <v>25</v>
      </c>
      <c r="T45" s="12">
        <v>22.5</v>
      </c>
      <c r="U45" s="12">
        <f t="shared" si="3"/>
        <v>29.61904761904762</v>
      </c>
      <c r="V45" s="2">
        <v>27615.16</v>
      </c>
      <c r="W45" s="27">
        <v>119</v>
      </c>
      <c r="X45" s="27">
        <v>30000</v>
      </c>
      <c r="Y45" s="27">
        <v>1905</v>
      </c>
      <c r="Z45" s="27" t="s">
        <v>484</v>
      </c>
      <c r="AA45" s="27" t="s">
        <v>479</v>
      </c>
      <c r="AB45" s="27" t="s">
        <v>383</v>
      </c>
      <c r="AC45" s="27" t="s">
        <v>485</v>
      </c>
      <c r="AD45" s="27" t="s">
        <v>383</v>
      </c>
      <c r="AE45" s="27" t="s">
        <v>483</v>
      </c>
      <c r="AF45" s="27" t="s">
        <v>383</v>
      </c>
      <c r="AG45" s="27" t="s">
        <v>486</v>
      </c>
    </row>
    <row r="46" spans="1:33" x14ac:dyDescent="0.25">
      <c r="A46" s="27" t="s">
        <v>694</v>
      </c>
      <c r="B46" s="27" t="str">
        <f t="shared" si="0"/>
        <v>Arkansas</v>
      </c>
      <c r="C46" s="27" t="str">
        <f t="shared" si="1"/>
        <v>Marion</v>
      </c>
      <c r="D46" s="27">
        <v>2105</v>
      </c>
      <c r="E46" s="2">
        <v>24</v>
      </c>
      <c r="F46" s="2"/>
      <c r="G46" s="2">
        <v>36</v>
      </c>
      <c r="H46" s="2">
        <v>10</v>
      </c>
      <c r="I46" s="2">
        <v>10</v>
      </c>
      <c r="J46" s="2">
        <v>6</v>
      </c>
      <c r="K46" s="2">
        <f t="shared" si="2"/>
        <v>86</v>
      </c>
      <c r="L46" s="2">
        <v>86</v>
      </c>
      <c r="M46" s="27">
        <v>77</v>
      </c>
      <c r="N46" s="2">
        <v>2923</v>
      </c>
      <c r="O46" s="12">
        <v>30.76</v>
      </c>
      <c r="P46" s="12"/>
      <c r="Q46" s="12">
        <v>25.65</v>
      </c>
      <c r="R46" s="12">
        <v>28.35</v>
      </c>
      <c r="S46" s="12">
        <v>28.8</v>
      </c>
      <c r="T46" s="12">
        <v>26.66</v>
      </c>
      <c r="U46" s="12">
        <f t="shared" si="3"/>
        <v>27.826744186046511</v>
      </c>
      <c r="V46" s="2">
        <v>12235.76</v>
      </c>
      <c r="W46" s="27">
        <v>65</v>
      </c>
      <c r="X46" s="27">
        <v>24830</v>
      </c>
      <c r="Y46" s="27">
        <v>1905</v>
      </c>
      <c r="Z46" s="27" t="s">
        <v>484</v>
      </c>
      <c r="AA46" s="27" t="s">
        <v>479</v>
      </c>
      <c r="AB46" s="27" t="s">
        <v>383</v>
      </c>
      <c r="AC46" s="27" t="s">
        <v>485</v>
      </c>
      <c r="AD46" s="27" t="s">
        <v>383</v>
      </c>
      <c r="AE46" s="27" t="s">
        <v>483</v>
      </c>
      <c r="AF46" s="27" t="s">
        <v>383</v>
      </c>
      <c r="AG46" s="27" t="s">
        <v>486</v>
      </c>
    </row>
    <row r="47" spans="1:33" x14ac:dyDescent="0.25">
      <c r="A47" s="27" t="s">
        <v>695</v>
      </c>
      <c r="B47" s="27" t="str">
        <f t="shared" si="0"/>
        <v>Arkansas</v>
      </c>
      <c r="C47" s="27" t="str">
        <f t="shared" si="1"/>
        <v>Miller</v>
      </c>
      <c r="D47" s="27">
        <v>2807</v>
      </c>
      <c r="E47" s="2">
        <v>23</v>
      </c>
      <c r="F47" s="2">
        <v>25</v>
      </c>
      <c r="G47" s="2">
        <v>19</v>
      </c>
      <c r="H47" s="2">
        <v>22</v>
      </c>
      <c r="I47" s="2">
        <v>10</v>
      </c>
      <c r="J47" s="2">
        <v>9</v>
      </c>
      <c r="K47" s="2">
        <f t="shared" si="2"/>
        <v>108</v>
      </c>
      <c r="L47" s="2">
        <v>99</v>
      </c>
      <c r="M47" s="27">
        <v>108</v>
      </c>
      <c r="N47" s="2">
        <v>4746</v>
      </c>
      <c r="O47" s="12">
        <v>54.85</v>
      </c>
      <c r="P47" s="12">
        <v>51</v>
      </c>
      <c r="Q47" s="12">
        <v>43.5</v>
      </c>
      <c r="R47" s="12">
        <v>45</v>
      </c>
      <c r="S47" s="12">
        <v>32</v>
      </c>
      <c r="T47" s="12">
        <v>35.549999999999997</v>
      </c>
      <c r="U47" s="12">
        <f t="shared" si="3"/>
        <v>50.434343434343432</v>
      </c>
      <c r="V47" s="2">
        <v>34210.83</v>
      </c>
      <c r="W47" s="27">
        <v>54</v>
      </c>
      <c r="X47" s="27">
        <v>85300</v>
      </c>
      <c r="Y47" s="27">
        <v>1905</v>
      </c>
      <c r="Z47" s="27" t="s">
        <v>484</v>
      </c>
      <c r="AA47" s="27" t="s">
        <v>479</v>
      </c>
      <c r="AB47" s="27" t="s">
        <v>383</v>
      </c>
      <c r="AC47" s="27" t="s">
        <v>485</v>
      </c>
      <c r="AD47" s="27" t="s">
        <v>383</v>
      </c>
      <c r="AE47" s="27" t="s">
        <v>483</v>
      </c>
      <c r="AF47" s="27" t="s">
        <v>383</v>
      </c>
      <c r="AG47" s="27" t="s">
        <v>486</v>
      </c>
    </row>
    <row r="48" spans="1:33" x14ac:dyDescent="0.25">
      <c r="A48" s="27" t="s">
        <v>696</v>
      </c>
      <c r="B48" s="27" t="str">
        <f t="shared" si="0"/>
        <v>Arkansas</v>
      </c>
      <c r="C48" s="27" t="str">
        <f t="shared" si="1"/>
        <v>Mississippi</v>
      </c>
      <c r="D48" s="27">
        <v>2372</v>
      </c>
      <c r="E48" s="2">
        <v>17</v>
      </c>
      <c r="F48" s="2">
        <v>23</v>
      </c>
      <c r="G48" s="2">
        <v>11</v>
      </c>
      <c r="H48" s="2">
        <v>10</v>
      </c>
      <c r="I48" s="2"/>
      <c r="J48" s="2">
        <v>3</v>
      </c>
      <c r="K48" s="2">
        <f t="shared" si="2"/>
        <v>64</v>
      </c>
      <c r="L48" s="2">
        <v>72</v>
      </c>
      <c r="M48" s="27">
        <v>84</v>
      </c>
      <c r="N48" s="2">
        <v>4130</v>
      </c>
      <c r="O48" s="12">
        <v>36.35</v>
      </c>
      <c r="P48" s="12">
        <v>34.04</v>
      </c>
      <c r="Q48" s="12">
        <v>40</v>
      </c>
      <c r="R48" s="12">
        <v>28.5</v>
      </c>
      <c r="S48" s="12"/>
      <c r="T48" s="12">
        <v>16.66</v>
      </c>
      <c r="U48" s="12">
        <f t="shared" si="3"/>
        <v>30.220138888888886</v>
      </c>
      <c r="V48" s="2">
        <v>34208.29</v>
      </c>
      <c r="W48" s="27">
        <v>32</v>
      </c>
      <c r="X48" s="27">
        <v>37452.949999999997</v>
      </c>
      <c r="Y48" s="27">
        <v>1905</v>
      </c>
      <c r="Z48" s="27" t="s">
        <v>484</v>
      </c>
      <c r="AA48" s="27" t="s">
        <v>479</v>
      </c>
      <c r="AB48" s="27" t="s">
        <v>383</v>
      </c>
      <c r="AC48" s="27" t="s">
        <v>485</v>
      </c>
      <c r="AD48" s="27" t="s">
        <v>383</v>
      </c>
      <c r="AE48" s="27" t="s">
        <v>483</v>
      </c>
      <c r="AF48" s="27" t="s">
        <v>383</v>
      </c>
      <c r="AG48" s="27" t="s">
        <v>486</v>
      </c>
    </row>
    <row r="49" spans="1:33" x14ac:dyDescent="0.25">
      <c r="A49" s="27" t="s">
        <v>697</v>
      </c>
      <c r="B49" s="27" t="str">
        <f t="shared" si="0"/>
        <v>Arkansas</v>
      </c>
      <c r="C49" s="27" t="str">
        <f t="shared" si="1"/>
        <v>Monroe</v>
      </c>
      <c r="D49" s="27">
        <v>2649</v>
      </c>
      <c r="E49" s="2">
        <v>23</v>
      </c>
      <c r="F49" s="2">
        <v>24</v>
      </c>
      <c r="G49" s="2">
        <v>10</v>
      </c>
      <c r="H49" s="2">
        <v>18</v>
      </c>
      <c r="I49" s="2">
        <v>17</v>
      </c>
      <c r="J49" s="2">
        <v>13</v>
      </c>
      <c r="K49" s="2">
        <f t="shared" si="2"/>
        <v>105</v>
      </c>
      <c r="L49" s="2">
        <v>105</v>
      </c>
      <c r="M49" s="27">
        <v>98</v>
      </c>
      <c r="N49" s="2">
        <v>3371</v>
      </c>
      <c r="O49" s="12">
        <v>35.54</v>
      </c>
      <c r="P49" s="12">
        <v>27.09</v>
      </c>
      <c r="Q49" s="12">
        <v>35</v>
      </c>
      <c r="R49" s="12">
        <v>28.5</v>
      </c>
      <c r="S49" s="12">
        <v>29.3</v>
      </c>
      <c r="T49" s="12">
        <v>28.46</v>
      </c>
      <c r="U49" s="12">
        <f t="shared" si="3"/>
        <v>30.463428571428569</v>
      </c>
      <c r="V49" s="2">
        <v>32470.79</v>
      </c>
      <c r="W49" s="27">
        <v>55</v>
      </c>
      <c r="X49" s="27">
        <v>25648.75</v>
      </c>
      <c r="Y49" s="27">
        <v>1905</v>
      </c>
      <c r="Z49" s="27" t="s">
        <v>484</v>
      </c>
      <c r="AA49" s="27" t="s">
        <v>479</v>
      </c>
      <c r="AB49" s="27" t="s">
        <v>383</v>
      </c>
      <c r="AC49" s="27" t="s">
        <v>485</v>
      </c>
      <c r="AD49" s="27" t="s">
        <v>383</v>
      </c>
      <c r="AE49" s="27" t="s">
        <v>483</v>
      </c>
      <c r="AF49" s="27" t="s">
        <v>383</v>
      </c>
      <c r="AG49" s="27" t="s">
        <v>486</v>
      </c>
    </row>
    <row r="50" spans="1:33" x14ac:dyDescent="0.25">
      <c r="A50" s="27" t="s">
        <v>1713</v>
      </c>
      <c r="B50" s="27" t="str">
        <f t="shared" si="0"/>
        <v>Arkansas</v>
      </c>
      <c r="C50" s="27" t="str">
        <f t="shared" si="1"/>
        <v>Montgomery</v>
      </c>
      <c r="D50" s="27">
        <v>2049</v>
      </c>
      <c r="E50" s="2">
        <v>25</v>
      </c>
      <c r="F50" s="2">
        <v>7</v>
      </c>
      <c r="G50" s="2">
        <v>17</v>
      </c>
      <c r="H50" s="2">
        <v>5</v>
      </c>
      <c r="I50" s="2">
        <v>18</v>
      </c>
      <c r="J50" s="2">
        <v>9</v>
      </c>
      <c r="K50" s="2">
        <f t="shared" si="2"/>
        <v>81</v>
      </c>
      <c r="L50" s="2">
        <v>81</v>
      </c>
      <c r="M50" s="27">
        <v>82</v>
      </c>
      <c r="N50" s="2">
        <v>3223</v>
      </c>
      <c r="O50" s="12">
        <v>33.08</v>
      </c>
      <c r="P50" s="12">
        <v>31.75</v>
      </c>
      <c r="Q50" s="12">
        <v>35</v>
      </c>
      <c r="R50" s="12">
        <v>40.94</v>
      </c>
      <c r="S50" s="12">
        <v>29.2</v>
      </c>
      <c r="T50" s="12">
        <v>29.45</v>
      </c>
      <c r="U50" s="12">
        <f t="shared" si="3"/>
        <v>32.58765432098766</v>
      </c>
      <c r="V50" s="2">
        <v>8668.89</v>
      </c>
      <c r="W50" s="27">
        <v>57</v>
      </c>
      <c r="X50" s="27">
        <v>10997</v>
      </c>
      <c r="Y50" s="27">
        <v>1905</v>
      </c>
      <c r="Z50" s="27" t="s">
        <v>484</v>
      </c>
      <c r="AA50" s="27" t="s">
        <v>479</v>
      </c>
      <c r="AB50" s="27" t="s">
        <v>383</v>
      </c>
      <c r="AC50" s="27" t="s">
        <v>485</v>
      </c>
      <c r="AD50" s="27" t="s">
        <v>383</v>
      </c>
      <c r="AE50" s="27" t="s">
        <v>483</v>
      </c>
      <c r="AF50" s="27" t="s">
        <v>383</v>
      </c>
      <c r="AG50" s="27" t="s">
        <v>486</v>
      </c>
    </row>
    <row r="51" spans="1:33" x14ac:dyDescent="0.25">
      <c r="A51" s="27" t="s">
        <v>698</v>
      </c>
      <c r="B51" s="27" t="str">
        <f t="shared" si="0"/>
        <v>Arkansas</v>
      </c>
      <c r="C51" s="27" t="str">
        <f t="shared" si="1"/>
        <v>Nevada</v>
      </c>
      <c r="D51" s="27">
        <v>3140</v>
      </c>
      <c r="E51" s="2">
        <v>49</v>
      </c>
      <c r="F51" s="2">
        <v>36</v>
      </c>
      <c r="G51" s="2">
        <v>15</v>
      </c>
      <c r="H51" s="2">
        <v>9</v>
      </c>
      <c r="I51" s="2">
        <v>10</v>
      </c>
      <c r="J51" s="2">
        <v>5</v>
      </c>
      <c r="K51" s="2">
        <f t="shared" si="2"/>
        <v>124</v>
      </c>
      <c r="L51" s="2">
        <v>125</v>
      </c>
      <c r="M51" s="27">
        <v>102</v>
      </c>
      <c r="N51" s="2">
        <v>4775</v>
      </c>
      <c r="O51" s="12">
        <v>40</v>
      </c>
      <c r="P51" s="12">
        <v>35</v>
      </c>
      <c r="Q51" s="12">
        <v>35</v>
      </c>
      <c r="R51" s="12">
        <v>30</v>
      </c>
      <c r="S51" s="12">
        <v>30</v>
      </c>
      <c r="T51" s="12">
        <v>20</v>
      </c>
      <c r="U51" s="12">
        <f t="shared" si="3"/>
        <v>35.32</v>
      </c>
      <c r="V51" s="2">
        <v>24235.02</v>
      </c>
      <c r="W51" s="27">
        <v>72</v>
      </c>
      <c r="X51" s="27">
        <v>31465</v>
      </c>
      <c r="Y51" s="27">
        <v>1905</v>
      </c>
      <c r="Z51" s="27" t="s">
        <v>484</v>
      </c>
      <c r="AA51" s="27" t="s">
        <v>479</v>
      </c>
      <c r="AB51" s="27" t="s">
        <v>383</v>
      </c>
      <c r="AC51" s="27" t="s">
        <v>485</v>
      </c>
      <c r="AD51" s="27" t="s">
        <v>383</v>
      </c>
      <c r="AE51" s="27" t="s">
        <v>483</v>
      </c>
      <c r="AF51" s="27" t="s">
        <v>383</v>
      </c>
      <c r="AG51" s="27" t="s">
        <v>486</v>
      </c>
    </row>
    <row r="52" spans="1:33" x14ac:dyDescent="0.25">
      <c r="A52" s="27" t="s">
        <v>699</v>
      </c>
      <c r="B52" s="27" t="str">
        <f t="shared" si="0"/>
        <v>Arkansas</v>
      </c>
      <c r="C52" s="27" t="str">
        <f t="shared" si="1"/>
        <v>Newton</v>
      </c>
      <c r="D52" s="27">
        <v>2616</v>
      </c>
      <c r="E52" s="2">
        <v>29</v>
      </c>
      <c r="F52" s="2">
        <v>10</v>
      </c>
      <c r="G52" s="2">
        <v>24</v>
      </c>
      <c r="H52" s="2">
        <v>13</v>
      </c>
      <c r="I52" s="2">
        <v>11</v>
      </c>
      <c r="J52" s="2">
        <v>14</v>
      </c>
      <c r="K52" s="2">
        <f t="shared" si="2"/>
        <v>101</v>
      </c>
      <c r="L52" s="2">
        <v>101</v>
      </c>
      <c r="M52" s="27">
        <v>53</v>
      </c>
      <c r="N52" s="2">
        <v>3793</v>
      </c>
      <c r="O52" s="12">
        <v>28</v>
      </c>
      <c r="P52" s="12">
        <v>29.5</v>
      </c>
      <c r="Q52" s="12">
        <v>26</v>
      </c>
      <c r="R52" s="12">
        <v>23</v>
      </c>
      <c r="S52" s="12">
        <v>26</v>
      </c>
      <c r="T52" s="12">
        <v>20</v>
      </c>
      <c r="U52" s="12">
        <f t="shared" si="3"/>
        <v>25.702970297029704</v>
      </c>
      <c r="V52" s="2">
        <v>10739.36</v>
      </c>
      <c r="W52" s="27">
        <v>59</v>
      </c>
      <c r="X52" s="27">
        <v>14648</v>
      </c>
      <c r="Y52" s="27">
        <v>1905</v>
      </c>
      <c r="Z52" s="27" t="s">
        <v>484</v>
      </c>
      <c r="AA52" s="27" t="s">
        <v>479</v>
      </c>
      <c r="AB52" s="27" t="s">
        <v>383</v>
      </c>
      <c r="AC52" s="27" t="s">
        <v>485</v>
      </c>
      <c r="AD52" s="27" t="s">
        <v>383</v>
      </c>
      <c r="AE52" s="27" t="s">
        <v>483</v>
      </c>
      <c r="AF52" s="27" t="s">
        <v>383</v>
      </c>
      <c r="AG52" s="27" t="s">
        <v>486</v>
      </c>
    </row>
    <row r="53" spans="1:33" x14ac:dyDescent="0.25">
      <c r="A53" s="27" t="s">
        <v>700</v>
      </c>
      <c r="B53" s="27" t="str">
        <f t="shared" si="0"/>
        <v>Arkansas</v>
      </c>
      <c r="C53" s="27" t="str">
        <f t="shared" si="1"/>
        <v>Ouachita</v>
      </c>
      <c r="D53" s="27">
        <v>3496</v>
      </c>
      <c r="E53" s="2">
        <v>39</v>
      </c>
      <c r="F53" s="2">
        <v>31</v>
      </c>
      <c r="G53" s="2">
        <v>7</v>
      </c>
      <c r="H53" s="2">
        <v>10</v>
      </c>
      <c r="I53" s="2">
        <v>6</v>
      </c>
      <c r="J53" s="2">
        <v>12</v>
      </c>
      <c r="K53" s="2">
        <f t="shared" si="2"/>
        <v>105</v>
      </c>
      <c r="L53" s="2">
        <v>110</v>
      </c>
      <c r="M53" s="27">
        <v>101</v>
      </c>
      <c r="N53" s="2">
        <v>5565</v>
      </c>
      <c r="O53" s="12">
        <v>50.5</v>
      </c>
      <c r="P53" s="12">
        <v>44</v>
      </c>
      <c r="Q53" s="12">
        <v>40</v>
      </c>
      <c r="R53" s="12">
        <v>35</v>
      </c>
      <c r="S53" s="12">
        <v>30</v>
      </c>
      <c r="T53" s="12">
        <v>25</v>
      </c>
      <c r="U53" s="12">
        <f t="shared" si="3"/>
        <v>40.395454545454548</v>
      </c>
      <c r="V53" s="2">
        <v>30774.68</v>
      </c>
      <c r="W53" s="27">
        <v>73</v>
      </c>
      <c r="X53" s="27">
        <v>27958</v>
      </c>
      <c r="Y53" s="27">
        <v>1905</v>
      </c>
      <c r="Z53" s="27" t="s">
        <v>484</v>
      </c>
      <c r="AA53" s="27" t="s">
        <v>479</v>
      </c>
      <c r="AB53" s="27" t="s">
        <v>383</v>
      </c>
      <c r="AC53" s="27" t="s">
        <v>485</v>
      </c>
      <c r="AD53" s="27" t="s">
        <v>383</v>
      </c>
      <c r="AE53" s="27" t="s">
        <v>483</v>
      </c>
      <c r="AF53" s="27" t="s">
        <v>383</v>
      </c>
      <c r="AG53" s="27" t="s">
        <v>486</v>
      </c>
    </row>
    <row r="54" spans="1:33" x14ac:dyDescent="0.25">
      <c r="A54" s="27" t="s">
        <v>701</v>
      </c>
      <c r="B54" s="27" t="str">
        <f t="shared" si="0"/>
        <v>Arkansas</v>
      </c>
      <c r="C54" s="27" t="str">
        <f t="shared" si="1"/>
        <v>Perry</v>
      </c>
      <c r="D54" s="27">
        <v>1147</v>
      </c>
      <c r="E54" s="2">
        <v>8</v>
      </c>
      <c r="F54" s="2">
        <v>1</v>
      </c>
      <c r="G54" s="2">
        <v>5</v>
      </c>
      <c r="H54" s="2">
        <v>12</v>
      </c>
      <c r="I54" s="2">
        <v>3</v>
      </c>
      <c r="J54" s="2">
        <v>8</v>
      </c>
      <c r="K54" s="2">
        <f t="shared" si="2"/>
        <v>37</v>
      </c>
      <c r="L54" s="2">
        <v>42</v>
      </c>
      <c r="M54" s="27">
        <v>81</v>
      </c>
      <c r="N54" s="2">
        <v>2228</v>
      </c>
      <c r="O54" s="12">
        <v>62.5</v>
      </c>
      <c r="P54" s="12">
        <v>40</v>
      </c>
      <c r="Q54" s="12">
        <v>38</v>
      </c>
      <c r="R54" s="12">
        <v>39</v>
      </c>
      <c r="S54" s="12">
        <v>36.200000000000003</v>
      </c>
      <c r="T54" s="12">
        <v>33.659999999999997</v>
      </c>
      <c r="U54" s="12">
        <f t="shared" si="3"/>
        <v>37.52095238095238</v>
      </c>
      <c r="V54" s="2">
        <v>12396.95</v>
      </c>
      <c r="W54" s="27">
        <v>34</v>
      </c>
      <c r="X54" s="27">
        <v>8712.17</v>
      </c>
      <c r="Y54" s="27">
        <v>1905</v>
      </c>
      <c r="Z54" s="27" t="s">
        <v>484</v>
      </c>
      <c r="AA54" s="27" t="s">
        <v>479</v>
      </c>
      <c r="AB54" s="27" t="s">
        <v>383</v>
      </c>
      <c r="AC54" s="27" t="s">
        <v>485</v>
      </c>
      <c r="AD54" s="27" t="s">
        <v>383</v>
      </c>
      <c r="AE54" s="27" t="s">
        <v>487</v>
      </c>
      <c r="AF54" s="27" t="s">
        <v>383</v>
      </c>
      <c r="AG54" s="27" t="s">
        <v>486</v>
      </c>
    </row>
    <row r="55" spans="1:33" x14ac:dyDescent="0.25">
      <c r="A55" s="27" t="s">
        <v>702</v>
      </c>
      <c r="B55" s="27" t="str">
        <f t="shared" si="0"/>
        <v>Arkansas</v>
      </c>
      <c r="C55" s="27" t="str">
        <f t="shared" si="1"/>
        <v>Phillips</v>
      </c>
      <c r="D55" s="27">
        <v>3323</v>
      </c>
      <c r="E55" s="2">
        <v>14</v>
      </c>
      <c r="F55" s="2">
        <v>32</v>
      </c>
      <c r="G55" s="2">
        <v>25</v>
      </c>
      <c r="H55" s="2">
        <v>42</v>
      </c>
      <c r="I55" s="2">
        <v>1</v>
      </c>
      <c r="J55" s="2">
        <v>3</v>
      </c>
      <c r="K55" s="2">
        <f t="shared" si="2"/>
        <v>117</v>
      </c>
      <c r="L55" s="2">
        <v>118</v>
      </c>
      <c r="M55" s="27">
        <v>116</v>
      </c>
      <c r="N55" s="2">
        <v>5101</v>
      </c>
      <c r="O55" s="12">
        <v>60.35</v>
      </c>
      <c r="P55" s="12">
        <v>40.5</v>
      </c>
      <c r="Q55" s="12">
        <v>41.8</v>
      </c>
      <c r="R55" s="12">
        <v>39.35</v>
      </c>
      <c r="S55" s="12">
        <v>35</v>
      </c>
      <c r="T55" s="12">
        <v>33.33</v>
      </c>
      <c r="U55" s="12">
        <f t="shared" si="3"/>
        <v>42.149067796610169</v>
      </c>
      <c r="V55" s="2">
        <v>37087.019999999997</v>
      </c>
      <c r="W55" s="27">
        <v>64</v>
      </c>
      <c r="X55" s="27">
        <v>65000</v>
      </c>
      <c r="Y55" s="27">
        <v>1905</v>
      </c>
      <c r="Z55" s="27" t="s">
        <v>484</v>
      </c>
      <c r="AA55" s="27" t="s">
        <v>479</v>
      </c>
      <c r="AB55" s="27" t="s">
        <v>383</v>
      </c>
      <c r="AC55" s="27" t="s">
        <v>485</v>
      </c>
      <c r="AD55" s="27" t="s">
        <v>383</v>
      </c>
      <c r="AE55" s="27" t="s">
        <v>487</v>
      </c>
      <c r="AF55" s="27" t="s">
        <v>383</v>
      </c>
      <c r="AG55" s="27" t="s">
        <v>486</v>
      </c>
    </row>
    <row r="56" spans="1:33" x14ac:dyDescent="0.25">
      <c r="A56" s="27" t="s">
        <v>703</v>
      </c>
      <c r="B56" s="27" t="str">
        <f t="shared" si="0"/>
        <v>Arkansas</v>
      </c>
      <c r="C56" s="27" t="str">
        <f t="shared" si="1"/>
        <v>Pike</v>
      </c>
      <c r="D56" s="27">
        <v>1553</v>
      </c>
      <c r="E56" s="2">
        <v>15</v>
      </c>
      <c r="F56" s="2">
        <v>4</v>
      </c>
      <c r="G56" s="2">
        <v>17</v>
      </c>
      <c r="H56" s="2">
        <v>13</v>
      </c>
      <c r="I56" s="2">
        <v>6</v>
      </c>
      <c r="J56" s="2">
        <v>12</v>
      </c>
      <c r="K56" s="2">
        <f t="shared" si="2"/>
        <v>67</v>
      </c>
      <c r="L56" s="2">
        <v>69</v>
      </c>
      <c r="M56" s="27">
        <v>69</v>
      </c>
      <c r="N56" s="2">
        <v>2897</v>
      </c>
      <c r="O56" s="12">
        <v>46</v>
      </c>
      <c r="P56" s="12">
        <v>39.5</v>
      </c>
      <c r="Q56" s="12">
        <v>40.9</v>
      </c>
      <c r="R56" s="12">
        <v>30</v>
      </c>
      <c r="S56" s="12">
        <v>34</v>
      </c>
      <c r="T56" s="12">
        <v>31</v>
      </c>
      <c r="U56" s="12">
        <f t="shared" si="3"/>
        <v>36.366666666666667</v>
      </c>
      <c r="V56" s="2">
        <v>12813.41</v>
      </c>
      <c r="W56" s="27">
        <v>50</v>
      </c>
      <c r="X56" s="27">
        <v>11750</v>
      </c>
      <c r="Y56" s="27">
        <v>1905</v>
      </c>
      <c r="Z56" s="27" t="s">
        <v>484</v>
      </c>
      <c r="AA56" s="27" t="s">
        <v>479</v>
      </c>
      <c r="AB56" s="27" t="s">
        <v>383</v>
      </c>
      <c r="AC56" s="27" t="s">
        <v>485</v>
      </c>
      <c r="AD56" s="27" t="s">
        <v>383</v>
      </c>
      <c r="AE56" s="27" t="s">
        <v>487</v>
      </c>
      <c r="AF56" s="27" t="s">
        <v>383</v>
      </c>
      <c r="AG56" s="27" t="s">
        <v>486</v>
      </c>
    </row>
    <row r="57" spans="1:33" x14ac:dyDescent="0.25">
      <c r="A57" s="27" t="s">
        <v>704</v>
      </c>
      <c r="B57" s="27" t="str">
        <f t="shared" si="0"/>
        <v>Arkansas</v>
      </c>
      <c r="C57" s="27" t="str">
        <f t="shared" si="1"/>
        <v>Poinsett</v>
      </c>
      <c r="D57" s="27">
        <v>765</v>
      </c>
      <c r="E57" s="2">
        <v>13</v>
      </c>
      <c r="F57" s="2">
        <v>13</v>
      </c>
      <c r="G57" s="2">
        <v>7</v>
      </c>
      <c r="H57" s="2">
        <v>9</v>
      </c>
      <c r="I57" s="2"/>
      <c r="J57" s="2"/>
      <c r="K57" s="2">
        <f t="shared" si="2"/>
        <v>42</v>
      </c>
      <c r="L57" s="2">
        <v>44</v>
      </c>
      <c r="M57" s="27">
        <v>116</v>
      </c>
      <c r="N57" s="2">
        <v>1532</v>
      </c>
      <c r="O57" s="12">
        <v>50.9</v>
      </c>
      <c r="P57" s="12">
        <v>40</v>
      </c>
      <c r="Q57" s="12">
        <v>39</v>
      </c>
      <c r="R57" s="12">
        <v>37</v>
      </c>
      <c r="S57" s="12"/>
      <c r="T57" s="12"/>
      <c r="U57" s="12">
        <f t="shared" si="3"/>
        <v>40.62954545454545</v>
      </c>
      <c r="V57" s="2">
        <v>13646.06</v>
      </c>
      <c r="W57" s="27">
        <v>29</v>
      </c>
      <c r="X57" s="27">
        <v>17530</v>
      </c>
      <c r="Y57" s="27">
        <v>1905</v>
      </c>
      <c r="Z57" s="27" t="s">
        <v>484</v>
      </c>
      <c r="AA57" s="27" t="s">
        <v>479</v>
      </c>
      <c r="AB57" s="27" t="s">
        <v>383</v>
      </c>
      <c r="AC57" s="27" t="s">
        <v>485</v>
      </c>
      <c r="AD57" s="27" t="s">
        <v>383</v>
      </c>
      <c r="AE57" s="27" t="s">
        <v>487</v>
      </c>
      <c r="AF57" s="27" t="s">
        <v>383</v>
      </c>
      <c r="AG57" s="27" t="s">
        <v>486</v>
      </c>
    </row>
    <row r="58" spans="1:33" x14ac:dyDescent="0.25">
      <c r="A58" s="27" t="s">
        <v>705</v>
      </c>
      <c r="B58" s="27" t="str">
        <f t="shared" si="0"/>
        <v>Arkansas</v>
      </c>
      <c r="C58" s="27" t="str">
        <f t="shared" si="1"/>
        <v>Polk</v>
      </c>
      <c r="D58" s="27">
        <v>2980</v>
      </c>
      <c r="E58" s="2">
        <v>9</v>
      </c>
      <c r="F58" s="2">
        <v>18</v>
      </c>
      <c r="G58" s="2">
        <v>7</v>
      </c>
      <c r="H58" s="2">
        <v>15</v>
      </c>
      <c r="I58" s="2">
        <v>12</v>
      </c>
      <c r="J58" s="2">
        <v>9</v>
      </c>
      <c r="K58" s="2">
        <f t="shared" si="2"/>
        <v>70</v>
      </c>
      <c r="L58" s="2">
        <v>90</v>
      </c>
      <c r="M58" s="27">
        <v>78</v>
      </c>
      <c r="N58" s="2">
        <v>4744</v>
      </c>
      <c r="O58" s="12">
        <v>39.9</v>
      </c>
      <c r="P58" s="12">
        <v>29.4</v>
      </c>
      <c r="Q58" s="12">
        <v>30.38</v>
      </c>
      <c r="R58" s="12">
        <v>37.25</v>
      </c>
      <c r="S58" s="12">
        <v>29.1</v>
      </c>
      <c r="T58" s="12">
        <v>27.95</v>
      </c>
      <c r="U58" s="12">
        <f t="shared" si="3"/>
        <v>25.116222222222223</v>
      </c>
      <c r="V58" s="2">
        <v>21772.28</v>
      </c>
      <c r="W58" s="27">
        <v>74</v>
      </c>
      <c r="X58" s="27">
        <v>31658</v>
      </c>
      <c r="Y58" s="27">
        <v>1905</v>
      </c>
      <c r="Z58" s="27" t="s">
        <v>488</v>
      </c>
      <c r="AA58" s="27" t="s">
        <v>489</v>
      </c>
      <c r="AB58" s="27" t="s">
        <v>383</v>
      </c>
      <c r="AC58" s="27" t="s">
        <v>490</v>
      </c>
      <c r="AD58" s="27" t="s">
        <v>383</v>
      </c>
      <c r="AE58" s="27" t="s">
        <v>487</v>
      </c>
      <c r="AF58" s="27" t="s">
        <v>383</v>
      </c>
      <c r="AG58" s="27" t="s">
        <v>486</v>
      </c>
    </row>
    <row r="59" spans="1:33" x14ac:dyDescent="0.25">
      <c r="A59" s="27" t="s">
        <v>706</v>
      </c>
      <c r="B59" s="27" t="str">
        <f t="shared" si="0"/>
        <v>Arkansas</v>
      </c>
      <c r="C59" s="27" t="str">
        <f t="shared" si="1"/>
        <v>Pope</v>
      </c>
      <c r="D59" s="27">
        <v>3973</v>
      </c>
      <c r="E59" s="2">
        <v>48</v>
      </c>
      <c r="F59" s="2">
        <v>22</v>
      </c>
      <c r="G59" s="2">
        <v>40</v>
      </c>
      <c r="H59" s="2">
        <v>19</v>
      </c>
      <c r="I59" s="2">
        <v>20</v>
      </c>
      <c r="J59" s="2">
        <v>8</v>
      </c>
      <c r="K59" s="2">
        <f t="shared" si="2"/>
        <v>157</v>
      </c>
      <c r="L59" s="2">
        <v>165</v>
      </c>
      <c r="M59" s="27">
        <v>116</v>
      </c>
      <c r="N59" s="2">
        <v>5403</v>
      </c>
      <c r="O59" s="12">
        <v>42.4</v>
      </c>
      <c r="P59" s="12">
        <v>34</v>
      </c>
      <c r="Q59" s="12">
        <v>34</v>
      </c>
      <c r="R59" s="12">
        <v>32.5</v>
      </c>
      <c r="S59" s="12">
        <v>30</v>
      </c>
      <c r="T59" s="12">
        <v>31.5</v>
      </c>
      <c r="U59" s="12">
        <f t="shared" si="3"/>
        <v>34.016363636363636</v>
      </c>
      <c r="V59" s="2">
        <v>29472.45</v>
      </c>
      <c r="W59" s="27">
        <v>103</v>
      </c>
      <c r="X59" s="27">
        <v>42670</v>
      </c>
      <c r="Y59" s="27">
        <v>1905</v>
      </c>
      <c r="Z59" s="27" t="s">
        <v>488</v>
      </c>
      <c r="AA59" s="27" t="s">
        <v>489</v>
      </c>
      <c r="AB59" s="27" t="s">
        <v>383</v>
      </c>
      <c r="AC59" s="27" t="s">
        <v>490</v>
      </c>
      <c r="AD59" s="27" t="s">
        <v>383</v>
      </c>
      <c r="AE59" s="27" t="s">
        <v>487</v>
      </c>
      <c r="AF59" s="27" t="s">
        <v>383</v>
      </c>
      <c r="AG59" s="27" t="s">
        <v>486</v>
      </c>
    </row>
    <row r="60" spans="1:33" x14ac:dyDescent="0.25">
      <c r="A60" s="27" t="s">
        <v>707</v>
      </c>
      <c r="B60" s="27" t="str">
        <f t="shared" si="0"/>
        <v>Arkansas</v>
      </c>
      <c r="C60" s="27" t="str">
        <f t="shared" si="1"/>
        <v>Prairie</v>
      </c>
      <c r="D60" s="27">
        <v>1936</v>
      </c>
      <c r="E60" s="2">
        <v>10</v>
      </c>
      <c r="F60" s="2">
        <v>25</v>
      </c>
      <c r="G60" s="2">
        <v>4</v>
      </c>
      <c r="H60" s="2">
        <v>26</v>
      </c>
      <c r="I60" s="2">
        <v>14</v>
      </c>
      <c r="J60" s="2">
        <v>14</v>
      </c>
      <c r="K60" s="2">
        <f t="shared" si="2"/>
        <v>93</v>
      </c>
      <c r="L60" s="2">
        <v>95</v>
      </c>
      <c r="M60" s="27">
        <v>108</v>
      </c>
      <c r="N60" s="2">
        <v>3486</v>
      </c>
      <c r="O60" s="12">
        <v>53</v>
      </c>
      <c r="P60" s="12">
        <v>35.35</v>
      </c>
      <c r="Q60" s="12">
        <v>39.5</v>
      </c>
      <c r="R60" s="12">
        <v>30.5</v>
      </c>
      <c r="S60" s="12">
        <v>30</v>
      </c>
      <c r="T60" s="12">
        <v>29</v>
      </c>
      <c r="U60" s="12">
        <f t="shared" si="3"/>
        <v>33.586842105263159</v>
      </c>
      <c r="V60" s="2">
        <v>19238.54</v>
      </c>
      <c r="W60" s="27">
        <v>72</v>
      </c>
      <c r="X60" s="27">
        <v>32568</v>
      </c>
      <c r="Y60" s="27">
        <v>1905</v>
      </c>
      <c r="Z60" s="27" t="s">
        <v>488</v>
      </c>
      <c r="AA60" s="27" t="s">
        <v>489</v>
      </c>
      <c r="AB60" s="27" t="s">
        <v>383</v>
      </c>
      <c r="AC60" s="27" t="s">
        <v>490</v>
      </c>
      <c r="AD60" s="27" t="s">
        <v>383</v>
      </c>
      <c r="AE60" s="27" t="s">
        <v>487</v>
      </c>
      <c r="AF60" s="27" t="s">
        <v>383</v>
      </c>
      <c r="AG60" s="27" t="s">
        <v>491</v>
      </c>
    </row>
    <row r="61" spans="1:33" x14ac:dyDescent="0.25">
      <c r="A61" s="27" t="s">
        <v>708</v>
      </c>
      <c r="B61" s="27" t="str">
        <f t="shared" si="0"/>
        <v>Arkansas</v>
      </c>
      <c r="C61" s="27" t="str">
        <f t="shared" si="1"/>
        <v>Pulaski</v>
      </c>
      <c r="D61" s="27">
        <v>7429</v>
      </c>
      <c r="E61" s="2">
        <v>29</v>
      </c>
      <c r="F61" s="2">
        <v>93</v>
      </c>
      <c r="G61" s="2">
        <v>14</v>
      </c>
      <c r="H61" s="2">
        <v>32</v>
      </c>
      <c r="I61" s="2">
        <v>6</v>
      </c>
      <c r="J61" s="2">
        <v>21</v>
      </c>
      <c r="K61" s="2">
        <f t="shared" si="2"/>
        <v>195</v>
      </c>
      <c r="L61" s="2">
        <v>191</v>
      </c>
      <c r="M61" s="27">
        <v>81</v>
      </c>
      <c r="N61" s="2">
        <v>10610</v>
      </c>
      <c r="O61" s="12">
        <v>45</v>
      </c>
      <c r="P61" s="12">
        <v>45</v>
      </c>
      <c r="Q61" s="12">
        <v>40</v>
      </c>
      <c r="R61" s="12">
        <v>40</v>
      </c>
      <c r="S61" s="12">
        <v>35</v>
      </c>
      <c r="T61" s="12">
        <v>35</v>
      </c>
      <c r="U61" s="12">
        <f t="shared" si="3"/>
        <v>43.324607329842934</v>
      </c>
      <c r="V61" s="2">
        <v>192439.41</v>
      </c>
      <c r="W61" s="27">
        <v>91</v>
      </c>
      <c r="X61" s="27">
        <v>434437.4</v>
      </c>
      <c r="Y61" s="27">
        <v>1905</v>
      </c>
      <c r="Z61" s="27" t="s">
        <v>488</v>
      </c>
      <c r="AA61" s="27" t="s">
        <v>489</v>
      </c>
      <c r="AB61" s="27" t="s">
        <v>383</v>
      </c>
      <c r="AC61" s="27" t="s">
        <v>490</v>
      </c>
      <c r="AD61" s="27" t="s">
        <v>383</v>
      </c>
      <c r="AE61" s="27" t="s">
        <v>487</v>
      </c>
      <c r="AF61" s="27" t="s">
        <v>383</v>
      </c>
      <c r="AG61" s="27" t="s">
        <v>491</v>
      </c>
    </row>
    <row r="62" spans="1:33" x14ac:dyDescent="0.25">
      <c r="A62" s="27" t="s">
        <v>709</v>
      </c>
      <c r="B62" s="27" t="str">
        <f t="shared" si="0"/>
        <v>Arkansas</v>
      </c>
      <c r="C62" s="27" t="str">
        <f t="shared" si="1"/>
        <v>Randolph</v>
      </c>
      <c r="D62" s="27">
        <v>2565</v>
      </c>
      <c r="E62" s="2">
        <v>28</v>
      </c>
      <c r="F62" s="2">
        <v>13</v>
      </c>
      <c r="G62" s="2">
        <v>39</v>
      </c>
      <c r="H62" s="2">
        <v>25</v>
      </c>
      <c r="I62" s="2">
        <v>4</v>
      </c>
      <c r="J62" s="2">
        <v>6</v>
      </c>
      <c r="K62" s="2">
        <f t="shared" si="2"/>
        <v>115</v>
      </c>
      <c r="L62" s="2">
        <v>115</v>
      </c>
      <c r="M62" s="27">
        <v>76</v>
      </c>
      <c r="N62" s="2">
        <v>4289</v>
      </c>
      <c r="O62" s="12">
        <v>43.5</v>
      </c>
      <c r="P62" s="12">
        <v>29.23</v>
      </c>
      <c r="Q62" s="12">
        <v>31.55</v>
      </c>
      <c r="R62" s="12">
        <v>28.96</v>
      </c>
      <c r="S62" s="12">
        <v>23.9</v>
      </c>
      <c r="T62" s="12">
        <v>28.05</v>
      </c>
      <c r="U62" s="12">
        <f t="shared" si="3"/>
        <v>33.185565217391307</v>
      </c>
      <c r="V62" s="2">
        <v>26723.26</v>
      </c>
      <c r="W62" s="27">
        <v>88</v>
      </c>
      <c r="X62" s="27">
        <v>34148</v>
      </c>
      <c r="Y62" s="27">
        <v>1905</v>
      </c>
      <c r="Z62" s="27" t="s">
        <v>488</v>
      </c>
      <c r="AA62" s="27" t="s">
        <v>489</v>
      </c>
      <c r="AB62" s="27" t="s">
        <v>383</v>
      </c>
      <c r="AC62" s="27" t="s">
        <v>490</v>
      </c>
      <c r="AD62" s="27" t="s">
        <v>383</v>
      </c>
      <c r="AE62" s="27" t="s">
        <v>487</v>
      </c>
      <c r="AF62" s="27" t="s">
        <v>383</v>
      </c>
      <c r="AG62" s="27" t="s">
        <v>491</v>
      </c>
    </row>
    <row r="63" spans="1:33" x14ac:dyDescent="0.25">
      <c r="A63" s="27" t="s">
        <v>710</v>
      </c>
      <c r="B63" s="27" t="str">
        <f t="shared" si="0"/>
        <v>Arkansas</v>
      </c>
      <c r="C63" s="27" t="str">
        <f t="shared" si="1"/>
        <v>Saline</v>
      </c>
      <c r="D63" s="27">
        <v>1924</v>
      </c>
      <c r="E63" s="2">
        <v>19</v>
      </c>
      <c r="F63" s="2">
        <v>7</v>
      </c>
      <c r="G63" s="2">
        <v>21</v>
      </c>
      <c r="H63" s="2">
        <v>17</v>
      </c>
      <c r="I63" s="2">
        <v>4</v>
      </c>
      <c r="J63" s="2">
        <v>2</v>
      </c>
      <c r="K63" s="2">
        <f t="shared" si="2"/>
        <v>70</v>
      </c>
      <c r="L63" s="2">
        <v>74</v>
      </c>
      <c r="M63" s="27">
        <v>82</v>
      </c>
      <c r="N63" s="2">
        <v>3321</v>
      </c>
      <c r="O63" s="12">
        <v>45</v>
      </c>
      <c r="P63" s="12">
        <v>35</v>
      </c>
      <c r="Q63" s="12">
        <v>38.5</v>
      </c>
      <c r="R63" s="12">
        <v>33</v>
      </c>
      <c r="S63" s="12">
        <v>34</v>
      </c>
      <c r="T63" s="12">
        <v>30.5</v>
      </c>
      <c r="U63" s="12">
        <f t="shared" si="3"/>
        <v>36.033783783783782</v>
      </c>
      <c r="V63" s="2">
        <v>17300.080000000002</v>
      </c>
      <c r="W63" s="27">
        <v>66</v>
      </c>
      <c r="X63" s="27">
        <v>35150.699999999997</v>
      </c>
      <c r="Y63" s="27">
        <v>1905</v>
      </c>
      <c r="Z63" s="27" t="s">
        <v>488</v>
      </c>
      <c r="AA63" s="27" t="s">
        <v>489</v>
      </c>
      <c r="AB63" s="27" t="s">
        <v>383</v>
      </c>
      <c r="AC63" s="27" t="s">
        <v>490</v>
      </c>
      <c r="AD63" s="27" t="s">
        <v>383</v>
      </c>
      <c r="AE63" s="27" t="s">
        <v>487</v>
      </c>
      <c r="AF63" s="27" t="s">
        <v>383</v>
      </c>
      <c r="AG63" s="27" t="s">
        <v>491</v>
      </c>
    </row>
    <row r="64" spans="1:33" x14ac:dyDescent="0.25">
      <c r="A64" s="27" t="s">
        <v>711</v>
      </c>
      <c r="B64" s="27" t="str">
        <f t="shared" si="0"/>
        <v>Arkansas</v>
      </c>
      <c r="C64" s="27" t="str">
        <f t="shared" si="1"/>
        <v>Scott</v>
      </c>
      <c r="D64" s="27">
        <v>2095</v>
      </c>
      <c r="E64" s="2">
        <v>38</v>
      </c>
      <c r="F64" s="2">
        <v>14</v>
      </c>
      <c r="G64" s="2">
        <v>14</v>
      </c>
      <c r="H64" s="2">
        <v>12</v>
      </c>
      <c r="I64" s="2">
        <v>1</v>
      </c>
      <c r="J64" s="2">
        <v>5</v>
      </c>
      <c r="K64" s="2">
        <f t="shared" si="2"/>
        <v>84</v>
      </c>
      <c r="L64" s="2">
        <v>82</v>
      </c>
      <c r="M64" s="27">
        <v>74</v>
      </c>
      <c r="N64" s="2">
        <v>3475</v>
      </c>
      <c r="O64" s="12">
        <v>47.75</v>
      </c>
      <c r="P64" s="12">
        <v>34.159999999999997</v>
      </c>
      <c r="Q64" s="12">
        <v>31.97</v>
      </c>
      <c r="R64" s="12">
        <v>33.33</v>
      </c>
      <c r="S64" s="12">
        <v>33.33</v>
      </c>
      <c r="T64" s="12">
        <v>25</v>
      </c>
      <c r="U64" s="12">
        <f t="shared" si="3"/>
        <v>40.226951219512188</v>
      </c>
      <c r="V64" s="2">
        <v>17215.080000000002</v>
      </c>
      <c r="W64" s="27">
        <v>71</v>
      </c>
      <c r="X64" s="27">
        <v>29250</v>
      </c>
      <c r="Y64" s="27">
        <v>1905</v>
      </c>
      <c r="Z64" s="27" t="s">
        <v>488</v>
      </c>
      <c r="AA64" s="27" t="s">
        <v>489</v>
      </c>
      <c r="AB64" s="27" t="s">
        <v>383</v>
      </c>
      <c r="AC64" s="27" t="s">
        <v>490</v>
      </c>
      <c r="AD64" s="27" t="s">
        <v>383</v>
      </c>
      <c r="AE64" s="27" t="s">
        <v>487</v>
      </c>
      <c r="AF64" s="27" t="s">
        <v>383</v>
      </c>
      <c r="AG64" s="27" t="s">
        <v>491</v>
      </c>
    </row>
    <row r="65" spans="1:33" x14ac:dyDescent="0.25">
      <c r="A65" s="27" t="s">
        <v>712</v>
      </c>
      <c r="B65" s="27" t="str">
        <f t="shared" si="0"/>
        <v>Arkansas</v>
      </c>
      <c r="C65" s="27" t="str">
        <f t="shared" si="1"/>
        <v>Searcy</v>
      </c>
      <c r="D65" s="27">
        <v>1989</v>
      </c>
      <c r="E65" s="2">
        <v>20</v>
      </c>
      <c r="F65" s="2">
        <v>3</v>
      </c>
      <c r="G65" s="2">
        <v>22</v>
      </c>
      <c r="H65" s="2">
        <v>4</v>
      </c>
      <c r="I65" s="2">
        <v>10</v>
      </c>
      <c r="J65" s="2">
        <v>18</v>
      </c>
      <c r="K65" s="2">
        <f t="shared" si="2"/>
        <v>77</v>
      </c>
      <c r="L65" s="2">
        <v>76</v>
      </c>
      <c r="M65" s="27">
        <v>77</v>
      </c>
      <c r="N65" s="2">
        <v>3254</v>
      </c>
      <c r="O65" s="12">
        <v>31.32</v>
      </c>
      <c r="P65" s="12">
        <v>33.33</v>
      </c>
      <c r="Q65" s="12">
        <v>30.15</v>
      </c>
      <c r="R65" s="12">
        <v>23.25</v>
      </c>
      <c r="S65" s="12">
        <v>24.75</v>
      </c>
      <c r="T65" s="12">
        <v>26.45</v>
      </c>
      <c r="U65" s="12">
        <f t="shared" si="3"/>
        <v>29.030131578947369</v>
      </c>
      <c r="V65" s="2">
        <v>10507.52</v>
      </c>
      <c r="W65" s="27">
        <v>67</v>
      </c>
      <c r="X65" s="27">
        <v>17484</v>
      </c>
      <c r="Y65" s="27">
        <v>1905</v>
      </c>
      <c r="Z65" s="27" t="s">
        <v>488</v>
      </c>
      <c r="AA65" s="27" t="s">
        <v>489</v>
      </c>
      <c r="AB65" s="27" t="s">
        <v>383</v>
      </c>
      <c r="AC65" s="27" t="s">
        <v>490</v>
      </c>
      <c r="AD65" s="27" t="s">
        <v>383</v>
      </c>
      <c r="AE65" s="27" t="s">
        <v>487</v>
      </c>
      <c r="AF65" s="27" t="s">
        <v>383</v>
      </c>
      <c r="AG65" s="27" t="s">
        <v>491</v>
      </c>
    </row>
    <row r="66" spans="1:33" x14ac:dyDescent="0.25">
      <c r="A66" s="27" t="s">
        <v>713</v>
      </c>
      <c r="B66" s="27" t="str">
        <f t="shared" ref="B66:B76" si="4">LEFT(A66,FIND(";",A66)-1)</f>
        <v>Arkansas</v>
      </c>
      <c r="C66" s="27" t="str">
        <f t="shared" ref="C66:C76" si="5">MID(A66,FIND(";",A66)+1,100)</f>
        <v>Sebastian</v>
      </c>
      <c r="D66" s="27">
        <v>6283</v>
      </c>
      <c r="E66" s="2">
        <v>63</v>
      </c>
      <c r="F66" s="2">
        <v>116</v>
      </c>
      <c r="G66" s="2">
        <v>12</v>
      </c>
      <c r="H66" s="2">
        <v>18</v>
      </c>
      <c r="I66" s="2">
        <v>3</v>
      </c>
      <c r="J66" s="2">
        <v>6</v>
      </c>
      <c r="K66" s="2">
        <f t="shared" si="2"/>
        <v>218</v>
      </c>
      <c r="L66" s="2">
        <v>224</v>
      </c>
      <c r="M66" s="27">
        <v>124</v>
      </c>
      <c r="N66" s="2">
        <v>9722</v>
      </c>
      <c r="O66" s="12">
        <v>65.7</v>
      </c>
      <c r="P66" s="12">
        <v>46</v>
      </c>
      <c r="Q66" s="12">
        <v>39.950000000000003</v>
      </c>
      <c r="R66" s="12">
        <v>33</v>
      </c>
      <c r="S66" s="12">
        <v>37.5</v>
      </c>
      <c r="T66" s="12">
        <v>29.15</v>
      </c>
      <c r="U66" s="12">
        <f t="shared" si="3"/>
        <v>48.374553571428571</v>
      </c>
      <c r="V66" s="2">
        <v>78932.67</v>
      </c>
      <c r="W66" s="27">
        <v>99</v>
      </c>
      <c r="X66" s="27">
        <v>355751.75</v>
      </c>
      <c r="Y66" s="27">
        <v>1905</v>
      </c>
      <c r="Z66" s="27" t="s">
        <v>488</v>
      </c>
      <c r="AA66" s="27" t="s">
        <v>489</v>
      </c>
      <c r="AB66" s="27" t="s">
        <v>383</v>
      </c>
      <c r="AC66" s="27" t="s">
        <v>490</v>
      </c>
      <c r="AD66" s="27" t="s">
        <v>383</v>
      </c>
      <c r="AE66" s="27" t="s">
        <v>487</v>
      </c>
      <c r="AF66" s="27" t="s">
        <v>383</v>
      </c>
      <c r="AG66" s="27" t="s">
        <v>491</v>
      </c>
    </row>
    <row r="67" spans="1:33" x14ac:dyDescent="0.25">
      <c r="A67" s="27" t="s">
        <v>714</v>
      </c>
      <c r="B67" s="27" t="str">
        <f t="shared" si="4"/>
        <v>Arkansas</v>
      </c>
      <c r="C67" s="27" t="str">
        <f t="shared" si="5"/>
        <v>Sevier</v>
      </c>
      <c r="D67" s="27">
        <v>3133</v>
      </c>
      <c r="E67" s="2">
        <v>16</v>
      </c>
      <c r="F67" s="2">
        <v>33</v>
      </c>
      <c r="G67" s="2">
        <v>11</v>
      </c>
      <c r="H67" s="2">
        <v>12</v>
      </c>
      <c r="I67" s="2">
        <v>8</v>
      </c>
      <c r="J67" s="2">
        <v>15</v>
      </c>
      <c r="K67" s="2">
        <f t="shared" ref="K67:K76" si="6">SUM(E67:J67)</f>
        <v>95</v>
      </c>
      <c r="L67" s="2">
        <v>95</v>
      </c>
      <c r="M67" s="27">
        <v>105</v>
      </c>
      <c r="N67" s="2">
        <v>4662</v>
      </c>
      <c r="O67" s="12">
        <v>45</v>
      </c>
      <c r="P67" s="12">
        <v>40</v>
      </c>
      <c r="Q67" s="12">
        <v>35</v>
      </c>
      <c r="R67" s="12">
        <v>35</v>
      </c>
      <c r="S67" s="12">
        <v>30</v>
      </c>
      <c r="T67" s="12">
        <v>30</v>
      </c>
      <c r="U67" s="12">
        <f t="shared" ref="U67:U76" si="7">((O67*E67)+(P67*F67)+(Q67*G67)+(R67*H67)+(S67*I67)+(T67*J67))/L67</f>
        <v>37.210526315789473</v>
      </c>
      <c r="V67" s="2">
        <v>21775.97</v>
      </c>
      <c r="W67" s="27">
        <v>65</v>
      </c>
      <c r="X67" s="27">
        <v>19409</v>
      </c>
      <c r="Y67" s="27">
        <v>1905</v>
      </c>
      <c r="Z67" s="27" t="s">
        <v>488</v>
      </c>
      <c r="AA67" s="27" t="s">
        <v>489</v>
      </c>
      <c r="AB67" s="27" t="s">
        <v>383</v>
      </c>
      <c r="AC67" s="27" t="s">
        <v>490</v>
      </c>
      <c r="AD67" s="27" t="s">
        <v>383</v>
      </c>
      <c r="AE67" s="27" t="s">
        <v>487</v>
      </c>
      <c r="AF67" s="27" t="s">
        <v>383</v>
      </c>
      <c r="AG67" s="27" t="s">
        <v>491</v>
      </c>
    </row>
    <row r="68" spans="1:33" x14ac:dyDescent="0.25">
      <c r="A68" s="27" t="s">
        <v>715</v>
      </c>
      <c r="B68" s="27" t="str">
        <f t="shared" si="4"/>
        <v>Arkansas</v>
      </c>
      <c r="C68" s="27" t="str">
        <f t="shared" si="5"/>
        <v>Sharp</v>
      </c>
      <c r="D68" s="27"/>
      <c r="E68" s="2"/>
      <c r="F68" s="2"/>
      <c r="G68" s="2"/>
      <c r="H68" s="2"/>
      <c r="I68" s="2"/>
      <c r="J68" s="2"/>
      <c r="K68" s="2">
        <f t="shared" si="6"/>
        <v>0</v>
      </c>
      <c r="L68" s="2"/>
      <c r="M68" s="27"/>
      <c r="N68" s="27"/>
      <c r="O68" s="12"/>
      <c r="P68" s="12"/>
      <c r="Q68" s="12"/>
      <c r="R68" s="12"/>
      <c r="S68" s="12"/>
      <c r="T68" s="12"/>
      <c r="U68" s="12" t="e">
        <f t="shared" si="7"/>
        <v>#DIV/0!</v>
      </c>
      <c r="V68" s="2">
        <v>13990.56</v>
      </c>
      <c r="W68" s="27"/>
      <c r="X68" s="27"/>
      <c r="Y68" s="27">
        <v>1905</v>
      </c>
      <c r="Z68" s="27" t="s">
        <v>488</v>
      </c>
      <c r="AA68" s="27" t="s">
        <v>489</v>
      </c>
      <c r="AB68" s="27" t="s">
        <v>383</v>
      </c>
      <c r="AC68" s="27" t="s">
        <v>490</v>
      </c>
      <c r="AD68" s="27" t="s">
        <v>383</v>
      </c>
      <c r="AE68" s="27" t="s">
        <v>487</v>
      </c>
      <c r="AF68" s="27" t="s">
        <v>383</v>
      </c>
      <c r="AG68" s="27" t="s">
        <v>491</v>
      </c>
    </row>
    <row r="69" spans="1:33" x14ac:dyDescent="0.25">
      <c r="A69" s="27" t="s">
        <v>1747</v>
      </c>
      <c r="B69" s="27" t="str">
        <f t="shared" si="4"/>
        <v>Arkansas</v>
      </c>
      <c r="C69" s="27" t="str">
        <f t="shared" si="5"/>
        <v>St Francis</v>
      </c>
      <c r="D69" s="27">
        <v>2610</v>
      </c>
      <c r="E69" s="2">
        <v>28</v>
      </c>
      <c r="F69" s="2">
        <v>39</v>
      </c>
      <c r="G69" s="2">
        <v>2</v>
      </c>
      <c r="H69" s="2">
        <v>20</v>
      </c>
      <c r="J69" s="2">
        <v>5</v>
      </c>
      <c r="K69" s="2">
        <f t="shared" si="6"/>
        <v>94</v>
      </c>
      <c r="L69" s="2">
        <v>95</v>
      </c>
      <c r="M69" s="27">
        <v>88</v>
      </c>
      <c r="N69" s="2">
        <v>4197</v>
      </c>
      <c r="O69" s="12">
        <v>40.4</v>
      </c>
      <c r="P69" s="12">
        <v>40</v>
      </c>
      <c r="Q69" s="12">
        <v>40</v>
      </c>
      <c r="R69" s="12">
        <v>32</v>
      </c>
      <c r="S69" s="12"/>
      <c r="T69" s="12">
        <v>23.75</v>
      </c>
      <c r="U69" s="12">
        <f t="shared" si="7"/>
        <v>37.157368421052631</v>
      </c>
      <c r="V69" s="2">
        <v>21579.84</v>
      </c>
      <c r="W69" s="27">
        <v>65</v>
      </c>
      <c r="X69" s="27">
        <v>34766</v>
      </c>
      <c r="Y69" s="27">
        <v>1905</v>
      </c>
      <c r="Z69" s="27" t="s">
        <v>488</v>
      </c>
      <c r="AA69" s="27" t="s">
        <v>489</v>
      </c>
      <c r="AB69" s="27" t="s">
        <v>383</v>
      </c>
      <c r="AC69" s="27" t="s">
        <v>490</v>
      </c>
      <c r="AD69" s="27" t="s">
        <v>383</v>
      </c>
      <c r="AE69" s="27" t="s">
        <v>487</v>
      </c>
      <c r="AF69" s="27" t="s">
        <v>383</v>
      </c>
      <c r="AG69" s="27" t="s">
        <v>491</v>
      </c>
    </row>
    <row r="70" spans="1:33" x14ac:dyDescent="0.25">
      <c r="A70" s="27" t="s">
        <v>716</v>
      </c>
      <c r="B70" s="27" t="str">
        <f t="shared" si="4"/>
        <v>Arkansas</v>
      </c>
      <c r="C70" s="27" t="str">
        <f t="shared" si="5"/>
        <v>Stone</v>
      </c>
      <c r="D70" s="27">
        <v>1556</v>
      </c>
      <c r="E70" s="2">
        <v>9</v>
      </c>
      <c r="F70" s="2"/>
      <c r="G70" s="2">
        <v>21</v>
      </c>
      <c r="H70" s="2">
        <v>7</v>
      </c>
      <c r="I70" s="2">
        <v>22</v>
      </c>
      <c r="J70" s="2">
        <v>9</v>
      </c>
      <c r="K70" s="2">
        <f t="shared" si="6"/>
        <v>68</v>
      </c>
      <c r="L70" s="2">
        <v>68</v>
      </c>
      <c r="M70" s="27">
        <v>71</v>
      </c>
      <c r="N70" s="2">
        <v>2484</v>
      </c>
      <c r="O70" s="12">
        <v>33.6</v>
      </c>
      <c r="P70" s="12"/>
      <c r="Q70" s="12">
        <v>24.5</v>
      </c>
      <c r="R70" s="12">
        <v>30.95</v>
      </c>
      <c r="S70" s="12">
        <v>25</v>
      </c>
      <c r="T70" s="12">
        <v>26.45</v>
      </c>
      <c r="U70" s="12">
        <f t="shared" si="7"/>
        <v>26.788235294117648</v>
      </c>
      <c r="V70" s="2">
        <v>7131.96</v>
      </c>
      <c r="W70" s="27">
        <v>40</v>
      </c>
      <c r="X70" s="27">
        <v>5865.25</v>
      </c>
      <c r="Y70" s="27">
        <v>1905</v>
      </c>
      <c r="Z70" s="27" t="s">
        <v>488</v>
      </c>
      <c r="AA70" s="27" t="s">
        <v>489</v>
      </c>
      <c r="AB70" s="27" t="s">
        <v>383</v>
      </c>
      <c r="AC70" s="27" t="s">
        <v>490</v>
      </c>
      <c r="AD70" s="27" t="s">
        <v>383</v>
      </c>
      <c r="AE70" s="27" t="s">
        <v>487</v>
      </c>
      <c r="AF70" s="27" t="s">
        <v>383</v>
      </c>
      <c r="AG70" s="27" t="s">
        <v>491</v>
      </c>
    </row>
    <row r="71" spans="1:33" x14ac:dyDescent="0.25">
      <c r="A71" s="27" t="s">
        <v>717</v>
      </c>
      <c r="B71" s="27" t="str">
        <f t="shared" si="4"/>
        <v>Arkansas</v>
      </c>
      <c r="C71" s="27" t="str">
        <f t="shared" si="5"/>
        <v>Union</v>
      </c>
      <c r="D71" s="27">
        <v>3690</v>
      </c>
      <c r="E71" s="2">
        <v>26</v>
      </c>
      <c r="F71" s="2">
        <v>17</v>
      </c>
      <c r="G71" s="2">
        <v>15</v>
      </c>
      <c r="H71" s="2">
        <v>25</v>
      </c>
      <c r="I71" s="2">
        <v>35</v>
      </c>
      <c r="J71" s="2">
        <v>43</v>
      </c>
      <c r="K71" s="2">
        <f t="shared" si="6"/>
        <v>161</v>
      </c>
      <c r="L71" s="2">
        <v>159</v>
      </c>
      <c r="M71" s="27">
        <v>79</v>
      </c>
      <c r="N71" s="2">
        <v>5949</v>
      </c>
      <c r="O71" s="12">
        <v>53.85</v>
      </c>
      <c r="P71" s="12">
        <v>46.05</v>
      </c>
      <c r="Q71" s="12">
        <v>43.65</v>
      </c>
      <c r="R71" s="12">
        <v>39.1</v>
      </c>
      <c r="S71" s="12">
        <v>35.450000000000003</v>
      </c>
      <c r="T71" s="12">
        <v>32.85</v>
      </c>
      <c r="U71" s="12">
        <f t="shared" si="7"/>
        <v>40.682389937106919</v>
      </c>
      <c r="V71" s="2">
        <v>27823.18</v>
      </c>
      <c r="W71" s="27">
        <v>118</v>
      </c>
      <c r="X71" s="27">
        <v>32797.599999999999</v>
      </c>
      <c r="Y71" s="27">
        <v>1905</v>
      </c>
      <c r="Z71" s="27" t="s">
        <v>488</v>
      </c>
      <c r="AA71" s="27" t="s">
        <v>489</v>
      </c>
      <c r="AB71" s="27" t="s">
        <v>383</v>
      </c>
      <c r="AC71" s="27" t="s">
        <v>490</v>
      </c>
      <c r="AD71" s="27" t="s">
        <v>383</v>
      </c>
      <c r="AE71" s="27" t="s">
        <v>487</v>
      </c>
      <c r="AF71" s="27" t="s">
        <v>383</v>
      </c>
      <c r="AG71" s="27" t="s">
        <v>491</v>
      </c>
    </row>
    <row r="72" spans="1:33" x14ac:dyDescent="0.25">
      <c r="A72" s="27" t="s">
        <v>718</v>
      </c>
      <c r="B72" s="27" t="str">
        <f t="shared" si="4"/>
        <v>Arkansas</v>
      </c>
      <c r="C72" s="27" t="str">
        <f t="shared" si="5"/>
        <v>Van Buren</v>
      </c>
      <c r="D72" s="27">
        <v>2024</v>
      </c>
      <c r="E72" s="2">
        <v>12</v>
      </c>
      <c r="F72" s="2">
        <v>11</v>
      </c>
      <c r="G72" s="2">
        <v>22</v>
      </c>
      <c r="H72" s="2">
        <v>14</v>
      </c>
      <c r="I72" s="2">
        <v>15</v>
      </c>
      <c r="J72" s="2">
        <v>6</v>
      </c>
      <c r="K72" s="2">
        <f t="shared" si="6"/>
        <v>80</v>
      </c>
      <c r="L72" s="2">
        <v>75</v>
      </c>
      <c r="M72" s="27">
        <v>62</v>
      </c>
      <c r="N72" s="2">
        <v>3423</v>
      </c>
      <c r="O72" s="12">
        <v>44.05</v>
      </c>
      <c r="P72" s="12">
        <v>26.15</v>
      </c>
      <c r="Q72" s="12">
        <v>25.35</v>
      </c>
      <c r="R72" s="12">
        <v>25.25</v>
      </c>
      <c r="S72" s="12">
        <v>24.15</v>
      </c>
      <c r="T72" s="12">
        <v>23</v>
      </c>
      <c r="U72" s="12">
        <f t="shared" si="7"/>
        <v>29.702666666666666</v>
      </c>
      <c r="V72" s="2">
        <v>8670.7099999999991</v>
      </c>
      <c r="W72" s="27">
        <v>77</v>
      </c>
      <c r="X72" s="27">
        <v>11213</v>
      </c>
      <c r="Y72" s="27">
        <v>1905</v>
      </c>
      <c r="Z72" s="27" t="s">
        <v>488</v>
      </c>
      <c r="AA72" s="27" t="s">
        <v>489</v>
      </c>
      <c r="AB72" s="27" t="s">
        <v>383</v>
      </c>
      <c r="AC72" s="27" t="s">
        <v>490</v>
      </c>
      <c r="AD72" s="27" t="s">
        <v>383</v>
      </c>
      <c r="AE72" s="27" t="s">
        <v>487</v>
      </c>
      <c r="AF72" s="27" t="s">
        <v>383</v>
      </c>
      <c r="AG72" s="27" t="s">
        <v>491</v>
      </c>
    </row>
    <row r="73" spans="1:33" x14ac:dyDescent="0.25">
      <c r="A73" s="27" t="s">
        <v>719</v>
      </c>
      <c r="B73" s="27" t="str">
        <f t="shared" si="4"/>
        <v>Arkansas</v>
      </c>
      <c r="C73" s="27" t="str">
        <f t="shared" si="5"/>
        <v>Washington</v>
      </c>
      <c r="D73" s="27">
        <v>5801</v>
      </c>
      <c r="E73" s="2">
        <v>56</v>
      </c>
      <c r="F73" s="2">
        <v>48</v>
      </c>
      <c r="G73" s="2">
        <v>17</v>
      </c>
      <c r="H73" s="2">
        <v>55</v>
      </c>
      <c r="I73" s="2">
        <v>12</v>
      </c>
      <c r="J73" s="2">
        <v>20</v>
      </c>
      <c r="K73" s="2">
        <f t="shared" si="6"/>
        <v>208</v>
      </c>
      <c r="L73" s="2">
        <v>208</v>
      </c>
      <c r="M73" s="27">
        <v>137</v>
      </c>
      <c r="N73" s="2">
        <v>9311</v>
      </c>
      <c r="O73" s="12">
        <v>35.4</v>
      </c>
      <c r="P73" s="12">
        <v>32</v>
      </c>
      <c r="Q73" s="12">
        <v>30</v>
      </c>
      <c r="R73" s="12">
        <v>28.65</v>
      </c>
      <c r="S73" s="12">
        <v>30</v>
      </c>
      <c r="T73" s="12">
        <v>27.15</v>
      </c>
      <c r="U73" s="12">
        <f t="shared" si="7"/>
        <v>31.284374999999997</v>
      </c>
      <c r="V73" s="2">
        <v>36601</v>
      </c>
      <c r="W73" s="27">
        <v>155</v>
      </c>
      <c r="X73" s="27">
        <v>92810</v>
      </c>
      <c r="Y73" s="27">
        <v>1905</v>
      </c>
      <c r="Z73" s="27" t="s">
        <v>488</v>
      </c>
      <c r="AA73" s="27" t="s">
        <v>489</v>
      </c>
      <c r="AB73" s="27" t="s">
        <v>383</v>
      </c>
      <c r="AC73" s="27" t="s">
        <v>490</v>
      </c>
      <c r="AD73" s="27" t="s">
        <v>383</v>
      </c>
      <c r="AE73" s="27" t="s">
        <v>487</v>
      </c>
      <c r="AF73" s="27" t="s">
        <v>383</v>
      </c>
      <c r="AG73" s="27" t="s">
        <v>491</v>
      </c>
    </row>
    <row r="74" spans="1:33" x14ac:dyDescent="0.25">
      <c r="A74" s="27" t="s">
        <v>720</v>
      </c>
      <c r="B74" s="27" t="str">
        <f t="shared" si="4"/>
        <v>Arkansas</v>
      </c>
      <c r="C74" s="27" t="str">
        <f t="shared" si="5"/>
        <v>White</v>
      </c>
      <c r="D74" s="27">
        <v>3370</v>
      </c>
      <c r="E74" s="2">
        <v>16</v>
      </c>
      <c r="F74" s="2">
        <v>34</v>
      </c>
      <c r="G74" s="2">
        <v>37</v>
      </c>
      <c r="H74" s="2">
        <v>35</v>
      </c>
      <c r="I74" s="2">
        <v>9</v>
      </c>
      <c r="J74" s="2">
        <v>21</v>
      </c>
      <c r="K74" s="2">
        <f t="shared" si="6"/>
        <v>152</v>
      </c>
      <c r="L74" s="2">
        <v>130</v>
      </c>
      <c r="M74" s="27">
        <v>89</v>
      </c>
      <c r="N74" s="2">
        <v>5809</v>
      </c>
      <c r="O74" s="12">
        <v>47.5</v>
      </c>
      <c r="P74" s="12">
        <v>40.549999999999997</v>
      </c>
      <c r="Q74" s="12">
        <v>35.549999999999997</v>
      </c>
      <c r="R74" s="12">
        <v>34.549999999999997</v>
      </c>
      <c r="S74" s="12">
        <v>34.75</v>
      </c>
      <c r="T74" s="12">
        <v>30.85</v>
      </c>
      <c r="U74" s="12">
        <f t="shared" si="7"/>
        <v>43.260769230769228</v>
      </c>
      <c r="V74" s="2">
        <v>33629.199999999997</v>
      </c>
      <c r="W74" s="27">
        <v>122</v>
      </c>
      <c r="X74" s="27">
        <v>40420</v>
      </c>
      <c r="Y74" s="27">
        <v>1905</v>
      </c>
      <c r="Z74" s="27" t="s">
        <v>488</v>
      </c>
      <c r="AA74" s="27" t="s">
        <v>489</v>
      </c>
      <c r="AB74" s="27" t="s">
        <v>383</v>
      </c>
      <c r="AC74" s="27" t="s">
        <v>490</v>
      </c>
      <c r="AD74" s="27" t="s">
        <v>383</v>
      </c>
      <c r="AE74" s="27" t="s">
        <v>487</v>
      </c>
      <c r="AF74" s="27" t="s">
        <v>383</v>
      </c>
      <c r="AG74" s="27" t="s">
        <v>491</v>
      </c>
    </row>
    <row r="75" spans="1:33" x14ac:dyDescent="0.25">
      <c r="A75" s="27" t="s">
        <v>721</v>
      </c>
      <c r="B75" s="27" t="str">
        <f t="shared" si="4"/>
        <v>Arkansas</v>
      </c>
      <c r="C75" s="27" t="str">
        <f t="shared" si="5"/>
        <v>Woodruff</v>
      </c>
      <c r="D75" s="27">
        <v>2358</v>
      </c>
      <c r="E75" s="2">
        <v>16</v>
      </c>
      <c r="F75" s="2">
        <v>22</v>
      </c>
      <c r="G75" s="2">
        <v>13</v>
      </c>
      <c r="H75" s="2">
        <v>17</v>
      </c>
      <c r="I75" s="2">
        <v>4</v>
      </c>
      <c r="J75" s="2">
        <v>17</v>
      </c>
      <c r="K75" s="2">
        <f t="shared" si="6"/>
        <v>89</v>
      </c>
      <c r="L75" s="2">
        <v>92</v>
      </c>
      <c r="M75" s="27">
        <v>93</v>
      </c>
      <c r="N75" s="2">
        <v>3853</v>
      </c>
      <c r="O75" s="12">
        <v>48</v>
      </c>
      <c r="P75" s="12">
        <v>45</v>
      </c>
      <c r="Q75" s="12">
        <v>40</v>
      </c>
      <c r="R75" s="12">
        <v>38.5</v>
      </c>
      <c r="S75" s="12">
        <v>40</v>
      </c>
      <c r="T75" s="12">
        <v>34</v>
      </c>
      <c r="U75" s="12">
        <f t="shared" si="7"/>
        <v>39.896739130434781</v>
      </c>
      <c r="V75" s="2">
        <v>25114.36</v>
      </c>
      <c r="W75" s="27">
        <v>45</v>
      </c>
      <c r="X75" s="27">
        <v>25636</v>
      </c>
      <c r="Y75" s="27">
        <v>1905</v>
      </c>
      <c r="Z75" s="27" t="s">
        <v>488</v>
      </c>
      <c r="AA75" s="27" t="s">
        <v>489</v>
      </c>
      <c r="AB75" s="27" t="s">
        <v>383</v>
      </c>
      <c r="AC75" s="27" t="s">
        <v>490</v>
      </c>
      <c r="AD75" s="27" t="s">
        <v>383</v>
      </c>
      <c r="AE75" s="27" t="s">
        <v>487</v>
      </c>
      <c r="AF75" s="27" t="s">
        <v>383</v>
      </c>
      <c r="AG75" s="27" t="s">
        <v>491</v>
      </c>
    </row>
    <row r="76" spans="1:33" x14ac:dyDescent="0.25">
      <c r="A76" s="27" t="s">
        <v>722</v>
      </c>
      <c r="B76" s="27" t="str">
        <f t="shared" si="4"/>
        <v>Arkansas</v>
      </c>
      <c r="C76" s="27" t="str">
        <f t="shared" si="5"/>
        <v>Yell</v>
      </c>
      <c r="D76" s="27">
        <v>3270</v>
      </c>
      <c r="E76" s="2">
        <v>28</v>
      </c>
      <c r="F76" s="2">
        <v>7</v>
      </c>
      <c r="G76" s="2">
        <v>37</v>
      </c>
      <c r="H76" s="2">
        <v>25</v>
      </c>
      <c r="I76" s="2">
        <v>19</v>
      </c>
      <c r="J76" s="2">
        <v>16</v>
      </c>
      <c r="K76" s="2">
        <f t="shared" si="6"/>
        <v>132</v>
      </c>
      <c r="L76" s="2">
        <v>143</v>
      </c>
      <c r="M76" s="27">
        <v>103</v>
      </c>
      <c r="N76" s="2">
        <v>5784</v>
      </c>
      <c r="O76" s="12">
        <v>52.25</v>
      </c>
      <c r="P76" s="12">
        <v>39.65</v>
      </c>
      <c r="Q76" s="12">
        <v>43.5</v>
      </c>
      <c r="R76" s="12">
        <v>36.75</v>
      </c>
      <c r="S76" s="12">
        <v>31.5</v>
      </c>
      <c r="T76" s="12">
        <v>31.45</v>
      </c>
      <c r="U76" s="12">
        <f t="shared" si="7"/>
        <v>37.555944055944053</v>
      </c>
      <c r="V76" s="2">
        <v>30553.32</v>
      </c>
      <c r="W76" s="27">
        <v>87</v>
      </c>
      <c r="X76" s="27">
        <v>50356</v>
      </c>
      <c r="Y76" s="27">
        <v>1905</v>
      </c>
      <c r="Z76" s="27" t="s">
        <v>488</v>
      </c>
      <c r="AA76" s="27" t="s">
        <v>489</v>
      </c>
      <c r="AB76" s="27" t="s">
        <v>383</v>
      </c>
      <c r="AC76" s="27" t="s">
        <v>490</v>
      </c>
      <c r="AD76" s="27" t="s">
        <v>383</v>
      </c>
      <c r="AE76" s="27" t="s">
        <v>487</v>
      </c>
      <c r="AF76" s="27" t="s">
        <v>383</v>
      </c>
      <c r="AG76" s="27" t="s">
        <v>491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</vt:i4>
      </vt:variant>
    </vt:vector>
  </HeadingPairs>
  <TitlesOfParts>
    <vt:vector size="39" baseType="lpstr">
      <vt:lpstr>Prevalance, WWI army recruits</vt:lpstr>
      <vt:lpstr>Full-time health officers</vt:lpstr>
      <vt:lpstr>County spending 1902</vt:lpstr>
      <vt:lpstr>County spending 1932</vt:lpstr>
      <vt:lpstr>Cantonments</vt:lpstr>
      <vt:lpstr>Malaria mortality</vt:lpstr>
      <vt:lpstr>State Education Reports Pre</vt:lpstr>
      <vt:lpstr>AL pre</vt:lpstr>
      <vt:lpstr>AR pre</vt:lpstr>
      <vt:lpstr>GA pre</vt:lpstr>
      <vt:lpstr>KY pre</vt:lpstr>
      <vt:lpstr>LA pre</vt:lpstr>
      <vt:lpstr>NC pre</vt:lpstr>
      <vt:lpstr>SC pre</vt:lpstr>
      <vt:lpstr>TX pre</vt:lpstr>
      <vt:lpstr>VA pre</vt:lpstr>
      <vt:lpstr>State Education Reports Post</vt:lpstr>
      <vt:lpstr>AL post</vt:lpstr>
      <vt:lpstr>AR post</vt:lpstr>
      <vt:lpstr>GA post</vt:lpstr>
      <vt:lpstr>KY post</vt:lpstr>
      <vt:lpstr>LA post</vt:lpstr>
      <vt:lpstr>MS post</vt:lpstr>
      <vt:lpstr>NC post</vt:lpstr>
      <vt:lpstr>SC post</vt:lpstr>
      <vt:lpstr>TN post</vt:lpstr>
      <vt:lpstr>TX post</vt:lpstr>
      <vt:lpstr>VA post</vt:lpstr>
      <vt:lpstr>Rosenwald schools &amp; lynchings</vt:lpstr>
      <vt:lpstr>Average wage, 1899</vt:lpstr>
      <vt:lpstr>Doctors per capita</vt:lpstr>
      <vt:lpstr>State health board of health sp</vt:lpstr>
      <vt:lpstr>Infant mortality, 1890</vt:lpstr>
      <vt:lpstr>Rejected recruits, WWI</vt:lpstr>
      <vt:lpstr>Mortality from other diseases</vt:lpstr>
      <vt:lpstr>National Ed Report 1905</vt:lpstr>
      <vt:lpstr>National Ed Report 1926</vt:lpstr>
      <vt:lpstr>Education Annual Report Extende</vt:lpstr>
      <vt:lpstr>BW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Zachary Tausanovitch</dc:creator>
  <cp:lastModifiedBy>David</cp:lastModifiedBy>
  <dcterms:created xsi:type="dcterms:W3CDTF">2017-03-15T18:53:38Z</dcterms:created>
  <dcterms:modified xsi:type="dcterms:W3CDTF">2018-01-23T13:27:21Z</dcterms:modified>
</cp:coreProperties>
</file>